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39.xml"/>
  <Override ContentType="application/vnd.openxmlformats-officedocument.drawingml.chart+xml" PartName="/xl/charts/chart35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37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CE001" sheetId="1" r:id="rId3"/>
    <sheet state="visible" name="TRACE002" sheetId="2" r:id="rId4"/>
    <sheet state="visible" name="TRACE003" sheetId="3" r:id="rId5"/>
    <sheet state="visible" name="TRACE004" sheetId="4" r:id="rId6"/>
    <sheet state="visible" name="TRACE005" sheetId="5" r:id="rId7"/>
    <sheet state="visible" name="TRACE006" sheetId="6" r:id="rId8"/>
    <sheet state="visible" name="TRACE007" sheetId="7" r:id="rId9"/>
    <sheet state="visible" name="TRACE008" sheetId="8" r:id="rId10"/>
    <sheet state="visible" name="TRACE009" sheetId="9" r:id="rId11"/>
    <sheet state="visible" name="TRACE010" sheetId="10" r:id="rId12"/>
    <sheet state="visible" name="TRACE011" sheetId="11" r:id="rId13"/>
    <sheet state="visible" name="TRACE012" sheetId="12" r:id="rId14"/>
    <sheet state="visible" name="TRACE013" sheetId="13" r:id="rId15"/>
    <sheet state="visible" name="TRACE014" sheetId="14" r:id="rId16"/>
    <sheet state="visible" name="TRACE015" sheetId="15" r:id="rId17"/>
    <sheet state="visible" name="TRACE016" sheetId="16" r:id="rId18"/>
    <sheet state="visible" name="TRACE017" sheetId="17" r:id="rId19"/>
    <sheet state="visible" name="TRACE018" sheetId="18" r:id="rId20"/>
    <sheet state="visible" name="TRACE019" sheetId="19" r:id="rId21"/>
    <sheet state="visible" name="Sheet3" sheetId="20" r:id="rId22"/>
    <sheet state="visible" name="NTable" sheetId="21" r:id="rId23"/>
  </sheets>
  <definedNames/>
  <calcPr/>
</workbook>
</file>

<file path=xl/sharedStrings.xml><?xml version="1.0" encoding="utf-8"?>
<sst xmlns="http://schemas.openxmlformats.org/spreadsheetml/2006/main" count="890" uniqueCount="75">
  <si>
    <t>Title:</t>
  </si>
  <si>
    <t>Trace 1</t>
  </si>
  <si>
    <t>Model:</t>
  </si>
  <si>
    <t>N9320B</t>
  </si>
  <si>
    <t>background func: y = ax^2 + bx + c</t>
  </si>
  <si>
    <t>Serial Number:</t>
  </si>
  <si>
    <t>CN03230304</t>
  </si>
  <si>
    <t>Center Frequency:</t>
  </si>
  <si>
    <t>Hz</t>
  </si>
  <si>
    <t>Span:</t>
  </si>
  <si>
    <t>Resolution Bandwidth:</t>
  </si>
  <si>
    <t>Video Bandwidth:</t>
  </si>
  <si>
    <t>Reference Level:</t>
  </si>
  <si>
    <t>dBm</t>
  </si>
  <si>
    <t>Sweep Time:</t>
  </si>
  <si>
    <t>s</t>
  </si>
  <si>
    <t>Num Points:</t>
  </si>
  <si>
    <t>Units</t>
  </si>
  <si>
    <t>delta_f</t>
  </si>
  <si>
    <t>Proper V</t>
  </si>
  <si>
    <t>lambda</t>
  </si>
  <si>
    <t>P_w</t>
  </si>
  <si>
    <t>P_1</t>
  </si>
  <si>
    <t>dP/df</t>
  </si>
  <si>
    <t>B</t>
  </si>
  <si>
    <t>k_b</t>
  </si>
  <si>
    <t>T_b</t>
  </si>
  <si>
    <t>Background</t>
  </si>
  <si>
    <t>T_b(subtracted)</t>
  </si>
  <si>
    <t>V RANGE</t>
  </si>
  <si>
    <t>T RANGE</t>
  </si>
  <si>
    <t>N</t>
  </si>
  <si>
    <t>N_Actual</t>
  </si>
  <si>
    <t>No.</t>
  </si>
  <si>
    <t>Frequecncy(Hz)</t>
  </si>
  <si>
    <t>Amplitude(dBm)</t>
  </si>
  <si>
    <t>Watts/30,000</t>
  </si>
  <si>
    <t>Watts/Hz</t>
  </si>
  <si>
    <t>$</t>
  </si>
  <si>
    <t>Lambda Average</t>
  </si>
  <si>
    <t>я</t>
  </si>
  <si>
    <t>SUM(</t>
  </si>
  <si>
    <t>]</t>
  </si>
  <si>
    <t>Trace</t>
  </si>
  <si>
    <t>DEV^2</t>
  </si>
  <si>
    <t>V</t>
  </si>
  <si>
    <t>t1</t>
  </si>
  <si>
    <t>t1 Avg</t>
  </si>
  <si>
    <t>Deviation</t>
  </si>
  <si>
    <t>t2</t>
  </si>
  <si>
    <t>Avg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</si>
  <si>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</si>
  <si>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</si>
  <si>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</si>
  <si>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</si>
  <si>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</si>
  <si>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</si>
  <si>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</si>
  <si>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</si>
  <si>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</si>
  <si>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</si>
  <si>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</si>
  <si>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</si>
  <si>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</si>
  <si>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</si>
  <si>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</si>
  <si>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</si>
  <si>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Deviation^2</t>
  </si>
  <si>
    <t>t19</t>
  </si>
  <si>
    <t>T TOT AVG</t>
  </si>
  <si>
    <t>StandDev</t>
  </si>
  <si>
    <t>Stand Error</t>
  </si>
  <si>
    <t>NAVG</t>
  </si>
  <si>
    <t>Sum Dev^2</t>
  </si>
  <si>
    <t>StandDiv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</si>
</sst>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E+00"/>
    <numFmt numFmtId="165" formatCode="0.000E+00"/>
  </numFmts>
  <fonts count="9">
    <font>
      <sz val="10.0"/>
      <color rgb="FF000000"/>
      <name val="Arial"/>
    </font>
    <font/>
    <font>
      <color rgb="FF000000"/>
    </font>
    <font>
      <color rgb="FF000000"/>
      <name val="Arial"/>
    </font>
    <font>
      <sz val="11.0"/>
      <color rgb="FF222222"/>
      <name val="Sans-serif"/>
    </font>
    <font>
      <sz val="11.0"/>
      <color rgb="FF000000"/>
      <name val="Inconsolata"/>
    </font>
    <font>
      <sz val="11.0"/>
      <color rgb="FFF7981D"/>
      <name val="Inconsolata"/>
    </font>
    <font>
      <sz val="9.0"/>
      <color rgb="FF595959"/>
    </font>
    <font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F8F9FA"/>
        <bgColor rgb="FFF8F9FA"/>
      </patternFill>
    </fill>
    <fill>
      <patternFill patternType="solid">
        <fgColor rgb="FFF3F3F3"/>
        <bgColor rgb="FFF3F3F3"/>
      </patternFill>
    </fill>
  </fills>
  <borders count="1">
    <border/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0" fillId="0" fontId="1" numFmtId="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1" numFmtId="11" xfId="0" applyFont="1" applyNumberFormat="1"/>
    <xf borderId="0" fillId="0" fontId="1" numFmtId="4" xfId="0" applyFont="1" applyNumberFormat="1"/>
    <xf borderId="0" fillId="0" fontId="2" numFmtId="11" xfId="0" applyFont="1" applyNumberFormat="1"/>
    <xf borderId="0" fillId="0" fontId="2" numFmtId="11" xfId="0" applyAlignment="1" applyFont="1" applyNumberFormat="1">
      <alignment readingOrder="0"/>
    </xf>
    <xf borderId="0" fillId="0" fontId="3" numFmtId="11" xfId="0" applyAlignment="1" applyFont="1" applyNumberFormat="1">
      <alignment horizontal="left" readingOrder="0"/>
    </xf>
    <xf borderId="0" fillId="0" fontId="4" numFmtId="11" xfId="0" applyAlignment="1" applyFont="1" applyNumberFormat="1">
      <alignment readingOrder="0" shrinkToFit="0" wrapText="0"/>
    </xf>
    <xf borderId="0" fillId="0" fontId="5" numFmtId="11" xfId="0" applyFont="1" applyNumberFormat="1"/>
    <xf borderId="0" fillId="0" fontId="5" numFmtId="4" xfId="0" applyFont="1" applyNumberFormat="1"/>
    <xf borderId="0" fillId="0" fontId="1" numFmtId="0" xfId="0" applyAlignment="1" applyFont="1">
      <alignment readingOrder="0"/>
    </xf>
    <xf borderId="0" fillId="0" fontId="6" numFmtId="4" xfId="0" applyFont="1" applyNumberFormat="1"/>
    <xf borderId="0" fillId="2" fontId="3" numFmtId="0" xfId="0" applyAlignment="1" applyFill="1" applyFont="1">
      <alignment horizontal="left" readingOrder="0"/>
    </xf>
    <xf borderId="0" fillId="2" fontId="5" numFmtId="11" xfId="0" applyFont="1" applyNumberFormat="1"/>
    <xf borderId="0" fillId="3" fontId="1" numFmtId="0" xfId="0" applyAlignment="1" applyFill="1" applyFont="1">
      <alignment readingOrder="0"/>
    </xf>
    <xf borderId="0" fillId="3" fontId="1" numFmtId="11" xfId="0" applyAlignment="1" applyFont="1" applyNumberFormat="1">
      <alignment readingOrder="0"/>
    </xf>
    <xf borderId="0" fillId="3" fontId="1" numFmtId="11" xfId="0" applyFont="1" applyNumberFormat="1"/>
    <xf borderId="0" fillId="3" fontId="1" numFmtId="4" xfId="0" applyFont="1" applyNumberFormat="1"/>
    <xf borderId="0" fillId="3" fontId="5" numFmtId="4" xfId="0" applyFont="1" applyNumberFormat="1"/>
    <xf borderId="0" fillId="3" fontId="5" numFmtId="11" xfId="0" applyFont="1" applyNumberFormat="1"/>
    <xf borderId="0" fillId="3" fontId="1" numFmtId="0" xfId="0" applyFont="1"/>
    <xf borderId="0" fillId="4" fontId="4" numFmtId="11" xfId="0" applyAlignment="1" applyFill="1" applyFont="1" applyNumberFormat="1">
      <alignment readingOrder="0" shrinkToFit="0" wrapText="0"/>
    </xf>
    <xf borderId="0" fillId="2" fontId="5" numFmtId="4" xfId="0" applyFont="1" applyNumberFormat="1"/>
    <xf borderId="0" fillId="5" fontId="1" numFmtId="11" xfId="0" applyFill="1" applyFont="1" applyNumberFormat="1"/>
    <xf borderId="0" fillId="5" fontId="1" numFmtId="4" xfId="0" applyFont="1" applyNumberFormat="1"/>
    <xf borderId="0" fillId="5" fontId="1" numFmtId="11" xfId="0" applyAlignment="1" applyFont="1" applyNumberFormat="1">
      <alignment readingOrder="0"/>
    </xf>
    <xf borderId="0" fillId="5" fontId="5" numFmtId="11" xfId="0" applyFont="1" applyNumberFormat="1"/>
    <xf borderId="0" fillId="5" fontId="5" numFmtId="4" xfId="0" applyFont="1" applyNumberFormat="1"/>
    <xf borderId="0" fillId="2" fontId="6" numFmtId="4" xfId="0" applyFont="1" applyNumberFormat="1"/>
    <xf borderId="0" fillId="0" fontId="7" numFmtId="11" xfId="0" applyAlignment="1" applyFont="1" applyNumberFormat="1">
      <alignment horizontal="center" readingOrder="0"/>
    </xf>
    <xf borderId="0" fillId="2" fontId="5" numFmtId="11" xfId="0" applyAlignment="1" applyFont="1" applyNumberFormat="1">
      <alignment readingOrder="0"/>
    </xf>
    <xf borderId="0" fillId="0" fontId="1" numFmtId="164" xfId="0" applyFont="1" applyNumberFormat="1"/>
    <xf borderId="0" fillId="2" fontId="3" numFmtId="4" xfId="0" applyAlignment="1" applyFont="1" applyNumberFormat="1">
      <alignment horizontal="left" readingOrder="0"/>
    </xf>
    <xf borderId="0" fillId="0" fontId="8" numFmtId="4" xfId="0" applyAlignment="1" applyFont="1" applyNumberFormat="1">
      <alignment vertical="bottom"/>
    </xf>
    <xf borderId="0" fillId="0" fontId="8" numFmtId="4" xfId="0" applyAlignment="1" applyFont="1" applyNumberFormat="1">
      <alignment readingOrder="0" vertical="bottom"/>
    </xf>
    <xf borderId="0" fillId="2" fontId="5" numFmtId="4" xfId="0" applyAlignment="1" applyFont="1" applyNumberFormat="1">
      <alignment horizontal="left"/>
    </xf>
    <xf borderId="0" fillId="2" fontId="5" numFmtId="4" xfId="0" applyAlignment="1" applyFont="1" applyNumberFormat="1">
      <alignment vertical="bottom"/>
    </xf>
    <xf borderId="0" fillId="0" fontId="8" numFmtId="0" xfId="0" applyAlignment="1" applyFont="1">
      <alignment readingOrder="0" vertical="bottom"/>
    </xf>
    <xf borderId="0" fillId="0" fontId="1" numFmtId="3" xfId="0" applyAlignment="1" applyFont="1" applyNumberFormat="1">
      <alignment readingOrder="0"/>
    </xf>
    <xf borderId="0" fillId="0" fontId="8" numFmtId="165" xfId="0" applyAlignment="1" applyFont="1" applyNumberFormat="1">
      <alignment vertical="bottom"/>
    </xf>
    <xf borderId="0" fillId="0" fontId="8" numFmtId="165" xfId="0" applyAlignment="1" applyFont="1" applyNumberFormat="1">
      <alignment horizontal="right" vertical="bottom"/>
    </xf>
    <xf borderId="0" fillId="0" fontId="1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22" Type="http://schemas.openxmlformats.org/officeDocument/2006/relationships/worksheet" Target="worksheets/sheet20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t>T_b Vs. V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TRACE001!$E$13:$E$473</c:f>
            </c:strRef>
          </c:cat>
          <c:val>
            <c:numRef>
              <c:f>TRACE001!$N$13:$N$473</c:f>
            </c:numRef>
          </c:val>
          <c:smooth val="1"/>
        </c:ser>
        <c:axId val="1120186277"/>
        <c:axId val="1167453769"/>
      </c:lineChart>
      <c:catAx>
        <c:axId val="11201862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V (km/s)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67453769"/>
      </c:catAx>
      <c:valAx>
        <c:axId val="11674537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T_b (K)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201862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t>Background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9525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cat>
            <c:strRef>
              <c:f>TRACE001!$P$13:$P$123</c:f>
            </c:strRef>
          </c:cat>
          <c:val>
            <c:numRef>
              <c:f>TRACE001!$Q$13:$Q$123</c:f>
            </c:numRef>
          </c:val>
          <c:smooth val="1"/>
        </c:ser>
        <c:axId val="1003671047"/>
        <c:axId val="509960277"/>
      </c:lineChart>
      <c:catAx>
        <c:axId val="1003671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09960277"/>
      </c:catAx>
      <c:valAx>
        <c:axId val="5099602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0367104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9525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cat>
            <c:strRef>
              <c:f>TRACE002!$P$13:$P$123</c:f>
            </c:strRef>
          </c:cat>
          <c:val>
            <c:numRef>
              <c:f>TRACE002!$Q$13:$Q$123</c:f>
            </c:numRef>
          </c:val>
          <c:smooth val="1"/>
        </c:ser>
        <c:axId val="1884694524"/>
        <c:axId val="1921558583"/>
      </c:lineChart>
      <c:catAx>
        <c:axId val="18846945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21558583"/>
      </c:catAx>
      <c:valAx>
        <c:axId val="19215585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846945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t>T_b Vs V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TRACE002!$E$13:$E$472</c:f>
            </c:strRef>
          </c:cat>
          <c:val>
            <c:numRef>
              <c:f>TRACE002!$N$13:$N$472</c:f>
            </c:numRef>
          </c:val>
          <c:smooth val="1"/>
        </c:ser>
        <c:axId val="273395132"/>
        <c:axId val="365820896"/>
      </c:lineChart>
      <c:catAx>
        <c:axId val="2733951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V (km/s)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65820896"/>
      </c:catAx>
      <c:valAx>
        <c:axId val="3658208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T_b (K)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73395132"/>
      </c:valAx>
    </c:plotArea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t>T_b Vs. V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TRACE003!$E$13:$E$472</c:f>
            </c:strRef>
          </c:cat>
          <c:val>
            <c:numRef>
              <c:f>TRACE003!$N$13:$N$472</c:f>
            </c:numRef>
          </c:val>
          <c:smooth val="1"/>
        </c:ser>
        <c:axId val="2093985997"/>
        <c:axId val="1129950640"/>
      </c:lineChart>
      <c:catAx>
        <c:axId val="20939859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V (km/s)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29950640"/>
      </c:catAx>
      <c:valAx>
        <c:axId val="11299506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T_b (K)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939859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9525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cat>
            <c:strRef>
              <c:f>TRACE003!$P$13:$P$123</c:f>
            </c:strRef>
          </c:cat>
          <c:val>
            <c:numRef>
              <c:f>TRACE003!$Q$13:$Q$123</c:f>
            </c:numRef>
          </c:val>
          <c:smooth val="1"/>
        </c:ser>
        <c:axId val="168637616"/>
        <c:axId val="1117467778"/>
      </c:lineChart>
      <c:catAx>
        <c:axId val="16863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17467778"/>
      </c:catAx>
      <c:valAx>
        <c:axId val="11174677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86376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t>T_b Vs. V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TRACE004!$E$13:$E$472</c:f>
            </c:strRef>
          </c:cat>
          <c:val>
            <c:numRef>
              <c:f>TRACE004!$N$13:$N$472</c:f>
            </c:numRef>
          </c:val>
          <c:smooth val="1"/>
        </c:ser>
        <c:axId val="1705649401"/>
        <c:axId val="728076616"/>
      </c:lineChart>
      <c:catAx>
        <c:axId val="17056494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V (km/s)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28076616"/>
      </c:catAx>
      <c:valAx>
        <c:axId val="7280766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T_b (K)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056494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9525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cat>
            <c:strRef>
              <c:f>TRACE004!$P$13:$P$123</c:f>
            </c:strRef>
          </c:cat>
          <c:val>
            <c:numRef>
              <c:f>TRACE004!$Q$13:$Q$123</c:f>
            </c:numRef>
          </c:val>
          <c:smooth val="1"/>
        </c:ser>
        <c:axId val="1453743619"/>
        <c:axId val="451310514"/>
      </c:lineChart>
      <c:catAx>
        <c:axId val="14537436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51310514"/>
      </c:catAx>
      <c:valAx>
        <c:axId val="4513105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537436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t>T_b Vs. V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TRACE005!$E$13:$E$472</c:f>
            </c:strRef>
          </c:cat>
          <c:val>
            <c:numRef>
              <c:f>TRACE005!$N$13:$N$472</c:f>
            </c:numRef>
          </c:val>
          <c:smooth val="1"/>
        </c:ser>
        <c:axId val="502303856"/>
        <c:axId val="958216669"/>
      </c:lineChart>
      <c:catAx>
        <c:axId val="50230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V (km/s)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58216669"/>
      </c:catAx>
      <c:valAx>
        <c:axId val="9582166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T_b (K)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023038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9525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cat>
            <c:strRef>
              <c:f>TRACE005!$P$13:$P$123</c:f>
            </c:strRef>
          </c:cat>
          <c:val>
            <c:numRef>
              <c:f>TRACE005!$Q$13:$Q$123</c:f>
            </c:numRef>
          </c:val>
          <c:smooth val="1"/>
        </c:ser>
        <c:axId val="628486679"/>
        <c:axId val="1347524838"/>
      </c:lineChart>
      <c:catAx>
        <c:axId val="6284866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47524838"/>
      </c:catAx>
      <c:valAx>
        <c:axId val="13475248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284866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t>T_b Vs. V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TRACE006!$E$13:$E$472</c:f>
            </c:strRef>
          </c:cat>
          <c:val>
            <c:numRef>
              <c:f>TRACE006!$N$13:$N$472</c:f>
            </c:numRef>
          </c:val>
          <c:smooth val="1"/>
        </c:ser>
        <c:axId val="1390442838"/>
        <c:axId val="1310447085"/>
      </c:lineChart>
      <c:catAx>
        <c:axId val="13904428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V (km/s)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10447085"/>
      </c:catAx>
      <c:valAx>
        <c:axId val="13104470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T_b (K)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904428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9525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cat>
            <c:strRef>
              <c:f>TRACE006!$P$13:$P$123</c:f>
            </c:strRef>
          </c:cat>
          <c:val>
            <c:numRef>
              <c:f>TRACE006!$Q$13:$Q$123</c:f>
            </c:numRef>
          </c:val>
          <c:smooth val="1"/>
        </c:ser>
        <c:axId val="1619556202"/>
        <c:axId val="112177142"/>
      </c:lineChart>
      <c:catAx>
        <c:axId val="16195562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2177142"/>
      </c:catAx>
      <c:valAx>
        <c:axId val="1121771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195562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t>T_b Vs. V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TRACE007!$E$13:$E$472</c:f>
            </c:strRef>
          </c:cat>
          <c:val>
            <c:numRef>
              <c:f>TRACE007!$N$13:$N$472</c:f>
            </c:numRef>
          </c:val>
          <c:smooth val="1"/>
        </c:ser>
        <c:axId val="1158449704"/>
        <c:axId val="1020969305"/>
      </c:lineChart>
      <c:catAx>
        <c:axId val="1158449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V (km/s)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20969305"/>
      </c:catAx>
      <c:valAx>
        <c:axId val="10209693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T_b (K)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584497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9525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cat>
            <c:strRef>
              <c:f>TRACE007!$P$13:$P$123</c:f>
            </c:strRef>
          </c:cat>
          <c:val>
            <c:numRef>
              <c:f>TRACE007!$Q$13:$Q$123</c:f>
            </c:numRef>
          </c:val>
          <c:smooth val="1"/>
        </c:ser>
        <c:axId val="1262854126"/>
        <c:axId val="1904327311"/>
      </c:lineChart>
      <c:catAx>
        <c:axId val="12628541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04327311"/>
      </c:catAx>
      <c:valAx>
        <c:axId val="19043273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628541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t>Tb Vs. V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TRACE008!$E$13:$E$472</c:f>
            </c:strRef>
          </c:cat>
          <c:val>
            <c:numRef>
              <c:f>TRACE008!$N$13:$N$472</c:f>
            </c:numRef>
          </c:val>
          <c:smooth val="1"/>
        </c:ser>
        <c:axId val="2093001377"/>
        <c:axId val="1774693631"/>
      </c:lineChart>
      <c:catAx>
        <c:axId val="20930013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V (km/s)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74693631"/>
      </c:catAx>
      <c:valAx>
        <c:axId val="17746936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T_b (K)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930013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9525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cat>
            <c:strRef>
              <c:f>TRACE008!$P$13:$P$123</c:f>
            </c:strRef>
          </c:cat>
          <c:val>
            <c:numRef>
              <c:f>TRACE008!$Q$13:$Q$123</c:f>
            </c:numRef>
          </c:val>
          <c:smooth val="1"/>
        </c:ser>
        <c:axId val="941847001"/>
        <c:axId val="210835468"/>
      </c:lineChart>
      <c:catAx>
        <c:axId val="941847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0835468"/>
      </c:catAx>
      <c:valAx>
        <c:axId val="210835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418470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TRACE009!$E$13:$E$472</c:f>
            </c:numRef>
          </c:xVal>
          <c:yVal>
            <c:numRef>
              <c:f>TRACE009!$N$13:$N$472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883901"/>
        <c:axId val="1792360052"/>
      </c:scatterChart>
      <c:valAx>
        <c:axId val="196788390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92360052"/>
      </c:valAx>
      <c:valAx>
        <c:axId val="17923600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678839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9525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cat>
            <c:strRef>
              <c:f>TRACE009!$P$13:$P$123</c:f>
            </c:strRef>
          </c:cat>
          <c:val>
            <c:numRef>
              <c:f>TRACE009!$Q$13:$Q$123</c:f>
            </c:numRef>
          </c:val>
          <c:smooth val="1"/>
        </c:ser>
        <c:axId val="1065233482"/>
        <c:axId val="942477198"/>
      </c:lineChart>
      <c:catAx>
        <c:axId val="10652334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42477198"/>
      </c:catAx>
      <c:valAx>
        <c:axId val="9424771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652334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TRACE010!$E$13:$E$472</c:f>
            </c:strRef>
          </c:cat>
          <c:val>
            <c:numRef>
              <c:f>TRACE010!$N$13:$N$472</c:f>
            </c:numRef>
          </c:val>
          <c:smooth val="1"/>
        </c:ser>
        <c:axId val="261802295"/>
        <c:axId val="1191380626"/>
      </c:lineChart>
      <c:catAx>
        <c:axId val="2618022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91380626"/>
      </c:catAx>
      <c:valAx>
        <c:axId val="11913806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618022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9525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cat>
            <c:strRef>
              <c:f>TRACE010!$P$13:$P$123</c:f>
            </c:strRef>
          </c:cat>
          <c:val>
            <c:numRef>
              <c:f>TRACE010!$Q$13:$Q$123</c:f>
            </c:numRef>
          </c:val>
          <c:smooth val="1"/>
        </c:ser>
        <c:axId val="2114011195"/>
        <c:axId val="1879894536"/>
      </c:lineChart>
      <c:catAx>
        <c:axId val="21140111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79894536"/>
      </c:catAx>
      <c:valAx>
        <c:axId val="18798945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140111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TRACE011!$E$13:$E$472</c:f>
            </c:strRef>
          </c:cat>
          <c:val>
            <c:numRef>
              <c:f>TRACE011!$N$13:$N$472</c:f>
            </c:numRef>
          </c:val>
          <c:smooth val="1"/>
        </c:ser>
        <c:axId val="209447251"/>
        <c:axId val="1149692611"/>
      </c:lineChart>
      <c:catAx>
        <c:axId val="2094472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49692611"/>
      </c:catAx>
      <c:valAx>
        <c:axId val="11496926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94472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9525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cat>
            <c:strRef>
              <c:f>TRACE011!$P$13:$P$123</c:f>
            </c:strRef>
          </c:cat>
          <c:val>
            <c:numRef>
              <c:f>TRACE011!$Q$13:$Q$123</c:f>
            </c:numRef>
          </c:val>
          <c:smooth val="1"/>
        </c:ser>
        <c:axId val="1114373524"/>
        <c:axId val="1337599672"/>
      </c:lineChart>
      <c:catAx>
        <c:axId val="11143735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37599672"/>
      </c:catAx>
      <c:valAx>
        <c:axId val="13375996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143735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TRACE012!$E$13:$E$472</c:f>
            </c:strRef>
          </c:cat>
          <c:val>
            <c:numRef>
              <c:f>TRACE012!$N$13:$N$472</c:f>
            </c:numRef>
          </c:val>
          <c:smooth val="1"/>
        </c:ser>
        <c:axId val="1904189472"/>
        <c:axId val="306189464"/>
      </c:lineChart>
      <c:catAx>
        <c:axId val="1904189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06189464"/>
      </c:catAx>
      <c:valAx>
        <c:axId val="3061894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041894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9525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cat>
            <c:strRef>
              <c:f>TRACE012!$P$13:$P$123</c:f>
            </c:strRef>
          </c:cat>
          <c:val>
            <c:numRef>
              <c:f>TRACE012!$Q$13:$Q$123</c:f>
            </c:numRef>
          </c:val>
          <c:smooth val="1"/>
        </c:ser>
        <c:axId val="802061581"/>
        <c:axId val="1543352442"/>
      </c:lineChart>
      <c:catAx>
        <c:axId val="8020615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43352442"/>
      </c:catAx>
      <c:valAx>
        <c:axId val="15433524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020615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TRACE013!$E$13:$E$472</c:f>
            </c:strRef>
          </c:cat>
          <c:val>
            <c:numRef>
              <c:f>TRACE013!$N$13:$N$472</c:f>
            </c:numRef>
          </c:val>
          <c:smooth val="1"/>
        </c:ser>
        <c:axId val="2022910964"/>
        <c:axId val="1779462374"/>
      </c:lineChart>
      <c:catAx>
        <c:axId val="20229109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79462374"/>
      </c:catAx>
      <c:valAx>
        <c:axId val="17794623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2291096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9525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cat>
            <c:strRef>
              <c:f>TRACE013!$P$13:$P$123</c:f>
            </c:strRef>
          </c:cat>
          <c:val>
            <c:numRef>
              <c:f>TRACE013!$Q$13:$Q$123</c:f>
            </c:numRef>
          </c:val>
          <c:smooth val="1"/>
        </c:ser>
        <c:axId val="1901736233"/>
        <c:axId val="139902592"/>
      </c:lineChart>
      <c:catAx>
        <c:axId val="19017362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9902592"/>
      </c:catAx>
      <c:valAx>
        <c:axId val="1399025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017362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TRACE014!$E$13:$E$472</c:f>
            </c:strRef>
          </c:cat>
          <c:val>
            <c:numRef>
              <c:f>TRACE014!$N$13:$N$472</c:f>
            </c:numRef>
          </c:val>
          <c:smooth val="1"/>
        </c:ser>
        <c:axId val="756751050"/>
        <c:axId val="494916331"/>
      </c:lineChart>
      <c:catAx>
        <c:axId val="7567510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94916331"/>
      </c:catAx>
      <c:valAx>
        <c:axId val="4949163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567510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9525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cat>
            <c:strRef>
              <c:f>TRACE014!$P$13:$P$123</c:f>
            </c:strRef>
          </c:cat>
          <c:val>
            <c:numRef>
              <c:f>TRACE014!$Q$13:$Q$123</c:f>
            </c:numRef>
          </c:val>
          <c:smooth val="1"/>
        </c:ser>
        <c:axId val="1994815415"/>
        <c:axId val="358028643"/>
      </c:lineChart>
      <c:catAx>
        <c:axId val="19948154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58028643"/>
      </c:catAx>
      <c:valAx>
        <c:axId val="3580286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948154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TRACE015!$E$13:$E$472</c:f>
            </c:strRef>
          </c:cat>
          <c:val>
            <c:numRef>
              <c:f>TRACE015!$N$13:$N$472</c:f>
            </c:numRef>
          </c:val>
          <c:smooth val="1"/>
        </c:ser>
        <c:axId val="1423919389"/>
        <c:axId val="1961438316"/>
      </c:lineChart>
      <c:catAx>
        <c:axId val="14239193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61438316"/>
      </c:catAx>
      <c:valAx>
        <c:axId val="19614383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239193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9525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cat>
            <c:strRef>
              <c:f>TRACE015!$P$13:$P$123</c:f>
            </c:strRef>
          </c:cat>
          <c:val>
            <c:numRef>
              <c:f>TRACE015!$Q$13:$Q$123</c:f>
            </c:numRef>
          </c:val>
          <c:smooth val="1"/>
        </c:ser>
        <c:axId val="1287916069"/>
        <c:axId val="601445335"/>
      </c:lineChart>
      <c:catAx>
        <c:axId val="12879160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01445335"/>
      </c:catAx>
      <c:valAx>
        <c:axId val="6014453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879160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TRACE016!$E$13:$E$472</c:f>
            </c:strRef>
          </c:cat>
          <c:val>
            <c:numRef>
              <c:f>TRACE016!$N$13:$N$472</c:f>
            </c:numRef>
          </c:val>
          <c:smooth val="1"/>
        </c:ser>
        <c:axId val="1890937099"/>
        <c:axId val="1624839649"/>
      </c:lineChart>
      <c:catAx>
        <c:axId val="18909370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24839649"/>
      </c:catAx>
      <c:valAx>
        <c:axId val="16248396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909370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9525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cat>
            <c:strRef>
              <c:f>TRACE016!$P$13:$P$123</c:f>
            </c:strRef>
          </c:cat>
          <c:val>
            <c:numRef>
              <c:f>TRACE016!$Q$13:$Q$123</c:f>
            </c:numRef>
          </c:val>
          <c:smooth val="1"/>
        </c:ser>
        <c:axId val="1730463928"/>
        <c:axId val="1720820619"/>
      </c:lineChart>
      <c:catAx>
        <c:axId val="1730463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20820619"/>
      </c:catAx>
      <c:valAx>
        <c:axId val="17208206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304639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TRACE017!$E$13:$E$472</c:f>
            </c:strRef>
          </c:cat>
          <c:val>
            <c:numRef>
              <c:f>TRACE017!$N$13:$N$472</c:f>
            </c:numRef>
          </c:val>
          <c:smooth val="1"/>
        </c:ser>
        <c:axId val="1683570233"/>
        <c:axId val="1791135621"/>
      </c:lineChart>
      <c:catAx>
        <c:axId val="16835702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91135621"/>
      </c:catAx>
      <c:valAx>
        <c:axId val="17911356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835702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9525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cat>
            <c:strRef>
              <c:f>TRACE017!$P$13:$P$123</c:f>
            </c:strRef>
          </c:cat>
          <c:val>
            <c:numRef>
              <c:f>TRACE017!$Q$13:$Q$123</c:f>
            </c:numRef>
          </c:val>
          <c:smooth val="1"/>
        </c:ser>
        <c:axId val="1036692646"/>
        <c:axId val="1859241831"/>
      </c:lineChart>
      <c:catAx>
        <c:axId val="10366926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59241831"/>
      </c:catAx>
      <c:valAx>
        <c:axId val="18592418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366926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TRACE018!$E$13:$E$472</c:f>
            </c:strRef>
          </c:cat>
          <c:val>
            <c:numRef>
              <c:f>TRACE018!$N$13:$N$472</c:f>
            </c:numRef>
          </c:val>
          <c:smooth val="1"/>
        </c:ser>
        <c:axId val="986531567"/>
        <c:axId val="29157169"/>
      </c:lineChart>
      <c:catAx>
        <c:axId val="986531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9157169"/>
      </c:catAx>
      <c:valAx>
        <c:axId val="291571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865315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9525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cat>
            <c:strRef>
              <c:f>TRACE018!$P$13:$P$123</c:f>
            </c:strRef>
          </c:cat>
          <c:val>
            <c:numRef>
              <c:f>TRACE018!$Q$13:$Q$123</c:f>
            </c:numRef>
          </c:val>
          <c:smooth val="1"/>
        </c:ser>
        <c:axId val="754310107"/>
        <c:axId val="1793244855"/>
      </c:lineChart>
      <c:catAx>
        <c:axId val="7543101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93244855"/>
      </c:catAx>
      <c:valAx>
        <c:axId val="17932448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543101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TRACE019!$E$13:$E$472</c:f>
            </c:strRef>
          </c:cat>
          <c:val>
            <c:numRef>
              <c:f>TRACE019!$N$13:$N$472</c:f>
            </c:numRef>
          </c:val>
          <c:smooth val="1"/>
        </c:ser>
        <c:axId val="2035681138"/>
        <c:axId val="727783806"/>
      </c:lineChart>
      <c:catAx>
        <c:axId val="20356811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27783806"/>
      </c:catAx>
      <c:valAx>
        <c:axId val="7277838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356811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9525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cat>
            <c:strRef>
              <c:f>TRACE019!$P$13:$P$123</c:f>
            </c:strRef>
          </c:cat>
          <c:val>
            <c:numRef>
              <c:f>TRACE019!$Q$13:$Q$123</c:f>
            </c:numRef>
          </c:val>
          <c:smooth val="1"/>
        </c:ser>
        <c:axId val="226295696"/>
        <c:axId val="879303439"/>
      </c:lineChart>
      <c:catAx>
        <c:axId val="226295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79303439"/>
      </c:catAx>
      <c:valAx>
        <c:axId val="8793034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262956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t>t1, t2, t3, t4, t5…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Sheet3!$E$1</c:f>
            </c:strRef>
          </c:tx>
          <c:spPr>
            <a:ln cmpd="sng" w="9525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Sheet3!$D$2:$D$462</c:f>
            </c:strRef>
          </c:cat>
          <c:val>
            <c:numRef>
              <c:f>Sheet3!$E$2:$E$462</c:f>
            </c:numRef>
          </c:val>
          <c:smooth val="1"/>
        </c:ser>
        <c:ser>
          <c:idx val="1"/>
          <c:order val="1"/>
          <c:tx>
            <c:strRef>
              <c:f>Sheet3!$F$1</c:f>
            </c:strRef>
          </c:tx>
          <c:spPr>
            <a:ln cmpd="sng" w="9525">
              <a:solidFill>
                <a:srgbClr val="DB4437"/>
              </a:solidFill>
            </a:ln>
          </c:spPr>
          <c:marker>
            <c:symbol val="none"/>
          </c:marker>
          <c:cat>
            <c:strRef>
              <c:f>Sheet3!$D$2:$D$462</c:f>
            </c:strRef>
          </c:cat>
          <c:val>
            <c:numRef>
              <c:f>Sheet3!$F$2:$F$462</c:f>
            </c:numRef>
          </c:val>
          <c:smooth val="1"/>
        </c:ser>
        <c:ser>
          <c:idx val="2"/>
          <c:order val="2"/>
          <c:tx>
            <c:strRef>
              <c:f>Sheet3!$G$1</c:f>
            </c:strRef>
          </c:tx>
          <c:spPr>
            <a:ln cmpd="sng" w="9525">
              <a:solidFill>
                <a:srgbClr val="F4B400"/>
              </a:solidFill>
            </a:ln>
          </c:spPr>
          <c:marker>
            <c:symbol val="none"/>
          </c:marker>
          <c:cat>
            <c:strRef>
              <c:f>Sheet3!$D$2:$D$462</c:f>
            </c:strRef>
          </c:cat>
          <c:val>
            <c:numRef>
              <c:f>Sheet3!$G$2:$G$462</c:f>
            </c:numRef>
          </c:val>
          <c:smooth val="1"/>
        </c:ser>
        <c:ser>
          <c:idx val="3"/>
          <c:order val="3"/>
          <c:tx>
            <c:strRef>
              <c:f>Sheet3!$H$1</c:f>
            </c:strRef>
          </c:tx>
          <c:spPr>
            <a:ln cmpd="sng" w="9525">
              <a:solidFill>
                <a:srgbClr val="0F9D58"/>
              </a:solidFill>
            </a:ln>
          </c:spPr>
          <c:marker>
            <c:symbol val="none"/>
          </c:marker>
          <c:cat>
            <c:strRef>
              <c:f>Sheet3!$D$2:$D$462</c:f>
            </c:strRef>
          </c:cat>
          <c:val>
            <c:numRef>
              <c:f>Sheet3!$H$2:$H$462</c:f>
            </c:numRef>
          </c:val>
          <c:smooth val="1"/>
        </c:ser>
        <c:ser>
          <c:idx val="4"/>
          <c:order val="4"/>
          <c:tx>
            <c:strRef>
              <c:f>Sheet3!$I$1</c:f>
            </c:strRef>
          </c:tx>
          <c:spPr>
            <a:ln cmpd="sng" w="9525">
              <a:solidFill>
                <a:srgbClr val="FF6D00"/>
              </a:solidFill>
            </a:ln>
          </c:spPr>
          <c:marker>
            <c:symbol val="none"/>
          </c:marker>
          <c:cat>
            <c:strRef>
              <c:f>Sheet3!$D$2:$D$462</c:f>
            </c:strRef>
          </c:cat>
          <c:val>
            <c:numRef>
              <c:f>Sheet3!$I$2:$I$462</c:f>
            </c:numRef>
          </c:val>
          <c:smooth val="1"/>
        </c:ser>
        <c:ser>
          <c:idx val="5"/>
          <c:order val="5"/>
          <c:tx>
            <c:strRef>
              <c:f>Sheet3!$J$1</c:f>
            </c:strRef>
          </c:tx>
          <c:spPr>
            <a:ln cmpd="sng" w="9525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Sheet3!$D$2:$D$462</c:f>
            </c:strRef>
          </c:cat>
          <c:val>
            <c:numRef>
              <c:f>Sheet3!$J$2:$J$462</c:f>
            </c:numRef>
          </c:val>
          <c:smooth val="1"/>
        </c:ser>
        <c:ser>
          <c:idx val="6"/>
          <c:order val="6"/>
          <c:tx>
            <c:strRef>
              <c:f>Sheet3!$K$1</c:f>
            </c:strRef>
          </c:tx>
          <c:spPr>
            <a:ln cmpd="sng" w="9525">
              <a:solidFill>
                <a:srgbClr val="AB30C4"/>
              </a:solidFill>
            </a:ln>
          </c:spPr>
          <c:marker>
            <c:symbol val="none"/>
          </c:marker>
          <c:cat>
            <c:strRef>
              <c:f>Sheet3!$D$2:$D$462</c:f>
            </c:strRef>
          </c:cat>
          <c:val>
            <c:numRef>
              <c:f>Sheet3!$K$2:$K$462</c:f>
            </c:numRef>
          </c:val>
          <c:smooth val="1"/>
        </c:ser>
        <c:ser>
          <c:idx val="7"/>
          <c:order val="7"/>
          <c:tx>
            <c:strRef>
              <c:f>Sheet3!$L$1</c:f>
            </c:strRef>
          </c:tx>
          <c:spPr>
            <a:ln cmpd="sng" w="9525">
              <a:solidFill>
                <a:srgbClr val="C1BC1F"/>
              </a:solidFill>
            </a:ln>
          </c:spPr>
          <c:marker>
            <c:symbol val="none"/>
          </c:marker>
          <c:cat>
            <c:strRef>
              <c:f>Sheet3!$D$2:$D$462</c:f>
            </c:strRef>
          </c:cat>
          <c:val>
            <c:numRef>
              <c:f>Sheet3!$L$2:$L$462</c:f>
            </c:numRef>
          </c:val>
          <c:smooth val="1"/>
        </c:ser>
        <c:ser>
          <c:idx val="8"/>
          <c:order val="8"/>
          <c:tx>
            <c:strRef>
              <c:f>Sheet3!$M$1</c:f>
            </c:strRef>
          </c:tx>
          <c:spPr>
            <a:ln cmpd="sng" w="9525">
              <a:solidFill>
                <a:srgbClr val="3949AB"/>
              </a:solidFill>
            </a:ln>
          </c:spPr>
          <c:marker>
            <c:symbol val="none"/>
          </c:marker>
          <c:cat>
            <c:strRef>
              <c:f>Sheet3!$D$2:$D$462</c:f>
            </c:strRef>
          </c:cat>
          <c:val>
            <c:numRef>
              <c:f>Sheet3!$M$2:$M$462</c:f>
            </c:numRef>
          </c:val>
          <c:smooth val="1"/>
        </c:ser>
        <c:ser>
          <c:idx val="9"/>
          <c:order val="9"/>
          <c:tx>
            <c:strRef>
              <c:f>Sheet3!$N$1</c:f>
            </c:strRef>
          </c:tx>
          <c:spPr>
            <a:ln cmpd="sng" w="9525">
              <a:solidFill>
                <a:srgbClr val="F975A8"/>
              </a:solidFill>
            </a:ln>
          </c:spPr>
          <c:marker>
            <c:symbol val="none"/>
          </c:marker>
          <c:cat>
            <c:strRef>
              <c:f>Sheet3!$D$2:$D$462</c:f>
            </c:strRef>
          </c:cat>
          <c:val>
            <c:numRef>
              <c:f>Sheet3!$N$2:$N$462</c:f>
            </c:numRef>
          </c:val>
          <c:smooth val="1"/>
        </c:ser>
        <c:ser>
          <c:idx val="10"/>
          <c:order val="10"/>
          <c:tx>
            <c:strRef>
              <c:f>Sheet3!$O$1</c:f>
            </c:strRef>
          </c:tx>
          <c:spPr>
            <a:ln cmpd="sng" w="9525">
              <a:solidFill>
                <a:srgbClr val="00695C"/>
              </a:solidFill>
            </a:ln>
          </c:spPr>
          <c:marker>
            <c:symbol val="none"/>
          </c:marker>
          <c:cat>
            <c:strRef>
              <c:f>Sheet3!$D$2:$D$462</c:f>
            </c:strRef>
          </c:cat>
          <c:val>
            <c:numRef>
              <c:f>Sheet3!$O$2:$O$462</c:f>
            </c:numRef>
          </c:val>
          <c:smooth val="1"/>
        </c:ser>
        <c:ser>
          <c:idx val="11"/>
          <c:order val="11"/>
          <c:tx>
            <c:strRef>
              <c:f>Sheet3!$P$1</c:f>
            </c:strRef>
          </c:tx>
          <c:spPr>
            <a:ln cmpd="sng" w="9525">
              <a:solidFill>
                <a:srgbClr val="C2185B"/>
              </a:solidFill>
            </a:ln>
          </c:spPr>
          <c:marker>
            <c:symbol val="none"/>
          </c:marker>
          <c:cat>
            <c:strRef>
              <c:f>Sheet3!$D$2:$D$462</c:f>
            </c:strRef>
          </c:cat>
          <c:val>
            <c:numRef>
              <c:f>Sheet3!$P$2:$P$462</c:f>
            </c:numRef>
          </c:val>
          <c:smooth val="1"/>
        </c:ser>
        <c:ser>
          <c:idx val="12"/>
          <c:order val="12"/>
          <c:tx>
            <c:strRef>
              <c:f>Sheet3!$Q$1</c:f>
            </c:strRef>
          </c:tx>
          <c:spPr>
            <a:ln cmpd="sng" w="9525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Sheet3!$D$2:$D$462</c:f>
            </c:strRef>
          </c:cat>
          <c:val>
            <c:numRef>
              <c:f>Sheet3!$Q$2:$Q$462</c:f>
            </c:numRef>
          </c:val>
          <c:smooth val="1"/>
        </c:ser>
        <c:ser>
          <c:idx val="13"/>
          <c:order val="13"/>
          <c:tx>
            <c:strRef>
              <c:f>Sheet3!$R$1</c:f>
            </c:strRef>
          </c:tx>
          <c:spPr>
            <a:ln cmpd="sng" w="9525">
              <a:solidFill>
                <a:srgbClr val="DB4437"/>
              </a:solidFill>
            </a:ln>
          </c:spPr>
          <c:marker>
            <c:symbol val="none"/>
          </c:marker>
          <c:cat>
            <c:strRef>
              <c:f>Sheet3!$D$2:$D$462</c:f>
            </c:strRef>
          </c:cat>
          <c:val>
            <c:numRef>
              <c:f>Sheet3!$R$2:$R$462</c:f>
            </c:numRef>
          </c:val>
          <c:smooth val="1"/>
        </c:ser>
        <c:ser>
          <c:idx val="14"/>
          <c:order val="14"/>
          <c:tx>
            <c:strRef>
              <c:f>Sheet3!$S$1</c:f>
            </c:strRef>
          </c:tx>
          <c:spPr>
            <a:ln cmpd="sng" w="9525">
              <a:solidFill>
                <a:srgbClr val="F4B400"/>
              </a:solidFill>
            </a:ln>
          </c:spPr>
          <c:marker>
            <c:symbol val="none"/>
          </c:marker>
          <c:cat>
            <c:strRef>
              <c:f>Sheet3!$D$2:$D$462</c:f>
            </c:strRef>
          </c:cat>
          <c:val>
            <c:numRef>
              <c:f>Sheet3!$S$2:$S$462</c:f>
            </c:numRef>
          </c:val>
          <c:smooth val="1"/>
        </c:ser>
        <c:ser>
          <c:idx val="15"/>
          <c:order val="15"/>
          <c:tx>
            <c:strRef>
              <c:f>Sheet3!$T$1</c:f>
            </c:strRef>
          </c:tx>
          <c:spPr>
            <a:ln cmpd="sng" w="9525">
              <a:solidFill>
                <a:srgbClr val="0F9D58"/>
              </a:solidFill>
            </a:ln>
          </c:spPr>
          <c:marker>
            <c:symbol val="none"/>
          </c:marker>
          <c:cat>
            <c:strRef>
              <c:f>Sheet3!$D$2:$D$462</c:f>
            </c:strRef>
          </c:cat>
          <c:val>
            <c:numRef>
              <c:f>Sheet3!$T$2:$T$462</c:f>
            </c:numRef>
          </c:val>
          <c:smooth val="1"/>
        </c:ser>
        <c:ser>
          <c:idx val="16"/>
          <c:order val="16"/>
          <c:tx>
            <c:strRef>
              <c:f>Sheet3!$U$1</c:f>
            </c:strRef>
          </c:tx>
          <c:spPr>
            <a:ln cmpd="sng" w="9525">
              <a:solidFill>
                <a:srgbClr val="FF6D00"/>
              </a:solidFill>
            </a:ln>
          </c:spPr>
          <c:marker>
            <c:symbol val="none"/>
          </c:marker>
          <c:cat>
            <c:strRef>
              <c:f>Sheet3!$D$2:$D$462</c:f>
            </c:strRef>
          </c:cat>
          <c:val>
            <c:numRef>
              <c:f>Sheet3!$U$2:$U$462</c:f>
            </c:numRef>
          </c:val>
          <c:smooth val="1"/>
        </c:ser>
        <c:ser>
          <c:idx val="17"/>
          <c:order val="17"/>
          <c:tx>
            <c:strRef>
              <c:f>Sheet3!$V$1</c:f>
            </c:strRef>
          </c:tx>
          <c:spPr>
            <a:ln cmpd="sng" w="9525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Sheet3!$D$2:$D$462</c:f>
            </c:strRef>
          </c:cat>
          <c:val>
            <c:numRef>
              <c:f>Sheet3!$V$2:$V$462</c:f>
            </c:numRef>
          </c:val>
          <c:smooth val="1"/>
        </c:ser>
        <c:ser>
          <c:idx val="18"/>
          <c:order val="18"/>
          <c:tx>
            <c:strRef>
              <c:f>Sheet3!$W$1</c:f>
            </c:strRef>
          </c:tx>
          <c:spPr>
            <a:ln cmpd="sng" w="9525">
              <a:solidFill>
                <a:srgbClr val="AB30C4"/>
              </a:solidFill>
            </a:ln>
          </c:spPr>
          <c:marker>
            <c:symbol val="none"/>
          </c:marker>
          <c:cat>
            <c:strRef>
              <c:f>Sheet3!$D$2:$D$462</c:f>
            </c:strRef>
          </c:cat>
          <c:val>
            <c:numRef>
              <c:f>Sheet3!$W$2:$W$462</c:f>
            </c:numRef>
          </c:val>
          <c:smooth val="1"/>
        </c:ser>
        <c:ser>
          <c:idx val="19"/>
          <c:order val="19"/>
          <c:tx>
            <c:strRef>
              <c:f>Sheet3!$X$1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Sheet3!$X$2:$X$462</c:f>
            </c:numRef>
          </c:val>
          <c:smooth val="1"/>
        </c:ser>
        <c:ser>
          <c:idx val="20"/>
          <c:order val="20"/>
          <c:tx>
            <c:strRef>
              <c:f>Sheet3!$Y$1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Sheet3!$Y$2:$Y$462</c:f>
            </c:numRef>
          </c:val>
          <c:smooth val="1"/>
        </c:ser>
        <c:ser>
          <c:idx val="21"/>
          <c:order val="21"/>
          <c:tx>
            <c:strRef>
              <c:f>Sheet3!$Z$1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Sheet3!$Z$2:$Z$462</c:f>
            </c:numRef>
          </c:val>
          <c:smooth val="1"/>
        </c:ser>
        <c:ser>
          <c:idx val="22"/>
          <c:order val="22"/>
          <c:tx>
            <c:strRef>
              <c:f>Sheet3!$AA$1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Sheet3!$AA$2:$AA$462</c:f>
            </c:numRef>
          </c:val>
          <c:smooth val="1"/>
        </c:ser>
        <c:ser>
          <c:idx val="23"/>
          <c:order val="23"/>
          <c:tx>
            <c:strRef>
              <c:f>Sheet3!$AB$1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Sheet3!$AB$2:$AB$462</c:f>
            </c:numRef>
          </c:val>
          <c:smooth val="1"/>
        </c:ser>
        <c:ser>
          <c:idx val="24"/>
          <c:order val="24"/>
          <c:tx>
            <c:strRef>
              <c:f>Sheet3!$AC$1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Sheet3!$AC$2:$AC$462</c:f>
            </c:numRef>
          </c:val>
          <c:smooth val="1"/>
        </c:ser>
        <c:ser>
          <c:idx val="25"/>
          <c:order val="25"/>
          <c:tx>
            <c:strRef>
              <c:f>Sheet3!$AD$1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Sheet3!$AD$2:$AD$462</c:f>
            </c:numRef>
          </c:val>
          <c:smooth val="1"/>
        </c:ser>
        <c:ser>
          <c:idx val="26"/>
          <c:order val="26"/>
          <c:tx>
            <c:strRef>
              <c:f>Sheet3!$AE$1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Sheet3!$AE$2:$AE$462</c:f>
            </c:numRef>
          </c:val>
          <c:smooth val="1"/>
        </c:ser>
        <c:ser>
          <c:idx val="27"/>
          <c:order val="27"/>
          <c:tx>
            <c:strRef>
              <c:f>Sheet3!$AF$1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Sheet3!$AF$2:$AF$462</c:f>
            </c:numRef>
          </c:val>
          <c:smooth val="1"/>
        </c:ser>
        <c:ser>
          <c:idx val="28"/>
          <c:order val="28"/>
          <c:tx>
            <c:strRef>
              <c:f>Sheet3!$AG$1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Sheet3!$AG$2:$AG$462</c:f>
            </c:numRef>
          </c:val>
          <c:smooth val="1"/>
        </c:ser>
        <c:ser>
          <c:idx val="29"/>
          <c:order val="29"/>
          <c:tx>
            <c:strRef>
              <c:f>Sheet3!$AH$1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Sheet3!$AH$2:$AH$462</c:f>
            </c:numRef>
          </c:val>
          <c:smooth val="1"/>
        </c:ser>
        <c:ser>
          <c:idx val="30"/>
          <c:order val="30"/>
          <c:tx>
            <c:strRef>
              <c:f>Sheet3!$AI$1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Sheet3!$AI$2:$AI$462</c:f>
            </c:numRef>
          </c:val>
          <c:smooth val="1"/>
        </c:ser>
        <c:ser>
          <c:idx val="31"/>
          <c:order val="31"/>
          <c:tx>
            <c:strRef>
              <c:f>Sheet3!$AJ$1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Sheet3!$AJ$2:$AJ$462</c:f>
            </c:numRef>
          </c:val>
          <c:smooth val="1"/>
        </c:ser>
        <c:ser>
          <c:idx val="32"/>
          <c:order val="32"/>
          <c:tx>
            <c:strRef>
              <c:f>Sheet3!$AK$1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Sheet3!$AK$2:$AK$462</c:f>
            </c:numRef>
          </c:val>
          <c:smooth val="1"/>
        </c:ser>
        <c:ser>
          <c:idx val="33"/>
          <c:order val="33"/>
          <c:tx>
            <c:strRef>
              <c:f>Sheet3!$AL$1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Sheet3!$AL$2:$AL$462</c:f>
            </c:numRef>
          </c:val>
          <c:smooth val="1"/>
        </c:ser>
        <c:ser>
          <c:idx val="34"/>
          <c:order val="34"/>
          <c:tx>
            <c:strRef>
              <c:f>Sheet3!$AM$1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Sheet3!$AM$2:$AM$462</c:f>
            </c:numRef>
          </c:val>
          <c:smooth val="1"/>
        </c:ser>
        <c:ser>
          <c:idx val="35"/>
          <c:order val="35"/>
          <c:tx>
            <c:strRef>
              <c:f>Sheet3!$AN$1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Sheet3!$AN$2:$AN$462</c:f>
            </c:numRef>
          </c:val>
          <c:smooth val="1"/>
        </c:ser>
        <c:ser>
          <c:idx val="36"/>
          <c:order val="36"/>
          <c:tx>
            <c:strRef>
              <c:f>Sheet3!$AO$1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Sheet3!$AO$2:$AO$462</c:f>
            </c:numRef>
          </c:val>
          <c:smooth val="1"/>
        </c:ser>
        <c:ser>
          <c:idx val="37"/>
          <c:order val="37"/>
          <c:tx>
            <c:strRef>
              <c:f>Sheet3!$AP$1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Sheet3!$AP$2:$AP$462</c:f>
            </c:numRef>
          </c:val>
          <c:smooth val="1"/>
        </c:ser>
        <c:ser>
          <c:idx val="38"/>
          <c:order val="38"/>
          <c:tx>
            <c:strRef>
              <c:f>Sheet3!$AQ$1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Sheet3!$AQ$2:$AQ$462</c:f>
            </c:numRef>
          </c:val>
          <c:smooth val="1"/>
        </c:ser>
        <c:ser>
          <c:idx val="39"/>
          <c:order val="39"/>
          <c:tx>
            <c:strRef>
              <c:f>Sheet3!$AR$1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Sheet3!$AR$2:$AR$462</c:f>
            </c:numRef>
          </c:val>
          <c:smooth val="1"/>
        </c:ser>
        <c:ser>
          <c:idx val="40"/>
          <c:order val="40"/>
          <c:tx>
            <c:strRef>
              <c:f>Sheet3!$AS$1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Sheet3!$AS$2:$AS$462</c:f>
            </c:numRef>
          </c:val>
          <c:smooth val="1"/>
        </c:ser>
        <c:ser>
          <c:idx val="41"/>
          <c:order val="41"/>
          <c:tx>
            <c:strRef>
              <c:f>Sheet3!$AT$1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Sheet3!$AT$2:$AT$462</c:f>
            </c:numRef>
          </c:val>
          <c:smooth val="1"/>
        </c:ser>
        <c:ser>
          <c:idx val="42"/>
          <c:order val="42"/>
          <c:tx>
            <c:strRef>
              <c:f>Sheet3!$AU$1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Sheet3!$AU$2:$AU$462</c:f>
            </c:numRef>
          </c:val>
          <c:smooth val="1"/>
        </c:ser>
        <c:ser>
          <c:idx val="43"/>
          <c:order val="43"/>
          <c:tx>
            <c:strRef>
              <c:f>Sheet3!$AV$1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Sheet3!$AV$2:$AV$462</c:f>
            </c:numRef>
          </c:val>
          <c:smooth val="1"/>
        </c:ser>
        <c:ser>
          <c:idx val="44"/>
          <c:order val="44"/>
          <c:tx>
            <c:strRef>
              <c:f>Sheet3!$AW$1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Sheet3!$AW$2:$AW$462</c:f>
            </c:numRef>
          </c:val>
          <c:smooth val="1"/>
        </c:ser>
        <c:ser>
          <c:idx val="45"/>
          <c:order val="45"/>
          <c:tx>
            <c:strRef>
              <c:f>Sheet3!$AX$1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Sheet3!$AX$2:$AX$462</c:f>
            </c:numRef>
          </c:val>
          <c:smooth val="1"/>
        </c:ser>
        <c:ser>
          <c:idx val="46"/>
          <c:order val="46"/>
          <c:tx>
            <c:strRef>
              <c:f>Sheet3!$AY$1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Sheet3!$AY$2:$AY$462</c:f>
            </c:numRef>
          </c:val>
          <c:smooth val="1"/>
        </c:ser>
        <c:ser>
          <c:idx val="47"/>
          <c:order val="47"/>
          <c:tx>
            <c:strRef>
              <c:f>Sheet3!$AZ$1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Sheet3!$AZ$2:$AZ$462</c:f>
            </c:numRef>
          </c:val>
          <c:smooth val="1"/>
        </c:ser>
        <c:ser>
          <c:idx val="48"/>
          <c:order val="48"/>
          <c:tx>
            <c:strRef>
              <c:f>Sheet3!$BA$1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Sheet3!$BA$2:$BA$462</c:f>
            </c:numRef>
          </c:val>
          <c:smooth val="1"/>
        </c:ser>
        <c:ser>
          <c:idx val="49"/>
          <c:order val="49"/>
          <c:tx>
            <c:strRef>
              <c:f>Sheet3!$BB$1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Sheet3!$BB$2:$BB$462</c:f>
            </c:numRef>
          </c:val>
          <c:smooth val="1"/>
        </c:ser>
        <c:ser>
          <c:idx val="50"/>
          <c:order val="50"/>
          <c:tx>
            <c:strRef>
              <c:f>Sheet3!$BC$1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Sheet3!$BC$2:$BC$462</c:f>
            </c:numRef>
          </c:val>
          <c:smooth val="1"/>
        </c:ser>
        <c:ser>
          <c:idx val="51"/>
          <c:order val="51"/>
          <c:tx>
            <c:strRef>
              <c:f>Sheet3!$BD$1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Sheet3!$BD$2:$BD$462</c:f>
            </c:numRef>
          </c:val>
          <c:smooth val="1"/>
        </c:ser>
        <c:ser>
          <c:idx val="52"/>
          <c:order val="52"/>
          <c:tx>
            <c:strRef>
              <c:f>Sheet3!$BE$1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Sheet3!$BE$2:$BE$462</c:f>
            </c:numRef>
          </c:val>
          <c:smooth val="1"/>
        </c:ser>
        <c:ser>
          <c:idx val="53"/>
          <c:order val="53"/>
          <c:tx>
            <c:strRef>
              <c:f>Sheet3!$BF$1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Sheet3!$BF$2:$BF$462</c:f>
            </c:numRef>
          </c:val>
          <c:smooth val="1"/>
        </c:ser>
        <c:ser>
          <c:idx val="54"/>
          <c:order val="54"/>
          <c:tx>
            <c:strRef>
              <c:f>Sheet3!$BG$1</c:f>
            </c:strRef>
          </c:tx>
          <c:marker>
            <c:symbol val="none"/>
          </c:marker>
          <c:cat>
            <c:strRef>
              <c:f>Sheet3!$D$2:$D$462</c:f>
            </c:strRef>
          </c:cat>
          <c:val>
            <c:numRef>
              <c:f>Sheet3!$BG$2:$BG$462</c:f>
            </c:numRef>
          </c:val>
          <c:smooth val="1"/>
        </c:ser>
        <c:axId val="773712652"/>
        <c:axId val="1614119355"/>
      </c:lineChart>
      <c:catAx>
        <c:axId val="7737126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14119355"/>
      </c:catAx>
      <c:valAx>
        <c:axId val="16141193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737126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1.xml"/><Relationship Id="rId2" Type="http://schemas.openxmlformats.org/officeDocument/2006/relationships/chart" Target="../charts/chart32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5.xml"/><Relationship Id="rId2" Type="http://schemas.openxmlformats.org/officeDocument/2006/relationships/chart" Target="../charts/chart36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533400</xdr:colOff>
      <xdr:row>15</xdr:row>
      <xdr:rowOff>190500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19</xdr:col>
      <xdr:colOff>533400</xdr:colOff>
      <xdr:row>34</xdr:row>
      <xdr:rowOff>123825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523875</xdr:colOff>
      <xdr:row>32</xdr:row>
      <xdr:rowOff>180975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19</xdr:col>
      <xdr:colOff>552450</xdr:colOff>
      <xdr:row>14</xdr:row>
      <xdr:rowOff>123825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47625</xdr:colOff>
      <xdr:row>15</xdr:row>
      <xdr:rowOff>152400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0</xdr:colOff>
      <xdr:row>33</xdr:row>
      <xdr:rowOff>123825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57150</xdr:colOff>
      <xdr:row>15</xdr:row>
      <xdr:rowOff>171450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0</xdr:colOff>
      <xdr:row>35</xdr:row>
      <xdr:rowOff>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0</xdr:colOff>
      <xdr:row>17</xdr:row>
      <xdr:rowOff>0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0</xdr:colOff>
      <xdr:row>36</xdr:row>
      <xdr:rowOff>0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695325</xdr:colOff>
      <xdr:row>14</xdr:row>
      <xdr:rowOff>171450</xdr:rowOff>
    </xdr:from>
    <xdr:ext cx="5715000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0</xdr:colOff>
      <xdr:row>33</xdr:row>
      <xdr:rowOff>0</xdr:rowOff>
    </xdr:from>
    <xdr:ext cx="57150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885825</xdr:colOff>
      <xdr:row>14</xdr:row>
      <xdr:rowOff>19050</xdr:rowOff>
    </xdr:from>
    <xdr:ext cx="5715000" cy="35337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0</xdr:colOff>
      <xdr:row>34</xdr:row>
      <xdr:rowOff>0</xdr:rowOff>
    </xdr:from>
    <xdr:ext cx="5715000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771525</xdr:colOff>
      <xdr:row>15</xdr:row>
      <xdr:rowOff>57150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19</xdr:col>
      <xdr:colOff>752475</xdr:colOff>
      <xdr:row>33</xdr:row>
      <xdr:rowOff>200025</xdr:rowOff>
    </xdr:from>
    <xdr:ext cx="571500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866775</xdr:colOff>
      <xdr:row>15</xdr:row>
      <xdr:rowOff>114300</xdr:rowOff>
    </xdr:from>
    <xdr:ext cx="5591175" cy="34575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19</xdr:col>
      <xdr:colOff>781050</xdr:colOff>
      <xdr:row>34</xdr:row>
      <xdr:rowOff>171450</xdr:rowOff>
    </xdr:from>
    <xdr:ext cx="5715000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57150</xdr:colOff>
      <xdr:row>16</xdr:row>
      <xdr:rowOff>19050</xdr:rowOff>
    </xdr:from>
    <xdr:ext cx="5715000" cy="35337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0</xdr:colOff>
      <xdr:row>35</xdr:row>
      <xdr:rowOff>0</xdr:rowOff>
    </xdr:from>
    <xdr:ext cx="5715000" cy="353377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0</xdr:colOff>
      <xdr:row>14</xdr:row>
      <xdr:rowOff>0</xdr:rowOff>
    </xdr:from>
    <xdr:ext cx="5715000" cy="353377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0</xdr:colOff>
      <xdr:row>32</xdr:row>
      <xdr:rowOff>0</xdr:rowOff>
    </xdr:from>
    <xdr:ext cx="5715000" cy="353377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342900</xdr:colOff>
      <xdr:row>15</xdr:row>
      <xdr:rowOff>114300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19</xdr:col>
      <xdr:colOff>361950</xdr:colOff>
      <xdr:row>34</xdr:row>
      <xdr:rowOff>19050</xdr:rowOff>
    </xdr:from>
    <xdr:ext cx="5715000" cy="3533775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57150</xdr:colOff>
      <xdr:row>16</xdr:row>
      <xdr:rowOff>66675</xdr:rowOff>
    </xdr:from>
    <xdr:ext cx="5715000" cy="3533775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0</xdr:colOff>
      <xdr:row>36</xdr:row>
      <xdr:rowOff>0</xdr:rowOff>
    </xdr:from>
    <xdr:ext cx="5715000" cy="353377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57150</xdr:colOff>
      <xdr:row>14</xdr:row>
      <xdr:rowOff>171450</xdr:rowOff>
    </xdr:from>
    <xdr:ext cx="5715000" cy="353377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0</xdr:colOff>
      <xdr:row>33</xdr:row>
      <xdr:rowOff>0</xdr:rowOff>
    </xdr:from>
    <xdr:ext cx="5715000" cy="35337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57150</xdr:colOff>
      <xdr:row>16</xdr:row>
      <xdr:rowOff>200025</xdr:rowOff>
    </xdr:from>
    <xdr:ext cx="5715000" cy="3533775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0</xdr:colOff>
      <xdr:row>35</xdr:row>
      <xdr:rowOff>0</xdr:rowOff>
    </xdr:from>
    <xdr:ext cx="5715000" cy="3533775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57150</xdr:colOff>
      <xdr:row>16</xdr:row>
      <xdr:rowOff>0</xdr:rowOff>
    </xdr:from>
    <xdr:ext cx="571500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0</xdr:colOff>
      <xdr:row>34</xdr:row>
      <xdr:rowOff>0</xdr:rowOff>
    </xdr:from>
    <xdr:ext cx="5715000" cy="3533775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57150</xdr:colOff>
      <xdr:row>15</xdr:row>
      <xdr:rowOff>209550</xdr:rowOff>
    </xdr:from>
    <xdr:ext cx="5715000" cy="3533775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0</xdr:colOff>
      <xdr:row>35</xdr:row>
      <xdr:rowOff>0</xdr:rowOff>
    </xdr:from>
    <xdr:ext cx="5715000" cy="35337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9525</xdr:colOff>
      <xdr:row>15</xdr:row>
      <xdr:rowOff>123825</xdr:rowOff>
    </xdr:from>
    <xdr:ext cx="5715000" cy="3533775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0</xdr:colOff>
      <xdr:row>34</xdr:row>
      <xdr:rowOff>0</xdr:rowOff>
    </xdr:from>
    <xdr:ext cx="5715000" cy="353377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752475</xdr:colOff>
      <xdr:row>17</xdr:row>
      <xdr:rowOff>28575</xdr:rowOff>
    </xdr:from>
    <xdr:ext cx="5715000" cy="3533775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19</xdr:col>
      <xdr:colOff>762000</xdr:colOff>
      <xdr:row>34</xdr:row>
      <xdr:rowOff>209550</xdr:rowOff>
    </xdr:from>
    <xdr:ext cx="5715000" cy="3533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695325</xdr:colOff>
      <xdr:row>457</xdr:row>
      <xdr:rowOff>19050</xdr:rowOff>
    </xdr:from>
    <xdr:ext cx="11677650" cy="7219950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43"/>
    <col customWidth="1" min="7" max="7" width="22.86"/>
  </cols>
  <sheetData>
    <row r="1">
      <c r="A1" s="1" t="s">
        <v>0</v>
      </c>
      <c r="B1" s="2" t="s">
        <v>1</v>
      </c>
      <c r="C1" s="3"/>
      <c r="D1" s="3"/>
      <c r="E1" s="4"/>
      <c r="F1" s="3"/>
      <c r="G1" s="3"/>
      <c r="H1" s="3"/>
      <c r="I1" s="3"/>
      <c r="J1" s="3"/>
      <c r="K1" s="3"/>
      <c r="L1" s="3"/>
      <c r="M1" s="5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>
      <c r="A2" s="1" t="s">
        <v>2</v>
      </c>
      <c r="B2" s="2" t="s">
        <v>3</v>
      </c>
      <c r="C2" s="3"/>
      <c r="D2" s="2" t="s">
        <v>4</v>
      </c>
      <c r="E2" s="4"/>
      <c r="F2" s="3"/>
      <c r="G2" s="3"/>
      <c r="H2" s="3"/>
      <c r="I2" s="3"/>
      <c r="J2" s="3"/>
      <c r="K2" s="3"/>
      <c r="L2" s="3"/>
      <c r="M2" s="5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>
      <c r="A3" s="1" t="s">
        <v>5</v>
      </c>
      <c r="B3" s="2" t="s">
        <v>6</v>
      </c>
      <c r="C3" s="3"/>
      <c r="D3" s="3"/>
      <c r="E3" s="4"/>
      <c r="F3" s="3"/>
      <c r="G3" s="3"/>
      <c r="H3" s="3"/>
      <c r="I3" s="3"/>
      <c r="J3" s="3"/>
      <c r="K3" s="3"/>
      <c r="L3" s="3"/>
      <c r="M3" s="5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>
      <c r="A4" s="1" t="s">
        <v>7</v>
      </c>
      <c r="B4" s="2">
        <v>1.4204E9</v>
      </c>
      <c r="C4" s="2" t="s">
        <v>8</v>
      </c>
      <c r="D4" s="3"/>
      <c r="E4" s="4"/>
      <c r="F4" s="3"/>
      <c r="G4" s="3"/>
      <c r="H4" s="3"/>
      <c r="I4" s="3"/>
      <c r="J4" s="3"/>
      <c r="K4" s="3"/>
      <c r="L4" s="3"/>
      <c r="M4" s="5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>
      <c r="A5" s="1" t="s">
        <v>9</v>
      </c>
      <c r="B5" s="2">
        <v>2000000.0</v>
      </c>
      <c r="C5" s="2" t="s">
        <v>8</v>
      </c>
      <c r="D5" s="3"/>
      <c r="E5" s="4"/>
      <c r="F5" s="3"/>
      <c r="G5" s="3"/>
      <c r="H5" s="2"/>
      <c r="I5" s="3"/>
      <c r="J5" s="3"/>
      <c r="K5" s="3"/>
      <c r="L5" s="3"/>
      <c r="M5" s="5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>
      <c r="A6" s="1" t="s">
        <v>10</v>
      </c>
      <c r="B6" s="2">
        <v>30000.0</v>
      </c>
      <c r="C6" s="2" t="s">
        <v>8</v>
      </c>
      <c r="D6" s="3"/>
      <c r="E6" s="4"/>
      <c r="F6" s="3"/>
      <c r="G6" s="3"/>
      <c r="H6" s="3"/>
      <c r="I6" s="3"/>
      <c r="J6" s="3"/>
      <c r="K6" s="3"/>
      <c r="L6" s="3"/>
      <c r="M6" s="5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>
      <c r="A7" s="1" t="s">
        <v>11</v>
      </c>
      <c r="B7" s="2">
        <v>30000.0</v>
      </c>
      <c r="C7" s="2" t="s">
        <v>8</v>
      </c>
      <c r="D7" s="3"/>
      <c r="E7" s="4"/>
      <c r="F7" s="3"/>
      <c r="G7" s="3"/>
      <c r="H7" s="3"/>
      <c r="I7" s="3"/>
      <c r="J7" s="3"/>
      <c r="K7" s="3"/>
      <c r="L7" s="3"/>
      <c r="M7" s="5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>
      <c r="A8" s="1" t="s">
        <v>12</v>
      </c>
      <c r="B8" s="2">
        <v>-97.0</v>
      </c>
      <c r="C8" s="2" t="s">
        <v>13</v>
      </c>
      <c r="D8" s="3"/>
      <c r="E8" s="4"/>
      <c r="F8" s="3"/>
      <c r="G8" s="3"/>
      <c r="H8" s="3"/>
      <c r="I8" s="3"/>
      <c r="J8" s="3"/>
      <c r="K8" s="3"/>
      <c r="L8" s="3"/>
      <c r="M8" s="5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>
      <c r="A9" s="1" t="s">
        <v>14</v>
      </c>
      <c r="B9" s="2">
        <v>1.0</v>
      </c>
      <c r="C9" s="2" t="s">
        <v>15</v>
      </c>
      <c r="D9" s="3"/>
      <c r="E9" s="4"/>
      <c r="F9" s="3"/>
      <c r="G9" s="3"/>
      <c r="H9" s="2"/>
      <c r="I9" s="3"/>
      <c r="J9" s="3"/>
      <c r="K9" s="3"/>
      <c r="L9" s="3"/>
      <c r="M9" s="5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>
      <c r="A10" s="1" t="s">
        <v>16</v>
      </c>
      <c r="B10" s="2">
        <v>461.0</v>
      </c>
      <c r="C10" s="3"/>
      <c r="D10" s="3"/>
      <c r="E10" s="4"/>
      <c r="F10" s="3"/>
      <c r="G10" s="3"/>
      <c r="H10" s="3"/>
      <c r="I10" s="3"/>
      <c r="J10" s="3"/>
      <c r="K10" s="3"/>
      <c r="L10" s="3"/>
      <c r="M10" s="5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>
      <c r="A11" s="1" t="s">
        <v>17</v>
      </c>
      <c r="B11" s="2" t="s">
        <v>8</v>
      </c>
      <c r="C11" s="2" t="s">
        <v>13</v>
      </c>
      <c r="D11" s="2" t="s">
        <v>18</v>
      </c>
      <c r="E11" s="1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26</v>
      </c>
      <c r="M11" s="6" t="s">
        <v>27</v>
      </c>
      <c r="N11" s="2" t="s">
        <v>28</v>
      </c>
      <c r="O11" s="3"/>
      <c r="P11" s="2" t="s">
        <v>29</v>
      </c>
      <c r="Q11" s="2" t="s">
        <v>30</v>
      </c>
      <c r="R11" s="2"/>
      <c r="S11" s="2" t="s">
        <v>31</v>
      </c>
      <c r="T11" s="3"/>
      <c r="U11" s="3"/>
      <c r="V11" s="7" t="s">
        <v>32</v>
      </c>
      <c r="W11" s="3"/>
      <c r="X11" s="3"/>
      <c r="Y11" s="3"/>
      <c r="Z11" s="3"/>
      <c r="AA11" s="3"/>
      <c r="AB11" s="3"/>
      <c r="AC11" s="3"/>
    </row>
    <row r="12">
      <c r="A12" s="1" t="s">
        <v>33</v>
      </c>
      <c r="B12" s="2" t="s">
        <v>34</v>
      </c>
      <c r="C12" s="2" t="s">
        <v>35</v>
      </c>
      <c r="D12" s="3"/>
      <c r="E12" s="4"/>
      <c r="F12" s="3"/>
      <c r="G12" s="2" t="s">
        <v>36</v>
      </c>
      <c r="H12" s="2" t="s">
        <v>37</v>
      </c>
      <c r="I12" s="3"/>
      <c r="J12" s="3"/>
      <c r="K12" s="3"/>
      <c r="L12" s="3"/>
      <c r="M12" s="5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>
      <c r="A13" s="1">
        <v>1.0</v>
      </c>
      <c r="B13" s="2">
        <v>1.4194E9</v>
      </c>
      <c r="C13" s="2">
        <v>-101.8604813</v>
      </c>
      <c r="D13" s="3">
        <f t="shared" ref="D13:D473" si="1">B13-$B$4</f>
        <v>-1000000</v>
      </c>
      <c r="E13" s="4">
        <f t="shared" ref="E13:E472" si="2">-((B14-$B$4)/$B$4)*(3*10^5)</f>
        <v>210.2898143</v>
      </c>
      <c r="F13" s="3">
        <f t="shared" ref="F13:F242" si="3">-E13/D13</f>
        <v>0.0002102898143</v>
      </c>
      <c r="G13" s="3">
        <f t="shared" ref="G13:G473" si="4">(10^(C13/10))/1000</f>
        <v>0</v>
      </c>
      <c r="H13" s="2">
        <f t="shared" ref="H13:H473" si="5">G13/30000</f>
        <v>0</v>
      </c>
      <c r="I13" s="3">
        <f t="shared" ref="I13:I473" si="6">0.0063*H13</f>
        <v>0</v>
      </c>
      <c r="J13" s="3">
        <f t="shared" ref="J13:J473" si="7">(1/F13^2)*I13</f>
        <v>0</v>
      </c>
      <c r="K13" s="8">
        <f>1.38064852E-23</f>
        <v>0</v>
      </c>
      <c r="L13" s="3">
        <f t="shared" ref="L13:L473" si="8">(1/(2*$K$13))*(I13)</f>
        <v>495.5164052</v>
      </c>
      <c r="M13" s="9">
        <f t="shared" ref="M13:M473" si="9">476+0.116*E13-0.000134*E13^2+0.0000000719*E13^3</f>
        <v>495.136523</v>
      </c>
      <c r="N13" s="9">
        <f t="shared" ref="N13:N473" si="10">L13-(M13)</f>
        <v>0.3798822338</v>
      </c>
      <c r="O13" s="3"/>
      <c r="P13" s="10">
        <f t="shared" ref="P13:P67" si="11">-((B14-$B$4)/$B$4)*(3*10^5)</f>
        <v>210.2898143</v>
      </c>
      <c r="Q13" s="9">
        <f t="shared" ref="Q13:Q67" si="12">(1/(2*$K$13))*(I13)</f>
        <v>495.5164052</v>
      </c>
      <c r="R13" s="2"/>
      <c r="S13" s="9">
        <f t="shared" ref="S13:S472" si="13">(N13 * ABS(E14-E13))</f>
        <v>0.3488443862</v>
      </c>
      <c r="V13" s="3">
        <f>1822400000000000000 * SUM(S13:S473)</f>
        <v>5.82353E+21</v>
      </c>
      <c r="W13" s="3"/>
      <c r="X13" s="3"/>
      <c r="Y13" s="3"/>
      <c r="Z13" s="3"/>
      <c r="AA13" s="3"/>
      <c r="AB13" s="3"/>
      <c r="AC13" s="3"/>
    </row>
    <row r="14">
      <c r="A14" s="1">
        <v>2.0</v>
      </c>
      <c r="B14" s="2">
        <v>1.41940434782608E9</v>
      </c>
      <c r="C14" s="2">
        <v>-101.8568954</v>
      </c>
      <c r="D14" s="3">
        <f t="shared" si="1"/>
        <v>-995652.1739</v>
      </c>
      <c r="E14" s="4">
        <f t="shared" si="2"/>
        <v>209.3715181</v>
      </c>
      <c r="F14" s="3">
        <f t="shared" si="3"/>
        <v>0.0002102858042</v>
      </c>
      <c r="G14" s="3">
        <f t="shared" si="4"/>
        <v>0</v>
      </c>
      <c r="H14" s="2">
        <f t="shared" si="5"/>
        <v>0</v>
      </c>
      <c r="I14" s="3">
        <f t="shared" si="6"/>
        <v>0</v>
      </c>
      <c r="J14" s="3">
        <f t="shared" si="7"/>
        <v>0</v>
      </c>
      <c r="K14" s="3"/>
      <c r="L14" s="3">
        <f t="shared" si="8"/>
        <v>495.9257141</v>
      </c>
      <c r="M14" s="9">
        <f t="shared" si="9"/>
        <v>495.0729196</v>
      </c>
      <c r="N14" s="9">
        <f t="shared" si="10"/>
        <v>0.8527945759</v>
      </c>
      <c r="O14" s="3"/>
      <c r="P14" s="10">
        <f t="shared" si="11"/>
        <v>209.3715181</v>
      </c>
      <c r="Q14" s="9">
        <f t="shared" si="12"/>
        <v>495.9257141</v>
      </c>
      <c r="R14" s="2"/>
      <c r="S14" s="9">
        <f t="shared" si="13"/>
        <v>0.7831179611</v>
      </c>
      <c r="W14" s="3"/>
      <c r="X14" s="3"/>
      <c r="Y14" s="3"/>
      <c r="Z14" s="3"/>
      <c r="AA14" s="3"/>
      <c r="AB14" s="3"/>
      <c r="AC14" s="3"/>
    </row>
    <row r="15">
      <c r="A15" s="1">
        <v>3.0</v>
      </c>
      <c r="B15" s="2">
        <v>1.41940869565217E9</v>
      </c>
      <c r="C15" s="2">
        <v>-101.848877</v>
      </c>
      <c r="D15" s="3">
        <f t="shared" si="1"/>
        <v>-991304.3478</v>
      </c>
      <c r="E15" s="4">
        <f t="shared" si="2"/>
        <v>208.453222</v>
      </c>
      <c r="F15" s="3">
        <f t="shared" si="3"/>
        <v>0.000210281759</v>
      </c>
      <c r="G15" s="3">
        <f t="shared" si="4"/>
        <v>0</v>
      </c>
      <c r="H15" s="2">
        <f t="shared" si="5"/>
        <v>0</v>
      </c>
      <c r="I15" s="3">
        <f t="shared" si="6"/>
        <v>0</v>
      </c>
      <c r="J15" s="3">
        <f t="shared" si="7"/>
        <v>0</v>
      </c>
      <c r="K15" s="3"/>
      <c r="L15" s="3">
        <f t="shared" si="8"/>
        <v>496.84219</v>
      </c>
      <c r="M15" s="9">
        <f t="shared" si="9"/>
        <v>495.0091663</v>
      </c>
      <c r="N15" s="9">
        <f t="shared" si="10"/>
        <v>1.833023657</v>
      </c>
      <c r="O15" s="3"/>
      <c r="P15" s="10">
        <f t="shared" si="11"/>
        <v>208.453222</v>
      </c>
      <c r="Q15" s="9">
        <f t="shared" si="12"/>
        <v>496.84219</v>
      </c>
      <c r="R15" s="2"/>
      <c r="S15" s="9">
        <f t="shared" si="13"/>
        <v>1.683258532</v>
      </c>
      <c r="W15" s="3"/>
      <c r="X15" s="3"/>
      <c r="Y15" s="3"/>
      <c r="Z15" s="3"/>
      <c r="AA15" s="3"/>
      <c r="AB15" s="3"/>
      <c r="AC15" s="3"/>
    </row>
    <row r="16">
      <c r="A16" s="1">
        <v>4.0</v>
      </c>
      <c r="B16" s="2">
        <v>1.41941304347826E9</v>
      </c>
      <c r="C16" s="2">
        <v>-101.8252106</v>
      </c>
      <c r="D16" s="3">
        <f t="shared" si="1"/>
        <v>-986956.5217</v>
      </c>
      <c r="E16" s="4">
        <f t="shared" si="2"/>
        <v>207.5349259</v>
      </c>
      <c r="F16" s="3">
        <f t="shared" si="3"/>
        <v>0.0002102776782</v>
      </c>
      <c r="G16" s="3">
        <f t="shared" si="4"/>
        <v>0</v>
      </c>
      <c r="H16" s="2">
        <f t="shared" si="5"/>
        <v>0</v>
      </c>
      <c r="I16" s="3">
        <f t="shared" si="6"/>
        <v>0</v>
      </c>
      <c r="J16" s="3">
        <f t="shared" si="7"/>
        <v>0</v>
      </c>
      <c r="K16" s="3"/>
      <c r="L16" s="3">
        <f t="shared" si="8"/>
        <v>499.5570673</v>
      </c>
      <c r="M16" s="9">
        <f t="shared" si="9"/>
        <v>494.9452629</v>
      </c>
      <c r="N16" s="9">
        <f t="shared" si="10"/>
        <v>4.611804422</v>
      </c>
      <c r="O16" s="3"/>
      <c r="P16" s="10">
        <f t="shared" si="11"/>
        <v>207.5349259</v>
      </c>
      <c r="Q16" s="9">
        <f t="shared" si="12"/>
        <v>499.5570673</v>
      </c>
      <c r="R16" s="2"/>
      <c r="S16" s="9">
        <f t="shared" si="13"/>
        <v>4.235002166</v>
      </c>
      <c r="W16" s="3"/>
      <c r="X16" s="3"/>
      <c r="Y16" s="3"/>
      <c r="Z16" s="3"/>
      <c r="AA16" s="3"/>
      <c r="AB16" s="3"/>
      <c r="AC16" s="3"/>
    </row>
    <row r="17">
      <c r="A17" s="1">
        <v>5.0</v>
      </c>
      <c r="B17" s="2">
        <v>1.41941739130434E9</v>
      </c>
      <c r="C17" s="2">
        <v>-101.8440857</v>
      </c>
      <c r="D17" s="3">
        <f t="shared" si="1"/>
        <v>-982608.6957</v>
      </c>
      <c r="E17" s="4">
        <f t="shared" si="2"/>
        <v>206.6166297</v>
      </c>
      <c r="F17" s="3">
        <f t="shared" si="3"/>
        <v>0.0002102735612</v>
      </c>
      <c r="G17" s="3">
        <f t="shared" si="4"/>
        <v>0</v>
      </c>
      <c r="H17" s="2">
        <f t="shared" si="5"/>
        <v>0</v>
      </c>
      <c r="I17" s="3">
        <f t="shared" si="6"/>
        <v>0</v>
      </c>
      <c r="J17" s="3">
        <f t="shared" si="7"/>
        <v>0</v>
      </c>
      <c r="K17" s="3"/>
      <c r="L17" s="3">
        <f t="shared" si="8"/>
        <v>497.3906274</v>
      </c>
      <c r="M17" s="9">
        <f t="shared" si="9"/>
        <v>494.881209</v>
      </c>
      <c r="N17" s="9">
        <f t="shared" si="10"/>
        <v>2.509418443</v>
      </c>
      <c r="O17" s="3"/>
      <c r="P17" s="10">
        <f t="shared" si="11"/>
        <v>206.6166297</v>
      </c>
      <c r="Q17" s="9">
        <f t="shared" si="12"/>
        <v>497.3906274</v>
      </c>
      <c r="R17" s="2"/>
      <c r="S17" s="9">
        <f t="shared" si="13"/>
        <v>2.304389252</v>
      </c>
      <c r="W17" s="3"/>
      <c r="X17" s="3"/>
      <c r="Y17" s="3"/>
      <c r="Z17" s="3"/>
      <c r="AA17" s="3"/>
      <c r="AB17" s="3"/>
      <c r="AC17" s="3"/>
    </row>
    <row r="18">
      <c r="A18" s="1">
        <v>6.0</v>
      </c>
      <c r="B18" s="2">
        <v>1.41942173913043E9</v>
      </c>
      <c r="C18" s="2">
        <v>-101.9289017</v>
      </c>
      <c r="D18" s="3">
        <f t="shared" si="1"/>
        <v>-978260.8696</v>
      </c>
      <c r="E18" s="4">
        <f t="shared" si="2"/>
        <v>205.6983336</v>
      </c>
      <c r="F18" s="3">
        <f t="shared" si="3"/>
        <v>0.0002102694077</v>
      </c>
      <c r="G18" s="3">
        <f t="shared" si="4"/>
        <v>0</v>
      </c>
      <c r="H18" s="2">
        <f t="shared" si="5"/>
        <v>0</v>
      </c>
      <c r="I18" s="3">
        <f t="shared" si="6"/>
        <v>0</v>
      </c>
      <c r="J18" s="3">
        <f t="shared" si="7"/>
        <v>0</v>
      </c>
      <c r="K18" s="3"/>
      <c r="L18" s="3">
        <f t="shared" si="8"/>
        <v>487.7710238</v>
      </c>
      <c r="M18" s="9">
        <f t="shared" si="9"/>
        <v>494.8170042</v>
      </c>
      <c r="N18" s="9">
        <f t="shared" si="10"/>
        <v>-7.045980378</v>
      </c>
      <c r="O18" s="3"/>
      <c r="P18" s="10">
        <f t="shared" si="11"/>
        <v>205.6983336</v>
      </c>
      <c r="Q18" s="9">
        <f t="shared" si="12"/>
        <v>487.7710238</v>
      </c>
      <c r="R18" s="2"/>
      <c r="S18" s="9">
        <f t="shared" si="13"/>
        <v>-6.470296517</v>
      </c>
      <c r="W18" s="3"/>
      <c r="X18" s="3"/>
      <c r="Y18" s="3"/>
      <c r="Z18" s="3"/>
      <c r="AA18" s="3"/>
      <c r="AB18" s="3"/>
      <c r="AC18" s="3"/>
    </row>
    <row r="19">
      <c r="A19" s="1">
        <v>7.0</v>
      </c>
      <c r="B19" s="2">
        <v>1.41942608695652E9</v>
      </c>
      <c r="C19" s="2">
        <v>-101.8285675</v>
      </c>
      <c r="D19" s="3">
        <f t="shared" si="1"/>
        <v>-973913.0435</v>
      </c>
      <c r="E19" s="4">
        <f t="shared" si="2"/>
        <v>204.7800375</v>
      </c>
      <c r="F19" s="3">
        <f t="shared" si="3"/>
        <v>0.000210265217</v>
      </c>
      <c r="G19" s="3">
        <f t="shared" si="4"/>
        <v>0</v>
      </c>
      <c r="H19" s="2">
        <f t="shared" si="5"/>
        <v>0</v>
      </c>
      <c r="I19" s="3">
        <f t="shared" si="6"/>
        <v>0</v>
      </c>
      <c r="J19" s="3">
        <f t="shared" si="7"/>
        <v>0</v>
      </c>
      <c r="K19" s="3"/>
      <c r="L19" s="3">
        <f t="shared" si="8"/>
        <v>499.1710815</v>
      </c>
      <c r="M19" s="9">
        <f t="shared" si="9"/>
        <v>494.7526483</v>
      </c>
      <c r="N19" s="9">
        <f t="shared" si="10"/>
        <v>4.418433158</v>
      </c>
      <c r="O19" s="3"/>
      <c r="P19" s="10">
        <f t="shared" si="11"/>
        <v>204.7800375</v>
      </c>
      <c r="Q19" s="9">
        <f t="shared" si="12"/>
        <v>499.1710815</v>
      </c>
      <c r="R19" s="2"/>
      <c r="S19" s="9">
        <f t="shared" si="13"/>
        <v>4.057430082</v>
      </c>
      <c r="W19" s="3"/>
      <c r="X19" s="3"/>
      <c r="Y19" s="3"/>
      <c r="Z19" s="3"/>
      <c r="AA19" s="3"/>
      <c r="AB19" s="3"/>
      <c r="AC19" s="3"/>
    </row>
    <row r="20">
      <c r="A20" s="1">
        <v>8.0</v>
      </c>
      <c r="B20" s="2">
        <v>1.4194304347826E9</v>
      </c>
      <c r="C20" s="2">
        <v>-101.8680115</v>
      </c>
      <c r="D20" s="3">
        <f t="shared" si="1"/>
        <v>-969565.2174</v>
      </c>
      <c r="E20" s="4">
        <f t="shared" si="2"/>
        <v>203.8617413</v>
      </c>
      <c r="F20" s="3">
        <f t="shared" si="3"/>
        <v>0.0002102609888</v>
      </c>
      <c r="G20" s="3">
        <f t="shared" si="4"/>
        <v>0</v>
      </c>
      <c r="H20" s="2">
        <f t="shared" si="5"/>
        <v>0</v>
      </c>
      <c r="I20" s="3">
        <f t="shared" si="6"/>
        <v>0</v>
      </c>
      <c r="J20" s="3">
        <f t="shared" si="7"/>
        <v>0</v>
      </c>
      <c r="K20" s="3"/>
      <c r="L20" s="3">
        <f t="shared" si="8"/>
        <v>494.6579774</v>
      </c>
      <c r="M20" s="9">
        <f t="shared" si="9"/>
        <v>494.6881409</v>
      </c>
      <c r="N20" s="9">
        <f t="shared" si="10"/>
        <v>-0.03016350716</v>
      </c>
      <c r="O20" s="3"/>
      <c r="P20" s="10">
        <f t="shared" si="11"/>
        <v>203.8617413</v>
      </c>
      <c r="Q20" s="9">
        <f t="shared" si="12"/>
        <v>494.6579774</v>
      </c>
      <c r="R20" s="2"/>
      <c r="S20" s="9">
        <f t="shared" si="13"/>
        <v>-0.02769903198</v>
      </c>
      <c r="W20" s="3"/>
      <c r="X20" s="3"/>
      <c r="Y20" s="3"/>
      <c r="Z20" s="3"/>
      <c r="AA20" s="3"/>
      <c r="AB20" s="3"/>
      <c r="AC20" s="3"/>
    </row>
    <row r="21">
      <c r="A21" s="1">
        <v>9.0</v>
      </c>
      <c r="B21" s="2">
        <v>1.41943478260869E9</v>
      </c>
      <c r="C21" s="2">
        <v>-101.8526535</v>
      </c>
      <c r="D21" s="3">
        <f t="shared" si="1"/>
        <v>-965217.3913</v>
      </c>
      <c r="E21" s="4">
        <f t="shared" si="2"/>
        <v>202.9434452</v>
      </c>
      <c r="F21" s="3">
        <f t="shared" si="3"/>
        <v>0.0002102567225</v>
      </c>
      <c r="G21" s="3">
        <f t="shared" si="4"/>
        <v>0</v>
      </c>
      <c r="H21" s="2">
        <f t="shared" si="5"/>
        <v>0</v>
      </c>
      <c r="I21" s="3">
        <f t="shared" si="6"/>
        <v>0</v>
      </c>
      <c r="J21" s="3">
        <f t="shared" si="7"/>
        <v>0</v>
      </c>
      <c r="K21" s="3"/>
      <c r="L21" s="3">
        <f t="shared" si="8"/>
        <v>496.4103381</v>
      </c>
      <c r="M21" s="9">
        <f t="shared" si="9"/>
        <v>494.6234817</v>
      </c>
      <c r="N21" s="9">
        <f t="shared" si="10"/>
        <v>1.786856401</v>
      </c>
      <c r="O21" s="3"/>
      <c r="P21" s="10">
        <f t="shared" si="11"/>
        <v>202.9434452</v>
      </c>
      <c r="Q21" s="9">
        <f t="shared" si="12"/>
        <v>496.4103381</v>
      </c>
      <c r="R21" s="2"/>
      <c r="S21" s="9">
        <f t="shared" si="13"/>
        <v>1.640863323</v>
      </c>
      <c r="W21" s="3"/>
      <c r="X21" s="3"/>
      <c r="Y21" s="3"/>
      <c r="Z21" s="3"/>
      <c r="AA21" s="3"/>
      <c r="AB21" s="3"/>
      <c r="AC21" s="3"/>
    </row>
    <row r="22">
      <c r="A22" s="1">
        <v>10.0</v>
      </c>
      <c r="B22" s="2">
        <v>1.41943913043478E9</v>
      </c>
      <c r="C22" s="2">
        <v>-101.9381332</v>
      </c>
      <c r="D22" s="3">
        <f t="shared" si="1"/>
        <v>-960869.5652</v>
      </c>
      <c r="E22" s="4">
        <f t="shared" si="2"/>
        <v>202.0251491</v>
      </c>
      <c r="F22" s="3">
        <f t="shared" si="3"/>
        <v>0.0002102524176</v>
      </c>
      <c r="G22" s="3">
        <f t="shared" si="4"/>
        <v>0</v>
      </c>
      <c r="H22" s="2">
        <f t="shared" si="5"/>
        <v>0</v>
      </c>
      <c r="I22" s="3">
        <f t="shared" si="6"/>
        <v>0</v>
      </c>
      <c r="J22" s="3">
        <f t="shared" si="7"/>
        <v>0</v>
      </c>
      <c r="K22" s="3"/>
      <c r="L22" s="3">
        <f t="shared" si="8"/>
        <v>486.7353036</v>
      </c>
      <c r="M22" s="9">
        <f t="shared" si="9"/>
        <v>494.5586702</v>
      </c>
      <c r="N22" s="9">
        <f t="shared" si="10"/>
        <v>-7.823366647</v>
      </c>
      <c r="O22" s="3"/>
      <c r="P22" s="10">
        <f t="shared" si="11"/>
        <v>202.0251491</v>
      </c>
      <c r="Q22" s="9">
        <f t="shared" si="12"/>
        <v>486.7353036</v>
      </c>
      <c r="R22" s="2"/>
      <c r="S22" s="9">
        <f t="shared" si="13"/>
        <v>-7.184167321</v>
      </c>
      <c r="U22" s="11">
        <v>1.0</v>
      </c>
      <c r="W22" s="3"/>
      <c r="X22" s="3"/>
      <c r="Y22" s="3"/>
      <c r="Z22" s="3"/>
      <c r="AA22" s="3"/>
      <c r="AB22" s="3"/>
      <c r="AC22" s="3"/>
    </row>
    <row r="23">
      <c r="A23" s="1">
        <v>11.0</v>
      </c>
      <c r="B23" s="2">
        <v>1.41944347826087E9</v>
      </c>
      <c r="C23" s="2">
        <v>-101.8989487</v>
      </c>
      <c r="D23" s="3">
        <f t="shared" si="1"/>
        <v>-956521.7391</v>
      </c>
      <c r="E23" s="4">
        <f t="shared" si="2"/>
        <v>201.1068529</v>
      </c>
      <c r="F23" s="3">
        <f t="shared" si="3"/>
        <v>0.0002102480735</v>
      </c>
      <c r="G23" s="3">
        <f t="shared" si="4"/>
        <v>0</v>
      </c>
      <c r="H23" s="2">
        <f t="shared" si="5"/>
        <v>0</v>
      </c>
      <c r="I23" s="3">
        <f t="shared" si="6"/>
        <v>0</v>
      </c>
      <c r="J23" s="3">
        <f t="shared" si="7"/>
        <v>0</v>
      </c>
      <c r="K23" s="3"/>
      <c r="L23" s="3">
        <f t="shared" si="8"/>
        <v>491.1467758</v>
      </c>
      <c r="M23" s="9">
        <f t="shared" si="9"/>
        <v>494.4937063</v>
      </c>
      <c r="N23" s="9">
        <f t="shared" si="10"/>
        <v>-3.346930564</v>
      </c>
      <c r="O23" s="3"/>
      <c r="P23" s="10">
        <f t="shared" si="11"/>
        <v>201.1068529</v>
      </c>
      <c r="Q23" s="9">
        <f t="shared" si="12"/>
        <v>491.1467758</v>
      </c>
      <c r="R23" s="2"/>
      <c r="S23" s="9">
        <f t="shared" si="13"/>
        <v>-3.073473394</v>
      </c>
      <c r="W23" s="3"/>
      <c r="X23" s="3"/>
      <c r="Y23" s="3"/>
      <c r="Z23" s="3"/>
      <c r="AA23" s="3"/>
      <c r="AB23" s="3"/>
      <c r="AC23" s="3"/>
    </row>
    <row r="24">
      <c r="A24" s="1">
        <v>12.0</v>
      </c>
      <c r="B24" s="2">
        <v>1.41944782608695E9</v>
      </c>
      <c r="C24" s="2">
        <v>-101.9269409</v>
      </c>
      <c r="D24" s="3">
        <f t="shared" si="1"/>
        <v>-952173.913</v>
      </c>
      <c r="E24" s="4">
        <f t="shared" si="2"/>
        <v>200.1885568</v>
      </c>
      <c r="F24" s="3">
        <f t="shared" si="3"/>
        <v>0.0002102436898</v>
      </c>
      <c r="G24" s="3">
        <f t="shared" si="4"/>
        <v>0</v>
      </c>
      <c r="H24" s="2">
        <f t="shared" si="5"/>
        <v>0</v>
      </c>
      <c r="I24" s="3">
        <f t="shared" si="6"/>
        <v>0</v>
      </c>
      <c r="J24" s="3">
        <f t="shared" si="7"/>
        <v>0</v>
      </c>
      <c r="K24" s="3"/>
      <c r="L24" s="3">
        <f t="shared" si="8"/>
        <v>487.9912977</v>
      </c>
      <c r="M24" s="9">
        <f t="shared" si="9"/>
        <v>494.4285896</v>
      </c>
      <c r="N24" s="9">
        <f t="shared" si="10"/>
        <v>-6.43729184</v>
      </c>
      <c r="O24" s="3"/>
      <c r="P24" s="10">
        <f t="shared" si="11"/>
        <v>200.1885568</v>
      </c>
      <c r="Q24" s="9">
        <f t="shared" si="12"/>
        <v>487.9912977</v>
      </c>
      <c r="R24" s="2"/>
      <c r="S24" s="9">
        <f t="shared" si="13"/>
        <v>-5.911340203</v>
      </c>
      <c r="W24" s="3"/>
      <c r="X24" s="3"/>
      <c r="Y24" s="3"/>
      <c r="Z24" s="3"/>
      <c r="AA24" s="3"/>
      <c r="AB24" s="3"/>
      <c r="AC24" s="3"/>
    </row>
    <row r="25">
      <c r="A25" s="1">
        <v>13.0</v>
      </c>
      <c r="B25" s="2">
        <v>1.41945217391304E9</v>
      </c>
      <c r="C25" s="2">
        <v>-101.8600616</v>
      </c>
      <c r="D25" s="3">
        <f t="shared" si="1"/>
        <v>-947826.087</v>
      </c>
      <c r="E25" s="4">
        <f t="shared" si="2"/>
        <v>199.2702607</v>
      </c>
      <c r="F25" s="3">
        <f t="shared" si="3"/>
        <v>0.0002102392658</v>
      </c>
      <c r="G25" s="3">
        <f t="shared" si="4"/>
        <v>0</v>
      </c>
      <c r="H25" s="2">
        <f t="shared" si="5"/>
        <v>0</v>
      </c>
      <c r="I25" s="3">
        <f t="shared" si="6"/>
        <v>0</v>
      </c>
      <c r="J25" s="3">
        <f t="shared" si="7"/>
        <v>0</v>
      </c>
      <c r="K25" s="3"/>
      <c r="L25" s="3">
        <f t="shared" si="8"/>
        <v>495.564294</v>
      </c>
      <c r="M25" s="9">
        <f t="shared" si="9"/>
        <v>494.3633197</v>
      </c>
      <c r="N25" s="9">
        <f t="shared" si="10"/>
        <v>1.200974321</v>
      </c>
      <c r="O25" s="3"/>
      <c r="P25" s="10">
        <f t="shared" si="11"/>
        <v>199.2702607</v>
      </c>
      <c r="Q25" s="9">
        <f t="shared" si="12"/>
        <v>495.564294</v>
      </c>
      <c r="R25" s="2"/>
      <c r="S25" s="9">
        <f t="shared" si="13"/>
        <v>1.102850072</v>
      </c>
      <c r="W25" s="3"/>
      <c r="X25" s="3"/>
      <c r="Y25" s="3"/>
      <c r="Z25" s="3"/>
      <c r="AA25" s="3"/>
      <c r="AB25" s="3"/>
      <c r="AC25" s="3"/>
    </row>
    <row r="26">
      <c r="A26" s="1">
        <v>14.0</v>
      </c>
      <c r="B26" s="2">
        <v>1.41945652173913E9</v>
      </c>
      <c r="C26" s="2">
        <v>-101.8906937</v>
      </c>
      <c r="D26" s="3">
        <f t="shared" si="1"/>
        <v>-943478.2609</v>
      </c>
      <c r="E26" s="4">
        <f t="shared" si="2"/>
        <v>198.3519645</v>
      </c>
      <c r="F26" s="3">
        <f t="shared" si="3"/>
        <v>0.0002102348011</v>
      </c>
      <c r="G26" s="3">
        <f t="shared" si="4"/>
        <v>0</v>
      </c>
      <c r="H26" s="2">
        <f t="shared" si="5"/>
        <v>0</v>
      </c>
      <c r="I26" s="3">
        <f t="shared" si="6"/>
        <v>0</v>
      </c>
      <c r="J26" s="3">
        <f t="shared" si="7"/>
        <v>0</v>
      </c>
      <c r="K26" s="3"/>
      <c r="L26" s="3">
        <f t="shared" si="8"/>
        <v>492.0812275</v>
      </c>
      <c r="M26" s="9">
        <f t="shared" si="9"/>
        <v>494.2978962</v>
      </c>
      <c r="N26" s="9">
        <f t="shared" si="10"/>
        <v>-2.216668724</v>
      </c>
      <c r="O26" s="3"/>
      <c r="P26" s="10">
        <f t="shared" si="11"/>
        <v>198.3519645</v>
      </c>
      <c r="Q26" s="9">
        <f t="shared" si="12"/>
        <v>492.0812275</v>
      </c>
      <c r="R26" s="2"/>
      <c r="S26" s="9">
        <f t="shared" si="13"/>
        <v>-2.035558317</v>
      </c>
      <c r="W26" s="3"/>
      <c r="X26" s="3"/>
      <c r="Y26" s="3"/>
      <c r="Z26" s="3"/>
      <c r="AA26" s="3"/>
      <c r="AB26" s="3"/>
      <c r="AC26" s="3"/>
    </row>
    <row r="27">
      <c r="A27" s="1">
        <v>15.0</v>
      </c>
      <c r="B27" s="2">
        <v>1.41946086956521E9</v>
      </c>
      <c r="C27" s="2">
        <v>-101.8816147</v>
      </c>
      <c r="D27" s="3">
        <f t="shared" si="1"/>
        <v>-939130.4348</v>
      </c>
      <c r="E27" s="4">
        <f t="shared" si="2"/>
        <v>197.4336684</v>
      </c>
      <c r="F27" s="3">
        <f t="shared" si="3"/>
        <v>0.0002102302951</v>
      </c>
      <c r="G27" s="3">
        <f t="shared" si="4"/>
        <v>0</v>
      </c>
      <c r="H27" s="2">
        <f t="shared" si="5"/>
        <v>0</v>
      </c>
      <c r="I27" s="3">
        <f t="shared" si="6"/>
        <v>0</v>
      </c>
      <c r="J27" s="3">
        <f t="shared" si="7"/>
        <v>0</v>
      </c>
      <c r="K27" s="3"/>
      <c r="L27" s="3">
        <f t="shared" si="8"/>
        <v>493.1110077</v>
      </c>
      <c r="M27" s="9">
        <f t="shared" si="9"/>
        <v>494.232319</v>
      </c>
      <c r="N27" s="9">
        <f t="shared" si="10"/>
        <v>-1.121311276</v>
      </c>
      <c r="O27" s="3"/>
      <c r="P27" s="10">
        <f t="shared" si="11"/>
        <v>197.4336684</v>
      </c>
      <c r="Q27" s="9">
        <f t="shared" si="12"/>
        <v>493.1110077</v>
      </c>
      <c r="R27" s="2"/>
      <c r="S27" s="9">
        <f t="shared" si="13"/>
        <v>-1.029695808</v>
      </c>
      <c r="W27" s="3"/>
      <c r="X27" s="3"/>
      <c r="Y27" s="3"/>
      <c r="Z27" s="3"/>
      <c r="AA27" s="3"/>
      <c r="AB27" s="3"/>
      <c r="AC27" s="3"/>
    </row>
    <row r="28">
      <c r="A28" s="1">
        <v>16.0</v>
      </c>
      <c r="B28" s="2">
        <v>1.4194652173913E9</v>
      </c>
      <c r="C28" s="2">
        <v>-101.8742142</v>
      </c>
      <c r="D28" s="3">
        <f t="shared" si="1"/>
        <v>-934782.6087</v>
      </c>
      <c r="E28" s="4">
        <f t="shared" si="2"/>
        <v>196.5153723</v>
      </c>
      <c r="F28" s="3">
        <f t="shared" si="3"/>
        <v>0.0002102257471</v>
      </c>
      <c r="G28" s="3">
        <f t="shared" si="4"/>
        <v>0</v>
      </c>
      <c r="H28" s="2">
        <f t="shared" si="5"/>
        <v>0</v>
      </c>
      <c r="I28" s="3">
        <f t="shared" si="6"/>
        <v>0</v>
      </c>
      <c r="J28" s="3">
        <f t="shared" si="7"/>
        <v>0</v>
      </c>
      <c r="K28" s="3"/>
      <c r="L28" s="3">
        <f t="shared" si="8"/>
        <v>493.951999</v>
      </c>
      <c r="M28" s="9">
        <f t="shared" si="9"/>
        <v>494.1665875</v>
      </c>
      <c r="N28" s="9">
        <f t="shared" si="10"/>
        <v>-0.2145884954</v>
      </c>
      <c r="O28" s="3"/>
      <c r="P28" s="10">
        <f t="shared" si="11"/>
        <v>196.5153723</v>
      </c>
      <c r="Q28" s="9">
        <f t="shared" si="12"/>
        <v>493.951999</v>
      </c>
      <c r="R28" s="2"/>
      <c r="S28" s="9">
        <f t="shared" si="13"/>
        <v>-0.197055785</v>
      </c>
      <c r="W28" s="3"/>
      <c r="X28" s="3"/>
      <c r="Y28" s="3"/>
      <c r="Z28" s="3"/>
      <c r="AA28" s="3"/>
      <c r="AB28" s="3"/>
      <c r="AC28" s="3"/>
    </row>
    <row r="29">
      <c r="A29" s="1">
        <v>17.0</v>
      </c>
      <c r="B29" s="2">
        <v>1.41946956521739E9</v>
      </c>
      <c r="C29" s="2">
        <v>-101.8737564</v>
      </c>
      <c r="D29" s="3">
        <f t="shared" si="1"/>
        <v>-930434.7826</v>
      </c>
      <c r="E29" s="4">
        <f t="shared" si="2"/>
        <v>195.5970761</v>
      </c>
      <c r="F29" s="3">
        <f t="shared" si="3"/>
        <v>0.0002102211566</v>
      </c>
      <c r="G29" s="3">
        <f t="shared" si="4"/>
        <v>0</v>
      </c>
      <c r="H29" s="2">
        <f t="shared" si="5"/>
        <v>0</v>
      </c>
      <c r="I29" s="3">
        <f t="shared" si="6"/>
        <v>0</v>
      </c>
      <c r="J29" s="3">
        <f t="shared" si="7"/>
        <v>0</v>
      </c>
      <c r="K29" s="3"/>
      <c r="L29" s="3">
        <f t="shared" si="8"/>
        <v>494.0040704</v>
      </c>
      <c r="M29" s="9">
        <f t="shared" si="9"/>
        <v>494.1007016</v>
      </c>
      <c r="N29" s="9">
        <f t="shared" si="10"/>
        <v>-0.09663117109</v>
      </c>
      <c r="O29" s="3"/>
      <c r="P29" s="10">
        <f t="shared" si="11"/>
        <v>195.5970761</v>
      </c>
      <c r="Q29" s="9">
        <f t="shared" si="12"/>
        <v>494.0040704</v>
      </c>
      <c r="R29" s="2"/>
      <c r="S29" s="9">
        <f t="shared" si="13"/>
        <v>-0.08873603072</v>
      </c>
      <c r="W29" s="3"/>
      <c r="X29" s="3"/>
      <c r="Y29" s="3"/>
      <c r="Z29" s="3"/>
      <c r="AA29" s="3"/>
      <c r="AB29" s="3"/>
      <c r="AC29" s="3"/>
    </row>
    <row r="30">
      <c r="A30" s="1">
        <v>18.0</v>
      </c>
      <c r="B30" s="2">
        <v>1.41947391304347E9</v>
      </c>
      <c r="C30" s="2">
        <v>-101.8434296</v>
      </c>
      <c r="D30" s="3">
        <f t="shared" si="1"/>
        <v>-926086.9565</v>
      </c>
      <c r="E30" s="4">
        <f t="shared" si="2"/>
        <v>194.67878</v>
      </c>
      <c r="F30" s="3">
        <f t="shared" si="3"/>
        <v>0.000210216523</v>
      </c>
      <c r="G30" s="3">
        <f t="shared" si="4"/>
        <v>0</v>
      </c>
      <c r="H30" s="2">
        <f t="shared" si="5"/>
        <v>0</v>
      </c>
      <c r="I30" s="3">
        <f t="shared" si="6"/>
        <v>0</v>
      </c>
      <c r="J30" s="3">
        <f t="shared" si="7"/>
        <v>0</v>
      </c>
      <c r="K30" s="3"/>
      <c r="L30" s="3">
        <f t="shared" si="8"/>
        <v>497.4657752</v>
      </c>
      <c r="M30" s="9">
        <f t="shared" si="9"/>
        <v>494.0346608</v>
      </c>
      <c r="N30" s="9">
        <f t="shared" si="10"/>
        <v>3.431114374</v>
      </c>
      <c r="O30" s="3"/>
      <c r="P30" s="10">
        <f t="shared" si="11"/>
        <v>194.67878</v>
      </c>
      <c r="Q30" s="9">
        <f t="shared" si="12"/>
        <v>497.4657752</v>
      </c>
      <c r="R30" s="2"/>
      <c r="S30" s="9">
        <f t="shared" si="13"/>
        <v>3.15077906</v>
      </c>
      <c r="W30" s="3"/>
      <c r="X30" s="3"/>
      <c r="Y30" s="3"/>
      <c r="Z30" s="3"/>
      <c r="AA30" s="3"/>
      <c r="AB30" s="3"/>
      <c r="AC30" s="3"/>
    </row>
    <row r="31">
      <c r="A31" s="1">
        <v>19.0</v>
      </c>
      <c r="B31" s="2">
        <v>1.41947826086956E9</v>
      </c>
      <c r="C31" s="2">
        <v>-101.8763962</v>
      </c>
      <c r="D31" s="3">
        <f t="shared" si="1"/>
        <v>-921739.1304</v>
      </c>
      <c r="E31" s="4">
        <f t="shared" si="2"/>
        <v>193.7604839</v>
      </c>
      <c r="F31" s="3">
        <f t="shared" si="3"/>
        <v>0.0002102118457</v>
      </c>
      <c r="G31" s="3">
        <f t="shared" si="4"/>
        <v>0</v>
      </c>
      <c r="H31" s="2">
        <f t="shared" si="5"/>
        <v>0</v>
      </c>
      <c r="I31" s="3">
        <f t="shared" si="6"/>
        <v>0</v>
      </c>
      <c r="J31" s="3">
        <f t="shared" si="7"/>
        <v>0</v>
      </c>
      <c r="K31" s="3"/>
      <c r="L31" s="3">
        <f t="shared" si="8"/>
        <v>493.703888</v>
      </c>
      <c r="M31" s="9">
        <f t="shared" si="9"/>
        <v>493.9684649</v>
      </c>
      <c r="N31" s="9">
        <f t="shared" si="10"/>
        <v>-0.2645768556</v>
      </c>
      <c r="O31" s="3"/>
      <c r="P31" s="10">
        <f t="shared" si="11"/>
        <v>193.7604839</v>
      </c>
      <c r="Q31" s="9">
        <f t="shared" si="12"/>
        <v>493.703888</v>
      </c>
      <c r="R31" s="2"/>
      <c r="S31" s="9">
        <f t="shared" si="13"/>
        <v>-0.2429599027</v>
      </c>
      <c r="W31" s="3"/>
      <c r="X31" s="3"/>
      <c r="Y31" s="3"/>
      <c r="Z31" s="3"/>
      <c r="AA31" s="3"/>
      <c r="AB31" s="3"/>
      <c r="AC31" s="3"/>
    </row>
    <row r="32">
      <c r="A32" s="1">
        <v>20.0</v>
      </c>
      <c r="B32" s="2">
        <v>1.41948260869565E9</v>
      </c>
      <c r="C32" s="2">
        <v>-101.8557129</v>
      </c>
      <c r="D32" s="3">
        <f t="shared" si="1"/>
        <v>-917391.3043</v>
      </c>
      <c r="E32" s="4">
        <f t="shared" si="2"/>
        <v>192.8421878</v>
      </c>
      <c r="F32" s="3">
        <f t="shared" si="3"/>
        <v>0.0002102071241</v>
      </c>
      <c r="G32" s="3">
        <f t="shared" si="4"/>
        <v>0</v>
      </c>
      <c r="H32" s="2">
        <f t="shared" si="5"/>
        <v>0</v>
      </c>
      <c r="I32" s="3">
        <f t="shared" si="6"/>
        <v>0</v>
      </c>
      <c r="J32" s="3">
        <f t="shared" si="7"/>
        <v>0</v>
      </c>
      <c r="K32" s="3"/>
      <c r="L32" s="3">
        <f t="shared" si="8"/>
        <v>496.0607635</v>
      </c>
      <c r="M32" s="9">
        <f t="shared" si="9"/>
        <v>493.9021134</v>
      </c>
      <c r="N32" s="9">
        <f t="shared" si="10"/>
        <v>2.158650113</v>
      </c>
      <c r="O32" s="3"/>
      <c r="P32" s="10">
        <f t="shared" si="11"/>
        <v>192.8421878</v>
      </c>
      <c r="Q32" s="9">
        <f t="shared" si="12"/>
        <v>496.0607635</v>
      </c>
      <c r="R32" s="2"/>
      <c r="S32" s="9">
        <f t="shared" si="13"/>
        <v>1.982280051</v>
      </c>
      <c r="W32" s="3"/>
      <c r="X32" s="3"/>
      <c r="Y32" s="3"/>
      <c r="Z32" s="3"/>
      <c r="AA32" s="3"/>
      <c r="AB32" s="3"/>
      <c r="AC32" s="3"/>
    </row>
    <row r="33">
      <c r="A33" s="1">
        <v>21.0</v>
      </c>
      <c r="B33" s="2">
        <v>1.41948695652173E9</v>
      </c>
      <c r="C33" s="2">
        <v>-101.894722</v>
      </c>
      <c r="D33" s="3">
        <f t="shared" si="1"/>
        <v>-913043.4783</v>
      </c>
      <c r="E33" s="4">
        <f t="shared" si="2"/>
        <v>191.9238916</v>
      </c>
      <c r="F33" s="3">
        <f t="shared" si="3"/>
        <v>0.0002102023575</v>
      </c>
      <c r="G33" s="3">
        <f t="shared" si="4"/>
        <v>0</v>
      </c>
      <c r="H33" s="2">
        <f t="shared" si="5"/>
        <v>0</v>
      </c>
      <c r="I33" s="3">
        <f t="shared" si="6"/>
        <v>0</v>
      </c>
      <c r="J33" s="3">
        <f t="shared" si="7"/>
        <v>0</v>
      </c>
      <c r="K33" s="3"/>
      <c r="L33" s="3">
        <f t="shared" si="8"/>
        <v>491.625009</v>
      </c>
      <c r="M33" s="9">
        <f t="shared" si="9"/>
        <v>493.8356061</v>
      </c>
      <c r="N33" s="9">
        <f t="shared" si="10"/>
        <v>-2.210597078</v>
      </c>
      <c r="O33" s="3"/>
      <c r="P33" s="10">
        <f t="shared" si="11"/>
        <v>191.9238916</v>
      </c>
      <c r="Q33" s="9">
        <f t="shared" si="12"/>
        <v>491.625009</v>
      </c>
      <c r="R33" s="2"/>
      <c r="S33" s="9">
        <f t="shared" si="13"/>
        <v>-2.029982748</v>
      </c>
      <c r="W33" s="3"/>
      <c r="X33" s="3"/>
      <c r="Y33" s="3"/>
      <c r="Z33" s="3"/>
      <c r="AA33" s="3"/>
      <c r="AB33" s="3"/>
      <c r="AC33" s="3"/>
    </row>
    <row r="34">
      <c r="A34" s="1">
        <v>22.0</v>
      </c>
      <c r="B34" s="2">
        <v>1.41949130434782E9</v>
      </c>
      <c r="C34" s="2">
        <v>-101.8863602</v>
      </c>
      <c r="D34" s="3">
        <f t="shared" si="1"/>
        <v>-908695.6522</v>
      </c>
      <c r="E34" s="4">
        <f t="shared" si="2"/>
        <v>191.0055955</v>
      </c>
      <c r="F34" s="3">
        <f t="shared" si="3"/>
        <v>0.0002101975453</v>
      </c>
      <c r="G34" s="3">
        <f t="shared" si="4"/>
        <v>0</v>
      </c>
      <c r="H34" s="2">
        <f t="shared" si="5"/>
        <v>0</v>
      </c>
      <c r="I34" s="3">
        <f t="shared" si="6"/>
        <v>0</v>
      </c>
      <c r="J34" s="3">
        <f t="shared" si="7"/>
        <v>0</v>
      </c>
      <c r="K34" s="3"/>
      <c r="L34" s="3">
        <f t="shared" si="8"/>
        <v>492.5724836</v>
      </c>
      <c r="M34" s="9">
        <f t="shared" si="9"/>
        <v>493.7689426</v>
      </c>
      <c r="N34" s="9">
        <f t="shared" si="10"/>
        <v>-1.196458966</v>
      </c>
      <c r="O34" s="3"/>
      <c r="P34" s="10">
        <f t="shared" si="11"/>
        <v>191.0055955</v>
      </c>
      <c r="Q34" s="9">
        <f t="shared" si="12"/>
        <v>492.5724836</v>
      </c>
      <c r="R34" s="2"/>
      <c r="S34" s="9">
        <f t="shared" si="13"/>
        <v>-1.098703642</v>
      </c>
      <c r="W34" s="3"/>
      <c r="X34" s="3"/>
      <c r="Y34" s="3"/>
      <c r="Z34" s="3"/>
      <c r="AA34" s="3"/>
      <c r="AB34" s="3"/>
      <c r="AC34" s="3"/>
    </row>
    <row r="35">
      <c r="A35" s="1">
        <v>23.0</v>
      </c>
      <c r="B35" s="2">
        <v>1.41949565217391E9</v>
      </c>
      <c r="C35" s="2">
        <v>-101.8296204</v>
      </c>
      <c r="D35" s="3">
        <f t="shared" si="1"/>
        <v>-904347.8261</v>
      </c>
      <c r="E35" s="4">
        <f t="shared" si="2"/>
        <v>190.0872994</v>
      </c>
      <c r="F35" s="3">
        <f t="shared" si="3"/>
        <v>0.0002101926868</v>
      </c>
      <c r="G35" s="3">
        <f t="shared" si="4"/>
        <v>0</v>
      </c>
      <c r="H35" s="2">
        <f t="shared" si="5"/>
        <v>0</v>
      </c>
      <c r="I35" s="3">
        <f t="shared" si="6"/>
        <v>0</v>
      </c>
      <c r="J35" s="3">
        <f t="shared" si="7"/>
        <v>0</v>
      </c>
      <c r="K35" s="3"/>
      <c r="L35" s="3">
        <f t="shared" si="8"/>
        <v>499.0500775</v>
      </c>
      <c r="M35" s="9">
        <f t="shared" si="9"/>
        <v>493.7021226</v>
      </c>
      <c r="N35" s="9">
        <f t="shared" si="10"/>
        <v>5.3479549</v>
      </c>
      <c r="O35" s="3"/>
      <c r="P35" s="10">
        <f t="shared" si="11"/>
        <v>190.0872994</v>
      </c>
      <c r="Q35" s="9">
        <f t="shared" si="12"/>
        <v>499.0500775</v>
      </c>
      <c r="R35" s="2"/>
      <c r="S35" s="9">
        <f t="shared" si="13"/>
        <v>4.911006292</v>
      </c>
      <c r="W35" s="3"/>
      <c r="X35" s="3"/>
      <c r="Y35" s="3"/>
      <c r="Z35" s="3"/>
      <c r="AA35" s="3"/>
      <c r="AB35" s="3"/>
      <c r="AC35" s="3"/>
    </row>
    <row r="36">
      <c r="A36" s="1">
        <v>24.0</v>
      </c>
      <c r="B36" s="2">
        <v>1.4195E9</v>
      </c>
      <c r="C36" s="2">
        <v>-101.8685455</v>
      </c>
      <c r="D36" s="3">
        <f t="shared" si="1"/>
        <v>-900000</v>
      </c>
      <c r="E36" s="4">
        <f t="shared" si="2"/>
        <v>189.1690032</v>
      </c>
      <c r="F36" s="3">
        <f t="shared" si="3"/>
        <v>0.0002101877814</v>
      </c>
      <c r="G36" s="3">
        <f t="shared" si="4"/>
        <v>0</v>
      </c>
      <c r="H36" s="2">
        <f t="shared" si="5"/>
        <v>0</v>
      </c>
      <c r="I36" s="3">
        <f t="shared" si="6"/>
        <v>0</v>
      </c>
      <c r="J36" s="3">
        <f t="shared" si="7"/>
        <v>0</v>
      </c>
      <c r="K36" s="3"/>
      <c r="L36" s="3">
        <f t="shared" si="8"/>
        <v>494.597159</v>
      </c>
      <c r="M36" s="9">
        <f t="shared" si="9"/>
        <v>493.6351458</v>
      </c>
      <c r="N36" s="9">
        <f t="shared" si="10"/>
        <v>0.9620131854</v>
      </c>
      <c r="O36" s="3"/>
      <c r="P36" s="10">
        <f t="shared" si="11"/>
        <v>189.1690032</v>
      </c>
      <c r="Q36" s="9">
        <f t="shared" si="12"/>
        <v>494.597159</v>
      </c>
      <c r="R36" s="2"/>
      <c r="S36" s="9">
        <f t="shared" si="13"/>
        <v>0.8834129878</v>
      </c>
      <c r="W36" s="3"/>
      <c r="X36" s="3"/>
      <c r="Y36" s="3"/>
      <c r="Z36" s="3"/>
      <c r="AA36" s="2" t="s">
        <v>38</v>
      </c>
      <c r="AB36" s="3"/>
      <c r="AC36" s="3"/>
    </row>
    <row r="37">
      <c r="A37" s="1">
        <v>25.0</v>
      </c>
      <c r="B37" s="2">
        <v>1.41950434782608E9</v>
      </c>
      <c r="C37" s="2">
        <v>-101.8740005</v>
      </c>
      <c r="D37" s="3">
        <f t="shared" si="1"/>
        <v>-895652.1739</v>
      </c>
      <c r="E37" s="4">
        <f t="shared" si="2"/>
        <v>188.2507071</v>
      </c>
      <c r="F37" s="3">
        <f t="shared" si="3"/>
        <v>0.0002101828283</v>
      </c>
      <c r="G37" s="3">
        <f t="shared" si="4"/>
        <v>0</v>
      </c>
      <c r="H37" s="2">
        <f t="shared" si="5"/>
        <v>0</v>
      </c>
      <c r="I37" s="3">
        <f t="shared" si="6"/>
        <v>0</v>
      </c>
      <c r="J37" s="3">
        <f t="shared" si="7"/>
        <v>0</v>
      </c>
      <c r="K37" s="3"/>
      <c r="L37" s="3">
        <f t="shared" si="8"/>
        <v>493.9763052</v>
      </c>
      <c r="M37" s="9">
        <f t="shared" si="9"/>
        <v>493.5680118</v>
      </c>
      <c r="N37" s="9">
        <f t="shared" si="10"/>
        <v>0.4082934089</v>
      </c>
      <c r="O37" s="3"/>
      <c r="P37" s="10">
        <f t="shared" si="11"/>
        <v>188.2507071</v>
      </c>
      <c r="Q37" s="9">
        <f t="shared" si="12"/>
        <v>493.9763052</v>
      </c>
      <c r="R37" s="2"/>
      <c r="S37" s="9">
        <f t="shared" si="13"/>
        <v>0.3749342584</v>
      </c>
      <c r="W37" s="3"/>
      <c r="X37" s="3"/>
      <c r="Y37" s="3"/>
      <c r="Z37" s="3"/>
      <c r="AA37" s="3"/>
      <c r="AB37" s="3"/>
      <c r="AC37" s="3"/>
    </row>
    <row r="38">
      <c r="A38" s="1">
        <v>26.0</v>
      </c>
      <c r="B38" s="2">
        <v>1.41950869565217E9</v>
      </c>
      <c r="C38" s="2">
        <v>-101.899498</v>
      </c>
      <c r="D38" s="3">
        <f t="shared" si="1"/>
        <v>-891304.3478</v>
      </c>
      <c r="E38" s="4">
        <f t="shared" si="2"/>
        <v>187.332411</v>
      </c>
      <c r="F38" s="3">
        <f t="shared" si="3"/>
        <v>0.0002101778269</v>
      </c>
      <c r="G38" s="3">
        <f t="shared" si="4"/>
        <v>0</v>
      </c>
      <c r="H38" s="2">
        <f t="shared" si="5"/>
        <v>0</v>
      </c>
      <c r="I38" s="3">
        <f t="shared" si="6"/>
        <v>0</v>
      </c>
      <c r="J38" s="3">
        <f t="shared" si="7"/>
        <v>0</v>
      </c>
      <c r="K38" s="3"/>
      <c r="L38" s="3">
        <f t="shared" si="8"/>
        <v>491.084659</v>
      </c>
      <c r="M38" s="9">
        <f t="shared" si="9"/>
        <v>493.5007202</v>
      </c>
      <c r="N38" s="9">
        <f t="shared" si="10"/>
        <v>-2.416061263</v>
      </c>
      <c r="O38" s="3"/>
      <c r="P38" s="10">
        <f t="shared" si="11"/>
        <v>187.332411</v>
      </c>
      <c r="Q38" s="9">
        <f t="shared" si="12"/>
        <v>491.084659</v>
      </c>
      <c r="R38" s="2"/>
      <c r="S38" s="9">
        <f t="shared" si="13"/>
        <v>-2.218659709</v>
      </c>
      <c r="W38" s="3"/>
      <c r="X38" s="3"/>
      <c r="Y38" s="3"/>
      <c r="Z38" s="3"/>
      <c r="AA38" s="3"/>
      <c r="AB38" s="3"/>
      <c r="AC38" s="3"/>
    </row>
    <row r="39">
      <c r="A39" s="1">
        <v>27.0</v>
      </c>
      <c r="B39" s="2">
        <v>1.41951304347826E9</v>
      </c>
      <c r="C39" s="2">
        <v>-101.856369</v>
      </c>
      <c r="D39" s="3">
        <f t="shared" si="1"/>
        <v>-886956.5217</v>
      </c>
      <c r="E39" s="4">
        <f t="shared" si="2"/>
        <v>186.4141148</v>
      </c>
      <c r="F39" s="3">
        <f t="shared" si="3"/>
        <v>0.0002101727765</v>
      </c>
      <c r="G39" s="3">
        <f t="shared" si="4"/>
        <v>0</v>
      </c>
      <c r="H39" s="2">
        <f t="shared" si="5"/>
        <v>0</v>
      </c>
      <c r="I39" s="3">
        <f t="shared" si="6"/>
        <v>0</v>
      </c>
      <c r="J39" s="3">
        <f t="shared" si="7"/>
        <v>0</v>
      </c>
      <c r="K39" s="3"/>
      <c r="L39" s="3">
        <f t="shared" si="8"/>
        <v>495.985828</v>
      </c>
      <c r="M39" s="9">
        <f t="shared" si="9"/>
        <v>493.4332708</v>
      </c>
      <c r="N39" s="9">
        <f t="shared" si="10"/>
        <v>2.55255713</v>
      </c>
      <c r="O39" s="3"/>
      <c r="P39" s="10">
        <f t="shared" si="11"/>
        <v>186.4141148</v>
      </c>
      <c r="Q39" s="9">
        <f t="shared" si="12"/>
        <v>495.985828</v>
      </c>
      <c r="R39" s="2"/>
      <c r="S39" s="9">
        <f t="shared" si="13"/>
        <v>2.344003341</v>
      </c>
      <c r="W39" s="3"/>
      <c r="X39" s="3"/>
      <c r="Y39" s="3"/>
      <c r="Z39" s="3"/>
      <c r="AA39" s="3"/>
      <c r="AB39" s="3"/>
      <c r="AC39" s="3"/>
    </row>
    <row r="40">
      <c r="A40" s="1">
        <v>28.0</v>
      </c>
      <c r="B40" s="2">
        <v>1.41951739130434E9</v>
      </c>
      <c r="C40" s="2">
        <v>-101.8901291</v>
      </c>
      <c r="D40" s="3">
        <f t="shared" si="1"/>
        <v>-882608.6957</v>
      </c>
      <c r="E40" s="4">
        <f t="shared" si="2"/>
        <v>185.4958187</v>
      </c>
      <c r="F40" s="3">
        <f t="shared" si="3"/>
        <v>0.0002101676763</v>
      </c>
      <c r="G40" s="3">
        <f t="shared" si="4"/>
        <v>0</v>
      </c>
      <c r="H40" s="2">
        <f t="shared" si="5"/>
        <v>0</v>
      </c>
      <c r="I40" s="3">
        <f t="shared" si="6"/>
        <v>0</v>
      </c>
      <c r="J40" s="3">
        <f t="shared" si="7"/>
        <v>0</v>
      </c>
      <c r="K40" s="3"/>
      <c r="L40" s="3">
        <f t="shared" si="8"/>
        <v>492.1452042</v>
      </c>
      <c r="M40" s="9">
        <f t="shared" si="9"/>
        <v>493.3656633</v>
      </c>
      <c r="N40" s="9">
        <f t="shared" si="10"/>
        <v>-1.220459113</v>
      </c>
      <c r="O40" s="3"/>
      <c r="P40" s="10">
        <f t="shared" si="11"/>
        <v>185.4958187</v>
      </c>
      <c r="Q40" s="9">
        <f t="shared" si="12"/>
        <v>492.1452042</v>
      </c>
      <c r="R40" s="2"/>
      <c r="S40" s="9">
        <f t="shared" si="13"/>
        <v>-1.120742883</v>
      </c>
      <c r="W40" s="3"/>
      <c r="X40" s="3"/>
      <c r="Y40" s="3"/>
      <c r="Z40" s="3"/>
      <c r="AA40" s="3"/>
      <c r="AB40" s="3"/>
      <c r="AC40" s="3"/>
    </row>
    <row r="41">
      <c r="A41" s="1">
        <v>29.0</v>
      </c>
      <c r="B41" s="2">
        <v>1.41952173913043E9</v>
      </c>
      <c r="C41" s="2">
        <v>-101.8703918</v>
      </c>
      <c r="D41" s="3">
        <f t="shared" si="1"/>
        <v>-878260.8696</v>
      </c>
      <c r="E41" s="4">
        <f t="shared" si="2"/>
        <v>184.5775226</v>
      </c>
      <c r="F41" s="3">
        <f t="shared" si="3"/>
        <v>0.0002101625257</v>
      </c>
      <c r="G41" s="3">
        <f t="shared" si="4"/>
        <v>0</v>
      </c>
      <c r="H41" s="2">
        <f t="shared" si="5"/>
        <v>0</v>
      </c>
      <c r="I41" s="3">
        <f t="shared" si="6"/>
        <v>0</v>
      </c>
      <c r="J41" s="3">
        <f t="shared" si="7"/>
        <v>0</v>
      </c>
      <c r="K41" s="3"/>
      <c r="L41" s="3">
        <f t="shared" si="8"/>
        <v>494.3869374</v>
      </c>
      <c r="M41" s="9">
        <f t="shared" si="9"/>
        <v>493.2978972</v>
      </c>
      <c r="N41" s="9">
        <f t="shared" si="10"/>
        <v>1.089040178</v>
      </c>
      <c r="O41" s="3"/>
      <c r="P41" s="10">
        <f t="shared" si="11"/>
        <v>184.5775226</v>
      </c>
      <c r="Q41" s="9">
        <f t="shared" si="12"/>
        <v>494.3869374</v>
      </c>
      <c r="R41" s="2"/>
      <c r="S41" s="9">
        <f t="shared" si="13"/>
        <v>1.000061382</v>
      </c>
      <c r="W41" s="3"/>
      <c r="X41" s="3"/>
      <c r="Y41" s="3"/>
      <c r="Z41" s="3"/>
      <c r="AA41" s="3"/>
      <c r="AB41" s="3"/>
      <c r="AC41" s="3"/>
    </row>
    <row r="42">
      <c r="A42" s="1">
        <v>30.0</v>
      </c>
      <c r="B42" s="2">
        <v>1.41952608695652E9</v>
      </c>
      <c r="C42" s="2">
        <v>-101.8661652</v>
      </c>
      <c r="D42" s="3">
        <f t="shared" si="1"/>
        <v>-873913.0435</v>
      </c>
      <c r="E42" s="4">
        <f t="shared" si="2"/>
        <v>183.6592264</v>
      </c>
      <c r="F42" s="3">
        <f t="shared" si="3"/>
        <v>0.0002101573238</v>
      </c>
      <c r="G42" s="3">
        <f t="shared" si="4"/>
        <v>0</v>
      </c>
      <c r="H42" s="2">
        <f t="shared" si="5"/>
        <v>0</v>
      </c>
      <c r="I42" s="3">
        <f t="shared" si="6"/>
        <v>0</v>
      </c>
      <c r="J42" s="3">
        <f t="shared" si="7"/>
        <v>0</v>
      </c>
      <c r="K42" s="3"/>
      <c r="L42" s="3">
        <f t="shared" si="8"/>
        <v>494.8683142</v>
      </c>
      <c r="M42" s="9">
        <f t="shared" si="9"/>
        <v>493.2299723</v>
      </c>
      <c r="N42" s="9">
        <f t="shared" si="10"/>
        <v>1.638341919</v>
      </c>
      <c r="O42" s="3"/>
      <c r="P42" s="10">
        <f t="shared" si="11"/>
        <v>183.6592264</v>
      </c>
      <c r="Q42" s="9">
        <f t="shared" si="12"/>
        <v>494.8683142</v>
      </c>
      <c r="R42" s="2"/>
      <c r="S42" s="9">
        <f t="shared" si="13"/>
        <v>1.504483048</v>
      </c>
      <c r="W42" s="3"/>
      <c r="X42" s="3"/>
      <c r="Y42" s="3"/>
      <c r="Z42" s="3"/>
      <c r="AA42" s="3"/>
      <c r="AB42" s="3"/>
      <c r="AC42" s="3"/>
    </row>
    <row r="43">
      <c r="A43" s="1">
        <v>31.0</v>
      </c>
      <c r="B43" s="2">
        <v>1.4195304347826E9</v>
      </c>
      <c r="C43" s="2">
        <v>-101.8364029</v>
      </c>
      <c r="D43" s="3">
        <f t="shared" si="1"/>
        <v>-869565.2174</v>
      </c>
      <c r="E43" s="4">
        <f t="shared" si="2"/>
        <v>182.7409303</v>
      </c>
      <c r="F43" s="3">
        <f t="shared" si="3"/>
        <v>0.0002101520698</v>
      </c>
      <c r="G43" s="3">
        <f t="shared" si="4"/>
        <v>0</v>
      </c>
      <c r="H43" s="2">
        <f t="shared" si="5"/>
        <v>0</v>
      </c>
      <c r="I43" s="3">
        <f t="shared" si="6"/>
        <v>0</v>
      </c>
      <c r="J43" s="3">
        <f t="shared" si="7"/>
        <v>0</v>
      </c>
      <c r="K43" s="3"/>
      <c r="L43" s="3">
        <f t="shared" si="8"/>
        <v>498.2713051</v>
      </c>
      <c r="M43" s="9">
        <f t="shared" si="9"/>
        <v>493.1618882</v>
      </c>
      <c r="N43" s="9">
        <f t="shared" si="10"/>
        <v>5.109416949</v>
      </c>
      <c r="O43" s="3"/>
      <c r="P43" s="10">
        <f t="shared" si="11"/>
        <v>182.7409303</v>
      </c>
      <c r="Q43" s="9">
        <f t="shared" si="12"/>
        <v>498.2713051</v>
      </c>
      <c r="R43" s="2"/>
      <c r="S43" s="9">
        <f t="shared" si="13"/>
        <v>4.691957825</v>
      </c>
      <c r="W43" s="3"/>
      <c r="X43" s="3"/>
      <c r="Y43" s="3"/>
      <c r="Z43" s="3"/>
      <c r="AA43" s="3"/>
      <c r="AB43" s="3"/>
      <c r="AC43" s="3"/>
    </row>
    <row r="44">
      <c r="A44" s="1">
        <v>32.0</v>
      </c>
      <c r="B44" s="2">
        <v>1.41953478260869E9</v>
      </c>
      <c r="C44" s="2">
        <v>-101.8656845</v>
      </c>
      <c r="D44" s="3">
        <f t="shared" si="1"/>
        <v>-865217.3913</v>
      </c>
      <c r="E44" s="4">
        <f t="shared" si="2"/>
        <v>181.8226342</v>
      </c>
      <c r="F44" s="3">
        <f t="shared" si="3"/>
        <v>0.0002101467631</v>
      </c>
      <c r="G44" s="3">
        <f t="shared" si="4"/>
        <v>0</v>
      </c>
      <c r="H44" s="2">
        <f t="shared" si="5"/>
        <v>0</v>
      </c>
      <c r="I44" s="3">
        <f t="shared" si="6"/>
        <v>0</v>
      </c>
      <c r="J44" s="3">
        <f t="shared" si="7"/>
        <v>0</v>
      </c>
      <c r="K44" s="3"/>
      <c r="L44" s="3">
        <f t="shared" si="8"/>
        <v>494.9230919</v>
      </c>
      <c r="M44" s="9">
        <f t="shared" si="9"/>
        <v>493.0936446</v>
      </c>
      <c r="N44" s="9">
        <f t="shared" si="10"/>
        <v>1.82944731</v>
      </c>
      <c r="O44" s="3"/>
      <c r="P44" s="10">
        <f t="shared" si="11"/>
        <v>181.8226342</v>
      </c>
      <c r="Q44" s="9">
        <f t="shared" si="12"/>
        <v>494.9230919</v>
      </c>
      <c r="R44" s="2"/>
      <c r="S44" s="9">
        <f t="shared" si="13"/>
        <v>1.67997439</v>
      </c>
      <c r="W44" s="3"/>
      <c r="X44" s="3"/>
      <c r="Y44" s="3"/>
      <c r="Z44" s="3"/>
      <c r="AA44" s="3"/>
      <c r="AB44" s="3"/>
      <c r="AC44" s="3"/>
    </row>
    <row r="45">
      <c r="A45" s="1">
        <v>33.0</v>
      </c>
      <c r="B45" s="2">
        <v>1.41953913043478E9</v>
      </c>
      <c r="C45" s="2">
        <v>-101.9382401</v>
      </c>
      <c r="D45" s="3">
        <f t="shared" si="1"/>
        <v>-860869.5652</v>
      </c>
      <c r="E45" s="4">
        <f t="shared" si="2"/>
        <v>180.904338</v>
      </c>
      <c r="F45" s="3">
        <f t="shared" si="3"/>
        <v>0.0002101414028</v>
      </c>
      <c r="G45" s="3">
        <f t="shared" si="4"/>
        <v>0</v>
      </c>
      <c r="H45" s="2">
        <f t="shared" si="5"/>
        <v>0</v>
      </c>
      <c r="I45" s="3">
        <f t="shared" si="6"/>
        <v>0</v>
      </c>
      <c r="J45" s="3">
        <f t="shared" si="7"/>
        <v>0</v>
      </c>
      <c r="K45" s="3"/>
      <c r="L45" s="3">
        <f t="shared" si="8"/>
        <v>486.7233229</v>
      </c>
      <c r="M45" s="9">
        <f t="shared" si="9"/>
        <v>493.0252411</v>
      </c>
      <c r="N45" s="9">
        <f t="shared" si="10"/>
        <v>-6.301918155</v>
      </c>
      <c r="O45" s="3"/>
      <c r="P45" s="10">
        <f t="shared" si="11"/>
        <v>180.904338</v>
      </c>
      <c r="Q45" s="9">
        <f t="shared" si="12"/>
        <v>486.7233229</v>
      </c>
      <c r="R45" s="2"/>
      <c r="S45" s="9">
        <f t="shared" si="13"/>
        <v>-5.787027057</v>
      </c>
      <c r="W45" s="3"/>
      <c r="X45" s="3"/>
      <c r="Y45" s="3"/>
      <c r="Z45" s="3"/>
      <c r="AA45" s="3"/>
      <c r="AB45" s="3"/>
      <c r="AC45" s="3"/>
    </row>
    <row r="46">
      <c r="A46" s="1">
        <v>34.0</v>
      </c>
      <c r="B46" s="2">
        <v>1.41954347826087E9</v>
      </c>
      <c r="C46" s="2">
        <v>-101.9380264</v>
      </c>
      <c r="D46" s="3">
        <f t="shared" si="1"/>
        <v>-856521.7391</v>
      </c>
      <c r="E46" s="4">
        <f t="shared" si="2"/>
        <v>179.9860419</v>
      </c>
      <c r="F46" s="3">
        <f t="shared" si="3"/>
        <v>0.000210135988</v>
      </c>
      <c r="G46" s="3">
        <f t="shared" si="4"/>
        <v>0</v>
      </c>
      <c r="H46" s="2">
        <f t="shared" si="5"/>
        <v>0</v>
      </c>
      <c r="I46" s="3">
        <f t="shared" si="6"/>
        <v>0</v>
      </c>
      <c r="J46" s="3">
        <f t="shared" si="7"/>
        <v>0</v>
      </c>
      <c r="K46" s="3"/>
      <c r="L46" s="3">
        <f t="shared" si="8"/>
        <v>486.7472734</v>
      </c>
      <c r="M46" s="9">
        <f t="shared" si="9"/>
        <v>492.9566774</v>
      </c>
      <c r="N46" s="9">
        <f t="shared" si="10"/>
        <v>-6.20940408</v>
      </c>
      <c r="O46" s="3"/>
      <c r="P46" s="10">
        <f t="shared" si="11"/>
        <v>179.9860419</v>
      </c>
      <c r="Q46" s="9">
        <f t="shared" si="12"/>
        <v>486.7472734</v>
      </c>
      <c r="R46" s="2"/>
      <c r="S46" s="9">
        <f t="shared" si="13"/>
        <v>-5.702071753</v>
      </c>
      <c r="W46" s="3"/>
      <c r="X46" s="3"/>
      <c r="Y46" s="3"/>
      <c r="Z46" s="3"/>
      <c r="AA46" s="3"/>
      <c r="AB46" s="3"/>
      <c r="AC46" s="3"/>
    </row>
    <row r="47">
      <c r="A47" s="1">
        <v>35.0</v>
      </c>
      <c r="B47" s="2">
        <v>1.41954782608695E9</v>
      </c>
      <c r="C47" s="2">
        <v>-101.8926163</v>
      </c>
      <c r="D47" s="3">
        <f t="shared" si="1"/>
        <v>-852173.913</v>
      </c>
      <c r="E47" s="4">
        <f t="shared" si="2"/>
        <v>179.0677458</v>
      </c>
      <c r="F47" s="3">
        <f t="shared" si="3"/>
        <v>0.000210130518</v>
      </c>
      <c r="G47" s="3">
        <f t="shared" si="4"/>
        <v>0</v>
      </c>
      <c r="H47" s="2">
        <f t="shared" si="5"/>
        <v>0</v>
      </c>
      <c r="I47" s="3">
        <f t="shared" si="6"/>
        <v>0</v>
      </c>
      <c r="J47" s="3">
        <f t="shared" si="7"/>
        <v>0</v>
      </c>
      <c r="K47" s="3"/>
      <c r="L47" s="3">
        <f t="shared" si="8"/>
        <v>491.8634338</v>
      </c>
      <c r="M47" s="9">
        <f t="shared" si="9"/>
        <v>492.8879533</v>
      </c>
      <c r="N47" s="9">
        <f t="shared" si="10"/>
        <v>-1.024519432</v>
      </c>
      <c r="O47" s="3"/>
      <c r="P47" s="10">
        <f t="shared" si="11"/>
        <v>179.0677458</v>
      </c>
      <c r="Q47" s="9">
        <f t="shared" si="12"/>
        <v>491.8634338</v>
      </c>
      <c r="R47" s="2"/>
      <c r="S47" s="9">
        <f t="shared" si="13"/>
        <v>-0.9408122319</v>
      </c>
      <c r="W47" s="3"/>
      <c r="X47" s="3"/>
      <c r="Y47" s="3"/>
      <c r="Z47" s="3"/>
      <c r="AA47" s="3"/>
      <c r="AB47" s="3"/>
      <c r="AC47" s="3"/>
    </row>
    <row r="48">
      <c r="A48" s="1">
        <v>36.0</v>
      </c>
      <c r="B48" s="2">
        <v>1.41955217391304E9</v>
      </c>
      <c r="C48" s="2">
        <v>-101.8507614</v>
      </c>
      <c r="D48" s="3">
        <f t="shared" si="1"/>
        <v>-847826.087</v>
      </c>
      <c r="E48" s="4">
        <f t="shared" si="2"/>
        <v>178.1494496</v>
      </c>
      <c r="F48" s="3">
        <f t="shared" si="3"/>
        <v>0.0002101249919</v>
      </c>
      <c r="G48" s="3">
        <f t="shared" si="4"/>
        <v>0</v>
      </c>
      <c r="H48" s="2">
        <f t="shared" si="5"/>
        <v>0</v>
      </c>
      <c r="I48" s="3">
        <f t="shared" si="6"/>
        <v>0</v>
      </c>
      <c r="J48" s="3">
        <f t="shared" si="7"/>
        <v>0</v>
      </c>
      <c r="K48" s="3"/>
      <c r="L48" s="3">
        <f t="shared" si="8"/>
        <v>496.6266573</v>
      </c>
      <c r="M48" s="9">
        <f t="shared" si="9"/>
        <v>492.8190682</v>
      </c>
      <c r="N48" s="9">
        <f t="shared" si="10"/>
        <v>3.807589106</v>
      </c>
      <c r="O48" s="3"/>
      <c r="P48" s="10">
        <f t="shared" si="11"/>
        <v>178.1494496</v>
      </c>
      <c r="Q48" s="9">
        <f t="shared" si="12"/>
        <v>496.6266573</v>
      </c>
      <c r="R48" s="2"/>
      <c r="S48" s="9">
        <f t="shared" si="13"/>
        <v>3.496494344</v>
      </c>
      <c r="W48" s="3"/>
      <c r="X48" s="3"/>
      <c r="Y48" s="3"/>
      <c r="Z48" s="3"/>
      <c r="AA48" s="3"/>
      <c r="AB48" s="3"/>
      <c r="AC48" s="3"/>
    </row>
    <row r="49">
      <c r="A49" s="1">
        <v>37.0</v>
      </c>
      <c r="B49" s="2">
        <v>1.41955652173913E9</v>
      </c>
      <c r="C49" s="2">
        <v>-101.8850555</v>
      </c>
      <c r="D49" s="3">
        <f t="shared" si="1"/>
        <v>-843478.2609</v>
      </c>
      <c r="E49" s="4">
        <f t="shared" si="2"/>
        <v>177.2311535</v>
      </c>
      <c r="F49" s="3">
        <f t="shared" si="3"/>
        <v>0.0002101194088</v>
      </c>
      <c r="G49" s="3">
        <f t="shared" si="4"/>
        <v>0</v>
      </c>
      <c r="H49" s="2">
        <f t="shared" si="5"/>
        <v>0</v>
      </c>
      <c r="I49" s="3">
        <f t="shared" si="6"/>
        <v>0</v>
      </c>
      <c r="J49" s="3">
        <f t="shared" si="7"/>
        <v>0</v>
      </c>
      <c r="K49" s="3"/>
      <c r="L49" s="3">
        <f t="shared" si="8"/>
        <v>492.7204836</v>
      </c>
      <c r="M49" s="9">
        <f t="shared" si="9"/>
        <v>492.750022</v>
      </c>
      <c r="N49" s="9">
        <f t="shared" si="10"/>
        <v>-0.02953835314</v>
      </c>
      <c r="O49" s="3"/>
      <c r="P49" s="10">
        <f t="shared" si="11"/>
        <v>177.2311535</v>
      </c>
      <c r="Q49" s="9">
        <f t="shared" si="12"/>
        <v>492.7204836</v>
      </c>
      <c r="R49" s="2"/>
      <c r="S49" s="9">
        <f t="shared" si="13"/>
        <v>-0.02712495546</v>
      </c>
      <c r="W49" s="3"/>
      <c r="X49" s="3"/>
      <c r="Y49" s="3"/>
      <c r="Z49" s="3"/>
      <c r="AA49" s="3"/>
      <c r="AB49" s="3"/>
      <c r="AC49" s="3"/>
    </row>
    <row r="50">
      <c r="A50" s="1">
        <v>38.0</v>
      </c>
      <c r="B50" s="2">
        <v>1.41956086956521E9</v>
      </c>
      <c r="C50" s="2">
        <v>-101.9268112</v>
      </c>
      <c r="D50" s="3">
        <f t="shared" si="1"/>
        <v>-839130.4348</v>
      </c>
      <c r="E50" s="4">
        <f t="shared" si="2"/>
        <v>176.3128574</v>
      </c>
      <c r="F50" s="3">
        <f t="shared" si="3"/>
        <v>0.0002101137678</v>
      </c>
      <c r="G50" s="3">
        <f t="shared" si="4"/>
        <v>0</v>
      </c>
      <c r="H50" s="2">
        <f t="shared" si="5"/>
        <v>0</v>
      </c>
      <c r="I50" s="3">
        <f t="shared" si="6"/>
        <v>0</v>
      </c>
      <c r="J50" s="3">
        <f t="shared" si="7"/>
        <v>0</v>
      </c>
      <c r="K50" s="3"/>
      <c r="L50" s="3">
        <f t="shared" si="8"/>
        <v>488.0058716</v>
      </c>
      <c r="M50" s="9">
        <f t="shared" si="9"/>
        <v>492.6808143</v>
      </c>
      <c r="N50" s="9">
        <f t="shared" si="10"/>
        <v>-4.674942669</v>
      </c>
      <c r="O50" s="3"/>
      <c r="P50" s="10">
        <f t="shared" si="11"/>
        <v>176.3128574</v>
      </c>
      <c r="Q50" s="9">
        <f t="shared" si="12"/>
        <v>488.0058716</v>
      </c>
      <c r="R50" s="2"/>
      <c r="S50" s="9">
        <f t="shared" si="13"/>
        <v>-4.292981774</v>
      </c>
      <c r="W50" s="3"/>
      <c r="X50" s="3"/>
      <c r="Y50" s="3"/>
      <c r="Z50" s="3"/>
      <c r="AA50" s="3"/>
      <c r="AB50" s="3"/>
      <c r="AC50" s="3"/>
    </row>
    <row r="51">
      <c r="A51" s="1">
        <v>39.0</v>
      </c>
      <c r="B51" s="2">
        <v>1.4195652173913E9</v>
      </c>
      <c r="C51" s="2">
        <v>-101.8976364</v>
      </c>
      <c r="D51" s="3">
        <f t="shared" si="1"/>
        <v>-834782.6087</v>
      </c>
      <c r="E51" s="4">
        <f t="shared" si="2"/>
        <v>175.3945612</v>
      </c>
      <c r="F51" s="3">
        <f t="shared" si="3"/>
        <v>0.0002101080681</v>
      </c>
      <c r="G51" s="3">
        <f t="shared" si="4"/>
        <v>0</v>
      </c>
      <c r="H51" s="2">
        <f t="shared" si="5"/>
        <v>0</v>
      </c>
      <c r="I51" s="3">
        <f t="shared" si="6"/>
        <v>0</v>
      </c>
      <c r="J51" s="3">
        <f t="shared" si="7"/>
        <v>0</v>
      </c>
      <c r="K51" s="3"/>
      <c r="L51" s="3">
        <f t="shared" si="8"/>
        <v>491.2952072</v>
      </c>
      <c r="M51" s="9">
        <f t="shared" si="9"/>
        <v>492.6114447</v>
      </c>
      <c r="N51" s="9">
        <f t="shared" si="10"/>
        <v>-1.31623751</v>
      </c>
      <c r="O51" s="3"/>
      <c r="P51" s="10">
        <f t="shared" si="11"/>
        <v>175.3945612</v>
      </c>
      <c r="Q51" s="9">
        <f t="shared" si="12"/>
        <v>491.2952072</v>
      </c>
      <c r="R51" s="2"/>
      <c r="S51" s="9">
        <f t="shared" si="13"/>
        <v>-1.208695813</v>
      </c>
      <c r="W51" s="3"/>
      <c r="X51" s="3"/>
      <c r="Y51" s="3"/>
      <c r="Z51" s="3"/>
      <c r="AA51" s="3"/>
      <c r="AB51" s="3"/>
      <c r="AC51" s="3"/>
    </row>
    <row r="52">
      <c r="A52" s="1">
        <v>40.0</v>
      </c>
      <c r="B52" s="2">
        <v>1.41956956521739E9</v>
      </c>
      <c r="C52" s="2">
        <v>-101.9156113</v>
      </c>
      <c r="D52" s="3">
        <f t="shared" si="1"/>
        <v>-830434.7826</v>
      </c>
      <c r="E52" s="4">
        <f t="shared" si="2"/>
        <v>174.4762651</v>
      </c>
      <c r="F52" s="3">
        <f t="shared" si="3"/>
        <v>0.0002101023088</v>
      </c>
      <c r="G52" s="3">
        <f t="shared" si="4"/>
        <v>0</v>
      </c>
      <c r="H52" s="2">
        <f t="shared" si="5"/>
        <v>0</v>
      </c>
      <c r="I52" s="3">
        <f t="shared" si="6"/>
        <v>0</v>
      </c>
      <c r="J52" s="3">
        <f t="shared" si="7"/>
        <v>0</v>
      </c>
      <c r="K52" s="3"/>
      <c r="L52" s="3">
        <f t="shared" si="8"/>
        <v>489.2660006</v>
      </c>
      <c r="M52" s="9">
        <f t="shared" si="9"/>
        <v>492.5419129</v>
      </c>
      <c r="N52" s="9">
        <f t="shared" si="10"/>
        <v>-3.275912313</v>
      </c>
      <c r="O52" s="3"/>
      <c r="P52" s="10">
        <f t="shared" si="11"/>
        <v>174.4762651</v>
      </c>
      <c r="Q52" s="9">
        <f t="shared" si="12"/>
        <v>489.2660006</v>
      </c>
      <c r="R52" s="2"/>
      <c r="S52" s="9">
        <f t="shared" si="13"/>
        <v>-3.008257608</v>
      </c>
      <c r="W52" s="3"/>
      <c r="X52" s="3"/>
      <c r="Y52" s="3"/>
      <c r="Z52" s="3"/>
      <c r="AA52" s="3"/>
      <c r="AB52" s="3"/>
      <c r="AC52" s="3"/>
    </row>
    <row r="53">
      <c r="A53" s="1">
        <v>41.0</v>
      </c>
      <c r="B53" s="2">
        <v>1.41957391304347E9</v>
      </c>
      <c r="C53" s="2">
        <v>-101.9241486</v>
      </c>
      <c r="D53" s="3">
        <f t="shared" si="1"/>
        <v>-826086.9565</v>
      </c>
      <c r="E53" s="4">
        <f t="shared" si="2"/>
        <v>173.557969</v>
      </c>
      <c r="F53" s="3">
        <f t="shared" si="3"/>
        <v>0.0002100964888</v>
      </c>
      <c r="G53" s="3">
        <f t="shared" si="4"/>
        <v>0</v>
      </c>
      <c r="H53" s="2">
        <f t="shared" si="5"/>
        <v>0</v>
      </c>
      <c r="I53" s="3">
        <f t="shared" si="6"/>
        <v>0</v>
      </c>
      <c r="J53" s="3">
        <f t="shared" si="7"/>
        <v>0</v>
      </c>
      <c r="K53" s="3"/>
      <c r="L53" s="3">
        <f t="shared" si="8"/>
        <v>488.305153</v>
      </c>
      <c r="M53" s="9">
        <f t="shared" si="9"/>
        <v>492.4722186</v>
      </c>
      <c r="N53" s="9">
        <f t="shared" si="10"/>
        <v>-4.167065523</v>
      </c>
      <c r="O53" s="3"/>
      <c r="P53" s="10">
        <f t="shared" si="11"/>
        <v>173.557969</v>
      </c>
      <c r="Q53" s="9">
        <f t="shared" si="12"/>
        <v>488.305153</v>
      </c>
      <c r="R53" s="2"/>
      <c r="S53" s="9">
        <f t="shared" si="13"/>
        <v>-3.826600155</v>
      </c>
      <c r="W53" s="3"/>
      <c r="X53" s="3"/>
      <c r="Y53" s="3"/>
      <c r="Z53" s="3"/>
      <c r="AA53" s="3"/>
      <c r="AB53" s="3"/>
      <c r="AC53" s="3"/>
    </row>
    <row r="54">
      <c r="A54" s="1">
        <v>42.0</v>
      </c>
      <c r="B54" s="2">
        <v>1.41957826086956E9</v>
      </c>
      <c r="C54" s="2">
        <v>-101.8614502</v>
      </c>
      <c r="D54" s="3">
        <f t="shared" si="1"/>
        <v>-821739.1304</v>
      </c>
      <c r="E54" s="4">
        <f t="shared" si="2"/>
        <v>172.6396728</v>
      </c>
      <c r="F54" s="3">
        <f t="shared" si="3"/>
        <v>0.0002100906072</v>
      </c>
      <c r="G54" s="3">
        <f t="shared" si="4"/>
        <v>0</v>
      </c>
      <c r="H54" s="2">
        <f t="shared" si="5"/>
        <v>0</v>
      </c>
      <c r="I54" s="3">
        <f t="shared" si="6"/>
        <v>0</v>
      </c>
      <c r="J54" s="3">
        <f t="shared" si="7"/>
        <v>0</v>
      </c>
      <c r="K54" s="3"/>
      <c r="L54" s="3">
        <f t="shared" si="8"/>
        <v>495.4058691</v>
      </c>
      <c r="M54" s="9">
        <f t="shared" si="9"/>
        <v>492.4023614</v>
      </c>
      <c r="N54" s="9">
        <f t="shared" si="10"/>
        <v>3.003507693</v>
      </c>
      <c r="O54" s="3"/>
      <c r="P54" s="10">
        <f t="shared" si="11"/>
        <v>172.6396728</v>
      </c>
      <c r="Q54" s="9">
        <f t="shared" si="12"/>
        <v>495.4058691</v>
      </c>
      <c r="R54" s="2"/>
      <c r="S54" s="9">
        <f t="shared" si="13"/>
        <v>2.758109492</v>
      </c>
      <c r="W54" s="3"/>
      <c r="X54" s="3"/>
      <c r="Y54" s="3"/>
      <c r="Z54" s="3"/>
      <c r="AA54" s="3"/>
      <c r="AB54" s="3"/>
      <c r="AC54" s="3"/>
    </row>
    <row r="55">
      <c r="A55" s="1">
        <v>43.0</v>
      </c>
      <c r="B55" s="2">
        <v>1.41958260869565E9</v>
      </c>
      <c r="C55" s="2">
        <v>-101.943985</v>
      </c>
      <c r="D55" s="3">
        <f t="shared" si="1"/>
        <v>-817391.3043</v>
      </c>
      <c r="E55" s="4">
        <f t="shared" si="2"/>
        <v>171.7213767</v>
      </c>
      <c r="F55" s="3">
        <f t="shared" si="3"/>
        <v>0.000210084663</v>
      </c>
      <c r="G55" s="3">
        <f t="shared" si="4"/>
        <v>0</v>
      </c>
      <c r="H55" s="2">
        <f t="shared" si="5"/>
        <v>0</v>
      </c>
      <c r="I55" s="3">
        <f t="shared" si="6"/>
        <v>0</v>
      </c>
      <c r="J55" s="3">
        <f t="shared" si="7"/>
        <v>0</v>
      </c>
      <c r="K55" s="3"/>
      <c r="L55" s="3">
        <f t="shared" si="8"/>
        <v>486.0799051</v>
      </c>
      <c r="M55" s="9">
        <f t="shared" si="9"/>
        <v>492.332341</v>
      </c>
      <c r="N55" s="9">
        <f t="shared" si="10"/>
        <v>-6.25243595</v>
      </c>
      <c r="O55" s="3"/>
      <c r="P55" s="10">
        <f t="shared" si="11"/>
        <v>171.7213767</v>
      </c>
      <c r="Q55" s="9">
        <f t="shared" si="12"/>
        <v>486.0799051</v>
      </c>
      <c r="R55" s="2"/>
      <c r="S55" s="9">
        <f t="shared" si="13"/>
        <v>-5.741587753</v>
      </c>
      <c r="W55" s="3"/>
      <c r="X55" s="3"/>
      <c r="Y55" s="3"/>
      <c r="Z55" s="3"/>
      <c r="AA55" s="3"/>
      <c r="AB55" s="3"/>
      <c r="AC55" s="3"/>
    </row>
    <row r="56">
      <c r="A56" s="1">
        <v>44.0</v>
      </c>
      <c r="B56" s="2">
        <v>1.41958695652173E9</v>
      </c>
      <c r="C56" s="2">
        <v>-101.8485947</v>
      </c>
      <c r="D56" s="3">
        <f t="shared" si="1"/>
        <v>-813043.4783</v>
      </c>
      <c r="E56" s="4">
        <f t="shared" si="2"/>
        <v>170.8030806</v>
      </c>
      <c r="F56" s="3">
        <f t="shared" si="3"/>
        <v>0.0002100786553</v>
      </c>
      <c r="G56" s="3">
        <f t="shared" si="4"/>
        <v>0</v>
      </c>
      <c r="H56" s="2">
        <f t="shared" si="5"/>
        <v>0</v>
      </c>
      <c r="I56" s="3">
        <f t="shared" si="6"/>
        <v>0</v>
      </c>
      <c r="J56" s="3">
        <f t="shared" si="7"/>
        <v>0</v>
      </c>
      <c r="K56" s="3"/>
      <c r="L56" s="3">
        <f t="shared" si="8"/>
        <v>496.8744867</v>
      </c>
      <c r="M56" s="9">
        <f t="shared" si="9"/>
        <v>492.2621571</v>
      </c>
      <c r="N56" s="9">
        <f t="shared" si="10"/>
        <v>4.612329586</v>
      </c>
      <c r="O56" s="3"/>
      <c r="P56" s="10">
        <f t="shared" si="11"/>
        <v>170.8030806</v>
      </c>
      <c r="Q56" s="9">
        <f t="shared" si="12"/>
        <v>496.8744867</v>
      </c>
      <c r="R56" s="2"/>
      <c r="S56" s="9">
        <f t="shared" si="13"/>
        <v>4.235484422</v>
      </c>
      <c r="W56" s="3"/>
      <c r="X56" s="3"/>
      <c r="Y56" s="3"/>
      <c r="Z56" s="3"/>
      <c r="AA56" s="3"/>
      <c r="AB56" s="3"/>
      <c r="AC56" s="3"/>
    </row>
    <row r="57">
      <c r="A57" s="1">
        <v>45.0</v>
      </c>
      <c r="B57" s="2">
        <v>1.41959130434782E9</v>
      </c>
      <c r="C57" s="2">
        <v>-101.8877792</v>
      </c>
      <c r="D57" s="3">
        <f t="shared" si="1"/>
        <v>-808695.6522</v>
      </c>
      <c r="E57" s="4">
        <f t="shared" si="2"/>
        <v>169.8847844</v>
      </c>
      <c r="F57" s="3">
        <f t="shared" si="3"/>
        <v>0.0002100725829</v>
      </c>
      <c r="G57" s="3">
        <f t="shared" si="4"/>
        <v>0</v>
      </c>
      <c r="H57" s="2">
        <f t="shared" si="5"/>
        <v>0</v>
      </c>
      <c r="I57" s="3">
        <f t="shared" si="6"/>
        <v>0</v>
      </c>
      <c r="J57" s="3">
        <f t="shared" si="7"/>
        <v>0</v>
      </c>
      <c r="K57" s="3"/>
      <c r="L57" s="3">
        <f t="shared" si="8"/>
        <v>492.4115684</v>
      </c>
      <c r="M57" s="9">
        <f t="shared" si="9"/>
        <v>492.1918094</v>
      </c>
      <c r="N57" s="9">
        <f t="shared" si="10"/>
        <v>0.2197589598</v>
      </c>
      <c r="O57" s="3"/>
      <c r="P57" s="10">
        <f t="shared" si="11"/>
        <v>169.8847844</v>
      </c>
      <c r="Q57" s="9">
        <f t="shared" si="12"/>
        <v>492.4115684</v>
      </c>
      <c r="R57" s="2"/>
      <c r="S57" s="9">
        <f t="shared" si="13"/>
        <v>0.2018038029</v>
      </c>
      <c r="W57" s="3"/>
      <c r="X57" s="3"/>
      <c r="Y57" s="3"/>
      <c r="Z57" s="3"/>
      <c r="AA57" s="3"/>
      <c r="AB57" s="3"/>
      <c r="AC57" s="3"/>
    </row>
    <row r="58">
      <c r="A58" s="1">
        <v>46.0</v>
      </c>
      <c r="B58" s="2">
        <v>1.41959565217391E9</v>
      </c>
      <c r="C58" s="2">
        <v>-101.8499527</v>
      </c>
      <c r="D58" s="3">
        <f t="shared" si="1"/>
        <v>-804347.8261</v>
      </c>
      <c r="E58" s="4">
        <f t="shared" si="2"/>
        <v>168.9664883</v>
      </c>
      <c r="F58" s="3">
        <f t="shared" si="3"/>
        <v>0.0002100664449</v>
      </c>
      <c r="G58" s="3">
        <f t="shared" si="4"/>
        <v>0</v>
      </c>
      <c r="H58" s="2">
        <f t="shared" si="5"/>
        <v>0</v>
      </c>
      <c r="I58" s="3">
        <f t="shared" si="6"/>
        <v>0</v>
      </c>
      <c r="J58" s="3">
        <f t="shared" si="7"/>
        <v>0</v>
      </c>
      <c r="K58" s="3"/>
      <c r="L58" s="3">
        <f t="shared" si="8"/>
        <v>496.7191428</v>
      </c>
      <c r="M58" s="9">
        <f t="shared" si="9"/>
        <v>492.1212975</v>
      </c>
      <c r="N58" s="9">
        <f t="shared" si="10"/>
        <v>4.597845354</v>
      </c>
      <c r="O58" s="3"/>
      <c r="P58" s="10">
        <f t="shared" si="11"/>
        <v>168.9664883</v>
      </c>
      <c r="Q58" s="9">
        <f t="shared" si="12"/>
        <v>496.7191428</v>
      </c>
      <c r="R58" s="2"/>
      <c r="S58" s="9">
        <f t="shared" si="13"/>
        <v>4.222183598</v>
      </c>
      <c r="W58" s="3"/>
      <c r="X58" s="3"/>
      <c r="Y58" s="3"/>
      <c r="Z58" s="3"/>
      <c r="AA58" s="3"/>
      <c r="AB58" s="3"/>
      <c r="AC58" s="3"/>
    </row>
    <row r="59">
      <c r="A59" s="1">
        <v>47.0</v>
      </c>
      <c r="B59" s="2">
        <v>1.4196E9</v>
      </c>
      <c r="C59" s="2">
        <v>-101.8759918</v>
      </c>
      <c r="D59" s="3">
        <f t="shared" si="1"/>
        <v>-800000</v>
      </c>
      <c r="E59" s="4">
        <f t="shared" si="2"/>
        <v>168.0481922</v>
      </c>
      <c r="F59" s="3">
        <f t="shared" si="3"/>
        <v>0.0002100602402</v>
      </c>
      <c r="G59" s="3">
        <f t="shared" si="4"/>
        <v>0</v>
      </c>
      <c r="H59" s="2">
        <f t="shared" si="5"/>
        <v>0</v>
      </c>
      <c r="I59" s="3">
        <f t="shared" si="6"/>
        <v>0</v>
      </c>
      <c r="J59" s="3">
        <f t="shared" si="7"/>
        <v>0</v>
      </c>
      <c r="K59" s="3"/>
      <c r="L59" s="3">
        <f t="shared" si="8"/>
        <v>493.7498621</v>
      </c>
      <c r="M59" s="9">
        <f t="shared" si="9"/>
        <v>492.050621</v>
      </c>
      <c r="N59" s="9">
        <f t="shared" si="10"/>
        <v>1.699241153</v>
      </c>
      <c r="O59" s="3"/>
      <c r="P59" s="10">
        <f t="shared" si="11"/>
        <v>168.0481922</v>
      </c>
      <c r="Q59" s="9">
        <f t="shared" si="12"/>
        <v>493.7498621</v>
      </c>
      <c r="R59" s="2"/>
      <c r="S59" s="9">
        <f t="shared" si="13"/>
        <v>1.56040658</v>
      </c>
      <c r="W59" s="3"/>
      <c r="X59" s="3"/>
      <c r="Y59" s="3"/>
      <c r="Z59" s="3"/>
      <c r="AA59" s="3"/>
      <c r="AB59" s="3"/>
      <c r="AC59" s="3"/>
    </row>
    <row r="60">
      <c r="A60" s="1">
        <v>48.0</v>
      </c>
      <c r="B60" s="2">
        <v>1.41960434782608E9</v>
      </c>
      <c r="C60" s="2">
        <v>-101.8980484</v>
      </c>
      <c r="D60" s="3">
        <f t="shared" si="1"/>
        <v>-795652.1739</v>
      </c>
      <c r="E60" s="4">
        <f t="shared" si="2"/>
        <v>167.129896</v>
      </c>
      <c r="F60" s="3">
        <f t="shared" si="3"/>
        <v>0.0002100539677</v>
      </c>
      <c r="G60" s="3">
        <f t="shared" si="4"/>
        <v>0</v>
      </c>
      <c r="H60" s="2">
        <f t="shared" si="5"/>
        <v>0</v>
      </c>
      <c r="I60" s="3">
        <f t="shared" si="6"/>
        <v>0</v>
      </c>
      <c r="J60" s="3">
        <f t="shared" si="7"/>
        <v>0</v>
      </c>
      <c r="K60" s="3"/>
      <c r="L60" s="3">
        <f t="shared" si="8"/>
        <v>491.2486019</v>
      </c>
      <c r="M60" s="9">
        <f t="shared" si="9"/>
        <v>491.9797797</v>
      </c>
      <c r="N60" s="9">
        <f t="shared" si="10"/>
        <v>-0.7311777584</v>
      </c>
      <c r="O60" s="3"/>
      <c r="P60" s="10">
        <f t="shared" si="11"/>
        <v>167.129896</v>
      </c>
      <c r="Q60" s="9">
        <f t="shared" si="12"/>
        <v>491.2486019</v>
      </c>
      <c r="R60" s="2"/>
      <c r="S60" s="9">
        <f t="shared" si="13"/>
        <v>-0.6714377079</v>
      </c>
      <c r="W60" s="3"/>
      <c r="X60" s="3"/>
      <c r="Y60" s="3"/>
      <c r="Z60" s="3"/>
      <c r="AA60" s="3"/>
      <c r="AB60" s="3"/>
      <c r="AC60" s="3"/>
    </row>
    <row r="61">
      <c r="A61" s="1">
        <v>49.0</v>
      </c>
      <c r="B61" s="2">
        <v>1.41960869565217E9</v>
      </c>
      <c r="C61" s="2">
        <v>-101.9034805</v>
      </c>
      <c r="D61" s="3">
        <f t="shared" si="1"/>
        <v>-791304.3478</v>
      </c>
      <c r="E61" s="4">
        <f t="shared" si="2"/>
        <v>166.2115999</v>
      </c>
      <c r="F61" s="3">
        <f t="shared" si="3"/>
        <v>0.0002100476263</v>
      </c>
      <c r="G61" s="3">
        <f t="shared" si="4"/>
        <v>0</v>
      </c>
      <c r="H61" s="2">
        <f t="shared" si="5"/>
        <v>0</v>
      </c>
      <c r="I61" s="3">
        <f t="shared" si="6"/>
        <v>0</v>
      </c>
      <c r="J61" s="3">
        <f t="shared" si="7"/>
        <v>0</v>
      </c>
      <c r="K61" s="3"/>
      <c r="L61" s="3">
        <f t="shared" si="8"/>
        <v>490.6345385</v>
      </c>
      <c r="M61" s="9">
        <f t="shared" si="9"/>
        <v>491.9087731</v>
      </c>
      <c r="N61" s="9">
        <f t="shared" si="10"/>
        <v>-1.274234607</v>
      </c>
      <c r="O61" s="3"/>
      <c r="P61" s="10">
        <f t="shared" si="11"/>
        <v>166.2115999</v>
      </c>
      <c r="Q61" s="9">
        <f t="shared" si="12"/>
        <v>490.6345385</v>
      </c>
      <c r="R61" s="2"/>
      <c r="S61" s="9">
        <f t="shared" si="13"/>
        <v>-1.170124709</v>
      </c>
      <c r="W61" s="3"/>
      <c r="X61" s="3"/>
      <c r="Y61" s="3"/>
      <c r="Z61" s="3"/>
      <c r="AA61" s="3"/>
      <c r="AB61" s="3"/>
      <c r="AC61" s="3"/>
    </row>
    <row r="62">
      <c r="A62" s="1">
        <v>50.0</v>
      </c>
      <c r="B62" s="2">
        <v>1.41961304347826E9</v>
      </c>
      <c r="C62" s="2">
        <v>-101.8871689</v>
      </c>
      <c r="D62" s="3">
        <f t="shared" si="1"/>
        <v>-786956.5217</v>
      </c>
      <c r="E62" s="4">
        <f t="shared" si="2"/>
        <v>165.2933038</v>
      </c>
      <c r="F62" s="3">
        <f t="shared" si="3"/>
        <v>0.0002100412148</v>
      </c>
      <c r="G62" s="3">
        <f t="shared" si="4"/>
        <v>0</v>
      </c>
      <c r="H62" s="2">
        <f t="shared" si="5"/>
        <v>0</v>
      </c>
      <c r="I62" s="3">
        <f t="shared" si="6"/>
        <v>0</v>
      </c>
      <c r="J62" s="3">
        <f t="shared" si="7"/>
        <v>0</v>
      </c>
      <c r="K62" s="3"/>
      <c r="L62" s="3">
        <f t="shared" si="8"/>
        <v>492.4807702</v>
      </c>
      <c r="M62" s="9">
        <f t="shared" si="9"/>
        <v>491.8376011</v>
      </c>
      <c r="N62" s="9">
        <f t="shared" si="10"/>
        <v>0.643169154</v>
      </c>
      <c r="O62" s="3"/>
      <c r="P62" s="10">
        <f t="shared" si="11"/>
        <v>165.2933038</v>
      </c>
      <c r="Q62" s="9">
        <f t="shared" si="12"/>
        <v>492.4807702</v>
      </c>
      <c r="R62" s="2"/>
      <c r="S62" s="9">
        <f t="shared" si="13"/>
        <v>0.5906197469</v>
      </c>
      <c r="W62" s="3"/>
      <c r="X62" s="3"/>
      <c r="Y62" s="3"/>
      <c r="Z62" s="3"/>
      <c r="AA62" s="3"/>
      <c r="AB62" s="3"/>
      <c r="AC62" s="3"/>
    </row>
    <row r="63">
      <c r="A63" s="1">
        <v>51.0</v>
      </c>
      <c r="B63" s="2">
        <v>1.41961739130434E9</v>
      </c>
      <c r="C63" s="2">
        <v>-101.8993835</v>
      </c>
      <c r="D63" s="3">
        <f t="shared" si="1"/>
        <v>-782608.6957</v>
      </c>
      <c r="E63" s="4">
        <f t="shared" si="2"/>
        <v>164.3750077</v>
      </c>
      <c r="F63" s="3">
        <f t="shared" si="3"/>
        <v>0.000210034732</v>
      </c>
      <c r="G63" s="3">
        <f t="shared" si="4"/>
        <v>0</v>
      </c>
      <c r="H63" s="2">
        <f t="shared" si="5"/>
        <v>0</v>
      </c>
      <c r="I63" s="3">
        <f t="shared" si="6"/>
        <v>0</v>
      </c>
      <c r="J63" s="3">
        <f t="shared" si="7"/>
        <v>0</v>
      </c>
      <c r="K63" s="3"/>
      <c r="L63" s="3">
        <f t="shared" si="8"/>
        <v>491.0976064</v>
      </c>
      <c r="M63" s="9">
        <f t="shared" si="9"/>
        <v>491.7662632</v>
      </c>
      <c r="N63" s="9">
        <f t="shared" si="10"/>
        <v>-0.66865677</v>
      </c>
      <c r="O63" s="3"/>
      <c r="P63" s="10">
        <f t="shared" si="11"/>
        <v>164.3750077</v>
      </c>
      <c r="Q63" s="9">
        <f t="shared" si="12"/>
        <v>491.0976064</v>
      </c>
      <c r="R63" s="2"/>
      <c r="S63" s="9">
        <f t="shared" si="13"/>
        <v>-0.614024926</v>
      </c>
      <c r="W63" s="3"/>
      <c r="X63" s="3"/>
      <c r="Y63" s="3"/>
      <c r="Z63" s="3"/>
      <c r="AA63" s="3"/>
      <c r="AB63" s="3"/>
      <c r="AC63" s="3"/>
    </row>
    <row r="64">
      <c r="A64" s="1">
        <v>52.0</v>
      </c>
      <c r="B64" s="2">
        <v>1.41962173913043E9</v>
      </c>
      <c r="C64" s="2">
        <v>-101.9359741</v>
      </c>
      <c r="D64" s="3">
        <f t="shared" si="1"/>
        <v>-778260.8696</v>
      </c>
      <c r="E64" s="4">
        <f t="shared" si="2"/>
        <v>163.4567115</v>
      </c>
      <c r="F64" s="3">
        <f t="shared" si="3"/>
        <v>0.0002100281768</v>
      </c>
      <c r="G64" s="3">
        <f t="shared" si="4"/>
        <v>0</v>
      </c>
      <c r="H64" s="2">
        <f t="shared" si="5"/>
        <v>0</v>
      </c>
      <c r="I64" s="3">
        <f t="shared" si="6"/>
        <v>0</v>
      </c>
      <c r="J64" s="3">
        <f t="shared" si="7"/>
        <v>0</v>
      </c>
      <c r="K64" s="3"/>
      <c r="L64" s="3">
        <f t="shared" si="8"/>
        <v>486.9773448</v>
      </c>
      <c r="M64" s="9">
        <f t="shared" si="9"/>
        <v>491.694759</v>
      </c>
      <c r="N64" s="9">
        <f t="shared" si="10"/>
        <v>-4.717414257</v>
      </c>
      <c r="O64" s="3"/>
      <c r="P64" s="10">
        <f t="shared" si="11"/>
        <v>163.4567115</v>
      </c>
      <c r="Q64" s="9">
        <f t="shared" si="12"/>
        <v>486.9773448</v>
      </c>
      <c r="R64" s="2"/>
      <c r="S64" s="9">
        <f t="shared" si="13"/>
        <v>-4.331983259</v>
      </c>
      <c r="W64" s="3"/>
      <c r="X64" s="3"/>
      <c r="Y64" s="3"/>
      <c r="Z64" s="3"/>
      <c r="AA64" s="3"/>
      <c r="AB64" s="3"/>
      <c r="AC64" s="3"/>
    </row>
    <row r="65">
      <c r="A65" s="1">
        <v>53.0</v>
      </c>
      <c r="B65" s="2">
        <v>1.41962608695652E9</v>
      </c>
      <c r="C65" s="2">
        <v>-101.8917465</v>
      </c>
      <c r="D65" s="3">
        <f t="shared" si="1"/>
        <v>-773913.0435</v>
      </c>
      <c r="E65" s="4">
        <f t="shared" si="2"/>
        <v>162.5384154</v>
      </c>
      <c r="F65" s="3">
        <f t="shared" si="3"/>
        <v>0.000210021548</v>
      </c>
      <c r="G65" s="3">
        <f t="shared" si="4"/>
        <v>0</v>
      </c>
      <c r="H65" s="2">
        <f t="shared" si="5"/>
        <v>0</v>
      </c>
      <c r="I65" s="3">
        <f t="shared" si="6"/>
        <v>0</v>
      </c>
      <c r="J65" s="3">
        <f t="shared" si="7"/>
        <v>0</v>
      </c>
      <c r="K65" s="3"/>
      <c r="L65" s="3">
        <f t="shared" si="8"/>
        <v>491.9619535</v>
      </c>
      <c r="M65" s="9">
        <f t="shared" si="9"/>
        <v>491.6230884</v>
      </c>
      <c r="N65" s="9">
        <f t="shared" si="10"/>
        <v>0.3388651504</v>
      </c>
      <c r="O65" s="3"/>
      <c r="P65" s="10">
        <f t="shared" si="11"/>
        <v>162.5384154</v>
      </c>
      <c r="Q65" s="9">
        <f t="shared" si="12"/>
        <v>491.9619535</v>
      </c>
      <c r="R65" s="2"/>
      <c r="S65" s="9">
        <f t="shared" si="13"/>
        <v>0.3111785572</v>
      </c>
      <c r="W65" s="3"/>
      <c r="X65" s="3"/>
      <c r="Y65" s="3"/>
      <c r="Z65" s="3"/>
      <c r="AA65" s="3"/>
      <c r="AB65" s="3"/>
      <c r="AC65" s="3"/>
    </row>
    <row r="66">
      <c r="A66" s="1">
        <v>54.0</v>
      </c>
      <c r="B66" s="2">
        <v>1.4196304347826E9</v>
      </c>
      <c r="C66" s="2">
        <v>-101.8777924</v>
      </c>
      <c r="D66" s="3">
        <f t="shared" si="1"/>
        <v>-769565.2174</v>
      </c>
      <c r="E66" s="4">
        <f t="shared" si="2"/>
        <v>161.6201193</v>
      </c>
      <c r="F66" s="3">
        <f t="shared" si="3"/>
        <v>0.0002100148442</v>
      </c>
      <c r="G66" s="3">
        <f t="shared" si="4"/>
        <v>0</v>
      </c>
      <c r="H66" s="2">
        <f t="shared" si="5"/>
        <v>0</v>
      </c>
      <c r="I66" s="3">
        <f t="shared" si="6"/>
        <v>0</v>
      </c>
      <c r="J66" s="3">
        <f t="shared" si="7"/>
        <v>0</v>
      </c>
      <c r="K66" s="3"/>
      <c r="L66" s="3">
        <f t="shared" si="8"/>
        <v>493.5451942</v>
      </c>
      <c r="M66" s="9">
        <f t="shared" si="9"/>
        <v>491.5512509</v>
      </c>
      <c r="N66" s="9">
        <f t="shared" si="10"/>
        <v>1.993943309</v>
      </c>
      <c r="O66" s="3"/>
      <c r="P66" s="10">
        <f t="shared" si="11"/>
        <v>161.6201193</v>
      </c>
      <c r="Q66" s="9">
        <f t="shared" si="12"/>
        <v>493.5451942</v>
      </c>
      <c r="R66" s="2"/>
      <c r="S66" s="9">
        <f t="shared" si="13"/>
        <v>1.83103043</v>
      </c>
      <c r="W66" s="3"/>
      <c r="X66" s="3"/>
      <c r="Y66" s="3"/>
      <c r="Z66" s="3"/>
      <c r="AA66" s="3"/>
      <c r="AB66" s="3"/>
      <c r="AC66" s="3"/>
    </row>
    <row r="67">
      <c r="A67" s="1">
        <v>55.0</v>
      </c>
      <c r="B67" s="2">
        <v>1.41963478260869E9</v>
      </c>
      <c r="C67" s="2">
        <v>-101.8688049</v>
      </c>
      <c r="D67" s="3">
        <f t="shared" si="1"/>
        <v>-765217.3913</v>
      </c>
      <c r="E67" s="4">
        <f t="shared" si="2"/>
        <v>160.7018231</v>
      </c>
      <c r="F67" s="3">
        <f t="shared" si="3"/>
        <v>0.0002100080643</v>
      </c>
      <c r="G67" s="3">
        <f t="shared" si="4"/>
        <v>0</v>
      </c>
      <c r="H67" s="2">
        <f t="shared" si="5"/>
        <v>0</v>
      </c>
      <c r="I67" s="3">
        <f t="shared" si="6"/>
        <v>0</v>
      </c>
      <c r="J67" s="3">
        <f t="shared" si="7"/>
        <v>0</v>
      </c>
      <c r="K67" s="3"/>
      <c r="L67" s="3">
        <f t="shared" si="8"/>
        <v>494.567618</v>
      </c>
      <c r="M67" s="9">
        <f t="shared" si="9"/>
        <v>491.4792461</v>
      </c>
      <c r="N67" s="9">
        <f t="shared" si="10"/>
        <v>3.08837188</v>
      </c>
      <c r="O67" s="3"/>
      <c r="P67" s="10">
        <f t="shared" si="11"/>
        <v>160.7018231</v>
      </c>
      <c r="Q67" s="9">
        <f t="shared" si="12"/>
        <v>494.567618</v>
      </c>
      <c r="R67" s="2"/>
      <c r="S67" s="9">
        <f t="shared" si="13"/>
        <v>2.836039954</v>
      </c>
      <c r="W67" s="3"/>
      <c r="X67" s="3"/>
      <c r="Y67" s="3"/>
      <c r="Z67" s="3"/>
      <c r="AA67" s="3"/>
      <c r="AB67" s="3"/>
      <c r="AC67" s="3"/>
    </row>
    <row r="68">
      <c r="A68" s="1">
        <v>56.0</v>
      </c>
      <c r="B68" s="2">
        <v>1.41963913043478E9</v>
      </c>
      <c r="C68" s="2">
        <v>-101.9467163</v>
      </c>
      <c r="D68" s="3">
        <f t="shared" si="1"/>
        <v>-760869.5652</v>
      </c>
      <c r="E68" s="4">
        <f t="shared" si="2"/>
        <v>159.783527</v>
      </c>
      <c r="F68" s="3">
        <f t="shared" si="3"/>
        <v>0.0002100012069</v>
      </c>
      <c r="G68" s="3">
        <f t="shared" si="4"/>
        <v>0</v>
      </c>
      <c r="H68" s="2">
        <f t="shared" si="5"/>
        <v>0</v>
      </c>
      <c r="I68" s="3">
        <f t="shared" si="6"/>
        <v>0</v>
      </c>
      <c r="J68" s="3">
        <f t="shared" si="7"/>
        <v>0</v>
      </c>
      <c r="K68" s="3"/>
      <c r="L68" s="3">
        <f t="shared" si="8"/>
        <v>485.7743031</v>
      </c>
      <c r="M68" s="9">
        <f t="shared" si="9"/>
        <v>491.4070739</v>
      </c>
      <c r="N68" s="9">
        <f t="shared" si="10"/>
        <v>-5.632770807</v>
      </c>
      <c r="O68" s="3"/>
      <c r="P68" s="10">
        <f t="shared" ref="P68:P123" si="14">-((B418-$B$4)/$B$4)*(3*10^5)</f>
        <v>-160.7018231</v>
      </c>
      <c r="Q68" s="9">
        <f t="shared" ref="Q68:Q123" si="15">(1/(2*$K$13))*(I417)</f>
        <v>451.079393</v>
      </c>
      <c r="R68" s="2"/>
      <c r="S68" s="9">
        <f t="shared" si="13"/>
        <v>-5.172551637</v>
      </c>
      <c r="W68" s="3"/>
      <c r="X68" s="3"/>
      <c r="Y68" s="3"/>
      <c r="Z68" s="3"/>
      <c r="AA68" s="3"/>
      <c r="AB68" s="3"/>
      <c r="AC68" s="3"/>
    </row>
    <row r="69">
      <c r="A69" s="1">
        <v>57.0</v>
      </c>
      <c r="B69" s="2">
        <v>1.41964347826087E9</v>
      </c>
      <c r="C69" s="2">
        <v>-101.8875427</v>
      </c>
      <c r="D69" s="3">
        <f t="shared" si="1"/>
        <v>-756521.7391</v>
      </c>
      <c r="E69" s="4">
        <f t="shared" si="2"/>
        <v>158.8652309</v>
      </c>
      <c r="F69" s="3">
        <f t="shared" si="3"/>
        <v>0.0002099942707</v>
      </c>
      <c r="G69" s="3">
        <f t="shared" si="4"/>
        <v>0</v>
      </c>
      <c r="H69" s="2">
        <f t="shared" si="5"/>
        <v>0</v>
      </c>
      <c r="I69" s="3">
        <f t="shared" si="6"/>
        <v>0</v>
      </c>
      <c r="J69" s="3">
        <f t="shared" si="7"/>
        <v>0</v>
      </c>
      <c r="K69" s="3"/>
      <c r="L69" s="3">
        <f t="shared" si="8"/>
        <v>492.4383839</v>
      </c>
      <c r="M69" s="9">
        <f t="shared" si="9"/>
        <v>491.3347338</v>
      </c>
      <c r="N69" s="9">
        <f t="shared" si="10"/>
        <v>1.103650163</v>
      </c>
      <c r="O69" s="3"/>
      <c r="P69" s="10">
        <f t="shared" si="14"/>
        <v>-161.6201193</v>
      </c>
      <c r="Q69" s="9">
        <f t="shared" si="15"/>
        <v>453.4788821</v>
      </c>
      <c r="R69" s="2"/>
      <c r="S69" s="9">
        <f t="shared" si="13"/>
        <v>1.013477677</v>
      </c>
      <c r="W69" s="3"/>
      <c r="X69" s="3"/>
      <c r="Y69" s="3"/>
      <c r="Z69" s="3"/>
      <c r="AA69" s="3"/>
      <c r="AB69" s="3"/>
      <c r="AC69" s="3"/>
    </row>
    <row r="70">
      <c r="A70" s="1">
        <v>58.0</v>
      </c>
      <c r="B70" s="2">
        <v>1.41964782608695E9</v>
      </c>
      <c r="C70" s="2">
        <v>-101.9126129</v>
      </c>
      <c r="D70" s="3">
        <f t="shared" si="1"/>
        <v>-752173.913</v>
      </c>
      <c r="E70" s="4">
        <f t="shared" si="2"/>
        <v>157.9469347</v>
      </c>
      <c r="F70" s="3">
        <f t="shared" si="3"/>
        <v>0.0002099872543</v>
      </c>
      <c r="G70" s="3">
        <f t="shared" si="4"/>
        <v>0</v>
      </c>
      <c r="H70" s="2">
        <f t="shared" si="5"/>
        <v>0</v>
      </c>
      <c r="I70" s="3">
        <f t="shared" si="6"/>
        <v>0</v>
      </c>
      <c r="J70" s="3">
        <f t="shared" si="7"/>
        <v>0</v>
      </c>
      <c r="K70" s="3"/>
      <c r="L70" s="3">
        <f t="shared" si="8"/>
        <v>489.6039099</v>
      </c>
      <c r="M70" s="9">
        <f t="shared" si="9"/>
        <v>491.2622254</v>
      </c>
      <c r="N70" s="9">
        <f t="shared" si="10"/>
        <v>-1.65831551</v>
      </c>
      <c r="O70" s="3"/>
      <c r="P70" s="10">
        <f t="shared" si="14"/>
        <v>-162.5384154</v>
      </c>
      <c r="Q70" s="9">
        <f t="shared" si="15"/>
        <v>450.8781582</v>
      </c>
      <c r="R70" s="2"/>
      <c r="S70" s="9">
        <f t="shared" si="13"/>
        <v>-1.52282472</v>
      </c>
      <c r="W70" s="3"/>
      <c r="X70" s="3"/>
      <c r="Y70" s="3"/>
      <c r="Z70" s="3"/>
      <c r="AA70" s="3"/>
      <c r="AB70" s="3"/>
      <c r="AC70" s="3"/>
    </row>
    <row r="71">
      <c r="A71" s="1">
        <v>59.0</v>
      </c>
      <c r="B71" s="2">
        <v>1.41965217391304E9</v>
      </c>
      <c r="C71" s="2">
        <v>-101.8642349</v>
      </c>
      <c r="D71" s="3">
        <f t="shared" si="1"/>
        <v>-747826.087</v>
      </c>
      <c r="E71" s="4">
        <f t="shared" si="2"/>
        <v>157.0286386</v>
      </c>
      <c r="F71" s="3">
        <f t="shared" si="3"/>
        <v>0.0002099801563</v>
      </c>
      <c r="G71" s="3">
        <f t="shared" si="4"/>
        <v>0</v>
      </c>
      <c r="H71" s="2">
        <f t="shared" si="5"/>
        <v>0</v>
      </c>
      <c r="I71" s="3">
        <f t="shared" si="6"/>
        <v>0</v>
      </c>
      <c r="J71" s="3">
        <f t="shared" si="7"/>
        <v>0</v>
      </c>
      <c r="K71" s="3"/>
      <c r="L71" s="3">
        <f t="shared" si="8"/>
        <v>495.0883162</v>
      </c>
      <c r="M71" s="9">
        <f t="shared" si="9"/>
        <v>491.1895486</v>
      </c>
      <c r="N71" s="9">
        <f t="shared" si="10"/>
        <v>3.898767662</v>
      </c>
      <c r="O71" s="3"/>
      <c r="P71" s="10">
        <f t="shared" si="14"/>
        <v>-163.4567115</v>
      </c>
      <c r="Q71" s="9">
        <f t="shared" si="15"/>
        <v>448.4097193</v>
      </c>
      <c r="R71" s="2"/>
      <c r="S71" s="9">
        <f t="shared" si="13"/>
        <v>3.580223259</v>
      </c>
      <c r="W71" s="3"/>
      <c r="X71" s="3"/>
      <c r="Y71" s="3"/>
      <c r="Z71" s="3"/>
      <c r="AA71" s="3"/>
      <c r="AB71" s="3"/>
      <c r="AC71" s="3"/>
    </row>
    <row r="72">
      <c r="A72" s="1">
        <v>60.0</v>
      </c>
      <c r="B72" s="2">
        <v>1.41965652173913E9</v>
      </c>
      <c r="C72" s="2">
        <v>-101.9108047</v>
      </c>
      <c r="D72" s="3">
        <f t="shared" si="1"/>
        <v>-743478.2609</v>
      </c>
      <c r="E72" s="4">
        <f t="shared" si="2"/>
        <v>156.1103425</v>
      </c>
      <c r="F72" s="3">
        <f t="shared" si="3"/>
        <v>0.0002099729752</v>
      </c>
      <c r="G72" s="3">
        <f t="shared" si="4"/>
        <v>0</v>
      </c>
      <c r="H72" s="2">
        <f t="shared" si="5"/>
        <v>0</v>
      </c>
      <c r="I72" s="3">
        <f t="shared" si="6"/>
        <v>0</v>
      </c>
      <c r="J72" s="3">
        <f t="shared" si="7"/>
        <v>0</v>
      </c>
      <c r="K72" s="3"/>
      <c r="L72" s="3">
        <f t="shared" si="8"/>
        <v>489.8078006</v>
      </c>
      <c r="M72" s="9">
        <f t="shared" si="9"/>
        <v>491.1167028</v>
      </c>
      <c r="N72" s="9">
        <f t="shared" si="10"/>
        <v>-1.308902199</v>
      </c>
      <c r="O72" s="3"/>
      <c r="P72" s="10">
        <f t="shared" si="14"/>
        <v>-164.3750077</v>
      </c>
      <c r="Q72" s="9">
        <f t="shared" si="15"/>
        <v>451.8725161</v>
      </c>
      <c r="R72" s="2"/>
      <c r="S72" s="9">
        <f t="shared" si="13"/>
        <v>-1.201959827</v>
      </c>
      <c r="W72" s="3"/>
      <c r="X72" s="3"/>
      <c r="Y72" s="3"/>
      <c r="Z72" s="3"/>
      <c r="AA72" s="3"/>
      <c r="AB72" s="3"/>
      <c r="AC72" s="3"/>
    </row>
    <row r="73">
      <c r="A73" s="1">
        <v>61.0</v>
      </c>
      <c r="B73" s="2">
        <v>1.41966086956521E9</v>
      </c>
      <c r="C73" s="2">
        <v>-101.9621353</v>
      </c>
      <c r="D73" s="3">
        <f t="shared" si="1"/>
        <v>-739130.4348</v>
      </c>
      <c r="E73" s="4">
        <f t="shared" si="2"/>
        <v>155.1920463</v>
      </c>
      <c r="F73" s="3">
        <f t="shared" si="3"/>
        <v>0.0002099657097</v>
      </c>
      <c r="G73" s="3">
        <f t="shared" si="4"/>
        <v>0</v>
      </c>
      <c r="H73" s="2">
        <f t="shared" si="5"/>
        <v>0</v>
      </c>
      <c r="I73" s="3">
        <f t="shared" si="6"/>
        <v>0</v>
      </c>
      <c r="J73" s="3">
        <f t="shared" si="7"/>
        <v>0</v>
      </c>
      <c r="K73" s="3"/>
      <c r="L73" s="3">
        <f t="shared" si="8"/>
        <v>484.0526894</v>
      </c>
      <c r="M73" s="9">
        <f t="shared" si="9"/>
        <v>491.0436879</v>
      </c>
      <c r="N73" s="9">
        <f t="shared" si="10"/>
        <v>-6.990998528</v>
      </c>
      <c r="O73" s="3"/>
      <c r="P73" s="10">
        <f t="shared" si="14"/>
        <v>-165.2933038</v>
      </c>
      <c r="Q73" s="9">
        <f t="shared" si="15"/>
        <v>453.5362422</v>
      </c>
      <c r="R73" s="2"/>
      <c r="S73" s="9">
        <f t="shared" si="13"/>
        <v>-6.419806913</v>
      </c>
      <c r="W73" s="3"/>
      <c r="X73" s="3"/>
      <c r="Y73" s="3"/>
      <c r="Z73" s="3"/>
      <c r="AA73" s="3"/>
      <c r="AB73" s="3"/>
      <c r="AC73" s="3"/>
    </row>
    <row r="74">
      <c r="A74" s="1">
        <v>62.0</v>
      </c>
      <c r="B74" s="2">
        <v>1.4196652173913E9</v>
      </c>
      <c r="C74" s="2">
        <v>-101.9473419</v>
      </c>
      <c r="D74" s="3">
        <f t="shared" si="1"/>
        <v>-734782.6087</v>
      </c>
      <c r="E74" s="4">
        <f t="shared" si="2"/>
        <v>154.2737502</v>
      </c>
      <c r="F74" s="3">
        <f t="shared" si="3"/>
        <v>0.0002099583583</v>
      </c>
      <c r="G74" s="3">
        <f t="shared" si="4"/>
        <v>0</v>
      </c>
      <c r="H74" s="2">
        <f t="shared" si="5"/>
        <v>0</v>
      </c>
      <c r="I74" s="3">
        <f t="shared" si="6"/>
        <v>0</v>
      </c>
      <c r="J74" s="3">
        <f t="shared" si="7"/>
        <v>0</v>
      </c>
      <c r="K74" s="3"/>
      <c r="L74" s="3">
        <f t="shared" si="8"/>
        <v>485.7043325</v>
      </c>
      <c r="M74" s="9">
        <f t="shared" si="9"/>
        <v>490.9705034</v>
      </c>
      <c r="N74" s="9">
        <f t="shared" si="10"/>
        <v>-5.266170953</v>
      </c>
      <c r="O74" s="3"/>
      <c r="P74" s="10">
        <f t="shared" si="14"/>
        <v>-166.2115999</v>
      </c>
      <c r="Q74" s="9">
        <f t="shared" si="15"/>
        <v>455.2412817</v>
      </c>
      <c r="R74" s="2"/>
      <c r="S74" s="9">
        <f t="shared" si="13"/>
        <v>-4.835904409</v>
      </c>
      <c r="W74" s="3"/>
      <c r="X74" s="3"/>
      <c r="Y74" s="3"/>
      <c r="Z74" s="3"/>
      <c r="AA74" s="3"/>
      <c r="AB74" s="3"/>
      <c r="AC74" s="3"/>
    </row>
    <row r="75">
      <c r="A75" s="1">
        <v>63.0</v>
      </c>
      <c r="B75" s="2">
        <v>1.41966956521739E9</v>
      </c>
      <c r="C75" s="2">
        <v>-101.9513702</v>
      </c>
      <c r="D75" s="3">
        <f t="shared" si="1"/>
        <v>-730434.7826</v>
      </c>
      <c r="E75" s="4">
        <f t="shared" si="2"/>
        <v>153.3554541</v>
      </c>
      <c r="F75" s="3">
        <f t="shared" si="3"/>
        <v>0.0002099509193</v>
      </c>
      <c r="G75" s="3">
        <f t="shared" si="4"/>
        <v>0</v>
      </c>
      <c r="H75" s="2">
        <f t="shared" si="5"/>
        <v>0</v>
      </c>
      <c r="I75" s="3">
        <f t="shared" si="6"/>
        <v>0</v>
      </c>
      <c r="J75" s="3">
        <f t="shared" si="7"/>
        <v>0</v>
      </c>
      <c r="K75" s="3"/>
      <c r="L75" s="3">
        <f t="shared" si="8"/>
        <v>485.2540261</v>
      </c>
      <c r="M75" s="9">
        <f t="shared" si="9"/>
        <v>490.8971491</v>
      </c>
      <c r="N75" s="9">
        <f t="shared" si="10"/>
        <v>-5.643122952</v>
      </c>
      <c r="O75" s="3"/>
      <c r="P75" s="10">
        <f t="shared" si="14"/>
        <v>-167.129896</v>
      </c>
      <c r="Q75" s="9">
        <f t="shared" si="15"/>
        <v>455.2972607</v>
      </c>
      <c r="R75" s="2"/>
      <c r="S75" s="9">
        <f t="shared" si="13"/>
        <v>-5.182057984</v>
      </c>
      <c r="W75" s="3"/>
      <c r="X75" s="3"/>
      <c r="Y75" s="3"/>
      <c r="Z75" s="3"/>
      <c r="AA75" s="3"/>
      <c r="AB75" s="3"/>
      <c r="AC75" s="3"/>
    </row>
    <row r="76">
      <c r="A76" s="1">
        <v>64.0</v>
      </c>
      <c r="B76" s="2">
        <v>1.41967391304347E9</v>
      </c>
      <c r="C76" s="2">
        <v>-101.8492508</v>
      </c>
      <c r="D76" s="3">
        <f t="shared" si="1"/>
        <v>-726086.9565</v>
      </c>
      <c r="E76" s="4">
        <f t="shared" si="2"/>
        <v>152.4371579</v>
      </c>
      <c r="F76" s="3">
        <f t="shared" si="3"/>
        <v>0.0002099433912</v>
      </c>
      <c r="G76" s="3">
        <f t="shared" si="4"/>
        <v>0</v>
      </c>
      <c r="H76" s="2">
        <f t="shared" si="5"/>
        <v>0</v>
      </c>
      <c r="I76" s="3">
        <f t="shared" si="6"/>
        <v>0</v>
      </c>
      <c r="J76" s="3">
        <f t="shared" si="7"/>
        <v>0</v>
      </c>
      <c r="K76" s="3"/>
      <c r="L76" s="3">
        <f t="shared" si="8"/>
        <v>496.7994283</v>
      </c>
      <c r="M76" s="9">
        <f t="shared" si="9"/>
        <v>490.8236245</v>
      </c>
      <c r="N76" s="9">
        <f t="shared" si="10"/>
        <v>5.975803775</v>
      </c>
      <c r="O76" s="3"/>
      <c r="P76" s="10">
        <f t="shared" si="14"/>
        <v>-168.0481922</v>
      </c>
      <c r="Q76" s="9">
        <f t="shared" si="15"/>
        <v>452.7839432</v>
      </c>
      <c r="R76" s="2"/>
      <c r="S76" s="9">
        <f t="shared" si="13"/>
        <v>5.487557497</v>
      </c>
      <c r="W76" s="3"/>
      <c r="X76" s="3"/>
      <c r="Y76" s="3"/>
      <c r="Z76" s="3"/>
      <c r="AA76" s="3"/>
      <c r="AB76" s="3"/>
      <c r="AC76" s="3"/>
    </row>
    <row r="77">
      <c r="A77" s="1">
        <v>65.0</v>
      </c>
      <c r="B77" s="2">
        <v>1.41967826086956E9</v>
      </c>
      <c r="C77" s="2">
        <v>-101.8874893</v>
      </c>
      <c r="D77" s="3">
        <f t="shared" si="1"/>
        <v>-721739.1304</v>
      </c>
      <c r="E77" s="4">
        <f t="shared" si="2"/>
        <v>151.5188618</v>
      </c>
      <c r="F77" s="3">
        <f t="shared" si="3"/>
        <v>0.0002099357724</v>
      </c>
      <c r="G77" s="3">
        <f t="shared" si="4"/>
        <v>0</v>
      </c>
      <c r="H77" s="2">
        <f t="shared" si="5"/>
        <v>0</v>
      </c>
      <c r="I77" s="3">
        <f t="shared" si="6"/>
        <v>0</v>
      </c>
      <c r="J77" s="3">
        <f t="shared" si="7"/>
        <v>0</v>
      </c>
      <c r="K77" s="3"/>
      <c r="L77" s="3">
        <f t="shared" si="8"/>
        <v>492.4444389</v>
      </c>
      <c r="M77" s="9">
        <f t="shared" si="9"/>
        <v>490.7499294</v>
      </c>
      <c r="N77" s="9">
        <f t="shared" si="10"/>
        <v>1.694509483</v>
      </c>
      <c r="O77" s="3"/>
      <c r="P77" s="10">
        <f t="shared" si="14"/>
        <v>-168.9664883</v>
      </c>
      <c r="Q77" s="9">
        <f t="shared" si="15"/>
        <v>454.4166936</v>
      </c>
      <c r="R77" s="2"/>
      <c r="S77" s="9">
        <f t="shared" si="13"/>
        <v>1.556061502</v>
      </c>
      <c r="W77" s="3"/>
      <c r="X77" s="3"/>
      <c r="Y77" s="3"/>
      <c r="Z77" s="3"/>
      <c r="AA77" s="3"/>
      <c r="AB77" s="3"/>
      <c r="AC77" s="3"/>
    </row>
    <row r="78">
      <c r="A78" s="1">
        <v>66.0</v>
      </c>
      <c r="B78" s="2">
        <v>1.41968260869565E9</v>
      </c>
      <c r="C78" s="2">
        <v>-101.8732224</v>
      </c>
      <c r="D78" s="3">
        <f t="shared" si="1"/>
        <v>-717391.3043</v>
      </c>
      <c r="E78" s="4">
        <f t="shared" si="2"/>
        <v>150.6005657</v>
      </c>
      <c r="F78" s="3">
        <f t="shared" si="3"/>
        <v>0.0002099280612</v>
      </c>
      <c r="G78" s="3">
        <f t="shared" si="4"/>
        <v>0</v>
      </c>
      <c r="H78" s="2">
        <f t="shared" si="5"/>
        <v>0</v>
      </c>
      <c r="I78" s="3">
        <f t="shared" si="6"/>
        <v>0</v>
      </c>
      <c r="J78" s="3">
        <f t="shared" si="7"/>
        <v>0</v>
      </c>
      <c r="K78" s="3"/>
      <c r="L78" s="3">
        <f t="shared" si="8"/>
        <v>494.0648159</v>
      </c>
      <c r="M78" s="9">
        <f t="shared" si="9"/>
        <v>490.6760634</v>
      </c>
      <c r="N78" s="9">
        <f t="shared" si="10"/>
        <v>3.388752509</v>
      </c>
      <c r="O78" s="3"/>
      <c r="P78" s="10">
        <f t="shared" si="14"/>
        <v>-169.8847844</v>
      </c>
      <c r="Q78" s="9">
        <f t="shared" si="15"/>
        <v>452.4348887</v>
      </c>
      <c r="R78" s="2"/>
      <c r="S78" s="9">
        <f t="shared" si="13"/>
        <v>3.111878324</v>
      </c>
      <c r="W78" s="3"/>
      <c r="X78" s="3"/>
      <c r="Y78" s="3"/>
      <c r="Z78" s="3"/>
      <c r="AA78" s="3"/>
      <c r="AB78" s="3"/>
      <c r="AC78" s="3"/>
    </row>
    <row r="79">
      <c r="A79" s="1">
        <v>67.0</v>
      </c>
      <c r="B79" s="2">
        <v>1.41968695652173E9</v>
      </c>
      <c r="C79" s="2">
        <v>-101.8860626</v>
      </c>
      <c r="D79" s="3">
        <f t="shared" si="1"/>
        <v>-713043.4783</v>
      </c>
      <c r="E79" s="4">
        <f t="shared" si="2"/>
        <v>149.6822695</v>
      </c>
      <c r="F79" s="3">
        <f t="shared" si="3"/>
        <v>0.0002099202561</v>
      </c>
      <c r="G79" s="3">
        <f t="shared" si="4"/>
        <v>0</v>
      </c>
      <c r="H79" s="2">
        <f t="shared" si="5"/>
        <v>0</v>
      </c>
      <c r="I79" s="3">
        <f t="shared" si="6"/>
        <v>0</v>
      </c>
      <c r="J79" s="3">
        <f t="shared" si="7"/>
        <v>0</v>
      </c>
      <c r="K79" s="3"/>
      <c r="L79" s="3">
        <f t="shared" si="8"/>
        <v>492.6062383</v>
      </c>
      <c r="M79" s="9">
        <f t="shared" si="9"/>
        <v>490.6020262</v>
      </c>
      <c r="N79" s="9">
        <f t="shared" si="10"/>
        <v>2.004212051</v>
      </c>
      <c r="O79" s="3"/>
      <c r="P79" s="10">
        <f t="shared" si="14"/>
        <v>-170.8030806</v>
      </c>
      <c r="Q79" s="9">
        <f t="shared" si="15"/>
        <v>451.80901</v>
      </c>
      <c r="R79" s="2"/>
      <c r="S79" s="9">
        <f t="shared" si="13"/>
        <v>1.840460176</v>
      </c>
      <c r="W79" s="3"/>
      <c r="X79" s="3"/>
      <c r="Y79" s="3"/>
      <c r="Z79" s="3"/>
      <c r="AA79" s="3"/>
      <c r="AB79" s="3"/>
      <c r="AC79" s="3"/>
    </row>
    <row r="80">
      <c r="A80" s="1">
        <v>68.0</v>
      </c>
      <c r="B80" s="2">
        <v>1.41969130434782E9</v>
      </c>
      <c r="C80" s="2">
        <v>-101.8684082</v>
      </c>
      <c r="D80" s="3">
        <f t="shared" si="1"/>
        <v>-708695.6522</v>
      </c>
      <c r="E80" s="4">
        <f t="shared" si="2"/>
        <v>148.7639734</v>
      </c>
      <c r="F80" s="3">
        <f t="shared" si="3"/>
        <v>0.0002099123551</v>
      </c>
      <c r="G80" s="3">
        <f t="shared" si="4"/>
        <v>0</v>
      </c>
      <c r="H80" s="2">
        <f t="shared" si="5"/>
        <v>0</v>
      </c>
      <c r="I80" s="3">
        <f t="shared" si="6"/>
        <v>0</v>
      </c>
      <c r="J80" s="3">
        <f t="shared" si="7"/>
        <v>0</v>
      </c>
      <c r="K80" s="3"/>
      <c r="L80" s="3">
        <f t="shared" si="8"/>
        <v>494.6127956</v>
      </c>
      <c r="M80" s="9">
        <f t="shared" si="9"/>
        <v>490.5278175</v>
      </c>
      <c r="N80" s="9">
        <f t="shared" si="10"/>
        <v>4.084978132</v>
      </c>
      <c r="O80" s="3"/>
      <c r="P80" s="10">
        <f t="shared" si="14"/>
        <v>-171.7213767</v>
      </c>
      <c r="Q80" s="9">
        <f t="shared" si="15"/>
        <v>451.5701721</v>
      </c>
      <c r="R80" s="2"/>
      <c r="S80" s="9">
        <f t="shared" si="13"/>
        <v>3.751219621</v>
      </c>
      <c r="W80" s="3"/>
      <c r="X80" s="3"/>
      <c r="Y80" s="3"/>
      <c r="Z80" s="3"/>
      <c r="AA80" s="3"/>
      <c r="AB80" s="3"/>
      <c r="AC80" s="3"/>
    </row>
    <row r="81">
      <c r="A81" s="1">
        <v>69.0</v>
      </c>
      <c r="B81" s="2">
        <v>1.41969565217391E9</v>
      </c>
      <c r="C81" s="2">
        <v>-101.8337021</v>
      </c>
      <c r="D81" s="3">
        <f t="shared" si="1"/>
        <v>-704347.8261</v>
      </c>
      <c r="E81" s="4">
        <f t="shared" si="2"/>
        <v>147.8456773</v>
      </c>
      <c r="F81" s="3">
        <f t="shared" si="3"/>
        <v>0.0002099043566</v>
      </c>
      <c r="G81" s="3">
        <f t="shared" si="4"/>
        <v>0</v>
      </c>
      <c r="H81" s="2">
        <f t="shared" si="5"/>
        <v>0</v>
      </c>
      <c r="I81" s="3">
        <f t="shared" si="6"/>
        <v>0</v>
      </c>
      <c r="J81" s="3">
        <f t="shared" si="7"/>
        <v>0</v>
      </c>
      <c r="K81" s="3"/>
      <c r="L81" s="3">
        <f t="shared" si="8"/>
        <v>498.5812676</v>
      </c>
      <c r="M81" s="9">
        <f t="shared" si="9"/>
        <v>490.4534369</v>
      </c>
      <c r="N81" s="9">
        <f t="shared" si="10"/>
        <v>8.127830648</v>
      </c>
      <c r="O81" s="3"/>
      <c r="P81" s="10">
        <f t="shared" si="14"/>
        <v>-172.6396728</v>
      </c>
      <c r="Q81" s="9">
        <f t="shared" si="15"/>
        <v>452.0360771</v>
      </c>
      <c r="R81" s="2"/>
      <c r="S81" s="9">
        <f t="shared" si="13"/>
        <v>7.463755435</v>
      </c>
      <c r="W81" s="3"/>
      <c r="X81" s="3"/>
      <c r="Y81" s="3"/>
      <c r="Z81" s="3"/>
      <c r="AA81" s="3"/>
      <c r="AB81" s="3"/>
      <c r="AC81" s="3"/>
    </row>
    <row r="82">
      <c r="A82" s="1">
        <v>70.0</v>
      </c>
      <c r="B82" s="2">
        <v>1.4197E9</v>
      </c>
      <c r="C82" s="2">
        <v>-101.9303513</v>
      </c>
      <c r="D82" s="3">
        <f t="shared" si="1"/>
        <v>-700000</v>
      </c>
      <c r="E82" s="4">
        <f t="shared" si="2"/>
        <v>146.9273811</v>
      </c>
      <c r="F82" s="3">
        <f t="shared" si="3"/>
        <v>0.0002098962588</v>
      </c>
      <c r="G82" s="3">
        <f t="shared" si="4"/>
        <v>0</v>
      </c>
      <c r="H82" s="2">
        <f t="shared" si="5"/>
        <v>0</v>
      </c>
      <c r="I82" s="3">
        <f t="shared" si="6"/>
        <v>0</v>
      </c>
      <c r="J82" s="3">
        <f t="shared" si="7"/>
        <v>0</v>
      </c>
      <c r="K82" s="3"/>
      <c r="L82" s="3">
        <f t="shared" si="8"/>
        <v>487.6082415</v>
      </c>
      <c r="M82" s="9">
        <f t="shared" si="9"/>
        <v>490.3788841</v>
      </c>
      <c r="N82" s="9">
        <f t="shared" si="10"/>
        <v>-2.770642617</v>
      </c>
      <c r="O82" s="3"/>
      <c r="P82" s="10">
        <f t="shared" si="14"/>
        <v>-173.557969</v>
      </c>
      <c r="Q82" s="9">
        <f t="shared" si="15"/>
        <v>454.1302038</v>
      </c>
      <c r="R82" s="2"/>
      <c r="S82" s="9">
        <f t="shared" si="13"/>
        <v>-2.5442704</v>
      </c>
      <c r="W82" s="3"/>
      <c r="X82" s="3"/>
      <c r="Y82" s="3"/>
      <c r="Z82" s="3"/>
      <c r="AA82" s="3"/>
      <c r="AB82" s="3"/>
      <c r="AC82" s="3"/>
    </row>
    <row r="83">
      <c r="A83" s="1">
        <v>71.0</v>
      </c>
      <c r="B83" s="2">
        <v>1.41970434782608E9</v>
      </c>
      <c r="C83" s="2">
        <v>-101.9358521</v>
      </c>
      <c r="D83" s="3">
        <f t="shared" si="1"/>
        <v>-695652.1739</v>
      </c>
      <c r="E83" s="4">
        <f t="shared" si="2"/>
        <v>146.009085</v>
      </c>
      <c r="F83" s="3">
        <f t="shared" si="3"/>
        <v>0.0002098880597</v>
      </c>
      <c r="G83" s="3">
        <f t="shared" si="4"/>
        <v>0</v>
      </c>
      <c r="H83" s="2">
        <f t="shared" si="5"/>
        <v>0</v>
      </c>
      <c r="I83" s="3">
        <f t="shared" si="6"/>
        <v>0</v>
      </c>
      <c r="J83" s="3">
        <f t="shared" si="7"/>
        <v>0</v>
      </c>
      <c r="K83" s="3"/>
      <c r="L83" s="3">
        <f t="shared" si="8"/>
        <v>486.9910249</v>
      </c>
      <c r="M83" s="9">
        <f t="shared" si="9"/>
        <v>490.3041587</v>
      </c>
      <c r="N83" s="9">
        <f t="shared" si="10"/>
        <v>-3.313133814</v>
      </c>
      <c r="O83" s="3"/>
      <c r="P83" s="10">
        <f t="shared" si="14"/>
        <v>-174.4762651</v>
      </c>
      <c r="Q83" s="9">
        <f t="shared" si="15"/>
        <v>452.3967407</v>
      </c>
      <c r="R83" s="2"/>
      <c r="S83" s="9">
        <f t="shared" si="13"/>
        <v>-3.042437969</v>
      </c>
      <c r="W83" s="3"/>
      <c r="X83" s="3"/>
      <c r="Y83" s="3"/>
      <c r="Z83" s="3"/>
      <c r="AA83" s="3"/>
      <c r="AB83" s="3"/>
      <c r="AC83" s="3"/>
    </row>
    <row r="84">
      <c r="A84" s="1">
        <v>72.0</v>
      </c>
      <c r="B84" s="2">
        <v>1.41970869565217E9</v>
      </c>
      <c r="C84" s="2">
        <v>-101.9254074</v>
      </c>
      <c r="D84" s="3">
        <f t="shared" si="1"/>
        <v>-691304.3478</v>
      </c>
      <c r="E84" s="4">
        <f t="shared" si="2"/>
        <v>145.0907889</v>
      </c>
      <c r="F84" s="3">
        <f t="shared" si="3"/>
        <v>0.0002098797575</v>
      </c>
      <c r="G84" s="3">
        <f t="shared" si="4"/>
        <v>0</v>
      </c>
      <c r="H84" s="2">
        <f t="shared" si="5"/>
        <v>0</v>
      </c>
      <c r="I84" s="3">
        <f t="shared" si="6"/>
        <v>0</v>
      </c>
      <c r="J84" s="3">
        <f t="shared" si="7"/>
        <v>0</v>
      </c>
      <c r="K84" s="3"/>
      <c r="L84" s="3">
        <f t="shared" si="8"/>
        <v>488.1636386</v>
      </c>
      <c r="M84" s="9">
        <f t="shared" si="9"/>
        <v>490.2292605</v>
      </c>
      <c r="N84" s="9">
        <f t="shared" si="10"/>
        <v>-2.065621891</v>
      </c>
      <c r="O84" s="3"/>
      <c r="P84" s="10">
        <f t="shared" si="14"/>
        <v>-175.3945612</v>
      </c>
      <c r="Q84" s="9">
        <f t="shared" si="15"/>
        <v>447.3954751</v>
      </c>
      <c r="R84" s="2"/>
      <c r="S84" s="9">
        <f t="shared" si="13"/>
        <v>-1.89685259</v>
      </c>
      <c r="W84" s="3"/>
      <c r="X84" s="3"/>
      <c r="Y84" s="3"/>
      <c r="Z84" s="3"/>
      <c r="AA84" s="3"/>
      <c r="AB84" s="3"/>
      <c r="AC84" s="3"/>
    </row>
    <row r="85">
      <c r="A85" s="1">
        <v>73.0</v>
      </c>
      <c r="B85" s="2">
        <v>1.41971304347826E9</v>
      </c>
      <c r="C85" s="2">
        <v>-101.928154</v>
      </c>
      <c r="D85" s="3">
        <f t="shared" si="1"/>
        <v>-686956.5217</v>
      </c>
      <c r="E85" s="4">
        <f t="shared" si="2"/>
        <v>144.1724927</v>
      </c>
      <c r="F85" s="3">
        <f t="shared" si="3"/>
        <v>0.0002098713502</v>
      </c>
      <c r="G85" s="3">
        <f t="shared" si="4"/>
        <v>0</v>
      </c>
      <c r="H85" s="2">
        <f t="shared" si="5"/>
        <v>0</v>
      </c>
      <c r="I85" s="3">
        <f t="shared" si="6"/>
        <v>0</v>
      </c>
      <c r="J85" s="3">
        <f t="shared" si="7"/>
        <v>0</v>
      </c>
      <c r="K85" s="3"/>
      <c r="L85" s="3">
        <f t="shared" si="8"/>
        <v>487.8550078</v>
      </c>
      <c r="M85" s="9">
        <f t="shared" si="9"/>
        <v>490.154189</v>
      </c>
      <c r="N85" s="9">
        <f t="shared" si="10"/>
        <v>-2.299181194</v>
      </c>
      <c r="O85" s="3"/>
      <c r="P85" s="10">
        <f t="shared" si="14"/>
        <v>-176.3128574</v>
      </c>
      <c r="Q85" s="9">
        <f t="shared" si="15"/>
        <v>444.5749695</v>
      </c>
      <c r="R85" s="2"/>
      <c r="S85" s="9">
        <f t="shared" si="13"/>
        <v>-2.111329199</v>
      </c>
      <c r="W85" s="3"/>
      <c r="X85" s="3"/>
      <c r="Y85" s="3"/>
      <c r="Z85" s="3"/>
      <c r="AA85" s="3"/>
      <c r="AB85" s="3"/>
      <c r="AC85" s="3"/>
    </row>
    <row r="86">
      <c r="A86" s="1">
        <v>74.0</v>
      </c>
      <c r="B86" s="2">
        <v>1.41971739130434E9</v>
      </c>
      <c r="C86" s="2">
        <v>-101.8737106</v>
      </c>
      <c r="D86" s="3">
        <f t="shared" si="1"/>
        <v>-682608.6957</v>
      </c>
      <c r="E86" s="4">
        <f t="shared" si="2"/>
        <v>143.2541966</v>
      </c>
      <c r="F86" s="3">
        <f t="shared" si="3"/>
        <v>0.0002098628358</v>
      </c>
      <c r="G86" s="3">
        <f t="shared" si="4"/>
        <v>0</v>
      </c>
      <c r="H86" s="2">
        <f t="shared" si="5"/>
        <v>0</v>
      </c>
      <c r="I86" s="3">
        <f t="shared" si="6"/>
        <v>0</v>
      </c>
      <c r="J86" s="3">
        <f t="shared" si="7"/>
        <v>0</v>
      </c>
      <c r="K86" s="3"/>
      <c r="L86" s="3">
        <f t="shared" si="8"/>
        <v>494.0092801</v>
      </c>
      <c r="M86" s="9">
        <f t="shared" si="9"/>
        <v>490.078944</v>
      </c>
      <c r="N86" s="9">
        <f t="shared" si="10"/>
        <v>3.930336125</v>
      </c>
      <c r="O86" s="3"/>
      <c r="P86" s="10">
        <f t="shared" si="14"/>
        <v>-177.2311535</v>
      </c>
      <c r="Q86" s="9">
        <f t="shared" si="15"/>
        <v>452.3109142</v>
      </c>
      <c r="R86" s="2"/>
      <c r="S86" s="9">
        <f t="shared" si="13"/>
        <v>3.609212465</v>
      </c>
      <c r="W86" s="3"/>
      <c r="X86" s="3"/>
      <c r="Y86" s="3"/>
      <c r="Z86" s="3"/>
      <c r="AA86" s="3"/>
      <c r="AB86" s="3"/>
      <c r="AC86" s="3"/>
    </row>
    <row r="87">
      <c r="A87" s="1">
        <v>75.0</v>
      </c>
      <c r="B87" s="2">
        <v>1.41972173913043E9</v>
      </c>
      <c r="C87" s="2">
        <v>-101.9156647</v>
      </c>
      <c r="D87" s="3">
        <f t="shared" si="1"/>
        <v>-678260.8696</v>
      </c>
      <c r="E87" s="4">
        <f t="shared" si="2"/>
        <v>142.3359005</v>
      </c>
      <c r="F87" s="3">
        <f t="shared" si="3"/>
        <v>0.0002098542122</v>
      </c>
      <c r="G87" s="3">
        <f t="shared" si="4"/>
        <v>0</v>
      </c>
      <c r="H87" s="2">
        <f t="shared" si="5"/>
        <v>0</v>
      </c>
      <c r="I87" s="3">
        <f t="shared" si="6"/>
        <v>0</v>
      </c>
      <c r="J87" s="3">
        <f t="shared" si="7"/>
        <v>0</v>
      </c>
      <c r="K87" s="3"/>
      <c r="L87" s="3">
        <f t="shared" si="8"/>
        <v>489.2599847</v>
      </c>
      <c r="M87" s="9">
        <f t="shared" si="9"/>
        <v>490.0035251</v>
      </c>
      <c r="N87" s="9">
        <f t="shared" si="10"/>
        <v>-0.7435404513</v>
      </c>
      <c r="O87" s="3"/>
      <c r="P87" s="10">
        <f t="shared" si="14"/>
        <v>-178.1494496</v>
      </c>
      <c r="Q87" s="9">
        <f t="shared" si="15"/>
        <v>451.8280588</v>
      </c>
      <c r="R87" s="2"/>
      <c r="S87" s="9">
        <f t="shared" si="13"/>
        <v>-0.6827903194</v>
      </c>
      <c r="W87" s="3"/>
      <c r="X87" s="3"/>
      <c r="Y87" s="3"/>
      <c r="Z87" s="3"/>
      <c r="AA87" s="3"/>
      <c r="AB87" s="3"/>
      <c r="AC87" s="3"/>
    </row>
    <row r="88">
      <c r="A88" s="1">
        <v>76.0</v>
      </c>
      <c r="B88" s="2">
        <v>1.41972608695652E9</v>
      </c>
      <c r="C88" s="2">
        <v>-101.858963</v>
      </c>
      <c r="D88" s="3">
        <f t="shared" si="1"/>
        <v>-673913.0435</v>
      </c>
      <c r="E88" s="4">
        <f t="shared" si="2"/>
        <v>141.4176044</v>
      </c>
      <c r="F88" s="3">
        <f t="shared" si="3"/>
        <v>0.0002098454774</v>
      </c>
      <c r="G88" s="3">
        <f t="shared" si="4"/>
        <v>0</v>
      </c>
      <c r="H88" s="2">
        <f t="shared" si="5"/>
        <v>0</v>
      </c>
      <c r="I88" s="3">
        <f t="shared" si="6"/>
        <v>0</v>
      </c>
      <c r="J88" s="3">
        <f t="shared" si="7"/>
        <v>0</v>
      </c>
      <c r="K88" s="3"/>
      <c r="L88" s="3">
        <f t="shared" si="8"/>
        <v>495.6896688</v>
      </c>
      <c r="M88" s="9">
        <f t="shared" si="9"/>
        <v>489.927932</v>
      </c>
      <c r="N88" s="9">
        <f t="shared" si="10"/>
        <v>5.761736746</v>
      </c>
      <c r="O88" s="3"/>
      <c r="P88" s="10">
        <f t="shared" si="14"/>
        <v>-179.0677458</v>
      </c>
      <c r="Q88" s="9">
        <f t="shared" si="15"/>
        <v>453.9858297</v>
      </c>
      <c r="R88" s="2"/>
      <c r="S88" s="9">
        <f t="shared" si="13"/>
        <v>5.290980572</v>
      </c>
      <c r="W88" s="3"/>
      <c r="X88" s="3"/>
      <c r="Y88" s="3"/>
      <c r="Z88" s="3"/>
      <c r="AA88" s="3"/>
      <c r="AB88" s="3"/>
      <c r="AC88" s="3"/>
    </row>
    <row r="89">
      <c r="A89" s="1">
        <v>77.0</v>
      </c>
      <c r="B89" s="2">
        <v>1.4197304347826E9</v>
      </c>
      <c r="C89" s="2">
        <v>-101.8974762</v>
      </c>
      <c r="D89" s="3">
        <f t="shared" si="1"/>
        <v>-669565.2174</v>
      </c>
      <c r="E89" s="4">
        <f t="shared" si="2"/>
        <v>140.4993082</v>
      </c>
      <c r="F89" s="3">
        <f t="shared" si="3"/>
        <v>0.0002098366292</v>
      </c>
      <c r="G89" s="3">
        <f t="shared" si="4"/>
        <v>0</v>
      </c>
      <c r="H89" s="2">
        <f t="shared" si="5"/>
        <v>0</v>
      </c>
      <c r="I89" s="3">
        <f t="shared" si="6"/>
        <v>0</v>
      </c>
      <c r="J89" s="3">
        <f t="shared" si="7"/>
        <v>0</v>
      </c>
      <c r="K89" s="3"/>
      <c r="L89" s="3">
        <f t="shared" si="8"/>
        <v>491.3133301</v>
      </c>
      <c r="M89" s="9">
        <f t="shared" si="9"/>
        <v>489.8521644</v>
      </c>
      <c r="N89" s="9">
        <f t="shared" si="10"/>
        <v>1.461165721</v>
      </c>
      <c r="O89" s="3"/>
      <c r="P89" s="10">
        <f t="shared" si="14"/>
        <v>-179.9860419</v>
      </c>
      <c r="Q89" s="9">
        <f t="shared" si="15"/>
        <v>451.067511</v>
      </c>
      <c r="R89" s="2"/>
      <c r="S89" s="9">
        <f t="shared" si="13"/>
        <v>1.34178283</v>
      </c>
      <c r="W89" s="3"/>
      <c r="X89" s="3"/>
      <c r="Y89" s="3"/>
      <c r="Z89" s="3"/>
      <c r="AA89" s="3"/>
      <c r="AB89" s="3"/>
      <c r="AC89" s="3"/>
    </row>
    <row r="90">
      <c r="A90" s="1">
        <v>78.0</v>
      </c>
      <c r="B90" s="2">
        <v>1.41973478260869E9</v>
      </c>
      <c r="C90" s="2">
        <v>-101.8755569</v>
      </c>
      <c r="D90" s="3">
        <f t="shared" si="1"/>
        <v>-665217.3913</v>
      </c>
      <c r="E90" s="4">
        <f t="shared" si="2"/>
        <v>139.5810121</v>
      </c>
      <c r="F90" s="3">
        <f t="shared" si="3"/>
        <v>0.0002098276652</v>
      </c>
      <c r="G90" s="3">
        <f t="shared" si="4"/>
        <v>0</v>
      </c>
      <c r="H90" s="2">
        <f t="shared" si="5"/>
        <v>0</v>
      </c>
      <c r="I90" s="3">
        <f t="shared" si="6"/>
        <v>0</v>
      </c>
      <c r="J90" s="3">
        <f t="shared" si="7"/>
        <v>0</v>
      </c>
      <c r="K90" s="3"/>
      <c r="L90" s="3">
        <f t="shared" si="8"/>
        <v>493.7993084</v>
      </c>
      <c r="M90" s="9">
        <f t="shared" si="9"/>
        <v>489.7762218</v>
      </c>
      <c r="N90" s="9">
        <f t="shared" si="10"/>
        <v>4.023086612</v>
      </c>
      <c r="O90" s="3"/>
      <c r="P90" s="10">
        <f t="shared" si="14"/>
        <v>-180.904338</v>
      </c>
      <c r="Q90" s="9">
        <f t="shared" si="15"/>
        <v>452.8094036</v>
      </c>
      <c r="R90" s="2"/>
      <c r="S90" s="9">
        <f t="shared" si="13"/>
        <v>3.694384877</v>
      </c>
      <c r="W90" s="3"/>
      <c r="X90" s="3"/>
      <c r="Y90" s="3"/>
      <c r="Z90" s="3"/>
      <c r="AA90" s="3"/>
      <c r="AB90" s="3"/>
      <c r="AC90" s="3"/>
    </row>
    <row r="91">
      <c r="A91" s="1">
        <v>79.0</v>
      </c>
      <c r="B91" s="2">
        <v>1.41973913043478E9</v>
      </c>
      <c r="C91" s="2">
        <v>-101.8520203</v>
      </c>
      <c r="D91" s="3">
        <f t="shared" si="1"/>
        <v>-660869.5652</v>
      </c>
      <c r="E91" s="4">
        <f t="shared" si="2"/>
        <v>138.662716</v>
      </c>
      <c r="F91" s="3">
        <f t="shared" si="3"/>
        <v>0.0002098185833</v>
      </c>
      <c r="G91" s="3">
        <f t="shared" si="4"/>
        <v>0</v>
      </c>
      <c r="H91" s="2">
        <f t="shared" si="5"/>
        <v>0</v>
      </c>
      <c r="I91" s="3">
        <f t="shared" si="6"/>
        <v>0</v>
      </c>
      <c r="J91" s="3">
        <f t="shared" si="7"/>
        <v>0</v>
      </c>
      <c r="K91" s="3"/>
      <c r="L91" s="3">
        <f t="shared" si="8"/>
        <v>496.4827198</v>
      </c>
      <c r="M91" s="9">
        <f t="shared" si="9"/>
        <v>489.7001041</v>
      </c>
      <c r="N91" s="9">
        <f t="shared" si="10"/>
        <v>6.782615729</v>
      </c>
      <c r="O91" s="3"/>
      <c r="P91" s="10">
        <f t="shared" si="14"/>
        <v>-181.8226342</v>
      </c>
      <c r="Q91" s="9">
        <f t="shared" si="15"/>
        <v>444.201026</v>
      </c>
      <c r="R91" s="2"/>
      <c r="S91" s="9">
        <f t="shared" si="13"/>
        <v>6.228449779</v>
      </c>
      <c r="W91" s="3"/>
      <c r="X91" s="3"/>
      <c r="Y91" s="3"/>
      <c r="Z91" s="3"/>
      <c r="AA91" s="3"/>
      <c r="AB91" s="3"/>
      <c r="AC91" s="3"/>
    </row>
    <row r="92">
      <c r="A92" s="1">
        <v>80.0</v>
      </c>
      <c r="B92" s="2">
        <v>1.41974347826087E9</v>
      </c>
      <c r="C92" s="2">
        <v>-101.8892593</v>
      </c>
      <c r="D92" s="3">
        <f t="shared" si="1"/>
        <v>-656521.7391</v>
      </c>
      <c r="E92" s="4">
        <f t="shared" si="2"/>
        <v>137.7444198</v>
      </c>
      <c r="F92" s="3">
        <f t="shared" si="3"/>
        <v>0.0002098093812</v>
      </c>
      <c r="G92" s="3">
        <f t="shared" si="4"/>
        <v>0</v>
      </c>
      <c r="H92" s="2">
        <f t="shared" si="5"/>
        <v>0</v>
      </c>
      <c r="I92" s="3">
        <f t="shared" si="6"/>
        <v>0</v>
      </c>
      <c r="J92" s="3">
        <f t="shared" si="7"/>
        <v>0</v>
      </c>
      <c r="K92" s="3"/>
      <c r="L92" s="3">
        <f t="shared" si="8"/>
        <v>492.2437803</v>
      </c>
      <c r="M92" s="9">
        <f t="shared" si="9"/>
        <v>489.6238108</v>
      </c>
      <c r="N92" s="9">
        <f t="shared" si="10"/>
        <v>2.619969551</v>
      </c>
      <c r="O92" s="3"/>
      <c r="P92" s="10">
        <f t="shared" si="14"/>
        <v>-182.7409303</v>
      </c>
      <c r="Q92" s="9">
        <f t="shared" si="15"/>
        <v>449.4294191</v>
      </c>
      <c r="R92" s="2"/>
      <c r="S92" s="9">
        <f t="shared" si="13"/>
        <v>2.405907907</v>
      </c>
      <c r="W92" s="3"/>
      <c r="X92" s="3"/>
      <c r="Y92" s="3"/>
      <c r="Z92" s="3"/>
      <c r="AA92" s="3"/>
      <c r="AB92" s="3"/>
      <c r="AC92" s="3"/>
    </row>
    <row r="93">
      <c r="A93" s="1">
        <v>81.0</v>
      </c>
      <c r="B93" s="2">
        <v>1.41974782608695E9</v>
      </c>
      <c r="C93" s="2">
        <v>-101.9592896</v>
      </c>
      <c r="D93" s="3">
        <f t="shared" si="1"/>
        <v>-652173.913</v>
      </c>
      <c r="E93" s="4">
        <f t="shared" si="2"/>
        <v>136.8261237</v>
      </c>
      <c r="F93" s="3">
        <f t="shared" si="3"/>
        <v>0.0002098000563</v>
      </c>
      <c r="G93" s="3">
        <f t="shared" si="4"/>
        <v>0</v>
      </c>
      <c r="H93" s="2">
        <f t="shared" si="5"/>
        <v>0</v>
      </c>
      <c r="I93" s="3">
        <f t="shared" si="6"/>
        <v>0</v>
      </c>
      <c r="J93" s="3">
        <f t="shared" si="7"/>
        <v>0</v>
      </c>
      <c r="K93" s="3"/>
      <c r="L93" s="3">
        <f t="shared" si="8"/>
        <v>484.3699672</v>
      </c>
      <c r="M93" s="9">
        <f t="shared" si="9"/>
        <v>489.5473416</v>
      </c>
      <c r="N93" s="9">
        <f t="shared" si="10"/>
        <v>-5.177374378</v>
      </c>
      <c r="O93" s="3"/>
      <c r="P93" s="10">
        <f t="shared" si="14"/>
        <v>-183.6592264</v>
      </c>
      <c r="Q93" s="9">
        <f t="shared" si="15"/>
        <v>449.7026817</v>
      </c>
      <c r="R93" s="2"/>
      <c r="S93" s="9">
        <f t="shared" si="13"/>
        <v>-4.754362869</v>
      </c>
      <c r="W93" s="3"/>
      <c r="X93" s="3"/>
      <c r="Y93" s="3"/>
      <c r="Z93" s="3"/>
      <c r="AA93" s="3"/>
      <c r="AB93" s="3"/>
      <c r="AC93" s="3"/>
    </row>
    <row r="94">
      <c r="A94" s="1">
        <v>82.0</v>
      </c>
      <c r="B94" s="2">
        <v>1.41975217391304E9</v>
      </c>
      <c r="C94" s="2">
        <v>-101.8832626</v>
      </c>
      <c r="D94" s="3">
        <f t="shared" si="1"/>
        <v>-647826.087</v>
      </c>
      <c r="E94" s="4">
        <f t="shared" si="2"/>
        <v>135.9078276</v>
      </c>
      <c r="F94" s="3">
        <f t="shared" si="3"/>
        <v>0.0002097906063</v>
      </c>
      <c r="G94" s="3">
        <f t="shared" si="4"/>
        <v>0</v>
      </c>
      <c r="H94" s="2">
        <f t="shared" si="5"/>
        <v>0</v>
      </c>
      <c r="I94" s="3">
        <f t="shared" si="6"/>
        <v>0</v>
      </c>
      <c r="J94" s="3">
        <f t="shared" si="7"/>
        <v>0</v>
      </c>
      <c r="K94" s="3"/>
      <c r="L94" s="3">
        <f t="shared" si="8"/>
        <v>492.9239357</v>
      </c>
      <c r="M94" s="9">
        <f t="shared" si="9"/>
        <v>489.4706962</v>
      </c>
      <c r="N94" s="9">
        <f t="shared" si="10"/>
        <v>3.45323951</v>
      </c>
      <c r="O94" s="3"/>
      <c r="P94" s="10">
        <f t="shared" si="14"/>
        <v>-184.5775226</v>
      </c>
      <c r="Q94" s="9">
        <f t="shared" si="15"/>
        <v>443.7151398</v>
      </c>
      <c r="R94" s="2"/>
      <c r="S94" s="9">
        <f t="shared" si="13"/>
        <v>3.17109648</v>
      </c>
      <c r="W94" s="3"/>
      <c r="X94" s="3"/>
      <c r="Y94" s="3"/>
      <c r="Z94" s="3"/>
      <c r="AA94" s="3"/>
      <c r="AB94" s="3"/>
      <c r="AC94" s="3"/>
    </row>
    <row r="95">
      <c r="A95" s="1">
        <v>83.0</v>
      </c>
      <c r="B95" s="2">
        <v>1.41975652173913E9</v>
      </c>
      <c r="C95" s="2">
        <v>-101.9300156</v>
      </c>
      <c r="D95" s="3">
        <f t="shared" si="1"/>
        <v>-643478.2609</v>
      </c>
      <c r="E95" s="4">
        <f t="shared" si="2"/>
        <v>134.9895314</v>
      </c>
      <c r="F95" s="3">
        <f t="shared" si="3"/>
        <v>0.0002097810286</v>
      </c>
      <c r="G95" s="3">
        <f t="shared" si="4"/>
        <v>0</v>
      </c>
      <c r="H95" s="2">
        <f t="shared" si="5"/>
        <v>0</v>
      </c>
      <c r="I95" s="3">
        <f t="shared" si="6"/>
        <v>0</v>
      </c>
      <c r="J95" s="3">
        <f t="shared" si="7"/>
        <v>0</v>
      </c>
      <c r="K95" s="3"/>
      <c r="L95" s="3">
        <f t="shared" si="8"/>
        <v>487.645934</v>
      </c>
      <c r="M95" s="9">
        <f t="shared" si="9"/>
        <v>489.3938742</v>
      </c>
      <c r="N95" s="9">
        <f t="shared" si="10"/>
        <v>-1.747940233</v>
      </c>
      <c r="O95" s="3"/>
      <c r="P95" s="10">
        <f t="shared" si="14"/>
        <v>-185.4958187</v>
      </c>
      <c r="Q95" s="9">
        <f t="shared" si="15"/>
        <v>447.1534618</v>
      </c>
      <c r="R95" s="2"/>
      <c r="S95" s="9">
        <f t="shared" si="13"/>
        <v>-1.605126756</v>
      </c>
      <c r="W95" s="3"/>
      <c r="X95" s="3"/>
      <c r="Y95" s="3"/>
      <c r="Z95" s="3"/>
      <c r="AA95" s="3"/>
      <c r="AB95" s="3"/>
      <c r="AC95" s="3"/>
    </row>
    <row r="96">
      <c r="A96" s="1">
        <v>84.0</v>
      </c>
      <c r="B96" s="2">
        <v>1.41976086956521E9</v>
      </c>
      <c r="C96" s="2">
        <v>-101.986702</v>
      </c>
      <c r="D96" s="3">
        <f t="shared" si="1"/>
        <v>-639130.4348</v>
      </c>
      <c r="E96" s="4">
        <f t="shared" si="2"/>
        <v>134.0712353</v>
      </c>
      <c r="F96" s="3">
        <f t="shared" si="3"/>
        <v>0.0002097713205</v>
      </c>
      <c r="G96" s="3">
        <f t="shared" si="4"/>
        <v>0</v>
      </c>
      <c r="H96" s="2">
        <f t="shared" si="5"/>
        <v>0</v>
      </c>
      <c r="I96" s="3">
        <f t="shared" si="6"/>
        <v>0</v>
      </c>
      <c r="J96" s="3">
        <f t="shared" si="7"/>
        <v>0</v>
      </c>
      <c r="K96" s="3"/>
      <c r="L96" s="3">
        <f t="shared" si="8"/>
        <v>481.3222823</v>
      </c>
      <c r="M96" s="9">
        <f t="shared" si="9"/>
        <v>489.3168753</v>
      </c>
      <c r="N96" s="9">
        <f t="shared" si="10"/>
        <v>-7.994592996</v>
      </c>
      <c r="O96" s="3"/>
      <c r="P96" s="10">
        <f t="shared" si="14"/>
        <v>-186.4141148</v>
      </c>
      <c r="Q96" s="9">
        <f t="shared" si="15"/>
        <v>448.3088965</v>
      </c>
      <c r="R96" s="2"/>
      <c r="S96" s="9">
        <f t="shared" si="13"/>
        <v>-7.341403831</v>
      </c>
      <c r="W96" s="3"/>
      <c r="X96" s="3"/>
      <c r="Y96" s="3"/>
      <c r="Z96" s="3"/>
      <c r="AA96" s="3"/>
      <c r="AB96" s="3"/>
      <c r="AC96" s="3"/>
    </row>
    <row r="97">
      <c r="A97" s="1">
        <v>85.0</v>
      </c>
      <c r="B97" s="2">
        <v>1.4197652173913E9</v>
      </c>
      <c r="C97" s="2">
        <v>-101.8758774</v>
      </c>
      <c r="D97" s="3">
        <f t="shared" si="1"/>
        <v>-634782.6087</v>
      </c>
      <c r="E97" s="4">
        <f t="shared" si="2"/>
        <v>133.1529392</v>
      </c>
      <c r="F97" s="3">
        <f t="shared" si="3"/>
        <v>0.0002097614795</v>
      </c>
      <c r="G97" s="3">
        <f t="shared" si="4"/>
        <v>0</v>
      </c>
      <c r="H97" s="2">
        <f t="shared" si="5"/>
        <v>0</v>
      </c>
      <c r="I97" s="3">
        <f t="shared" si="6"/>
        <v>0</v>
      </c>
      <c r="J97" s="3">
        <f t="shared" si="7"/>
        <v>0</v>
      </c>
      <c r="K97" s="3"/>
      <c r="L97" s="3">
        <f t="shared" si="8"/>
        <v>493.7628685</v>
      </c>
      <c r="M97" s="9">
        <f t="shared" si="9"/>
        <v>489.2396993</v>
      </c>
      <c r="N97" s="9">
        <f t="shared" si="10"/>
        <v>4.523169206</v>
      </c>
      <c r="O97" s="3"/>
      <c r="P97" s="10">
        <f t="shared" si="14"/>
        <v>-187.332411</v>
      </c>
      <c r="Q97" s="9">
        <f t="shared" si="15"/>
        <v>452.3053528</v>
      </c>
      <c r="R97" s="2"/>
      <c r="S97" s="9">
        <f t="shared" si="13"/>
        <v>4.15360878</v>
      </c>
      <c r="W97" s="3"/>
      <c r="X97" s="3"/>
      <c r="Y97" s="3"/>
      <c r="Z97" s="3"/>
      <c r="AA97" s="3"/>
      <c r="AB97" s="3"/>
      <c r="AC97" s="3"/>
    </row>
    <row r="98">
      <c r="A98" s="1">
        <v>86.0</v>
      </c>
      <c r="B98" s="2">
        <v>1.41976956521739E9</v>
      </c>
      <c r="C98" s="2">
        <v>-101.8836746</v>
      </c>
      <c r="D98" s="3">
        <f t="shared" si="1"/>
        <v>-630434.7826</v>
      </c>
      <c r="E98" s="4">
        <f t="shared" si="2"/>
        <v>132.234643</v>
      </c>
      <c r="F98" s="3">
        <f t="shared" si="3"/>
        <v>0.0002097515027</v>
      </c>
      <c r="G98" s="3">
        <f t="shared" si="4"/>
        <v>0</v>
      </c>
      <c r="H98" s="2">
        <f t="shared" si="5"/>
        <v>0</v>
      </c>
      <c r="I98" s="3">
        <f t="shared" si="6"/>
        <v>0</v>
      </c>
      <c r="J98" s="3">
        <f t="shared" si="7"/>
        <v>0</v>
      </c>
      <c r="K98" s="3"/>
      <c r="L98" s="3">
        <f t="shared" si="8"/>
        <v>492.8771759</v>
      </c>
      <c r="M98" s="9">
        <f t="shared" si="9"/>
        <v>489.1623456</v>
      </c>
      <c r="N98" s="9">
        <f t="shared" si="10"/>
        <v>3.714830299</v>
      </c>
      <c r="O98" s="3"/>
      <c r="P98" s="10">
        <f t="shared" si="14"/>
        <v>-188.2507071</v>
      </c>
      <c r="Q98" s="9">
        <f t="shared" si="15"/>
        <v>451.9979524</v>
      </c>
      <c r="R98" s="2"/>
      <c r="S98" s="9">
        <f t="shared" si="13"/>
        <v>3.411314298</v>
      </c>
      <c r="W98" s="3"/>
      <c r="X98" s="3"/>
      <c r="Y98" s="3"/>
      <c r="Z98" s="3"/>
      <c r="AA98" s="3"/>
      <c r="AB98" s="3"/>
      <c r="AC98" s="3"/>
    </row>
    <row r="99">
      <c r="A99" s="1">
        <v>87.0</v>
      </c>
      <c r="B99" s="2">
        <v>1.41977391304347E9</v>
      </c>
      <c r="C99" s="2">
        <v>-101.8583221</v>
      </c>
      <c r="D99" s="3">
        <f t="shared" si="1"/>
        <v>-626086.9565</v>
      </c>
      <c r="E99" s="4">
        <f t="shared" si="2"/>
        <v>131.3163469</v>
      </c>
      <c r="F99" s="3">
        <f t="shared" si="3"/>
        <v>0.0002097413874</v>
      </c>
      <c r="G99" s="3">
        <f t="shared" si="4"/>
        <v>0</v>
      </c>
      <c r="H99" s="2">
        <f t="shared" si="5"/>
        <v>0</v>
      </c>
      <c r="I99" s="3">
        <f t="shared" si="6"/>
        <v>0</v>
      </c>
      <c r="J99" s="3">
        <f t="shared" si="7"/>
        <v>0</v>
      </c>
      <c r="K99" s="3"/>
      <c r="L99" s="3">
        <f t="shared" si="8"/>
        <v>495.7628244</v>
      </c>
      <c r="M99" s="9">
        <f t="shared" si="9"/>
        <v>489.0848141</v>
      </c>
      <c r="N99" s="9">
        <f t="shared" si="10"/>
        <v>6.67801033</v>
      </c>
      <c r="O99" s="3"/>
      <c r="P99" s="10">
        <f t="shared" si="14"/>
        <v>-189.1690032</v>
      </c>
      <c r="Q99" s="9">
        <f t="shared" si="15"/>
        <v>444.86169</v>
      </c>
      <c r="R99" s="2"/>
      <c r="S99" s="9">
        <f t="shared" si="13"/>
        <v>6.13239106</v>
      </c>
      <c r="W99" s="3"/>
      <c r="X99" s="3"/>
      <c r="Y99" s="3"/>
      <c r="Z99" s="3"/>
      <c r="AA99" s="3"/>
      <c r="AB99" s="3"/>
      <c r="AC99" s="3"/>
    </row>
    <row r="100">
      <c r="A100" s="1">
        <v>88.0</v>
      </c>
      <c r="B100" s="2">
        <v>1.41977826086956E9</v>
      </c>
      <c r="C100" s="2">
        <v>-101.9426346</v>
      </c>
      <c r="D100" s="3">
        <f t="shared" si="1"/>
        <v>-621739.1304</v>
      </c>
      <c r="E100" s="4">
        <f t="shared" si="2"/>
        <v>130.3980508</v>
      </c>
      <c r="F100" s="3">
        <f t="shared" si="3"/>
        <v>0.0002097311306</v>
      </c>
      <c r="G100" s="3">
        <f t="shared" si="4"/>
        <v>0</v>
      </c>
      <c r="H100" s="2">
        <f t="shared" si="5"/>
        <v>0</v>
      </c>
      <c r="I100" s="3">
        <f t="shared" si="6"/>
        <v>0</v>
      </c>
      <c r="J100" s="3">
        <f t="shared" si="7"/>
        <v>0</v>
      </c>
      <c r="K100" s="3"/>
      <c r="L100" s="3">
        <f t="shared" si="8"/>
        <v>486.2310708</v>
      </c>
      <c r="M100" s="9">
        <f t="shared" si="9"/>
        <v>489.0071043</v>
      </c>
      <c r="N100" s="9">
        <f t="shared" si="10"/>
        <v>-2.776033541</v>
      </c>
      <c r="O100" s="3"/>
      <c r="P100" s="10">
        <f t="shared" si="14"/>
        <v>-190.0872994</v>
      </c>
      <c r="Q100" s="9">
        <f t="shared" si="15"/>
        <v>451.9431699</v>
      </c>
      <c r="R100" s="2"/>
      <c r="S100" s="9">
        <f t="shared" si="13"/>
        <v>-2.549220859</v>
      </c>
      <c r="W100" s="3"/>
      <c r="X100" s="3"/>
      <c r="Y100" s="3"/>
      <c r="Z100" s="3"/>
      <c r="AA100" s="3"/>
      <c r="AB100" s="3"/>
      <c r="AC100" s="3"/>
    </row>
    <row r="101">
      <c r="A101" s="1">
        <v>89.0</v>
      </c>
      <c r="B101" s="2">
        <v>1.41978260869565E9</v>
      </c>
      <c r="C101" s="2">
        <v>-101.9319534</v>
      </c>
      <c r="D101" s="3">
        <f t="shared" si="1"/>
        <v>-617391.3043</v>
      </c>
      <c r="E101" s="4">
        <f t="shared" si="2"/>
        <v>129.4797546</v>
      </c>
      <c r="F101" s="3">
        <f t="shared" si="3"/>
        <v>0.0002097207293</v>
      </c>
      <c r="G101" s="3">
        <f t="shared" si="4"/>
        <v>0</v>
      </c>
      <c r="H101" s="2">
        <f t="shared" si="5"/>
        <v>0</v>
      </c>
      <c r="I101" s="3">
        <f t="shared" si="6"/>
        <v>0</v>
      </c>
      <c r="J101" s="3">
        <f t="shared" si="7"/>
        <v>0</v>
      </c>
      <c r="K101" s="3"/>
      <c r="L101" s="3">
        <f t="shared" si="8"/>
        <v>487.4283974</v>
      </c>
      <c r="M101" s="9">
        <f t="shared" si="9"/>
        <v>488.929216</v>
      </c>
      <c r="N101" s="9">
        <f t="shared" si="10"/>
        <v>-1.50081868</v>
      </c>
      <c r="O101" s="3"/>
      <c r="P101" s="10">
        <f t="shared" si="14"/>
        <v>-191.0055955</v>
      </c>
      <c r="Q101" s="9">
        <f t="shared" si="15"/>
        <v>445.0649229</v>
      </c>
      <c r="R101" s="2"/>
      <c r="S101" s="9">
        <f t="shared" si="13"/>
        <v>-1.37819599</v>
      </c>
      <c r="W101" s="3"/>
      <c r="X101" s="3"/>
      <c r="Y101" s="3"/>
      <c r="Z101" s="3"/>
      <c r="AA101" s="3"/>
      <c r="AB101" s="3"/>
      <c r="AC101" s="3"/>
    </row>
    <row r="102">
      <c r="A102" s="1">
        <v>90.0</v>
      </c>
      <c r="B102" s="2">
        <v>1.41978695652173E9</v>
      </c>
      <c r="C102" s="2">
        <v>-101.9021988</v>
      </c>
      <c r="D102" s="3">
        <f t="shared" si="1"/>
        <v>-613043.4783</v>
      </c>
      <c r="E102" s="4">
        <f t="shared" si="2"/>
        <v>128.5614585</v>
      </c>
      <c r="F102" s="3">
        <f t="shared" si="3"/>
        <v>0.0002097101805</v>
      </c>
      <c r="G102" s="3">
        <f t="shared" si="4"/>
        <v>0</v>
      </c>
      <c r="H102" s="2">
        <f t="shared" si="5"/>
        <v>0</v>
      </c>
      <c r="I102" s="3">
        <f t="shared" si="6"/>
        <v>0</v>
      </c>
      <c r="J102" s="3">
        <f t="shared" si="7"/>
        <v>0</v>
      </c>
      <c r="K102" s="3"/>
      <c r="L102" s="3">
        <f t="shared" si="8"/>
        <v>490.7793571</v>
      </c>
      <c r="M102" s="9">
        <f t="shared" si="9"/>
        <v>488.8511488</v>
      </c>
      <c r="N102" s="9">
        <f t="shared" si="10"/>
        <v>1.928208277</v>
      </c>
      <c r="O102" s="3"/>
      <c r="P102" s="10">
        <f t="shared" si="14"/>
        <v>-191.9238916</v>
      </c>
      <c r="Q102" s="9">
        <f t="shared" si="15"/>
        <v>448.1018195</v>
      </c>
      <c r="R102" s="2"/>
      <c r="S102" s="9">
        <f t="shared" si="13"/>
        <v>1.770666204</v>
      </c>
      <c r="W102" s="3"/>
      <c r="X102" s="3"/>
      <c r="Y102" s="3"/>
      <c r="Z102" s="3"/>
      <c r="AA102" s="3"/>
      <c r="AB102" s="3"/>
      <c r="AC102" s="3"/>
    </row>
    <row r="103">
      <c r="A103" s="1">
        <v>91.0</v>
      </c>
      <c r="B103" s="2">
        <v>1.41979130434782E9</v>
      </c>
      <c r="C103" s="2">
        <v>-101.911705</v>
      </c>
      <c r="D103" s="3">
        <f t="shared" si="1"/>
        <v>-608695.6522</v>
      </c>
      <c r="E103" s="4">
        <f t="shared" si="2"/>
        <v>127.6431624</v>
      </c>
      <c r="F103" s="3">
        <f t="shared" si="3"/>
        <v>0.000209699481</v>
      </c>
      <c r="G103" s="3">
        <f t="shared" si="4"/>
        <v>0</v>
      </c>
      <c r="H103" s="2">
        <f t="shared" si="5"/>
        <v>0</v>
      </c>
      <c r="I103" s="3">
        <f t="shared" si="6"/>
        <v>0</v>
      </c>
      <c r="J103" s="3">
        <f t="shared" si="7"/>
        <v>0</v>
      </c>
      <c r="K103" s="3"/>
      <c r="L103" s="3">
        <f t="shared" si="8"/>
        <v>489.7062732</v>
      </c>
      <c r="M103" s="9">
        <f t="shared" si="9"/>
        <v>488.7729024</v>
      </c>
      <c r="N103" s="9">
        <f t="shared" si="10"/>
        <v>0.9333707558</v>
      </c>
      <c r="O103" s="3"/>
      <c r="P103" s="10">
        <f t="shared" si="14"/>
        <v>-192.8421877</v>
      </c>
      <c r="Q103" s="9">
        <f t="shared" si="15"/>
        <v>451.5939732</v>
      </c>
      <c r="R103" s="2"/>
      <c r="S103" s="9">
        <f t="shared" si="13"/>
        <v>0.8571107555</v>
      </c>
      <c r="W103" s="3"/>
      <c r="X103" s="3"/>
      <c r="Y103" s="3"/>
      <c r="Z103" s="3"/>
      <c r="AA103" s="3"/>
      <c r="AB103" s="3"/>
      <c r="AC103" s="3"/>
    </row>
    <row r="104">
      <c r="A104" s="1">
        <v>92.0</v>
      </c>
      <c r="B104" s="2">
        <v>1.41979565217391E9</v>
      </c>
      <c r="C104" s="2">
        <v>-101.8964081</v>
      </c>
      <c r="D104" s="3">
        <f t="shared" si="1"/>
        <v>-604347.8261</v>
      </c>
      <c r="E104" s="4">
        <f t="shared" si="2"/>
        <v>126.7248662</v>
      </c>
      <c r="F104" s="3">
        <f t="shared" si="3"/>
        <v>0.0002096886276</v>
      </c>
      <c r="G104" s="3">
        <f t="shared" si="4"/>
        <v>0</v>
      </c>
      <c r="H104" s="2">
        <f t="shared" si="5"/>
        <v>0</v>
      </c>
      <c r="I104" s="3">
        <f t="shared" si="6"/>
        <v>0</v>
      </c>
      <c r="J104" s="3">
        <f t="shared" si="7"/>
        <v>0</v>
      </c>
      <c r="K104" s="3"/>
      <c r="L104" s="3">
        <f t="shared" si="8"/>
        <v>491.4341781</v>
      </c>
      <c r="M104" s="9">
        <f t="shared" si="9"/>
        <v>488.6944764</v>
      </c>
      <c r="N104" s="9">
        <f t="shared" si="10"/>
        <v>2.739701715</v>
      </c>
      <c r="O104" s="3"/>
      <c r="P104" s="10">
        <f t="shared" si="14"/>
        <v>-193.7604839</v>
      </c>
      <c r="Q104" s="9">
        <f t="shared" si="15"/>
        <v>448.5334094</v>
      </c>
      <c r="R104" s="2"/>
      <c r="S104" s="9">
        <f t="shared" si="13"/>
        <v>2.515857484</v>
      </c>
      <c r="W104" s="3"/>
      <c r="X104" s="3"/>
      <c r="Y104" s="3"/>
      <c r="Z104" s="3"/>
      <c r="AA104" s="3"/>
      <c r="AB104" s="3"/>
      <c r="AC104" s="3"/>
    </row>
    <row r="105">
      <c r="A105" s="1">
        <v>93.0</v>
      </c>
      <c r="B105" s="2">
        <v>1.4198E9</v>
      </c>
      <c r="C105" s="2">
        <v>-101.9011612</v>
      </c>
      <c r="D105" s="3">
        <f t="shared" si="1"/>
        <v>-600000</v>
      </c>
      <c r="E105" s="4">
        <f t="shared" si="2"/>
        <v>125.8065701</v>
      </c>
      <c r="F105" s="3">
        <f t="shared" si="3"/>
        <v>0.0002096776168</v>
      </c>
      <c r="G105" s="3">
        <f t="shared" si="4"/>
        <v>0</v>
      </c>
      <c r="H105" s="2">
        <f t="shared" si="5"/>
        <v>0</v>
      </c>
      <c r="I105" s="3">
        <f t="shared" si="6"/>
        <v>0</v>
      </c>
      <c r="J105" s="3">
        <f t="shared" si="7"/>
        <v>0</v>
      </c>
      <c r="K105" s="3"/>
      <c r="L105" s="3">
        <f t="shared" si="8"/>
        <v>490.8966263</v>
      </c>
      <c r="M105" s="9">
        <f t="shared" si="9"/>
        <v>488.6158705</v>
      </c>
      <c r="N105" s="9">
        <f t="shared" si="10"/>
        <v>2.280755748</v>
      </c>
      <c r="O105" s="3"/>
      <c r="P105" s="10">
        <f t="shared" si="14"/>
        <v>-194.67878</v>
      </c>
      <c r="Q105" s="9">
        <f t="shared" si="15"/>
        <v>452.9374882</v>
      </c>
      <c r="R105" s="2"/>
      <c r="S105" s="9">
        <f t="shared" si="13"/>
        <v>2.094409183</v>
      </c>
      <c r="W105" s="3"/>
      <c r="X105" s="3"/>
      <c r="Y105" s="3"/>
      <c r="Z105" s="3"/>
      <c r="AA105" s="3"/>
      <c r="AB105" s="3"/>
      <c r="AC105" s="3"/>
    </row>
    <row r="106">
      <c r="A106" s="1">
        <v>94.0</v>
      </c>
      <c r="B106" s="2">
        <v>1.41980434782608E9</v>
      </c>
      <c r="C106" s="2">
        <v>-101.9432526</v>
      </c>
      <c r="D106" s="3">
        <f t="shared" si="1"/>
        <v>-595652.1739</v>
      </c>
      <c r="E106" s="4">
        <f t="shared" si="2"/>
        <v>124.888274</v>
      </c>
      <c r="F106" s="3">
        <f t="shared" si="3"/>
        <v>0.0002096664454</v>
      </c>
      <c r="G106" s="3">
        <f t="shared" si="4"/>
        <v>0</v>
      </c>
      <c r="H106" s="2">
        <f t="shared" si="5"/>
        <v>0</v>
      </c>
      <c r="I106" s="3">
        <f t="shared" si="6"/>
        <v>0</v>
      </c>
      <c r="J106" s="3">
        <f t="shared" si="7"/>
        <v>0</v>
      </c>
      <c r="K106" s="3"/>
      <c r="L106" s="3">
        <f t="shared" si="8"/>
        <v>486.1618852</v>
      </c>
      <c r="M106" s="9">
        <f t="shared" si="9"/>
        <v>488.5370844</v>
      </c>
      <c r="N106" s="9">
        <f t="shared" si="10"/>
        <v>-2.375199242</v>
      </c>
      <c r="O106" s="3"/>
      <c r="P106" s="10">
        <f t="shared" si="14"/>
        <v>-195.5970761</v>
      </c>
      <c r="Q106" s="9">
        <f t="shared" si="15"/>
        <v>449.59604</v>
      </c>
      <c r="R106" s="2"/>
      <c r="S106" s="9">
        <f t="shared" si="13"/>
        <v>-2.181136279</v>
      </c>
      <c r="W106" s="3"/>
      <c r="X106" s="3"/>
      <c r="Y106" s="3"/>
      <c r="Z106" s="3"/>
      <c r="AA106" s="3"/>
      <c r="AB106" s="3"/>
      <c r="AC106" s="3"/>
    </row>
    <row r="107">
      <c r="A107" s="1">
        <v>95.0</v>
      </c>
      <c r="B107" s="2">
        <v>1.41980869565217E9</v>
      </c>
      <c r="C107" s="2">
        <v>-101.9406891</v>
      </c>
      <c r="D107" s="3">
        <f t="shared" si="1"/>
        <v>-591304.3478</v>
      </c>
      <c r="E107" s="4">
        <f t="shared" si="2"/>
        <v>123.9699778</v>
      </c>
      <c r="F107" s="3">
        <f t="shared" si="3"/>
        <v>0.0002096551096</v>
      </c>
      <c r="G107" s="3">
        <f t="shared" si="4"/>
        <v>0</v>
      </c>
      <c r="H107" s="2">
        <f t="shared" si="5"/>
        <v>0</v>
      </c>
      <c r="I107" s="3">
        <f t="shared" si="6"/>
        <v>0</v>
      </c>
      <c r="J107" s="3">
        <f t="shared" si="7"/>
        <v>0</v>
      </c>
      <c r="K107" s="3"/>
      <c r="L107" s="3">
        <f t="shared" si="8"/>
        <v>486.4489355</v>
      </c>
      <c r="M107" s="9">
        <f t="shared" si="9"/>
        <v>488.4581177</v>
      </c>
      <c r="N107" s="9">
        <f t="shared" si="10"/>
        <v>-2.009182201</v>
      </c>
      <c r="O107" s="3"/>
      <c r="P107" s="10">
        <f t="shared" si="14"/>
        <v>-196.5153723</v>
      </c>
      <c r="Q107" s="9">
        <f t="shared" si="15"/>
        <v>439.8108078</v>
      </c>
      <c r="R107" s="2"/>
      <c r="S107" s="9">
        <f t="shared" si="13"/>
        <v>-1.845024241</v>
      </c>
      <c r="W107" s="3"/>
      <c r="X107" s="3"/>
      <c r="Y107" s="3"/>
      <c r="Z107" s="3"/>
      <c r="AA107" s="3"/>
      <c r="AB107" s="3"/>
      <c r="AC107" s="3"/>
    </row>
    <row r="108">
      <c r="A108" s="1">
        <v>96.0</v>
      </c>
      <c r="B108" s="2">
        <v>1.41981304347826E9</v>
      </c>
      <c r="C108" s="2">
        <v>-101.9367981</v>
      </c>
      <c r="D108" s="3">
        <f t="shared" si="1"/>
        <v>-586956.5217</v>
      </c>
      <c r="E108" s="4">
        <f t="shared" si="2"/>
        <v>123.0516817</v>
      </c>
      <c r="F108" s="3">
        <f t="shared" si="3"/>
        <v>0.0002096436059</v>
      </c>
      <c r="G108" s="3">
        <f t="shared" si="4"/>
        <v>0</v>
      </c>
      <c r="H108" s="2">
        <f t="shared" si="5"/>
        <v>0</v>
      </c>
      <c r="I108" s="3">
        <f t="shared" si="6"/>
        <v>0</v>
      </c>
      <c r="J108" s="3">
        <f t="shared" si="7"/>
        <v>0</v>
      </c>
      <c r="K108" s="3"/>
      <c r="L108" s="3">
        <f t="shared" si="8"/>
        <v>486.8849579</v>
      </c>
      <c r="M108" s="9">
        <f t="shared" si="9"/>
        <v>488.3789701</v>
      </c>
      <c r="N108" s="9">
        <f t="shared" si="10"/>
        <v>-1.494012284</v>
      </c>
      <c r="O108" s="3"/>
      <c r="P108" s="10">
        <f t="shared" si="14"/>
        <v>-197.4336684</v>
      </c>
      <c r="Q108" s="9">
        <f t="shared" si="15"/>
        <v>439.8911629</v>
      </c>
      <c r="R108" s="2"/>
      <c r="S108" s="9">
        <f t="shared" si="13"/>
        <v>-1.371945703</v>
      </c>
      <c r="W108" s="3"/>
      <c r="X108" s="3"/>
      <c r="Y108" s="3"/>
      <c r="Z108" s="3"/>
      <c r="AA108" s="3"/>
      <c r="AB108" s="3"/>
      <c r="AC108" s="3"/>
    </row>
    <row r="109">
      <c r="A109" s="1">
        <v>97.0</v>
      </c>
      <c r="B109" s="2">
        <v>1.41981739130434E9</v>
      </c>
      <c r="C109" s="2">
        <v>-101.9717178</v>
      </c>
      <c r="D109" s="3">
        <f t="shared" si="1"/>
        <v>-582608.6957</v>
      </c>
      <c r="E109" s="4">
        <f t="shared" si="2"/>
        <v>122.1333856</v>
      </c>
      <c r="F109" s="3">
        <f t="shared" si="3"/>
        <v>0.0002096319305</v>
      </c>
      <c r="G109" s="3">
        <f t="shared" si="4"/>
        <v>0</v>
      </c>
      <c r="H109" s="2">
        <f t="shared" si="5"/>
        <v>0</v>
      </c>
      <c r="I109" s="3">
        <f t="shared" si="6"/>
        <v>0</v>
      </c>
      <c r="J109" s="3">
        <f t="shared" si="7"/>
        <v>0</v>
      </c>
      <c r="K109" s="3"/>
      <c r="L109" s="3">
        <f t="shared" si="8"/>
        <v>482.9858277</v>
      </c>
      <c r="M109" s="9">
        <f t="shared" si="9"/>
        <v>488.2996413</v>
      </c>
      <c r="N109" s="9">
        <f t="shared" si="10"/>
        <v>-5.313813654</v>
      </c>
      <c r="O109" s="3"/>
      <c r="P109" s="10">
        <f t="shared" si="14"/>
        <v>-198.3519645</v>
      </c>
      <c r="Q109" s="9">
        <f t="shared" si="15"/>
        <v>445.8130092</v>
      </c>
      <c r="R109" s="2"/>
      <c r="S109" s="9">
        <f t="shared" si="13"/>
        <v>-4.879654529</v>
      </c>
      <c r="W109" s="3"/>
      <c r="X109" s="3"/>
      <c r="Y109" s="3"/>
      <c r="Z109" s="3"/>
      <c r="AA109" s="3"/>
      <c r="AB109" s="3"/>
      <c r="AC109" s="3"/>
    </row>
    <row r="110">
      <c r="A110" s="1">
        <v>98.0</v>
      </c>
      <c r="B110" s="2">
        <v>1.41982173913043E9</v>
      </c>
      <c r="C110" s="2">
        <v>-101.9760666</v>
      </c>
      <c r="D110" s="3">
        <f t="shared" si="1"/>
        <v>-578260.8696</v>
      </c>
      <c r="E110" s="4">
        <f t="shared" si="2"/>
        <v>121.2150894</v>
      </c>
      <c r="F110" s="3">
        <f t="shared" si="3"/>
        <v>0.0002096200795</v>
      </c>
      <c r="G110" s="3">
        <f t="shared" si="4"/>
        <v>0</v>
      </c>
      <c r="H110" s="2">
        <f t="shared" si="5"/>
        <v>0</v>
      </c>
      <c r="I110" s="3">
        <f t="shared" si="6"/>
        <v>0</v>
      </c>
      <c r="J110" s="3">
        <f t="shared" si="7"/>
        <v>0</v>
      </c>
      <c r="K110" s="3"/>
      <c r="L110" s="3">
        <f t="shared" si="8"/>
        <v>482.5024328</v>
      </c>
      <c r="M110" s="9">
        <f t="shared" si="9"/>
        <v>488.220131</v>
      </c>
      <c r="N110" s="9">
        <f t="shared" si="10"/>
        <v>-5.717698209</v>
      </c>
      <c r="O110" s="3"/>
      <c r="P110" s="10">
        <f t="shared" si="14"/>
        <v>-199.2702607</v>
      </c>
      <c r="Q110" s="9">
        <f t="shared" si="15"/>
        <v>446.2259341</v>
      </c>
      <c r="R110" s="2"/>
      <c r="S110" s="9">
        <f t="shared" si="13"/>
        <v>-5.250540141</v>
      </c>
      <c r="W110" s="3"/>
      <c r="X110" s="3"/>
      <c r="Y110" s="3"/>
      <c r="Z110" s="3"/>
      <c r="AA110" s="3"/>
      <c r="AB110" s="3"/>
      <c r="AC110" s="3"/>
    </row>
    <row r="111">
      <c r="A111" s="1">
        <v>99.0</v>
      </c>
      <c r="B111" s="2">
        <v>1.41982608695652E9</v>
      </c>
      <c r="C111" s="2">
        <v>-101.9336014</v>
      </c>
      <c r="D111" s="3">
        <f t="shared" si="1"/>
        <v>-573913.0435</v>
      </c>
      <c r="E111" s="4">
        <f t="shared" si="2"/>
        <v>120.2967933</v>
      </c>
      <c r="F111" s="3">
        <f t="shared" si="3"/>
        <v>0.000209608049</v>
      </c>
      <c r="G111" s="3">
        <f t="shared" si="4"/>
        <v>0</v>
      </c>
      <c r="H111" s="2">
        <f t="shared" si="5"/>
        <v>0</v>
      </c>
      <c r="I111" s="3">
        <f t="shared" si="6"/>
        <v>0</v>
      </c>
      <c r="J111" s="3">
        <f t="shared" si="7"/>
        <v>0</v>
      </c>
      <c r="K111" s="3"/>
      <c r="L111" s="3">
        <f t="shared" si="8"/>
        <v>487.2434699</v>
      </c>
      <c r="M111" s="9">
        <f t="shared" si="9"/>
        <v>488.1404387</v>
      </c>
      <c r="N111" s="9">
        <f t="shared" si="10"/>
        <v>-0.8969687689</v>
      </c>
      <c r="O111" s="3"/>
      <c r="P111" s="10">
        <f t="shared" si="14"/>
        <v>-200.1885568</v>
      </c>
      <c r="Q111" s="9">
        <f t="shared" si="15"/>
        <v>455.8695008</v>
      </c>
      <c r="R111" s="2"/>
      <c r="S111" s="9">
        <f t="shared" si="13"/>
        <v>-0.8236829517</v>
      </c>
      <c r="W111" s="3"/>
      <c r="X111" s="3"/>
      <c r="Y111" s="3"/>
      <c r="Z111" s="3"/>
      <c r="AA111" s="3"/>
      <c r="AB111" s="3"/>
      <c r="AC111" s="3"/>
    </row>
    <row r="112">
      <c r="A112" s="1">
        <v>100.0</v>
      </c>
      <c r="B112" s="2">
        <v>1.4198304347826E9</v>
      </c>
      <c r="C112" s="2">
        <v>-101.8703613</v>
      </c>
      <c r="D112" s="3">
        <f t="shared" si="1"/>
        <v>-569565.2174</v>
      </c>
      <c r="E112" s="4">
        <f t="shared" si="2"/>
        <v>119.3784972</v>
      </c>
      <c r="F112" s="3">
        <f t="shared" si="3"/>
        <v>0.0002095958347</v>
      </c>
      <c r="G112" s="3">
        <f t="shared" si="4"/>
        <v>0</v>
      </c>
      <c r="H112" s="2">
        <f t="shared" si="5"/>
        <v>0</v>
      </c>
      <c r="I112" s="3">
        <f t="shared" si="6"/>
        <v>0</v>
      </c>
      <c r="J112" s="3">
        <f t="shared" si="7"/>
        <v>0</v>
      </c>
      <c r="K112" s="3"/>
      <c r="L112" s="3">
        <f t="shared" si="8"/>
        <v>494.3904094</v>
      </c>
      <c r="M112" s="9">
        <f t="shared" si="9"/>
        <v>488.0605642</v>
      </c>
      <c r="N112" s="9">
        <f t="shared" si="10"/>
        <v>6.329845242</v>
      </c>
      <c r="O112" s="3"/>
      <c r="P112" s="10">
        <f t="shared" si="14"/>
        <v>-201.1068529</v>
      </c>
      <c r="Q112" s="9">
        <f t="shared" si="15"/>
        <v>447.5149594</v>
      </c>
      <c r="R112" s="2"/>
      <c r="S112" s="9">
        <f t="shared" si="13"/>
        <v>5.812672407</v>
      </c>
      <c r="W112" s="3"/>
      <c r="X112" s="3"/>
      <c r="Y112" s="3"/>
      <c r="Z112" s="3"/>
      <c r="AA112" s="3"/>
      <c r="AB112" s="3"/>
      <c r="AC112" s="3"/>
    </row>
    <row r="113">
      <c r="A113" s="1">
        <v>101.0</v>
      </c>
      <c r="B113" s="2">
        <v>1.41983478260869E9</v>
      </c>
      <c r="C113" s="2">
        <v>-101.9531326</v>
      </c>
      <c r="D113" s="3">
        <f t="shared" si="1"/>
        <v>-565217.3913</v>
      </c>
      <c r="E113" s="4">
        <f t="shared" si="2"/>
        <v>118.460201</v>
      </c>
      <c r="F113" s="3">
        <f t="shared" si="3"/>
        <v>0.0002095834326</v>
      </c>
      <c r="G113" s="3">
        <f t="shared" si="4"/>
        <v>0</v>
      </c>
      <c r="H113" s="2">
        <f t="shared" si="5"/>
        <v>0</v>
      </c>
      <c r="I113" s="3">
        <f t="shared" si="6"/>
        <v>0</v>
      </c>
      <c r="J113" s="3">
        <f t="shared" si="7"/>
        <v>0</v>
      </c>
      <c r="K113" s="3"/>
      <c r="L113" s="3">
        <f t="shared" si="8"/>
        <v>485.0571463</v>
      </c>
      <c r="M113" s="9">
        <f t="shared" si="9"/>
        <v>487.9805071</v>
      </c>
      <c r="N113" s="9">
        <f t="shared" si="10"/>
        <v>-2.923360822</v>
      </c>
      <c r="O113" s="3"/>
      <c r="P113" s="10">
        <f t="shared" si="14"/>
        <v>-202.0251491</v>
      </c>
      <c r="Q113" s="9">
        <f t="shared" si="15"/>
        <v>447.5408964</v>
      </c>
      <c r="R113" s="2"/>
      <c r="S113" s="9">
        <f t="shared" si="13"/>
        <v>-2.684510938</v>
      </c>
      <c r="W113" s="3"/>
      <c r="X113" s="3"/>
      <c r="Y113" s="3"/>
      <c r="Z113" s="3"/>
      <c r="AA113" s="3"/>
      <c r="AB113" s="3"/>
      <c r="AC113" s="3"/>
    </row>
    <row r="114">
      <c r="A114" s="1">
        <v>102.0</v>
      </c>
      <c r="B114" s="2">
        <v>1.41983913043478E9</v>
      </c>
      <c r="C114" s="2">
        <v>-101.913559</v>
      </c>
      <c r="D114" s="3">
        <f t="shared" si="1"/>
        <v>-560869.5652</v>
      </c>
      <c r="E114" s="4">
        <f t="shared" si="2"/>
        <v>117.5419049</v>
      </c>
      <c r="F114" s="3">
        <f t="shared" si="3"/>
        <v>0.0002095708382</v>
      </c>
      <c r="G114" s="3">
        <f t="shared" si="4"/>
        <v>0</v>
      </c>
      <c r="H114" s="2">
        <f t="shared" si="5"/>
        <v>0</v>
      </c>
      <c r="I114" s="3">
        <f t="shared" si="6"/>
        <v>0</v>
      </c>
      <c r="J114" s="3">
        <f t="shared" si="7"/>
        <v>0</v>
      </c>
      <c r="K114" s="3"/>
      <c r="L114" s="3">
        <f t="shared" si="8"/>
        <v>489.4972625</v>
      </c>
      <c r="M114" s="9">
        <f t="shared" si="9"/>
        <v>487.9002671</v>
      </c>
      <c r="N114" s="9">
        <f t="shared" si="10"/>
        <v>1.596995377</v>
      </c>
      <c r="O114" s="3"/>
      <c r="P114" s="10">
        <f t="shared" si="14"/>
        <v>-202.9434452</v>
      </c>
      <c r="Q114" s="9">
        <f t="shared" si="15"/>
        <v>440.4533296</v>
      </c>
      <c r="R114" s="2"/>
      <c r="S114" s="9">
        <f t="shared" si="13"/>
        <v>1.466514676</v>
      </c>
      <c r="W114" s="3"/>
      <c r="X114" s="3"/>
      <c r="Y114" s="3"/>
      <c r="Z114" s="3"/>
      <c r="AA114" s="3"/>
      <c r="AB114" s="3"/>
      <c r="AC114" s="3"/>
    </row>
    <row r="115">
      <c r="A115" s="1">
        <v>103.0</v>
      </c>
      <c r="B115" s="2">
        <v>1.41984347826087E9</v>
      </c>
      <c r="C115" s="2">
        <v>-101.9889832</v>
      </c>
      <c r="D115" s="3">
        <f t="shared" si="1"/>
        <v>-556521.7391</v>
      </c>
      <c r="E115" s="4">
        <f t="shared" si="2"/>
        <v>116.6236088</v>
      </c>
      <c r="F115" s="3">
        <f t="shared" si="3"/>
        <v>0.000209558047</v>
      </c>
      <c r="G115" s="3">
        <f t="shared" si="4"/>
        <v>0</v>
      </c>
      <c r="H115" s="2">
        <f t="shared" si="5"/>
        <v>0</v>
      </c>
      <c r="I115" s="3">
        <f t="shared" si="6"/>
        <v>0</v>
      </c>
      <c r="J115" s="3">
        <f t="shared" si="7"/>
        <v>0</v>
      </c>
      <c r="K115" s="3"/>
      <c r="L115" s="3">
        <f t="shared" si="8"/>
        <v>481.0695266</v>
      </c>
      <c r="M115" s="9">
        <f t="shared" si="9"/>
        <v>487.8198439</v>
      </c>
      <c r="N115" s="9">
        <f t="shared" si="10"/>
        <v>-6.750317288</v>
      </c>
      <c r="O115" s="3"/>
      <c r="P115" s="10">
        <f t="shared" si="14"/>
        <v>-203.8617413</v>
      </c>
      <c r="Q115" s="9">
        <f t="shared" si="15"/>
        <v>447.385256</v>
      </c>
      <c r="R115" s="2"/>
      <c r="S115" s="9">
        <f t="shared" si="13"/>
        <v>-6.19879026</v>
      </c>
      <c r="W115" s="3"/>
      <c r="X115" s="3"/>
      <c r="Y115" s="3"/>
      <c r="Z115" s="3"/>
      <c r="AA115" s="3"/>
      <c r="AB115" s="3"/>
      <c r="AC115" s="3"/>
    </row>
    <row r="116">
      <c r="A116" s="1">
        <v>104.0</v>
      </c>
      <c r="B116" s="2">
        <v>1.41984782608695E9</v>
      </c>
      <c r="C116" s="2">
        <v>-101.981041</v>
      </c>
      <c r="D116" s="3">
        <f t="shared" si="1"/>
        <v>-552173.913</v>
      </c>
      <c r="E116" s="4">
        <f t="shared" si="2"/>
        <v>115.7053126</v>
      </c>
      <c r="F116" s="3">
        <f t="shared" si="3"/>
        <v>0.0002095450544</v>
      </c>
      <c r="G116" s="3">
        <f t="shared" si="4"/>
        <v>0</v>
      </c>
      <c r="H116" s="2">
        <f t="shared" si="5"/>
        <v>0</v>
      </c>
      <c r="I116" s="3">
        <f t="shared" si="6"/>
        <v>0</v>
      </c>
      <c r="J116" s="3">
        <f t="shared" si="7"/>
        <v>0</v>
      </c>
      <c r="K116" s="3"/>
      <c r="L116" s="3">
        <f t="shared" si="8"/>
        <v>481.9500919</v>
      </c>
      <c r="M116" s="9">
        <f t="shared" si="9"/>
        <v>487.7392371</v>
      </c>
      <c r="N116" s="9">
        <f t="shared" si="10"/>
        <v>-5.789145291</v>
      </c>
      <c r="O116" s="3"/>
      <c r="P116" s="10">
        <f t="shared" si="14"/>
        <v>-204.7800375</v>
      </c>
      <c r="Q116" s="9">
        <f t="shared" si="15"/>
        <v>444.7796383</v>
      </c>
      <c r="R116" s="2"/>
      <c r="S116" s="9">
        <f t="shared" si="13"/>
        <v>-5.316149733</v>
      </c>
      <c r="W116" s="3"/>
      <c r="X116" s="3"/>
      <c r="Y116" s="3"/>
      <c r="Z116" s="3"/>
      <c r="AA116" s="3"/>
      <c r="AB116" s="3"/>
      <c r="AC116" s="3"/>
    </row>
    <row r="117">
      <c r="A117" s="1">
        <v>105.0</v>
      </c>
      <c r="B117" s="2">
        <v>1.41985217391304E9</v>
      </c>
      <c r="C117" s="2">
        <v>-101.9193573</v>
      </c>
      <c r="D117" s="3">
        <f t="shared" si="1"/>
        <v>-547826.087</v>
      </c>
      <c r="E117" s="4">
        <f t="shared" si="2"/>
        <v>114.7870165</v>
      </c>
      <c r="F117" s="3">
        <f t="shared" si="3"/>
        <v>0.0002095318555</v>
      </c>
      <c r="G117" s="3">
        <f t="shared" si="4"/>
        <v>0</v>
      </c>
      <c r="H117" s="2">
        <f t="shared" si="5"/>
        <v>0</v>
      </c>
      <c r="I117" s="3">
        <f t="shared" si="6"/>
        <v>0</v>
      </c>
      <c r="J117" s="3">
        <f t="shared" si="7"/>
        <v>0</v>
      </c>
      <c r="K117" s="3"/>
      <c r="L117" s="3">
        <f t="shared" si="8"/>
        <v>488.8441669</v>
      </c>
      <c r="M117" s="9">
        <f t="shared" si="9"/>
        <v>487.6584465</v>
      </c>
      <c r="N117" s="9">
        <f t="shared" si="10"/>
        <v>1.185720458</v>
      </c>
      <c r="O117" s="3"/>
      <c r="P117" s="10">
        <f t="shared" si="14"/>
        <v>-205.6983336</v>
      </c>
      <c r="Q117" s="9">
        <f t="shared" si="15"/>
        <v>445.3644804</v>
      </c>
      <c r="R117" s="2"/>
      <c r="S117" s="9">
        <f t="shared" si="13"/>
        <v>1.088842509</v>
      </c>
      <c r="W117" s="3"/>
      <c r="X117" s="3"/>
      <c r="Y117" s="3"/>
      <c r="Z117" s="3"/>
      <c r="AA117" s="3"/>
      <c r="AB117" s="3"/>
      <c r="AC117" s="3"/>
    </row>
    <row r="118">
      <c r="A118" s="1">
        <v>106.0</v>
      </c>
      <c r="B118" s="2">
        <v>1.41985652173913E9</v>
      </c>
      <c r="C118" s="2">
        <v>-101.9158249</v>
      </c>
      <c r="D118" s="3">
        <f t="shared" si="1"/>
        <v>-543478.2609</v>
      </c>
      <c r="E118" s="4">
        <f t="shared" si="2"/>
        <v>113.8687204</v>
      </c>
      <c r="F118" s="3">
        <f t="shared" si="3"/>
        <v>0.0002095184455</v>
      </c>
      <c r="G118" s="3">
        <f t="shared" si="4"/>
        <v>0</v>
      </c>
      <c r="H118" s="2">
        <f t="shared" si="5"/>
        <v>0</v>
      </c>
      <c r="I118" s="3">
        <f t="shared" si="6"/>
        <v>0</v>
      </c>
      <c r="J118" s="3">
        <f t="shared" si="7"/>
        <v>0</v>
      </c>
      <c r="K118" s="3"/>
      <c r="L118" s="3">
        <f t="shared" si="8"/>
        <v>489.2419375</v>
      </c>
      <c r="M118" s="9">
        <f t="shared" si="9"/>
        <v>487.5774715</v>
      </c>
      <c r="N118" s="9">
        <f t="shared" si="10"/>
        <v>1.664465938</v>
      </c>
      <c r="O118" s="3"/>
      <c r="P118" s="10">
        <f t="shared" si="14"/>
        <v>-206.6166297</v>
      </c>
      <c r="Q118" s="9">
        <f t="shared" si="15"/>
        <v>436.874612</v>
      </c>
      <c r="R118" s="2"/>
      <c r="S118" s="9">
        <f t="shared" si="13"/>
        <v>1.528472634</v>
      </c>
      <c r="W118" s="3"/>
      <c r="X118" s="3"/>
      <c r="Y118" s="3"/>
      <c r="Z118" s="3"/>
      <c r="AA118" s="3"/>
      <c r="AB118" s="3"/>
      <c r="AC118" s="3"/>
    </row>
    <row r="119">
      <c r="A119" s="1">
        <v>107.0</v>
      </c>
      <c r="B119" s="2">
        <v>1.41986086956521E9</v>
      </c>
      <c r="C119" s="2">
        <v>-101.9337311</v>
      </c>
      <c r="D119" s="3">
        <f t="shared" si="1"/>
        <v>-539130.4348</v>
      </c>
      <c r="E119" s="4">
        <f t="shared" si="2"/>
        <v>112.9504243</v>
      </c>
      <c r="F119" s="3">
        <f t="shared" si="3"/>
        <v>0.0002095048192</v>
      </c>
      <c r="G119" s="3">
        <f t="shared" si="4"/>
        <v>0</v>
      </c>
      <c r="H119" s="2">
        <f t="shared" si="5"/>
        <v>0</v>
      </c>
      <c r="I119" s="3">
        <f t="shared" si="6"/>
        <v>0</v>
      </c>
      <c r="J119" s="3">
        <f t="shared" si="7"/>
        <v>0</v>
      </c>
      <c r="K119" s="3"/>
      <c r="L119" s="3">
        <f t="shared" si="8"/>
        <v>487.2289188</v>
      </c>
      <c r="M119" s="9">
        <f t="shared" si="9"/>
        <v>487.496312</v>
      </c>
      <c r="N119" s="9">
        <f t="shared" si="10"/>
        <v>-0.2673931998</v>
      </c>
      <c r="O119" s="3"/>
      <c r="P119" s="10">
        <f t="shared" si="14"/>
        <v>-207.5349259</v>
      </c>
      <c r="Q119" s="9">
        <f t="shared" si="15"/>
        <v>440.0797623</v>
      </c>
      <c r="R119" s="2"/>
      <c r="S119" s="9">
        <f t="shared" si="13"/>
        <v>-0.2455461413</v>
      </c>
      <c r="W119" s="3"/>
      <c r="X119" s="3"/>
      <c r="Y119" s="3"/>
      <c r="Z119" s="3"/>
      <c r="AA119" s="3"/>
      <c r="AB119" s="3"/>
      <c r="AC119" s="3"/>
    </row>
    <row r="120">
      <c r="A120" s="1">
        <v>108.0</v>
      </c>
      <c r="B120" s="2">
        <v>1.4198652173913E9</v>
      </c>
      <c r="C120" s="2">
        <v>-101.9673157</v>
      </c>
      <c r="D120" s="3">
        <f t="shared" si="1"/>
        <v>-534782.6087</v>
      </c>
      <c r="E120" s="4">
        <f t="shared" si="2"/>
        <v>112.0321281</v>
      </c>
      <c r="F120" s="3">
        <f t="shared" si="3"/>
        <v>0.0002094909713</v>
      </c>
      <c r="G120" s="3">
        <f t="shared" si="4"/>
        <v>0</v>
      </c>
      <c r="H120" s="2">
        <f t="shared" si="5"/>
        <v>0</v>
      </c>
      <c r="I120" s="3">
        <f t="shared" si="6"/>
        <v>0</v>
      </c>
      <c r="J120" s="3">
        <f t="shared" si="7"/>
        <v>0</v>
      </c>
      <c r="K120" s="3"/>
      <c r="L120" s="3">
        <f t="shared" si="8"/>
        <v>483.4756405</v>
      </c>
      <c r="M120" s="9">
        <f t="shared" si="9"/>
        <v>487.4149676</v>
      </c>
      <c r="N120" s="9">
        <f t="shared" si="10"/>
        <v>-3.93932719</v>
      </c>
      <c r="O120" s="3"/>
      <c r="P120" s="10">
        <f t="shared" si="14"/>
        <v>-208.453222</v>
      </c>
      <c r="Q120" s="9">
        <f t="shared" si="15"/>
        <v>449.451524</v>
      </c>
      <c r="R120" s="2"/>
      <c r="S120" s="9">
        <f t="shared" si="13"/>
        <v>-3.617468916</v>
      </c>
      <c r="W120" s="3"/>
      <c r="X120" s="3"/>
      <c r="Y120" s="3"/>
      <c r="Z120" s="3"/>
      <c r="AA120" s="3"/>
      <c r="AB120" s="3"/>
      <c r="AC120" s="3"/>
    </row>
    <row r="121">
      <c r="A121" s="1">
        <v>109.0</v>
      </c>
      <c r="B121" s="2">
        <v>1.41986956521739E9</v>
      </c>
      <c r="C121" s="2">
        <v>-101.8985062</v>
      </c>
      <c r="D121" s="3">
        <f t="shared" si="1"/>
        <v>-530434.7826</v>
      </c>
      <c r="E121" s="4">
        <f t="shared" si="2"/>
        <v>111.113832</v>
      </c>
      <c r="F121" s="3">
        <f t="shared" si="3"/>
        <v>0.0002094768964</v>
      </c>
      <c r="G121" s="3">
        <f t="shared" si="4"/>
        <v>0</v>
      </c>
      <c r="H121" s="2">
        <f t="shared" si="5"/>
        <v>0</v>
      </c>
      <c r="I121" s="3">
        <f t="shared" si="6"/>
        <v>0</v>
      </c>
      <c r="J121" s="3">
        <f t="shared" si="7"/>
        <v>0</v>
      </c>
      <c r="K121" s="3"/>
      <c r="L121" s="3">
        <f t="shared" si="8"/>
        <v>491.196821</v>
      </c>
      <c r="M121" s="9">
        <f t="shared" si="9"/>
        <v>487.333438</v>
      </c>
      <c r="N121" s="9">
        <f t="shared" si="10"/>
        <v>3.86338296</v>
      </c>
      <c r="O121" s="3"/>
      <c r="P121" s="10">
        <f t="shared" si="14"/>
        <v>-209.3715181</v>
      </c>
      <c r="Q121" s="9">
        <f t="shared" si="15"/>
        <v>446.3341196</v>
      </c>
      <c r="R121" s="2"/>
      <c r="S121" s="9">
        <f t="shared" si="13"/>
        <v>3.547729632</v>
      </c>
      <c r="W121" s="3"/>
      <c r="X121" s="3"/>
      <c r="Y121" s="3"/>
      <c r="Z121" s="3"/>
      <c r="AA121" s="3"/>
      <c r="AB121" s="3"/>
      <c r="AC121" s="3"/>
    </row>
    <row r="122">
      <c r="A122" s="1">
        <v>110.0</v>
      </c>
      <c r="B122" s="2">
        <v>1.41987391304347E9</v>
      </c>
      <c r="C122" s="2">
        <v>-101.9709549</v>
      </c>
      <c r="D122" s="3">
        <f t="shared" si="1"/>
        <v>-526086.9565</v>
      </c>
      <c r="E122" s="4">
        <f t="shared" si="2"/>
        <v>110.1955359</v>
      </c>
      <c r="F122" s="3">
        <f t="shared" si="3"/>
        <v>0.0002094625888</v>
      </c>
      <c r="G122" s="3">
        <f t="shared" si="4"/>
        <v>0</v>
      </c>
      <c r="H122" s="2">
        <f t="shared" si="5"/>
        <v>0</v>
      </c>
      <c r="I122" s="3">
        <f t="shared" si="6"/>
        <v>0</v>
      </c>
      <c r="J122" s="3">
        <f t="shared" si="7"/>
        <v>0</v>
      </c>
      <c r="K122" s="3"/>
      <c r="L122" s="3">
        <f t="shared" si="8"/>
        <v>483.0706785</v>
      </c>
      <c r="M122" s="9">
        <f t="shared" si="9"/>
        <v>487.2517228</v>
      </c>
      <c r="N122" s="9">
        <f t="shared" si="10"/>
        <v>-4.181044325</v>
      </c>
      <c r="O122" s="3"/>
      <c r="P122" s="10">
        <f t="shared" si="14"/>
        <v>-210.2898143</v>
      </c>
      <c r="Q122" s="9">
        <f t="shared" si="15"/>
        <v>450.3034843</v>
      </c>
      <c r="R122" s="2"/>
      <c r="S122" s="9">
        <f t="shared" si="13"/>
        <v>-3.839436835</v>
      </c>
      <c r="W122" s="3"/>
      <c r="X122" s="3"/>
      <c r="Y122" s="3"/>
      <c r="Z122" s="3"/>
      <c r="AA122" s="3"/>
      <c r="AB122" s="3"/>
      <c r="AC122" s="3"/>
    </row>
    <row r="123">
      <c r="A123" s="1">
        <v>111.0</v>
      </c>
      <c r="B123" s="2">
        <v>1.41987826086956E9</v>
      </c>
      <c r="C123" s="2">
        <v>-101.9241867</v>
      </c>
      <c r="D123" s="3">
        <f t="shared" si="1"/>
        <v>-521739.1304</v>
      </c>
      <c r="E123" s="4">
        <f t="shared" si="2"/>
        <v>109.2772397</v>
      </c>
      <c r="F123" s="3">
        <f t="shared" si="3"/>
        <v>0.0002094480428</v>
      </c>
      <c r="G123" s="3">
        <f t="shared" si="4"/>
        <v>0</v>
      </c>
      <c r="H123" s="2">
        <f t="shared" si="5"/>
        <v>0</v>
      </c>
      <c r="I123" s="3">
        <f t="shared" si="6"/>
        <v>0</v>
      </c>
      <c r="J123" s="3">
        <f t="shared" si="7"/>
        <v>0</v>
      </c>
      <c r="K123" s="3"/>
      <c r="L123" s="3">
        <f t="shared" si="8"/>
        <v>488.3008692</v>
      </c>
      <c r="M123" s="9">
        <f t="shared" si="9"/>
        <v>487.1698217</v>
      </c>
      <c r="N123" s="9">
        <f t="shared" si="10"/>
        <v>1.131047566</v>
      </c>
      <c r="O123" s="3"/>
      <c r="P123" s="10">
        <f t="shared" si="14"/>
        <v>-211.2081104</v>
      </c>
      <c r="Q123" s="9">
        <f t="shared" si="15"/>
        <v>445.1783109</v>
      </c>
      <c r="R123" s="2"/>
      <c r="S123" s="9">
        <f t="shared" si="13"/>
        <v>1.038636603</v>
      </c>
      <c r="W123" s="3"/>
      <c r="X123" s="3"/>
      <c r="Y123" s="3"/>
      <c r="Z123" s="3"/>
      <c r="AA123" s="3"/>
      <c r="AB123" s="3"/>
      <c r="AC123" s="3"/>
    </row>
    <row r="124">
      <c r="A124" s="1">
        <v>112.0</v>
      </c>
      <c r="B124" s="2">
        <v>1.41988260869565E9</v>
      </c>
      <c r="C124" s="2">
        <v>-102.0115967</v>
      </c>
      <c r="D124" s="3">
        <f t="shared" si="1"/>
        <v>-517391.3043</v>
      </c>
      <c r="E124" s="4">
        <f t="shared" si="2"/>
        <v>108.3589436</v>
      </c>
      <c r="F124" s="3">
        <f t="shared" si="3"/>
        <v>0.0002094332523</v>
      </c>
      <c r="G124" s="3">
        <f t="shared" si="4"/>
        <v>0</v>
      </c>
      <c r="H124" s="2">
        <f t="shared" si="5"/>
        <v>0</v>
      </c>
      <c r="I124" s="3">
        <f t="shared" si="6"/>
        <v>0</v>
      </c>
      <c r="J124" s="3">
        <f t="shared" si="7"/>
        <v>0</v>
      </c>
      <c r="K124" s="3"/>
      <c r="L124" s="3">
        <f t="shared" si="8"/>
        <v>478.5711314</v>
      </c>
      <c r="M124" s="9">
        <f t="shared" si="9"/>
        <v>487.0877343</v>
      </c>
      <c r="N124" s="9">
        <f t="shared" si="10"/>
        <v>-8.516602863</v>
      </c>
      <c r="O124" s="3"/>
      <c r="P124" s="10"/>
      <c r="Q124" s="9"/>
      <c r="R124" s="2"/>
      <c r="S124" s="9">
        <f t="shared" si="13"/>
        <v>-7.820763474</v>
      </c>
      <c r="W124" s="3"/>
      <c r="X124" s="3"/>
      <c r="Y124" s="3"/>
      <c r="Z124" s="3"/>
      <c r="AA124" s="3"/>
      <c r="AB124" s="3"/>
      <c r="AC124" s="3"/>
    </row>
    <row r="125">
      <c r="A125" s="1">
        <v>113.0</v>
      </c>
      <c r="B125" s="2">
        <v>1.41988695652173E9</v>
      </c>
      <c r="C125" s="2">
        <v>-101.9669418</v>
      </c>
      <c r="D125" s="3">
        <f t="shared" si="1"/>
        <v>-513043.4783</v>
      </c>
      <c r="E125" s="4">
        <f t="shared" si="2"/>
        <v>107.4406475</v>
      </c>
      <c r="F125" s="3">
        <f t="shared" si="3"/>
        <v>0.0002094182111</v>
      </c>
      <c r="G125" s="3">
        <f t="shared" si="4"/>
        <v>0</v>
      </c>
      <c r="H125" s="2">
        <f t="shared" si="5"/>
        <v>0</v>
      </c>
      <c r="I125" s="3">
        <f t="shared" si="6"/>
        <v>0</v>
      </c>
      <c r="J125" s="3">
        <f t="shared" si="7"/>
        <v>0</v>
      </c>
      <c r="K125" s="3"/>
      <c r="L125" s="3">
        <f t="shared" si="8"/>
        <v>483.5172664</v>
      </c>
      <c r="M125" s="9">
        <f t="shared" si="9"/>
        <v>487.0054604</v>
      </c>
      <c r="N125" s="9">
        <f t="shared" si="10"/>
        <v>-3.488193927</v>
      </c>
      <c r="O125" s="3"/>
      <c r="P125" s="3"/>
      <c r="Q125" s="3"/>
      <c r="R125" s="2"/>
      <c r="S125" s="9">
        <f t="shared" si="13"/>
        <v>-3.203194994</v>
      </c>
      <c r="W125" s="3"/>
      <c r="X125" s="3"/>
      <c r="Y125" s="3"/>
      <c r="Z125" s="3"/>
      <c r="AA125" s="3"/>
      <c r="AB125" s="3"/>
      <c r="AC125" s="3"/>
    </row>
    <row r="126">
      <c r="A126" s="1">
        <v>114.0</v>
      </c>
      <c r="B126" s="2">
        <v>1.41989130434782E9</v>
      </c>
      <c r="C126" s="2">
        <v>-101.9494324</v>
      </c>
      <c r="D126" s="3">
        <f t="shared" si="1"/>
        <v>-508695.6522</v>
      </c>
      <c r="E126" s="4">
        <f t="shared" si="2"/>
        <v>106.5223513</v>
      </c>
      <c r="F126" s="3">
        <f t="shared" si="3"/>
        <v>0.0002094029129</v>
      </c>
      <c r="G126" s="3">
        <f t="shared" si="4"/>
        <v>0</v>
      </c>
      <c r="H126" s="2">
        <f t="shared" si="5"/>
        <v>0</v>
      </c>
      <c r="I126" s="3">
        <f t="shared" si="6"/>
        <v>0</v>
      </c>
      <c r="J126" s="3">
        <f t="shared" si="7"/>
        <v>0</v>
      </c>
      <c r="K126" s="3"/>
      <c r="L126" s="3">
        <f t="shared" si="8"/>
        <v>485.4705923</v>
      </c>
      <c r="M126" s="9">
        <f t="shared" si="9"/>
        <v>486.9229995</v>
      </c>
      <c r="N126" s="9">
        <f t="shared" si="10"/>
        <v>-1.452407194</v>
      </c>
      <c r="O126" s="3"/>
      <c r="P126" s="3"/>
      <c r="Q126" s="3"/>
      <c r="R126" s="2"/>
      <c r="S126" s="9">
        <f t="shared" si="13"/>
        <v>-1.33373991</v>
      </c>
      <c r="W126" s="3"/>
      <c r="X126" s="3"/>
      <c r="Y126" s="3"/>
      <c r="Z126" s="3"/>
      <c r="AA126" s="3"/>
      <c r="AB126" s="3"/>
      <c r="AC126" s="3"/>
    </row>
    <row r="127">
      <c r="A127" s="1">
        <v>115.0</v>
      </c>
      <c r="B127" s="2">
        <v>1.41989565217391E9</v>
      </c>
      <c r="C127" s="2">
        <v>-101.9641876</v>
      </c>
      <c r="D127" s="3">
        <f t="shared" si="1"/>
        <v>-504347.8261</v>
      </c>
      <c r="E127" s="4">
        <f t="shared" si="2"/>
        <v>105.6040552</v>
      </c>
      <c r="F127" s="3">
        <f t="shared" si="3"/>
        <v>0.0002093873508</v>
      </c>
      <c r="G127" s="3">
        <f t="shared" si="4"/>
        <v>0</v>
      </c>
      <c r="H127" s="2">
        <f t="shared" si="5"/>
        <v>0</v>
      </c>
      <c r="I127" s="3">
        <f t="shared" si="6"/>
        <v>0</v>
      </c>
      <c r="J127" s="3">
        <f t="shared" si="7"/>
        <v>0</v>
      </c>
      <c r="K127" s="3"/>
      <c r="L127" s="3">
        <f t="shared" si="8"/>
        <v>483.8239997</v>
      </c>
      <c r="M127" s="9">
        <f t="shared" si="9"/>
        <v>486.8403514</v>
      </c>
      <c r="N127" s="9">
        <f t="shared" si="10"/>
        <v>-3.016351721</v>
      </c>
      <c r="O127" s="3"/>
      <c r="P127" s="3"/>
      <c r="Q127" s="3"/>
      <c r="R127" s="2"/>
      <c r="S127" s="9">
        <f t="shared" si="13"/>
        <v>-2.769904115</v>
      </c>
      <c r="W127" s="3"/>
      <c r="X127" s="3"/>
      <c r="Y127" s="3"/>
      <c r="Z127" s="3"/>
      <c r="AA127" s="3"/>
      <c r="AB127" s="3"/>
      <c r="AC127" s="3"/>
    </row>
    <row r="128">
      <c r="A128" s="1">
        <v>116.0</v>
      </c>
      <c r="B128" s="2">
        <v>1.4199E9</v>
      </c>
      <c r="C128" s="2">
        <v>-101.962265</v>
      </c>
      <c r="D128" s="3">
        <f t="shared" si="1"/>
        <v>-500000</v>
      </c>
      <c r="E128" s="4">
        <f t="shared" si="2"/>
        <v>104.6857591</v>
      </c>
      <c r="F128" s="3">
        <f t="shared" si="3"/>
        <v>0.0002093715181</v>
      </c>
      <c r="G128" s="3">
        <f t="shared" si="4"/>
        <v>0</v>
      </c>
      <c r="H128" s="2">
        <f t="shared" si="5"/>
        <v>0</v>
      </c>
      <c r="I128" s="3">
        <f t="shared" si="6"/>
        <v>0</v>
      </c>
      <c r="J128" s="3">
        <f t="shared" si="7"/>
        <v>0</v>
      </c>
      <c r="K128" s="3"/>
      <c r="L128" s="3">
        <f t="shared" si="8"/>
        <v>484.0382336</v>
      </c>
      <c r="M128" s="9">
        <f t="shared" si="9"/>
        <v>486.7575157</v>
      </c>
      <c r="N128" s="9">
        <f t="shared" si="10"/>
        <v>-2.71928216</v>
      </c>
      <c r="O128" s="3"/>
      <c r="P128" s="3"/>
      <c r="Q128" s="3"/>
      <c r="R128" s="2"/>
      <c r="S128" s="9">
        <f t="shared" si="13"/>
        <v>-2.497106291</v>
      </c>
      <c r="W128" s="3"/>
      <c r="X128" s="3"/>
      <c r="Y128" s="3"/>
      <c r="Z128" s="3"/>
      <c r="AA128" s="3"/>
      <c r="AB128" s="3"/>
      <c r="AC128" s="3"/>
    </row>
    <row r="129">
      <c r="A129" s="1">
        <v>117.0</v>
      </c>
      <c r="B129" s="2">
        <v>1.41990434782608E9</v>
      </c>
      <c r="C129" s="2">
        <v>-101.9961777</v>
      </c>
      <c r="D129" s="3">
        <f t="shared" si="1"/>
        <v>-495652.1739</v>
      </c>
      <c r="E129" s="4">
        <f t="shared" si="2"/>
        <v>103.7674629</v>
      </c>
      <c r="F129" s="3">
        <f t="shared" si="3"/>
        <v>0.0002093554077</v>
      </c>
      <c r="G129" s="3">
        <f t="shared" si="4"/>
        <v>0</v>
      </c>
      <c r="H129" s="2">
        <f t="shared" si="5"/>
        <v>0</v>
      </c>
      <c r="I129" s="3">
        <f t="shared" si="6"/>
        <v>0</v>
      </c>
      <c r="J129" s="3">
        <f t="shared" si="7"/>
        <v>0</v>
      </c>
      <c r="K129" s="3"/>
      <c r="L129" s="3">
        <f t="shared" si="8"/>
        <v>480.2732491</v>
      </c>
      <c r="M129" s="9">
        <f t="shared" si="9"/>
        <v>486.6744921</v>
      </c>
      <c r="N129" s="9">
        <f t="shared" si="10"/>
        <v>-6.401243071</v>
      </c>
      <c r="O129" s="3"/>
      <c r="P129" s="3"/>
      <c r="Q129" s="3"/>
      <c r="R129" s="2"/>
      <c r="S129" s="9">
        <f t="shared" si="13"/>
        <v>-5.878236757</v>
      </c>
      <c r="W129" s="3"/>
      <c r="X129" s="3"/>
      <c r="Y129" s="3"/>
      <c r="Z129" s="3"/>
      <c r="AA129" s="3"/>
      <c r="AB129" s="3"/>
      <c r="AC129" s="3"/>
    </row>
    <row r="130">
      <c r="A130" s="1">
        <v>118.0</v>
      </c>
      <c r="B130" s="2">
        <v>1.41990869565217E9</v>
      </c>
      <c r="C130" s="2">
        <v>-101.9678345</v>
      </c>
      <c r="D130" s="3">
        <f t="shared" si="1"/>
        <v>-491304.3478</v>
      </c>
      <c r="E130" s="4">
        <f t="shared" si="2"/>
        <v>102.8491668</v>
      </c>
      <c r="F130" s="3">
        <f t="shared" si="3"/>
        <v>0.0002093390121</v>
      </c>
      <c r="G130" s="3">
        <f t="shared" si="4"/>
        <v>0</v>
      </c>
      <c r="H130" s="2">
        <f t="shared" si="5"/>
        <v>0</v>
      </c>
      <c r="I130" s="3">
        <f t="shared" si="6"/>
        <v>0</v>
      </c>
      <c r="J130" s="3">
        <f t="shared" si="7"/>
        <v>0</v>
      </c>
      <c r="K130" s="3"/>
      <c r="L130" s="3">
        <f t="shared" si="8"/>
        <v>483.4178888</v>
      </c>
      <c r="M130" s="9">
        <f t="shared" si="9"/>
        <v>486.5912803</v>
      </c>
      <c r="N130" s="9">
        <f t="shared" si="10"/>
        <v>-3.1733915</v>
      </c>
      <c r="O130" s="3"/>
      <c r="P130" s="3"/>
      <c r="Q130" s="3"/>
      <c r="R130" s="2"/>
      <c r="S130" s="9">
        <f t="shared" si="13"/>
        <v>-2.914113135</v>
      </c>
      <c r="W130" s="3"/>
      <c r="X130" s="3"/>
      <c r="Y130" s="3"/>
      <c r="Z130" s="3"/>
      <c r="AA130" s="3"/>
      <c r="AB130" s="3"/>
      <c r="AC130" s="3"/>
    </row>
    <row r="131">
      <c r="A131" s="1">
        <v>119.0</v>
      </c>
      <c r="B131" s="2">
        <v>1.41991304347826E9</v>
      </c>
      <c r="C131" s="2">
        <v>-101.9479675</v>
      </c>
      <c r="D131" s="3">
        <f t="shared" si="1"/>
        <v>-486956.5217</v>
      </c>
      <c r="E131" s="4">
        <f t="shared" si="2"/>
        <v>101.9308707</v>
      </c>
      <c r="F131" s="3">
        <f t="shared" si="3"/>
        <v>0.0002093223237</v>
      </c>
      <c r="G131" s="3">
        <f t="shared" si="4"/>
        <v>0</v>
      </c>
      <c r="H131" s="2">
        <f t="shared" si="5"/>
        <v>0</v>
      </c>
      <c r="I131" s="3">
        <f t="shared" si="6"/>
        <v>0</v>
      </c>
      <c r="J131" s="3">
        <f t="shared" si="7"/>
        <v>0</v>
      </c>
      <c r="K131" s="3"/>
      <c r="L131" s="3">
        <f t="shared" si="8"/>
        <v>485.6343719</v>
      </c>
      <c r="M131" s="9">
        <f t="shared" si="9"/>
        <v>486.5078799</v>
      </c>
      <c r="N131" s="9">
        <f t="shared" si="10"/>
        <v>-0.8735079734</v>
      </c>
      <c r="O131" s="3"/>
      <c r="P131" s="3"/>
      <c r="Q131" s="3"/>
      <c r="R131" s="2"/>
      <c r="S131" s="9">
        <f t="shared" si="13"/>
        <v>-0.802138994</v>
      </c>
      <c r="W131" s="3"/>
      <c r="X131" s="3"/>
      <c r="Y131" s="3"/>
      <c r="Z131" s="3"/>
      <c r="AA131" s="3"/>
      <c r="AB131" s="3"/>
      <c r="AC131" s="3"/>
    </row>
    <row r="132">
      <c r="A132" s="1">
        <v>120.0</v>
      </c>
      <c r="B132" s="2">
        <v>1.41991739130434E9</v>
      </c>
      <c r="C132" s="2">
        <v>-101.9486237</v>
      </c>
      <c r="D132" s="3">
        <f t="shared" si="1"/>
        <v>-482608.6957</v>
      </c>
      <c r="E132" s="4">
        <f t="shared" si="2"/>
        <v>101.0125745</v>
      </c>
      <c r="F132" s="3">
        <f t="shared" si="3"/>
        <v>0.0002093053346</v>
      </c>
      <c r="G132" s="3">
        <f t="shared" si="4"/>
        <v>0</v>
      </c>
      <c r="H132" s="2">
        <f t="shared" si="5"/>
        <v>0</v>
      </c>
      <c r="I132" s="3">
        <f t="shared" si="6"/>
        <v>0</v>
      </c>
      <c r="J132" s="3">
        <f t="shared" si="7"/>
        <v>0</v>
      </c>
      <c r="K132" s="3"/>
      <c r="L132" s="3">
        <f t="shared" si="8"/>
        <v>485.5610002</v>
      </c>
      <c r="M132" s="9">
        <f t="shared" si="9"/>
        <v>486.4242906</v>
      </c>
      <c r="N132" s="9">
        <f t="shared" si="10"/>
        <v>-0.8632903338</v>
      </c>
      <c r="O132" s="3"/>
      <c r="P132" s="3"/>
      <c r="Q132" s="3"/>
      <c r="R132" s="2"/>
      <c r="S132" s="9">
        <f t="shared" si="13"/>
        <v>-0.792756175</v>
      </c>
      <c r="W132" s="3"/>
      <c r="X132" s="3"/>
      <c r="Y132" s="3"/>
      <c r="Z132" s="3"/>
      <c r="AA132" s="3"/>
      <c r="AB132" s="3"/>
      <c r="AC132" s="3"/>
    </row>
    <row r="133">
      <c r="A133" s="1">
        <v>121.0</v>
      </c>
      <c r="B133" s="2">
        <v>1.41992173913043E9</v>
      </c>
      <c r="C133" s="2">
        <v>-101.930275</v>
      </c>
      <c r="D133" s="3">
        <f t="shared" si="1"/>
        <v>-478260.8696</v>
      </c>
      <c r="E133" s="4">
        <f t="shared" si="2"/>
        <v>100.0942784</v>
      </c>
      <c r="F133" s="3">
        <f t="shared" si="3"/>
        <v>0.0002092880367</v>
      </c>
      <c r="G133" s="3">
        <f t="shared" si="4"/>
        <v>0</v>
      </c>
      <c r="H133" s="2">
        <f t="shared" si="5"/>
        <v>0</v>
      </c>
      <c r="I133" s="3">
        <f t="shared" si="6"/>
        <v>0</v>
      </c>
      <c r="J133" s="3">
        <f t="shared" si="7"/>
        <v>0</v>
      </c>
      <c r="K133" s="3"/>
      <c r="L133" s="3">
        <f t="shared" si="8"/>
        <v>487.6168082</v>
      </c>
      <c r="M133" s="9">
        <f t="shared" si="9"/>
        <v>486.340512</v>
      </c>
      <c r="N133" s="9">
        <f t="shared" si="10"/>
        <v>1.276296209</v>
      </c>
      <c r="O133" s="3"/>
      <c r="P133" s="3"/>
      <c r="Q133" s="3"/>
      <c r="R133" s="2"/>
      <c r="S133" s="9">
        <f t="shared" si="13"/>
        <v>1.17201787</v>
      </c>
      <c r="W133" s="3"/>
      <c r="X133" s="3"/>
      <c r="Y133" s="3"/>
      <c r="Z133" s="3"/>
      <c r="AA133" s="3"/>
      <c r="AB133" s="3"/>
      <c r="AC133" s="3"/>
    </row>
    <row r="134">
      <c r="A134" s="1">
        <v>122.0</v>
      </c>
      <c r="B134" s="2">
        <v>1.41992608695652E9</v>
      </c>
      <c r="C134" s="2">
        <v>-101.9652863</v>
      </c>
      <c r="D134" s="3">
        <f t="shared" si="1"/>
        <v>-473913.0435</v>
      </c>
      <c r="E134" s="4">
        <f t="shared" si="2"/>
        <v>99.17598227</v>
      </c>
      <c r="F134" s="3">
        <f t="shared" si="3"/>
        <v>0.0002092704213</v>
      </c>
      <c r="G134" s="3">
        <f t="shared" si="4"/>
        <v>0</v>
      </c>
      <c r="H134" s="2">
        <f t="shared" si="5"/>
        <v>0</v>
      </c>
      <c r="I134" s="3">
        <f t="shared" si="6"/>
        <v>0</v>
      </c>
      <c r="J134" s="3">
        <f t="shared" si="7"/>
        <v>0</v>
      </c>
      <c r="K134" s="3"/>
      <c r="L134" s="3">
        <f t="shared" si="8"/>
        <v>483.7016149</v>
      </c>
      <c r="M134" s="9">
        <f t="shared" si="9"/>
        <v>486.2565438</v>
      </c>
      <c r="N134" s="9">
        <f t="shared" si="10"/>
        <v>-2.554928886</v>
      </c>
      <c r="O134" s="3"/>
      <c r="P134" s="3"/>
      <c r="Q134" s="3"/>
      <c r="R134" s="2"/>
      <c r="S134" s="9">
        <f t="shared" si="13"/>
        <v>-2.346181316</v>
      </c>
      <c r="W134" s="3"/>
      <c r="X134" s="3"/>
      <c r="Y134" s="3"/>
      <c r="Z134" s="3"/>
      <c r="AA134" s="3"/>
      <c r="AB134" s="3"/>
      <c r="AC134" s="3"/>
    </row>
    <row r="135">
      <c r="A135" s="1">
        <v>123.0</v>
      </c>
      <c r="B135" s="2">
        <v>1.4199304347826E9</v>
      </c>
      <c r="C135" s="2">
        <v>-101.9969788</v>
      </c>
      <c r="D135" s="3">
        <f t="shared" si="1"/>
        <v>-469565.2174</v>
      </c>
      <c r="E135" s="4">
        <f t="shared" si="2"/>
        <v>98.25768614</v>
      </c>
      <c r="F135" s="3">
        <f t="shared" si="3"/>
        <v>0.0002092524797</v>
      </c>
      <c r="G135" s="3">
        <f t="shared" si="4"/>
        <v>0</v>
      </c>
      <c r="H135" s="2">
        <f t="shared" si="5"/>
        <v>0</v>
      </c>
      <c r="I135" s="3">
        <f t="shared" si="6"/>
        <v>0</v>
      </c>
      <c r="J135" s="3">
        <f t="shared" si="7"/>
        <v>0</v>
      </c>
      <c r="K135" s="3"/>
      <c r="L135" s="3">
        <f t="shared" si="8"/>
        <v>480.184666</v>
      </c>
      <c r="M135" s="9">
        <f t="shared" si="9"/>
        <v>486.1723858</v>
      </c>
      <c r="N135" s="9">
        <f t="shared" si="10"/>
        <v>-5.987719752</v>
      </c>
      <c r="O135" s="3"/>
      <c r="P135" s="3"/>
      <c r="Q135" s="3"/>
      <c r="R135" s="2"/>
      <c r="S135" s="9">
        <f t="shared" si="13"/>
        <v>-5.498499893</v>
      </c>
      <c r="W135" s="3"/>
      <c r="X135" s="3"/>
      <c r="Y135" s="3"/>
      <c r="Z135" s="3"/>
      <c r="AA135" s="3"/>
      <c r="AB135" s="3"/>
      <c r="AC135" s="3"/>
    </row>
    <row r="136">
      <c r="A136" s="1">
        <v>124.0</v>
      </c>
      <c r="B136" s="2">
        <v>1.41993478260869E9</v>
      </c>
      <c r="C136" s="2">
        <v>-101.9731827</v>
      </c>
      <c r="D136" s="3">
        <f t="shared" si="1"/>
        <v>-465217.3913</v>
      </c>
      <c r="E136" s="4">
        <f t="shared" si="2"/>
        <v>97.33939001</v>
      </c>
      <c r="F136" s="3">
        <f t="shared" si="3"/>
        <v>0.0002092342028</v>
      </c>
      <c r="G136" s="3">
        <f t="shared" si="4"/>
        <v>0</v>
      </c>
      <c r="H136" s="2">
        <f t="shared" si="5"/>
        <v>0</v>
      </c>
      <c r="I136" s="3">
        <f t="shared" si="6"/>
        <v>0</v>
      </c>
      <c r="J136" s="3">
        <f t="shared" si="7"/>
        <v>0</v>
      </c>
      <c r="K136" s="3"/>
      <c r="L136" s="3">
        <f t="shared" si="8"/>
        <v>482.8229413</v>
      </c>
      <c r="M136" s="9">
        <f t="shared" si="9"/>
        <v>486.0880374</v>
      </c>
      <c r="N136" s="9">
        <f t="shared" si="10"/>
        <v>-3.265096135</v>
      </c>
      <c r="O136" s="3"/>
      <c r="P136" s="3"/>
      <c r="Q136" s="3"/>
      <c r="R136" s="2"/>
      <c r="S136" s="9">
        <f t="shared" si="13"/>
        <v>-2.998325154</v>
      </c>
      <c r="W136" s="3"/>
      <c r="X136" s="3"/>
      <c r="Y136" s="3"/>
      <c r="Z136" s="3"/>
      <c r="AA136" s="3"/>
      <c r="AB136" s="3"/>
      <c r="AC136" s="3"/>
    </row>
    <row r="137">
      <c r="A137" s="1">
        <v>125.0</v>
      </c>
      <c r="B137" s="2">
        <v>1.41993913043478E9</v>
      </c>
      <c r="C137" s="2">
        <v>-101.9721603</v>
      </c>
      <c r="D137" s="3">
        <f t="shared" si="1"/>
        <v>-460869.5652</v>
      </c>
      <c r="E137" s="4">
        <f t="shared" si="2"/>
        <v>96.42109387</v>
      </c>
      <c r="F137" s="3">
        <f t="shared" si="3"/>
        <v>0.000209215581</v>
      </c>
      <c r="G137" s="3">
        <f t="shared" si="4"/>
        <v>0</v>
      </c>
      <c r="H137" s="2">
        <f t="shared" si="5"/>
        <v>0</v>
      </c>
      <c r="I137" s="3">
        <f t="shared" si="6"/>
        <v>0</v>
      </c>
      <c r="J137" s="3">
        <f t="shared" si="7"/>
        <v>0</v>
      </c>
      <c r="K137" s="3"/>
      <c r="L137" s="3">
        <f t="shared" si="8"/>
        <v>482.9366191</v>
      </c>
      <c r="M137" s="9">
        <f t="shared" si="9"/>
        <v>486.0034985</v>
      </c>
      <c r="N137" s="9">
        <f t="shared" si="10"/>
        <v>-3.06687945</v>
      </c>
      <c r="O137" s="3"/>
      <c r="P137" s="3"/>
      <c r="Q137" s="3"/>
      <c r="R137" s="2"/>
      <c r="S137" s="9">
        <f t="shared" si="13"/>
        <v>-2.816303532</v>
      </c>
      <c r="W137" s="3"/>
      <c r="X137" s="3"/>
      <c r="Y137" s="3"/>
      <c r="Z137" s="3"/>
      <c r="AA137" s="3"/>
      <c r="AB137" s="3"/>
      <c r="AC137" s="3"/>
    </row>
    <row r="138">
      <c r="A138" s="1">
        <v>126.0</v>
      </c>
      <c r="B138" s="2">
        <v>1.41994347826087E9</v>
      </c>
      <c r="C138" s="2">
        <v>-102.0337753</v>
      </c>
      <c r="D138" s="3">
        <f t="shared" si="1"/>
        <v>-456521.7391</v>
      </c>
      <c r="E138" s="4">
        <f t="shared" si="2"/>
        <v>95.50279774</v>
      </c>
      <c r="F138" s="3">
        <f t="shared" si="3"/>
        <v>0.0002091966046</v>
      </c>
      <c r="G138" s="3">
        <f t="shared" si="4"/>
        <v>0</v>
      </c>
      <c r="H138" s="2">
        <f t="shared" si="5"/>
        <v>0</v>
      </c>
      <c r="I138" s="3">
        <f t="shared" si="6"/>
        <v>0</v>
      </c>
      <c r="J138" s="3">
        <f t="shared" si="7"/>
        <v>0</v>
      </c>
      <c r="K138" s="3"/>
      <c r="L138" s="3">
        <f t="shared" si="8"/>
        <v>476.1333888</v>
      </c>
      <c r="M138" s="9">
        <f t="shared" si="9"/>
        <v>485.9187687</v>
      </c>
      <c r="N138" s="9">
        <f t="shared" si="10"/>
        <v>-9.785379892</v>
      </c>
      <c r="O138" s="3"/>
      <c r="P138" s="3"/>
      <c r="Q138" s="3"/>
      <c r="R138" s="2"/>
      <c r="S138" s="9">
        <f t="shared" si="13"/>
        <v>-8.985876512</v>
      </c>
      <c r="W138" s="3"/>
      <c r="X138" s="3"/>
      <c r="Y138" s="3"/>
      <c r="Z138" s="3"/>
      <c r="AA138" s="3"/>
      <c r="AB138" s="3"/>
      <c r="AC138" s="3"/>
    </row>
    <row r="139">
      <c r="A139" s="1">
        <v>127.0</v>
      </c>
      <c r="B139" s="2">
        <v>1.41994782608695E9</v>
      </c>
      <c r="C139" s="2">
        <v>-101.9683456</v>
      </c>
      <c r="D139" s="3">
        <f t="shared" si="1"/>
        <v>-452173.913</v>
      </c>
      <c r="E139" s="4">
        <f t="shared" si="2"/>
        <v>94.58450161</v>
      </c>
      <c r="F139" s="3">
        <f t="shared" si="3"/>
        <v>0.0002091772632</v>
      </c>
      <c r="G139" s="3">
        <f t="shared" si="4"/>
        <v>0</v>
      </c>
      <c r="H139" s="2">
        <f t="shared" si="5"/>
        <v>0</v>
      </c>
      <c r="I139" s="3">
        <f t="shared" si="6"/>
        <v>0</v>
      </c>
      <c r="J139" s="3">
        <f t="shared" si="7"/>
        <v>0</v>
      </c>
      <c r="K139" s="3"/>
      <c r="L139" s="3">
        <f t="shared" si="8"/>
        <v>483.3610011</v>
      </c>
      <c r="M139" s="9">
        <f t="shared" si="9"/>
        <v>485.8338476</v>
      </c>
      <c r="N139" s="9">
        <f t="shared" si="10"/>
        <v>-2.47284652</v>
      </c>
      <c r="O139" s="3"/>
      <c r="P139" s="3"/>
      <c r="Q139" s="3"/>
      <c r="R139" s="2"/>
      <c r="S139" s="9">
        <f t="shared" si="13"/>
        <v>-2.270805397</v>
      </c>
      <c r="W139" s="3"/>
      <c r="X139" s="3"/>
      <c r="Y139" s="3"/>
      <c r="Z139" s="3"/>
      <c r="AA139" s="3"/>
      <c r="AB139" s="3"/>
      <c r="AC139" s="3"/>
    </row>
    <row r="140">
      <c r="A140" s="1">
        <v>128.0</v>
      </c>
      <c r="B140" s="2">
        <v>1.41995217391304E9</v>
      </c>
      <c r="C140" s="2">
        <v>-101.9791641</v>
      </c>
      <c r="D140" s="3">
        <f t="shared" si="1"/>
        <v>-447826.087</v>
      </c>
      <c r="E140" s="4">
        <f t="shared" si="2"/>
        <v>93.66620548</v>
      </c>
      <c r="F140" s="3">
        <f t="shared" si="3"/>
        <v>0.0002091575462</v>
      </c>
      <c r="G140" s="3">
        <f t="shared" si="4"/>
        <v>0</v>
      </c>
      <c r="H140" s="2">
        <f t="shared" si="5"/>
        <v>0</v>
      </c>
      <c r="I140" s="3">
        <f t="shared" si="6"/>
        <v>0</v>
      </c>
      <c r="J140" s="3">
        <f t="shared" si="7"/>
        <v>0</v>
      </c>
      <c r="K140" s="3"/>
      <c r="L140" s="3">
        <f t="shared" si="8"/>
        <v>482.1584223</v>
      </c>
      <c r="M140" s="9">
        <f t="shared" si="9"/>
        <v>485.7487349</v>
      </c>
      <c r="N140" s="9">
        <f t="shared" si="10"/>
        <v>-3.590312617</v>
      </c>
      <c r="O140" s="3"/>
      <c r="P140" s="3"/>
      <c r="Q140" s="3"/>
      <c r="R140" s="2"/>
      <c r="S140" s="9">
        <f t="shared" si="13"/>
        <v>-3.296970184</v>
      </c>
      <c r="W140" s="3"/>
      <c r="X140" s="3"/>
      <c r="Y140" s="3"/>
      <c r="Z140" s="3"/>
      <c r="AA140" s="3"/>
      <c r="AB140" s="3"/>
      <c r="AC140" s="3"/>
    </row>
    <row r="141">
      <c r="A141" s="1">
        <v>129.0</v>
      </c>
      <c r="B141" s="2">
        <v>1.41995652173913E9</v>
      </c>
      <c r="C141" s="2">
        <v>-101.923317</v>
      </c>
      <c r="D141" s="3">
        <f t="shared" si="1"/>
        <v>-443478.2609</v>
      </c>
      <c r="E141" s="4">
        <f t="shared" si="2"/>
        <v>92.74790935</v>
      </c>
      <c r="F141" s="3">
        <f t="shared" si="3"/>
        <v>0.0002091374426</v>
      </c>
      <c r="G141" s="3">
        <f t="shared" si="4"/>
        <v>0</v>
      </c>
      <c r="H141" s="2">
        <f t="shared" si="5"/>
        <v>0</v>
      </c>
      <c r="I141" s="3">
        <f t="shared" si="6"/>
        <v>0</v>
      </c>
      <c r="J141" s="3">
        <f t="shared" si="7"/>
        <v>0</v>
      </c>
      <c r="K141" s="3"/>
      <c r="L141" s="3">
        <f t="shared" si="8"/>
        <v>488.3986641</v>
      </c>
      <c r="M141" s="9">
        <f t="shared" si="9"/>
        <v>485.6634303</v>
      </c>
      <c r="N141" s="9">
        <f t="shared" si="10"/>
        <v>2.735233797</v>
      </c>
      <c r="O141" s="3"/>
      <c r="P141" s="3"/>
      <c r="Q141" s="3"/>
      <c r="R141" s="2"/>
      <c r="S141" s="9">
        <f t="shared" si="13"/>
        <v>2.511754618</v>
      </c>
      <c r="W141" s="3"/>
      <c r="X141" s="3"/>
      <c r="Y141" s="3"/>
      <c r="Z141" s="3"/>
      <c r="AA141" s="3"/>
      <c r="AB141" s="3"/>
      <c r="AC141" s="3"/>
    </row>
    <row r="142">
      <c r="A142" s="1">
        <v>130.0</v>
      </c>
      <c r="B142" s="2">
        <v>1.41996086956521E9</v>
      </c>
      <c r="C142" s="2">
        <v>-101.9687042</v>
      </c>
      <c r="D142" s="3">
        <f t="shared" si="1"/>
        <v>-439130.4348</v>
      </c>
      <c r="E142" s="4">
        <f t="shared" si="2"/>
        <v>91.82961321</v>
      </c>
      <c r="F142" s="3">
        <f t="shared" si="3"/>
        <v>0.000209116941</v>
      </c>
      <c r="G142" s="3">
        <f t="shared" si="4"/>
        <v>0</v>
      </c>
      <c r="H142" s="2">
        <f t="shared" si="5"/>
        <v>0</v>
      </c>
      <c r="I142" s="3">
        <f t="shared" si="6"/>
        <v>0</v>
      </c>
      <c r="J142" s="3">
        <f t="shared" si="7"/>
        <v>0</v>
      </c>
      <c r="K142" s="3"/>
      <c r="L142" s="3">
        <f t="shared" si="8"/>
        <v>483.3210913</v>
      </c>
      <c r="M142" s="9">
        <f t="shared" si="9"/>
        <v>485.5779335</v>
      </c>
      <c r="N142" s="9">
        <f t="shared" si="10"/>
        <v>-2.25684221</v>
      </c>
      <c r="O142" s="3"/>
      <c r="P142" s="3"/>
      <c r="Q142" s="3"/>
      <c r="R142" s="2"/>
      <c r="S142" s="9">
        <f t="shared" si="13"/>
        <v>-2.072449473</v>
      </c>
      <c r="W142" s="3"/>
      <c r="X142" s="3"/>
      <c r="Y142" s="3"/>
      <c r="Z142" s="3"/>
      <c r="AA142" s="3"/>
      <c r="AB142" s="3"/>
      <c r="AC142" s="3"/>
    </row>
    <row r="143">
      <c r="A143" s="1">
        <v>131.0</v>
      </c>
      <c r="B143" s="2">
        <v>1.4199652173913E9</v>
      </c>
      <c r="C143" s="2">
        <v>-102.0148697</v>
      </c>
      <c r="D143" s="3">
        <f t="shared" si="1"/>
        <v>-434782.6087</v>
      </c>
      <c r="E143" s="4">
        <f t="shared" si="2"/>
        <v>90.91131708</v>
      </c>
      <c r="F143" s="3">
        <f t="shared" si="3"/>
        <v>0.0002090960293</v>
      </c>
      <c r="G143" s="3">
        <f t="shared" si="4"/>
        <v>0</v>
      </c>
      <c r="H143" s="2">
        <f t="shared" si="5"/>
        <v>0</v>
      </c>
      <c r="I143" s="3">
        <f t="shared" si="6"/>
        <v>0</v>
      </c>
      <c r="J143" s="3">
        <f t="shared" si="7"/>
        <v>0</v>
      </c>
      <c r="K143" s="3"/>
      <c r="L143" s="3">
        <f t="shared" si="8"/>
        <v>478.2105988</v>
      </c>
      <c r="M143" s="9">
        <f t="shared" si="9"/>
        <v>485.492244</v>
      </c>
      <c r="N143" s="9">
        <f t="shared" si="10"/>
        <v>-7.281645201</v>
      </c>
      <c r="O143" s="3"/>
      <c r="P143" s="3"/>
      <c r="Q143" s="3"/>
      <c r="R143" s="2"/>
      <c r="S143" s="9">
        <f t="shared" si="13"/>
        <v>-6.686706612</v>
      </c>
      <c r="W143" s="3"/>
      <c r="X143" s="3"/>
      <c r="Y143" s="3"/>
      <c r="Z143" s="3"/>
      <c r="AA143" s="3"/>
      <c r="AB143" s="3"/>
      <c r="AC143" s="3"/>
    </row>
    <row r="144">
      <c r="A144" s="1">
        <v>132.0</v>
      </c>
      <c r="B144" s="2">
        <v>1.41996956521739E9</v>
      </c>
      <c r="C144" s="2">
        <v>-101.9571152</v>
      </c>
      <c r="D144" s="3">
        <f t="shared" si="1"/>
        <v>-430434.7826</v>
      </c>
      <c r="E144" s="4">
        <f t="shared" si="2"/>
        <v>89.99302095</v>
      </c>
      <c r="F144" s="3">
        <f t="shared" si="3"/>
        <v>0.0002090746951</v>
      </c>
      <c r="G144" s="3">
        <f t="shared" si="4"/>
        <v>0</v>
      </c>
      <c r="H144" s="2">
        <f t="shared" si="5"/>
        <v>0</v>
      </c>
      <c r="I144" s="3">
        <f t="shared" si="6"/>
        <v>0</v>
      </c>
      <c r="J144" s="3">
        <f t="shared" si="7"/>
        <v>0</v>
      </c>
      <c r="K144" s="3"/>
      <c r="L144" s="3">
        <f t="shared" si="8"/>
        <v>484.6125394</v>
      </c>
      <c r="M144" s="9">
        <f t="shared" si="9"/>
        <v>485.4063617</v>
      </c>
      <c r="N144" s="9">
        <f t="shared" si="10"/>
        <v>-0.793822246</v>
      </c>
      <c r="O144" s="3"/>
      <c r="P144" s="3"/>
      <c r="Q144" s="3"/>
      <c r="R144" s="2"/>
      <c r="S144" s="9">
        <f t="shared" si="13"/>
        <v>-0.7289638986</v>
      </c>
      <c r="W144" s="3"/>
      <c r="X144" s="3"/>
      <c r="Y144" s="3"/>
      <c r="Z144" s="3"/>
      <c r="AA144" s="3"/>
      <c r="AB144" s="3"/>
      <c r="AC144" s="3"/>
    </row>
    <row r="145">
      <c r="A145" s="1">
        <v>133.0</v>
      </c>
      <c r="B145" s="2">
        <v>1.41997391304347E9</v>
      </c>
      <c r="C145" s="2">
        <v>-102.0141373</v>
      </c>
      <c r="D145" s="3">
        <f t="shared" si="1"/>
        <v>-426086.9565</v>
      </c>
      <c r="E145" s="4">
        <f t="shared" si="2"/>
        <v>89.07472482</v>
      </c>
      <c r="F145" s="3">
        <f t="shared" si="3"/>
        <v>0.0002090529256</v>
      </c>
      <c r="G145" s="3">
        <f t="shared" si="4"/>
        <v>0</v>
      </c>
      <c r="H145" s="2">
        <f t="shared" si="5"/>
        <v>0</v>
      </c>
      <c r="I145" s="3">
        <f t="shared" si="6"/>
        <v>0</v>
      </c>
      <c r="J145" s="3">
        <f t="shared" si="7"/>
        <v>0</v>
      </c>
      <c r="K145" s="3"/>
      <c r="L145" s="3">
        <f t="shared" si="8"/>
        <v>478.2912517</v>
      </c>
      <c r="M145" s="9">
        <f t="shared" si="9"/>
        <v>485.320286</v>
      </c>
      <c r="N145" s="9">
        <f t="shared" si="10"/>
        <v>-7.029034343</v>
      </c>
      <c r="O145" s="3"/>
      <c r="P145" s="3"/>
      <c r="Q145" s="3"/>
      <c r="R145" s="2"/>
      <c r="S145" s="9">
        <f t="shared" si="13"/>
        <v>-6.454735054</v>
      </c>
      <c r="W145" s="3"/>
      <c r="X145" s="3"/>
      <c r="Y145" s="3"/>
      <c r="Z145" s="3"/>
      <c r="AA145" s="3"/>
      <c r="AB145" s="3"/>
      <c r="AC145" s="3"/>
    </row>
    <row r="146">
      <c r="A146" s="1">
        <v>134.0</v>
      </c>
      <c r="B146" s="2">
        <v>1.41997826086956E9</v>
      </c>
      <c r="C146" s="2">
        <v>-101.957283</v>
      </c>
      <c r="D146" s="3">
        <f t="shared" si="1"/>
        <v>-421739.1304</v>
      </c>
      <c r="E146" s="4">
        <f t="shared" si="2"/>
        <v>88.15642869</v>
      </c>
      <c r="F146" s="3">
        <f t="shared" si="3"/>
        <v>0.0002090307072</v>
      </c>
      <c r="G146" s="3">
        <f t="shared" si="4"/>
        <v>0</v>
      </c>
      <c r="H146" s="2">
        <f t="shared" si="5"/>
        <v>0</v>
      </c>
      <c r="I146" s="3">
        <f t="shared" si="6"/>
        <v>0</v>
      </c>
      <c r="J146" s="3">
        <f t="shared" si="7"/>
        <v>0</v>
      </c>
      <c r="K146" s="3"/>
      <c r="L146" s="3">
        <f t="shared" si="8"/>
        <v>484.5938156</v>
      </c>
      <c r="M146" s="9">
        <f t="shared" si="9"/>
        <v>485.2340168</v>
      </c>
      <c r="N146" s="9">
        <f t="shared" si="10"/>
        <v>-0.6402012077</v>
      </c>
      <c r="O146" s="3"/>
      <c r="P146" s="3"/>
      <c r="Q146" s="3"/>
      <c r="R146" s="2"/>
      <c r="S146" s="9">
        <f t="shared" si="13"/>
        <v>-0.5878942919</v>
      </c>
      <c r="W146" s="3"/>
      <c r="X146" s="3"/>
      <c r="Y146" s="3"/>
      <c r="Z146" s="3"/>
      <c r="AA146" s="3"/>
      <c r="AB146" s="3"/>
      <c r="AC146" s="3"/>
    </row>
    <row r="147">
      <c r="A147" s="1">
        <v>135.0</v>
      </c>
      <c r="B147" s="2">
        <v>1.41998260869565E9</v>
      </c>
      <c r="C147" s="2">
        <v>-102.066124</v>
      </c>
      <c r="D147" s="3">
        <f t="shared" si="1"/>
        <v>-417391.3043</v>
      </c>
      <c r="E147" s="4">
        <f t="shared" si="2"/>
        <v>87.23813255</v>
      </c>
      <c r="F147" s="3">
        <f t="shared" si="3"/>
        <v>0.0002090080259</v>
      </c>
      <c r="G147" s="3">
        <f t="shared" si="4"/>
        <v>0</v>
      </c>
      <c r="H147" s="2">
        <f t="shared" si="5"/>
        <v>0</v>
      </c>
      <c r="I147" s="3">
        <f t="shared" si="6"/>
        <v>0</v>
      </c>
      <c r="J147" s="3">
        <f t="shared" si="7"/>
        <v>0</v>
      </c>
      <c r="K147" s="3"/>
      <c r="L147" s="3">
        <f t="shared" si="8"/>
        <v>472.6000545</v>
      </c>
      <c r="M147" s="9">
        <f t="shared" si="9"/>
        <v>485.1475537</v>
      </c>
      <c r="N147" s="9">
        <f t="shared" si="10"/>
        <v>-12.54749919</v>
      </c>
      <c r="O147" s="3"/>
      <c r="P147" s="3"/>
      <c r="Q147" s="3"/>
      <c r="R147" s="2"/>
      <c r="S147" s="9">
        <f t="shared" si="13"/>
        <v>-11.52231998</v>
      </c>
      <c r="W147" s="3"/>
      <c r="X147" s="3"/>
      <c r="Y147" s="3"/>
      <c r="Z147" s="3"/>
      <c r="AA147" s="3"/>
      <c r="AB147" s="3"/>
      <c r="AC147" s="3"/>
    </row>
    <row r="148">
      <c r="A148" s="1">
        <v>136.0</v>
      </c>
      <c r="B148" s="2">
        <v>1.41998695652173E9</v>
      </c>
      <c r="C148" s="2">
        <v>-102.0341873</v>
      </c>
      <c r="D148" s="3">
        <f t="shared" si="1"/>
        <v>-413043.4783</v>
      </c>
      <c r="E148" s="4">
        <f t="shared" si="2"/>
        <v>86.31983642</v>
      </c>
      <c r="F148" s="3">
        <f t="shared" si="3"/>
        <v>0.0002089848671</v>
      </c>
      <c r="G148" s="3">
        <f t="shared" si="4"/>
        <v>0</v>
      </c>
      <c r="H148" s="2">
        <f t="shared" si="5"/>
        <v>0</v>
      </c>
      <c r="I148" s="3">
        <f t="shared" si="6"/>
        <v>0</v>
      </c>
      <c r="J148" s="3">
        <f t="shared" si="7"/>
        <v>0</v>
      </c>
      <c r="K148" s="3"/>
      <c r="L148" s="3">
        <f t="shared" si="8"/>
        <v>476.0882218</v>
      </c>
      <c r="M148" s="9">
        <f t="shared" si="9"/>
        <v>485.0608963</v>
      </c>
      <c r="N148" s="9">
        <f t="shared" si="10"/>
        <v>-8.972674478</v>
      </c>
      <c r="O148" s="3"/>
      <c r="P148" s="3"/>
      <c r="Q148" s="3"/>
      <c r="R148" s="2"/>
      <c r="S148" s="9">
        <f t="shared" si="13"/>
        <v>-8.239572274</v>
      </c>
      <c r="W148" s="3"/>
      <c r="X148" s="3"/>
      <c r="Y148" s="3"/>
      <c r="Z148" s="3"/>
      <c r="AA148" s="3"/>
      <c r="AB148" s="3"/>
      <c r="AC148" s="3"/>
    </row>
    <row r="149">
      <c r="A149" s="1">
        <v>137.0</v>
      </c>
      <c r="B149" s="2">
        <v>1.41999130434782E9</v>
      </c>
      <c r="C149" s="2">
        <v>-102.0302887</v>
      </c>
      <c r="D149" s="3">
        <f t="shared" si="1"/>
        <v>-408695.6522</v>
      </c>
      <c r="E149" s="4">
        <f t="shared" si="2"/>
        <v>85.40154029</v>
      </c>
      <c r="F149" s="3">
        <f t="shared" si="3"/>
        <v>0.0002089612156</v>
      </c>
      <c r="G149" s="3">
        <f t="shared" si="4"/>
        <v>0</v>
      </c>
      <c r="H149" s="2">
        <f t="shared" si="5"/>
        <v>0</v>
      </c>
      <c r="I149" s="3">
        <f t="shared" si="6"/>
        <v>0</v>
      </c>
      <c r="J149" s="3">
        <f t="shared" si="7"/>
        <v>0</v>
      </c>
      <c r="K149" s="3"/>
      <c r="L149" s="3">
        <f t="shared" si="8"/>
        <v>476.5157913</v>
      </c>
      <c r="M149" s="9">
        <f t="shared" si="9"/>
        <v>484.9740443</v>
      </c>
      <c r="N149" s="9">
        <f t="shared" si="10"/>
        <v>-8.458252955</v>
      </c>
      <c r="O149" s="3"/>
      <c r="P149" s="3"/>
      <c r="Q149" s="3"/>
      <c r="R149" s="2"/>
      <c r="S149" s="9">
        <f t="shared" si="13"/>
        <v>-7.767180979</v>
      </c>
      <c r="W149" s="3"/>
      <c r="X149" s="3"/>
      <c r="Y149" s="3"/>
      <c r="Z149" s="3"/>
      <c r="AA149" s="3"/>
      <c r="AB149" s="3"/>
      <c r="AC149" s="3"/>
    </row>
    <row r="150">
      <c r="A150" s="1">
        <v>138.0</v>
      </c>
      <c r="B150" s="2">
        <v>1.41999565217391E9</v>
      </c>
      <c r="C150" s="2">
        <v>-102.0347366</v>
      </c>
      <c r="D150" s="3">
        <f t="shared" si="1"/>
        <v>-404347.8261</v>
      </c>
      <c r="E150" s="4">
        <f t="shared" si="2"/>
        <v>84.48324416</v>
      </c>
      <c r="F150" s="3">
        <f t="shared" si="3"/>
        <v>0.0002089370554</v>
      </c>
      <c r="G150" s="3">
        <f t="shared" si="4"/>
        <v>0</v>
      </c>
      <c r="H150" s="2">
        <f t="shared" si="5"/>
        <v>0</v>
      </c>
      <c r="I150" s="3">
        <f t="shared" si="6"/>
        <v>0</v>
      </c>
      <c r="J150" s="3">
        <f t="shared" si="7"/>
        <v>0</v>
      </c>
      <c r="K150" s="3"/>
      <c r="L150" s="3">
        <f t="shared" si="8"/>
        <v>476.0280095</v>
      </c>
      <c r="M150" s="9">
        <f t="shared" si="9"/>
        <v>484.8869974</v>
      </c>
      <c r="N150" s="9">
        <f t="shared" si="10"/>
        <v>-8.858987872</v>
      </c>
      <c r="O150" s="3"/>
      <c r="P150" s="3"/>
      <c r="Q150" s="3"/>
      <c r="R150" s="2"/>
      <c r="S150" s="9">
        <f t="shared" si="13"/>
        <v>-8.135174284</v>
      </c>
      <c r="W150" s="3"/>
      <c r="X150" s="3"/>
      <c r="Y150" s="3"/>
      <c r="Z150" s="3"/>
      <c r="AA150" s="3"/>
      <c r="AB150" s="3"/>
      <c r="AC150" s="3"/>
    </row>
    <row r="151">
      <c r="A151" s="1">
        <v>139.0</v>
      </c>
      <c r="B151" s="2">
        <v>1.42E9</v>
      </c>
      <c r="C151" s="2">
        <v>-101.9849701</v>
      </c>
      <c r="D151" s="3">
        <f t="shared" si="1"/>
        <v>-400000</v>
      </c>
      <c r="E151" s="4">
        <f t="shared" si="2"/>
        <v>83.56494803</v>
      </c>
      <c r="F151" s="3">
        <f t="shared" si="3"/>
        <v>0.0002089123701</v>
      </c>
      <c r="G151" s="3">
        <f t="shared" si="4"/>
        <v>0</v>
      </c>
      <c r="H151" s="2">
        <f t="shared" si="5"/>
        <v>0</v>
      </c>
      <c r="I151" s="3">
        <f t="shared" si="6"/>
        <v>0</v>
      </c>
      <c r="J151" s="3">
        <f t="shared" si="7"/>
        <v>0</v>
      </c>
      <c r="K151" s="3"/>
      <c r="L151" s="3">
        <f t="shared" si="8"/>
        <v>481.5142646</v>
      </c>
      <c r="M151" s="9">
        <f t="shared" si="9"/>
        <v>484.7997552</v>
      </c>
      <c r="N151" s="9">
        <f t="shared" si="10"/>
        <v>-3.285490612</v>
      </c>
      <c r="O151" s="3"/>
      <c r="P151" s="3"/>
      <c r="Q151" s="3"/>
      <c r="R151" s="2"/>
      <c r="S151" s="9">
        <f t="shared" si="13"/>
        <v>-3.017053323</v>
      </c>
      <c r="W151" s="3"/>
      <c r="X151" s="3"/>
      <c r="Y151" s="3"/>
      <c r="Z151" s="3"/>
      <c r="AA151" s="3"/>
      <c r="AB151" s="3"/>
      <c r="AC151" s="3"/>
    </row>
    <row r="152">
      <c r="A152" s="1">
        <v>140.0</v>
      </c>
      <c r="B152" s="2">
        <v>1.42000434782608E9</v>
      </c>
      <c r="C152" s="2">
        <v>-102.0035172</v>
      </c>
      <c r="D152" s="3">
        <f t="shared" si="1"/>
        <v>-395652.1739</v>
      </c>
      <c r="E152" s="4">
        <f t="shared" si="2"/>
        <v>82.64665189</v>
      </c>
      <c r="F152" s="3">
        <f t="shared" si="3"/>
        <v>0.0002088871421</v>
      </c>
      <c r="G152" s="3">
        <f t="shared" si="4"/>
        <v>0</v>
      </c>
      <c r="H152" s="2">
        <f t="shared" si="5"/>
        <v>0</v>
      </c>
      <c r="I152" s="3">
        <f t="shared" si="6"/>
        <v>0</v>
      </c>
      <c r="J152" s="3">
        <f t="shared" si="7"/>
        <v>0</v>
      </c>
      <c r="K152" s="3"/>
      <c r="L152" s="3">
        <f t="shared" si="8"/>
        <v>479.4622812</v>
      </c>
      <c r="M152" s="9">
        <f t="shared" si="9"/>
        <v>484.7123174</v>
      </c>
      <c r="N152" s="9">
        <f t="shared" si="10"/>
        <v>-5.250036194</v>
      </c>
      <c r="O152" s="3"/>
      <c r="P152" s="3"/>
      <c r="Q152" s="3"/>
      <c r="R152" s="2"/>
      <c r="S152" s="9">
        <f t="shared" si="13"/>
        <v>-4.821087934</v>
      </c>
      <c r="W152" s="3"/>
      <c r="X152" s="3"/>
      <c r="Y152" s="3"/>
      <c r="Z152" s="3"/>
      <c r="AA152" s="3"/>
      <c r="AB152" s="3"/>
      <c r="AC152" s="3"/>
    </row>
    <row r="153">
      <c r="A153" s="1">
        <v>141.0</v>
      </c>
      <c r="B153" s="2">
        <v>1.42000869565217E9</v>
      </c>
      <c r="C153" s="2">
        <v>-102.0064163</v>
      </c>
      <c r="D153" s="3">
        <f t="shared" si="1"/>
        <v>-391304.3478</v>
      </c>
      <c r="E153" s="4">
        <f t="shared" si="2"/>
        <v>81.72835576</v>
      </c>
      <c r="F153" s="3">
        <f t="shared" si="3"/>
        <v>0.0002088613536</v>
      </c>
      <c r="G153" s="3">
        <f t="shared" si="4"/>
        <v>0</v>
      </c>
      <c r="H153" s="2">
        <f t="shared" si="5"/>
        <v>0</v>
      </c>
      <c r="I153" s="3">
        <f t="shared" si="6"/>
        <v>0</v>
      </c>
      <c r="J153" s="3">
        <f t="shared" si="7"/>
        <v>0</v>
      </c>
      <c r="K153" s="3"/>
      <c r="L153" s="3">
        <f t="shared" si="8"/>
        <v>479.1423266</v>
      </c>
      <c r="M153" s="9">
        <f t="shared" si="9"/>
        <v>484.6246837</v>
      </c>
      <c r="N153" s="9">
        <f t="shared" si="10"/>
        <v>-5.482357105</v>
      </c>
      <c r="O153" s="3"/>
      <c r="P153" s="3"/>
      <c r="Q153" s="3"/>
      <c r="R153" s="2"/>
      <c r="S153" s="9">
        <f t="shared" si="13"/>
        <v>-5.034427316</v>
      </c>
      <c r="W153" s="3"/>
      <c r="X153" s="3"/>
      <c r="Y153" s="3"/>
      <c r="Z153" s="3"/>
      <c r="AA153" s="3"/>
      <c r="AB153" s="3"/>
      <c r="AC153" s="3"/>
    </row>
    <row r="154">
      <c r="A154" s="1">
        <v>142.0</v>
      </c>
      <c r="B154" s="2">
        <v>1.42001304347826E9</v>
      </c>
      <c r="C154" s="2">
        <v>-102.0029373</v>
      </c>
      <c r="D154" s="3">
        <f t="shared" si="1"/>
        <v>-386956.5217</v>
      </c>
      <c r="E154" s="4">
        <f t="shared" si="2"/>
        <v>80.81005963</v>
      </c>
      <c r="F154" s="3">
        <f t="shared" si="3"/>
        <v>0.0002088349856</v>
      </c>
      <c r="G154" s="3">
        <f t="shared" si="4"/>
        <v>0</v>
      </c>
      <c r="H154" s="2">
        <f t="shared" si="5"/>
        <v>0</v>
      </c>
      <c r="I154" s="3">
        <f t="shared" si="6"/>
        <v>0</v>
      </c>
      <c r="J154" s="3">
        <f t="shared" si="7"/>
        <v>0</v>
      </c>
      <c r="K154" s="3"/>
      <c r="L154" s="3">
        <f t="shared" si="8"/>
        <v>479.5263066</v>
      </c>
      <c r="M154" s="9">
        <f t="shared" si="9"/>
        <v>484.5368537</v>
      </c>
      <c r="N154" s="9">
        <f t="shared" si="10"/>
        <v>-5.010547122</v>
      </c>
      <c r="O154" s="3"/>
      <c r="P154" s="3"/>
      <c r="Q154" s="3"/>
      <c r="R154" s="2"/>
      <c r="S154" s="9">
        <f t="shared" si="13"/>
        <v>-4.601166045</v>
      </c>
      <c r="W154" s="3"/>
      <c r="X154" s="3"/>
      <c r="Y154" s="3"/>
      <c r="Z154" s="3"/>
      <c r="AA154" s="3"/>
      <c r="AB154" s="3"/>
      <c r="AC154" s="3"/>
    </row>
    <row r="155">
      <c r="A155" s="1">
        <v>143.0</v>
      </c>
      <c r="B155" s="2">
        <v>1.42001739130434E9</v>
      </c>
      <c r="C155" s="2">
        <v>-101.9726944</v>
      </c>
      <c r="D155" s="3">
        <f t="shared" si="1"/>
        <v>-382608.6957</v>
      </c>
      <c r="E155" s="4">
        <f t="shared" si="2"/>
        <v>79.8917635</v>
      </c>
      <c r="F155" s="3">
        <f t="shared" si="3"/>
        <v>0.0002088080182</v>
      </c>
      <c r="G155" s="3">
        <f t="shared" si="4"/>
        <v>0</v>
      </c>
      <c r="H155" s="2">
        <f t="shared" si="5"/>
        <v>0</v>
      </c>
      <c r="I155" s="3">
        <f t="shared" si="6"/>
        <v>0</v>
      </c>
      <c r="J155" s="3">
        <f t="shared" si="7"/>
        <v>0</v>
      </c>
      <c r="K155" s="3"/>
      <c r="L155" s="3">
        <f t="shared" si="8"/>
        <v>482.8772307</v>
      </c>
      <c r="M155" s="9">
        <f t="shared" si="9"/>
        <v>484.4488272</v>
      </c>
      <c r="N155" s="9">
        <f t="shared" si="10"/>
        <v>-1.57159652</v>
      </c>
      <c r="O155" s="3"/>
      <c r="P155" s="3"/>
      <c r="Q155" s="3"/>
      <c r="R155" s="2"/>
      <c r="S155" s="9">
        <f t="shared" si="13"/>
        <v>-1.443191007</v>
      </c>
      <c r="W155" s="3"/>
      <c r="X155" s="3"/>
      <c r="Y155" s="3"/>
      <c r="Z155" s="3"/>
      <c r="AA155" s="3"/>
      <c r="AB155" s="3"/>
      <c r="AC155" s="3"/>
    </row>
    <row r="156">
      <c r="A156" s="1">
        <v>144.0</v>
      </c>
      <c r="B156" s="2">
        <v>1.42002173913043E9</v>
      </c>
      <c r="C156" s="2">
        <v>-102.0206757</v>
      </c>
      <c r="D156" s="3">
        <f t="shared" si="1"/>
        <v>-378260.8696</v>
      </c>
      <c r="E156" s="4">
        <f t="shared" si="2"/>
        <v>78.97346736</v>
      </c>
      <c r="F156" s="3">
        <f t="shared" si="3"/>
        <v>0.000208780431</v>
      </c>
      <c r="G156" s="3">
        <f t="shared" si="4"/>
        <v>0</v>
      </c>
      <c r="H156" s="2">
        <f t="shared" si="5"/>
        <v>0</v>
      </c>
      <c r="I156" s="3">
        <f t="shared" si="6"/>
        <v>0</v>
      </c>
      <c r="J156" s="3">
        <f t="shared" si="7"/>
        <v>0</v>
      </c>
      <c r="K156" s="3"/>
      <c r="L156" s="3">
        <f t="shared" si="8"/>
        <v>477.5717154</v>
      </c>
      <c r="M156" s="9">
        <f t="shared" si="9"/>
        <v>484.3606037</v>
      </c>
      <c r="N156" s="9">
        <f t="shared" si="10"/>
        <v>-6.788888306</v>
      </c>
      <c r="O156" s="3"/>
      <c r="P156" s="3"/>
      <c r="Q156" s="3"/>
      <c r="R156" s="2"/>
      <c r="S156" s="9">
        <f t="shared" si="13"/>
        <v>-6.234209862</v>
      </c>
      <c r="W156" s="3"/>
      <c r="X156" s="3"/>
      <c r="Y156" s="3"/>
      <c r="Z156" s="3"/>
      <c r="AA156" s="3"/>
      <c r="AB156" s="3"/>
      <c r="AC156" s="3"/>
    </row>
    <row r="157">
      <c r="A157" s="1">
        <v>145.0</v>
      </c>
      <c r="B157" s="2">
        <v>1.42002608695652E9</v>
      </c>
      <c r="C157" s="2">
        <v>-101.9804153</v>
      </c>
      <c r="D157" s="3">
        <f t="shared" si="1"/>
        <v>-373913.0435</v>
      </c>
      <c r="E157" s="4">
        <f t="shared" si="2"/>
        <v>78.05517123</v>
      </c>
      <c r="F157" s="3">
        <f t="shared" si="3"/>
        <v>0.0002087522021</v>
      </c>
      <c r="G157" s="3">
        <f t="shared" si="4"/>
        <v>0</v>
      </c>
      <c r="H157" s="2">
        <f t="shared" si="5"/>
        <v>0</v>
      </c>
      <c r="I157" s="3">
        <f t="shared" si="6"/>
        <v>0</v>
      </c>
      <c r="J157" s="3">
        <f t="shared" si="7"/>
        <v>0</v>
      </c>
      <c r="K157" s="3"/>
      <c r="L157" s="3">
        <f t="shared" si="8"/>
        <v>482.0195327</v>
      </c>
      <c r="M157" s="9">
        <f t="shared" si="9"/>
        <v>484.2721829</v>
      </c>
      <c r="N157" s="9">
        <f t="shared" si="10"/>
        <v>-2.252650166</v>
      </c>
      <c r="O157" s="3"/>
      <c r="P157" s="3"/>
      <c r="Q157" s="3"/>
      <c r="R157" s="2"/>
      <c r="S157" s="9">
        <f t="shared" si="13"/>
        <v>-2.068599936</v>
      </c>
      <c r="W157" s="3"/>
      <c r="X157" s="3"/>
      <c r="Y157" s="3"/>
      <c r="Z157" s="3"/>
      <c r="AA157" s="3"/>
      <c r="AB157" s="3"/>
      <c r="AC157" s="3"/>
    </row>
    <row r="158">
      <c r="A158" s="1">
        <v>146.0</v>
      </c>
      <c r="B158" s="2">
        <v>1.4200304347826E9</v>
      </c>
      <c r="C158" s="2">
        <v>-102.0002899</v>
      </c>
      <c r="D158" s="3">
        <f t="shared" si="1"/>
        <v>-369565.2174</v>
      </c>
      <c r="E158" s="4">
        <f t="shared" si="2"/>
        <v>77.1368751</v>
      </c>
      <c r="F158" s="3">
        <f t="shared" si="3"/>
        <v>0.0002087233091</v>
      </c>
      <c r="G158" s="3">
        <f t="shared" si="4"/>
        <v>0</v>
      </c>
      <c r="H158" s="2">
        <f t="shared" si="5"/>
        <v>0</v>
      </c>
      <c r="I158" s="3">
        <f t="shared" si="6"/>
        <v>0</v>
      </c>
      <c r="J158" s="3">
        <f t="shared" si="7"/>
        <v>0</v>
      </c>
      <c r="K158" s="3"/>
      <c r="L158" s="3">
        <f t="shared" si="8"/>
        <v>479.8187084</v>
      </c>
      <c r="M158" s="9">
        <f t="shared" si="9"/>
        <v>484.1835645</v>
      </c>
      <c r="N158" s="9">
        <f t="shared" si="10"/>
        <v>-4.364856092</v>
      </c>
      <c r="O158" s="3"/>
      <c r="P158" s="3"/>
      <c r="Q158" s="3"/>
      <c r="R158" s="2"/>
      <c r="S158" s="9">
        <f t="shared" si="13"/>
        <v>-4.008230469</v>
      </c>
      <c r="W158" s="3"/>
      <c r="X158" s="3"/>
      <c r="Y158" s="3"/>
      <c r="Z158" s="3"/>
      <c r="AA158" s="3"/>
      <c r="AB158" s="3"/>
      <c r="AC158" s="3"/>
    </row>
    <row r="159">
      <c r="A159" s="1">
        <v>147.0</v>
      </c>
      <c r="B159" s="2">
        <v>1.42003478260869E9</v>
      </c>
      <c r="C159" s="2">
        <v>-101.9788361</v>
      </c>
      <c r="D159" s="3">
        <f t="shared" si="1"/>
        <v>-365217.3913</v>
      </c>
      <c r="E159" s="4">
        <f t="shared" si="2"/>
        <v>76.21857897</v>
      </c>
      <c r="F159" s="3">
        <f t="shared" si="3"/>
        <v>0.0002086937281</v>
      </c>
      <c r="G159" s="3">
        <f t="shared" si="4"/>
        <v>0</v>
      </c>
      <c r="H159" s="2">
        <f t="shared" si="5"/>
        <v>0</v>
      </c>
      <c r="I159" s="3">
        <f t="shared" si="6"/>
        <v>0</v>
      </c>
      <c r="J159" s="3">
        <f t="shared" si="7"/>
        <v>0</v>
      </c>
      <c r="K159" s="3"/>
      <c r="L159" s="3">
        <f t="shared" si="8"/>
        <v>482.1948386</v>
      </c>
      <c r="M159" s="9">
        <f t="shared" si="9"/>
        <v>484.0947482</v>
      </c>
      <c r="N159" s="9">
        <f t="shared" si="10"/>
        <v>-1.899909636</v>
      </c>
      <c r="O159" s="3"/>
      <c r="P159" s="3"/>
      <c r="Q159" s="3"/>
      <c r="R159" s="2"/>
      <c r="S159" s="9">
        <f t="shared" si="13"/>
        <v>-1.744679671</v>
      </c>
      <c r="W159" s="3"/>
      <c r="X159" s="3"/>
      <c r="Y159" s="3"/>
      <c r="Z159" s="3"/>
      <c r="AA159" s="3"/>
      <c r="AB159" s="3"/>
      <c r="AC159" s="3"/>
    </row>
    <row r="160">
      <c r="A160" s="1">
        <v>148.0</v>
      </c>
      <c r="B160" s="2">
        <v>1.42003913043478E9</v>
      </c>
      <c r="C160" s="2">
        <v>-101.9986725</v>
      </c>
      <c r="D160" s="3">
        <f t="shared" si="1"/>
        <v>-360869.5652</v>
      </c>
      <c r="E160" s="4">
        <f t="shared" si="2"/>
        <v>75.30028284</v>
      </c>
      <c r="F160" s="3">
        <f t="shared" si="3"/>
        <v>0.0002086634344</v>
      </c>
      <c r="G160" s="3">
        <f t="shared" si="4"/>
        <v>0</v>
      </c>
      <c r="H160" s="2">
        <f t="shared" si="5"/>
        <v>0</v>
      </c>
      <c r="I160" s="3">
        <f t="shared" si="6"/>
        <v>0</v>
      </c>
      <c r="J160" s="3">
        <f t="shared" si="7"/>
        <v>0</v>
      </c>
      <c r="K160" s="3"/>
      <c r="L160" s="3">
        <f t="shared" si="8"/>
        <v>479.9974359</v>
      </c>
      <c r="M160" s="9">
        <f t="shared" si="9"/>
        <v>484.0057337</v>
      </c>
      <c r="N160" s="9">
        <f t="shared" si="10"/>
        <v>-4.008297799</v>
      </c>
      <c r="O160" s="3"/>
      <c r="P160" s="3"/>
      <c r="Q160" s="3"/>
      <c r="R160" s="2"/>
      <c r="S160" s="9">
        <f t="shared" si="13"/>
        <v>-3.680804359</v>
      </c>
      <c r="W160" s="3"/>
      <c r="X160" s="3"/>
      <c r="Y160" s="3"/>
      <c r="Z160" s="3"/>
      <c r="AA160" s="3"/>
      <c r="AB160" s="3"/>
      <c r="AC160" s="3"/>
    </row>
    <row r="161">
      <c r="A161" s="1">
        <v>149.0</v>
      </c>
      <c r="B161" s="2">
        <v>1.42004347826087E9</v>
      </c>
      <c r="C161" s="2">
        <v>-101.9595795</v>
      </c>
      <c r="D161" s="3">
        <f t="shared" si="1"/>
        <v>-356521.7391</v>
      </c>
      <c r="E161" s="4">
        <f t="shared" si="2"/>
        <v>74.3819867</v>
      </c>
      <c r="F161" s="3">
        <f t="shared" si="3"/>
        <v>0.0002086324017</v>
      </c>
      <c r="G161" s="3">
        <f t="shared" si="4"/>
        <v>0</v>
      </c>
      <c r="H161" s="2">
        <f t="shared" si="5"/>
        <v>0</v>
      </c>
      <c r="I161" s="3">
        <f t="shared" si="6"/>
        <v>0</v>
      </c>
      <c r="J161" s="3">
        <f t="shared" si="7"/>
        <v>0</v>
      </c>
      <c r="K161" s="3"/>
      <c r="L161" s="3">
        <f t="shared" si="8"/>
        <v>484.3376356</v>
      </c>
      <c r="M161" s="9">
        <f t="shared" si="9"/>
        <v>483.9165205</v>
      </c>
      <c r="N161" s="9">
        <f t="shared" si="10"/>
        <v>0.4211151686</v>
      </c>
      <c r="O161" s="3"/>
      <c r="P161" s="3"/>
      <c r="Q161" s="3"/>
      <c r="R161" s="2"/>
      <c r="S161" s="9">
        <f t="shared" si="13"/>
        <v>0.3867084308</v>
      </c>
      <c r="W161" s="3"/>
      <c r="X161" s="3"/>
      <c r="Y161" s="3"/>
      <c r="Z161" s="3"/>
      <c r="AA161" s="3"/>
      <c r="AB161" s="3"/>
      <c r="AC161" s="3"/>
    </row>
    <row r="162">
      <c r="A162" s="1">
        <v>150.0</v>
      </c>
      <c r="B162" s="2">
        <v>1.42004782608695E9</v>
      </c>
      <c r="C162" s="2">
        <v>-101.9476624</v>
      </c>
      <c r="D162" s="3">
        <f t="shared" si="1"/>
        <v>-352173.913</v>
      </c>
      <c r="E162" s="4">
        <f t="shared" si="2"/>
        <v>73.46369057</v>
      </c>
      <c r="F162" s="3">
        <f t="shared" si="3"/>
        <v>0.0002086006029</v>
      </c>
      <c r="G162" s="3">
        <f t="shared" si="4"/>
        <v>0</v>
      </c>
      <c r="H162" s="2">
        <f t="shared" si="5"/>
        <v>0</v>
      </c>
      <c r="I162" s="3">
        <f t="shared" si="6"/>
        <v>0</v>
      </c>
      <c r="J162" s="3">
        <f t="shared" si="7"/>
        <v>0</v>
      </c>
      <c r="K162" s="3"/>
      <c r="L162" s="3">
        <f t="shared" si="8"/>
        <v>485.6684898</v>
      </c>
      <c r="M162" s="9">
        <f t="shared" si="9"/>
        <v>483.8271084</v>
      </c>
      <c r="N162" s="9">
        <f t="shared" si="10"/>
        <v>1.841381485</v>
      </c>
      <c r="O162" s="3"/>
      <c r="P162" s="3"/>
      <c r="Q162" s="3"/>
      <c r="R162" s="2"/>
      <c r="S162" s="9">
        <f t="shared" si="13"/>
        <v>1.690933497</v>
      </c>
      <c r="W162" s="3"/>
      <c r="X162" s="3"/>
      <c r="Y162" s="3"/>
      <c r="Z162" s="3"/>
      <c r="AA162" s="3"/>
      <c r="AB162" s="3"/>
      <c r="AC162" s="3"/>
    </row>
    <row r="163">
      <c r="A163" s="1">
        <v>151.0</v>
      </c>
      <c r="B163" s="2">
        <v>1.42005217391304E9</v>
      </c>
      <c r="C163" s="2">
        <v>-101.9627609</v>
      </c>
      <c r="D163" s="3">
        <f t="shared" si="1"/>
        <v>-347826.087</v>
      </c>
      <c r="E163" s="4">
        <f t="shared" si="2"/>
        <v>72.54539444</v>
      </c>
      <c r="F163" s="3">
        <f t="shared" si="3"/>
        <v>0.000208568009</v>
      </c>
      <c r="G163" s="3">
        <f t="shared" si="4"/>
        <v>0</v>
      </c>
      <c r="H163" s="2">
        <f t="shared" si="5"/>
        <v>0</v>
      </c>
      <c r="I163" s="3">
        <f t="shared" si="6"/>
        <v>0</v>
      </c>
      <c r="J163" s="3">
        <f t="shared" si="7"/>
        <v>0</v>
      </c>
      <c r="K163" s="3"/>
      <c r="L163" s="3">
        <f t="shared" si="8"/>
        <v>483.9829667</v>
      </c>
      <c r="M163" s="9">
        <f t="shared" si="9"/>
        <v>483.737497</v>
      </c>
      <c r="N163" s="9">
        <f t="shared" si="10"/>
        <v>0.2454697515</v>
      </c>
      <c r="O163" s="3"/>
      <c r="P163" s="3"/>
      <c r="Q163" s="3"/>
      <c r="R163" s="2"/>
      <c r="S163" s="9">
        <f t="shared" si="13"/>
        <v>0.225413923</v>
      </c>
      <c r="W163" s="3"/>
      <c r="X163" s="3"/>
      <c r="Y163" s="3"/>
      <c r="Z163" s="3"/>
      <c r="AA163" s="3"/>
      <c r="AB163" s="3"/>
      <c r="AC163" s="3"/>
    </row>
    <row r="164">
      <c r="A164" s="1">
        <v>152.0</v>
      </c>
      <c r="B164" s="2">
        <v>1.42005652173913E9</v>
      </c>
      <c r="C164" s="2">
        <v>-101.9470749</v>
      </c>
      <c r="D164" s="3">
        <f t="shared" si="1"/>
        <v>-343478.2609</v>
      </c>
      <c r="E164" s="4">
        <f t="shared" si="2"/>
        <v>71.62709831</v>
      </c>
      <c r="F164" s="3">
        <f t="shared" si="3"/>
        <v>0.00020853459</v>
      </c>
      <c r="G164" s="3">
        <f t="shared" si="4"/>
        <v>0</v>
      </c>
      <c r="H164" s="2">
        <f t="shared" si="5"/>
        <v>0</v>
      </c>
      <c r="I164" s="3">
        <f t="shared" si="6"/>
        <v>0</v>
      </c>
      <c r="J164" s="3">
        <f t="shared" si="7"/>
        <v>0</v>
      </c>
      <c r="K164" s="3"/>
      <c r="L164" s="3">
        <f t="shared" si="8"/>
        <v>485.734194</v>
      </c>
      <c r="M164" s="9">
        <f t="shared" si="9"/>
        <v>483.647686</v>
      </c>
      <c r="N164" s="9">
        <f t="shared" si="10"/>
        <v>2.086508015</v>
      </c>
      <c r="O164" s="3"/>
      <c r="P164" s="3"/>
      <c r="Q164" s="3"/>
      <c r="R164" s="2"/>
      <c r="S164" s="9">
        <f t="shared" si="13"/>
        <v>1.916032241</v>
      </c>
      <c r="W164" s="3"/>
      <c r="X164" s="3"/>
      <c r="Y164" s="3"/>
      <c r="Z164" s="3"/>
      <c r="AA164" s="3"/>
      <c r="AB164" s="3"/>
      <c r="AC164" s="3"/>
    </row>
    <row r="165">
      <c r="A165" s="1">
        <v>153.0</v>
      </c>
      <c r="B165" s="2">
        <v>1.42006086956521E9</v>
      </c>
      <c r="C165" s="2">
        <v>-102.0317764</v>
      </c>
      <c r="D165" s="3">
        <f t="shared" si="1"/>
        <v>-339130.4348</v>
      </c>
      <c r="E165" s="4">
        <f t="shared" si="2"/>
        <v>70.70880218</v>
      </c>
      <c r="F165" s="3">
        <f t="shared" si="3"/>
        <v>0.0002085003141</v>
      </c>
      <c r="G165" s="3">
        <f t="shared" si="4"/>
        <v>0</v>
      </c>
      <c r="H165" s="2">
        <f t="shared" si="5"/>
        <v>0</v>
      </c>
      <c r="I165" s="3">
        <f t="shared" si="6"/>
        <v>0</v>
      </c>
      <c r="J165" s="3">
        <f t="shared" si="7"/>
        <v>0</v>
      </c>
      <c r="K165" s="3"/>
      <c r="L165" s="3">
        <f t="shared" si="8"/>
        <v>476.3525862</v>
      </c>
      <c r="M165" s="9">
        <f t="shared" si="9"/>
        <v>483.5576751</v>
      </c>
      <c r="N165" s="9">
        <f t="shared" si="10"/>
        <v>-7.205088911</v>
      </c>
      <c r="O165" s="3"/>
      <c r="P165" s="3"/>
      <c r="Q165" s="3"/>
      <c r="R165" s="2"/>
      <c r="S165" s="9">
        <f t="shared" si="13"/>
        <v>-6.616405283</v>
      </c>
      <c r="W165" s="3"/>
      <c r="X165" s="3"/>
      <c r="Y165" s="3"/>
      <c r="Z165" s="3"/>
      <c r="AA165" s="3"/>
      <c r="AB165" s="3"/>
      <c r="AC165" s="3"/>
    </row>
    <row r="166">
      <c r="A166" s="1">
        <v>154.0</v>
      </c>
      <c r="B166" s="2">
        <v>1.4200652173913E9</v>
      </c>
      <c r="C166" s="2">
        <v>-101.9924622</v>
      </c>
      <c r="D166" s="3">
        <f t="shared" si="1"/>
        <v>-334782.6087</v>
      </c>
      <c r="E166" s="4">
        <f t="shared" si="2"/>
        <v>69.79050604</v>
      </c>
      <c r="F166" s="3">
        <f t="shared" si="3"/>
        <v>0.0002084651479</v>
      </c>
      <c r="G166" s="3">
        <f t="shared" si="4"/>
        <v>0</v>
      </c>
      <c r="H166" s="2">
        <f t="shared" si="5"/>
        <v>0</v>
      </c>
      <c r="I166" s="3">
        <f t="shared" si="6"/>
        <v>0</v>
      </c>
      <c r="J166" s="3">
        <f t="shared" si="7"/>
        <v>0</v>
      </c>
      <c r="K166" s="3"/>
      <c r="L166" s="3">
        <f t="shared" si="8"/>
        <v>480.6843109</v>
      </c>
      <c r="M166" s="9">
        <f t="shared" si="9"/>
        <v>483.4674639</v>
      </c>
      <c r="N166" s="9">
        <f t="shared" si="10"/>
        <v>-2.783152971</v>
      </c>
      <c r="O166" s="3"/>
      <c r="P166" s="3"/>
      <c r="Q166" s="3"/>
      <c r="R166" s="2"/>
      <c r="S166" s="9">
        <f t="shared" si="13"/>
        <v>-2.555758604</v>
      </c>
      <c r="W166" s="3"/>
      <c r="X166" s="3"/>
      <c r="Y166" s="3"/>
      <c r="Z166" s="3"/>
      <c r="AA166" s="3"/>
      <c r="AB166" s="3"/>
      <c r="AC166" s="3"/>
    </row>
    <row r="167">
      <c r="A167" s="1">
        <v>155.0</v>
      </c>
      <c r="B167" s="2">
        <v>1.42006956521739E9</v>
      </c>
      <c r="C167" s="2">
        <v>-101.9868164</v>
      </c>
      <c r="D167" s="3">
        <f t="shared" si="1"/>
        <v>-330434.7826</v>
      </c>
      <c r="E167" s="4">
        <f t="shared" si="2"/>
        <v>68.87220991</v>
      </c>
      <c r="F167" s="3">
        <f t="shared" si="3"/>
        <v>0.0002084290563</v>
      </c>
      <c r="G167" s="3">
        <f t="shared" si="4"/>
        <v>0</v>
      </c>
      <c r="H167" s="2">
        <f t="shared" si="5"/>
        <v>0</v>
      </c>
      <c r="I167" s="3">
        <f t="shared" si="6"/>
        <v>0</v>
      </c>
      <c r="J167" s="3">
        <f t="shared" si="7"/>
        <v>0</v>
      </c>
      <c r="K167" s="3"/>
      <c r="L167" s="3">
        <f t="shared" si="8"/>
        <v>481.3096037</v>
      </c>
      <c r="M167" s="9">
        <f t="shared" si="9"/>
        <v>483.3770521</v>
      </c>
      <c r="N167" s="9">
        <f t="shared" si="10"/>
        <v>-2.067448339</v>
      </c>
      <c r="O167" s="3"/>
      <c r="P167" s="3"/>
      <c r="Q167" s="3"/>
      <c r="R167" s="2"/>
      <c r="S167" s="9">
        <f t="shared" si="13"/>
        <v>-1.898529814</v>
      </c>
      <c r="W167" s="3"/>
      <c r="X167" s="3"/>
      <c r="Y167" s="3"/>
      <c r="Z167" s="3"/>
      <c r="AA167" s="3"/>
      <c r="AB167" s="3"/>
      <c r="AC167" s="3"/>
    </row>
    <row r="168">
      <c r="A168" s="1">
        <v>156.0</v>
      </c>
      <c r="B168" s="2">
        <v>1.42007391304347E9</v>
      </c>
      <c r="C168" s="2">
        <v>-102.0102234</v>
      </c>
      <c r="D168" s="3">
        <f t="shared" si="1"/>
        <v>-326086.9565</v>
      </c>
      <c r="E168" s="4">
        <f t="shared" si="2"/>
        <v>67.95391378</v>
      </c>
      <c r="F168" s="3">
        <f t="shared" si="3"/>
        <v>0.0002083920023</v>
      </c>
      <c r="G168" s="3">
        <f t="shared" si="4"/>
        <v>0</v>
      </c>
      <c r="H168" s="2">
        <f t="shared" si="5"/>
        <v>0</v>
      </c>
      <c r="I168" s="3">
        <f t="shared" si="6"/>
        <v>0</v>
      </c>
      <c r="J168" s="3">
        <f t="shared" si="7"/>
        <v>0</v>
      </c>
      <c r="K168" s="3"/>
      <c r="L168" s="3">
        <f t="shared" si="8"/>
        <v>478.7224863</v>
      </c>
      <c r="M168" s="9">
        <f t="shared" si="9"/>
        <v>483.2864393</v>
      </c>
      <c r="N168" s="9">
        <f t="shared" si="10"/>
        <v>-4.563953051</v>
      </c>
      <c r="O168" s="3"/>
      <c r="P168" s="3"/>
      <c r="Q168" s="3"/>
      <c r="R168" s="2"/>
      <c r="S168" s="9">
        <f t="shared" si="13"/>
        <v>-4.191060437</v>
      </c>
      <c r="W168" s="3"/>
      <c r="X168" s="3"/>
      <c r="Y168" s="3"/>
      <c r="Z168" s="3"/>
      <c r="AA168" s="3"/>
      <c r="AB168" s="3"/>
      <c r="AC168" s="3"/>
    </row>
    <row r="169">
      <c r="A169" s="1">
        <v>157.0</v>
      </c>
      <c r="B169" s="2">
        <v>1.42007826086956E9</v>
      </c>
      <c r="C169" s="2">
        <v>-101.8992538</v>
      </c>
      <c r="D169" s="3">
        <f t="shared" si="1"/>
        <v>-321739.1304</v>
      </c>
      <c r="E169" s="4">
        <f t="shared" si="2"/>
        <v>67.03561765</v>
      </c>
      <c r="F169" s="3">
        <f t="shared" si="3"/>
        <v>0.0002083539467</v>
      </c>
      <c r="G169" s="3">
        <f t="shared" si="4"/>
        <v>0</v>
      </c>
      <c r="H169" s="2">
        <f t="shared" si="5"/>
        <v>0</v>
      </c>
      <c r="I169" s="3">
        <f t="shared" si="6"/>
        <v>0</v>
      </c>
      <c r="J169" s="3">
        <f t="shared" si="7"/>
        <v>0</v>
      </c>
      <c r="K169" s="3"/>
      <c r="L169" s="3">
        <f t="shared" si="8"/>
        <v>491.112273</v>
      </c>
      <c r="M169" s="9">
        <f t="shared" si="9"/>
        <v>483.1956253</v>
      </c>
      <c r="N169" s="9">
        <f t="shared" si="10"/>
        <v>7.916647709</v>
      </c>
      <c r="O169" s="3"/>
      <c r="P169" s="3"/>
      <c r="Q169" s="3"/>
      <c r="R169" s="2"/>
      <c r="S169" s="9">
        <f t="shared" si="13"/>
        <v>7.269826959</v>
      </c>
      <c r="W169" s="3"/>
      <c r="X169" s="3"/>
      <c r="Y169" s="3"/>
      <c r="Z169" s="3"/>
      <c r="AA169" s="3"/>
      <c r="AB169" s="3"/>
      <c r="AC169" s="3"/>
    </row>
    <row r="170">
      <c r="A170" s="1">
        <v>158.0</v>
      </c>
      <c r="B170" s="2">
        <v>1.42008260869565E9</v>
      </c>
      <c r="C170" s="2">
        <v>-101.9334564</v>
      </c>
      <c r="D170" s="3">
        <f t="shared" si="1"/>
        <v>-317391.3043</v>
      </c>
      <c r="E170" s="4">
        <f t="shared" si="2"/>
        <v>66.11732152</v>
      </c>
      <c r="F170" s="3">
        <f t="shared" si="3"/>
        <v>0.0002083148486</v>
      </c>
      <c r="G170" s="3">
        <f t="shared" si="4"/>
        <v>0</v>
      </c>
      <c r="H170" s="2">
        <f t="shared" si="5"/>
        <v>0</v>
      </c>
      <c r="I170" s="3">
        <f t="shared" si="6"/>
        <v>0</v>
      </c>
      <c r="J170" s="3">
        <f t="shared" si="7"/>
        <v>0</v>
      </c>
      <c r="K170" s="3"/>
      <c r="L170" s="3">
        <f t="shared" si="8"/>
        <v>487.259738</v>
      </c>
      <c r="M170" s="9">
        <f t="shared" si="9"/>
        <v>483.1046097</v>
      </c>
      <c r="N170" s="9">
        <f t="shared" si="10"/>
        <v>4.155128369</v>
      </c>
      <c r="O170" s="3"/>
      <c r="P170" s="3"/>
      <c r="Q170" s="3"/>
      <c r="R170" s="2"/>
      <c r="S170" s="9">
        <f t="shared" si="13"/>
        <v>3.815638312</v>
      </c>
      <c r="W170" s="3"/>
      <c r="X170" s="3"/>
      <c r="Y170" s="3"/>
      <c r="Z170" s="3"/>
      <c r="AA170" s="3"/>
      <c r="AB170" s="3"/>
      <c r="AC170" s="3"/>
    </row>
    <row r="171">
      <c r="A171" s="1">
        <v>159.0</v>
      </c>
      <c r="B171" s="2">
        <v>1.42008695652173E9</v>
      </c>
      <c r="C171" s="2">
        <v>-102.0572586</v>
      </c>
      <c r="D171" s="3">
        <f t="shared" si="1"/>
        <v>-313043.4783</v>
      </c>
      <c r="E171" s="4">
        <f t="shared" si="2"/>
        <v>65.19902538</v>
      </c>
      <c r="F171" s="3">
        <f t="shared" si="3"/>
        <v>0.0002082746644</v>
      </c>
      <c r="G171" s="3">
        <f t="shared" si="4"/>
        <v>0</v>
      </c>
      <c r="H171" s="2">
        <f t="shared" si="5"/>
        <v>0</v>
      </c>
      <c r="I171" s="3">
        <f t="shared" si="6"/>
        <v>0</v>
      </c>
      <c r="J171" s="3">
        <f t="shared" si="7"/>
        <v>0</v>
      </c>
      <c r="K171" s="3"/>
      <c r="L171" s="3">
        <f t="shared" si="8"/>
        <v>473.5657743</v>
      </c>
      <c r="M171" s="9">
        <f t="shared" si="9"/>
        <v>483.0133921</v>
      </c>
      <c r="N171" s="9">
        <f t="shared" si="10"/>
        <v>-9.447617783</v>
      </c>
      <c r="O171" s="3"/>
      <c r="P171" s="3"/>
      <c r="Q171" s="3"/>
      <c r="R171" s="2"/>
      <c r="S171" s="9">
        <f t="shared" si="13"/>
        <v>-8.675710874</v>
      </c>
      <c r="W171" s="3"/>
      <c r="X171" s="3"/>
      <c r="Y171" s="3"/>
      <c r="Z171" s="3"/>
      <c r="AA171" s="3"/>
      <c r="AB171" s="3"/>
      <c r="AC171" s="3"/>
    </row>
    <row r="172">
      <c r="A172" s="1">
        <v>160.0</v>
      </c>
      <c r="B172" s="2">
        <v>1.42009130434782E9</v>
      </c>
      <c r="C172" s="2">
        <v>-101.9985046</v>
      </c>
      <c r="D172" s="3">
        <f t="shared" si="1"/>
        <v>-308695.6522</v>
      </c>
      <c r="E172" s="4">
        <f t="shared" si="2"/>
        <v>64.28072925</v>
      </c>
      <c r="F172" s="3">
        <f t="shared" si="3"/>
        <v>0.0002082333483</v>
      </c>
      <c r="G172" s="3">
        <f t="shared" si="4"/>
        <v>0</v>
      </c>
      <c r="H172" s="2">
        <f t="shared" si="5"/>
        <v>0</v>
      </c>
      <c r="I172" s="3">
        <f t="shared" si="6"/>
        <v>0</v>
      </c>
      <c r="J172" s="3">
        <f t="shared" si="7"/>
        <v>0</v>
      </c>
      <c r="K172" s="3"/>
      <c r="L172" s="3">
        <f t="shared" si="8"/>
        <v>480.0159931</v>
      </c>
      <c r="M172" s="9">
        <f t="shared" si="9"/>
        <v>482.9219722</v>
      </c>
      <c r="N172" s="9">
        <f t="shared" si="10"/>
        <v>-2.905979128</v>
      </c>
      <c r="O172" s="3"/>
      <c r="P172" s="3"/>
      <c r="Q172" s="3"/>
      <c r="R172" s="2"/>
      <c r="S172" s="9">
        <f t="shared" si="13"/>
        <v>-2.668549395</v>
      </c>
      <c r="W172" s="3"/>
      <c r="X172" s="3"/>
      <c r="Y172" s="3"/>
      <c r="Z172" s="3"/>
      <c r="AA172" s="3"/>
      <c r="AB172" s="3"/>
      <c r="AC172" s="3"/>
    </row>
    <row r="173">
      <c r="A173" s="1">
        <v>161.0</v>
      </c>
      <c r="B173" s="2">
        <v>1.42009565217391E9</v>
      </c>
      <c r="C173" s="2">
        <v>-102.0133438</v>
      </c>
      <c r="D173" s="3">
        <f t="shared" si="1"/>
        <v>-304347.8261</v>
      </c>
      <c r="E173" s="4">
        <f t="shared" si="2"/>
        <v>63.36243312</v>
      </c>
      <c r="F173" s="3">
        <f t="shared" si="3"/>
        <v>0.0002081908517</v>
      </c>
      <c r="G173" s="3">
        <f t="shared" si="4"/>
        <v>0</v>
      </c>
      <c r="H173" s="2">
        <f t="shared" si="5"/>
        <v>0</v>
      </c>
      <c r="I173" s="3">
        <f t="shared" si="6"/>
        <v>0</v>
      </c>
      <c r="J173" s="3">
        <f t="shared" si="7"/>
        <v>0</v>
      </c>
      <c r="K173" s="3"/>
      <c r="L173" s="3">
        <f t="shared" si="8"/>
        <v>478.3786483</v>
      </c>
      <c r="M173" s="9">
        <f t="shared" si="9"/>
        <v>482.8303498</v>
      </c>
      <c r="N173" s="9">
        <f t="shared" si="10"/>
        <v>-4.451701429</v>
      </c>
      <c r="O173" s="3"/>
      <c r="P173" s="3"/>
      <c r="Q173" s="3"/>
      <c r="R173" s="2"/>
      <c r="S173" s="9">
        <f t="shared" si="13"/>
        <v>-4.087980198</v>
      </c>
      <c r="W173" s="3"/>
      <c r="X173" s="3"/>
      <c r="Y173" s="3"/>
      <c r="Z173" s="3"/>
      <c r="AA173" s="3"/>
      <c r="AB173" s="3"/>
      <c r="AC173" s="3"/>
    </row>
    <row r="174">
      <c r="A174" s="1">
        <v>162.0</v>
      </c>
      <c r="B174" s="2">
        <v>1.4201E9</v>
      </c>
      <c r="C174" s="2">
        <v>-101.9858322</v>
      </c>
      <c r="D174" s="3">
        <f t="shared" si="1"/>
        <v>-300000</v>
      </c>
      <c r="E174" s="4">
        <f t="shared" si="2"/>
        <v>62.44413699</v>
      </c>
      <c r="F174" s="3">
        <f t="shared" si="3"/>
        <v>0.0002081471233</v>
      </c>
      <c r="G174" s="3">
        <f t="shared" si="4"/>
        <v>0</v>
      </c>
      <c r="H174" s="2">
        <f t="shared" si="5"/>
        <v>0</v>
      </c>
      <c r="I174" s="3">
        <f t="shared" si="6"/>
        <v>0</v>
      </c>
      <c r="J174" s="3">
        <f t="shared" si="7"/>
        <v>0</v>
      </c>
      <c r="K174" s="3"/>
      <c r="L174" s="3">
        <f t="shared" si="8"/>
        <v>481.4186907</v>
      </c>
      <c r="M174" s="9">
        <f t="shared" si="9"/>
        <v>482.7385244</v>
      </c>
      <c r="N174" s="9">
        <f t="shared" si="10"/>
        <v>-1.319833691</v>
      </c>
      <c r="O174" s="3"/>
      <c r="P174" s="3"/>
      <c r="Q174" s="3"/>
      <c r="R174" s="2"/>
      <c r="S174" s="9">
        <f t="shared" si="13"/>
        <v>-1.211998174</v>
      </c>
      <c r="W174" s="3"/>
      <c r="X174" s="3"/>
      <c r="Y174" s="3"/>
      <c r="Z174" s="3"/>
      <c r="AA174" s="3"/>
      <c r="AB174" s="3"/>
      <c r="AC174" s="3"/>
    </row>
    <row r="175">
      <c r="A175" s="1">
        <v>163.0</v>
      </c>
      <c r="B175" s="2">
        <v>1.42010434782608E9</v>
      </c>
      <c r="C175" s="2">
        <v>-101.9354782</v>
      </c>
      <c r="D175" s="3">
        <f t="shared" si="1"/>
        <v>-295652.1739</v>
      </c>
      <c r="E175" s="4">
        <f t="shared" si="2"/>
        <v>61.52584085</v>
      </c>
      <c r="F175" s="3">
        <f t="shared" si="3"/>
        <v>0.0002081021088</v>
      </c>
      <c r="G175" s="3">
        <f t="shared" si="4"/>
        <v>0</v>
      </c>
      <c r="H175" s="2">
        <f t="shared" si="5"/>
        <v>0</v>
      </c>
      <c r="I175" s="3">
        <f t="shared" si="6"/>
        <v>0</v>
      </c>
      <c r="J175" s="3">
        <f t="shared" si="7"/>
        <v>0</v>
      </c>
      <c r="K175" s="3"/>
      <c r="L175" s="3">
        <f t="shared" si="8"/>
        <v>487.0329536</v>
      </c>
      <c r="M175" s="9">
        <f t="shared" si="9"/>
        <v>482.6464957</v>
      </c>
      <c r="N175" s="9">
        <f t="shared" si="10"/>
        <v>4.38645788</v>
      </c>
      <c r="O175" s="3"/>
      <c r="P175" s="3"/>
      <c r="Q175" s="3"/>
      <c r="R175" s="2"/>
      <c r="S175" s="9">
        <f t="shared" si="13"/>
        <v>4.028067308</v>
      </c>
      <c r="W175" s="3"/>
      <c r="X175" s="3"/>
      <c r="Y175" s="3"/>
      <c r="Z175" s="3"/>
      <c r="AA175" s="3"/>
      <c r="AB175" s="3"/>
      <c r="AC175" s="3"/>
    </row>
    <row r="176">
      <c r="A176" s="1">
        <v>164.0</v>
      </c>
      <c r="B176" s="2">
        <v>1.42010869565217E9</v>
      </c>
      <c r="C176" s="2">
        <v>-102.0423965</v>
      </c>
      <c r="D176" s="3">
        <f t="shared" si="1"/>
        <v>-291304.3478</v>
      </c>
      <c r="E176" s="4">
        <f t="shared" si="2"/>
        <v>60.60754472</v>
      </c>
      <c r="F176" s="3">
        <f t="shared" si="3"/>
        <v>0.0002080557505</v>
      </c>
      <c r="G176" s="3">
        <f t="shared" si="4"/>
        <v>0</v>
      </c>
      <c r="H176" s="2">
        <f t="shared" si="5"/>
        <v>0</v>
      </c>
      <c r="I176" s="3">
        <f t="shared" si="6"/>
        <v>0</v>
      </c>
      <c r="J176" s="3">
        <f t="shared" si="7"/>
        <v>0</v>
      </c>
      <c r="K176" s="3"/>
      <c r="L176" s="3">
        <f t="shared" si="8"/>
        <v>475.1891517</v>
      </c>
      <c r="M176" s="9">
        <f t="shared" si="9"/>
        <v>482.5542634</v>
      </c>
      <c r="N176" s="9">
        <f t="shared" si="10"/>
        <v>-7.365111681</v>
      </c>
      <c r="O176" s="3"/>
      <c r="P176" s="3"/>
      <c r="Q176" s="3"/>
      <c r="R176" s="2"/>
      <c r="S176" s="9">
        <f t="shared" si="13"/>
        <v>-6.763353559</v>
      </c>
      <c r="W176" s="3"/>
      <c r="X176" s="3"/>
      <c r="Y176" s="3"/>
      <c r="Z176" s="3"/>
      <c r="AA176" s="3"/>
      <c r="AB176" s="3"/>
      <c r="AC176" s="3"/>
    </row>
    <row r="177">
      <c r="A177" s="1">
        <v>165.0</v>
      </c>
      <c r="B177" s="2">
        <v>1.42011304347826E9</v>
      </c>
      <c r="C177" s="2">
        <v>-102.0572433</v>
      </c>
      <c r="D177" s="3">
        <f t="shared" si="1"/>
        <v>-286956.5217</v>
      </c>
      <c r="E177" s="4">
        <f t="shared" si="2"/>
        <v>59.68924859</v>
      </c>
      <c r="F177" s="3">
        <f t="shared" si="3"/>
        <v>0.0002080079875</v>
      </c>
      <c r="G177" s="3">
        <f t="shared" si="4"/>
        <v>0</v>
      </c>
      <c r="H177" s="2">
        <f t="shared" si="5"/>
        <v>0</v>
      </c>
      <c r="I177" s="3">
        <f t="shared" si="6"/>
        <v>0</v>
      </c>
      <c r="J177" s="3">
        <f t="shared" si="7"/>
        <v>0</v>
      </c>
      <c r="K177" s="3"/>
      <c r="L177" s="3">
        <f t="shared" si="8"/>
        <v>473.5674427</v>
      </c>
      <c r="M177" s="9">
        <f t="shared" si="9"/>
        <v>482.4618271</v>
      </c>
      <c r="N177" s="9">
        <f t="shared" si="10"/>
        <v>-8.894384465</v>
      </c>
      <c r="O177" s="3"/>
      <c r="P177" s="3"/>
      <c r="Q177" s="3"/>
      <c r="R177" s="2"/>
      <c r="S177" s="9">
        <f t="shared" si="13"/>
        <v>-8.167678858</v>
      </c>
      <c r="W177" s="3"/>
      <c r="X177" s="3"/>
      <c r="Y177" s="3"/>
      <c r="Z177" s="3"/>
      <c r="AA177" s="3"/>
      <c r="AB177" s="3"/>
      <c r="AC177" s="3"/>
    </row>
    <row r="178">
      <c r="A178" s="1">
        <v>166.0</v>
      </c>
      <c r="B178" s="2">
        <v>1.42011739130434E9</v>
      </c>
      <c r="C178" s="2">
        <v>-102.0487061</v>
      </c>
      <c r="D178" s="3">
        <f t="shared" si="1"/>
        <v>-282608.6957</v>
      </c>
      <c r="E178" s="4">
        <f t="shared" si="2"/>
        <v>58.77095246</v>
      </c>
      <c r="F178" s="3">
        <f t="shared" si="3"/>
        <v>0.0002079587548</v>
      </c>
      <c r="G178" s="3">
        <f t="shared" si="4"/>
        <v>0</v>
      </c>
      <c r="H178" s="2">
        <f t="shared" si="5"/>
        <v>0</v>
      </c>
      <c r="I178" s="3">
        <f t="shared" si="6"/>
        <v>0</v>
      </c>
      <c r="J178" s="3">
        <f t="shared" si="7"/>
        <v>0</v>
      </c>
      <c r="K178" s="3"/>
      <c r="L178" s="3">
        <f t="shared" si="8"/>
        <v>474.4992796</v>
      </c>
      <c r="M178" s="9">
        <f t="shared" si="9"/>
        <v>482.3691866</v>
      </c>
      <c r="N178" s="9">
        <f t="shared" si="10"/>
        <v>-7.869907018</v>
      </c>
      <c r="O178" s="3"/>
      <c r="P178" s="3"/>
      <c r="Q178" s="3"/>
      <c r="R178" s="2"/>
      <c r="S178" s="9">
        <f t="shared" si="13"/>
        <v>-7.22690518</v>
      </c>
      <c r="W178" s="3"/>
      <c r="X178" s="3"/>
      <c r="Y178" s="3"/>
      <c r="Z178" s="3"/>
      <c r="AA178" s="3"/>
      <c r="AB178" s="3"/>
      <c r="AC178" s="3"/>
    </row>
    <row r="179">
      <c r="A179" s="1">
        <v>167.0</v>
      </c>
      <c r="B179" s="2">
        <v>1.42012173913043E9</v>
      </c>
      <c r="C179" s="2">
        <v>-101.9465332</v>
      </c>
      <c r="D179" s="3">
        <f t="shared" si="1"/>
        <v>-278260.8696</v>
      </c>
      <c r="E179" s="4">
        <f t="shared" si="2"/>
        <v>57.85265632</v>
      </c>
      <c r="F179" s="3">
        <f t="shared" si="3"/>
        <v>0.0002079079837</v>
      </c>
      <c r="G179" s="3">
        <f t="shared" si="4"/>
        <v>0</v>
      </c>
      <c r="H179" s="2">
        <f t="shared" si="5"/>
        <v>0</v>
      </c>
      <c r="I179" s="3">
        <f t="shared" si="6"/>
        <v>0</v>
      </c>
      <c r="J179" s="3">
        <f t="shared" si="7"/>
        <v>0</v>
      </c>
      <c r="K179" s="3"/>
      <c r="L179" s="3">
        <f t="shared" si="8"/>
        <v>485.7947839</v>
      </c>
      <c r="M179" s="9">
        <f t="shared" si="9"/>
        <v>482.2763414</v>
      </c>
      <c r="N179" s="9">
        <f t="shared" si="10"/>
        <v>3.518442472</v>
      </c>
      <c r="O179" s="3"/>
      <c r="P179" s="3"/>
      <c r="Q179" s="3"/>
      <c r="R179" s="2"/>
      <c r="S179" s="9">
        <f t="shared" si="13"/>
        <v>3.230972107</v>
      </c>
      <c r="W179" s="3"/>
      <c r="X179" s="3"/>
      <c r="Y179" s="3"/>
      <c r="Z179" s="3"/>
      <c r="AA179" s="3"/>
      <c r="AB179" s="3"/>
      <c r="AC179" s="3"/>
    </row>
    <row r="180">
      <c r="A180" s="1">
        <v>168.0</v>
      </c>
      <c r="B180" s="2">
        <v>1.42012608695652E9</v>
      </c>
      <c r="C180" s="2">
        <v>-102.009903</v>
      </c>
      <c r="D180" s="3">
        <f t="shared" si="1"/>
        <v>-273913.0435</v>
      </c>
      <c r="E180" s="4">
        <f t="shared" si="2"/>
        <v>56.93436019</v>
      </c>
      <c r="F180" s="3">
        <f t="shared" si="3"/>
        <v>0.0002078556007</v>
      </c>
      <c r="G180" s="3">
        <f t="shared" si="4"/>
        <v>0</v>
      </c>
      <c r="H180" s="2">
        <f t="shared" si="5"/>
        <v>0</v>
      </c>
      <c r="I180" s="3">
        <f t="shared" si="6"/>
        <v>0</v>
      </c>
      <c r="J180" s="3">
        <f t="shared" si="7"/>
        <v>0</v>
      </c>
      <c r="K180" s="3"/>
      <c r="L180" s="3">
        <f t="shared" si="8"/>
        <v>478.7578052</v>
      </c>
      <c r="M180" s="9">
        <f t="shared" si="9"/>
        <v>482.1832913</v>
      </c>
      <c r="N180" s="9">
        <f t="shared" si="10"/>
        <v>-3.425486112</v>
      </c>
      <c r="O180" s="3"/>
      <c r="P180" s="3"/>
      <c r="Q180" s="3"/>
      <c r="R180" s="2"/>
      <c r="S180" s="9">
        <f t="shared" si="13"/>
        <v>-3.14561065</v>
      </c>
      <c r="W180" s="3"/>
      <c r="X180" s="3"/>
      <c r="Y180" s="3"/>
      <c r="Z180" s="3"/>
      <c r="AA180" s="3"/>
      <c r="AB180" s="3"/>
      <c r="AC180" s="3"/>
    </row>
    <row r="181">
      <c r="A181" s="1">
        <v>169.0</v>
      </c>
      <c r="B181" s="2">
        <v>1.4201304347826E9</v>
      </c>
      <c r="C181" s="2">
        <v>-101.9966965</v>
      </c>
      <c r="D181" s="3">
        <f t="shared" si="1"/>
        <v>-269565.2174</v>
      </c>
      <c r="E181" s="4">
        <f t="shared" si="2"/>
        <v>56.01606406</v>
      </c>
      <c r="F181" s="3">
        <f t="shared" si="3"/>
        <v>0.000207801528</v>
      </c>
      <c r="G181" s="3">
        <f t="shared" si="4"/>
        <v>0</v>
      </c>
      <c r="H181" s="2">
        <f t="shared" si="5"/>
        <v>0</v>
      </c>
      <c r="I181" s="3">
        <f t="shared" si="6"/>
        <v>0</v>
      </c>
      <c r="J181" s="3">
        <f t="shared" si="7"/>
        <v>0</v>
      </c>
      <c r="K181" s="3"/>
      <c r="L181" s="3">
        <f t="shared" si="8"/>
        <v>480.21588</v>
      </c>
      <c r="M181" s="9">
        <f t="shared" si="9"/>
        <v>482.090036</v>
      </c>
      <c r="N181" s="9">
        <f t="shared" si="10"/>
        <v>-1.874155999</v>
      </c>
      <c r="O181" s="3"/>
      <c r="P181" s="3"/>
      <c r="Q181" s="3"/>
      <c r="R181" s="2"/>
      <c r="S181" s="9">
        <f t="shared" si="13"/>
        <v>-1.721030206</v>
      </c>
      <c r="W181" s="3"/>
      <c r="X181" s="3"/>
      <c r="Y181" s="3"/>
      <c r="Z181" s="3"/>
      <c r="AA181" s="3"/>
      <c r="AB181" s="3"/>
      <c r="AC181" s="3"/>
    </row>
    <row r="182">
      <c r="A182" s="1">
        <v>170.0</v>
      </c>
      <c r="B182" s="2">
        <v>1.42013478260869E9</v>
      </c>
      <c r="C182" s="2">
        <v>-102.0102386</v>
      </c>
      <c r="D182" s="3">
        <f t="shared" si="1"/>
        <v>-265217.3913</v>
      </c>
      <c r="E182" s="4">
        <f t="shared" si="2"/>
        <v>55.09776793</v>
      </c>
      <c r="F182" s="3">
        <f t="shared" si="3"/>
        <v>0.0002077456823</v>
      </c>
      <c r="G182" s="3">
        <f t="shared" si="4"/>
        <v>0</v>
      </c>
      <c r="H182" s="2">
        <f t="shared" si="5"/>
        <v>0</v>
      </c>
      <c r="I182" s="3">
        <f t="shared" si="6"/>
        <v>0</v>
      </c>
      <c r="J182" s="3">
        <f t="shared" si="7"/>
        <v>0</v>
      </c>
      <c r="K182" s="3"/>
      <c r="L182" s="3">
        <f t="shared" si="8"/>
        <v>478.7208108</v>
      </c>
      <c r="M182" s="9">
        <f t="shared" si="9"/>
        <v>481.996575</v>
      </c>
      <c r="N182" s="9">
        <f t="shared" si="10"/>
        <v>-3.275764196</v>
      </c>
      <c r="O182" s="3"/>
      <c r="P182" s="3"/>
      <c r="Q182" s="3"/>
      <c r="R182" s="2"/>
      <c r="S182" s="9">
        <f t="shared" si="13"/>
        <v>-3.008121593</v>
      </c>
      <c r="W182" s="3"/>
      <c r="X182" s="3"/>
      <c r="Y182" s="3"/>
      <c r="Z182" s="3"/>
      <c r="AA182" s="3"/>
      <c r="AB182" s="3"/>
      <c r="AC182" s="3"/>
    </row>
    <row r="183">
      <c r="A183" s="1">
        <v>171.0</v>
      </c>
      <c r="B183" s="2">
        <v>1.42013913043478E9</v>
      </c>
      <c r="C183" s="2">
        <v>-102.0416183</v>
      </c>
      <c r="D183" s="3">
        <f t="shared" si="1"/>
        <v>-260869.5652</v>
      </c>
      <c r="E183" s="4">
        <f t="shared" si="2"/>
        <v>54.1794718</v>
      </c>
      <c r="F183" s="3">
        <f t="shared" si="3"/>
        <v>0.0002076879752</v>
      </c>
      <c r="G183" s="3">
        <f t="shared" si="4"/>
        <v>0</v>
      </c>
      <c r="H183" s="2">
        <f t="shared" si="5"/>
        <v>0</v>
      </c>
      <c r="I183" s="3">
        <f t="shared" si="6"/>
        <v>0</v>
      </c>
      <c r="J183" s="3">
        <f t="shared" si="7"/>
        <v>0</v>
      </c>
      <c r="K183" s="3"/>
      <c r="L183" s="3">
        <f t="shared" si="8"/>
        <v>475.2743071</v>
      </c>
      <c r="M183" s="9">
        <f t="shared" si="9"/>
        <v>481.902908</v>
      </c>
      <c r="N183" s="9">
        <f t="shared" si="10"/>
        <v>-6.628600898</v>
      </c>
      <c r="O183" s="3"/>
      <c r="P183" s="3"/>
      <c r="Q183" s="3"/>
      <c r="R183" s="2"/>
      <c r="S183" s="9">
        <f t="shared" si="13"/>
        <v>-6.087018557</v>
      </c>
      <c r="W183" s="3"/>
      <c r="X183" s="3"/>
      <c r="Y183" s="3"/>
      <c r="Z183" s="3"/>
      <c r="AA183" s="3"/>
      <c r="AB183" s="3"/>
      <c r="AC183" s="3"/>
    </row>
    <row r="184">
      <c r="A184" s="1">
        <v>172.0</v>
      </c>
      <c r="B184" s="2">
        <v>1.42014347826087E9</v>
      </c>
      <c r="C184" s="2">
        <v>-102.0137024</v>
      </c>
      <c r="D184" s="3">
        <f t="shared" si="1"/>
        <v>-256521.7391</v>
      </c>
      <c r="E184" s="4">
        <f t="shared" si="2"/>
        <v>53.26117567</v>
      </c>
      <c r="F184" s="3">
        <f t="shared" si="3"/>
        <v>0.0002076283119</v>
      </c>
      <c r="G184" s="3">
        <f t="shared" si="4"/>
        <v>0</v>
      </c>
      <c r="H184" s="2">
        <f t="shared" si="5"/>
        <v>0</v>
      </c>
      <c r="I184" s="3">
        <f t="shared" si="6"/>
        <v>0</v>
      </c>
      <c r="J184" s="3">
        <f t="shared" si="7"/>
        <v>0</v>
      </c>
      <c r="K184" s="3"/>
      <c r="L184" s="3">
        <f t="shared" si="8"/>
        <v>478.3391499</v>
      </c>
      <c r="M184" s="9">
        <f t="shared" si="9"/>
        <v>481.8090348</v>
      </c>
      <c r="N184" s="9">
        <f t="shared" si="10"/>
        <v>-3.46988487</v>
      </c>
      <c r="O184" s="3"/>
      <c r="P184" s="3"/>
      <c r="Q184" s="3"/>
      <c r="R184" s="2"/>
      <c r="S184" s="9">
        <f t="shared" si="13"/>
        <v>-3.186381857</v>
      </c>
      <c r="W184" s="3"/>
      <c r="X184" s="3"/>
      <c r="Y184" s="3"/>
      <c r="Z184" s="3"/>
      <c r="AA184" s="3"/>
      <c r="AB184" s="3"/>
      <c r="AC184" s="3"/>
    </row>
    <row r="185">
      <c r="A185" s="1">
        <v>173.0</v>
      </c>
      <c r="B185" s="2">
        <v>1.42014782608695E9</v>
      </c>
      <c r="C185" s="2">
        <v>-102.0497208</v>
      </c>
      <c r="D185" s="3">
        <f t="shared" si="1"/>
        <v>-252173.913</v>
      </c>
      <c r="E185" s="4">
        <f t="shared" si="2"/>
        <v>52.34287953</v>
      </c>
      <c r="F185" s="3">
        <f t="shared" si="3"/>
        <v>0.0002075665912</v>
      </c>
      <c r="G185" s="3">
        <f t="shared" si="4"/>
        <v>0</v>
      </c>
      <c r="H185" s="2">
        <f t="shared" si="5"/>
        <v>0</v>
      </c>
      <c r="I185" s="3">
        <f t="shared" si="6"/>
        <v>0</v>
      </c>
      <c r="J185" s="3">
        <f t="shared" si="7"/>
        <v>0</v>
      </c>
      <c r="K185" s="3"/>
      <c r="L185" s="3">
        <f t="shared" si="8"/>
        <v>474.3884289</v>
      </c>
      <c r="M185" s="9">
        <f t="shared" si="9"/>
        <v>481.7149549</v>
      </c>
      <c r="N185" s="9">
        <f t="shared" si="10"/>
        <v>-7.326525983</v>
      </c>
      <c r="O185" s="3"/>
      <c r="P185" s="3"/>
      <c r="Q185" s="3"/>
      <c r="R185" s="2"/>
      <c r="S185" s="9">
        <f t="shared" si="13"/>
        <v>-6.727920477</v>
      </c>
      <c r="W185" s="3"/>
      <c r="X185" s="3"/>
      <c r="Y185" s="3"/>
      <c r="Z185" s="3"/>
      <c r="AA185" s="3"/>
      <c r="AB185" s="3"/>
      <c r="AC185" s="3"/>
    </row>
    <row r="186">
      <c r="A186" s="1">
        <v>174.0</v>
      </c>
      <c r="B186" s="2">
        <v>1.42015217391304E9</v>
      </c>
      <c r="C186" s="2">
        <v>-102.0010757</v>
      </c>
      <c r="D186" s="3">
        <f t="shared" si="1"/>
        <v>-247826.087</v>
      </c>
      <c r="E186" s="4">
        <f t="shared" si="2"/>
        <v>51.4245834</v>
      </c>
      <c r="F186" s="3">
        <f t="shared" si="3"/>
        <v>0.0002075027049</v>
      </c>
      <c r="G186" s="3">
        <f t="shared" si="4"/>
        <v>0</v>
      </c>
      <c r="H186" s="2">
        <f t="shared" si="5"/>
        <v>0</v>
      </c>
      <c r="I186" s="3">
        <f t="shared" si="6"/>
        <v>0</v>
      </c>
      <c r="J186" s="3">
        <f t="shared" si="7"/>
        <v>0</v>
      </c>
      <c r="K186" s="3"/>
      <c r="L186" s="3">
        <f t="shared" si="8"/>
        <v>479.7318993</v>
      </c>
      <c r="M186" s="9">
        <f t="shared" si="9"/>
        <v>481.6206681</v>
      </c>
      <c r="N186" s="9">
        <f t="shared" si="10"/>
        <v>-1.888768847</v>
      </c>
      <c r="O186" s="3"/>
      <c r="P186" s="3"/>
      <c r="Q186" s="3"/>
      <c r="R186" s="2"/>
      <c r="S186" s="9">
        <f t="shared" si="13"/>
        <v>-1.734449124</v>
      </c>
      <c r="W186" s="3"/>
      <c r="X186" s="3"/>
      <c r="Y186" s="3"/>
      <c r="Z186" s="3"/>
      <c r="AA186" s="3"/>
      <c r="AB186" s="3"/>
      <c r="AC186" s="3"/>
    </row>
    <row r="187">
      <c r="A187" s="1">
        <v>175.0</v>
      </c>
      <c r="B187" s="2">
        <v>1.42015652173913E9</v>
      </c>
      <c r="C187" s="2">
        <v>-101.9972229</v>
      </c>
      <c r="D187" s="3">
        <f t="shared" si="1"/>
        <v>-243478.2609</v>
      </c>
      <c r="E187" s="4">
        <f t="shared" si="2"/>
        <v>50.50628727</v>
      </c>
      <c r="F187" s="3">
        <f t="shared" si="3"/>
        <v>0.000207436537</v>
      </c>
      <c r="G187" s="3">
        <f t="shared" si="4"/>
        <v>0</v>
      </c>
      <c r="H187" s="2">
        <f t="shared" si="5"/>
        <v>0</v>
      </c>
      <c r="I187" s="3">
        <f t="shared" si="6"/>
        <v>0</v>
      </c>
      <c r="J187" s="3">
        <f t="shared" si="7"/>
        <v>0</v>
      </c>
      <c r="K187" s="3"/>
      <c r="L187" s="3">
        <f t="shared" si="8"/>
        <v>480.1576775</v>
      </c>
      <c r="M187" s="9">
        <f t="shared" si="9"/>
        <v>481.526174</v>
      </c>
      <c r="N187" s="9">
        <f t="shared" si="10"/>
        <v>-1.368496564</v>
      </c>
      <c r="O187" s="3"/>
      <c r="P187" s="3"/>
      <c r="Q187" s="3"/>
      <c r="R187" s="2"/>
      <c r="S187" s="9">
        <f t="shared" si="13"/>
        <v>-1.256685103</v>
      </c>
      <c r="W187" s="3"/>
      <c r="X187" s="3"/>
      <c r="Y187" s="3"/>
      <c r="Z187" s="3"/>
      <c r="AA187" s="3"/>
      <c r="AB187" s="3"/>
      <c r="AC187" s="3"/>
    </row>
    <row r="188">
      <c r="A188" s="1">
        <v>176.0</v>
      </c>
      <c r="B188" s="2">
        <v>1.42016086956521E9</v>
      </c>
      <c r="C188" s="2">
        <v>-102.0428848</v>
      </c>
      <c r="D188" s="3">
        <f t="shared" si="1"/>
        <v>-239130.4348</v>
      </c>
      <c r="E188" s="4">
        <f t="shared" si="2"/>
        <v>49.58799114</v>
      </c>
      <c r="F188" s="3">
        <f t="shared" si="3"/>
        <v>0.0002073679629</v>
      </c>
      <c r="G188" s="3">
        <f t="shared" si="4"/>
        <v>0</v>
      </c>
      <c r="H188" s="2">
        <f t="shared" si="5"/>
        <v>0</v>
      </c>
      <c r="I188" s="3">
        <f t="shared" si="6"/>
        <v>0</v>
      </c>
      <c r="J188" s="3">
        <f t="shared" si="7"/>
        <v>0</v>
      </c>
      <c r="K188" s="3"/>
      <c r="L188" s="3">
        <f t="shared" si="8"/>
        <v>475.1357267</v>
      </c>
      <c r="M188" s="9">
        <f t="shared" si="9"/>
        <v>481.4314723</v>
      </c>
      <c r="N188" s="9">
        <f t="shared" si="10"/>
        <v>-6.295745602</v>
      </c>
      <c r="O188" s="3"/>
      <c r="P188" s="3"/>
      <c r="Q188" s="3"/>
      <c r="R188" s="2"/>
      <c r="S188" s="9">
        <f t="shared" si="13"/>
        <v>-5.781358839</v>
      </c>
      <c r="W188" s="3"/>
      <c r="X188" s="3"/>
      <c r="Y188" s="3"/>
      <c r="Z188" s="3"/>
      <c r="AA188" s="3"/>
      <c r="AB188" s="3"/>
      <c r="AC188" s="3"/>
    </row>
    <row r="189">
      <c r="A189" s="1">
        <v>177.0</v>
      </c>
      <c r="B189" s="2">
        <v>1.4201652173913E9</v>
      </c>
      <c r="C189" s="2">
        <v>-102.045723</v>
      </c>
      <c r="D189" s="3">
        <f t="shared" si="1"/>
        <v>-234782.6087</v>
      </c>
      <c r="E189" s="4">
        <f t="shared" si="2"/>
        <v>48.669695</v>
      </c>
      <c r="F189" s="3">
        <f t="shared" si="3"/>
        <v>0.0002072968491</v>
      </c>
      <c r="G189" s="3">
        <f t="shared" si="4"/>
        <v>0</v>
      </c>
      <c r="H189" s="2">
        <f t="shared" si="5"/>
        <v>0</v>
      </c>
      <c r="I189" s="3">
        <f t="shared" si="6"/>
        <v>0</v>
      </c>
      <c r="J189" s="3">
        <f t="shared" si="7"/>
        <v>0</v>
      </c>
      <c r="K189" s="3"/>
      <c r="L189" s="3">
        <f t="shared" si="8"/>
        <v>474.8253176</v>
      </c>
      <c r="M189" s="9">
        <f t="shared" si="9"/>
        <v>481.3365626</v>
      </c>
      <c r="N189" s="9">
        <f t="shared" si="10"/>
        <v>-6.511245042</v>
      </c>
      <c r="O189" s="3"/>
      <c r="P189" s="3"/>
      <c r="Q189" s="3"/>
      <c r="R189" s="2"/>
      <c r="S189" s="9">
        <f t="shared" si="13"/>
        <v>-5.979251127</v>
      </c>
      <c r="W189" s="3"/>
      <c r="X189" s="3"/>
      <c r="Y189" s="3"/>
      <c r="Z189" s="3"/>
      <c r="AA189" s="3"/>
      <c r="AB189" s="3"/>
      <c r="AC189" s="3"/>
    </row>
    <row r="190">
      <c r="A190" s="1">
        <v>178.0</v>
      </c>
      <c r="B190" s="2">
        <v>1.42016956521739E9</v>
      </c>
      <c r="C190" s="2">
        <v>-101.997551</v>
      </c>
      <c r="D190" s="3">
        <f t="shared" si="1"/>
        <v>-230434.7826</v>
      </c>
      <c r="E190" s="4">
        <f t="shared" si="2"/>
        <v>47.75139887</v>
      </c>
      <c r="F190" s="3">
        <f t="shared" si="3"/>
        <v>0.0002072230517</v>
      </c>
      <c r="G190" s="3">
        <f t="shared" si="4"/>
        <v>0</v>
      </c>
      <c r="H190" s="2">
        <f t="shared" si="5"/>
        <v>0</v>
      </c>
      <c r="I190" s="3">
        <f t="shared" si="6"/>
        <v>0</v>
      </c>
      <c r="J190" s="3">
        <f t="shared" si="7"/>
        <v>0</v>
      </c>
      <c r="K190" s="3"/>
      <c r="L190" s="3">
        <f t="shared" si="8"/>
        <v>480.121404</v>
      </c>
      <c r="M190" s="9">
        <f t="shared" si="9"/>
        <v>481.2414446</v>
      </c>
      <c r="N190" s="9">
        <f t="shared" si="10"/>
        <v>-1.120040691</v>
      </c>
      <c r="O190" s="3"/>
      <c r="P190" s="3"/>
      <c r="Q190" s="3"/>
      <c r="R190" s="2"/>
      <c r="S190" s="9">
        <f t="shared" si="13"/>
        <v>-1.028529035</v>
      </c>
      <c r="W190" s="3"/>
      <c r="X190" s="3"/>
      <c r="Y190" s="3"/>
      <c r="Z190" s="3"/>
      <c r="AA190" s="3"/>
      <c r="AB190" s="3"/>
      <c r="AC190" s="3"/>
    </row>
    <row r="191">
      <c r="A191" s="1">
        <v>179.0</v>
      </c>
      <c r="B191" s="2">
        <v>1.42017391304347E9</v>
      </c>
      <c r="C191" s="2">
        <v>-102.0227356</v>
      </c>
      <c r="D191" s="3">
        <f t="shared" si="1"/>
        <v>-226086.9565</v>
      </c>
      <c r="E191" s="4">
        <f t="shared" si="2"/>
        <v>46.83310274</v>
      </c>
      <c r="F191" s="3">
        <f t="shared" si="3"/>
        <v>0.000207146416</v>
      </c>
      <c r="G191" s="3">
        <f t="shared" si="4"/>
        <v>0</v>
      </c>
      <c r="H191" s="2">
        <f t="shared" si="5"/>
        <v>0</v>
      </c>
      <c r="I191" s="3">
        <f t="shared" si="6"/>
        <v>0</v>
      </c>
      <c r="J191" s="3">
        <f t="shared" si="7"/>
        <v>0</v>
      </c>
      <c r="K191" s="3"/>
      <c r="L191" s="3">
        <f t="shared" si="8"/>
        <v>477.3452523</v>
      </c>
      <c r="M191" s="9">
        <f t="shared" si="9"/>
        <v>481.1461181</v>
      </c>
      <c r="N191" s="9">
        <f t="shared" si="10"/>
        <v>-3.800865786</v>
      </c>
      <c r="O191" s="3"/>
      <c r="P191" s="3"/>
      <c r="Q191" s="3"/>
      <c r="R191" s="2"/>
      <c r="S191" s="9">
        <f t="shared" si="13"/>
        <v>-3.490320353</v>
      </c>
      <c r="W191" s="3"/>
      <c r="X191" s="3"/>
      <c r="Y191" s="3"/>
      <c r="Z191" s="3"/>
      <c r="AA191" s="3"/>
      <c r="AB191" s="3"/>
      <c r="AC191" s="3"/>
    </row>
    <row r="192">
      <c r="A192" s="1">
        <v>180.0</v>
      </c>
      <c r="B192" s="2">
        <v>1.42017826086956E9</v>
      </c>
      <c r="C192" s="2">
        <v>-101.9829254</v>
      </c>
      <c r="D192" s="3">
        <f t="shared" si="1"/>
        <v>-221739.1304</v>
      </c>
      <c r="E192" s="4">
        <f t="shared" si="2"/>
        <v>45.91480661</v>
      </c>
      <c r="F192" s="3">
        <f t="shared" si="3"/>
        <v>0.0002070667749</v>
      </c>
      <c r="G192" s="3">
        <f t="shared" si="4"/>
        <v>0</v>
      </c>
      <c r="H192" s="2">
        <f t="shared" si="5"/>
        <v>0</v>
      </c>
      <c r="I192" s="3">
        <f t="shared" si="6"/>
        <v>0</v>
      </c>
      <c r="J192" s="3">
        <f t="shared" si="7"/>
        <v>0</v>
      </c>
      <c r="K192" s="3"/>
      <c r="L192" s="3">
        <f t="shared" si="8"/>
        <v>481.7410195</v>
      </c>
      <c r="M192" s="9">
        <f t="shared" si="9"/>
        <v>481.0505825</v>
      </c>
      <c r="N192" s="9">
        <f t="shared" si="10"/>
        <v>0.6904369844</v>
      </c>
      <c r="O192" s="3"/>
      <c r="P192" s="3"/>
      <c r="Q192" s="3"/>
      <c r="R192" s="2"/>
      <c r="S192" s="9">
        <f t="shared" si="13"/>
        <v>0.6340256112</v>
      </c>
      <c r="W192" s="3"/>
      <c r="X192" s="3"/>
      <c r="Y192" s="3"/>
      <c r="Z192" s="3"/>
      <c r="AA192" s="3"/>
      <c r="AB192" s="3"/>
      <c r="AC192" s="3"/>
    </row>
    <row r="193">
      <c r="A193" s="1">
        <v>181.0</v>
      </c>
      <c r="B193" s="2">
        <v>1.42018260869565E9</v>
      </c>
      <c r="C193" s="2">
        <v>-101.9832001</v>
      </c>
      <c r="D193" s="3">
        <f t="shared" si="1"/>
        <v>-217391.3043</v>
      </c>
      <c r="E193" s="4">
        <f t="shared" si="2"/>
        <v>44.99651048</v>
      </c>
      <c r="F193" s="3">
        <f t="shared" si="3"/>
        <v>0.0002069839482</v>
      </c>
      <c r="G193" s="3">
        <f t="shared" si="4"/>
        <v>0</v>
      </c>
      <c r="H193" s="2">
        <f t="shared" si="5"/>
        <v>0</v>
      </c>
      <c r="I193" s="3">
        <f t="shared" si="6"/>
        <v>0</v>
      </c>
      <c r="J193" s="3">
        <f t="shared" si="7"/>
        <v>0</v>
      </c>
      <c r="K193" s="3"/>
      <c r="L193" s="3">
        <f t="shared" si="8"/>
        <v>481.7105494</v>
      </c>
      <c r="M193" s="9">
        <f t="shared" si="9"/>
        <v>480.9548377</v>
      </c>
      <c r="N193" s="9">
        <f t="shared" si="10"/>
        <v>0.7557117026</v>
      </c>
      <c r="O193" s="3"/>
      <c r="P193" s="3"/>
      <c r="Q193" s="3"/>
      <c r="R193" s="2"/>
      <c r="S193" s="9">
        <f t="shared" si="13"/>
        <v>0.693967134</v>
      </c>
      <c r="W193" s="3"/>
      <c r="X193" s="3"/>
      <c r="Y193" s="3"/>
      <c r="Z193" s="3"/>
      <c r="AA193" s="3"/>
      <c r="AB193" s="3"/>
      <c r="AC193" s="3"/>
    </row>
    <row r="194">
      <c r="A194" s="1">
        <v>182.0</v>
      </c>
      <c r="B194" s="2">
        <v>1.42018695652173E9</v>
      </c>
      <c r="C194" s="2">
        <v>-102.0286102</v>
      </c>
      <c r="D194" s="3">
        <f t="shared" si="1"/>
        <v>-213043.4783</v>
      </c>
      <c r="E194" s="4">
        <f t="shared" si="2"/>
        <v>44.07821434</v>
      </c>
      <c r="F194" s="3">
        <f t="shared" si="3"/>
        <v>0.0002068977408</v>
      </c>
      <c r="G194" s="3">
        <f t="shared" si="4"/>
        <v>0</v>
      </c>
      <c r="H194" s="2">
        <f t="shared" si="5"/>
        <v>0</v>
      </c>
      <c r="I194" s="3">
        <f t="shared" si="6"/>
        <v>0</v>
      </c>
      <c r="J194" s="3">
        <f t="shared" si="7"/>
        <v>0</v>
      </c>
      <c r="K194" s="3"/>
      <c r="L194" s="3">
        <f t="shared" si="8"/>
        <v>476.699995</v>
      </c>
      <c r="M194" s="9">
        <f t="shared" si="9"/>
        <v>480.8588832</v>
      </c>
      <c r="N194" s="9">
        <f t="shared" si="10"/>
        <v>-4.158888182</v>
      </c>
      <c r="O194" s="3"/>
      <c r="P194" s="3"/>
      <c r="Q194" s="3"/>
      <c r="R194" s="2"/>
      <c r="S194" s="9">
        <f t="shared" si="13"/>
        <v>-3.819090934</v>
      </c>
      <c r="W194" s="3"/>
      <c r="X194" s="3"/>
      <c r="Y194" s="3"/>
      <c r="Z194" s="3"/>
      <c r="AA194" s="3"/>
      <c r="AB194" s="3"/>
      <c r="AC194" s="3"/>
    </row>
    <row r="195">
      <c r="A195" s="1">
        <v>183.0</v>
      </c>
      <c r="B195" s="2">
        <v>1.42019130434782E9</v>
      </c>
      <c r="C195" s="2">
        <v>-102.0124512</v>
      </c>
      <c r="D195" s="3">
        <f t="shared" si="1"/>
        <v>-208695.6522</v>
      </c>
      <c r="E195" s="4">
        <f t="shared" si="2"/>
        <v>43.15991821</v>
      </c>
      <c r="F195" s="3">
        <f t="shared" si="3"/>
        <v>0.0002068079414</v>
      </c>
      <c r="G195" s="3">
        <f t="shared" si="4"/>
        <v>0</v>
      </c>
      <c r="H195" s="2">
        <f t="shared" si="5"/>
        <v>0</v>
      </c>
      <c r="I195" s="3">
        <f t="shared" si="6"/>
        <v>0</v>
      </c>
      <c r="J195" s="3">
        <f t="shared" si="7"/>
        <v>0</v>
      </c>
      <c r="K195" s="3"/>
      <c r="L195" s="3">
        <f t="shared" si="8"/>
        <v>478.476979</v>
      </c>
      <c r="M195" s="9">
        <f t="shared" si="9"/>
        <v>480.7627188</v>
      </c>
      <c r="N195" s="9">
        <f t="shared" si="10"/>
        <v>-2.28573975</v>
      </c>
      <c r="O195" s="3"/>
      <c r="P195" s="3"/>
      <c r="Q195" s="3"/>
      <c r="R195" s="2"/>
      <c r="S195" s="9">
        <f t="shared" si="13"/>
        <v>-2.098985973</v>
      </c>
      <c r="W195" s="3"/>
      <c r="X195" s="3"/>
      <c r="Y195" s="3"/>
      <c r="Z195" s="3"/>
      <c r="AA195" s="3"/>
      <c r="AB195" s="3"/>
      <c r="AC195" s="3"/>
    </row>
    <row r="196">
      <c r="A196" s="1">
        <v>184.0</v>
      </c>
      <c r="B196" s="2">
        <v>1.42019565217391E9</v>
      </c>
      <c r="C196" s="2">
        <v>-102.0398483</v>
      </c>
      <c r="D196" s="3">
        <f t="shared" si="1"/>
        <v>-204347.8261</v>
      </c>
      <c r="E196" s="4">
        <f t="shared" si="2"/>
        <v>42.24162208</v>
      </c>
      <c r="F196" s="3">
        <f t="shared" si="3"/>
        <v>0.0002067143208</v>
      </c>
      <c r="G196" s="3">
        <f t="shared" si="4"/>
        <v>0</v>
      </c>
      <c r="H196" s="2">
        <f t="shared" si="5"/>
        <v>0</v>
      </c>
      <c r="I196" s="3">
        <f t="shared" si="6"/>
        <v>0</v>
      </c>
      <c r="J196" s="3">
        <f t="shared" si="7"/>
        <v>0</v>
      </c>
      <c r="K196" s="3"/>
      <c r="L196" s="3">
        <f t="shared" si="8"/>
        <v>475.4680482</v>
      </c>
      <c r="M196" s="9">
        <f t="shared" si="9"/>
        <v>480.666344</v>
      </c>
      <c r="N196" s="9">
        <f t="shared" si="10"/>
        <v>-5.198295798</v>
      </c>
      <c r="O196" s="3"/>
      <c r="P196" s="3"/>
      <c r="Q196" s="3"/>
      <c r="R196" s="2"/>
      <c r="S196" s="9">
        <f t="shared" si="13"/>
        <v>-4.773574917</v>
      </c>
      <c r="W196" s="3"/>
      <c r="X196" s="3"/>
      <c r="Y196" s="3"/>
      <c r="Z196" s="3"/>
      <c r="AA196" s="3"/>
      <c r="AB196" s="3"/>
      <c r="AC196" s="3"/>
    </row>
    <row r="197">
      <c r="A197" s="1">
        <v>185.0</v>
      </c>
      <c r="B197" s="2">
        <v>1.4202E9</v>
      </c>
      <c r="C197" s="2">
        <v>-102.0658951</v>
      </c>
      <c r="D197" s="3">
        <f t="shared" si="1"/>
        <v>-200000</v>
      </c>
      <c r="E197" s="4">
        <f t="shared" si="2"/>
        <v>41.32332595</v>
      </c>
      <c r="F197" s="3">
        <f t="shared" si="3"/>
        <v>0.0002066166297</v>
      </c>
      <c r="G197" s="3">
        <f t="shared" si="4"/>
        <v>0</v>
      </c>
      <c r="H197" s="2">
        <f t="shared" si="5"/>
        <v>0</v>
      </c>
      <c r="I197" s="3">
        <f t="shared" si="6"/>
        <v>0</v>
      </c>
      <c r="J197" s="3">
        <f t="shared" si="7"/>
        <v>0</v>
      </c>
      <c r="K197" s="3"/>
      <c r="L197" s="3">
        <f t="shared" si="8"/>
        <v>472.6249641</v>
      </c>
      <c r="M197" s="9">
        <f t="shared" si="9"/>
        <v>480.5697587</v>
      </c>
      <c r="N197" s="9">
        <f t="shared" si="10"/>
        <v>-7.944794581</v>
      </c>
      <c r="O197" s="3"/>
      <c r="P197" s="3"/>
      <c r="Q197" s="3"/>
      <c r="R197" s="2"/>
      <c r="S197" s="9">
        <f t="shared" si="13"/>
        <v>-7.295674139</v>
      </c>
      <c r="W197" s="3"/>
      <c r="X197" s="3"/>
      <c r="Y197" s="3"/>
      <c r="Z197" s="3"/>
      <c r="AA197" s="3"/>
      <c r="AB197" s="3"/>
      <c r="AC197" s="3"/>
    </row>
    <row r="198">
      <c r="A198" s="1">
        <v>186.0</v>
      </c>
      <c r="B198" s="2">
        <v>1.42020434782608E9</v>
      </c>
      <c r="C198" s="2">
        <v>-102.0237198</v>
      </c>
      <c r="D198" s="3">
        <f t="shared" si="1"/>
        <v>-195652.1739</v>
      </c>
      <c r="E198" s="4">
        <f t="shared" si="2"/>
        <v>40.40502981</v>
      </c>
      <c r="F198" s="3">
        <f t="shared" si="3"/>
        <v>0.0002065145968</v>
      </c>
      <c r="G198" s="3">
        <f t="shared" si="4"/>
        <v>0</v>
      </c>
      <c r="H198" s="2">
        <f t="shared" si="5"/>
        <v>0</v>
      </c>
      <c r="I198" s="3">
        <f t="shared" si="6"/>
        <v>0</v>
      </c>
      <c r="J198" s="3">
        <f t="shared" si="7"/>
        <v>0</v>
      </c>
      <c r="K198" s="3"/>
      <c r="L198" s="3">
        <f t="shared" si="8"/>
        <v>477.2370883</v>
      </c>
      <c r="M198" s="9">
        <f t="shared" si="9"/>
        <v>480.4729624</v>
      </c>
      <c r="N198" s="9">
        <f t="shared" si="10"/>
        <v>-3.235874018</v>
      </c>
      <c r="O198" s="3"/>
      <c r="P198" s="3"/>
      <c r="Q198" s="3"/>
      <c r="R198" s="2"/>
      <c r="S198" s="9">
        <f t="shared" si="13"/>
        <v>-2.971490597</v>
      </c>
      <c r="W198" s="3"/>
      <c r="X198" s="3"/>
      <c r="Y198" s="3"/>
      <c r="Z198" s="3"/>
      <c r="AA198" s="3"/>
      <c r="AB198" s="3"/>
      <c r="AC198" s="3"/>
    </row>
    <row r="199">
      <c r="A199" s="1">
        <v>187.0</v>
      </c>
      <c r="B199" s="2">
        <v>1.42020869565217E9</v>
      </c>
      <c r="C199" s="2">
        <v>-102.0087357</v>
      </c>
      <c r="D199" s="3">
        <f t="shared" si="1"/>
        <v>-191304.3478</v>
      </c>
      <c r="E199" s="4">
        <f t="shared" si="2"/>
        <v>39.48673368</v>
      </c>
      <c r="F199" s="3">
        <f t="shared" si="3"/>
        <v>0.0002064079261</v>
      </c>
      <c r="G199" s="3">
        <f t="shared" si="4"/>
        <v>0</v>
      </c>
      <c r="H199" s="2">
        <f t="shared" si="5"/>
        <v>0</v>
      </c>
      <c r="I199" s="3">
        <f t="shared" si="6"/>
        <v>0</v>
      </c>
      <c r="J199" s="3">
        <f t="shared" si="7"/>
        <v>0</v>
      </c>
      <c r="K199" s="3"/>
      <c r="L199" s="3">
        <f t="shared" si="8"/>
        <v>478.8865034</v>
      </c>
      <c r="M199" s="9">
        <f t="shared" si="9"/>
        <v>480.3759547</v>
      </c>
      <c r="N199" s="9">
        <f t="shared" si="10"/>
        <v>-1.48945133</v>
      </c>
      <c r="O199" s="3"/>
      <c r="P199" s="3"/>
      <c r="Q199" s="3"/>
      <c r="R199" s="2"/>
      <c r="S199" s="9">
        <f t="shared" si="13"/>
        <v>-1.367757393</v>
      </c>
      <c r="W199" s="3"/>
      <c r="X199" s="3"/>
      <c r="Y199" s="3"/>
      <c r="Z199" s="3"/>
      <c r="AA199" s="3"/>
      <c r="AB199" s="3"/>
      <c r="AC199" s="3"/>
    </row>
    <row r="200">
      <c r="A200" s="1">
        <v>188.0</v>
      </c>
      <c r="B200" s="2">
        <v>1.42021304347826E9</v>
      </c>
      <c r="C200" s="2">
        <v>-102.0285034</v>
      </c>
      <c r="D200" s="3">
        <f t="shared" si="1"/>
        <v>-186956.5217</v>
      </c>
      <c r="E200" s="4">
        <f t="shared" si="2"/>
        <v>38.56843755</v>
      </c>
      <c r="F200" s="3">
        <f t="shared" si="3"/>
        <v>0.0002062962939</v>
      </c>
      <c r="G200" s="3">
        <f t="shared" si="4"/>
        <v>0</v>
      </c>
      <c r="H200" s="2">
        <f t="shared" si="5"/>
        <v>0</v>
      </c>
      <c r="I200" s="3">
        <f t="shared" si="6"/>
        <v>0</v>
      </c>
      <c r="J200" s="3">
        <f t="shared" si="7"/>
        <v>0</v>
      </c>
      <c r="K200" s="3"/>
      <c r="L200" s="3">
        <f t="shared" si="8"/>
        <v>476.711718</v>
      </c>
      <c r="M200" s="9">
        <f t="shared" si="9"/>
        <v>480.2787355</v>
      </c>
      <c r="N200" s="9">
        <f t="shared" si="10"/>
        <v>-3.567017527</v>
      </c>
      <c r="O200" s="3"/>
      <c r="P200" s="3"/>
      <c r="Q200" s="3"/>
      <c r="R200" s="2"/>
      <c r="S200" s="9">
        <f t="shared" si="13"/>
        <v>-3.275578401</v>
      </c>
      <c r="W200" s="3"/>
      <c r="X200" s="3"/>
      <c r="Y200" s="3"/>
      <c r="Z200" s="3"/>
      <c r="AA200" s="3"/>
      <c r="AB200" s="3"/>
      <c r="AC200" s="3"/>
    </row>
    <row r="201">
      <c r="A201" s="1">
        <v>189.0</v>
      </c>
      <c r="B201" s="2">
        <v>1.42021739130434E9</v>
      </c>
      <c r="C201" s="2">
        <v>-101.9456024</v>
      </c>
      <c r="D201" s="3">
        <f t="shared" si="1"/>
        <v>-182608.6957</v>
      </c>
      <c r="E201" s="4">
        <f t="shared" si="2"/>
        <v>37.65014142</v>
      </c>
      <c r="F201" s="3">
        <f t="shared" si="3"/>
        <v>0.0002061793459</v>
      </c>
      <c r="G201" s="3">
        <f t="shared" si="4"/>
        <v>0</v>
      </c>
      <c r="H201" s="2">
        <f t="shared" si="5"/>
        <v>0</v>
      </c>
      <c r="I201" s="3">
        <f t="shared" si="6"/>
        <v>0</v>
      </c>
      <c r="J201" s="3">
        <f t="shared" si="7"/>
        <v>0</v>
      </c>
      <c r="K201" s="3"/>
      <c r="L201" s="3">
        <f t="shared" si="8"/>
        <v>485.8989129</v>
      </c>
      <c r="M201" s="9">
        <f t="shared" si="9"/>
        <v>480.1813043</v>
      </c>
      <c r="N201" s="9">
        <f t="shared" si="10"/>
        <v>5.717608568</v>
      </c>
      <c r="O201" s="3"/>
      <c r="P201" s="3"/>
      <c r="Q201" s="3"/>
      <c r="R201" s="2"/>
      <c r="S201" s="9">
        <f t="shared" si="13"/>
        <v>5.250457837</v>
      </c>
      <c r="W201" s="3"/>
      <c r="X201" s="3"/>
      <c r="Y201" s="3"/>
      <c r="Z201" s="3"/>
      <c r="AA201" s="3"/>
      <c r="AB201" s="3"/>
      <c r="AC201" s="3"/>
    </row>
    <row r="202">
      <c r="A202" s="1">
        <v>190.0</v>
      </c>
      <c r="B202" s="2">
        <v>1.42022173913043E9</v>
      </c>
      <c r="C202" s="2">
        <v>-101.9930573</v>
      </c>
      <c r="D202" s="3">
        <f t="shared" si="1"/>
        <v>-178260.8696</v>
      </c>
      <c r="E202" s="4">
        <f t="shared" si="2"/>
        <v>36.73184529</v>
      </c>
      <c r="F202" s="3">
        <f t="shared" si="3"/>
        <v>0.0002060566931</v>
      </c>
      <c r="G202" s="3">
        <f t="shared" si="4"/>
        <v>0</v>
      </c>
      <c r="H202" s="2">
        <f t="shared" si="5"/>
        <v>0</v>
      </c>
      <c r="I202" s="3">
        <f t="shared" si="6"/>
        <v>0</v>
      </c>
      <c r="J202" s="3">
        <f t="shared" si="7"/>
        <v>0</v>
      </c>
      <c r="K202" s="3"/>
      <c r="L202" s="3">
        <f t="shared" si="8"/>
        <v>480.6184488</v>
      </c>
      <c r="M202" s="9">
        <f t="shared" si="9"/>
        <v>480.0836608</v>
      </c>
      <c r="N202" s="9">
        <f t="shared" si="10"/>
        <v>0.5347879798</v>
      </c>
      <c r="O202" s="3"/>
      <c r="P202" s="3"/>
      <c r="Q202" s="3"/>
      <c r="R202" s="2"/>
      <c r="S202" s="9">
        <f t="shared" si="13"/>
        <v>0.4910937325</v>
      </c>
      <c r="W202" s="3"/>
      <c r="X202" s="3"/>
      <c r="Y202" s="3"/>
      <c r="Z202" s="3"/>
      <c r="AA202" s="3"/>
      <c r="AB202" s="3"/>
      <c r="AC202" s="3"/>
    </row>
    <row r="203">
      <c r="A203" s="1">
        <v>191.0</v>
      </c>
      <c r="B203" s="2">
        <v>1.42022608695652E9</v>
      </c>
      <c r="C203" s="2">
        <v>-101.9748688</v>
      </c>
      <c r="D203" s="3">
        <f t="shared" si="1"/>
        <v>-173913.0435</v>
      </c>
      <c r="E203" s="4">
        <f t="shared" si="2"/>
        <v>35.81354916</v>
      </c>
      <c r="F203" s="3">
        <f t="shared" si="3"/>
        <v>0.0002059279076</v>
      </c>
      <c r="G203" s="3">
        <f t="shared" si="4"/>
        <v>0</v>
      </c>
      <c r="H203" s="2">
        <f t="shared" si="5"/>
        <v>0</v>
      </c>
      <c r="I203" s="3">
        <f t="shared" si="6"/>
        <v>0</v>
      </c>
      <c r="J203" s="3">
        <f t="shared" si="7"/>
        <v>0</v>
      </c>
      <c r="K203" s="3"/>
      <c r="L203" s="3">
        <f t="shared" si="8"/>
        <v>482.635527</v>
      </c>
      <c r="M203" s="9">
        <f t="shared" si="9"/>
        <v>479.9858046</v>
      </c>
      <c r="N203" s="9">
        <f t="shared" si="10"/>
        <v>2.649722403</v>
      </c>
      <c r="O203" s="3"/>
      <c r="P203" s="3"/>
      <c r="Q203" s="3"/>
      <c r="R203" s="2"/>
      <c r="S203" s="9">
        <f t="shared" si="13"/>
        <v>2.433229836</v>
      </c>
      <c r="W203" s="3"/>
      <c r="X203" s="3"/>
      <c r="Y203" s="3"/>
      <c r="Z203" s="3"/>
      <c r="AA203" s="3"/>
      <c r="AB203" s="3"/>
      <c r="AC203" s="3"/>
    </row>
    <row r="204">
      <c r="A204" s="1">
        <v>192.0</v>
      </c>
      <c r="B204" s="2">
        <v>1.4202304347826E9</v>
      </c>
      <c r="C204" s="2">
        <v>-102.0581665</v>
      </c>
      <c r="D204" s="3">
        <f t="shared" si="1"/>
        <v>-169565.2174</v>
      </c>
      <c r="E204" s="4">
        <f t="shared" si="2"/>
        <v>34.89525302</v>
      </c>
      <c r="F204" s="3">
        <f t="shared" si="3"/>
        <v>0.0002057925178</v>
      </c>
      <c r="G204" s="3">
        <f t="shared" si="4"/>
        <v>0</v>
      </c>
      <c r="H204" s="2">
        <f t="shared" si="5"/>
        <v>0</v>
      </c>
      <c r="I204" s="3">
        <f t="shared" si="6"/>
        <v>0</v>
      </c>
      <c r="J204" s="3">
        <f t="shared" si="7"/>
        <v>0</v>
      </c>
      <c r="K204" s="3"/>
      <c r="L204" s="3">
        <f t="shared" si="8"/>
        <v>473.4667849</v>
      </c>
      <c r="M204" s="9">
        <f t="shared" si="9"/>
        <v>479.8877355</v>
      </c>
      <c r="N204" s="9">
        <f t="shared" si="10"/>
        <v>-6.420950605</v>
      </c>
      <c r="O204" s="3"/>
      <c r="P204" s="3"/>
      <c r="Q204" s="3"/>
      <c r="R204" s="2"/>
      <c r="S204" s="9">
        <f t="shared" si="13"/>
        <v>-5.896334109</v>
      </c>
      <c r="W204" s="3"/>
      <c r="X204" s="3"/>
      <c r="Y204" s="3"/>
      <c r="Z204" s="3"/>
      <c r="AA204" s="3"/>
      <c r="AB204" s="3"/>
      <c r="AC204" s="3"/>
    </row>
    <row r="205">
      <c r="A205" s="1">
        <v>193.0</v>
      </c>
      <c r="B205" s="2">
        <v>1.42023478260869E9</v>
      </c>
      <c r="C205" s="2">
        <v>-101.9850464</v>
      </c>
      <c r="D205" s="3">
        <f t="shared" si="1"/>
        <v>-165217.3913</v>
      </c>
      <c r="E205" s="4">
        <f t="shared" si="2"/>
        <v>33.97695689</v>
      </c>
      <c r="F205" s="3">
        <f t="shared" si="3"/>
        <v>0.0002056500022</v>
      </c>
      <c r="G205" s="3">
        <f t="shared" si="4"/>
        <v>0</v>
      </c>
      <c r="H205" s="2">
        <f t="shared" si="5"/>
        <v>0</v>
      </c>
      <c r="I205" s="3">
        <f t="shared" si="6"/>
        <v>0</v>
      </c>
      <c r="J205" s="3">
        <f t="shared" si="7"/>
        <v>0</v>
      </c>
      <c r="K205" s="3"/>
      <c r="L205" s="3">
        <f t="shared" si="8"/>
        <v>481.5058051</v>
      </c>
      <c r="M205" s="9">
        <f t="shared" si="9"/>
        <v>479.7894531</v>
      </c>
      <c r="N205" s="9">
        <f t="shared" si="10"/>
        <v>1.716351958</v>
      </c>
      <c r="O205" s="3"/>
      <c r="P205" s="3"/>
      <c r="Q205" s="3"/>
      <c r="R205" s="2"/>
      <c r="S205" s="9">
        <f t="shared" si="13"/>
        <v>1.576119366</v>
      </c>
      <c r="W205" s="3"/>
      <c r="X205" s="3"/>
      <c r="Y205" s="3"/>
      <c r="Z205" s="3"/>
      <c r="AA205" s="3"/>
      <c r="AB205" s="3"/>
      <c r="AC205" s="3"/>
    </row>
    <row r="206">
      <c r="A206" s="1">
        <v>194.0</v>
      </c>
      <c r="B206" s="2">
        <v>1.42023913043478E9</v>
      </c>
      <c r="C206" s="2">
        <v>-102.0178604</v>
      </c>
      <c r="D206" s="3">
        <f t="shared" si="1"/>
        <v>-160869.5652</v>
      </c>
      <c r="E206" s="4">
        <f t="shared" si="2"/>
        <v>33.05866076</v>
      </c>
      <c r="F206" s="3">
        <f t="shared" si="3"/>
        <v>0.0002054997831</v>
      </c>
      <c r="G206" s="3">
        <f t="shared" si="4"/>
        <v>0</v>
      </c>
      <c r="H206" s="2">
        <f t="shared" si="5"/>
        <v>0</v>
      </c>
      <c r="I206" s="3">
        <f t="shared" si="6"/>
        <v>0</v>
      </c>
      <c r="J206" s="3">
        <f t="shared" si="7"/>
        <v>0</v>
      </c>
      <c r="K206" s="3"/>
      <c r="L206" s="3">
        <f t="shared" si="8"/>
        <v>477.8814001</v>
      </c>
      <c r="M206" s="9">
        <f t="shared" si="9"/>
        <v>479.6909571</v>
      </c>
      <c r="N206" s="9">
        <f t="shared" si="10"/>
        <v>-1.809557011</v>
      </c>
      <c r="O206" s="3"/>
      <c r="P206" s="3"/>
      <c r="Q206" s="3"/>
      <c r="R206" s="2"/>
      <c r="S206" s="9">
        <f t="shared" si="13"/>
        <v>-1.661709202</v>
      </c>
      <c r="W206" s="3"/>
      <c r="X206" s="3"/>
      <c r="Y206" s="3"/>
      <c r="Z206" s="3"/>
      <c r="AA206" s="3"/>
      <c r="AB206" s="3"/>
      <c r="AC206" s="3"/>
    </row>
    <row r="207">
      <c r="A207" s="1">
        <v>195.0</v>
      </c>
      <c r="B207" s="2">
        <v>1.42024347826087E9</v>
      </c>
      <c r="C207" s="2">
        <v>-101.9883575</v>
      </c>
      <c r="D207" s="3">
        <f t="shared" si="1"/>
        <v>-156521.7391</v>
      </c>
      <c r="E207" s="4">
        <f t="shared" si="2"/>
        <v>32.14036463</v>
      </c>
      <c r="F207" s="3">
        <f t="shared" si="3"/>
        <v>0.0002053412184</v>
      </c>
      <c r="G207" s="3">
        <f t="shared" si="4"/>
        <v>0</v>
      </c>
      <c r="H207" s="2">
        <f t="shared" si="5"/>
        <v>0</v>
      </c>
      <c r="I207" s="3">
        <f t="shared" si="6"/>
        <v>0</v>
      </c>
      <c r="J207" s="3">
        <f t="shared" si="7"/>
        <v>0</v>
      </c>
      <c r="K207" s="3"/>
      <c r="L207" s="3">
        <f t="shared" si="8"/>
        <v>481.1388406</v>
      </c>
      <c r="M207" s="9">
        <f t="shared" si="9"/>
        <v>479.592247</v>
      </c>
      <c r="N207" s="9">
        <f t="shared" si="10"/>
        <v>1.546593594</v>
      </c>
      <c r="O207" s="3"/>
      <c r="P207" s="3"/>
      <c r="Q207" s="3"/>
      <c r="R207" s="2"/>
      <c r="S207" s="9">
        <f t="shared" si="13"/>
        <v>1.420230916</v>
      </c>
      <c r="W207" s="3"/>
      <c r="X207" s="3"/>
      <c r="Y207" s="3"/>
      <c r="Z207" s="3"/>
      <c r="AA207" s="3"/>
      <c r="AB207" s="3"/>
      <c r="AC207" s="3"/>
    </row>
    <row r="208">
      <c r="A208" s="1">
        <v>196.0</v>
      </c>
      <c r="B208" s="2">
        <v>1.42024782608695E9</v>
      </c>
      <c r="C208" s="2">
        <v>-102.0221405</v>
      </c>
      <c r="D208" s="3">
        <f t="shared" si="1"/>
        <v>-152173.913</v>
      </c>
      <c r="E208" s="4">
        <f t="shared" si="2"/>
        <v>31.22206849</v>
      </c>
      <c r="F208" s="3">
        <f t="shared" si="3"/>
        <v>0.0002051735929</v>
      </c>
      <c r="G208" s="3">
        <f t="shared" si="4"/>
        <v>0</v>
      </c>
      <c r="H208" s="2">
        <f t="shared" si="5"/>
        <v>0</v>
      </c>
      <c r="I208" s="3">
        <f t="shared" si="6"/>
        <v>0</v>
      </c>
      <c r="J208" s="3">
        <f t="shared" si="7"/>
        <v>0</v>
      </c>
      <c r="K208" s="3"/>
      <c r="L208" s="3">
        <f t="shared" si="8"/>
        <v>477.4106659</v>
      </c>
      <c r="M208" s="9">
        <f t="shared" si="9"/>
        <v>479.4933227</v>
      </c>
      <c r="N208" s="9">
        <f t="shared" si="10"/>
        <v>-2.082656866</v>
      </c>
      <c r="O208" s="3"/>
      <c r="P208" s="3"/>
      <c r="Q208" s="3"/>
      <c r="R208" s="2"/>
      <c r="S208" s="9">
        <f t="shared" si="13"/>
        <v>-1.912495746</v>
      </c>
      <c r="W208" s="3"/>
      <c r="X208" s="3"/>
      <c r="Y208" s="3"/>
      <c r="Z208" s="3"/>
      <c r="AA208" s="3"/>
      <c r="AB208" s="3"/>
      <c r="AC208" s="3"/>
    </row>
    <row r="209">
      <c r="A209" s="1">
        <v>197.0</v>
      </c>
      <c r="B209" s="2">
        <v>1.42025217391304E9</v>
      </c>
      <c r="C209" s="2">
        <v>-102.059761</v>
      </c>
      <c r="D209" s="3">
        <f t="shared" si="1"/>
        <v>-147826.087</v>
      </c>
      <c r="E209" s="4">
        <f t="shared" si="2"/>
        <v>30.30377236</v>
      </c>
      <c r="F209" s="3">
        <f t="shared" si="3"/>
        <v>0.0002049961071</v>
      </c>
      <c r="G209" s="3">
        <f t="shared" si="4"/>
        <v>0</v>
      </c>
      <c r="H209" s="2">
        <f t="shared" si="5"/>
        <v>0</v>
      </c>
      <c r="I209" s="3">
        <f t="shared" si="6"/>
        <v>0</v>
      </c>
      <c r="J209" s="3">
        <f t="shared" si="7"/>
        <v>0</v>
      </c>
      <c r="K209" s="3"/>
      <c r="L209" s="3">
        <f t="shared" si="8"/>
        <v>473.2929848</v>
      </c>
      <c r="M209" s="9">
        <f t="shared" si="9"/>
        <v>479.3941838</v>
      </c>
      <c r="N209" s="9">
        <f t="shared" si="10"/>
        <v>-6.101198943</v>
      </c>
      <c r="O209" s="3"/>
      <c r="P209" s="3"/>
      <c r="Q209" s="3"/>
      <c r="R209" s="2"/>
      <c r="S209" s="9">
        <f t="shared" si="13"/>
        <v>-5.602707382</v>
      </c>
      <c r="W209" s="3"/>
      <c r="X209" s="3"/>
      <c r="Y209" s="3"/>
      <c r="Z209" s="3"/>
      <c r="AA209" s="3"/>
      <c r="AB209" s="3"/>
      <c r="AC209" s="3"/>
    </row>
    <row r="210">
      <c r="A210" s="1">
        <v>198.0</v>
      </c>
      <c r="B210" s="2">
        <v>1.42025652173913E9</v>
      </c>
      <c r="C210" s="2">
        <v>-102.0134659</v>
      </c>
      <c r="D210" s="3">
        <f t="shared" si="1"/>
        <v>-143478.2609</v>
      </c>
      <c r="E210" s="4">
        <f t="shared" si="2"/>
        <v>29.38547623</v>
      </c>
      <c r="F210" s="3">
        <f t="shared" si="3"/>
        <v>0.0002048078646</v>
      </c>
      <c r="G210" s="3">
        <f t="shared" si="4"/>
        <v>0</v>
      </c>
      <c r="H210" s="2">
        <f t="shared" si="5"/>
        <v>0</v>
      </c>
      <c r="I210" s="3">
        <f t="shared" si="6"/>
        <v>0</v>
      </c>
      <c r="J210" s="3">
        <f t="shared" si="7"/>
        <v>0</v>
      </c>
      <c r="K210" s="3"/>
      <c r="L210" s="3">
        <f t="shared" si="8"/>
        <v>478.3651991</v>
      </c>
      <c r="M210" s="9">
        <f t="shared" si="9"/>
        <v>479.2948298</v>
      </c>
      <c r="N210" s="9">
        <f t="shared" si="10"/>
        <v>-0.9296307165</v>
      </c>
      <c r="O210" s="3"/>
      <c r="P210" s="3"/>
      <c r="Q210" s="3"/>
      <c r="R210" s="2"/>
      <c r="S210" s="9">
        <f t="shared" si="13"/>
        <v>-0.8536762919</v>
      </c>
      <c r="W210" s="3"/>
      <c r="X210" s="3"/>
      <c r="Y210" s="3"/>
      <c r="Z210" s="3"/>
      <c r="AA210" s="3"/>
      <c r="AB210" s="3"/>
      <c r="AC210" s="3"/>
    </row>
    <row r="211">
      <c r="A211" s="1">
        <v>199.0</v>
      </c>
      <c r="B211" s="2">
        <v>1.42026086956521E9</v>
      </c>
      <c r="C211" s="2">
        <v>-101.9846878</v>
      </c>
      <c r="D211" s="3">
        <f t="shared" si="1"/>
        <v>-139130.4348</v>
      </c>
      <c r="E211" s="4">
        <f t="shared" si="2"/>
        <v>28.4671801</v>
      </c>
      <c r="F211" s="3">
        <f t="shared" si="3"/>
        <v>0.0002046078569</v>
      </c>
      <c r="G211" s="3">
        <f t="shared" si="4"/>
        <v>0</v>
      </c>
      <c r="H211" s="2">
        <f t="shared" si="5"/>
        <v>0</v>
      </c>
      <c r="I211" s="3">
        <f t="shared" si="6"/>
        <v>0</v>
      </c>
      <c r="J211" s="3">
        <f t="shared" si="7"/>
        <v>0</v>
      </c>
      <c r="K211" s="3"/>
      <c r="L211" s="3">
        <f t="shared" si="8"/>
        <v>481.545565</v>
      </c>
      <c r="M211" s="9">
        <f t="shared" si="9"/>
        <v>479.1952606</v>
      </c>
      <c r="N211" s="9">
        <f t="shared" si="10"/>
        <v>2.350304381</v>
      </c>
      <c r="O211" s="3"/>
      <c r="P211" s="3"/>
      <c r="Q211" s="3"/>
      <c r="R211" s="2"/>
      <c r="S211" s="9">
        <f t="shared" si="13"/>
        <v>2.158275424</v>
      </c>
      <c r="W211" s="3"/>
      <c r="X211" s="3"/>
      <c r="Y211" s="3"/>
      <c r="Z211" s="3"/>
      <c r="AA211" s="3"/>
      <c r="AB211" s="3"/>
      <c r="AC211" s="3"/>
    </row>
    <row r="212">
      <c r="A212" s="1">
        <v>200.0</v>
      </c>
      <c r="B212" s="2">
        <v>1.4202652173913E9</v>
      </c>
      <c r="C212" s="2">
        <v>-102.0146484</v>
      </c>
      <c r="D212" s="3">
        <f t="shared" si="1"/>
        <v>-134782.6087</v>
      </c>
      <c r="E212" s="4">
        <f t="shared" si="2"/>
        <v>27.54888396</v>
      </c>
      <c r="F212" s="3">
        <f t="shared" si="3"/>
        <v>0.0002043949455</v>
      </c>
      <c r="G212" s="3">
        <f t="shared" si="4"/>
        <v>0</v>
      </c>
      <c r="H212" s="2">
        <f t="shared" si="5"/>
        <v>0</v>
      </c>
      <c r="I212" s="3">
        <f t="shared" si="6"/>
        <v>0</v>
      </c>
      <c r="J212" s="3">
        <f t="shared" si="7"/>
        <v>0</v>
      </c>
      <c r="K212" s="3"/>
      <c r="L212" s="3">
        <f t="shared" si="8"/>
        <v>478.2349672</v>
      </c>
      <c r="M212" s="9">
        <f t="shared" si="9"/>
        <v>479.0954757</v>
      </c>
      <c r="N212" s="9">
        <f t="shared" si="10"/>
        <v>-0.8605084799</v>
      </c>
      <c r="O212" s="3"/>
      <c r="P212" s="3"/>
      <c r="Q212" s="3"/>
      <c r="R212" s="2"/>
      <c r="S212" s="9">
        <f t="shared" si="13"/>
        <v>-0.7902016075</v>
      </c>
      <c r="W212" s="3"/>
      <c r="X212" s="3"/>
      <c r="Y212" s="3"/>
      <c r="Z212" s="3"/>
      <c r="AA212" s="3"/>
      <c r="AB212" s="3"/>
      <c r="AC212" s="3"/>
    </row>
    <row r="213">
      <c r="A213" s="1">
        <v>201.0</v>
      </c>
      <c r="B213" s="2">
        <v>1.42026956521739E9</v>
      </c>
      <c r="C213" s="2">
        <v>-102.0394669</v>
      </c>
      <c r="D213" s="3">
        <f t="shared" si="1"/>
        <v>-130434.7826</v>
      </c>
      <c r="E213" s="4">
        <f t="shared" si="2"/>
        <v>26.63058783</v>
      </c>
      <c r="F213" s="3">
        <f t="shared" si="3"/>
        <v>0.0002041678401</v>
      </c>
      <c r="G213" s="3">
        <f t="shared" si="4"/>
        <v>0</v>
      </c>
      <c r="H213" s="2">
        <f t="shared" si="5"/>
        <v>0</v>
      </c>
      <c r="I213" s="3">
        <f t="shared" si="6"/>
        <v>0</v>
      </c>
      <c r="J213" s="3">
        <f t="shared" si="7"/>
        <v>0</v>
      </c>
      <c r="K213" s="3"/>
      <c r="L213" s="3">
        <f t="shared" si="8"/>
        <v>475.509806</v>
      </c>
      <c r="M213" s="9">
        <f t="shared" si="9"/>
        <v>478.9954749</v>
      </c>
      <c r="N213" s="9">
        <f t="shared" si="10"/>
        <v>-3.485668924</v>
      </c>
      <c r="O213" s="3"/>
      <c r="P213" s="3"/>
      <c r="Q213" s="3"/>
      <c r="R213" s="2"/>
      <c r="S213" s="9">
        <f t="shared" si="13"/>
        <v>-3.200876293</v>
      </c>
      <c r="W213" s="3"/>
      <c r="X213" s="3"/>
      <c r="Y213" s="3"/>
      <c r="Z213" s="3"/>
      <c r="AA213" s="3"/>
      <c r="AB213" s="3"/>
      <c r="AC213" s="3"/>
    </row>
    <row r="214">
      <c r="A214" s="1">
        <v>202.0</v>
      </c>
      <c r="B214" s="2">
        <v>1.42027391304347E9</v>
      </c>
      <c r="C214" s="2">
        <v>-102.0042572</v>
      </c>
      <c r="D214" s="3">
        <f t="shared" si="1"/>
        <v>-126086.9565</v>
      </c>
      <c r="E214" s="4">
        <f t="shared" si="2"/>
        <v>25.7122917</v>
      </c>
      <c r="F214" s="3">
        <f t="shared" si="3"/>
        <v>0.0002039250721</v>
      </c>
      <c r="G214" s="3">
        <f t="shared" si="4"/>
        <v>0</v>
      </c>
      <c r="H214" s="2">
        <f t="shared" si="5"/>
        <v>0</v>
      </c>
      <c r="I214" s="3">
        <f t="shared" si="6"/>
        <v>0</v>
      </c>
      <c r="J214" s="3">
        <f t="shared" si="7"/>
        <v>0</v>
      </c>
      <c r="K214" s="3"/>
      <c r="L214" s="3">
        <f t="shared" si="8"/>
        <v>479.380592</v>
      </c>
      <c r="M214" s="9">
        <f t="shared" si="9"/>
        <v>478.8952577</v>
      </c>
      <c r="N214" s="9">
        <f t="shared" si="10"/>
        <v>0.4853342658</v>
      </c>
      <c r="O214" s="3"/>
      <c r="P214" s="3"/>
      <c r="Q214" s="3"/>
      <c r="R214" s="2"/>
      <c r="S214" s="9">
        <f t="shared" si="13"/>
        <v>0.4456805794</v>
      </c>
      <c r="W214" s="3"/>
      <c r="X214" s="3"/>
      <c r="Y214" s="3"/>
      <c r="Z214" s="3"/>
      <c r="AA214" s="3"/>
      <c r="AB214" s="3"/>
      <c r="AC214" s="3"/>
    </row>
    <row r="215">
      <c r="A215" s="1">
        <v>203.0</v>
      </c>
      <c r="B215" s="2">
        <v>1.42027826086956E9</v>
      </c>
      <c r="C215" s="2">
        <v>-102.0000763</v>
      </c>
      <c r="D215" s="3">
        <f t="shared" si="1"/>
        <v>-121739.1304</v>
      </c>
      <c r="E215" s="4">
        <f t="shared" si="2"/>
        <v>24.79399557</v>
      </c>
      <c r="F215" s="3">
        <f t="shared" si="3"/>
        <v>0.0002036649636</v>
      </c>
      <c r="G215" s="3">
        <f t="shared" si="4"/>
        <v>0</v>
      </c>
      <c r="H215" s="2">
        <f t="shared" si="5"/>
        <v>0</v>
      </c>
      <c r="I215" s="3">
        <f t="shared" si="6"/>
        <v>0</v>
      </c>
      <c r="J215" s="3">
        <f t="shared" si="7"/>
        <v>0</v>
      </c>
      <c r="K215" s="3"/>
      <c r="L215" s="3">
        <f t="shared" si="8"/>
        <v>479.842308</v>
      </c>
      <c r="M215" s="9">
        <f t="shared" si="9"/>
        <v>478.7948239</v>
      </c>
      <c r="N215" s="9">
        <f t="shared" si="10"/>
        <v>1.047484122</v>
      </c>
      <c r="O215" s="3"/>
      <c r="P215" s="3"/>
      <c r="Q215" s="3"/>
      <c r="R215" s="2"/>
      <c r="S215" s="9">
        <f t="shared" si="13"/>
        <v>0.961900616</v>
      </c>
      <c r="W215" s="3"/>
      <c r="X215" s="3"/>
      <c r="Y215" s="3"/>
      <c r="Z215" s="3"/>
      <c r="AA215" s="3"/>
      <c r="AB215" s="3"/>
      <c r="AC215" s="3"/>
    </row>
    <row r="216">
      <c r="A216" s="1">
        <v>204.0</v>
      </c>
      <c r="B216" s="2">
        <v>1.42028260869565E9</v>
      </c>
      <c r="C216" s="2">
        <v>-101.950592</v>
      </c>
      <c r="D216" s="3">
        <f t="shared" si="1"/>
        <v>-117391.3043</v>
      </c>
      <c r="E216" s="4">
        <f t="shared" si="2"/>
        <v>23.87569944</v>
      </c>
      <c r="F216" s="3">
        <f t="shared" si="3"/>
        <v>0.0002033855878</v>
      </c>
      <c r="G216" s="3">
        <f t="shared" si="4"/>
        <v>0</v>
      </c>
      <c r="H216" s="2">
        <f t="shared" si="5"/>
        <v>0</v>
      </c>
      <c r="I216" s="3">
        <f t="shared" si="6"/>
        <v>0</v>
      </c>
      <c r="J216" s="3">
        <f t="shared" si="7"/>
        <v>0</v>
      </c>
      <c r="K216" s="3"/>
      <c r="L216" s="3">
        <f t="shared" si="8"/>
        <v>485.3409852</v>
      </c>
      <c r="M216" s="9">
        <f t="shared" si="9"/>
        <v>478.6941731</v>
      </c>
      <c r="N216" s="9">
        <f t="shared" si="10"/>
        <v>6.646812051</v>
      </c>
      <c r="O216" s="3"/>
      <c r="P216" s="3"/>
      <c r="Q216" s="3"/>
      <c r="R216" s="2"/>
      <c r="S216" s="9">
        <f t="shared" si="13"/>
        <v>6.103741802</v>
      </c>
      <c r="W216" s="3"/>
      <c r="X216" s="3"/>
      <c r="Y216" s="3"/>
      <c r="Z216" s="3"/>
      <c r="AA216" s="3"/>
      <c r="AB216" s="3"/>
      <c r="AC216" s="3"/>
    </row>
    <row r="217">
      <c r="A217" s="1">
        <v>205.0</v>
      </c>
      <c r="B217" s="2">
        <v>1.42028695652173E9</v>
      </c>
      <c r="C217" s="2">
        <v>-101.992157</v>
      </c>
      <c r="D217" s="3">
        <f t="shared" si="1"/>
        <v>-113043.4783</v>
      </c>
      <c r="E217" s="4">
        <f t="shared" si="2"/>
        <v>22.9574033</v>
      </c>
      <c r="F217" s="3">
        <f t="shared" si="3"/>
        <v>0.0002030847215</v>
      </c>
      <c r="G217" s="3">
        <f t="shared" si="4"/>
        <v>0</v>
      </c>
      <c r="H217" s="2">
        <f t="shared" si="5"/>
        <v>0</v>
      </c>
      <c r="I217" s="3">
        <f t="shared" si="6"/>
        <v>0</v>
      </c>
      <c r="J217" s="3">
        <f t="shared" si="7"/>
        <v>0</v>
      </c>
      <c r="K217" s="3"/>
      <c r="L217" s="3">
        <f t="shared" si="8"/>
        <v>480.7180921</v>
      </c>
      <c r="M217" s="9">
        <f t="shared" si="9"/>
        <v>478.5933051</v>
      </c>
      <c r="N217" s="9">
        <f t="shared" si="10"/>
        <v>2.124787063</v>
      </c>
      <c r="O217" s="3"/>
      <c r="P217" s="3"/>
      <c r="Q217" s="3"/>
      <c r="R217" s="2"/>
      <c r="S217" s="9">
        <f t="shared" si="13"/>
        <v>1.951183743</v>
      </c>
      <c r="W217" s="3"/>
      <c r="X217" s="3"/>
      <c r="Y217" s="3"/>
      <c r="Z217" s="3"/>
      <c r="AA217" s="3"/>
      <c r="AB217" s="3"/>
      <c r="AC217" s="3"/>
    </row>
    <row r="218">
      <c r="A218" s="1">
        <v>206.0</v>
      </c>
      <c r="B218" s="2">
        <v>1.42029130434782E9</v>
      </c>
      <c r="C218" s="2">
        <v>-102.0374908</v>
      </c>
      <c r="D218" s="3">
        <f t="shared" si="1"/>
        <v>-108695.6522</v>
      </c>
      <c r="E218" s="4">
        <f t="shared" si="2"/>
        <v>22.03910717</v>
      </c>
      <c r="F218" s="3">
        <f t="shared" si="3"/>
        <v>0.000202759786</v>
      </c>
      <c r="G218" s="3">
        <f t="shared" si="4"/>
        <v>0</v>
      </c>
      <c r="H218" s="2">
        <f t="shared" si="5"/>
        <v>0</v>
      </c>
      <c r="I218" s="3">
        <f t="shared" si="6"/>
        <v>0</v>
      </c>
      <c r="J218" s="3">
        <f t="shared" si="7"/>
        <v>0</v>
      </c>
      <c r="K218" s="3"/>
      <c r="L218" s="3">
        <f t="shared" si="8"/>
        <v>475.7262187</v>
      </c>
      <c r="M218" s="9">
        <f t="shared" si="9"/>
        <v>478.4922193</v>
      </c>
      <c r="N218" s="9">
        <f t="shared" si="10"/>
        <v>-2.766000602</v>
      </c>
      <c r="O218" s="3"/>
      <c r="P218" s="3"/>
      <c r="Q218" s="3"/>
      <c r="R218" s="2"/>
      <c r="S218" s="9">
        <f t="shared" si="13"/>
        <v>-2.540007656</v>
      </c>
      <c r="W218" s="3"/>
      <c r="X218" s="3"/>
      <c r="Y218" s="3"/>
      <c r="Z218" s="3"/>
      <c r="AA218" s="3"/>
      <c r="AB218" s="3"/>
      <c r="AC218" s="3"/>
    </row>
    <row r="219">
      <c r="A219" s="1">
        <v>207.0</v>
      </c>
      <c r="B219" s="2">
        <v>1.42029565217391E9</v>
      </c>
      <c r="C219" s="2">
        <v>-102.0113449</v>
      </c>
      <c r="D219" s="3">
        <f t="shared" si="1"/>
        <v>-104347.8261</v>
      </c>
      <c r="E219" s="4">
        <f t="shared" si="2"/>
        <v>21.12081104</v>
      </c>
      <c r="F219" s="3">
        <f t="shared" si="3"/>
        <v>0.0002024077725</v>
      </c>
      <c r="G219" s="3">
        <f t="shared" si="4"/>
        <v>0</v>
      </c>
      <c r="H219" s="2">
        <f t="shared" si="5"/>
        <v>0</v>
      </c>
      <c r="I219" s="3">
        <f t="shared" si="6"/>
        <v>0</v>
      </c>
      <c r="J219" s="3">
        <f t="shared" si="7"/>
        <v>0</v>
      </c>
      <c r="K219" s="3"/>
      <c r="L219" s="3">
        <f t="shared" si="8"/>
        <v>478.5988794</v>
      </c>
      <c r="M219" s="9">
        <f t="shared" si="9"/>
        <v>478.3909156</v>
      </c>
      <c r="N219" s="9">
        <f t="shared" si="10"/>
        <v>0.2079637381</v>
      </c>
      <c r="O219" s="3"/>
      <c r="P219" s="3"/>
      <c r="Q219" s="3"/>
      <c r="R219" s="2"/>
      <c r="S219" s="9">
        <f t="shared" si="13"/>
        <v>0.190972296</v>
      </c>
      <c r="W219" s="3"/>
      <c r="X219" s="3"/>
      <c r="Y219" s="3"/>
      <c r="Z219" s="3"/>
      <c r="AA219" s="3"/>
      <c r="AB219" s="3"/>
      <c r="AC219" s="3"/>
    </row>
    <row r="220">
      <c r="A220" s="1">
        <v>208.0</v>
      </c>
      <c r="B220" s="2">
        <v>1.4203E9</v>
      </c>
      <c r="C220" s="2">
        <v>-101.9715958</v>
      </c>
      <c r="D220" s="3">
        <f t="shared" si="1"/>
        <v>-100000</v>
      </c>
      <c r="E220" s="4">
        <f t="shared" si="2"/>
        <v>20.20251491</v>
      </c>
      <c r="F220" s="3">
        <f t="shared" si="3"/>
        <v>0.0002020251491</v>
      </c>
      <c r="G220" s="3">
        <f t="shared" si="4"/>
        <v>0</v>
      </c>
      <c r="H220" s="2">
        <f t="shared" si="5"/>
        <v>0</v>
      </c>
      <c r="I220" s="3">
        <f t="shared" si="6"/>
        <v>0</v>
      </c>
      <c r="J220" s="3">
        <f t="shared" si="7"/>
        <v>0</v>
      </c>
      <c r="K220" s="3"/>
      <c r="L220" s="3">
        <f t="shared" si="8"/>
        <v>482.9993957</v>
      </c>
      <c r="M220" s="9">
        <f t="shared" si="9"/>
        <v>478.2893936</v>
      </c>
      <c r="N220" s="9">
        <f t="shared" si="10"/>
        <v>4.710002086</v>
      </c>
      <c r="O220" s="3"/>
      <c r="P220" s="3"/>
      <c r="Q220" s="3"/>
      <c r="R220" s="2"/>
      <c r="S220" s="9">
        <f t="shared" si="13"/>
        <v>4.325176701</v>
      </c>
      <c r="W220" s="3"/>
      <c r="X220" s="3"/>
      <c r="Y220" s="3"/>
      <c r="Z220" s="3"/>
      <c r="AA220" s="3"/>
      <c r="AB220" s="3"/>
      <c r="AC220" s="3"/>
    </row>
    <row r="221">
      <c r="A221" s="1">
        <v>209.0</v>
      </c>
      <c r="B221" s="2">
        <v>1.42030434782608E9</v>
      </c>
      <c r="C221" s="2">
        <v>-101.9384155</v>
      </c>
      <c r="D221" s="3">
        <f t="shared" si="1"/>
        <v>-95652.17392</v>
      </c>
      <c r="E221" s="4">
        <f t="shared" si="2"/>
        <v>19.28421878</v>
      </c>
      <c r="F221" s="3">
        <f t="shared" si="3"/>
        <v>0.0002016077417</v>
      </c>
      <c r="G221" s="3">
        <f t="shared" si="4"/>
        <v>0</v>
      </c>
      <c r="H221" s="2">
        <f t="shared" si="5"/>
        <v>0</v>
      </c>
      <c r="I221" s="3">
        <f t="shared" si="6"/>
        <v>0</v>
      </c>
      <c r="J221" s="3">
        <f t="shared" si="7"/>
        <v>0</v>
      </c>
      <c r="K221" s="3"/>
      <c r="L221" s="3">
        <f t="shared" si="8"/>
        <v>486.7036659</v>
      </c>
      <c r="M221" s="9">
        <f t="shared" si="9"/>
        <v>478.1876529</v>
      </c>
      <c r="N221" s="9">
        <f t="shared" si="10"/>
        <v>8.516012934</v>
      </c>
      <c r="O221" s="3"/>
      <c r="P221" s="3"/>
      <c r="Q221" s="3"/>
      <c r="R221" s="2"/>
      <c r="S221" s="9">
        <f t="shared" si="13"/>
        <v>7.820221744</v>
      </c>
      <c r="W221" s="3"/>
      <c r="X221" s="3"/>
      <c r="Y221" s="3"/>
      <c r="Z221" s="3"/>
      <c r="AA221" s="3"/>
      <c r="AB221" s="3"/>
      <c r="AC221" s="3"/>
    </row>
    <row r="222">
      <c r="A222" s="1">
        <v>210.0</v>
      </c>
      <c r="B222" s="2">
        <v>1.42030869565217E9</v>
      </c>
      <c r="C222" s="2">
        <v>-101.9983368</v>
      </c>
      <c r="D222" s="3">
        <f t="shared" si="1"/>
        <v>-91304.34783</v>
      </c>
      <c r="E222" s="4">
        <f t="shared" si="2"/>
        <v>18.36592264</v>
      </c>
      <c r="F222" s="3">
        <f t="shared" si="3"/>
        <v>0.0002011505813</v>
      </c>
      <c r="G222" s="3">
        <f t="shared" si="4"/>
        <v>0</v>
      </c>
      <c r="H222" s="2">
        <f t="shared" si="5"/>
        <v>0</v>
      </c>
      <c r="I222" s="3">
        <f t="shared" si="6"/>
        <v>0</v>
      </c>
      <c r="J222" s="3">
        <f t="shared" si="7"/>
        <v>0</v>
      </c>
      <c r="K222" s="3"/>
      <c r="L222" s="3">
        <f t="shared" si="8"/>
        <v>480.03454</v>
      </c>
      <c r="M222" s="9">
        <f t="shared" si="9"/>
        <v>478.0856933</v>
      </c>
      <c r="N222" s="9">
        <f t="shared" si="10"/>
        <v>1.948846733</v>
      </c>
      <c r="O222" s="3"/>
      <c r="P222" s="3"/>
      <c r="Q222" s="3"/>
      <c r="R222" s="2"/>
      <c r="S222" s="9">
        <f t="shared" si="13"/>
        <v>1.789618414</v>
      </c>
      <c r="W222" s="3"/>
      <c r="X222" s="3"/>
      <c r="Y222" s="3"/>
      <c r="Z222" s="3"/>
      <c r="AA222" s="3"/>
      <c r="AB222" s="3"/>
      <c r="AC222" s="3"/>
    </row>
    <row r="223">
      <c r="A223" s="1">
        <v>211.0</v>
      </c>
      <c r="B223" s="2">
        <v>1.42031304347826E9</v>
      </c>
      <c r="C223" s="2">
        <v>-101.9714127</v>
      </c>
      <c r="D223" s="3">
        <f t="shared" si="1"/>
        <v>-86956.52174</v>
      </c>
      <c r="E223" s="4">
        <f t="shared" si="2"/>
        <v>17.44762651</v>
      </c>
      <c r="F223" s="3">
        <f t="shared" si="3"/>
        <v>0.0002006477049</v>
      </c>
      <c r="G223" s="3">
        <f t="shared" si="4"/>
        <v>0</v>
      </c>
      <c r="H223" s="2">
        <f t="shared" si="5"/>
        <v>0</v>
      </c>
      <c r="I223" s="3">
        <f t="shared" si="6"/>
        <v>0</v>
      </c>
      <c r="J223" s="3">
        <f t="shared" si="7"/>
        <v>0</v>
      </c>
      <c r="K223" s="3"/>
      <c r="L223" s="3">
        <f t="shared" si="8"/>
        <v>483.0197595</v>
      </c>
      <c r="M223" s="9">
        <f t="shared" si="9"/>
        <v>477.9835143</v>
      </c>
      <c r="N223" s="9">
        <f t="shared" si="10"/>
        <v>5.036245206</v>
      </c>
      <c r="O223" s="3"/>
      <c r="P223" s="3"/>
      <c r="Q223" s="3"/>
      <c r="R223" s="2"/>
      <c r="S223" s="9">
        <f t="shared" si="13"/>
        <v>4.624764496</v>
      </c>
      <c r="W223" s="3"/>
      <c r="X223" s="3"/>
      <c r="Y223" s="3"/>
      <c r="Z223" s="3"/>
      <c r="AA223" s="3"/>
      <c r="AB223" s="3"/>
      <c r="AC223" s="3"/>
    </row>
    <row r="224">
      <c r="A224" s="1">
        <v>212.0</v>
      </c>
      <c r="B224" s="2">
        <v>1.42031739130434E9</v>
      </c>
      <c r="C224" s="2">
        <v>-101.9700089</v>
      </c>
      <c r="D224" s="3">
        <f t="shared" si="1"/>
        <v>-82608.69566</v>
      </c>
      <c r="E224" s="4">
        <f t="shared" si="2"/>
        <v>16.52933038</v>
      </c>
      <c r="F224" s="3">
        <f t="shared" si="3"/>
        <v>0.000200091894</v>
      </c>
      <c r="G224" s="3">
        <f t="shared" si="4"/>
        <v>0</v>
      </c>
      <c r="H224" s="2">
        <f t="shared" si="5"/>
        <v>0</v>
      </c>
      <c r="I224" s="3">
        <f t="shared" si="6"/>
        <v>0</v>
      </c>
      <c r="J224" s="3">
        <f t="shared" si="7"/>
        <v>0</v>
      </c>
      <c r="K224" s="3"/>
      <c r="L224" s="3">
        <f t="shared" si="8"/>
        <v>483.1759146</v>
      </c>
      <c r="M224" s="9">
        <f t="shared" si="9"/>
        <v>477.8811157</v>
      </c>
      <c r="N224" s="9">
        <f t="shared" si="10"/>
        <v>5.294798859</v>
      </c>
      <c r="O224" s="3"/>
      <c r="P224" s="3"/>
      <c r="Q224" s="3"/>
      <c r="R224" s="2"/>
      <c r="S224" s="9">
        <f t="shared" si="13"/>
        <v>4.862193317</v>
      </c>
      <c r="W224" s="3"/>
      <c r="X224" s="3"/>
      <c r="Y224" s="3"/>
      <c r="Z224" s="3"/>
      <c r="AA224" s="3"/>
      <c r="AB224" s="3"/>
      <c r="AC224" s="3"/>
    </row>
    <row r="225">
      <c r="A225" s="1">
        <v>213.0</v>
      </c>
      <c r="B225" s="2">
        <v>1.42032173913043E9</v>
      </c>
      <c r="C225" s="2">
        <v>-101.9723358</v>
      </c>
      <c r="D225" s="3">
        <f t="shared" si="1"/>
        <v>-78260.86957</v>
      </c>
      <c r="E225" s="4">
        <f t="shared" si="2"/>
        <v>15.61103425</v>
      </c>
      <c r="F225" s="3">
        <f t="shared" si="3"/>
        <v>0.0001994743265</v>
      </c>
      <c r="G225" s="3">
        <f t="shared" si="4"/>
        <v>0</v>
      </c>
      <c r="H225" s="2">
        <f t="shared" si="5"/>
        <v>0</v>
      </c>
      <c r="I225" s="3">
        <f t="shared" si="6"/>
        <v>0</v>
      </c>
      <c r="J225" s="3">
        <f t="shared" si="7"/>
        <v>0</v>
      </c>
      <c r="K225" s="3"/>
      <c r="L225" s="3">
        <f t="shared" si="8"/>
        <v>482.9171038</v>
      </c>
      <c r="M225" s="9">
        <f t="shared" si="9"/>
        <v>477.7784971</v>
      </c>
      <c r="N225" s="9">
        <f t="shared" si="10"/>
        <v>5.138606682</v>
      </c>
      <c r="O225" s="3"/>
      <c r="P225" s="3"/>
      <c r="Q225" s="3"/>
      <c r="R225" s="2"/>
      <c r="S225" s="9">
        <f t="shared" si="13"/>
        <v>4.718762633</v>
      </c>
      <c r="W225" s="3"/>
      <c r="X225" s="3"/>
      <c r="Y225" s="3"/>
      <c r="Z225" s="3"/>
      <c r="AA225" s="3"/>
      <c r="AB225" s="3"/>
      <c r="AC225" s="3"/>
    </row>
    <row r="226">
      <c r="A226" s="1">
        <v>214.0</v>
      </c>
      <c r="B226" s="2">
        <v>1.42032608695652E9</v>
      </c>
      <c r="C226" s="2">
        <v>-101.952034</v>
      </c>
      <c r="D226" s="3">
        <f t="shared" si="1"/>
        <v>-73913.04348</v>
      </c>
      <c r="E226" s="4">
        <f t="shared" si="2"/>
        <v>14.69273812</v>
      </c>
      <c r="F226" s="3">
        <f t="shared" si="3"/>
        <v>0.0001987841039</v>
      </c>
      <c r="G226" s="3">
        <f t="shared" si="4"/>
        <v>0</v>
      </c>
      <c r="H226" s="2">
        <f t="shared" si="5"/>
        <v>0</v>
      </c>
      <c r="I226" s="3">
        <f t="shared" si="6"/>
        <v>0</v>
      </c>
      <c r="J226" s="3">
        <f t="shared" si="7"/>
        <v>0</v>
      </c>
      <c r="K226" s="3"/>
      <c r="L226" s="3">
        <f t="shared" si="8"/>
        <v>485.1798628</v>
      </c>
      <c r="M226" s="9">
        <f t="shared" si="9"/>
        <v>477.6756582</v>
      </c>
      <c r="N226" s="9">
        <f t="shared" si="10"/>
        <v>7.50420462</v>
      </c>
      <c r="O226" s="3"/>
      <c r="P226" s="3"/>
      <c r="Q226" s="3"/>
      <c r="R226" s="2"/>
      <c r="S226" s="9">
        <f t="shared" si="13"/>
        <v>6.891082082</v>
      </c>
      <c r="W226" s="3"/>
      <c r="X226" s="3"/>
      <c r="Y226" s="3"/>
      <c r="Z226" s="3"/>
      <c r="AA226" s="3"/>
      <c r="AB226" s="3"/>
      <c r="AC226" s="3"/>
    </row>
    <row r="227">
      <c r="A227" s="1">
        <v>215.0</v>
      </c>
      <c r="B227" s="2">
        <v>1.4203304347826E9</v>
      </c>
      <c r="C227" s="2">
        <v>-101.9854736</v>
      </c>
      <c r="D227" s="3">
        <f t="shared" si="1"/>
        <v>-69565.2174</v>
      </c>
      <c r="E227" s="4">
        <f t="shared" si="2"/>
        <v>13.77444198</v>
      </c>
      <c r="F227" s="3">
        <f t="shared" si="3"/>
        <v>0.0001980076035</v>
      </c>
      <c r="G227" s="3">
        <f t="shared" si="4"/>
        <v>0</v>
      </c>
      <c r="H227" s="2">
        <f t="shared" si="5"/>
        <v>0</v>
      </c>
      <c r="I227" s="3">
        <f t="shared" si="6"/>
        <v>0</v>
      </c>
      <c r="J227" s="3">
        <f t="shared" si="7"/>
        <v>0</v>
      </c>
      <c r="K227" s="3"/>
      <c r="L227" s="3">
        <f t="shared" si="8"/>
        <v>481.4584434</v>
      </c>
      <c r="M227" s="9">
        <f t="shared" si="9"/>
        <v>477.5725987</v>
      </c>
      <c r="N227" s="9">
        <f t="shared" si="10"/>
        <v>3.885844734</v>
      </c>
      <c r="O227" s="3"/>
      <c r="P227" s="3"/>
      <c r="Q227" s="3"/>
      <c r="R227" s="2"/>
      <c r="S227" s="9">
        <f t="shared" si="13"/>
        <v>3.568356192</v>
      </c>
      <c r="W227" s="3"/>
      <c r="X227" s="3"/>
      <c r="Y227" s="3"/>
      <c r="Z227" s="3"/>
      <c r="AA227" s="3"/>
      <c r="AB227" s="3"/>
      <c r="AC227" s="3"/>
    </row>
    <row r="228">
      <c r="A228" s="1">
        <v>216.0</v>
      </c>
      <c r="B228" s="2">
        <v>1.42033478260869E9</v>
      </c>
      <c r="C228" s="2">
        <v>-102.0182266</v>
      </c>
      <c r="D228" s="3">
        <f t="shared" si="1"/>
        <v>-65217.39131</v>
      </c>
      <c r="E228" s="4">
        <f t="shared" si="2"/>
        <v>12.85614585</v>
      </c>
      <c r="F228" s="3">
        <f t="shared" si="3"/>
        <v>0.0001971275697</v>
      </c>
      <c r="G228" s="3">
        <f t="shared" si="4"/>
        <v>0</v>
      </c>
      <c r="H228" s="2">
        <f t="shared" si="5"/>
        <v>0</v>
      </c>
      <c r="I228" s="3">
        <f t="shared" si="6"/>
        <v>0</v>
      </c>
      <c r="J228" s="3">
        <f t="shared" si="7"/>
        <v>0</v>
      </c>
      <c r="K228" s="3"/>
      <c r="L228" s="3">
        <f t="shared" si="8"/>
        <v>477.8411065</v>
      </c>
      <c r="M228" s="9">
        <f t="shared" si="9"/>
        <v>477.4693181</v>
      </c>
      <c r="N228" s="9">
        <f t="shared" si="10"/>
        <v>0.3717883631</v>
      </c>
      <c r="O228" s="3"/>
      <c r="P228" s="3"/>
      <c r="Q228" s="3"/>
      <c r="R228" s="2"/>
      <c r="S228" s="9">
        <f t="shared" si="13"/>
        <v>0.3414118161</v>
      </c>
      <c r="W228" s="3"/>
      <c r="X228" s="3"/>
      <c r="Y228" s="3"/>
      <c r="Z228" s="3"/>
      <c r="AA228" s="3"/>
      <c r="AB228" s="3"/>
      <c r="AC228" s="3"/>
    </row>
    <row r="229">
      <c r="A229" s="1">
        <v>217.0</v>
      </c>
      <c r="B229" s="2">
        <v>1.42033913043478E9</v>
      </c>
      <c r="C229" s="2">
        <v>-101.9781189</v>
      </c>
      <c r="D229" s="3">
        <f t="shared" si="1"/>
        <v>-60869.56522</v>
      </c>
      <c r="E229" s="4">
        <f t="shared" si="2"/>
        <v>11.93784972</v>
      </c>
      <c r="F229" s="3">
        <f t="shared" si="3"/>
        <v>0.0001961218168</v>
      </c>
      <c r="G229" s="3">
        <f t="shared" si="4"/>
        <v>0</v>
      </c>
      <c r="H229" s="2">
        <f t="shared" si="5"/>
        <v>0</v>
      </c>
      <c r="I229" s="3">
        <f t="shared" si="6"/>
        <v>0</v>
      </c>
      <c r="J229" s="3">
        <f t="shared" si="7"/>
        <v>0</v>
      </c>
      <c r="K229" s="3"/>
      <c r="L229" s="3">
        <f t="shared" si="8"/>
        <v>482.2744755</v>
      </c>
      <c r="M229" s="9">
        <f t="shared" si="9"/>
        <v>477.3658162</v>
      </c>
      <c r="N229" s="9">
        <f t="shared" si="10"/>
        <v>4.908659248</v>
      </c>
      <c r="O229" s="3"/>
      <c r="P229" s="3"/>
      <c r="Q229" s="3"/>
      <c r="R229" s="2"/>
      <c r="S229" s="9">
        <f t="shared" si="13"/>
        <v>4.507602794</v>
      </c>
      <c r="W229" s="3"/>
      <c r="X229" s="3"/>
      <c r="Y229" s="3"/>
      <c r="Z229" s="3"/>
      <c r="AA229" s="3"/>
      <c r="AB229" s="3"/>
      <c r="AC229" s="3"/>
    </row>
    <row r="230">
      <c r="A230" s="1">
        <v>218.0</v>
      </c>
      <c r="B230" s="2">
        <v>1.42034347826087E9</v>
      </c>
      <c r="C230" s="2">
        <v>-102.0078583</v>
      </c>
      <c r="D230" s="3">
        <f t="shared" si="1"/>
        <v>-56521.73913</v>
      </c>
      <c r="E230" s="4">
        <f t="shared" si="2"/>
        <v>11.01955359</v>
      </c>
      <c r="F230" s="3">
        <f t="shared" si="3"/>
        <v>0.0001949613327</v>
      </c>
      <c r="G230" s="3">
        <f t="shared" si="4"/>
        <v>0</v>
      </c>
      <c r="H230" s="2">
        <f t="shared" si="5"/>
        <v>0</v>
      </c>
      <c r="I230" s="3">
        <f t="shared" si="6"/>
        <v>0</v>
      </c>
      <c r="J230" s="3">
        <f t="shared" si="7"/>
        <v>0</v>
      </c>
      <c r="K230" s="3"/>
      <c r="L230" s="3">
        <f t="shared" si="8"/>
        <v>478.9832621</v>
      </c>
      <c r="M230" s="9">
        <f t="shared" si="9"/>
        <v>477.2620927</v>
      </c>
      <c r="N230" s="9">
        <f t="shared" si="10"/>
        <v>1.721169332</v>
      </c>
      <c r="O230" s="3"/>
      <c r="P230" s="3"/>
      <c r="Q230" s="3"/>
      <c r="R230" s="2"/>
      <c r="S230" s="9">
        <f t="shared" si="13"/>
        <v>1.580543141</v>
      </c>
      <c r="W230" s="3"/>
      <c r="X230" s="3"/>
      <c r="Y230" s="3"/>
      <c r="Z230" s="3"/>
      <c r="AA230" s="3"/>
      <c r="AB230" s="3"/>
      <c r="AC230" s="3"/>
    </row>
    <row r="231">
      <c r="A231" s="1">
        <v>219.0</v>
      </c>
      <c r="B231" s="2">
        <v>1.42034782608695E9</v>
      </c>
      <c r="C231" s="2">
        <v>-101.9500427</v>
      </c>
      <c r="D231" s="3">
        <f t="shared" si="1"/>
        <v>-52173.91305</v>
      </c>
      <c r="E231" s="4">
        <f t="shared" si="2"/>
        <v>10.10125745</v>
      </c>
      <c r="F231" s="3">
        <f t="shared" si="3"/>
        <v>0.0001936074345</v>
      </c>
      <c r="G231" s="3">
        <f t="shared" si="4"/>
        <v>0</v>
      </c>
      <c r="H231" s="2">
        <f t="shared" si="5"/>
        <v>0</v>
      </c>
      <c r="I231" s="3">
        <f t="shared" si="6"/>
        <v>0</v>
      </c>
      <c r="J231" s="3">
        <f t="shared" si="7"/>
        <v>0</v>
      </c>
      <c r="K231" s="3"/>
      <c r="L231" s="3">
        <f t="shared" si="8"/>
        <v>485.4023755</v>
      </c>
      <c r="M231" s="9">
        <f t="shared" si="9"/>
        <v>477.1581472</v>
      </c>
      <c r="N231" s="9">
        <f t="shared" si="10"/>
        <v>8.244228267</v>
      </c>
      <c r="O231" s="3"/>
      <c r="P231" s="3"/>
      <c r="Q231" s="3"/>
      <c r="R231" s="2"/>
      <c r="S231" s="9">
        <f t="shared" si="13"/>
        <v>7.570642935</v>
      </c>
      <c r="W231" s="3"/>
      <c r="X231" s="3"/>
      <c r="Y231" s="3"/>
      <c r="Z231" s="3"/>
      <c r="AA231" s="3"/>
      <c r="AB231" s="3"/>
      <c r="AC231" s="3"/>
    </row>
    <row r="232">
      <c r="A232" s="1">
        <v>220.0</v>
      </c>
      <c r="B232" s="2">
        <v>1.42035217391304E9</v>
      </c>
      <c r="C232" s="2">
        <v>-102.0084839</v>
      </c>
      <c r="D232" s="3">
        <f t="shared" si="1"/>
        <v>-47826.08696</v>
      </c>
      <c r="E232" s="4">
        <f t="shared" si="2"/>
        <v>9.182961321</v>
      </c>
      <c r="F232" s="3">
        <f t="shared" si="3"/>
        <v>0.0001920073731</v>
      </c>
      <c r="G232" s="3">
        <f t="shared" si="4"/>
        <v>0</v>
      </c>
      <c r="H232" s="2">
        <f t="shared" si="5"/>
        <v>0</v>
      </c>
      <c r="I232" s="3">
        <f t="shared" si="6"/>
        <v>0</v>
      </c>
      <c r="J232" s="3">
        <f t="shared" si="7"/>
        <v>0</v>
      </c>
      <c r="K232" s="3"/>
      <c r="L232" s="3">
        <f t="shared" si="8"/>
        <v>478.9142696</v>
      </c>
      <c r="M232" s="9">
        <f t="shared" si="9"/>
        <v>477.0539794</v>
      </c>
      <c r="N232" s="9">
        <f t="shared" si="10"/>
        <v>1.860290224</v>
      </c>
      <c r="O232" s="3"/>
      <c r="P232" s="3"/>
      <c r="Q232" s="3"/>
      <c r="R232" s="2"/>
      <c r="S232" s="9">
        <f t="shared" si="13"/>
        <v>1.708297314</v>
      </c>
      <c r="W232" s="3"/>
      <c r="X232" s="3"/>
      <c r="Y232" s="3"/>
      <c r="Z232" s="3"/>
      <c r="AA232" s="3"/>
      <c r="AB232" s="3"/>
      <c r="AC232" s="3"/>
    </row>
    <row r="233">
      <c r="A233" s="1">
        <v>221.0</v>
      </c>
      <c r="B233" s="2">
        <v>1.42035652173913E9</v>
      </c>
      <c r="C233" s="2">
        <v>-101.9226837</v>
      </c>
      <c r="D233" s="3">
        <f t="shared" si="1"/>
        <v>-43478.26087</v>
      </c>
      <c r="E233" s="4">
        <f t="shared" si="2"/>
        <v>8.264665191</v>
      </c>
      <c r="F233" s="3">
        <f t="shared" si="3"/>
        <v>0.0001900872994</v>
      </c>
      <c r="G233" s="3">
        <f t="shared" si="4"/>
        <v>0</v>
      </c>
      <c r="H233" s="2">
        <f t="shared" si="5"/>
        <v>0</v>
      </c>
      <c r="I233" s="3">
        <f t="shared" si="6"/>
        <v>0</v>
      </c>
      <c r="J233" s="3">
        <f t="shared" si="7"/>
        <v>0</v>
      </c>
      <c r="K233" s="3"/>
      <c r="L233" s="3">
        <f t="shared" si="8"/>
        <v>488.4698889</v>
      </c>
      <c r="M233" s="9">
        <f t="shared" si="9"/>
        <v>476.9495889</v>
      </c>
      <c r="N233" s="9">
        <f t="shared" si="10"/>
        <v>11.52030001</v>
      </c>
      <c r="O233" s="3"/>
      <c r="P233" s="3"/>
      <c r="Q233" s="3"/>
      <c r="R233" s="2"/>
      <c r="S233" s="9">
        <f t="shared" si="13"/>
        <v>10.57904694</v>
      </c>
      <c r="W233" s="3"/>
      <c r="X233" s="3"/>
      <c r="Y233" s="3"/>
      <c r="Z233" s="3"/>
      <c r="AA233" s="3"/>
      <c r="AB233" s="3"/>
      <c r="AC233" s="3"/>
    </row>
    <row r="234">
      <c r="A234" s="1">
        <v>222.0</v>
      </c>
      <c r="B234" s="2">
        <v>1.42036086956521E9</v>
      </c>
      <c r="C234" s="2">
        <v>-101.9258575</v>
      </c>
      <c r="D234" s="3">
        <f t="shared" si="1"/>
        <v>-39130.43479</v>
      </c>
      <c r="E234" s="4">
        <f t="shared" si="2"/>
        <v>7.346369058</v>
      </c>
      <c r="F234" s="3">
        <f t="shared" si="3"/>
        <v>0.0001877405426</v>
      </c>
      <c r="G234" s="3">
        <f t="shared" si="4"/>
        <v>0</v>
      </c>
      <c r="H234" s="2">
        <f t="shared" si="5"/>
        <v>0</v>
      </c>
      <c r="I234" s="3">
        <f t="shared" si="6"/>
        <v>0</v>
      </c>
      <c r="J234" s="3">
        <f t="shared" si="7"/>
        <v>0</v>
      </c>
      <c r="K234" s="3"/>
      <c r="L234" s="3">
        <f t="shared" si="8"/>
        <v>488.1130482</v>
      </c>
      <c r="M234" s="9">
        <f t="shared" si="9"/>
        <v>476.8449755</v>
      </c>
      <c r="N234" s="9">
        <f t="shared" si="10"/>
        <v>11.26807279</v>
      </c>
      <c r="O234" s="3"/>
      <c r="P234" s="3"/>
      <c r="Q234" s="3"/>
      <c r="R234" s="2"/>
      <c r="S234" s="9">
        <f t="shared" si="13"/>
        <v>10.34742767</v>
      </c>
      <c r="W234" s="3"/>
      <c r="X234" s="3"/>
      <c r="Y234" s="3"/>
      <c r="Z234" s="3"/>
      <c r="AA234" s="3"/>
      <c r="AB234" s="3"/>
      <c r="AC234" s="3"/>
    </row>
    <row r="235">
      <c r="A235" s="1">
        <v>223.0</v>
      </c>
      <c r="B235" s="2">
        <v>1.4203652173913E9</v>
      </c>
      <c r="C235" s="2">
        <v>-101.9600067</v>
      </c>
      <c r="D235" s="3">
        <f t="shared" si="1"/>
        <v>-34782.6087</v>
      </c>
      <c r="E235" s="4">
        <f t="shared" si="2"/>
        <v>6.428072925</v>
      </c>
      <c r="F235" s="3">
        <f t="shared" si="3"/>
        <v>0.0001848070966</v>
      </c>
      <c r="G235" s="3">
        <f t="shared" si="4"/>
        <v>0</v>
      </c>
      <c r="H235" s="2">
        <f t="shared" si="5"/>
        <v>0</v>
      </c>
      <c r="I235" s="3">
        <f t="shared" si="6"/>
        <v>0</v>
      </c>
      <c r="J235" s="3">
        <f t="shared" si="7"/>
        <v>0</v>
      </c>
      <c r="K235" s="3"/>
      <c r="L235" s="3">
        <f t="shared" si="8"/>
        <v>484.2899954</v>
      </c>
      <c r="M235" s="9">
        <f t="shared" si="9"/>
        <v>476.7401387</v>
      </c>
      <c r="N235" s="9">
        <f t="shared" si="10"/>
        <v>7.549856761</v>
      </c>
      <c r="O235" s="3"/>
      <c r="P235" s="3"/>
      <c r="Q235" s="3"/>
      <c r="R235" s="2"/>
      <c r="S235" s="9">
        <f t="shared" si="13"/>
        <v>6.93300425</v>
      </c>
      <c r="W235" s="3"/>
      <c r="X235" s="3"/>
      <c r="Y235" s="3"/>
      <c r="Z235" s="3"/>
      <c r="AA235" s="3"/>
      <c r="AB235" s="3"/>
      <c r="AC235" s="3"/>
    </row>
    <row r="236">
      <c r="A236" s="1">
        <v>224.0</v>
      </c>
      <c r="B236" s="2">
        <v>1.42036956521739E9</v>
      </c>
      <c r="C236" s="2">
        <v>-101.9204102</v>
      </c>
      <c r="D236" s="3">
        <f t="shared" si="1"/>
        <v>-30434.78261</v>
      </c>
      <c r="E236" s="4">
        <f t="shared" si="2"/>
        <v>5.509776795</v>
      </c>
      <c r="F236" s="3">
        <f t="shared" si="3"/>
        <v>0.0001810355232</v>
      </c>
      <c r="G236" s="3">
        <f t="shared" si="4"/>
        <v>0</v>
      </c>
      <c r="H236" s="2">
        <f t="shared" si="5"/>
        <v>0</v>
      </c>
      <c r="I236" s="3">
        <f t="shared" si="6"/>
        <v>0</v>
      </c>
      <c r="J236" s="3">
        <f t="shared" si="7"/>
        <v>0</v>
      </c>
      <c r="K236" s="3"/>
      <c r="L236" s="3">
        <f t="shared" si="8"/>
        <v>488.7256663</v>
      </c>
      <c r="M236" s="9">
        <f t="shared" si="9"/>
        <v>476.6350782</v>
      </c>
      <c r="N236" s="9">
        <f t="shared" si="10"/>
        <v>12.09058809</v>
      </c>
      <c r="O236" s="3"/>
      <c r="P236" s="3"/>
      <c r="Q236" s="3"/>
      <c r="R236" s="2"/>
      <c r="S236" s="9">
        <f t="shared" si="13"/>
        <v>11.10274029</v>
      </c>
      <c r="W236" s="3"/>
      <c r="X236" s="3"/>
      <c r="Y236" s="3"/>
      <c r="Z236" s="3"/>
      <c r="AA236" s="3"/>
      <c r="AB236" s="3"/>
      <c r="AC236" s="3"/>
    </row>
    <row r="237">
      <c r="A237" s="1">
        <v>225.0</v>
      </c>
      <c r="B237" s="2">
        <v>1.42037391304347E9</v>
      </c>
      <c r="C237" s="2">
        <v>-101.9662628</v>
      </c>
      <c r="D237" s="3">
        <f t="shared" si="1"/>
        <v>-26086.95653</v>
      </c>
      <c r="E237" s="4">
        <f t="shared" si="2"/>
        <v>4.591480662</v>
      </c>
      <c r="F237" s="3">
        <f t="shared" si="3"/>
        <v>0.0001760067586</v>
      </c>
      <c r="G237" s="3">
        <f t="shared" si="4"/>
        <v>0</v>
      </c>
      <c r="H237" s="2">
        <f t="shared" si="5"/>
        <v>0</v>
      </c>
      <c r="I237" s="3">
        <f t="shared" si="6"/>
        <v>0</v>
      </c>
      <c r="J237" s="3">
        <f t="shared" si="7"/>
        <v>0</v>
      </c>
      <c r="K237" s="3"/>
      <c r="L237" s="3">
        <f t="shared" si="8"/>
        <v>483.5928681</v>
      </c>
      <c r="M237" s="9">
        <f t="shared" si="9"/>
        <v>476.5297938</v>
      </c>
      <c r="N237" s="9">
        <f t="shared" si="10"/>
        <v>7.063074335</v>
      </c>
      <c r="O237" s="3"/>
      <c r="P237" s="3"/>
      <c r="Q237" s="3"/>
      <c r="R237" s="2"/>
      <c r="S237" s="9">
        <f t="shared" si="13"/>
        <v>6.485993848</v>
      </c>
      <c r="W237" s="3"/>
      <c r="X237" s="3"/>
      <c r="Y237" s="3"/>
      <c r="Z237" s="3"/>
      <c r="AA237" s="3"/>
      <c r="AB237" s="3"/>
      <c r="AC237" s="3"/>
    </row>
    <row r="238">
      <c r="A238" s="1">
        <v>226.0</v>
      </c>
      <c r="B238" s="2">
        <v>1.42037826086956E9</v>
      </c>
      <c r="C238" s="2">
        <v>-101.9644012</v>
      </c>
      <c r="D238" s="3">
        <f t="shared" si="1"/>
        <v>-21739.13044</v>
      </c>
      <c r="E238" s="4">
        <f t="shared" si="2"/>
        <v>3.673184529</v>
      </c>
      <c r="F238" s="3">
        <f t="shared" si="3"/>
        <v>0.0001689664883</v>
      </c>
      <c r="G238" s="3">
        <f t="shared" si="4"/>
        <v>0</v>
      </c>
      <c r="H238" s="2">
        <f t="shared" si="5"/>
        <v>0</v>
      </c>
      <c r="I238" s="3">
        <f t="shared" si="6"/>
        <v>0</v>
      </c>
      <c r="J238" s="3">
        <f t="shared" si="7"/>
        <v>0</v>
      </c>
      <c r="K238" s="3"/>
      <c r="L238" s="3">
        <f t="shared" si="8"/>
        <v>483.8002043</v>
      </c>
      <c r="M238" s="9">
        <f t="shared" si="9"/>
        <v>476.424285</v>
      </c>
      <c r="N238" s="9">
        <f t="shared" si="10"/>
        <v>7.375919252</v>
      </c>
      <c r="O238" s="3"/>
      <c r="P238" s="3"/>
      <c r="Q238" s="3"/>
      <c r="R238" s="2"/>
      <c r="S238" s="9">
        <f t="shared" si="13"/>
        <v>6.773278109</v>
      </c>
      <c r="W238" s="3"/>
      <c r="X238" s="3"/>
      <c r="Y238" s="3"/>
      <c r="Z238" s="3"/>
      <c r="AA238" s="3"/>
      <c r="AB238" s="3"/>
      <c r="AC238" s="3"/>
    </row>
    <row r="239">
      <c r="A239" s="1">
        <v>227.0</v>
      </c>
      <c r="B239" s="2">
        <v>1.42038260869565E9</v>
      </c>
      <c r="C239" s="2">
        <v>-101.8933029</v>
      </c>
      <c r="D239" s="3">
        <f t="shared" si="1"/>
        <v>-17391.30435</v>
      </c>
      <c r="E239" s="4">
        <f t="shared" si="2"/>
        <v>2.754888398</v>
      </c>
      <c r="F239" s="3">
        <f t="shared" si="3"/>
        <v>0.0001584060829</v>
      </c>
      <c r="G239" s="3">
        <f t="shared" si="4"/>
        <v>0</v>
      </c>
      <c r="H239" s="2">
        <f t="shared" si="5"/>
        <v>0</v>
      </c>
      <c r="I239" s="3">
        <f t="shared" si="6"/>
        <v>0</v>
      </c>
      <c r="J239" s="3">
        <f t="shared" si="7"/>
        <v>0</v>
      </c>
      <c r="K239" s="3"/>
      <c r="L239" s="3">
        <f t="shared" si="8"/>
        <v>491.7856786</v>
      </c>
      <c r="M239" s="9">
        <f t="shared" si="9"/>
        <v>476.3185516</v>
      </c>
      <c r="N239" s="9">
        <f t="shared" si="10"/>
        <v>15.467127</v>
      </c>
      <c r="O239" s="3"/>
      <c r="P239" s="3"/>
      <c r="Q239" s="3"/>
      <c r="R239" s="2"/>
      <c r="S239" s="9">
        <f t="shared" si="13"/>
        <v>14.20340291</v>
      </c>
      <c r="W239" s="3"/>
      <c r="X239" s="3"/>
      <c r="Y239" s="3"/>
      <c r="Z239" s="3"/>
      <c r="AA239" s="3"/>
      <c r="AB239" s="3"/>
      <c r="AC239" s="3"/>
    </row>
    <row r="240">
      <c r="A240" s="1">
        <v>228.0</v>
      </c>
      <c r="B240" s="2">
        <v>1.42038695652173E9</v>
      </c>
      <c r="C240" s="2">
        <v>-101.9942245</v>
      </c>
      <c r="D240" s="3">
        <f t="shared" si="1"/>
        <v>-13043.47827</v>
      </c>
      <c r="E240" s="4">
        <f t="shared" si="2"/>
        <v>1.836592266</v>
      </c>
      <c r="F240" s="3">
        <f t="shared" si="3"/>
        <v>0.0001408054069</v>
      </c>
      <c r="G240" s="3">
        <f t="shared" si="4"/>
        <v>0</v>
      </c>
      <c r="H240" s="2">
        <f t="shared" si="5"/>
        <v>0</v>
      </c>
      <c r="I240" s="3">
        <f t="shared" si="6"/>
        <v>0</v>
      </c>
      <c r="J240" s="3">
        <f t="shared" si="7"/>
        <v>0</v>
      </c>
      <c r="K240" s="3"/>
      <c r="L240" s="3">
        <f t="shared" si="8"/>
        <v>480.4892962</v>
      </c>
      <c r="M240" s="9">
        <f t="shared" si="9"/>
        <v>476.2125932</v>
      </c>
      <c r="N240" s="9">
        <f t="shared" si="10"/>
        <v>4.276703034</v>
      </c>
      <c r="O240" s="3"/>
      <c r="P240" s="3"/>
      <c r="Q240" s="3"/>
      <c r="R240" s="2"/>
      <c r="S240" s="9">
        <f t="shared" si="13"/>
        <v>3.927279857</v>
      </c>
      <c r="W240" s="3"/>
      <c r="X240" s="3"/>
      <c r="Y240" s="3"/>
      <c r="Z240" s="3"/>
      <c r="AA240" s="3"/>
      <c r="AB240" s="3"/>
      <c r="AC240" s="3"/>
    </row>
    <row r="241">
      <c r="A241" s="1">
        <v>229.0</v>
      </c>
      <c r="B241" s="2">
        <v>1.42039130434782E9</v>
      </c>
      <c r="C241" s="2">
        <v>-101.8751907</v>
      </c>
      <c r="D241" s="3">
        <f t="shared" si="1"/>
        <v>-8695.65218</v>
      </c>
      <c r="E241" s="4">
        <f t="shared" si="2"/>
        <v>0.9182961328</v>
      </c>
      <c r="F241" s="3">
        <f t="shared" si="3"/>
        <v>0.0001056040552</v>
      </c>
      <c r="G241" s="3">
        <f t="shared" si="4"/>
        <v>0</v>
      </c>
      <c r="H241" s="2">
        <f t="shared" si="5"/>
        <v>0</v>
      </c>
      <c r="I241" s="3">
        <f t="shared" si="6"/>
        <v>0</v>
      </c>
      <c r="J241" s="3">
        <f t="shared" si="7"/>
        <v>0</v>
      </c>
      <c r="K241" s="3"/>
      <c r="L241" s="3">
        <f t="shared" si="8"/>
        <v>493.8409477</v>
      </c>
      <c r="M241" s="9">
        <f t="shared" si="9"/>
        <v>476.1064094</v>
      </c>
      <c r="N241" s="9">
        <f t="shared" si="10"/>
        <v>17.73453828</v>
      </c>
      <c r="O241" s="3"/>
      <c r="P241" s="3"/>
      <c r="Q241" s="3"/>
      <c r="R241" s="2"/>
      <c r="S241" s="9">
        <f t="shared" si="13"/>
        <v>16.28555792</v>
      </c>
      <c r="W241" s="3"/>
      <c r="X241" s="3"/>
      <c r="Y241" s="3"/>
      <c r="Z241" s="3"/>
      <c r="AA241" s="3"/>
      <c r="AB241" s="3"/>
      <c r="AC241" s="3"/>
    </row>
    <row r="242">
      <c r="A242" s="1">
        <v>230.0</v>
      </c>
      <c r="B242" s="2">
        <v>1.42039565217391E9</v>
      </c>
      <c r="C242" s="2">
        <v>-101.8609924</v>
      </c>
      <c r="D242" s="3">
        <f t="shared" si="1"/>
        <v>-4347.82609</v>
      </c>
      <c r="E242" s="4">
        <f t="shared" si="2"/>
        <v>0</v>
      </c>
      <c r="F242" s="3">
        <f t="shared" si="3"/>
        <v>0</v>
      </c>
      <c r="G242" s="3">
        <f t="shared" si="4"/>
        <v>0</v>
      </c>
      <c r="H242" s="2">
        <f t="shared" si="5"/>
        <v>0</v>
      </c>
      <c r="I242" s="3">
        <f t="shared" si="6"/>
        <v>0</v>
      </c>
      <c r="J242" s="3" t="str">
        <f t="shared" si="7"/>
        <v>#DIV/0!</v>
      </c>
      <c r="K242" s="3"/>
      <c r="L242" s="3">
        <f t="shared" si="8"/>
        <v>495.4580937</v>
      </c>
      <c r="M242" s="9">
        <f t="shared" si="9"/>
        <v>476</v>
      </c>
      <c r="N242" s="9">
        <f t="shared" si="10"/>
        <v>19.45809373</v>
      </c>
      <c r="O242" s="3"/>
      <c r="P242" s="3"/>
      <c r="Q242" s="3"/>
      <c r="R242" s="2"/>
      <c r="S242" s="9">
        <f t="shared" si="13"/>
        <v>17.86829219</v>
      </c>
      <c r="W242" s="3"/>
      <c r="X242" s="3"/>
      <c r="Y242" s="3"/>
      <c r="Z242" s="3"/>
      <c r="AA242" s="3"/>
      <c r="AB242" s="3"/>
      <c r="AC242" s="3"/>
    </row>
    <row r="243">
      <c r="A243" s="1">
        <v>231.0</v>
      </c>
      <c r="B243" s="2">
        <v>1.4204E9</v>
      </c>
      <c r="C243" s="2">
        <v>-101.8853607</v>
      </c>
      <c r="D243" s="3">
        <f t="shared" si="1"/>
        <v>0</v>
      </c>
      <c r="E243" s="4">
        <f t="shared" si="2"/>
        <v>-0.9182961307</v>
      </c>
      <c r="F243" s="3"/>
      <c r="G243" s="3">
        <f t="shared" si="4"/>
        <v>0</v>
      </c>
      <c r="H243" s="2">
        <f t="shared" si="5"/>
        <v>0</v>
      </c>
      <c r="I243" s="3">
        <f t="shared" si="6"/>
        <v>0</v>
      </c>
      <c r="J243" s="3" t="str">
        <f t="shared" si="7"/>
        <v>#DIV/0!</v>
      </c>
      <c r="K243" s="3"/>
      <c r="L243" s="3">
        <f t="shared" si="8"/>
        <v>492.685859</v>
      </c>
      <c r="M243" s="9">
        <f t="shared" si="9"/>
        <v>475.8933646</v>
      </c>
      <c r="N243" s="9">
        <f t="shared" si="10"/>
        <v>16.79249439</v>
      </c>
      <c r="O243" s="3"/>
      <c r="P243" s="3"/>
      <c r="Q243" s="3"/>
      <c r="R243" s="2"/>
      <c r="S243" s="9">
        <f t="shared" si="13"/>
        <v>15.42048266</v>
      </c>
      <c r="W243" s="3"/>
      <c r="X243" s="3"/>
      <c r="Y243" s="3"/>
      <c r="Z243" s="3"/>
      <c r="AA243" s="3"/>
      <c r="AB243" s="3"/>
      <c r="AC243" s="3"/>
    </row>
    <row r="244">
      <c r="A244" s="1">
        <v>232.0</v>
      </c>
      <c r="B244" s="2">
        <v>1.42040434782608E9</v>
      </c>
      <c r="C244" s="2">
        <v>-101.8814545</v>
      </c>
      <c r="D244" s="3">
        <f t="shared" si="1"/>
        <v>4347.82608</v>
      </c>
      <c r="E244" s="4">
        <f t="shared" si="2"/>
        <v>-1.836592263</v>
      </c>
      <c r="F244" s="3">
        <f t="shared" ref="F244:F473" si="16">-E244/D244</f>
        <v>0.0004224162213</v>
      </c>
      <c r="G244" s="3">
        <f t="shared" si="4"/>
        <v>0</v>
      </c>
      <c r="H244" s="2">
        <f t="shared" si="5"/>
        <v>0</v>
      </c>
      <c r="I244" s="3">
        <f t="shared" si="6"/>
        <v>0</v>
      </c>
      <c r="J244" s="3">
        <f t="shared" si="7"/>
        <v>0</v>
      </c>
      <c r="K244" s="3"/>
      <c r="L244" s="3">
        <f t="shared" si="8"/>
        <v>493.1291976</v>
      </c>
      <c r="M244" s="9">
        <f t="shared" si="9"/>
        <v>475.7865029</v>
      </c>
      <c r="N244" s="9">
        <f t="shared" si="10"/>
        <v>17.34269476</v>
      </c>
      <c r="O244" s="3"/>
      <c r="P244" s="3"/>
      <c r="Q244" s="3"/>
      <c r="R244" s="2"/>
      <c r="S244" s="9">
        <f t="shared" si="13"/>
        <v>15.92572953</v>
      </c>
      <c r="W244" s="3"/>
      <c r="X244" s="3"/>
      <c r="Y244" s="3"/>
      <c r="Z244" s="3"/>
      <c r="AA244" s="3"/>
      <c r="AB244" s="3"/>
      <c r="AC244" s="3"/>
    </row>
    <row r="245">
      <c r="A245" s="1">
        <v>233.0</v>
      </c>
      <c r="B245" s="2">
        <v>1.42040869565217E9</v>
      </c>
      <c r="C245" s="2">
        <v>-101.9117813</v>
      </c>
      <c r="D245" s="3">
        <f t="shared" si="1"/>
        <v>8695.65217</v>
      </c>
      <c r="E245" s="4">
        <f t="shared" si="2"/>
        <v>-2.754888396</v>
      </c>
      <c r="F245" s="3">
        <f t="shared" si="16"/>
        <v>0.0003168121657</v>
      </c>
      <c r="G245" s="3">
        <f t="shared" si="4"/>
        <v>0</v>
      </c>
      <c r="H245" s="2">
        <f t="shared" si="5"/>
        <v>0</v>
      </c>
      <c r="I245" s="3">
        <f t="shared" si="6"/>
        <v>0</v>
      </c>
      <c r="J245" s="3">
        <f t="shared" si="7"/>
        <v>0</v>
      </c>
      <c r="K245" s="3"/>
      <c r="L245" s="3">
        <f t="shared" si="8"/>
        <v>489.6976697</v>
      </c>
      <c r="M245" s="9">
        <f t="shared" si="9"/>
        <v>475.6794145</v>
      </c>
      <c r="N245" s="9">
        <f t="shared" si="10"/>
        <v>14.01825525</v>
      </c>
      <c r="O245" s="3"/>
      <c r="P245" s="3"/>
      <c r="Q245" s="3"/>
      <c r="R245" s="2"/>
      <c r="S245" s="9">
        <f t="shared" si="13"/>
        <v>12.87290956</v>
      </c>
      <c r="W245" s="3"/>
      <c r="X245" s="3"/>
      <c r="Y245" s="3"/>
      <c r="Z245" s="3"/>
      <c r="AA245" s="3"/>
      <c r="AB245" s="3"/>
      <c r="AC245" s="3"/>
    </row>
    <row r="246">
      <c r="A246" s="1">
        <v>234.0</v>
      </c>
      <c r="B246" s="2">
        <v>1.42041304347826E9</v>
      </c>
      <c r="C246" s="2">
        <v>-101.8638611</v>
      </c>
      <c r="D246" s="3">
        <f t="shared" si="1"/>
        <v>13043.47826</v>
      </c>
      <c r="E246" s="4">
        <f t="shared" si="2"/>
        <v>-3.673184527</v>
      </c>
      <c r="F246" s="3">
        <f t="shared" si="16"/>
        <v>0.0002816108137</v>
      </c>
      <c r="G246" s="3">
        <f t="shared" si="4"/>
        <v>0</v>
      </c>
      <c r="H246" s="2">
        <f t="shared" si="5"/>
        <v>0</v>
      </c>
      <c r="I246" s="3">
        <f t="shared" si="6"/>
        <v>0</v>
      </c>
      <c r="J246" s="3">
        <f t="shared" si="7"/>
        <v>0</v>
      </c>
      <c r="K246" s="3"/>
      <c r="L246" s="3">
        <f t="shared" si="8"/>
        <v>495.1309306</v>
      </c>
      <c r="M246" s="9">
        <f t="shared" si="9"/>
        <v>475.5720991</v>
      </c>
      <c r="N246" s="9">
        <f t="shared" si="10"/>
        <v>19.55883156</v>
      </c>
      <c r="O246" s="3"/>
      <c r="P246" s="3"/>
      <c r="Q246" s="3"/>
      <c r="R246" s="2"/>
      <c r="S246" s="9">
        <f t="shared" si="13"/>
        <v>17.96079939</v>
      </c>
      <c r="W246" s="3"/>
      <c r="X246" s="3"/>
      <c r="Y246" s="3"/>
      <c r="Z246" s="3"/>
      <c r="AA246" s="3"/>
      <c r="AB246" s="3"/>
      <c r="AC246" s="3"/>
    </row>
    <row r="247">
      <c r="A247" s="1">
        <v>235.0</v>
      </c>
      <c r="B247" s="2">
        <v>1.42041739130434E9</v>
      </c>
      <c r="C247" s="2">
        <v>-101.8582687</v>
      </c>
      <c r="D247" s="3">
        <f t="shared" si="1"/>
        <v>17391.30434</v>
      </c>
      <c r="E247" s="4">
        <f t="shared" si="2"/>
        <v>-4.59148066</v>
      </c>
      <c r="F247" s="3">
        <f t="shared" si="16"/>
        <v>0.0002640101381</v>
      </c>
      <c r="G247" s="3">
        <f t="shared" si="4"/>
        <v>0</v>
      </c>
      <c r="H247" s="2">
        <f t="shared" si="5"/>
        <v>0</v>
      </c>
      <c r="I247" s="3">
        <f t="shared" si="6"/>
        <v>0</v>
      </c>
      <c r="J247" s="3">
        <f t="shared" si="7"/>
        <v>0</v>
      </c>
      <c r="K247" s="3"/>
      <c r="L247" s="3">
        <f t="shared" si="8"/>
        <v>495.7689203</v>
      </c>
      <c r="M247" s="9">
        <f t="shared" si="9"/>
        <v>475.4645563</v>
      </c>
      <c r="N247" s="9">
        <f t="shared" si="10"/>
        <v>20.30436393</v>
      </c>
      <c r="O247" s="3"/>
      <c r="P247" s="3"/>
      <c r="Q247" s="3"/>
      <c r="R247" s="2"/>
      <c r="S247" s="9">
        <f t="shared" si="13"/>
        <v>18.64541887</v>
      </c>
      <c r="W247" s="3"/>
      <c r="X247" s="3"/>
      <c r="Y247" s="3"/>
      <c r="Z247" s="3"/>
      <c r="AA247" s="3"/>
      <c r="AB247" s="3"/>
      <c r="AC247" s="3"/>
    </row>
    <row r="248">
      <c r="A248" s="1">
        <v>236.0</v>
      </c>
      <c r="B248" s="2">
        <v>1.42042173913043E9</v>
      </c>
      <c r="C248" s="2">
        <v>-101.885498</v>
      </c>
      <c r="D248" s="3">
        <f t="shared" si="1"/>
        <v>21739.13043</v>
      </c>
      <c r="E248" s="4">
        <f t="shared" si="2"/>
        <v>-5.509776792</v>
      </c>
      <c r="F248" s="3">
        <f t="shared" si="16"/>
        <v>0.0002534497325</v>
      </c>
      <c r="G248" s="3">
        <f t="shared" si="4"/>
        <v>0</v>
      </c>
      <c r="H248" s="2">
        <f t="shared" si="5"/>
        <v>0</v>
      </c>
      <c r="I248" s="3">
        <f t="shared" si="6"/>
        <v>0</v>
      </c>
      <c r="J248" s="3">
        <f t="shared" si="7"/>
        <v>0</v>
      </c>
      <c r="K248" s="3"/>
      <c r="L248" s="3">
        <f t="shared" si="8"/>
        <v>492.6702832</v>
      </c>
      <c r="M248" s="9">
        <f t="shared" si="9"/>
        <v>475.3567859</v>
      </c>
      <c r="N248" s="9">
        <f t="shared" si="10"/>
        <v>17.31349727</v>
      </c>
      <c r="O248" s="3"/>
      <c r="P248" s="3"/>
      <c r="Q248" s="3"/>
      <c r="R248" s="2"/>
      <c r="S248" s="9">
        <f t="shared" si="13"/>
        <v>15.89891755</v>
      </c>
      <c r="W248" s="3"/>
      <c r="X248" s="3"/>
      <c r="Y248" s="3"/>
      <c r="Z248" s="3"/>
      <c r="AA248" s="3"/>
      <c r="AB248" s="3"/>
      <c r="AC248" s="3"/>
    </row>
    <row r="249">
      <c r="A249" s="1">
        <v>237.0</v>
      </c>
      <c r="B249" s="2">
        <v>1.42042608695652E9</v>
      </c>
      <c r="C249" s="2">
        <v>-101.9037018</v>
      </c>
      <c r="D249" s="3">
        <f t="shared" si="1"/>
        <v>26086.95652</v>
      </c>
      <c r="E249" s="4">
        <f t="shared" si="2"/>
        <v>-6.428072923</v>
      </c>
      <c r="F249" s="3">
        <f t="shared" si="16"/>
        <v>0.0002464094621</v>
      </c>
      <c r="G249" s="3">
        <f t="shared" si="4"/>
        <v>0</v>
      </c>
      <c r="H249" s="2">
        <f t="shared" si="5"/>
        <v>0</v>
      </c>
      <c r="I249" s="3">
        <f t="shared" si="6"/>
        <v>0</v>
      </c>
      <c r="J249" s="3">
        <f t="shared" si="7"/>
        <v>0</v>
      </c>
      <c r="K249" s="3"/>
      <c r="L249" s="3">
        <f t="shared" si="8"/>
        <v>490.6095383</v>
      </c>
      <c r="M249" s="9">
        <f t="shared" si="9"/>
        <v>475.2487875</v>
      </c>
      <c r="N249" s="9">
        <f t="shared" si="10"/>
        <v>15.36075074</v>
      </c>
      <c r="O249" s="3"/>
      <c r="P249" s="3"/>
      <c r="Q249" s="3"/>
      <c r="R249" s="2"/>
      <c r="S249" s="9">
        <f t="shared" si="13"/>
        <v>14.105718</v>
      </c>
      <c r="W249" s="3"/>
      <c r="X249" s="3"/>
      <c r="Y249" s="3"/>
      <c r="Z249" s="3"/>
      <c r="AA249" s="3"/>
      <c r="AB249" s="3"/>
      <c r="AC249" s="3"/>
    </row>
    <row r="250">
      <c r="A250" s="1">
        <v>238.0</v>
      </c>
      <c r="B250" s="2">
        <v>1.4204304347826E9</v>
      </c>
      <c r="C250" s="2">
        <v>-101.8714523</v>
      </c>
      <c r="D250" s="3">
        <f t="shared" si="1"/>
        <v>30434.7826</v>
      </c>
      <c r="E250" s="4">
        <f t="shared" si="2"/>
        <v>-7.346369056</v>
      </c>
      <c r="F250" s="3">
        <f t="shared" si="16"/>
        <v>0.0002413806976</v>
      </c>
      <c r="G250" s="3">
        <f t="shared" si="4"/>
        <v>0</v>
      </c>
      <c r="H250" s="2">
        <f t="shared" si="5"/>
        <v>0</v>
      </c>
      <c r="I250" s="3">
        <f t="shared" si="6"/>
        <v>0</v>
      </c>
      <c r="J250" s="3">
        <f t="shared" si="7"/>
        <v>0</v>
      </c>
      <c r="K250" s="3"/>
      <c r="L250" s="3">
        <f t="shared" si="8"/>
        <v>494.2662282</v>
      </c>
      <c r="M250" s="9">
        <f t="shared" si="9"/>
        <v>475.1405608</v>
      </c>
      <c r="N250" s="9">
        <f t="shared" si="10"/>
        <v>19.12566739</v>
      </c>
      <c r="O250" s="3"/>
      <c r="P250" s="3"/>
      <c r="Q250" s="3"/>
      <c r="R250" s="2"/>
      <c r="S250" s="9">
        <f t="shared" si="13"/>
        <v>17.5630264</v>
      </c>
      <c r="W250" s="3"/>
      <c r="X250" s="3"/>
      <c r="Y250" s="3"/>
      <c r="Z250" s="3"/>
      <c r="AA250" s="3"/>
      <c r="AB250" s="3"/>
      <c r="AC250" s="3"/>
    </row>
    <row r="251">
      <c r="A251" s="1">
        <v>239.0</v>
      </c>
      <c r="B251" s="2">
        <v>1.42043478260869E9</v>
      </c>
      <c r="C251" s="2">
        <v>-101.8178406</v>
      </c>
      <c r="D251" s="3">
        <f t="shared" si="1"/>
        <v>34782.60869</v>
      </c>
      <c r="E251" s="4">
        <f t="shared" si="2"/>
        <v>-8.264665189</v>
      </c>
      <c r="F251" s="3">
        <f t="shared" si="16"/>
        <v>0.0002376091242</v>
      </c>
      <c r="G251" s="3">
        <f t="shared" si="4"/>
        <v>0</v>
      </c>
      <c r="H251" s="2">
        <f t="shared" si="5"/>
        <v>0</v>
      </c>
      <c r="I251" s="3">
        <f t="shared" si="6"/>
        <v>0</v>
      </c>
      <c r="J251" s="3">
        <f t="shared" si="7"/>
        <v>0</v>
      </c>
      <c r="K251" s="3"/>
      <c r="L251" s="3">
        <f t="shared" si="8"/>
        <v>500.405538</v>
      </c>
      <c r="M251" s="9">
        <f t="shared" si="9"/>
        <v>475.0321054</v>
      </c>
      <c r="N251" s="9">
        <f t="shared" si="10"/>
        <v>25.37343256</v>
      </c>
      <c r="O251" s="3"/>
      <c r="P251" s="3"/>
      <c r="Q251" s="3"/>
      <c r="R251" s="2"/>
      <c r="S251" s="9">
        <f t="shared" si="13"/>
        <v>23.300325</v>
      </c>
      <c r="W251" s="3"/>
      <c r="X251" s="3"/>
      <c r="Y251" s="3"/>
      <c r="Z251" s="3"/>
      <c r="AA251" s="3"/>
      <c r="AB251" s="3"/>
      <c r="AC251" s="3"/>
    </row>
    <row r="252">
      <c r="A252" s="1">
        <v>240.0</v>
      </c>
      <c r="B252" s="2">
        <v>1.42043913043478E9</v>
      </c>
      <c r="C252" s="2">
        <v>-101.8241119</v>
      </c>
      <c r="D252" s="3">
        <f t="shared" si="1"/>
        <v>39130.43478</v>
      </c>
      <c r="E252" s="4">
        <f t="shared" si="2"/>
        <v>-9.182961321</v>
      </c>
      <c r="F252" s="3">
        <f t="shared" si="16"/>
        <v>0.0002346756782</v>
      </c>
      <c r="G252" s="3">
        <f t="shared" si="4"/>
        <v>0</v>
      </c>
      <c r="H252" s="2">
        <f t="shared" si="5"/>
        <v>0</v>
      </c>
      <c r="I252" s="3">
        <f t="shared" si="6"/>
        <v>0</v>
      </c>
      <c r="J252" s="3">
        <f t="shared" si="7"/>
        <v>0</v>
      </c>
      <c r="K252" s="3"/>
      <c r="L252" s="3">
        <f t="shared" si="8"/>
        <v>499.6834638</v>
      </c>
      <c r="M252" s="9">
        <f t="shared" si="9"/>
        <v>474.923421</v>
      </c>
      <c r="N252" s="9">
        <f t="shared" si="10"/>
        <v>24.76004273</v>
      </c>
      <c r="O252" s="3"/>
      <c r="P252" s="3"/>
      <c r="Q252" s="3"/>
      <c r="R252" s="2"/>
      <c r="S252" s="9">
        <f t="shared" si="13"/>
        <v>22.73705144</v>
      </c>
      <c r="W252" s="3"/>
      <c r="X252" s="3"/>
      <c r="Y252" s="3"/>
      <c r="Z252" s="3"/>
      <c r="AA252" s="3"/>
      <c r="AB252" s="3"/>
      <c r="AC252" s="3"/>
    </row>
    <row r="253">
      <c r="A253" s="1">
        <v>241.0</v>
      </c>
      <c r="B253" s="2">
        <v>1.42044347826087E9</v>
      </c>
      <c r="C253" s="2">
        <v>-101.788826</v>
      </c>
      <c r="D253" s="3">
        <f t="shared" si="1"/>
        <v>43478.26087</v>
      </c>
      <c r="E253" s="4">
        <f t="shared" si="2"/>
        <v>-10.10125745</v>
      </c>
      <c r="F253" s="3">
        <f t="shared" si="16"/>
        <v>0.0002323289214</v>
      </c>
      <c r="G253" s="3">
        <f t="shared" si="4"/>
        <v>0</v>
      </c>
      <c r="H253" s="2">
        <f t="shared" si="5"/>
        <v>0</v>
      </c>
      <c r="I253" s="3">
        <f t="shared" si="6"/>
        <v>0</v>
      </c>
      <c r="J253" s="3">
        <f t="shared" si="7"/>
        <v>0</v>
      </c>
      <c r="K253" s="3"/>
      <c r="L253" s="3">
        <f t="shared" si="8"/>
        <v>503.759869</v>
      </c>
      <c r="M253" s="9">
        <f t="shared" si="9"/>
        <v>474.8145073</v>
      </c>
      <c r="N253" s="9">
        <f t="shared" si="10"/>
        <v>28.94536174</v>
      </c>
      <c r="O253" s="3"/>
      <c r="P253" s="3"/>
      <c r="Q253" s="3"/>
      <c r="R253" s="2"/>
      <c r="S253" s="9">
        <f t="shared" si="13"/>
        <v>26.58041375</v>
      </c>
      <c r="W253" s="3"/>
      <c r="X253" s="3"/>
      <c r="Y253" s="3"/>
      <c r="Z253" s="3"/>
      <c r="AA253" s="3"/>
      <c r="AB253" s="3"/>
      <c r="AC253" s="3"/>
    </row>
    <row r="254">
      <c r="A254" s="1">
        <v>242.0</v>
      </c>
      <c r="B254" s="2">
        <v>1.42044782608695E9</v>
      </c>
      <c r="C254" s="2">
        <v>-101.8357925</v>
      </c>
      <c r="D254" s="3">
        <f t="shared" si="1"/>
        <v>47826.08695</v>
      </c>
      <c r="E254" s="4">
        <f t="shared" si="2"/>
        <v>-11.01955358</v>
      </c>
      <c r="F254" s="3">
        <f t="shared" si="16"/>
        <v>0.0002304088477</v>
      </c>
      <c r="G254" s="3">
        <f t="shared" si="4"/>
        <v>0</v>
      </c>
      <c r="H254" s="2">
        <f t="shared" si="5"/>
        <v>0</v>
      </c>
      <c r="I254" s="3">
        <f t="shared" si="6"/>
        <v>0</v>
      </c>
      <c r="J254" s="3">
        <f t="shared" si="7"/>
        <v>0</v>
      </c>
      <c r="K254" s="3"/>
      <c r="L254" s="3">
        <f t="shared" si="8"/>
        <v>498.341342</v>
      </c>
      <c r="M254" s="9">
        <f t="shared" si="9"/>
        <v>474.7053639</v>
      </c>
      <c r="N254" s="9">
        <f t="shared" si="10"/>
        <v>23.63597811</v>
      </c>
      <c r="O254" s="3"/>
      <c r="P254" s="3"/>
      <c r="Q254" s="3"/>
      <c r="R254" s="2"/>
      <c r="S254" s="9">
        <f t="shared" si="13"/>
        <v>21.70482729</v>
      </c>
      <c r="W254" s="3"/>
      <c r="X254" s="3"/>
      <c r="Y254" s="3"/>
      <c r="Z254" s="3"/>
      <c r="AA254" s="3"/>
      <c r="AB254" s="3"/>
      <c r="AC254" s="3"/>
    </row>
    <row r="255">
      <c r="A255" s="1">
        <v>243.0</v>
      </c>
      <c r="B255" s="2">
        <v>1.42045217391304E9</v>
      </c>
      <c r="C255" s="2">
        <v>-101.8087769</v>
      </c>
      <c r="D255" s="3">
        <f t="shared" si="1"/>
        <v>52173.91304</v>
      </c>
      <c r="E255" s="4">
        <f t="shared" si="2"/>
        <v>-11.93784972</v>
      </c>
      <c r="F255" s="3">
        <f t="shared" si="16"/>
        <v>0.0002288087863</v>
      </c>
      <c r="G255" s="3">
        <f t="shared" si="4"/>
        <v>0</v>
      </c>
      <c r="H255" s="2">
        <f t="shared" si="5"/>
        <v>0</v>
      </c>
      <c r="I255" s="3">
        <f t="shared" si="6"/>
        <v>0</v>
      </c>
      <c r="J255" s="3">
        <f t="shared" si="7"/>
        <v>0</v>
      </c>
      <c r="K255" s="3"/>
      <c r="L255" s="3">
        <f t="shared" si="8"/>
        <v>501.4509719</v>
      </c>
      <c r="M255" s="9">
        <f t="shared" si="9"/>
        <v>474.5959905</v>
      </c>
      <c r="N255" s="9">
        <f t="shared" si="10"/>
        <v>26.85498142</v>
      </c>
      <c r="O255" s="3"/>
      <c r="P255" s="3"/>
      <c r="Q255" s="3"/>
      <c r="R255" s="2"/>
      <c r="S255" s="9">
        <f t="shared" si="13"/>
        <v>24.66082553</v>
      </c>
      <c r="W255" s="3"/>
      <c r="X255" s="3"/>
      <c r="Y255" s="3"/>
      <c r="Z255" s="3"/>
      <c r="AA255" s="3"/>
      <c r="AB255" s="3"/>
      <c r="AC255" s="3"/>
    </row>
    <row r="256">
      <c r="A256" s="1">
        <v>244.0</v>
      </c>
      <c r="B256" s="2">
        <v>1.42045652173913E9</v>
      </c>
      <c r="C256" s="2">
        <v>-101.83638</v>
      </c>
      <c r="D256" s="3">
        <f t="shared" si="1"/>
        <v>56521.73913</v>
      </c>
      <c r="E256" s="4">
        <f t="shared" si="2"/>
        <v>-12.85614585</v>
      </c>
      <c r="F256" s="3">
        <f t="shared" si="16"/>
        <v>0.0002274548881</v>
      </c>
      <c r="G256" s="3">
        <f t="shared" si="4"/>
        <v>0</v>
      </c>
      <c r="H256" s="2">
        <f t="shared" si="5"/>
        <v>0</v>
      </c>
      <c r="I256" s="3">
        <f t="shared" si="6"/>
        <v>0</v>
      </c>
      <c r="J256" s="3">
        <f t="shared" si="7"/>
        <v>0</v>
      </c>
      <c r="K256" s="3"/>
      <c r="L256" s="3">
        <f t="shared" si="8"/>
        <v>498.2739325</v>
      </c>
      <c r="M256" s="9">
        <f t="shared" si="9"/>
        <v>474.4863867</v>
      </c>
      <c r="N256" s="9">
        <f t="shared" si="10"/>
        <v>23.78754577</v>
      </c>
      <c r="O256" s="3"/>
      <c r="P256" s="3"/>
      <c r="Q256" s="3"/>
      <c r="R256" s="2"/>
      <c r="S256" s="9">
        <f t="shared" si="13"/>
        <v>21.84401129</v>
      </c>
      <c r="W256" s="3"/>
      <c r="X256" s="3"/>
      <c r="Y256" s="3"/>
      <c r="Z256" s="3"/>
      <c r="AA256" s="3"/>
      <c r="AB256" s="3"/>
      <c r="AC256" s="3"/>
    </row>
    <row r="257">
      <c r="A257" s="1">
        <v>245.0</v>
      </c>
      <c r="B257" s="2">
        <v>1.42046086956521E9</v>
      </c>
      <c r="C257" s="2">
        <v>-101.770546</v>
      </c>
      <c r="D257" s="3">
        <f t="shared" si="1"/>
        <v>60869.56521</v>
      </c>
      <c r="E257" s="4">
        <f t="shared" si="2"/>
        <v>-13.77444198</v>
      </c>
      <c r="F257" s="3">
        <f t="shared" si="16"/>
        <v>0.000226294404</v>
      </c>
      <c r="G257" s="3">
        <f t="shared" si="4"/>
        <v>0</v>
      </c>
      <c r="H257" s="2">
        <f t="shared" si="5"/>
        <v>0</v>
      </c>
      <c r="I257" s="3">
        <f t="shared" si="6"/>
        <v>0</v>
      </c>
      <c r="J257" s="3">
        <f t="shared" si="7"/>
        <v>0</v>
      </c>
      <c r="K257" s="3"/>
      <c r="L257" s="3">
        <f t="shared" si="8"/>
        <v>505.8847263</v>
      </c>
      <c r="M257" s="9">
        <f t="shared" si="9"/>
        <v>474.3765523</v>
      </c>
      <c r="N257" s="9">
        <f t="shared" si="10"/>
        <v>31.50817402</v>
      </c>
      <c r="O257" s="3"/>
      <c r="P257" s="3"/>
      <c r="Q257" s="3"/>
      <c r="R257" s="2"/>
      <c r="S257" s="9">
        <f t="shared" si="13"/>
        <v>28.93383436</v>
      </c>
      <c r="W257" s="3"/>
      <c r="X257" s="3"/>
      <c r="Y257" s="3"/>
      <c r="Z257" s="3"/>
      <c r="AA257" s="3"/>
      <c r="AB257" s="3"/>
      <c r="AC257" s="3"/>
    </row>
    <row r="258">
      <c r="A258" s="1">
        <v>246.0</v>
      </c>
      <c r="B258" s="2">
        <v>1.4204652173913E9</v>
      </c>
      <c r="C258" s="2">
        <v>-101.7646103</v>
      </c>
      <c r="D258" s="3">
        <f t="shared" si="1"/>
        <v>65217.3913</v>
      </c>
      <c r="E258" s="4">
        <f t="shared" si="2"/>
        <v>-14.69273811</v>
      </c>
      <c r="F258" s="3">
        <f t="shared" si="16"/>
        <v>0.0002252886511</v>
      </c>
      <c r="G258" s="3">
        <f t="shared" si="4"/>
        <v>0</v>
      </c>
      <c r="H258" s="2">
        <f t="shared" si="5"/>
        <v>0</v>
      </c>
      <c r="I258" s="3">
        <f t="shared" si="6"/>
        <v>0</v>
      </c>
      <c r="J258" s="3">
        <f t="shared" si="7"/>
        <v>0</v>
      </c>
      <c r="K258" s="3"/>
      <c r="L258" s="3">
        <f t="shared" si="8"/>
        <v>506.5766147</v>
      </c>
      <c r="M258" s="9">
        <f t="shared" si="9"/>
        <v>474.2664869</v>
      </c>
      <c r="N258" s="9">
        <f t="shared" si="10"/>
        <v>32.3101278</v>
      </c>
      <c r="O258" s="3"/>
      <c r="P258" s="3"/>
      <c r="Q258" s="3"/>
      <c r="R258" s="2"/>
      <c r="S258" s="9">
        <f t="shared" si="13"/>
        <v>29.67026534</v>
      </c>
      <c r="W258" s="3"/>
      <c r="X258" s="3"/>
      <c r="Y258" s="3"/>
      <c r="Z258" s="3"/>
      <c r="AA258" s="3"/>
      <c r="AB258" s="3"/>
      <c r="AC258" s="3"/>
    </row>
    <row r="259">
      <c r="A259" s="1">
        <v>247.0</v>
      </c>
      <c r="B259" s="2">
        <v>1.42046956521739E9</v>
      </c>
      <c r="C259" s="2">
        <v>-101.7659836</v>
      </c>
      <c r="D259" s="3">
        <f t="shared" si="1"/>
        <v>69565.21739</v>
      </c>
      <c r="E259" s="4">
        <f t="shared" si="2"/>
        <v>-15.61103424</v>
      </c>
      <c r="F259" s="3">
        <f t="shared" si="16"/>
        <v>0.0002244086173</v>
      </c>
      <c r="G259" s="3">
        <f t="shared" si="4"/>
        <v>0</v>
      </c>
      <c r="H259" s="2">
        <f t="shared" si="5"/>
        <v>0</v>
      </c>
      <c r="I259" s="3">
        <f t="shared" si="6"/>
        <v>0</v>
      </c>
      <c r="J259" s="3">
        <f t="shared" si="7"/>
        <v>0</v>
      </c>
      <c r="K259" s="3"/>
      <c r="L259" s="3">
        <f t="shared" si="8"/>
        <v>506.4164534</v>
      </c>
      <c r="M259" s="9">
        <f t="shared" si="9"/>
        <v>474.1561901</v>
      </c>
      <c r="N259" s="9">
        <f t="shared" si="10"/>
        <v>32.26026327</v>
      </c>
      <c r="O259" s="3"/>
      <c r="P259" s="3"/>
      <c r="Q259" s="3"/>
      <c r="R259" s="2"/>
      <c r="S259" s="9">
        <f t="shared" si="13"/>
        <v>29.62447501</v>
      </c>
      <c r="W259" s="3"/>
      <c r="X259" s="3"/>
      <c r="Y259" s="3"/>
      <c r="Z259" s="3"/>
      <c r="AA259" s="3"/>
      <c r="AB259" s="3"/>
      <c r="AC259" s="3"/>
    </row>
    <row r="260">
      <c r="A260" s="1">
        <v>248.0</v>
      </c>
      <c r="B260" s="2">
        <v>1.42047391304347E9</v>
      </c>
      <c r="C260" s="2">
        <v>-101.7777786</v>
      </c>
      <c r="D260" s="3">
        <f t="shared" si="1"/>
        <v>73913.04347</v>
      </c>
      <c r="E260" s="4">
        <f t="shared" si="2"/>
        <v>-16.52933038</v>
      </c>
      <c r="F260" s="3">
        <f t="shared" si="16"/>
        <v>0.0002236321169</v>
      </c>
      <c r="G260" s="3">
        <f t="shared" si="4"/>
        <v>0</v>
      </c>
      <c r="H260" s="2">
        <f t="shared" si="5"/>
        <v>0</v>
      </c>
      <c r="I260" s="3">
        <f t="shared" si="6"/>
        <v>0</v>
      </c>
      <c r="J260" s="3">
        <f t="shared" si="7"/>
        <v>0</v>
      </c>
      <c r="K260" s="3"/>
      <c r="L260" s="3">
        <f t="shared" si="8"/>
        <v>505.0429434</v>
      </c>
      <c r="M260" s="9">
        <f t="shared" si="9"/>
        <v>474.0456617</v>
      </c>
      <c r="N260" s="9">
        <f t="shared" si="10"/>
        <v>30.99728172</v>
      </c>
      <c r="O260" s="3"/>
      <c r="P260" s="3"/>
      <c r="Q260" s="3"/>
      <c r="R260" s="2"/>
      <c r="S260" s="9">
        <f t="shared" si="13"/>
        <v>28.46468393</v>
      </c>
      <c r="W260" s="3"/>
      <c r="X260" s="3"/>
      <c r="Y260" s="3"/>
      <c r="Z260" s="3"/>
      <c r="AA260" s="3"/>
      <c r="AB260" s="3"/>
      <c r="AC260" s="3"/>
    </row>
    <row r="261">
      <c r="A261" s="1">
        <v>249.0</v>
      </c>
      <c r="B261" s="2">
        <v>1.42047826086956E9</v>
      </c>
      <c r="C261" s="2">
        <v>-101.7046738</v>
      </c>
      <c r="D261" s="3">
        <f t="shared" si="1"/>
        <v>78260.86956</v>
      </c>
      <c r="E261" s="4">
        <f t="shared" si="2"/>
        <v>-17.44762651</v>
      </c>
      <c r="F261" s="3">
        <f t="shared" si="16"/>
        <v>0.0002229418943</v>
      </c>
      <c r="G261" s="3">
        <f t="shared" si="4"/>
        <v>0</v>
      </c>
      <c r="H261" s="2">
        <f t="shared" si="5"/>
        <v>0</v>
      </c>
      <c r="I261" s="3">
        <f t="shared" si="6"/>
        <v>0</v>
      </c>
      <c r="J261" s="3">
        <f t="shared" si="7"/>
        <v>0</v>
      </c>
      <c r="K261" s="3"/>
      <c r="L261" s="3">
        <f t="shared" si="8"/>
        <v>513.6162875</v>
      </c>
      <c r="M261" s="9">
        <f t="shared" si="9"/>
        <v>473.9349012</v>
      </c>
      <c r="N261" s="9">
        <f t="shared" si="10"/>
        <v>39.68138631</v>
      </c>
      <c r="O261" s="3"/>
      <c r="P261" s="3"/>
      <c r="Q261" s="3"/>
      <c r="R261" s="2"/>
      <c r="S261" s="9">
        <f t="shared" si="13"/>
        <v>36.43926351</v>
      </c>
      <c r="W261" s="3"/>
      <c r="X261" s="3"/>
      <c r="Y261" s="3"/>
      <c r="Z261" s="3"/>
      <c r="AA261" s="3"/>
      <c r="AB261" s="3"/>
      <c r="AC261" s="3"/>
    </row>
    <row r="262">
      <c r="A262" s="1">
        <v>250.0</v>
      </c>
      <c r="B262" s="2">
        <v>1.42048260869565E9</v>
      </c>
      <c r="C262" s="2">
        <v>-101.6924057</v>
      </c>
      <c r="D262" s="3">
        <f t="shared" si="1"/>
        <v>82608.69565</v>
      </c>
      <c r="E262" s="4">
        <f t="shared" si="2"/>
        <v>-18.36592264</v>
      </c>
      <c r="F262" s="3">
        <f t="shared" si="16"/>
        <v>0.0002223243267</v>
      </c>
      <c r="G262" s="3">
        <f t="shared" si="4"/>
        <v>0</v>
      </c>
      <c r="H262" s="2">
        <f t="shared" si="5"/>
        <v>0</v>
      </c>
      <c r="I262" s="3">
        <f t="shared" si="6"/>
        <v>0</v>
      </c>
      <c r="J262" s="3">
        <f t="shared" si="7"/>
        <v>0</v>
      </c>
      <c r="K262" s="3"/>
      <c r="L262" s="3">
        <f t="shared" si="8"/>
        <v>515.0692197</v>
      </c>
      <c r="M262" s="9">
        <f t="shared" si="9"/>
        <v>473.8239084</v>
      </c>
      <c r="N262" s="9">
        <f t="shared" si="10"/>
        <v>41.24531125</v>
      </c>
      <c r="O262" s="3"/>
      <c r="P262" s="3"/>
      <c r="Q262" s="3"/>
      <c r="R262" s="2"/>
      <c r="S262" s="9">
        <f t="shared" si="13"/>
        <v>37.87540982</v>
      </c>
      <c r="W262" s="3"/>
      <c r="X262" s="3"/>
      <c r="Y262" s="3"/>
      <c r="Z262" s="3"/>
      <c r="AA262" s="3"/>
      <c r="AB262" s="3"/>
      <c r="AC262" s="3"/>
    </row>
    <row r="263">
      <c r="A263" s="1">
        <v>251.0</v>
      </c>
      <c r="B263" s="2">
        <v>1.42048695652173E9</v>
      </c>
      <c r="C263" s="2">
        <v>-101.6744919</v>
      </c>
      <c r="D263" s="3">
        <f t="shared" si="1"/>
        <v>86956.52173</v>
      </c>
      <c r="E263" s="4">
        <f t="shared" si="2"/>
        <v>-19.28421877</v>
      </c>
      <c r="F263" s="3">
        <f t="shared" si="16"/>
        <v>0.0002217685159</v>
      </c>
      <c r="G263" s="3">
        <f t="shared" si="4"/>
        <v>0</v>
      </c>
      <c r="H263" s="2">
        <f t="shared" si="5"/>
        <v>0</v>
      </c>
      <c r="I263" s="3">
        <f t="shared" si="6"/>
        <v>0</v>
      </c>
      <c r="J263" s="3">
        <f t="shared" si="7"/>
        <v>0</v>
      </c>
      <c r="K263" s="3"/>
      <c r="L263" s="3">
        <f t="shared" si="8"/>
        <v>517.1981674</v>
      </c>
      <c r="M263" s="9">
        <f t="shared" si="9"/>
        <v>473.7126829</v>
      </c>
      <c r="N263" s="9">
        <f t="shared" si="10"/>
        <v>43.48548449</v>
      </c>
      <c r="O263" s="3"/>
      <c r="P263" s="3"/>
      <c r="Q263" s="3"/>
      <c r="R263" s="2"/>
      <c r="S263" s="9">
        <f t="shared" si="13"/>
        <v>39.93255224</v>
      </c>
      <c r="W263" s="3"/>
      <c r="X263" s="3"/>
      <c r="Y263" s="3"/>
      <c r="Z263" s="3"/>
      <c r="AA263" s="3"/>
      <c r="AB263" s="3"/>
      <c r="AC263" s="3"/>
    </row>
    <row r="264">
      <c r="A264" s="1">
        <v>252.0</v>
      </c>
      <c r="B264" s="2">
        <v>1.42049130434782E9</v>
      </c>
      <c r="C264" s="2">
        <v>-101.6170883</v>
      </c>
      <c r="D264" s="3">
        <f t="shared" si="1"/>
        <v>91304.34782</v>
      </c>
      <c r="E264" s="4">
        <f t="shared" si="2"/>
        <v>-20.20251491</v>
      </c>
      <c r="F264" s="3">
        <f t="shared" si="16"/>
        <v>0.0002212656395</v>
      </c>
      <c r="G264" s="3">
        <f t="shared" si="4"/>
        <v>0</v>
      </c>
      <c r="H264" s="2">
        <f t="shared" si="5"/>
        <v>0</v>
      </c>
      <c r="I264" s="3">
        <f t="shared" si="6"/>
        <v>0</v>
      </c>
      <c r="J264" s="3">
        <f t="shared" si="7"/>
        <v>0</v>
      </c>
      <c r="K264" s="3"/>
      <c r="L264" s="3">
        <f t="shared" si="8"/>
        <v>524.0796995</v>
      </c>
      <c r="M264" s="9">
        <f t="shared" si="9"/>
        <v>473.6012244</v>
      </c>
      <c r="N264" s="9">
        <f t="shared" si="10"/>
        <v>50.47847502</v>
      </c>
      <c r="O264" s="3"/>
      <c r="P264" s="3"/>
      <c r="Q264" s="3"/>
      <c r="R264" s="2"/>
      <c r="S264" s="9">
        <f t="shared" si="13"/>
        <v>46.3541884</v>
      </c>
      <c r="W264" s="3"/>
      <c r="X264" s="3"/>
      <c r="Y264" s="3"/>
      <c r="Z264" s="3"/>
      <c r="AA264" s="3"/>
      <c r="AB264" s="3"/>
      <c r="AC264" s="3"/>
    </row>
    <row r="265">
      <c r="A265" s="1">
        <v>253.0</v>
      </c>
      <c r="B265" s="2">
        <v>1.42049565217391E9</v>
      </c>
      <c r="C265" s="2">
        <v>-101.6345139</v>
      </c>
      <c r="D265" s="3">
        <f t="shared" si="1"/>
        <v>95652.17391</v>
      </c>
      <c r="E265" s="4">
        <f t="shared" si="2"/>
        <v>-21.12081104</v>
      </c>
      <c r="F265" s="3">
        <f t="shared" si="16"/>
        <v>0.0002208084791</v>
      </c>
      <c r="G265" s="3">
        <f t="shared" si="4"/>
        <v>0</v>
      </c>
      <c r="H265" s="2">
        <f t="shared" si="5"/>
        <v>0</v>
      </c>
      <c r="I265" s="3">
        <f t="shared" si="6"/>
        <v>0</v>
      </c>
      <c r="J265" s="3">
        <f t="shared" si="7"/>
        <v>0</v>
      </c>
      <c r="K265" s="3"/>
      <c r="L265" s="3">
        <f t="shared" si="8"/>
        <v>521.9810989</v>
      </c>
      <c r="M265" s="9">
        <f t="shared" si="9"/>
        <v>473.4895326</v>
      </c>
      <c r="N265" s="9">
        <f t="shared" si="10"/>
        <v>48.49156632</v>
      </c>
      <c r="O265" s="3"/>
      <c r="P265" s="3"/>
      <c r="Q265" s="3"/>
      <c r="R265" s="2"/>
      <c r="S265" s="9">
        <f t="shared" si="13"/>
        <v>44.52961773</v>
      </c>
      <c r="W265" s="3"/>
      <c r="X265" s="3"/>
      <c r="Y265" s="3"/>
      <c r="Z265" s="3"/>
      <c r="AA265" s="3"/>
      <c r="AB265" s="3"/>
      <c r="AC265" s="3"/>
    </row>
    <row r="266">
      <c r="A266" s="1">
        <v>254.0</v>
      </c>
      <c r="B266" s="2">
        <v>1.4205E9</v>
      </c>
      <c r="C266" s="2">
        <v>-101.5795441</v>
      </c>
      <c r="D266" s="3">
        <f t="shared" si="1"/>
        <v>100000</v>
      </c>
      <c r="E266" s="4">
        <f t="shared" si="2"/>
        <v>-22.03910717</v>
      </c>
      <c r="F266" s="3">
        <f t="shared" si="16"/>
        <v>0.0002203910717</v>
      </c>
      <c r="G266" s="3">
        <f t="shared" si="4"/>
        <v>0</v>
      </c>
      <c r="H266" s="2">
        <f t="shared" si="5"/>
        <v>0</v>
      </c>
      <c r="I266" s="3">
        <f t="shared" si="6"/>
        <v>0</v>
      </c>
      <c r="J266" s="3">
        <f t="shared" si="7"/>
        <v>0</v>
      </c>
      <c r="K266" s="3"/>
      <c r="L266" s="3">
        <f t="shared" si="8"/>
        <v>528.6299409</v>
      </c>
      <c r="M266" s="9">
        <f t="shared" si="9"/>
        <v>473.3776071</v>
      </c>
      <c r="N266" s="9">
        <f t="shared" si="10"/>
        <v>55.25233382</v>
      </c>
      <c r="O266" s="3"/>
      <c r="P266" s="3"/>
      <c r="Q266" s="3"/>
      <c r="R266" s="2"/>
      <c r="S266" s="9">
        <f t="shared" si="13"/>
        <v>50.73800447</v>
      </c>
      <c r="W266" s="3"/>
      <c r="X266" s="3"/>
      <c r="Y266" s="3"/>
      <c r="Z266" s="3"/>
      <c r="AA266" s="3"/>
      <c r="AB266" s="3"/>
      <c r="AC266" s="3"/>
    </row>
    <row r="267">
      <c r="A267" s="1">
        <v>255.0</v>
      </c>
      <c r="B267" s="2">
        <v>1.42050434782608E9</v>
      </c>
      <c r="C267" s="2">
        <v>-101.585289</v>
      </c>
      <c r="D267" s="3">
        <f t="shared" si="1"/>
        <v>104347.8261</v>
      </c>
      <c r="E267" s="4">
        <f t="shared" si="2"/>
        <v>-22.9574033</v>
      </c>
      <c r="F267" s="3">
        <f t="shared" si="16"/>
        <v>0.0002200084483</v>
      </c>
      <c r="G267" s="3">
        <f t="shared" si="4"/>
        <v>0</v>
      </c>
      <c r="H267" s="2">
        <f t="shared" si="5"/>
        <v>0</v>
      </c>
      <c r="I267" s="3">
        <f t="shared" si="6"/>
        <v>0</v>
      </c>
      <c r="J267" s="3">
        <f t="shared" si="7"/>
        <v>0</v>
      </c>
      <c r="K267" s="3"/>
      <c r="L267" s="3">
        <f t="shared" si="8"/>
        <v>527.9311251</v>
      </c>
      <c r="M267" s="9">
        <f t="shared" si="9"/>
        <v>473.2654476</v>
      </c>
      <c r="N267" s="9">
        <f t="shared" si="10"/>
        <v>54.66567756</v>
      </c>
      <c r="O267" s="3"/>
      <c r="P267" s="3"/>
      <c r="Q267" s="3"/>
      <c r="R267" s="2"/>
      <c r="S267" s="9">
        <f t="shared" si="13"/>
        <v>50.1992803</v>
      </c>
      <c r="W267" s="3"/>
      <c r="X267" s="3"/>
      <c r="Y267" s="3"/>
      <c r="Z267" s="3"/>
      <c r="AA267" s="3"/>
      <c r="AB267" s="3"/>
      <c r="AC267" s="3"/>
    </row>
    <row r="268">
      <c r="A268" s="1">
        <v>256.0</v>
      </c>
      <c r="B268" s="2">
        <v>1.42050869565217E9</v>
      </c>
      <c r="C268" s="2">
        <v>-101.5031738</v>
      </c>
      <c r="D268" s="3">
        <f t="shared" si="1"/>
        <v>108695.6522</v>
      </c>
      <c r="E268" s="4">
        <f t="shared" si="2"/>
        <v>-23.87569944</v>
      </c>
      <c r="F268" s="3">
        <f t="shared" si="16"/>
        <v>0.0002196564348</v>
      </c>
      <c r="G268" s="3">
        <f t="shared" si="4"/>
        <v>0</v>
      </c>
      <c r="H268" s="2">
        <f t="shared" si="5"/>
        <v>0</v>
      </c>
      <c r="I268" s="3">
        <f t="shared" si="6"/>
        <v>0</v>
      </c>
      <c r="J268" s="3">
        <f t="shared" si="7"/>
        <v>0</v>
      </c>
      <c r="K268" s="3"/>
      <c r="L268" s="3">
        <f t="shared" si="8"/>
        <v>538.0080667</v>
      </c>
      <c r="M268" s="9">
        <f t="shared" si="9"/>
        <v>473.1530537</v>
      </c>
      <c r="N268" s="9">
        <f t="shared" si="10"/>
        <v>64.855013</v>
      </c>
      <c r="O268" s="3"/>
      <c r="P268" s="3"/>
      <c r="Q268" s="3"/>
      <c r="R268" s="2"/>
      <c r="S268" s="9">
        <f t="shared" si="13"/>
        <v>59.55610749</v>
      </c>
      <c r="W268" s="3"/>
      <c r="X268" s="3"/>
      <c r="Y268" s="3"/>
      <c r="Z268" s="3"/>
      <c r="AA268" s="3"/>
      <c r="AB268" s="3"/>
      <c r="AC268" s="3"/>
    </row>
    <row r="269">
      <c r="A269" s="1">
        <v>257.0</v>
      </c>
      <c r="B269" s="2">
        <v>1.42051304347826E9</v>
      </c>
      <c r="C269" s="2">
        <v>-101.4341888</v>
      </c>
      <c r="D269" s="3">
        <f t="shared" si="1"/>
        <v>113043.4783</v>
      </c>
      <c r="E269" s="4">
        <f t="shared" si="2"/>
        <v>-24.79399557</v>
      </c>
      <c r="F269" s="3">
        <f t="shared" si="16"/>
        <v>0.0002193314992</v>
      </c>
      <c r="G269" s="3">
        <f t="shared" si="4"/>
        <v>0</v>
      </c>
      <c r="H269" s="2">
        <f t="shared" si="5"/>
        <v>0</v>
      </c>
      <c r="I269" s="3">
        <f t="shared" si="6"/>
        <v>0</v>
      </c>
      <c r="J269" s="3">
        <f t="shared" si="7"/>
        <v>0</v>
      </c>
      <c r="K269" s="3"/>
      <c r="L269" s="3">
        <f t="shared" si="8"/>
        <v>546.6222272</v>
      </c>
      <c r="M269" s="9">
        <f t="shared" si="9"/>
        <v>473.0404252</v>
      </c>
      <c r="N269" s="9">
        <f t="shared" si="10"/>
        <v>73.58180207</v>
      </c>
      <c r="O269" s="3"/>
      <c r="P269" s="3"/>
      <c r="Q269" s="3"/>
      <c r="R269" s="2"/>
      <c r="S269" s="9">
        <f t="shared" si="13"/>
        <v>67.56988429</v>
      </c>
      <c r="W269" s="3"/>
      <c r="X269" s="3"/>
      <c r="Y269" s="3"/>
      <c r="Z269" s="3"/>
      <c r="AA269" s="3"/>
      <c r="AB269" s="3"/>
      <c r="AC269" s="3"/>
    </row>
    <row r="270">
      <c r="A270" s="1">
        <v>258.0</v>
      </c>
      <c r="B270" s="2">
        <v>1.42051739130434E9</v>
      </c>
      <c r="C270" s="2">
        <v>-101.4050293</v>
      </c>
      <c r="D270" s="3">
        <f t="shared" si="1"/>
        <v>117391.3043</v>
      </c>
      <c r="E270" s="4">
        <f t="shared" si="2"/>
        <v>-25.7122917</v>
      </c>
      <c r="F270" s="3">
        <f t="shared" si="16"/>
        <v>0.000219030633</v>
      </c>
      <c r="G270" s="3">
        <f t="shared" si="4"/>
        <v>0</v>
      </c>
      <c r="H270" s="2">
        <f t="shared" si="5"/>
        <v>0</v>
      </c>
      <c r="I270" s="3">
        <f t="shared" si="6"/>
        <v>0</v>
      </c>
      <c r="J270" s="3">
        <f t="shared" si="7"/>
        <v>0</v>
      </c>
      <c r="K270" s="3"/>
      <c r="L270" s="3">
        <f t="shared" si="8"/>
        <v>550.3047195</v>
      </c>
      <c r="M270" s="9">
        <f t="shared" si="9"/>
        <v>472.9275616</v>
      </c>
      <c r="N270" s="9">
        <f t="shared" si="10"/>
        <v>77.37715787</v>
      </c>
      <c r="O270" s="3"/>
      <c r="P270" s="3"/>
      <c r="Q270" s="3"/>
      <c r="R270" s="2"/>
      <c r="S270" s="9">
        <f t="shared" si="13"/>
        <v>71.05514484</v>
      </c>
      <c r="W270" s="3"/>
      <c r="X270" s="3"/>
      <c r="Y270" s="3"/>
      <c r="Z270" s="3"/>
      <c r="AA270" s="3"/>
      <c r="AB270" s="3"/>
      <c r="AC270" s="3"/>
    </row>
    <row r="271">
      <c r="A271" s="1">
        <v>259.0</v>
      </c>
      <c r="B271" s="2">
        <v>1.42052173913043E9</v>
      </c>
      <c r="C271" s="2">
        <v>-101.2045746</v>
      </c>
      <c r="D271" s="3">
        <f t="shared" si="1"/>
        <v>121739.1304</v>
      </c>
      <c r="E271" s="4">
        <f t="shared" si="2"/>
        <v>-26.63058783</v>
      </c>
      <c r="F271" s="3">
        <f t="shared" si="16"/>
        <v>0.0002187512572</v>
      </c>
      <c r="G271" s="3">
        <f t="shared" si="4"/>
        <v>0</v>
      </c>
      <c r="H271" s="2">
        <f t="shared" si="5"/>
        <v>0</v>
      </c>
      <c r="I271" s="3">
        <f t="shared" si="6"/>
        <v>0</v>
      </c>
      <c r="J271" s="3">
        <f t="shared" si="7"/>
        <v>0</v>
      </c>
      <c r="K271" s="3"/>
      <c r="L271" s="3">
        <f t="shared" si="8"/>
        <v>576.3001165</v>
      </c>
      <c r="M271" s="9">
        <f t="shared" si="9"/>
        <v>472.8144627</v>
      </c>
      <c r="N271" s="9">
        <f t="shared" si="10"/>
        <v>103.4856538</v>
      </c>
      <c r="O271" s="3"/>
      <c r="P271" s="3"/>
      <c r="Q271" s="3"/>
      <c r="R271" s="2"/>
      <c r="S271" s="9">
        <f t="shared" si="13"/>
        <v>95.03047548</v>
      </c>
      <c r="W271" s="3"/>
      <c r="X271" s="3"/>
      <c r="Y271" s="3"/>
      <c r="Z271" s="3"/>
      <c r="AA271" s="3"/>
      <c r="AB271" s="3"/>
      <c r="AC271" s="3"/>
    </row>
    <row r="272">
      <c r="A272" s="1">
        <v>260.0</v>
      </c>
      <c r="B272" s="2">
        <v>1.42052608695652E9</v>
      </c>
      <c r="C272" s="2">
        <v>-101.108696</v>
      </c>
      <c r="D272" s="3">
        <f t="shared" si="1"/>
        <v>126086.9565</v>
      </c>
      <c r="E272" s="4">
        <f t="shared" si="2"/>
        <v>-27.54888396</v>
      </c>
      <c r="F272" s="3">
        <f t="shared" si="16"/>
        <v>0.0002184911487</v>
      </c>
      <c r="G272" s="3">
        <f t="shared" si="4"/>
        <v>0</v>
      </c>
      <c r="H272" s="2">
        <f t="shared" si="5"/>
        <v>0</v>
      </c>
      <c r="I272" s="3">
        <f t="shared" si="6"/>
        <v>0</v>
      </c>
      <c r="J272" s="3">
        <f t="shared" si="7"/>
        <v>0</v>
      </c>
      <c r="K272" s="3"/>
      <c r="L272" s="3">
        <f t="shared" si="8"/>
        <v>589.1644956</v>
      </c>
      <c r="M272" s="9">
        <f t="shared" si="9"/>
        <v>472.7011281</v>
      </c>
      <c r="N272" s="9">
        <f t="shared" si="10"/>
        <v>116.4633675</v>
      </c>
      <c r="O272" s="3"/>
      <c r="P272" s="3"/>
      <c r="Q272" s="3"/>
      <c r="R272" s="2"/>
      <c r="S272" s="9">
        <f t="shared" si="13"/>
        <v>106.94786</v>
      </c>
      <c r="W272" s="3"/>
      <c r="X272" s="3"/>
      <c r="Y272" s="3"/>
      <c r="Z272" s="3"/>
      <c r="AA272" s="3"/>
      <c r="AB272" s="3"/>
      <c r="AC272" s="3"/>
    </row>
    <row r="273">
      <c r="A273" s="1">
        <v>261.0</v>
      </c>
      <c r="B273" s="2">
        <v>1.4205304347826E9</v>
      </c>
      <c r="C273" s="2">
        <v>-101.0327072</v>
      </c>
      <c r="D273" s="3">
        <f t="shared" si="1"/>
        <v>130434.7826</v>
      </c>
      <c r="E273" s="4">
        <f t="shared" si="2"/>
        <v>-28.4671801</v>
      </c>
      <c r="F273" s="3">
        <f t="shared" si="16"/>
        <v>0.0002182483807</v>
      </c>
      <c r="G273" s="3">
        <f t="shared" si="4"/>
        <v>0</v>
      </c>
      <c r="H273" s="2">
        <f t="shared" si="5"/>
        <v>0</v>
      </c>
      <c r="I273" s="3">
        <f t="shared" si="6"/>
        <v>0</v>
      </c>
      <c r="J273" s="3">
        <f t="shared" si="7"/>
        <v>0</v>
      </c>
      <c r="K273" s="3"/>
      <c r="L273" s="3">
        <f t="shared" si="8"/>
        <v>599.5638606</v>
      </c>
      <c r="M273" s="9">
        <f t="shared" si="9"/>
        <v>472.5875575</v>
      </c>
      <c r="N273" s="9">
        <f t="shared" si="10"/>
        <v>126.9763032</v>
      </c>
      <c r="O273" s="3"/>
      <c r="P273" s="3"/>
      <c r="Q273" s="3"/>
      <c r="R273" s="2"/>
      <c r="S273" s="9">
        <f t="shared" si="13"/>
        <v>116.6018481</v>
      </c>
      <c r="W273" s="3"/>
      <c r="X273" s="3"/>
      <c r="Y273" s="3"/>
      <c r="Z273" s="3"/>
      <c r="AA273" s="3"/>
      <c r="AB273" s="3"/>
      <c r="AC273" s="3"/>
    </row>
    <row r="274">
      <c r="A274" s="1">
        <v>262.0</v>
      </c>
      <c r="B274" s="2">
        <v>1.42053478260869E9</v>
      </c>
      <c r="C274" s="2">
        <v>-100.8891983</v>
      </c>
      <c r="D274" s="3">
        <f t="shared" si="1"/>
        <v>134782.6087</v>
      </c>
      <c r="E274" s="4">
        <f t="shared" si="2"/>
        <v>-29.38547623</v>
      </c>
      <c r="F274" s="3">
        <f t="shared" si="16"/>
        <v>0.0002180212752</v>
      </c>
      <c r="G274" s="3">
        <f t="shared" si="4"/>
        <v>0</v>
      </c>
      <c r="H274" s="2">
        <f t="shared" si="5"/>
        <v>0</v>
      </c>
      <c r="I274" s="3">
        <f t="shared" si="6"/>
        <v>0</v>
      </c>
      <c r="J274" s="3">
        <f t="shared" si="7"/>
        <v>0</v>
      </c>
      <c r="K274" s="3"/>
      <c r="L274" s="3">
        <f t="shared" si="8"/>
        <v>619.706908</v>
      </c>
      <c r="M274" s="9">
        <f t="shared" si="9"/>
        <v>472.4737505</v>
      </c>
      <c r="N274" s="9">
        <f t="shared" si="10"/>
        <v>147.2331576</v>
      </c>
      <c r="O274" s="3"/>
      <c r="P274" s="3"/>
      <c r="Q274" s="3"/>
      <c r="R274" s="2"/>
      <c r="S274" s="9">
        <f t="shared" si="13"/>
        <v>135.2036392</v>
      </c>
      <c r="W274" s="3"/>
      <c r="X274" s="3"/>
      <c r="Y274" s="3"/>
      <c r="Z274" s="3"/>
      <c r="AA274" s="3"/>
      <c r="AB274" s="3"/>
      <c r="AC274" s="3"/>
    </row>
    <row r="275">
      <c r="A275" s="1">
        <v>263.0</v>
      </c>
      <c r="B275" s="2">
        <v>1.42053913043478E9</v>
      </c>
      <c r="C275" s="2">
        <v>-100.7971268</v>
      </c>
      <c r="D275" s="3">
        <f t="shared" si="1"/>
        <v>139130.4348</v>
      </c>
      <c r="E275" s="4">
        <f t="shared" si="2"/>
        <v>-30.30377236</v>
      </c>
      <c r="F275" s="3">
        <f t="shared" si="16"/>
        <v>0.0002178083638</v>
      </c>
      <c r="G275" s="3">
        <f t="shared" si="4"/>
        <v>0</v>
      </c>
      <c r="H275" s="2">
        <f t="shared" si="5"/>
        <v>0</v>
      </c>
      <c r="I275" s="3">
        <f t="shared" si="6"/>
        <v>0</v>
      </c>
      <c r="J275" s="3">
        <f t="shared" si="7"/>
        <v>0</v>
      </c>
      <c r="K275" s="3"/>
      <c r="L275" s="3">
        <f t="shared" si="8"/>
        <v>632.9851003</v>
      </c>
      <c r="M275" s="9">
        <f t="shared" si="9"/>
        <v>472.3597068</v>
      </c>
      <c r="N275" s="9">
        <f t="shared" si="10"/>
        <v>160.6253935</v>
      </c>
      <c r="O275" s="3"/>
      <c r="P275" s="3"/>
      <c r="Q275" s="3"/>
      <c r="R275" s="2"/>
      <c r="S275" s="9">
        <f t="shared" si="13"/>
        <v>147.5016773</v>
      </c>
      <c r="W275" s="3"/>
      <c r="X275" s="3"/>
      <c r="Y275" s="3"/>
      <c r="Z275" s="3"/>
      <c r="AA275" s="3"/>
      <c r="AB275" s="3"/>
      <c r="AC275" s="3"/>
    </row>
    <row r="276">
      <c r="A276" s="1">
        <v>264.0</v>
      </c>
      <c r="B276" s="2">
        <v>1.42054347826087E9</v>
      </c>
      <c r="C276" s="2">
        <v>-100.7280426</v>
      </c>
      <c r="D276" s="3">
        <f t="shared" si="1"/>
        <v>143478.2609</v>
      </c>
      <c r="E276" s="4">
        <f t="shared" si="2"/>
        <v>-31.22206849</v>
      </c>
      <c r="F276" s="3">
        <f t="shared" si="16"/>
        <v>0.0002176083562</v>
      </c>
      <c r="G276" s="3">
        <f t="shared" si="4"/>
        <v>0</v>
      </c>
      <c r="H276" s="2">
        <f t="shared" si="5"/>
        <v>0</v>
      </c>
      <c r="I276" s="3">
        <f t="shared" si="6"/>
        <v>0</v>
      </c>
      <c r="J276" s="3">
        <f t="shared" si="7"/>
        <v>0</v>
      </c>
      <c r="K276" s="3"/>
      <c r="L276" s="3">
        <f t="shared" si="8"/>
        <v>643.1346482</v>
      </c>
      <c r="M276" s="9">
        <f t="shared" si="9"/>
        <v>472.2454262</v>
      </c>
      <c r="N276" s="9">
        <f t="shared" si="10"/>
        <v>170.889222</v>
      </c>
      <c r="O276" s="3"/>
      <c r="P276" s="3"/>
      <c r="Q276" s="3"/>
      <c r="R276" s="2"/>
      <c r="S276" s="9">
        <f t="shared" si="13"/>
        <v>156.9269117</v>
      </c>
      <c r="W276" s="3"/>
      <c r="X276" s="3"/>
      <c r="Y276" s="3"/>
      <c r="Z276" s="3"/>
      <c r="AA276" s="3"/>
      <c r="AB276" s="3"/>
      <c r="AC276" s="3"/>
    </row>
    <row r="277">
      <c r="A277" s="1">
        <v>265.0</v>
      </c>
      <c r="B277" s="2">
        <v>1.42054782608695E9</v>
      </c>
      <c r="C277" s="2">
        <v>-100.7291107</v>
      </c>
      <c r="D277" s="3">
        <f t="shared" si="1"/>
        <v>147826.087</v>
      </c>
      <c r="E277" s="4">
        <f t="shared" si="2"/>
        <v>-32.14036462</v>
      </c>
      <c r="F277" s="3">
        <f t="shared" si="16"/>
        <v>0.0002174201136</v>
      </c>
      <c r="G277" s="3">
        <f t="shared" si="4"/>
        <v>0</v>
      </c>
      <c r="H277" s="2">
        <f t="shared" si="5"/>
        <v>0</v>
      </c>
      <c r="I277" s="3">
        <f t="shared" si="6"/>
        <v>0</v>
      </c>
      <c r="J277" s="3">
        <f t="shared" si="7"/>
        <v>0</v>
      </c>
      <c r="K277" s="3"/>
      <c r="L277" s="3">
        <f t="shared" si="8"/>
        <v>642.9764957</v>
      </c>
      <c r="M277" s="9">
        <f t="shared" si="9"/>
        <v>472.1309081</v>
      </c>
      <c r="N277" s="9">
        <f t="shared" si="10"/>
        <v>170.8455876</v>
      </c>
      <c r="O277" s="3"/>
      <c r="P277" s="3"/>
      <c r="Q277" s="3"/>
      <c r="R277" s="2"/>
      <c r="S277" s="9">
        <f t="shared" si="13"/>
        <v>156.8868424</v>
      </c>
      <c r="W277" s="3"/>
      <c r="X277" s="3"/>
      <c r="Y277" s="3"/>
      <c r="Z277" s="3"/>
      <c r="AA277" s="3"/>
      <c r="AB277" s="3"/>
      <c r="AC277" s="3"/>
    </row>
    <row r="278">
      <c r="A278" s="1">
        <v>266.0</v>
      </c>
      <c r="B278" s="2">
        <v>1.42055217391304E9</v>
      </c>
      <c r="C278" s="2">
        <v>-100.6372681</v>
      </c>
      <c r="D278" s="3">
        <f t="shared" si="1"/>
        <v>152173.913</v>
      </c>
      <c r="E278" s="4">
        <f t="shared" si="2"/>
        <v>-33.05866076</v>
      </c>
      <c r="F278" s="3">
        <f t="shared" si="16"/>
        <v>0.0002172426278</v>
      </c>
      <c r="G278" s="3">
        <f t="shared" si="4"/>
        <v>0</v>
      </c>
      <c r="H278" s="2">
        <f t="shared" si="5"/>
        <v>0</v>
      </c>
      <c r="I278" s="3">
        <f t="shared" si="6"/>
        <v>0</v>
      </c>
      <c r="J278" s="3">
        <f t="shared" si="7"/>
        <v>0</v>
      </c>
      <c r="K278" s="3"/>
      <c r="L278" s="3">
        <f t="shared" si="8"/>
        <v>656.7186613</v>
      </c>
      <c r="M278" s="9">
        <f t="shared" si="9"/>
        <v>472.0161524</v>
      </c>
      <c r="N278" s="9">
        <f t="shared" si="10"/>
        <v>184.7025089</v>
      </c>
      <c r="O278" s="3"/>
      <c r="P278" s="3"/>
      <c r="Q278" s="3"/>
      <c r="R278" s="2"/>
      <c r="S278" s="9">
        <f t="shared" si="13"/>
        <v>169.6115993</v>
      </c>
      <c r="W278" s="3"/>
      <c r="X278" s="3"/>
      <c r="Y278" s="3"/>
      <c r="Z278" s="3"/>
      <c r="AA278" s="3"/>
      <c r="AB278" s="3"/>
      <c r="AC278" s="3"/>
    </row>
    <row r="279">
      <c r="A279" s="1">
        <v>267.0</v>
      </c>
      <c r="B279" s="2">
        <v>1.42055652173913E9</v>
      </c>
      <c r="C279" s="2">
        <v>-100.6764221</v>
      </c>
      <c r="D279" s="3">
        <f t="shared" si="1"/>
        <v>156521.7391</v>
      </c>
      <c r="E279" s="4">
        <f t="shared" si="2"/>
        <v>-33.97695689</v>
      </c>
      <c r="F279" s="3">
        <f t="shared" si="16"/>
        <v>0.0002170750023</v>
      </c>
      <c r="G279" s="3">
        <f t="shared" si="4"/>
        <v>0</v>
      </c>
      <c r="H279" s="2">
        <f t="shared" si="5"/>
        <v>0</v>
      </c>
      <c r="I279" s="3">
        <f t="shared" si="6"/>
        <v>0</v>
      </c>
      <c r="J279" s="3">
        <f t="shared" si="7"/>
        <v>0</v>
      </c>
      <c r="K279" s="3"/>
      <c r="L279" s="3">
        <f t="shared" si="8"/>
        <v>650.8245959</v>
      </c>
      <c r="M279" s="9">
        <f t="shared" si="9"/>
        <v>471.9011587</v>
      </c>
      <c r="N279" s="9">
        <f t="shared" si="10"/>
        <v>178.9234372</v>
      </c>
      <c r="O279" s="3"/>
      <c r="P279" s="3"/>
      <c r="Q279" s="3"/>
      <c r="R279" s="2"/>
      <c r="S279" s="9">
        <f t="shared" si="13"/>
        <v>164.3047004</v>
      </c>
      <c r="W279" s="3"/>
      <c r="X279" s="3"/>
      <c r="Y279" s="3"/>
      <c r="Z279" s="3"/>
      <c r="AA279" s="3"/>
      <c r="AB279" s="3"/>
      <c r="AC279" s="3"/>
    </row>
    <row r="280">
      <c r="A280" s="1">
        <v>268.0</v>
      </c>
      <c r="B280" s="2">
        <v>1.42056086956521E9</v>
      </c>
      <c r="C280" s="2">
        <v>-100.6897354</v>
      </c>
      <c r="D280" s="3">
        <f t="shared" si="1"/>
        <v>160869.5652</v>
      </c>
      <c r="E280" s="4">
        <f t="shared" si="2"/>
        <v>-34.89525302</v>
      </c>
      <c r="F280" s="3">
        <f t="shared" si="16"/>
        <v>0.0002169164377</v>
      </c>
      <c r="G280" s="3">
        <f t="shared" si="4"/>
        <v>0</v>
      </c>
      <c r="H280" s="2">
        <f t="shared" si="5"/>
        <v>0</v>
      </c>
      <c r="I280" s="3">
        <f t="shared" si="6"/>
        <v>0</v>
      </c>
      <c r="J280" s="3">
        <f t="shared" si="7"/>
        <v>0</v>
      </c>
      <c r="K280" s="3"/>
      <c r="L280" s="3">
        <f t="shared" si="8"/>
        <v>648.8325476</v>
      </c>
      <c r="M280" s="9">
        <f t="shared" si="9"/>
        <v>471.7859266</v>
      </c>
      <c r="N280" s="9">
        <f t="shared" si="10"/>
        <v>177.046621</v>
      </c>
      <c r="O280" s="3"/>
      <c r="P280" s="3"/>
      <c r="Q280" s="3"/>
      <c r="R280" s="2"/>
      <c r="S280" s="9">
        <f t="shared" si="13"/>
        <v>162.5812274</v>
      </c>
      <c r="W280" s="3"/>
      <c r="X280" s="3"/>
      <c r="Y280" s="3"/>
      <c r="Z280" s="3"/>
      <c r="AA280" s="3"/>
      <c r="AB280" s="3"/>
      <c r="AC280" s="3"/>
    </row>
    <row r="281">
      <c r="A281" s="1">
        <v>269.0</v>
      </c>
      <c r="B281" s="2">
        <v>1.4205652173913E9</v>
      </c>
      <c r="C281" s="2">
        <v>-100.8228378</v>
      </c>
      <c r="D281" s="3">
        <f t="shared" si="1"/>
        <v>165217.3913</v>
      </c>
      <c r="E281" s="4">
        <f t="shared" si="2"/>
        <v>-35.81354915</v>
      </c>
      <c r="F281" s="3">
        <f t="shared" si="16"/>
        <v>0.0002167662186</v>
      </c>
      <c r="G281" s="3">
        <f t="shared" si="4"/>
        <v>0</v>
      </c>
      <c r="H281" s="2">
        <f t="shared" si="5"/>
        <v>0</v>
      </c>
      <c r="I281" s="3">
        <f t="shared" si="6"/>
        <v>0</v>
      </c>
      <c r="J281" s="3">
        <f t="shared" si="7"/>
        <v>0</v>
      </c>
      <c r="K281" s="3"/>
      <c r="L281" s="3">
        <f t="shared" si="8"/>
        <v>629.2487875</v>
      </c>
      <c r="M281" s="9">
        <f t="shared" si="9"/>
        <v>471.6704558</v>
      </c>
      <c r="N281" s="9">
        <f t="shared" si="10"/>
        <v>157.5783317</v>
      </c>
      <c r="O281" s="3"/>
      <c r="P281" s="3"/>
      <c r="Q281" s="3"/>
      <c r="R281" s="2"/>
      <c r="S281" s="9">
        <f t="shared" si="13"/>
        <v>144.7035723</v>
      </c>
      <c r="W281" s="3"/>
      <c r="X281" s="3"/>
      <c r="Y281" s="3"/>
      <c r="Z281" s="3"/>
      <c r="AA281" s="3"/>
      <c r="AB281" s="3"/>
      <c r="AC281" s="3"/>
    </row>
    <row r="282">
      <c r="A282" s="1">
        <v>270.0</v>
      </c>
      <c r="B282" s="2">
        <v>1.42056956521739E9</v>
      </c>
      <c r="C282" s="2">
        <v>-100.862793</v>
      </c>
      <c r="D282" s="3">
        <f t="shared" si="1"/>
        <v>169565.2174</v>
      </c>
      <c r="E282" s="4">
        <f t="shared" si="2"/>
        <v>-36.73184528</v>
      </c>
      <c r="F282" s="3">
        <f t="shared" si="16"/>
        <v>0.000216623703</v>
      </c>
      <c r="G282" s="3">
        <f t="shared" si="4"/>
        <v>0</v>
      </c>
      <c r="H282" s="2">
        <f t="shared" si="5"/>
        <v>0</v>
      </c>
      <c r="I282" s="3">
        <f t="shared" si="6"/>
        <v>0</v>
      </c>
      <c r="J282" s="3">
        <f t="shared" si="7"/>
        <v>0</v>
      </c>
      <c r="K282" s="3"/>
      <c r="L282" s="3">
        <f t="shared" si="8"/>
        <v>623.4862315</v>
      </c>
      <c r="M282" s="9">
        <f t="shared" si="9"/>
        <v>471.554746</v>
      </c>
      <c r="N282" s="9">
        <f t="shared" si="10"/>
        <v>151.9314855</v>
      </c>
      <c r="O282" s="3"/>
      <c r="P282" s="3"/>
      <c r="Q282" s="3"/>
      <c r="R282" s="2"/>
      <c r="S282" s="9">
        <f t="shared" si="13"/>
        <v>139.5180956</v>
      </c>
      <c r="W282" s="3"/>
      <c r="X282" s="3"/>
      <c r="Y282" s="3"/>
      <c r="Z282" s="3"/>
      <c r="AA282" s="3"/>
      <c r="AB282" s="3"/>
      <c r="AC282" s="3"/>
    </row>
    <row r="283">
      <c r="A283" s="1">
        <v>271.0</v>
      </c>
      <c r="B283" s="2">
        <v>1.42057391304347E9</v>
      </c>
      <c r="C283" s="2">
        <v>-101.0070343</v>
      </c>
      <c r="D283" s="3">
        <f t="shared" si="1"/>
        <v>173913.0435</v>
      </c>
      <c r="E283" s="4">
        <f t="shared" si="2"/>
        <v>-37.65014142</v>
      </c>
      <c r="F283" s="3">
        <f t="shared" si="16"/>
        <v>0.0002164883132</v>
      </c>
      <c r="G283" s="3">
        <f t="shared" si="4"/>
        <v>0</v>
      </c>
      <c r="H283" s="2">
        <f t="shared" si="5"/>
        <v>0</v>
      </c>
      <c r="I283" s="3">
        <f t="shared" si="6"/>
        <v>0</v>
      </c>
      <c r="J283" s="3">
        <f t="shared" si="7"/>
        <v>0</v>
      </c>
      <c r="K283" s="3"/>
      <c r="L283" s="3">
        <f t="shared" si="8"/>
        <v>603.1186211</v>
      </c>
      <c r="M283" s="9">
        <f t="shared" si="9"/>
        <v>471.4387968</v>
      </c>
      <c r="N283" s="9">
        <f t="shared" si="10"/>
        <v>131.6798243</v>
      </c>
      <c r="O283" s="3"/>
      <c r="P283" s="3"/>
      <c r="Q283" s="3"/>
      <c r="R283" s="2"/>
      <c r="S283" s="9">
        <f t="shared" si="13"/>
        <v>120.9210734</v>
      </c>
      <c r="W283" s="3"/>
      <c r="X283" s="3"/>
      <c r="Y283" s="3"/>
      <c r="Z283" s="3"/>
      <c r="AA283" s="3"/>
      <c r="AB283" s="3"/>
      <c r="AC283" s="3"/>
    </row>
    <row r="284">
      <c r="A284" s="1">
        <v>272.0</v>
      </c>
      <c r="B284" s="2">
        <v>1.42057826086956E9</v>
      </c>
      <c r="C284" s="2">
        <v>-101.1416168</v>
      </c>
      <c r="D284" s="3">
        <f t="shared" si="1"/>
        <v>178260.8696</v>
      </c>
      <c r="E284" s="4">
        <f t="shared" si="2"/>
        <v>-38.56843755</v>
      </c>
      <c r="F284" s="3">
        <f t="shared" si="16"/>
        <v>0.0002163595277</v>
      </c>
      <c r="G284" s="3">
        <f t="shared" si="4"/>
        <v>0</v>
      </c>
      <c r="H284" s="2">
        <f t="shared" si="5"/>
        <v>0</v>
      </c>
      <c r="I284" s="3">
        <f t="shared" si="6"/>
        <v>0</v>
      </c>
      <c r="J284" s="3">
        <f t="shared" si="7"/>
        <v>0</v>
      </c>
      <c r="K284" s="3"/>
      <c r="L284" s="3">
        <f t="shared" si="8"/>
        <v>584.7153396</v>
      </c>
      <c r="M284" s="9">
        <f t="shared" si="9"/>
        <v>471.322608</v>
      </c>
      <c r="N284" s="9">
        <f t="shared" si="10"/>
        <v>113.3927316</v>
      </c>
      <c r="O284" s="3"/>
      <c r="P284" s="3"/>
      <c r="Q284" s="3"/>
      <c r="R284" s="2"/>
      <c r="S284" s="9">
        <f t="shared" si="13"/>
        <v>104.1281067</v>
      </c>
      <c r="W284" s="3"/>
      <c r="X284" s="3"/>
      <c r="Y284" s="3"/>
      <c r="Z284" s="3"/>
      <c r="AA284" s="3"/>
      <c r="AB284" s="3"/>
      <c r="AC284" s="3"/>
    </row>
    <row r="285">
      <c r="A285" s="1">
        <v>273.0</v>
      </c>
      <c r="B285" s="2">
        <v>1.42058260869565E9</v>
      </c>
      <c r="C285" s="2">
        <v>-101.3518829</v>
      </c>
      <c r="D285" s="3">
        <f t="shared" si="1"/>
        <v>182608.6957</v>
      </c>
      <c r="E285" s="4">
        <f t="shared" si="2"/>
        <v>-39.48673368</v>
      </c>
      <c r="F285" s="3">
        <f t="shared" si="16"/>
        <v>0.0002162368749</v>
      </c>
      <c r="G285" s="3">
        <f t="shared" si="4"/>
        <v>0</v>
      </c>
      <c r="H285" s="2">
        <f t="shared" si="5"/>
        <v>0</v>
      </c>
      <c r="I285" s="3">
        <f t="shared" si="6"/>
        <v>0</v>
      </c>
      <c r="J285" s="3">
        <f t="shared" si="7"/>
        <v>0</v>
      </c>
      <c r="K285" s="3"/>
      <c r="L285" s="3">
        <f t="shared" si="8"/>
        <v>557.0803982</v>
      </c>
      <c r="M285" s="9">
        <f t="shared" si="9"/>
        <v>471.2061791</v>
      </c>
      <c r="N285" s="9">
        <f t="shared" si="10"/>
        <v>85.87421915</v>
      </c>
      <c r="O285" s="3"/>
      <c r="P285" s="3"/>
      <c r="Q285" s="3"/>
      <c r="R285" s="2"/>
      <c r="S285" s="9">
        <f t="shared" si="13"/>
        <v>78.85796335</v>
      </c>
      <c r="W285" s="3"/>
      <c r="X285" s="3"/>
      <c r="Y285" s="3"/>
      <c r="Z285" s="3"/>
      <c r="AA285" s="3"/>
      <c r="AB285" s="3"/>
      <c r="AC285" s="3"/>
    </row>
    <row r="286">
      <c r="A286" s="1">
        <v>274.0</v>
      </c>
      <c r="B286" s="2">
        <v>1.42058695652173E9</v>
      </c>
      <c r="C286" s="2">
        <v>-101.5112381</v>
      </c>
      <c r="D286" s="3">
        <f t="shared" si="1"/>
        <v>186956.5217</v>
      </c>
      <c r="E286" s="4">
        <f t="shared" si="2"/>
        <v>-40.40502981</v>
      </c>
      <c r="F286" s="3">
        <f t="shared" si="16"/>
        <v>0.0002161199269</v>
      </c>
      <c r="G286" s="3">
        <f t="shared" si="4"/>
        <v>0</v>
      </c>
      <c r="H286" s="2">
        <f t="shared" si="5"/>
        <v>0</v>
      </c>
      <c r="I286" s="3">
        <f t="shared" si="6"/>
        <v>0</v>
      </c>
      <c r="J286" s="3">
        <f t="shared" si="7"/>
        <v>0</v>
      </c>
      <c r="K286" s="3"/>
      <c r="L286" s="3">
        <f t="shared" si="8"/>
        <v>537.0099806</v>
      </c>
      <c r="M286" s="9">
        <f t="shared" si="9"/>
        <v>471.0895098</v>
      </c>
      <c r="N286" s="9">
        <f t="shared" si="10"/>
        <v>65.92047079</v>
      </c>
      <c r="O286" s="3"/>
      <c r="P286" s="3"/>
      <c r="Q286" s="3"/>
      <c r="R286" s="2"/>
      <c r="S286" s="9">
        <f t="shared" si="13"/>
        <v>60.5345134</v>
      </c>
      <c r="W286" s="3"/>
      <c r="X286" s="3"/>
      <c r="Y286" s="3"/>
      <c r="Z286" s="3"/>
      <c r="AA286" s="3"/>
      <c r="AB286" s="3"/>
      <c r="AC286" s="3"/>
    </row>
    <row r="287">
      <c r="A287" s="1">
        <v>275.0</v>
      </c>
      <c r="B287" s="2">
        <v>1.42059130434782E9</v>
      </c>
      <c r="C287" s="2">
        <v>-101.643425</v>
      </c>
      <c r="D287" s="3">
        <f t="shared" si="1"/>
        <v>191304.3478</v>
      </c>
      <c r="E287" s="4">
        <f t="shared" si="2"/>
        <v>-41.32332595</v>
      </c>
      <c r="F287" s="3">
        <f t="shared" si="16"/>
        <v>0.0002160082947</v>
      </c>
      <c r="G287" s="3">
        <f t="shared" si="4"/>
        <v>0</v>
      </c>
      <c r="H287" s="2">
        <f t="shared" si="5"/>
        <v>0</v>
      </c>
      <c r="I287" s="3">
        <f t="shared" si="6"/>
        <v>0</v>
      </c>
      <c r="J287" s="3">
        <f t="shared" si="7"/>
        <v>0</v>
      </c>
      <c r="K287" s="3"/>
      <c r="L287" s="3">
        <f t="shared" si="8"/>
        <v>520.9111666</v>
      </c>
      <c r="M287" s="9">
        <f t="shared" si="9"/>
        <v>470.9725999</v>
      </c>
      <c r="N287" s="9">
        <f t="shared" si="10"/>
        <v>49.93856673</v>
      </c>
      <c r="O287" s="3"/>
      <c r="P287" s="3"/>
      <c r="Q287" s="3"/>
      <c r="R287" s="2"/>
      <c r="S287" s="9">
        <f t="shared" si="13"/>
        <v>45.85839271</v>
      </c>
      <c r="W287" s="3"/>
      <c r="X287" s="3"/>
      <c r="Y287" s="3"/>
      <c r="Z287" s="3"/>
      <c r="AA287" s="3"/>
      <c r="AB287" s="3"/>
      <c r="AC287" s="3"/>
    </row>
    <row r="288">
      <c r="A288" s="1">
        <v>276.0</v>
      </c>
      <c r="B288" s="2">
        <v>1.42059565217391E9</v>
      </c>
      <c r="C288" s="2">
        <v>-101.7038193</v>
      </c>
      <c r="D288" s="3">
        <f t="shared" si="1"/>
        <v>195652.1739</v>
      </c>
      <c r="E288" s="4">
        <f t="shared" si="2"/>
        <v>-42.24162208</v>
      </c>
      <c r="F288" s="3">
        <f t="shared" si="16"/>
        <v>0.000215901624</v>
      </c>
      <c r="G288" s="3">
        <f t="shared" si="4"/>
        <v>0</v>
      </c>
      <c r="H288" s="2">
        <f t="shared" si="5"/>
        <v>0</v>
      </c>
      <c r="I288" s="3">
        <f t="shared" si="6"/>
        <v>0</v>
      </c>
      <c r="J288" s="3">
        <f t="shared" si="7"/>
        <v>0</v>
      </c>
      <c r="K288" s="3"/>
      <c r="L288" s="3">
        <f t="shared" si="8"/>
        <v>513.7173545</v>
      </c>
      <c r="M288" s="9">
        <f t="shared" si="9"/>
        <v>470.8554489</v>
      </c>
      <c r="N288" s="9">
        <f t="shared" si="10"/>
        <v>42.86190556</v>
      </c>
      <c r="O288" s="3"/>
      <c r="P288" s="3"/>
      <c r="Q288" s="3"/>
      <c r="R288" s="2"/>
      <c r="S288" s="9">
        <f t="shared" si="13"/>
        <v>39.35992203</v>
      </c>
      <c r="W288" s="3"/>
      <c r="X288" s="3"/>
      <c r="Y288" s="3"/>
      <c r="Z288" s="3"/>
      <c r="AA288" s="3"/>
      <c r="AB288" s="3"/>
      <c r="AC288" s="3"/>
    </row>
    <row r="289">
      <c r="A289" s="1">
        <v>277.0</v>
      </c>
      <c r="B289" s="2">
        <v>1.4206E9</v>
      </c>
      <c r="C289" s="2">
        <v>-101.8152847</v>
      </c>
      <c r="D289" s="3">
        <f t="shared" si="1"/>
        <v>200000</v>
      </c>
      <c r="E289" s="4">
        <f t="shared" si="2"/>
        <v>-43.15991821</v>
      </c>
      <c r="F289" s="3">
        <f t="shared" si="16"/>
        <v>0.000215799591</v>
      </c>
      <c r="G289" s="3">
        <f t="shared" si="4"/>
        <v>0</v>
      </c>
      <c r="H289" s="2">
        <f t="shared" si="5"/>
        <v>0</v>
      </c>
      <c r="I289" s="3">
        <f t="shared" si="6"/>
        <v>0</v>
      </c>
      <c r="J289" s="3">
        <f t="shared" si="7"/>
        <v>0</v>
      </c>
      <c r="K289" s="3"/>
      <c r="L289" s="3">
        <f t="shared" si="8"/>
        <v>500.7001222</v>
      </c>
      <c r="M289" s="9">
        <f t="shared" si="9"/>
        <v>470.7380566</v>
      </c>
      <c r="N289" s="9">
        <f t="shared" si="10"/>
        <v>29.96206559</v>
      </c>
      <c r="O289" s="3"/>
      <c r="P289" s="3"/>
      <c r="Q289" s="3"/>
      <c r="R289" s="2"/>
      <c r="S289" s="9">
        <f t="shared" si="13"/>
        <v>27.51404896</v>
      </c>
      <c r="W289" s="3"/>
      <c r="X289" s="3"/>
      <c r="Y289" s="3"/>
      <c r="Z289" s="3"/>
      <c r="AA289" s="3"/>
      <c r="AB289" s="3"/>
      <c r="AC289" s="3"/>
    </row>
    <row r="290">
      <c r="A290" s="1">
        <v>278.0</v>
      </c>
      <c r="B290" s="2">
        <v>1.42060434782608E9</v>
      </c>
      <c r="C290" s="2">
        <v>-101.8286438</v>
      </c>
      <c r="D290" s="3">
        <f t="shared" si="1"/>
        <v>204347.8261</v>
      </c>
      <c r="E290" s="4">
        <f t="shared" si="2"/>
        <v>-44.07821434</v>
      </c>
      <c r="F290" s="3">
        <f t="shared" si="16"/>
        <v>0.0002157019</v>
      </c>
      <c r="G290" s="3">
        <f t="shared" si="4"/>
        <v>0</v>
      </c>
      <c r="H290" s="2">
        <f t="shared" si="5"/>
        <v>0</v>
      </c>
      <c r="I290" s="3">
        <f t="shared" si="6"/>
        <v>0</v>
      </c>
      <c r="J290" s="3">
        <f t="shared" si="7"/>
        <v>0</v>
      </c>
      <c r="K290" s="3"/>
      <c r="L290" s="3">
        <f t="shared" si="8"/>
        <v>499.1623118</v>
      </c>
      <c r="M290" s="9">
        <f t="shared" si="9"/>
        <v>470.6204226</v>
      </c>
      <c r="N290" s="9">
        <f t="shared" si="10"/>
        <v>28.54188919</v>
      </c>
      <c r="O290" s="3"/>
      <c r="P290" s="3"/>
      <c r="Q290" s="3"/>
      <c r="R290" s="2"/>
      <c r="S290" s="9">
        <f t="shared" si="13"/>
        <v>26.20990646</v>
      </c>
      <c r="W290" s="3"/>
      <c r="X290" s="3"/>
      <c r="Y290" s="3"/>
      <c r="Z290" s="3"/>
      <c r="AA290" s="3"/>
      <c r="AB290" s="3"/>
      <c r="AC290" s="3"/>
    </row>
    <row r="291">
      <c r="A291" s="1">
        <v>279.0</v>
      </c>
      <c r="B291" s="2">
        <v>1.42060869565217E9</v>
      </c>
      <c r="C291" s="2">
        <v>-101.8949356</v>
      </c>
      <c r="D291" s="3">
        <f t="shared" si="1"/>
        <v>208695.6522</v>
      </c>
      <c r="E291" s="4">
        <f t="shared" si="2"/>
        <v>-44.99651047</v>
      </c>
      <c r="F291" s="3">
        <f t="shared" si="16"/>
        <v>0.0002156082794</v>
      </c>
      <c r="G291" s="3">
        <f t="shared" si="4"/>
        <v>0</v>
      </c>
      <c r="H291" s="2">
        <f t="shared" si="5"/>
        <v>0</v>
      </c>
      <c r="I291" s="3">
        <f t="shared" si="6"/>
        <v>0</v>
      </c>
      <c r="J291" s="3">
        <f t="shared" si="7"/>
        <v>0</v>
      </c>
      <c r="K291" s="3"/>
      <c r="L291" s="3">
        <f t="shared" si="8"/>
        <v>491.6008299</v>
      </c>
      <c r="M291" s="9">
        <f t="shared" si="9"/>
        <v>470.5025465</v>
      </c>
      <c r="N291" s="9">
        <f t="shared" si="10"/>
        <v>21.0982834</v>
      </c>
      <c r="O291" s="3"/>
      <c r="P291" s="3"/>
      <c r="Q291" s="3"/>
      <c r="R291" s="2"/>
      <c r="S291" s="9">
        <f t="shared" si="13"/>
        <v>19.37447201</v>
      </c>
      <c r="W291" s="3"/>
      <c r="X291" s="3"/>
      <c r="Y291" s="3"/>
      <c r="Z291" s="3"/>
      <c r="AA291" s="3"/>
      <c r="AB291" s="3"/>
      <c r="AC291" s="3"/>
    </row>
    <row r="292">
      <c r="A292" s="1">
        <v>280.0</v>
      </c>
      <c r="B292" s="2">
        <v>1.42061304347826E9</v>
      </c>
      <c r="C292" s="2">
        <v>-101.8916245</v>
      </c>
      <c r="D292" s="3">
        <f t="shared" si="1"/>
        <v>213043.4783</v>
      </c>
      <c r="E292" s="4">
        <f t="shared" si="2"/>
        <v>-45.91480661</v>
      </c>
      <c r="F292" s="3">
        <f t="shared" si="16"/>
        <v>0.00021551848</v>
      </c>
      <c r="G292" s="3">
        <f t="shared" si="4"/>
        <v>0</v>
      </c>
      <c r="H292" s="2">
        <f t="shared" si="5"/>
        <v>0</v>
      </c>
      <c r="I292" s="3">
        <f t="shared" si="6"/>
        <v>0</v>
      </c>
      <c r="J292" s="3">
        <f t="shared" si="7"/>
        <v>0</v>
      </c>
      <c r="K292" s="3"/>
      <c r="L292" s="3">
        <f t="shared" si="8"/>
        <v>491.9757737</v>
      </c>
      <c r="M292" s="9">
        <f t="shared" si="9"/>
        <v>470.3844281</v>
      </c>
      <c r="N292" s="9">
        <f t="shared" si="10"/>
        <v>21.59134561</v>
      </c>
      <c r="O292" s="3"/>
      <c r="P292" s="3"/>
      <c r="Q292" s="3"/>
      <c r="R292" s="2"/>
      <c r="S292" s="9">
        <f t="shared" si="13"/>
        <v>19.82724918</v>
      </c>
      <c r="W292" s="3"/>
      <c r="X292" s="3"/>
      <c r="Y292" s="3"/>
      <c r="Z292" s="3"/>
      <c r="AA292" s="3"/>
      <c r="AB292" s="3"/>
      <c r="AC292" s="3"/>
    </row>
    <row r="293">
      <c r="A293" s="1">
        <v>281.0</v>
      </c>
      <c r="B293" s="2">
        <v>1.42061739130434E9</v>
      </c>
      <c r="C293" s="2">
        <v>-101.9874039</v>
      </c>
      <c r="D293" s="3">
        <f t="shared" si="1"/>
        <v>217391.3043</v>
      </c>
      <c r="E293" s="4">
        <f t="shared" si="2"/>
        <v>-46.83310274</v>
      </c>
      <c r="F293" s="3">
        <f t="shared" si="16"/>
        <v>0.0002154322726</v>
      </c>
      <c r="G293" s="3">
        <f t="shared" si="4"/>
        <v>0</v>
      </c>
      <c r="H293" s="2">
        <f t="shared" si="5"/>
        <v>0</v>
      </c>
      <c r="I293" s="3">
        <f t="shared" si="6"/>
        <v>0</v>
      </c>
      <c r="J293" s="3">
        <f t="shared" si="7"/>
        <v>0</v>
      </c>
      <c r="K293" s="3"/>
      <c r="L293" s="3">
        <f t="shared" si="8"/>
        <v>481.2444981</v>
      </c>
      <c r="M293" s="9">
        <f t="shared" si="9"/>
        <v>470.266067</v>
      </c>
      <c r="N293" s="9">
        <f t="shared" si="10"/>
        <v>10.97843111</v>
      </c>
      <c r="O293" s="3"/>
      <c r="P293" s="3"/>
      <c r="Q293" s="3"/>
      <c r="R293" s="2"/>
      <c r="S293" s="9">
        <f t="shared" si="13"/>
        <v>10.08145084</v>
      </c>
      <c r="W293" s="3"/>
      <c r="X293" s="3"/>
      <c r="Y293" s="3"/>
      <c r="Z293" s="3"/>
      <c r="AA293" s="3"/>
      <c r="AB293" s="3"/>
      <c r="AC293" s="3"/>
    </row>
    <row r="294">
      <c r="A294" s="1">
        <v>282.0</v>
      </c>
      <c r="B294" s="2">
        <v>1.42062173913043E9</v>
      </c>
      <c r="C294" s="2">
        <v>-101.939888</v>
      </c>
      <c r="D294" s="3">
        <f t="shared" si="1"/>
        <v>221739.1304</v>
      </c>
      <c r="E294" s="4">
        <f t="shared" si="2"/>
        <v>-47.75139887</v>
      </c>
      <c r="F294" s="3">
        <f t="shared" si="16"/>
        <v>0.0002153494459</v>
      </c>
      <c r="G294" s="3">
        <f t="shared" si="4"/>
        <v>0</v>
      </c>
      <c r="H294" s="2">
        <f t="shared" si="5"/>
        <v>0</v>
      </c>
      <c r="I294" s="3">
        <f t="shared" si="6"/>
        <v>0</v>
      </c>
      <c r="J294" s="3">
        <f t="shared" si="7"/>
        <v>0</v>
      </c>
      <c r="K294" s="3"/>
      <c r="L294" s="3">
        <f t="shared" si="8"/>
        <v>486.5386742</v>
      </c>
      <c r="M294" s="9">
        <f t="shared" si="9"/>
        <v>470.1474628</v>
      </c>
      <c r="N294" s="9">
        <f t="shared" si="10"/>
        <v>16.39121142</v>
      </c>
      <c r="O294" s="3"/>
      <c r="P294" s="3"/>
      <c r="Q294" s="3"/>
      <c r="R294" s="2"/>
      <c r="S294" s="9">
        <f t="shared" si="13"/>
        <v>15.05198602</v>
      </c>
      <c r="W294" s="3"/>
      <c r="X294" s="3"/>
      <c r="Y294" s="3"/>
      <c r="Z294" s="3"/>
      <c r="AA294" s="3"/>
      <c r="AB294" s="3"/>
      <c r="AC294" s="3"/>
    </row>
    <row r="295">
      <c r="A295" s="1">
        <v>283.0</v>
      </c>
      <c r="B295" s="2">
        <v>1.42062608695652E9</v>
      </c>
      <c r="C295" s="2">
        <v>-101.9482193</v>
      </c>
      <c r="D295" s="3">
        <f t="shared" si="1"/>
        <v>226086.9565</v>
      </c>
      <c r="E295" s="4">
        <f t="shared" si="2"/>
        <v>-48.669695</v>
      </c>
      <c r="F295" s="3">
        <f t="shared" si="16"/>
        <v>0.0002152698048</v>
      </c>
      <c r="G295" s="3">
        <f t="shared" si="4"/>
        <v>0</v>
      </c>
      <c r="H295" s="2">
        <f t="shared" si="5"/>
        <v>0</v>
      </c>
      <c r="I295" s="3">
        <f t="shared" si="6"/>
        <v>0</v>
      </c>
      <c r="J295" s="3">
        <f t="shared" si="7"/>
        <v>0</v>
      </c>
      <c r="K295" s="3"/>
      <c r="L295" s="3">
        <f t="shared" si="8"/>
        <v>485.6062161</v>
      </c>
      <c r="M295" s="9">
        <f t="shared" si="9"/>
        <v>470.0286153</v>
      </c>
      <c r="N295" s="9">
        <f t="shared" si="10"/>
        <v>15.57760083</v>
      </c>
      <c r="O295" s="3"/>
      <c r="P295" s="3"/>
      <c r="Q295" s="3"/>
      <c r="R295" s="2"/>
      <c r="S295" s="9">
        <f t="shared" si="13"/>
        <v>14.3048506</v>
      </c>
      <c r="W295" s="3"/>
      <c r="X295" s="3"/>
      <c r="Y295" s="3"/>
      <c r="Z295" s="3"/>
      <c r="AA295" s="3"/>
      <c r="AB295" s="3"/>
      <c r="AC295" s="3"/>
    </row>
    <row r="296">
      <c r="A296" s="1">
        <v>284.0</v>
      </c>
      <c r="B296" s="2">
        <v>1.4206304347826E9</v>
      </c>
      <c r="C296" s="2">
        <v>-102.0396271</v>
      </c>
      <c r="D296" s="3">
        <f t="shared" si="1"/>
        <v>230434.7826</v>
      </c>
      <c r="E296" s="4">
        <f t="shared" si="2"/>
        <v>-49.58799113</v>
      </c>
      <c r="F296" s="3">
        <f t="shared" si="16"/>
        <v>0.0002151931691</v>
      </c>
      <c r="G296" s="3">
        <f t="shared" si="4"/>
        <v>0</v>
      </c>
      <c r="H296" s="2">
        <f t="shared" si="5"/>
        <v>0</v>
      </c>
      <c r="I296" s="3">
        <f t="shared" si="6"/>
        <v>0</v>
      </c>
      <c r="J296" s="3">
        <f t="shared" si="7"/>
        <v>0</v>
      </c>
      <c r="K296" s="3"/>
      <c r="L296" s="3">
        <f t="shared" si="8"/>
        <v>475.492266</v>
      </c>
      <c r="M296" s="9">
        <f t="shared" si="9"/>
        <v>469.9095241</v>
      </c>
      <c r="N296" s="9">
        <f t="shared" si="10"/>
        <v>5.582741902</v>
      </c>
      <c r="O296" s="3"/>
      <c r="P296" s="3"/>
      <c r="Q296" s="3"/>
      <c r="R296" s="2"/>
      <c r="S296" s="9">
        <f t="shared" si="13"/>
        <v>5.126610299</v>
      </c>
      <c r="W296" s="3"/>
      <c r="X296" s="3"/>
      <c r="Y296" s="3"/>
      <c r="Z296" s="3"/>
      <c r="AA296" s="3"/>
      <c r="AB296" s="3"/>
      <c r="AC296" s="3"/>
    </row>
    <row r="297">
      <c r="A297" s="1">
        <v>285.0</v>
      </c>
      <c r="B297" s="2">
        <v>1.42063478260869E9</v>
      </c>
      <c r="C297" s="2">
        <v>-101.9773407</v>
      </c>
      <c r="D297" s="3">
        <f t="shared" si="1"/>
        <v>234782.6087</v>
      </c>
      <c r="E297" s="4">
        <f t="shared" si="2"/>
        <v>-50.50628727</v>
      </c>
      <c r="F297" s="3">
        <f t="shared" si="16"/>
        <v>0.0002151193717</v>
      </c>
      <c r="G297" s="3">
        <f t="shared" si="4"/>
        <v>0</v>
      </c>
      <c r="H297" s="2">
        <f t="shared" si="5"/>
        <v>0</v>
      </c>
      <c r="I297" s="3">
        <f t="shared" si="6"/>
        <v>0</v>
      </c>
      <c r="J297" s="3">
        <f t="shared" si="7"/>
        <v>0</v>
      </c>
      <c r="K297" s="3"/>
      <c r="L297" s="3">
        <f t="shared" si="8"/>
        <v>482.3609006</v>
      </c>
      <c r="M297" s="9">
        <f t="shared" si="9"/>
        <v>469.7901888</v>
      </c>
      <c r="N297" s="9">
        <f t="shared" si="10"/>
        <v>12.57071185</v>
      </c>
      <c r="O297" s="3"/>
      <c r="P297" s="3"/>
      <c r="Q297" s="3"/>
      <c r="R297" s="2"/>
      <c r="S297" s="9">
        <f t="shared" si="13"/>
        <v>11.54363608</v>
      </c>
      <c r="W297" s="3"/>
      <c r="X297" s="3"/>
      <c r="Y297" s="3"/>
      <c r="Z297" s="3"/>
      <c r="AA297" s="3"/>
      <c r="AB297" s="3"/>
      <c r="AC297" s="3"/>
    </row>
    <row r="298">
      <c r="A298" s="1">
        <v>286.0</v>
      </c>
      <c r="B298" s="2">
        <v>1.42063913043478E9</v>
      </c>
      <c r="C298" s="2">
        <v>-102.0235367</v>
      </c>
      <c r="D298" s="3">
        <f t="shared" si="1"/>
        <v>239130.4348</v>
      </c>
      <c r="E298" s="4">
        <f t="shared" si="2"/>
        <v>-51.4245834</v>
      </c>
      <c r="F298" s="3">
        <f t="shared" si="16"/>
        <v>0.0002150482579</v>
      </c>
      <c r="G298" s="3">
        <f t="shared" si="4"/>
        <v>0</v>
      </c>
      <c r="H298" s="2">
        <f t="shared" si="5"/>
        <v>0</v>
      </c>
      <c r="I298" s="3">
        <f t="shared" si="6"/>
        <v>0</v>
      </c>
      <c r="J298" s="3">
        <f t="shared" si="7"/>
        <v>0</v>
      </c>
      <c r="K298" s="3"/>
      <c r="L298" s="3">
        <f t="shared" si="8"/>
        <v>477.2572092</v>
      </c>
      <c r="M298" s="9">
        <f t="shared" si="9"/>
        <v>469.6706092</v>
      </c>
      <c r="N298" s="9">
        <f t="shared" si="10"/>
        <v>7.586600079</v>
      </c>
      <c r="O298" s="3"/>
      <c r="P298" s="3"/>
      <c r="Q298" s="3"/>
      <c r="R298" s="2"/>
      <c r="S298" s="9">
        <f t="shared" si="13"/>
        <v>6.966745498</v>
      </c>
      <c r="W298" s="3"/>
      <c r="X298" s="3"/>
      <c r="Y298" s="3"/>
      <c r="Z298" s="3"/>
      <c r="AA298" s="3"/>
      <c r="AB298" s="3"/>
      <c r="AC298" s="3"/>
    </row>
    <row r="299">
      <c r="A299" s="1">
        <v>287.0</v>
      </c>
      <c r="B299" s="2">
        <v>1.42064347826087E9</v>
      </c>
      <c r="C299" s="2">
        <v>-101.9801025</v>
      </c>
      <c r="D299" s="3">
        <f t="shared" si="1"/>
        <v>243478.2609</v>
      </c>
      <c r="E299" s="4">
        <f t="shared" si="2"/>
        <v>-52.34287953</v>
      </c>
      <c r="F299" s="3">
        <f t="shared" si="16"/>
        <v>0.0002149796838</v>
      </c>
      <c r="G299" s="3">
        <f t="shared" si="4"/>
        <v>0</v>
      </c>
      <c r="H299" s="2">
        <f t="shared" si="5"/>
        <v>0</v>
      </c>
      <c r="I299" s="3">
        <f t="shared" si="6"/>
        <v>0</v>
      </c>
      <c r="J299" s="3">
        <f t="shared" si="7"/>
        <v>0</v>
      </c>
      <c r="K299" s="3"/>
      <c r="L299" s="3">
        <f t="shared" si="8"/>
        <v>482.0542514</v>
      </c>
      <c r="M299" s="9">
        <f t="shared" si="9"/>
        <v>469.5507848</v>
      </c>
      <c r="N299" s="9">
        <f t="shared" si="10"/>
        <v>12.50346654</v>
      </c>
      <c r="O299" s="3"/>
      <c r="P299" s="3"/>
      <c r="Q299" s="3"/>
      <c r="R299" s="2"/>
      <c r="S299" s="9">
        <f t="shared" si="13"/>
        <v>11.48188497</v>
      </c>
      <c r="W299" s="3"/>
      <c r="X299" s="3"/>
      <c r="Y299" s="3"/>
      <c r="Z299" s="3"/>
      <c r="AA299" s="3"/>
      <c r="AB299" s="3"/>
      <c r="AC299" s="3"/>
    </row>
    <row r="300">
      <c r="A300" s="1">
        <v>288.0</v>
      </c>
      <c r="B300" s="2">
        <v>1.42064782608695E9</v>
      </c>
      <c r="C300" s="2">
        <v>-102.0337219</v>
      </c>
      <c r="D300" s="3">
        <f t="shared" si="1"/>
        <v>247826.087</v>
      </c>
      <c r="E300" s="4">
        <f t="shared" si="2"/>
        <v>-53.26117566</v>
      </c>
      <c r="F300" s="3">
        <f t="shared" si="16"/>
        <v>0.0002149135158</v>
      </c>
      <c r="G300" s="3">
        <f t="shared" si="4"/>
        <v>0</v>
      </c>
      <c r="H300" s="2">
        <f t="shared" si="5"/>
        <v>0</v>
      </c>
      <c r="I300" s="3">
        <f t="shared" si="6"/>
        <v>0</v>
      </c>
      <c r="J300" s="3">
        <f t="shared" si="7"/>
        <v>0</v>
      </c>
      <c r="K300" s="3"/>
      <c r="L300" s="3">
        <f t="shared" si="8"/>
        <v>476.1392433</v>
      </c>
      <c r="M300" s="9">
        <f t="shared" si="9"/>
        <v>469.4307155</v>
      </c>
      <c r="N300" s="9">
        <f t="shared" si="10"/>
        <v>6.708527804</v>
      </c>
      <c r="O300" s="3"/>
      <c r="P300" s="3"/>
      <c r="Q300" s="3"/>
      <c r="R300" s="2"/>
      <c r="S300" s="9">
        <f t="shared" si="13"/>
        <v>6.160415139</v>
      </c>
      <c r="W300" s="3"/>
      <c r="X300" s="3"/>
      <c r="Y300" s="3"/>
      <c r="Z300" s="3"/>
      <c r="AA300" s="3"/>
      <c r="AB300" s="3"/>
      <c r="AC300" s="3"/>
    </row>
    <row r="301">
      <c r="A301" s="1">
        <v>289.0</v>
      </c>
      <c r="B301" s="2">
        <v>1.42065217391304E9</v>
      </c>
      <c r="C301" s="2">
        <v>-102.0287781</v>
      </c>
      <c r="D301" s="3">
        <f t="shared" si="1"/>
        <v>252173.913</v>
      </c>
      <c r="E301" s="4">
        <f t="shared" si="2"/>
        <v>-54.1794718</v>
      </c>
      <c r="F301" s="3">
        <f t="shared" si="16"/>
        <v>0.0002148496295</v>
      </c>
      <c r="G301" s="3">
        <f t="shared" si="4"/>
        <v>0</v>
      </c>
      <c r="H301" s="2">
        <f t="shared" si="5"/>
        <v>0</v>
      </c>
      <c r="I301" s="3">
        <f t="shared" si="6"/>
        <v>0</v>
      </c>
      <c r="J301" s="3">
        <f t="shared" si="7"/>
        <v>0</v>
      </c>
      <c r="K301" s="3"/>
      <c r="L301" s="3">
        <f t="shared" si="8"/>
        <v>476.681566</v>
      </c>
      <c r="M301" s="9">
        <f t="shared" si="9"/>
        <v>469.3104007</v>
      </c>
      <c r="N301" s="9">
        <f t="shared" si="10"/>
        <v>7.371165232</v>
      </c>
      <c r="O301" s="3"/>
      <c r="P301" s="3"/>
      <c r="Q301" s="3"/>
      <c r="R301" s="2"/>
      <c r="S301" s="9">
        <f t="shared" si="13"/>
        <v>6.768912512</v>
      </c>
      <c r="W301" s="3"/>
      <c r="X301" s="3"/>
      <c r="Y301" s="3"/>
      <c r="Z301" s="3"/>
      <c r="AA301" s="3"/>
      <c r="AB301" s="3"/>
      <c r="AC301" s="3"/>
    </row>
    <row r="302">
      <c r="A302" s="1">
        <v>290.0</v>
      </c>
      <c r="B302" s="2">
        <v>1.42065652173913E9</v>
      </c>
      <c r="C302" s="2">
        <v>-102.0765457</v>
      </c>
      <c r="D302" s="3">
        <f t="shared" si="1"/>
        <v>256521.7391</v>
      </c>
      <c r="E302" s="4">
        <f t="shared" si="2"/>
        <v>-55.09776793</v>
      </c>
      <c r="F302" s="3">
        <f t="shared" si="16"/>
        <v>0.0002147879089</v>
      </c>
      <c r="G302" s="3">
        <f t="shared" si="4"/>
        <v>0</v>
      </c>
      <c r="H302" s="2">
        <f t="shared" si="5"/>
        <v>0</v>
      </c>
      <c r="I302" s="3">
        <f t="shared" si="6"/>
        <v>0</v>
      </c>
      <c r="J302" s="3">
        <f t="shared" si="7"/>
        <v>0</v>
      </c>
      <c r="K302" s="3"/>
      <c r="L302" s="3">
        <f t="shared" si="8"/>
        <v>471.4673228</v>
      </c>
      <c r="M302" s="9">
        <f t="shared" si="9"/>
        <v>469.1898403</v>
      </c>
      <c r="N302" s="9">
        <f t="shared" si="10"/>
        <v>2.27748256</v>
      </c>
      <c r="O302" s="3"/>
      <c r="P302" s="3"/>
      <c r="Q302" s="3"/>
      <c r="R302" s="2"/>
      <c r="S302" s="9">
        <f t="shared" si="13"/>
        <v>2.091403428</v>
      </c>
      <c r="W302" s="3"/>
      <c r="X302" s="3"/>
      <c r="Y302" s="3"/>
      <c r="Z302" s="3"/>
      <c r="AA302" s="3"/>
      <c r="AB302" s="3"/>
      <c r="AC302" s="3"/>
    </row>
    <row r="303">
      <c r="A303" s="1">
        <v>291.0</v>
      </c>
      <c r="B303" s="2">
        <v>1.42066086956521E9</v>
      </c>
      <c r="C303" s="2">
        <v>-102.0456467</v>
      </c>
      <c r="D303" s="3">
        <f t="shared" si="1"/>
        <v>260869.5652</v>
      </c>
      <c r="E303" s="4">
        <f t="shared" si="2"/>
        <v>-56.01606406</v>
      </c>
      <c r="F303" s="3">
        <f t="shared" si="16"/>
        <v>0.0002147282456</v>
      </c>
      <c r="G303" s="3">
        <f t="shared" si="4"/>
        <v>0</v>
      </c>
      <c r="H303" s="2">
        <f t="shared" si="5"/>
        <v>0</v>
      </c>
      <c r="I303" s="3">
        <f t="shared" si="6"/>
        <v>0</v>
      </c>
      <c r="J303" s="3">
        <f t="shared" si="7"/>
        <v>0</v>
      </c>
      <c r="K303" s="3"/>
      <c r="L303" s="3">
        <f t="shared" si="8"/>
        <v>474.8336597</v>
      </c>
      <c r="M303" s="9">
        <f t="shared" si="9"/>
        <v>469.0690338</v>
      </c>
      <c r="N303" s="9">
        <f t="shared" si="10"/>
        <v>5.764625937</v>
      </c>
      <c r="O303" s="3"/>
      <c r="P303" s="3"/>
      <c r="Q303" s="3"/>
      <c r="R303" s="2"/>
      <c r="S303" s="9">
        <f t="shared" si="13"/>
        <v>5.293633705</v>
      </c>
      <c r="W303" s="3"/>
      <c r="X303" s="3"/>
      <c r="Y303" s="3"/>
      <c r="Z303" s="3"/>
      <c r="AA303" s="3"/>
      <c r="AB303" s="3"/>
      <c r="AC303" s="3"/>
    </row>
    <row r="304">
      <c r="A304" s="1">
        <v>292.0</v>
      </c>
      <c r="B304" s="2">
        <v>1.4206652173913E9</v>
      </c>
      <c r="C304" s="2">
        <v>-102.0400467</v>
      </c>
      <c r="D304" s="3">
        <f t="shared" si="1"/>
        <v>265217.3913</v>
      </c>
      <c r="E304" s="4">
        <f t="shared" si="2"/>
        <v>-56.93436019</v>
      </c>
      <c r="F304" s="3">
        <f t="shared" si="16"/>
        <v>0.0002146705384</v>
      </c>
      <c r="G304" s="3">
        <f t="shared" si="4"/>
        <v>0</v>
      </c>
      <c r="H304" s="2">
        <f t="shared" si="5"/>
        <v>0</v>
      </c>
      <c r="I304" s="3">
        <f t="shared" si="6"/>
        <v>0</v>
      </c>
      <c r="J304" s="3">
        <f t="shared" si="7"/>
        <v>0</v>
      </c>
      <c r="K304" s="3"/>
      <c r="L304" s="3">
        <f t="shared" si="8"/>
        <v>475.4463278</v>
      </c>
      <c r="M304" s="9">
        <f t="shared" si="9"/>
        <v>468.9479809</v>
      </c>
      <c r="N304" s="9">
        <f t="shared" si="10"/>
        <v>6.498346862</v>
      </c>
      <c r="O304" s="3"/>
      <c r="P304" s="3"/>
      <c r="Q304" s="3"/>
      <c r="R304" s="2"/>
      <c r="S304" s="9">
        <f t="shared" si="13"/>
        <v>5.967406779</v>
      </c>
      <c r="W304" s="3"/>
      <c r="X304" s="3"/>
      <c r="Y304" s="3"/>
      <c r="Z304" s="3"/>
      <c r="AA304" s="3"/>
      <c r="AB304" s="3"/>
      <c r="AC304" s="3"/>
    </row>
    <row r="305">
      <c r="A305" s="1">
        <v>293.0</v>
      </c>
      <c r="B305" s="2">
        <v>1.42066956521739E9</v>
      </c>
      <c r="C305" s="2">
        <v>-102.0981522</v>
      </c>
      <c r="D305" s="3">
        <f t="shared" si="1"/>
        <v>269565.2174</v>
      </c>
      <c r="E305" s="4">
        <f t="shared" si="2"/>
        <v>-57.85265632</v>
      </c>
      <c r="F305" s="3">
        <f t="shared" si="16"/>
        <v>0.0002146146928</v>
      </c>
      <c r="G305" s="3">
        <f t="shared" si="4"/>
        <v>0</v>
      </c>
      <c r="H305" s="2">
        <f t="shared" si="5"/>
        <v>0</v>
      </c>
      <c r="I305" s="3">
        <f t="shared" si="6"/>
        <v>0</v>
      </c>
      <c r="J305" s="3">
        <f t="shared" si="7"/>
        <v>0</v>
      </c>
      <c r="K305" s="3"/>
      <c r="L305" s="3">
        <f t="shared" si="8"/>
        <v>469.12756</v>
      </c>
      <c r="M305" s="9">
        <f t="shared" si="9"/>
        <v>468.8266814</v>
      </c>
      <c r="N305" s="9">
        <f t="shared" si="10"/>
        <v>0.3008786787</v>
      </c>
      <c r="O305" s="3"/>
      <c r="P305" s="3"/>
      <c r="Q305" s="3"/>
      <c r="R305" s="2"/>
      <c r="S305" s="9">
        <f t="shared" si="13"/>
        <v>0.2762957271</v>
      </c>
      <c r="W305" s="3"/>
      <c r="X305" s="3"/>
      <c r="Y305" s="3"/>
      <c r="Z305" s="3"/>
      <c r="AA305" s="3"/>
      <c r="AB305" s="3"/>
      <c r="AC305" s="3"/>
    </row>
    <row r="306">
      <c r="A306" s="1">
        <v>294.0</v>
      </c>
      <c r="B306" s="2">
        <v>1.42067391304347E9</v>
      </c>
      <c r="C306" s="2">
        <v>-102.0460739</v>
      </c>
      <c r="D306" s="3">
        <f t="shared" si="1"/>
        <v>273913.0435</v>
      </c>
      <c r="E306" s="4">
        <f t="shared" si="2"/>
        <v>-58.77095246</v>
      </c>
      <c r="F306" s="3">
        <f t="shared" si="16"/>
        <v>0.0002145606201</v>
      </c>
      <c r="G306" s="3">
        <f t="shared" si="4"/>
        <v>0</v>
      </c>
      <c r="H306" s="2">
        <f t="shared" si="5"/>
        <v>0</v>
      </c>
      <c r="I306" s="3">
        <f t="shared" si="6"/>
        <v>0</v>
      </c>
      <c r="J306" s="3">
        <f t="shared" si="7"/>
        <v>0</v>
      </c>
      <c r="K306" s="3"/>
      <c r="L306" s="3">
        <f t="shared" si="8"/>
        <v>474.7869543</v>
      </c>
      <c r="M306" s="9">
        <f t="shared" si="9"/>
        <v>468.7051347</v>
      </c>
      <c r="N306" s="9">
        <f t="shared" si="10"/>
        <v>6.081819577</v>
      </c>
      <c r="O306" s="3"/>
      <c r="P306" s="3"/>
      <c r="Q306" s="3"/>
      <c r="R306" s="2"/>
      <c r="S306" s="9">
        <f t="shared" si="13"/>
        <v>5.584911398</v>
      </c>
      <c r="W306" s="3"/>
      <c r="X306" s="3"/>
      <c r="Y306" s="3"/>
      <c r="Z306" s="3"/>
      <c r="AA306" s="3"/>
      <c r="AB306" s="3"/>
      <c r="AC306" s="3"/>
    </row>
    <row r="307">
      <c r="A307" s="1">
        <v>295.0</v>
      </c>
      <c r="B307" s="2">
        <v>1.42067826086956E9</v>
      </c>
      <c r="C307" s="2">
        <v>-102.0797729</v>
      </c>
      <c r="D307" s="3">
        <f t="shared" si="1"/>
        <v>278260.8696</v>
      </c>
      <c r="E307" s="4">
        <f t="shared" si="2"/>
        <v>-59.68924859</v>
      </c>
      <c r="F307" s="3">
        <f t="shared" si="16"/>
        <v>0.0002145082371</v>
      </c>
      <c r="G307" s="3">
        <f t="shared" si="4"/>
        <v>0</v>
      </c>
      <c r="H307" s="2">
        <f t="shared" si="5"/>
        <v>0</v>
      </c>
      <c r="I307" s="3">
        <f t="shared" si="6"/>
        <v>0</v>
      </c>
      <c r="J307" s="3">
        <f t="shared" si="7"/>
        <v>0</v>
      </c>
      <c r="K307" s="3"/>
      <c r="L307" s="3">
        <f t="shared" si="8"/>
        <v>471.1171102</v>
      </c>
      <c r="M307" s="9">
        <f t="shared" si="9"/>
        <v>468.5833408</v>
      </c>
      <c r="N307" s="9">
        <f t="shared" si="10"/>
        <v>2.533769428</v>
      </c>
      <c r="O307" s="3"/>
      <c r="P307" s="3"/>
      <c r="Q307" s="3"/>
      <c r="R307" s="2"/>
      <c r="S307" s="9">
        <f t="shared" si="13"/>
        <v>2.326750662</v>
      </c>
      <c r="W307" s="3"/>
      <c r="X307" s="3"/>
      <c r="Y307" s="3"/>
      <c r="Z307" s="3"/>
      <c r="AA307" s="3"/>
      <c r="AB307" s="3"/>
      <c r="AC307" s="3"/>
    </row>
    <row r="308">
      <c r="A308" s="1">
        <v>296.0</v>
      </c>
      <c r="B308" s="2">
        <v>1.42068260869565E9</v>
      </c>
      <c r="C308" s="2">
        <v>-102.0686111</v>
      </c>
      <c r="D308" s="3">
        <f t="shared" si="1"/>
        <v>282608.6957</v>
      </c>
      <c r="E308" s="4">
        <f t="shared" si="2"/>
        <v>-60.60754472</v>
      </c>
      <c r="F308" s="3">
        <f t="shared" si="16"/>
        <v>0.0002144574659</v>
      </c>
      <c r="G308" s="3">
        <f t="shared" si="4"/>
        <v>0</v>
      </c>
      <c r="H308" s="2">
        <f t="shared" si="5"/>
        <v>0</v>
      </c>
      <c r="I308" s="3">
        <f t="shared" si="6"/>
        <v>0</v>
      </c>
      <c r="J308" s="3">
        <f t="shared" si="7"/>
        <v>0</v>
      </c>
      <c r="K308" s="3"/>
      <c r="L308" s="3">
        <f t="shared" si="8"/>
        <v>472.3294853</v>
      </c>
      <c r="M308" s="9">
        <f t="shared" si="9"/>
        <v>468.4612991</v>
      </c>
      <c r="N308" s="9">
        <f t="shared" si="10"/>
        <v>3.868186234</v>
      </c>
      <c r="O308" s="3"/>
      <c r="P308" s="3"/>
      <c r="Q308" s="3"/>
      <c r="R308" s="2"/>
      <c r="S308" s="9">
        <f t="shared" si="13"/>
        <v>3.552140459</v>
      </c>
      <c r="W308" s="3"/>
      <c r="X308" s="3"/>
      <c r="Y308" s="3"/>
      <c r="Z308" s="3"/>
      <c r="AA308" s="3"/>
      <c r="AB308" s="3"/>
      <c r="AC308" s="3"/>
    </row>
    <row r="309">
      <c r="A309" s="1">
        <v>297.0</v>
      </c>
      <c r="B309" s="2">
        <v>1.42068695652173E9</v>
      </c>
      <c r="C309" s="2">
        <v>-102.0892868</v>
      </c>
      <c r="D309" s="3">
        <f t="shared" si="1"/>
        <v>286956.5217</v>
      </c>
      <c r="E309" s="4">
        <f t="shared" si="2"/>
        <v>-61.52584085</v>
      </c>
      <c r="F309" s="3">
        <f t="shared" si="16"/>
        <v>0.0002144082333</v>
      </c>
      <c r="G309" s="3">
        <f t="shared" si="4"/>
        <v>0</v>
      </c>
      <c r="H309" s="2">
        <f t="shared" si="5"/>
        <v>0</v>
      </c>
      <c r="I309" s="3">
        <f t="shared" si="6"/>
        <v>0</v>
      </c>
      <c r="J309" s="3">
        <f t="shared" si="7"/>
        <v>0</v>
      </c>
      <c r="K309" s="3"/>
      <c r="L309" s="3">
        <f t="shared" si="8"/>
        <v>470.0861841</v>
      </c>
      <c r="M309" s="9">
        <f t="shared" si="9"/>
        <v>468.3390093</v>
      </c>
      <c r="N309" s="9">
        <f t="shared" si="10"/>
        <v>1.747174749</v>
      </c>
      <c r="O309" s="3"/>
      <c r="P309" s="3"/>
      <c r="Q309" s="3"/>
      <c r="R309" s="2"/>
      <c r="S309" s="9">
        <f t="shared" si="13"/>
        <v>1.604423815</v>
      </c>
      <c r="W309" s="3"/>
      <c r="X309" s="3"/>
      <c r="Y309" s="3"/>
      <c r="Z309" s="3"/>
      <c r="AA309" s="3"/>
      <c r="AB309" s="3"/>
      <c r="AC309" s="3"/>
    </row>
    <row r="310">
      <c r="A310" s="1">
        <v>298.0</v>
      </c>
      <c r="B310" s="2">
        <v>1.42069130434782E9</v>
      </c>
      <c r="C310" s="2">
        <v>-102.0980453</v>
      </c>
      <c r="D310" s="3">
        <f t="shared" si="1"/>
        <v>291304.3478</v>
      </c>
      <c r="E310" s="4">
        <f t="shared" si="2"/>
        <v>-62.44413698</v>
      </c>
      <c r="F310" s="3">
        <f t="shared" si="16"/>
        <v>0.0002143604703</v>
      </c>
      <c r="G310" s="3">
        <f t="shared" si="4"/>
        <v>0</v>
      </c>
      <c r="H310" s="2">
        <f t="shared" si="5"/>
        <v>0</v>
      </c>
      <c r="I310" s="3">
        <f t="shared" si="6"/>
        <v>0</v>
      </c>
      <c r="J310" s="3">
        <f t="shared" si="7"/>
        <v>0</v>
      </c>
      <c r="K310" s="3"/>
      <c r="L310" s="3">
        <f t="shared" si="8"/>
        <v>469.1391076</v>
      </c>
      <c r="M310" s="9">
        <f t="shared" si="9"/>
        <v>468.2164712</v>
      </c>
      <c r="N310" s="9">
        <f t="shared" si="10"/>
        <v>0.9226363693</v>
      </c>
      <c r="O310" s="3"/>
      <c r="P310" s="3"/>
      <c r="Q310" s="3"/>
      <c r="R310" s="2"/>
      <c r="S310" s="9">
        <f t="shared" si="13"/>
        <v>0.8472534099</v>
      </c>
      <c r="W310" s="3"/>
      <c r="X310" s="3"/>
      <c r="Y310" s="3"/>
      <c r="Z310" s="3"/>
      <c r="AA310" s="3"/>
      <c r="AB310" s="3"/>
      <c r="AC310" s="3"/>
    </row>
    <row r="311">
      <c r="A311" s="1">
        <v>299.0</v>
      </c>
      <c r="B311" s="2">
        <v>1.42069565217391E9</v>
      </c>
      <c r="C311" s="2">
        <v>-102.0720062</v>
      </c>
      <c r="D311" s="3">
        <f t="shared" si="1"/>
        <v>295652.1739</v>
      </c>
      <c r="E311" s="4">
        <f t="shared" si="2"/>
        <v>-63.36243312</v>
      </c>
      <c r="F311" s="3">
        <f t="shared" si="16"/>
        <v>0.000214314112</v>
      </c>
      <c r="G311" s="3">
        <f t="shared" si="4"/>
        <v>0</v>
      </c>
      <c r="H311" s="2">
        <f t="shared" si="5"/>
        <v>0</v>
      </c>
      <c r="I311" s="3">
        <f t="shared" si="6"/>
        <v>0</v>
      </c>
      <c r="J311" s="3">
        <f t="shared" si="7"/>
        <v>0</v>
      </c>
      <c r="K311" s="3"/>
      <c r="L311" s="3">
        <f t="shared" si="8"/>
        <v>471.9603857</v>
      </c>
      <c r="M311" s="9">
        <f t="shared" si="9"/>
        <v>468.0936844</v>
      </c>
      <c r="N311" s="9">
        <f t="shared" si="10"/>
        <v>3.86670132</v>
      </c>
      <c r="O311" s="3"/>
      <c r="P311" s="3"/>
      <c r="Q311" s="3"/>
      <c r="R311" s="2"/>
      <c r="S311" s="9">
        <f t="shared" si="13"/>
        <v>3.550776861</v>
      </c>
      <c r="W311" s="3"/>
      <c r="X311" s="3"/>
      <c r="Y311" s="3"/>
      <c r="Z311" s="3"/>
      <c r="AA311" s="3"/>
      <c r="AB311" s="3"/>
      <c r="AC311" s="3"/>
    </row>
    <row r="312">
      <c r="A312" s="1">
        <v>300.0</v>
      </c>
      <c r="B312" s="2">
        <v>1.4207E9</v>
      </c>
      <c r="C312" s="2">
        <v>-102.116066</v>
      </c>
      <c r="D312" s="3">
        <f t="shared" si="1"/>
        <v>300000</v>
      </c>
      <c r="E312" s="4">
        <f t="shared" si="2"/>
        <v>-64.28072925</v>
      </c>
      <c r="F312" s="3">
        <f t="shared" si="16"/>
        <v>0.0002142690975</v>
      </c>
      <c r="G312" s="3">
        <f t="shared" si="4"/>
        <v>0</v>
      </c>
      <c r="H312" s="2">
        <f t="shared" si="5"/>
        <v>0</v>
      </c>
      <c r="I312" s="3">
        <f t="shared" si="6"/>
        <v>0</v>
      </c>
      <c r="J312" s="3">
        <f t="shared" si="7"/>
        <v>0</v>
      </c>
      <c r="K312" s="3"/>
      <c r="L312" s="3">
        <f t="shared" si="8"/>
        <v>467.1964858</v>
      </c>
      <c r="M312" s="9">
        <f t="shared" si="9"/>
        <v>467.9706485</v>
      </c>
      <c r="N312" s="9">
        <f t="shared" si="10"/>
        <v>-0.7741627332</v>
      </c>
      <c r="O312" s="3"/>
      <c r="P312" s="3"/>
      <c r="Q312" s="3"/>
      <c r="R312" s="2"/>
      <c r="S312" s="9">
        <f t="shared" si="13"/>
        <v>-0.710910644</v>
      </c>
      <c r="W312" s="3"/>
      <c r="X312" s="3"/>
      <c r="Y312" s="3"/>
      <c r="Z312" s="3"/>
      <c r="AA312" s="3"/>
      <c r="AB312" s="3"/>
      <c r="AC312" s="3"/>
    </row>
    <row r="313">
      <c r="A313" s="1">
        <v>301.0</v>
      </c>
      <c r="B313" s="2">
        <v>1.42070434782608E9</v>
      </c>
      <c r="C313" s="2">
        <v>-102.0655594</v>
      </c>
      <c r="D313" s="3">
        <f t="shared" si="1"/>
        <v>304347.8261</v>
      </c>
      <c r="E313" s="4">
        <f t="shared" si="2"/>
        <v>-65.19902538</v>
      </c>
      <c r="F313" s="3">
        <f t="shared" si="16"/>
        <v>0.0002142253691</v>
      </c>
      <c r="G313" s="3">
        <f t="shared" si="4"/>
        <v>0</v>
      </c>
      <c r="H313" s="2">
        <f t="shared" si="5"/>
        <v>0</v>
      </c>
      <c r="I313" s="3">
        <f t="shared" si="6"/>
        <v>0</v>
      </c>
      <c r="J313" s="3">
        <f t="shared" si="7"/>
        <v>0</v>
      </c>
      <c r="K313" s="3"/>
      <c r="L313" s="3">
        <f t="shared" si="8"/>
        <v>472.6614984</v>
      </c>
      <c r="M313" s="9">
        <f t="shared" si="9"/>
        <v>467.8473633</v>
      </c>
      <c r="N313" s="9">
        <f t="shared" si="10"/>
        <v>4.814135116</v>
      </c>
      <c r="O313" s="3"/>
      <c r="P313" s="3"/>
      <c r="Q313" s="3"/>
      <c r="R313" s="2"/>
      <c r="S313" s="9">
        <f t="shared" si="13"/>
        <v>4.42080166</v>
      </c>
      <c r="W313" s="3"/>
      <c r="X313" s="3"/>
      <c r="Y313" s="3"/>
      <c r="Z313" s="3"/>
      <c r="AA313" s="3"/>
      <c r="AB313" s="3"/>
      <c r="AC313" s="3"/>
    </row>
    <row r="314">
      <c r="A314" s="1">
        <v>302.0</v>
      </c>
      <c r="B314" s="2">
        <v>1.42070869565217E9</v>
      </c>
      <c r="C314" s="2">
        <v>-102.052597</v>
      </c>
      <c r="D314" s="3">
        <f t="shared" si="1"/>
        <v>308695.6522</v>
      </c>
      <c r="E314" s="4">
        <f t="shared" si="2"/>
        <v>-66.11732151</v>
      </c>
      <c r="F314" s="3">
        <f t="shared" si="16"/>
        <v>0.0002141828725</v>
      </c>
      <c r="G314" s="3">
        <f t="shared" si="4"/>
        <v>0</v>
      </c>
      <c r="H314" s="2">
        <f t="shared" si="5"/>
        <v>0</v>
      </c>
      <c r="I314" s="3">
        <f t="shared" si="6"/>
        <v>0</v>
      </c>
      <c r="J314" s="3">
        <f t="shared" si="7"/>
        <v>0</v>
      </c>
      <c r="K314" s="3"/>
      <c r="L314" s="3">
        <f t="shared" si="8"/>
        <v>474.07436</v>
      </c>
      <c r="M314" s="9">
        <f t="shared" si="9"/>
        <v>467.7238283</v>
      </c>
      <c r="N314" s="9">
        <f t="shared" si="10"/>
        <v>6.350531669</v>
      </c>
      <c r="O314" s="3"/>
      <c r="P314" s="3"/>
      <c r="Q314" s="3"/>
      <c r="R314" s="2"/>
      <c r="S314" s="9">
        <f t="shared" si="13"/>
        <v>5.831668659</v>
      </c>
      <c r="W314" s="3"/>
      <c r="X314" s="3"/>
      <c r="Y314" s="3"/>
      <c r="Z314" s="3"/>
      <c r="AA314" s="3"/>
      <c r="AB314" s="3"/>
      <c r="AC314" s="3"/>
    </row>
    <row r="315">
      <c r="A315" s="1">
        <v>303.0</v>
      </c>
      <c r="B315" s="2">
        <v>1.42071304347826E9</v>
      </c>
      <c r="C315" s="2">
        <v>-102.0569839</v>
      </c>
      <c r="D315" s="3">
        <f t="shared" si="1"/>
        <v>313043.4783</v>
      </c>
      <c r="E315" s="4">
        <f t="shared" si="2"/>
        <v>-67.03561764</v>
      </c>
      <c r="F315" s="3">
        <f t="shared" si="16"/>
        <v>0.0002141415564</v>
      </c>
      <c r="G315" s="3">
        <f t="shared" si="4"/>
        <v>0</v>
      </c>
      <c r="H315" s="2">
        <f t="shared" si="5"/>
        <v>0</v>
      </c>
      <c r="I315" s="3">
        <f t="shared" si="6"/>
        <v>0</v>
      </c>
      <c r="J315" s="3">
        <f t="shared" si="7"/>
        <v>0</v>
      </c>
      <c r="K315" s="3"/>
      <c r="L315" s="3">
        <f t="shared" si="8"/>
        <v>473.5957292</v>
      </c>
      <c r="M315" s="9">
        <f t="shared" si="9"/>
        <v>467.6000433</v>
      </c>
      <c r="N315" s="9">
        <f t="shared" si="10"/>
        <v>5.995685972</v>
      </c>
      <c r="O315" s="3"/>
      <c r="P315" s="3"/>
      <c r="Q315" s="3"/>
      <c r="R315" s="2"/>
      <c r="S315" s="9">
        <f t="shared" si="13"/>
        <v>5.505815241</v>
      </c>
      <c r="W315" s="3"/>
      <c r="X315" s="3"/>
      <c r="Y315" s="3"/>
      <c r="Z315" s="3"/>
      <c r="AA315" s="3"/>
      <c r="AB315" s="3"/>
      <c r="AC315" s="3"/>
    </row>
    <row r="316">
      <c r="A316" s="1">
        <v>304.0</v>
      </c>
      <c r="B316" s="2">
        <v>1.42071739130434E9</v>
      </c>
      <c r="C316" s="2">
        <v>-102.0613861</v>
      </c>
      <c r="D316" s="3">
        <f t="shared" si="1"/>
        <v>317391.3043</v>
      </c>
      <c r="E316" s="4">
        <f t="shared" si="2"/>
        <v>-67.95391378</v>
      </c>
      <c r="F316" s="3">
        <f t="shared" si="16"/>
        <v>0.0002141013722</v>
      </c>
      <c r="G316" s="3">
        <f t="shared" si="4"/>
        <v>0</v>
      </c>
      <c r="H316" s="2">
        <f t="shared" si="5"/>
        <v>0</v>
      </c>
      <c r="I316" s="3">
        <f t="shared" si="6"/>
        <v>0</v>
      </c>
      <c r="J316" s="3">
        <f t="shared" si="7"/>
        <v>0</v>
      </c>
      <c r="K316" s="3"/>
      <c r="L316" s="3">
        <f t="shared" si="8"/>
        <v>473.115915</v>
      </c>
      <c r="M316" s="9">
        <f t="shared" si="9"/>
        <v>467.4760079</v>
      </c>
      <c r="N316" s="9">
        <f t="shared" si="10"/>
        <v>5.63990712</v>
      </c>
      <c r="O316" s="3"/>
      <c r="P316" s="3"/>
      <c r="Q316" s="3"/>
      <c r="R316" s="2"/>
      <c r="S316" s="9">
        <f t="shared" si="13"/>
        <v>5.179104897</v>
      </c>
      <c r="W316" s="3"/>
      <c r="X316" s="3"/>
      <c r="Y316" s="3"/>
      <c r="Z316" s="3"/>
      <c r="AA316" s="3"/>
      <c r="AB316" s="3"/>
      <c r="AC316" s="3"/>
    </row>
    <row r="317">
      <c r="A317" s="1">
        <v>305.0</v>
      </c>
      <c r="B317" s="2">
        <v>1.42072173913043E9</v>
      </c>
      <c r="C317" s="2">
        <v>-102.0056152</v>
      </c>
      <c r="D317" s="3">
        <f t="shared" si="1"/>
        <v>321739.1304</v>
      </c>
      <c r="E317" s="4">
        <f t="shared" si="2"/>
        <v>-68.87220991</v>
      </c>
      <c r="F317" s="3">
        <f t="shared" si="16"/>
        <v>0.000214062274</v>
      </c>
      <c r="G317" s="3">
        <f t="shared" si="4"/>
        <v>0</v>
      </c>
      <c r="H317" s="2">
        <f t="shared" si="5"/>
        <v>0</v>
      </c>
      <c r="I317" s="3">
        <f t="shared" si="6"/>
        <v>0</v>
      </c>
      <c r="J317" s="3">
        <f t="shared" si="7"/>
        <v>0</v>
      </c>
      <c r="K317" s="3"/>
      <c r="L317" s="3">
        <f t="shared" si="8"/>
        <v>479.2307174</v>
      </c>
      <c r="M317" s="9">
        <f t="shared" si="9"/>
        <v>467.3517218</v>
      </c>
      <c r="N317" s="9">
        <f t="shared" si="10"/>
        <v>11.87899565</v>
      </c>
      <c r="O317" s="3"/>
      <c r="P317" s="3"/>
      <c r="Q317" s="3"/>
      <c r="R317" s="2"/>
      <c r="S317" s="9">
        <f t="shared" si="13"/>
        <v>10.90843574</v>
      </c>
      <c r="W317" s="3"/>
      <c r="X317" s="3"/>
      <c r="Y317" s="3"/>
      <c r="Z317" s="3"/>
      <c r="AA317" s="3"/>
      <c r="AB317" s="3"/>
      <c r="AC317" s="3"/>
    </row>
    <row r="318">
      <c r="A318" s="1">
        <v>306.0</v>
      </c>
      <c r="B318" s="2">
        <v>1.42072608695652E9</v>
      </c>
      <c r="C318" s="2">
        <v>-102.1019974</v>
      </c>
      <c r="D318" s="3">
        <f t="shared" si="1"/>
        <v>326086.9565</v>
      </c>
      <c r="E318" s="4">
        <f t="shared" si="2"/>
        <v>-69.79050604</v>
      </c>
      <c r="F318" s="3">
        <f t="shared" si="16"/>
        <v>0.0002140242185</v>
      </c>
      <c r="G318" s="3">
        <f t="shared" si="4"/>
        <v>0</v>
      </c>
      <c r="H318" s="2">
        <f t="shared" si="5"/>
        <v>0</v>
      </c>
      <c r="I318" s="3">
        <f t="shared" si="6"/>
        <v>0</v>
      </c>
      <c r="J318" s="3">
        <f t="shared" si="7"/>
        <v>0</v>
      </c>
      <c r="K318" s="3"/>
      <c r="L318" s="3">
        <f t="shared" si="8"/>
        <v>468.712383</v>
      </c>
      <c r="M318" s="9">
        <f t="shared" si="9"/>
        <v>467.2271846</v>
      </c>
      <c r="N318" s="9">
        <f t="shared" si="10"/>
        <v>1.485198417</v>
      </c>
      <c r="O318" s="3"/>
      <c r="P318" s="3"/>
      <c r="Q318" s="3"/>
      <c r="R318" s="2"/>
      <c r="S318" s="9">
        <f t="shared" si="13"/>
        <v>1.363851963</v>
      </c>
      <c r="W318" s="3"/>
      <c r="X318" s="3"/>
      <c r="Y318" s="3"/>
      <c r="Z318" s="3"/>
      <c r="AA318" s="3"/>
      <c r="AB318" s="3"/>
      <c r="AC318" s="3"/>
    </row>
    <row r="319">
      <c r="A319" s="1">
        <v>307.0</v>
      </c>
      <c r="B319" s="2">
        <v>1.4207304347826E9</v>
      </c>
      <c r="C319" s="2">
        <v>-102.165329</v>
      </c>
      <c r="D319" s="3">
        <f t="shared" si="1"/>
        <v>330434.7826</v>
      </c>
      <c r="E319" s="4">
        <f t="shared" si="2"/>
        <v>-70.70880217</v>
      </c>
      <c r="F319" s="3">
        <f t="shared" si="16"/>
        <v>0.0002139871645</v>
      </c>
      <c r="G319" s="3">
        <f t="shared" si="4"/>
        <v>0</v>
      </c>
      <c r="H319" s="2">
        <f t="shared" si="5"/>
        <v>0</v>
      </c>
      <c r="I319" s="3">
        <f t="shared" si="6"/>
        <v>0</v>
      </c>
      <c r="J319" s="3">
        <f t="shared" si="7"/>
        <v>0</v>
      </c>
      <c r="K319" s="3"/>
      <c r="L319" s="3">
        <f t="shared" si="8"/>
        <v>461.9269144</v>
      </c>
      <c r="M319" s="9">
        <f t="shared" si="9"/>
        <v>467.102396</v>
      </c>
      <c r="N319" s="9">
        <f t="shared" si="10"/>
        <v>-5.175481618</v>
      </c>
      <c r="O319" s="3"/>
      <c r="P319" s="3"/>
      <c r="Q319" s="3"/>
      <c r="R319" s="2"/>
      <c r="S319" s="9">
        <f t="shared" si="13"/>
        <v>-4.752624755</v>
      </c>
      <c r="W319" s="3"/>
      <c r="X319" s="3"/>
      <c r="Y319" s="3"/>
      <c r="Z319" s="3"/>
      <c r="AA319" s="3"/>
      <c r="AB319" s="3"/>
      <c r="AC319" s="3"/>
    </row>
    <row r="320">
      <c r="A320" s="1">
        <v>308.0</v>
      </c>
      <c r="B320" s="2">
        <v>1.42073478260869E9</v>
      </c>
      <c r="C320" s="2">
        <v>-102.0959854</v>
      </c>
      <c r="D320" s="3">
        <f t="shared" si="1"/>
        <v>334782.6087</v>
      </c>
      <c r="E320" s="4">
        <f t="shared" si="2"/>
        <v>-71.62709831</v>
      </c>
      <c r="F320" s="3">
        <f t="shared" si="16"/>
        <v>0.0002139510729</v>
      </c>
      <c r="G320" s="3">
        <f t="shared" si="4"/>
        <v>0</v>
      </c>
      <c r="H320" s="2">
        <f t="shared" si="5"/>
        <v>0</v>
      </c>
      <c r="I320" s="3">
        <f t="shared" si="6"/>
        <v>0</v>
      </c>
      <c r="J320" s="3">
        <f t="shared" si="7"/>
        <v>0</v>
      </c>
      <c r="K320" s="3"/>
      <c r="L320" s="3">
        <f t="shared" si="8"/>
        <v>469.3616775</v>
      </c>
      <c r="M320" s="9">
        <f t="shared" si="9"/>
        <v>466.9773558</v>
      </c>
      <c r="N320" s="9">
        <f t="shared" si="10"/>
        <v>2.384321737</v>
      </c>
      <c r="O320" s="3"/>
      <c r="P320" s="3"/>
      <c r="Q320" s="3"/>
      <c r="R320" s="2"/>
      <c r="S320" s="9">
        <f t="shared" si="13"/>
        <v>2.189513431</v>
      </c>
      <c r="W320" s="3"/>
      <c r="X320" s="3"/>
      <c r="Y320" s="3"/>
      <c r="Z320" s="3"/>
      <c r="AA320" s="3"/>
      <c r="AB320" s="3"/>
      <c r="AC320" s="3"/>
    </row>
    <row r="321">
      <c r="A321" s="1">
        <v>309.0</v>
      </c>
      <c r="B321" s="2">
        <v>1.42073913043478E9</v>
      </c>
      <c r="C321" s="2">
        <v>-102.061615</v>
      </c>
      <c r="D321" s="3">
        <f t="shared" si="1"/>
        <v>339130.4348</v>
      </c>
      <c r="E321" s="4">
        <f t="shared" si="2"/>
        <v>-72.54539444</v>
      </c>
      <c r="F321" s="3">
        <f t="shared" si="16"/>
        <v>0.0002139159067</v>
      </c>
      <c r="G321" s="3">
        <f t="shared" si="4"/>
        <v>0</v>
      </c>
      <c r="H321" s="2">
        <f t="shared" si="5"/>
        <v>0</v>
      </c>
      <c r="I321" s="3">
        <f t="shared" si="6"/>
        <v>0</v>
      </c>
      <c r="J321" s="3">
        <f t="shared" si="7"/>
        <v>0</v>
      </c>
      <c r="K321" s="3"/>
      <c r="L321" s="3">
        <f t="shared" si="8"/>
        <v>473.0909795</v>
      </c>
      <c r="M321" s="9">
        <f t="shared" si="9"/>
        <v>466.8520634</v>
      </c>
      <c r="N321" s="9">
        <f t="shared" si="10"/>
        <v>6.238916076</v>
      </c>
      <c r="O321" s="3"/>
      <c r="P321" s="3"/>
      <c r="Q321" s="3"/>
      <c r="R321" s="2"/>
      <c r="S321" s="9">
        <f t="shared" si="13"/>
        <v>5.729172492</v>
      </c>
      <c r="W321" s="3"/>
      <c r="X321" s="3"/>
      <c r="Y321" s="3"/>
      <c r="Z321" s="3"/>
      <c r="AA321" s="3"/>
      <c r="AB321" s="3"/>
      <c r="AC321" s="3"/>
    </row>
    <row r="322">
      <c r="A322" s="1">
        <v>310.0</v>
      </c>
      <c r="B322" s="2">
        <v>1.42074347826087E9</v>
      </c>
      <c r="C322" s="2">
        <v>-102.0880814</v>
      </c>
      <c r="D322" s="3">
        <f t="shared" si="1"/>
        <v>343478.2609</v>
      </c>
      <c r="E322" s="4">
        <f t="shared" si="2"/>
        <v>-73.46369057</v>
      </c>
      <c r="F322" s="3">
        <f t="shared" si="16"/>
        <v>0.0002138816308</v>
      </c>
      <c r="G322" s="3">
        <f t="shared" si="4"/>
        <v>0</v>
      </c>
      <c r="H322" s="2">
        <f t="shared" si="5"/>
        <v>0</v>
      </c>
      <c r="I322" s="3">
        <f t="shared" si="6"/>
        <v>0</v>
      </c>
      <c r="J322" s="3">
        <f t="shared" si="7"/>
        <v>0</v>
      </c>
      <c r="K322" s="3"/>
      <c r="L322" s="3">
        <f t="shared" si="8"/>
        <v>470.2166763</v>
      </c>
      <c r="M322" s="9">
        <f t="shared" si="9"/>
        <v>466.7265187</v>
      </c>
      <c r="N322" s="9">
        <f t="shared" si="10"/>
        <v>3.490157574</v>
      </c>
      <c r="O322" s="3"/>
      <c r="P322" s="3"/>
      <c r="Q322" s="3"/>
      <c r="R322" s="2"/>
      <c r="S322" s="9">
        <f t="shared" si="13"/>
        <v>3.204998203</v>
      </c>
      <c r="W322" s="3"/>
      <c r="X322" s="3"/>
      <c r="Y322" s="3"/>
      <c r="Z322" s="3"/>
      <c r="AA322" s="3"/>
      <c r="AB322" s="3"/>
      <c r="AC322" s="3"/>
    </row>
    <row r="323">
      <c r="A323" s="1">
        <v>311.0</v>
      </c>
      <c r="B323" s="2">
        <v>1.42074782608695E9</v>
      </c>
      <c r="C323" s="2">
        <v>-102.0648041</v>
      </c>
      <c r="D323" s="3">
        <f t="shared" si="1"/>
        <v>347826.087</v>
      </c>
      <c r="E323" s="4">
        <f t="shared" si="2"/>
        <v>-74.3819867</v>
      </c>
      <c r="F323" s="3">
        <f t="shared" si="16"/>
        <v>0.0002138482118</v>
      </c>
      <c r="G323" s="3">
        <f t="shared" si="4"/>
        <v>0</v>
      </c>
      <c r="H323" s="2">
        <f t="shared" si="5"/>
        <v>0</v>
      </c>
      <c r="I323" s="3">
        <f t="shared" si="6"/>
        <v>0</v>
      </c>
      <c r="J323" s="3">
        <f t="shared" si="7"/>
        <v>0</v>
      </c>
      <c r="K323" s="3"/>
      <c r="L323" s="3">
        <f t="shared" si="8"/>
        <v>472.7437081</v>
      </c>
      <c r="M323" s="9">
        <f t="shared" si="9"/>
        <v>466.6007213</v>
      </c>
      <c r="N323" s="9">
        <f t="shared" si="10"/>
        <v>6.142986791</v>
      </c>
      <c r="O323" s="3"/>
      <c r="P323" s="3"/>
      <c r="Q323" s="3"/>
      <c r="R323" s="2"/>
      <c r="S323" s="9">
        <f t="shared" si="13"/>
        <v>5.641081014</v>
      </c>
      <c r="W323" s="3"/>
      <c r="X323" s="3"/>
      <c r="Y323" s="3"/>
      <c r="Z323" s="3"/>
      <c r="AA323" s="3"/>
      <c r="AB323" s="3"/>
      <c r="AC323" s="3"/>
    </row>
    <row r="324">
      <c r="A324" s="1">
        <v>312.0</v>
      </c>
      <c r="B324" s="2">
        <v>1.42075217391304E9</v>
      </c>
      <c r="C324" s="2">
        <v>-102.0885239</v>
      </c>
      <c r="D324" s="3">
        <f t="shared" si="1"/>
        <v>352173.913</v>
      </c>
      <c r="E324" s="4">
        <f t="shared" si="2"/>
        <v>-75.30028284</v>
      </c>
      <c r="F324" s="3">
        <f t="shared" si="16"/>
        <v>0.0002138156179</v>
      </c>
      <c r="G324" s="3">
        <f t="shared" si="4"/>
        <v>0</v>
      </c>
      <c r="H324" s="2">
        <f t="shared" si="5"/>
        <v>0</v>
      </c>
      <c r="I324" s="3">
        <f t="shared" si="6"/>
        <v>0</v>
      </c>
      <c r="J324" s="3">
        <f t="shared" si="7"/>
        <v>0</v>
      </c>
      <c r="K324" s="3"/>
      <c r="L324" s="3">
        <f t="shared" si="8"/>
        <v>470.1687687</v>
      </c>
      <c r="M324" s="9">
        <f t="shared" si="9"/>
        <v>466.4746708</v>
      </c>
      <c r="N324" s="9">
        <f t="shared" si="10"/>
        <v>3.69409784</v>
      </c>
      <c r="O324" s="3"/>
      <c r="P324" s="3"/>
      <c r="Q324" s="3"/>
      <c r="R324" s="2"/>
      <c r="S324" s="9">
        <f t="shared" si="13"/>
        <v>3.392275753</v>
      </c>
      <c r="W324" s="3"/>
      <c r="X324" s="3"/>
      <c r="Y324" s="3"/>
      <c r="Z324" s="3"/>
      <c r="AA324" s="3"/>
      <c r="AB324" s="3"/>
      <c r="AC324" s="3"/>
    </row>
    <row r="325">
      <c r="A325" s="1">
        <v>313.0</v>
      </c>
      <c r="B325" s="2">
        <v>1.42075652173913E9</v>
      </c>
      <c r="C325" s="2">
        <v>-102.1356888</v>
      </c>
      <c r="D325" s="3">
        <f t="shared" si="1"/>
        <v>356521.7391</v>
      </c>
      <c r="E325" s="4">
        <f t="shared" si="2"/>
        <v>-76.21857897</v>
      </c>
      <c r="F325" s="3">
        <f t="shared" si="16"/>
        <v>0.0002137838191</v>
      </c>
      <c r="G325" s="3">
        <f t="shared" si="4"/>
        <v>0</v>
      </c>
      <c r="H325" s="2">
        <f t="shared" si="5"/>
        <v>0</v>
      </c>
      <c r="I325" s="3">
        <f t="shared" si="6"/>
        <v>0</v>
      </c>
      <c r="J325" s="3">
        <f t="shared" si="7"/>
        <v>0</v>
      </c>
      <c r="K325" s="3"/>
      <c r="L325" s="3">
        <f t="shared" si="8"/>
        <v>465.0903059</v>
      </c>
      <c r="M325" s="9">
        <f t="shared" si="9"/>
        <v>466.3483669</v>
      </c>
      <c r="N325" s="9">
        <f t="shared" si="10"/>
        <v>-1.258061059</v>
      </c>
      <c r="O325" s="3"/>
      <c r="P325" s="3"/>
      <c r="Q325" s="3"/>
      <c r="R325" s="2"/>
      <c r="S325" s="9">
        <f t="shared" si="13"/>
        <v>-1.155272605</v>
      </c>
      <c r="W325" s="3"/>
      <c r="X325" s="3"/>
      <c r="Y325" s="3"/>
      <c r="Z325" s="3"/>
      <c r="AA325" s="3"/>
      <c r="AB325" s="3"/>
      <c r="AC325" s="3"/>
    </row>
    <row r="326">
      <c r="A326" s="1">
        <v>314.0</v>
      </c>
      <c r="B326" s="2">
        <v>1.42076086956521E9</v>
      </c>
      <c r="C326" s="2">
        <v>-102.10186</v>
      </c>
      <c r="D326" s="3">
        <f t="shared" si="1"/>
        <v>360869.5652</v>
      </c>
      <c r="E326" s="4">
        <f t="shared" si="2"/>
        <v>-77.1368751</v>
      </c>
      <c r="F326" s="3">
        <f t="shared" si="16"/>
        <v>0.0002137527864</v>
      </c>
      <c r="G326" s="3">
        <f t="shared" si="4"/>
        <v>0</v>
      </c>
      <c r="H326" s="2">
        <f t="shared" si="5"/>
        <v>0</v>
      </c>
      <c r="I326" s="3">
        <f t="shared" si="6"/>
        <v>0</v>
      </c>
      <c r="J326" s="3">
        <f t="shared" si="7"/>
        <v>0</v>
      </c>
      <c r="K326" s="3"/>
      <c r="L326" s="3">
        <f t="shared" si="8"/>
        <v>468.7272121</v>
      </c>
      <c r="M326" s="9">
        <f t="shared" si="9"/>
        <v>466.2218093</v>
      </c>
      <c r="N326" s="9">
        <f t="shared" si="10"/>
        <v>2.505402791</v>
      </c>
      <c r="O326" s="3"/>
      <c r="P326" s="3"/>
      <c r="Q326" s="3"/>
      <c r="R326" s="2"/>
      <c r="S326" s="9">
        <f t="shared" si="13"/>
        <v>2.300701694</v>
      </c>
      <c r="W326" s="3"/>
      <c r="X326" s="3"/>
      <c r="Y326" s="3"/>
      <c r="Z326" s="3"/>
      <c r="AA326" s="3"/>
      <c r="AB326" s="3"/>
      <c r="AC326" s="3"/>
    </row>
    <row r="327">
      <c r="A327" s="1">
        <v>315.0</v>
      </c>
      <c r="B327" s="2">
        <v>1.4207652173913E9</v>
      </c>
      <c r="C327" s="2">
        <v>-102.0924606</v>
      </c>
      <c r="D327" s="3">
        <f t="shared" si="1"/>
        <v>365217.3913</v>
      </c>
      <c r="E327" s="4">
        <f t="shared" si="2"/>
        <v>-78.05517123</v>
      </c>
      <c r="F327" s="3">
        <f t="shared" si="16"/>
        <v>0.0002137224927</v>
      </c>
      <c r="G327" s="3">
        <f t="shared" si="4"/>
        <v>0</v>
      </c>
      <c r="H327" s="2">
        <f t="shared" si="5"/>
        <v>0</v>
      </c>
      <c r="I327" s="3">
        <f t="shared" si="6"/>
        <v>0</v>
      </c>
      <c r="J327" s="3">
        <f t="shared" si="7"/>
        <v>0</v>
      </c>
      <c r="K327" s="3"/>
      <c r="L327" s="3">
        <f t="shared" si="8"/>
        <v>469.7427732</v>
      </c>
      <c r="M327" s="9">
        <f t="shared" si="9"/>
        <v>466.0949977</v>
      </c>
      <c r="N327" s="9">
        <f t="shared" si="10"/>
        <v>3.647775511</v>
      </c>
      <c r="O327" s="3"/>
      <c r="P327" s="3"/>
      <c r="Q327" s="3"/>
      <c r="R327" s="2"/>
      <c r="S327" s="9">
        <f t="shared" si="13"/>
        <v>3.349738137</v>
      </c>
      <c r="W327" s="3"/>
      <c r="X327" s="3"/>
      <c r="Y327" s="3"/>
      <c r="Z327" s="3"/>
      <c r="AA327" s="3"/>
      <c r="AB327" s="3"/>
      <c r="AC327" s="3"/>
    </row>
    <row r="328">
      <c r="A328" s="1">
        <v>316.0</v>
      </c>
      <c r="B328" s="2">
        <v>1.42076956521739E9</v>
      </c>
      <c r="C328" s="2">
        <v>-102.1081924</v>
      </c>
      <c r="D328" s="3">
        <f t="shared" si="1"/>
        <v>369565.2174</v>
      </c>
      <c r="E328" s="4">
        <f t="shared" si="2"/>
        <v>-78.97346736</v>
      </c>
      <c r="F328" s="3">
        <f t="shared" si="16"/>
        <v>0.0002136929117</v>
      </c>
      <c r="G328" s="3">
        <f t="shared" si="4"/>
        <v>0</v>
      </c>
      <c r="H328" s="2">
        <f t="shared" si="5"/>
        <v>0</v>
      </c>
      <c r="I328" s="3">
        <f t="shared" si="6"/>
        <v>0</v>
      </c>
      <c r="J328" s="3">
        <f t="shared" si="7"/>
        <v>0</v>
      </c>
      <c r="K328" s="3"/>
      <c r="L328" s="3">
        <f t="shared" si="8"/>
        <v>468.0442642</v>
      </c>
      <c r="M328" s="9">
        <f t="shared" si="9"/>
        <v>465.9679316</v>
      </c>
      <c r="N328" s="9">
        <f t="shared" si="10"/>
        <v>2.076332526</v>
      </c>
      <c r="O328" s="3"/>
      <c r="P328" s="3"/>
      <c r="Q328" s="3"/>
      <c r="R328" s="2"/>
      <c r="S328" s="9">
        <f t="shared" si="13"/>
        <v>1.906688129</v>
      </c>
      <c r="W328" s="3"/>
      <c r="X328" s="3"/>
      <c r="Y328" s="3"/>
      <c r="Z328" s="3"/>
      <c r="AA328" s="3"/>
      <c r="AB328" s="3"/>
      <c r="AC328" s="3"/>
    </row>
    <row r="329">
      <c r="A329" s="1">
        <v>317.0</v>
      </c>
      <c r="B329" s="2">
        <v>1.42077391304347E9</v>
      </c>
      <c r="C329" s="2">
        <v>-102.1455383</v>
      </c>
      <c r="D329" s="3">
        <f t="shared" si="1"/>
        <v>373913.0435</v>
      </c>
      <c r="E329" s="4">
        <f t="shared" si="2"/>
        <v>-79.89176349</v>
      </c>
      <c r="F329" s="3">
        <f t="shared" si="16"/>
        <v>0.0002136640187</v>
      </c>
      <c r="G329" s="3">
        <f t="shared" si="4"/>
        <v>0</v>
      </c>
      <c r="H329" s="2">
        <f t="shared" si="5"/>
        <v>0</v>
      </c>
      <c r="I329" s="3">
        <f t="shared" si="6"/>
        <v>0</v>
      </c>
      <c r="J329" s="3">
        <f t="shared" si="7"/>
        <v>0</v>
      </c>
      <c r="K329" s="3"/>
      <c r="L329" s="3">
        <f t="shared" si="8"/>
        <v>464.0367083</v>
      </c>
      <c r="M329" s="9">
        <f t="shared" si="9"/>
        <v>465.8406109</v>
      </c>
      <c r="N329" s="9">
        <f t="shared" si="10"/>
        <v>-1.803902606</v>
      </c>
      <c r="O329" s="3"/>
      <c r="P329" s="3"/>
      <c r="Q329" s="3"/>
      <c r="R329" s="2"/>
      <c r="S329" s="9">
        <f t="shared" si="13"/>
        <v>-1.656516787</v>
      </c>
      <c r="W329" s="3"/>
      <c r="X329" s="3"/>
      <c r="Y329" s="3"/>
      <c r="Z329" s="3"/>
      <c r="AA329" s="3"/>
      <c r="AB329" s="3"/>
      <c r="AC329" s="3"/>
    </row>
    <row r="330">
      <c r="A330" s="1">
        <v>318.0</v>
      </c>
      <c r="B330" s="2">
        <v>1.42077826086956E9</v>
      </c>
      <c r="C330" s="2">
        <v>-102.0683365</v>
      </c>
      <c r="D330" s="3">
        <f t="shared" si="1"/>
        <v>378260.8696</v>
      </c>
      <c r="E330" s="4">
        <f t="shared" si="2"/>
        <v>-80.81005963</v>
      </c>
      <c r="F330" s="3">
        <f t="shared" si="16"/>
        <v>0.0002136357898</v>
      </c>
      <c r="G330" s="3">
        <f t="shared" si="4"/>
        <v>0</v>
      </c>
      <c r="H330" s="2">
        <f t="shared" si="5"/>
        <v>0</v>
      </c>
      <c r="I330" s="3">
        <f t="shared" si="6"/>
        <v>0</v>
      </c>
      <c r="J330" s="3">
        <f t="shared" si="7"/>
        <v>0</v>
      </c>
      <c r="K330" s="3"/>
      <c r="L330" s="3">
        <f t="shared" si="8"/>
        <v>472.3593512</v>
      </c>
      <c r="M330" s="9">
        <f t="shared" si="9"/>
        <v>465.713035</v>
      </c>
      <c r="N330" s="9">
        <f t="shared" si="10"/>
        <v>6.64631612</v>
      </c>
      <c r="O330" s="3"/>
      <c r="P330" s="3"/>
      <c r="Q330" s="3"/>
      <c r="R330" s="2"/>
      <c r="S330" s="9">
        <f t="shared" si="13"/>
        <v>6.103286376</v>
      </c>
      <c r="W330" s="3"/>
      <c r="X330" s="3"/>
      <c r="Y330" s="3"/>
      <c r="Z330" s="3"/>
      <c r="AA330" s="3"/>
      <c r="AB330" s="3"/>
      <c r="AC330" s="3"/>
    </row>
    <row r="331">
      <c r="A331" s="1">
        <v>319.0</v>
      </c>
      <c r="B331" s="2">
        <v>1.42078260869565E9</v>
      </c>
      <c r="C331" s="2">
        <v>-102.0818405</v>
      </c>
      <c r="D331" s="3">
        <f t="shared" si="1"/>
        <v>382608.6957</v>
      </c>
      <c r="E331" s="4">
        <f t="shared" si="2"/>
        <v>-81.72835576</v>
      </c>
      <c r="F331" s="3">
        <f t="shared" si="16"/>
        <v>0.0002136082026</v>
      </c>
      <c r="G331" s="3">
        <f t="shared" si="4"/>
        <v>0</v>
      </c>
      <c r="H331" s="2">
        <f t="shared" si="5"/>
        <v>0</v>
      </c>
      <c r="I331" s="3">
        <f t="shared" si="6"/>
        <v>0</v>
      </c>
      <c r="J331" s="3">
        <f t="shared" si="7"/>
        <v>0</v>
      </c>
      <c r="K331" s="3"/>
      <c r="L331" s="3">
        <f t="shared" si="8"/>
        <v>470.892873</v>
      </c>
      <c r="M331" s="9">
        <f t="shared" si="9"/>
        <v>465.5852038</v>
      </c>
      <c r="N331" s="9">
        <f t="shared" si="10"/>
        <v>5.307669146</v>
      </c>
      <c r="O331" s="3"/>
      <c r="P331" s="3"/>
      <c r="Q331" s="3"/>
      <c r="R331" s="2"/>
      <c r="S331" s="9">
        <f t="shared" si="13"/>
        <v>4.874012051</v>
      </c>
      <c r="W331" s="3"/>
      <c r="X331" s="3"/>
      <c r="Y331" s="3"/>
      <c r="Z331" s="3"/>
      <c r="AA331" s="3"/>
      <c r="AB331" s="3"/>
      <c r="AC331" s="3"/>
    </row>
    <row r="332">
      <c r="A332" s="1">
        <v>320.0</v>
      </c>
      <c r="B332" s="2">
        <v>1.42078695652173E9</v>
      </c>
      <c r="C332" s="2">
        <v>-102.1013336</v>
      </c>
      <c r="D332" s="3">
        <f t="shared" si="1"/>
        <v>386956.5217</v>
      </c>
      <c r="E332" s="4">
        <f t="shared" si="2"/>
        <v>-82.64665189</v>
      </c>
      <c r="F332" s="3">
        <f t="shared" si="16"/>
        <v>0.0002135812352</v>
      </c>
      <c r="G332" s="3">
        <f t="shared" si="4"/>
        <v>0</v>
      </c>
      <c r="H332" s="2">
        <f t="shared" si="5"/>
        <v>0</v>
      </c>
      <c r="I332" s="3">
        <f t="shared" si="6"/>
        <v>0</v>
      </c>
      <c r="J332" s="3">
        <f t="shared" si="7"/>
        <v>0</v>
      </c>
      <c r="K332" s="3"/>
      <c r="L332" s="3">
        <f t="shared" si="8"/>
        <v>468.7840291</v>
      </c>
      <c r="M332" s="9">
        <f t="shared" si="9"/>
        <v>465.4571169</v>
      </c>
      <c r="N332" s="9">
        <f t="shared" si="10"/>
        <v>3.326912233</v>
      </c>
      <c r="O332" s="3"/>
      <c r="P332" s="3"/>
      <c r="Q332" s="3"/>
      <c r="R332" s="2"/>
      <c r="S332" s="9">
        <f t="shared" si="13"/>
        <v>3.055090637</v>
      </c>
      <c r="W332" s="3"/>
      <c r="X332" s="3"/>
      <c r="Y332" s="3"/>
      <c r="Z332" s="3"/>
      <c r="AA332" s="3"/>
      <c r="AB332" s="3"/>
      <c r="AC332" s="3"/>
    </row>
    <row r="333">
      <c r="A333" s="1">
        <v>321.0</v>
      </c>
      <c r="B333" s="2">
        <v>1.42079130434782E9</v>
      </c>
      <c r="C333" s="2">
        <v>-102.1022263</v>
      </c>
      <c r="D333" s="3">
        <f t="shared" si="1"/>
        <v>391304.3478</v>
      </c>
      <c r="E333" s="4">
        <f t="shared" si="2"/>
        <v>-83.56494802</v>
      </c>
      <c r="F333" s="3">
        <f t="shared" si="16"/>
        <v>0.0002135548672</v>
      </c>
      <c r="G333" s="3">
        <f t="shared" si="4"/>
        <v>0</v>
      </c>
      <c r="H333" s="2">
        <f t="shared" si="5"/>
        <v>0</v>
      </c>
      <c r="I333" s="3">
        <f t="shared" si="6"/>
        <v>0</v>
      </c>
      <c r="J333" s="3">
        <f t="shared" si="7"/>
        <v>0</v>
      </c>
      <c r="K333" s="3"/>
      <c r="L333" s="3">
        <f t="shared" si="8"/>
        <v>468.6876796</v>
      </c>
      <c r="M333" s="9">
        <f t="shared" si="9"/>
        <v>465.3287739</v>
      </c>
      <c r="N333" s="9">
        <f t="shared" si="10"/>
        <v>3.35890576</v>
      </c>
      <c r="O333" s="3"/>
      <c r="P333" s="3"/>
      <c r="Q333" s="3"/>
      <c r="R333" s="2"/>
      <c r="S333" s="9">
        <f t="shared" si="13"/>
        <v>3.08447017</v>
      </c>
      <c r="W333" s="3"/>
      <c r="X333" s="3"/>
      <c r="Y333" s="3"/>
      <c r="Z333" s="3"/>
      <c r="AA333" s="3"/>
      <c r="AB333" s="3"/>
      <c r="AC333" s="3"/>
    </row>
    <row r="334">
      <c r="A334" s="1">
        <v>322.0</v>
      </c>
      <c r="B334" s="2">
        <v>1.42079565217391E9</v>
      </c>
      <c r="C334" s="2">
        <v>-102.1069641</v>
      </c>
      <c r="D334" s="3">
        <f t="shared" si="1"/>
        <v>395652.1739</v>
      </c>
      <c r="E334" s="4">
        <f t="shared" si="2"/>
        <v>-84.48324416</v>
      </c>
      <c r="F334" s="3">
        <f t="shared" si="16"/>
        <v>0.0002135290786</v>
      </c>
      <c r="G334" s="3">
        <f t="shared" si="4"/>
        <v>0</v>
      </c>
      <c r="H334" s="2">
        <f t="shared" si="5"/>
        <v>0</v>
      </c>
      <c r="I334" s="3">
        <f t="shared" si="6"/>
        <v>0</v>
      </c>
      <c r="J334" s="3">
        <f t="shared" si="7"/>
        <v>0</v>
      </c>
      <c r="K334" s="3"/>
      <c r="L334" s="3">
        <f t="shared" si="8"/>
        <v>468.1766582</v>
      </c>
      <c r="M334" s="9">
        <f t="shared" si="9"/>
        <v>465.2001744</v>
      </c>
      <c r="N334" s="9">
        <f t="shared" si="10"/>
        <v>2.976483775</v>
      </c>
      <c r="O334" s="3"/>
      <c r="P334" s="3"/>
      <c r="Q334" s="3"/>
      <c r="R334" s="2"/>
      <c r="S334" s="9">
        <f t="shared" si="13"/>
        <v>2.733293533</v>
      </c>
      <c r="W334" s="3"/>
      <c r="X334" s="3"/>
      <c r="Y334" s="3"/>
      <c r="Z334" s="3"/>
      <c r="AA334" s="3"/>
      <c r="AB334" s="3"/>
      <c r="AC334" s="3"/>
    </row>
    <row r="335">
      <c r="A335" s="1">
        <v>323.0</v>
      </c>
      <c r="B335" s="2">
        <v>1.4208E9</v>
      </c>
      <c r="C335" s="2">
        <v>-102.1257477</v>
      </c>
      <c r="D335" s="3">
        <f t="shared" si="1"/>
        <v>400000</v>
      </c>
      <c r="E335" s="4">
        <f t="shared" si="2"/>
        <v>-85.40154029</v>
      </c>
      <c r="F335" s="3">
        <f t="shared" si="16"/>
        <v>0.0002135038507</v>
      </c>
      <c r="G335" s="3">
        <f t="shared" si="4"/>
        <v>0</v>
      </c>
      <c r="H335" s="2">
        <f t="shared" si="5"/>
        <v>0</v>
      </c>
      <c r="I335" s="3">
        <f t="shared" si="6"/>
        <v>0</v>
      </c>
      <c r="J335" s="3">
        <f t="shared" si="7"/>
        <v>0</v>
      </c>
      <c r="K335" s="3"/>
      <c r="L335" s="3">
        <f t="shared" si="8"/>
        <v>466.1561276</v>
      </c>
      <c r="M335" s="9">
        <f t="shared" si="9"/>
        <v>465.0713183</v>
      </c>
      <c r="N335" s="9">
        <f t="shared" si="10"/>
        <v>1.084809294</v>
      </c>
      <c r="O335" s="3"/>
      <c r="P335" s="3"/>
      <c r="Q335" s="3"/>
      <c r="R335" s="2"/>
      <c r="S335" s="9">
        <f t="shared" si="13"/>
        <v>0.9961761792</v>
      </c>
      <c r="W335" s="3"/>
      <c r="X335" s="3"/>
      <c r="Y335" s="3"/>
      <c r="Z335" s="3"/>
      <c r="AA335" s="3"/>
      <c r="AB335" s="3"/>
      <c r="AC335" s="3"/>
    </row>
    <row r="336">
      <c r="A336" s="1">
        <v>324.0</v>
      </c>
      <c r="B336" s="2">
        <v>1.42080434782608E9</v>
      </c>
      <c r="C336" s="2">
        <v>-102.1203003</v>
      </c>
      <c r="D336" s="3">
        <f t="shared" si="1"/>
        <v>404347.8261</v>
      </c>
      <c r="E336" s="4">
        <f t="shared" si="2"/>
        <v>-86.31983642</v>
      </c>
      <c r="F336" s="3">
        <f t="shared" si="16"/>
        <v>0.0002134791653</v>
      </c>
      <c r="G336" s="3">
        <f t="shared" si="4"/>
        <v>0</v>
      </c>
      <c r="H336" s="2">
        <f t="shared" si="5"/>
        <v>0</v>
      </c>
      <c r="I336" s="3">
        <f t="shared" si="6"/>
        <v>0</v>
      </c>
      <c r="J336" s="3">
        <f t="shared" si="7"/>
        <v>0</v>
      </c>
      <c r="K336" s="3"/>
      <c r="L336" s="3">
        <f t="shared" si="8"/>
        <v>466.7411988</v>
      </c>
      <c r="M336" s="9">
        <f t="shared" si="9"/>
        <v>464.9422051</v>
      </c>
      <c r="N336" s="9">
        <f t="shared" si="10"/>
        <v>1.798993735</v>
      </c>
      <c r="O336" s="3"/>
      <c r="P336" s="3"/>
      <c r="Q336" s="3"/>
      <c r="R336" s="2"/>
      <c r="S336" s="9">
        <f t="shared" si="13"/>
        <v>1.65200899</v>
      </c>
      <c r="W336" s="3"/>
      <c r="X336" s="3"/>
      <c r="Y336" s="3"/>
      <c r="Z336" s="3"/>
      <c r="AA336" s="3"/>
      <c r="AB336" s="3"/>
      <c r="AC336" s="3"/>
    </row>
    <row r="337">
      <c r="A337" s="1">
        <v>325.0</v>
      </c>
      <c r="B337" s="2">
        <v>1.42080869565217E9</v>
      </c>
      <c r="C337" s="2">
        <v>-102.1544495</v>
      </c>
      <c r="D337" s="3">
        <f t="shared" si="1"/>
        <v>408695.6522</v>
      </c>
      <c r="E337" s="4">
        <f t="shared" si="2"/>
        <v>-87.23813255</v>
      </c>
      <c r="F337" s="3">
        <f t="shared" si="16"/>
        <v>0.0002134550052</v>
      </c>
      <c r="G337" s="3">
        <f t="shared" si="4"/>
        <v>0</v>
      </c>
      <c r="H337" s="2">
        <f t="shared" si="5"/>
        <v>0</v>
      </c>
      <c r="I337" s="3">
        <f t="shared" si="6"/>
        <v>0</v>
      </c>
      <c r="J337" s="3">
        <f t="shared" si="7"/>
        <v>0</v>
      </c>
      <c r="K337" s="3"/>
      <c r="L337" s="3">
        <f t="shared" si="8"/>
        <v>463.085537</v>
      </c>
      <c r="M337" s="9">
        <f t="shared" si="9"/>
        <v>464.8128345</v>
      </c>
      <c r="N337" s="9">
        <f t="shared" si="10"/>
        <v>-1.727297537</v>
      </c>
      <c r="O337" s="3"/>
      <c r="P337" s="3"/>
      <c r="Q337" s="3"/>
      <c r="R337" s="2"/>
      <c r="S337" s="9">
        <f t="shared" si="13"/>
        <v>-1.586170645</v>
      </c>
      <c r="W337" s="3"/>
      <c r="X337" s="3"/>
      <c r="Y337" s="3"/>
      <c r="Z337" s="3"/>
      <c r="AA337" s="3"/>
      <c r="AB337" s="3"/>
      <c r="AC337" s="3"/>
    </row>
    <row r="338">
      <c r="A338" s="1">
        <v>326.0</v>
      </c>
      <c r="B338" s="2">
        <v>1.42081304347826E9</v>
      </c>
      <c r="C338" s="2">
        <v>-102.178009</v>
      </c>
      <c r="D338" s="3">
        <f t="shared" si="1"/>
        <v>413043.4783</v>
      </c>
      <c r="E338" s="4">
        <f t="shared" si="2"/>
        <v>-88.15642868</v>
      </c>
      <c r="F338" s="3">
        <f t="shared" si="16"/>
        <v>0.0002134313537</v>
      </c>
      <c r="G338" s="3">
        <f t="shared" si="4"/>
        <v>0</v>
      </c>
      <c r="H338" s="2">
        <f t="shared" si="5"/>
        <v>0</v>
      </c>
      <c r="I338" s="3">
        <f t="shared" si="6"/>
        <v>0</v>
      </c>
      <c r="J338" s="3">
        <f t="shared" si="7"/>
        <v>0</v>
      </c>
      <c r="K338" s="3"/>
      <c r="L338" s="3">
        <f t="shared" si="8"/>
        <v>460.5802035</v>
      </c>
      <c r="M338" s="9">
        <f t="shared" si="9"/>
        <v>464.6832062</v>
      </c>
      <c r="N338" s="9">
        <f t="shared" si="10"/>
        <v>-4.103002633</v>
      </c>
      <c r="O338" s="3"/>
      <c r="P338" s="3"/>
      <c r="Q338" s="3"/>
      <c r="R338" s="2"/>
      <c r="S338" s="9">
        <f t="shared" si="13"/>
        <v>-3.767771451</v>
      </c>
      <c r="W338" s="3"/>
      <c r="X338" s="3"/>
      <c r="Y338" s="3"/>
      <c r="Z338" s="3"/>
      <c r="AA338" s="3"/>
      <c r="AB338" s="3"/>
      <c r="AC338" s="3"/>
    </row>
    <row r="339">
      <c r="A339" s="1">
        <v>327.0</v>
      </c>
      <c r="B339" s="2">
        <v>1.42081739130434E9</v>
      </c>
      <c r="C339" s="2">
        <v>-102.1023636</v>
      </c>
      <c r="D339" s="3">
        <f t="shared" si="1"/>
        <v>417391.3043</v>
      </c>
      <c r="E339" s="4">
        <f t="shared" si="2"/>
        <v>-89.07472482</v>
      </c>
      <c r="F339" s="3">
        <f t="shared" si="16"/>
        <v>0.0002134081949</v>
      </c>
      <c r="G339" s="3">
        <f t="shared" si="4"/>
        <v>0</v>
      </c>
      <c r="H339" s="2">
        <f t="shared" si="5"/>
        <v>0</v>
      </c>
      <c r="I339" s="3">
        <f t="shared" si="6"/>
        <v>0</v>
      </c>
      <c r="J339" s="3">
        <f t="shared" si="7"/>
        <v>0</v>
      </c>
      <c r="K339" s="3"/>
      <c r="L339" s="3">
        <f t="shared" si="8"/>
        <v>468.6728625</v>
      </c>
      <c r="M339" s="9">
        <f t="shared" si="9"/>
        <v>464.5533198</v>
      </c>
      <c r="N339" s="9">
        <f t="shared" si="10"/>
        <v>4.11954274</v>
      </c>
      <c r="O339" s="3"/>
      <c r="P339" s="3"/>
      <c r="Q339" s="3"/>
      <c r="R339" s="2"/>
      <c r="S339" s="9">
        <f t="shared" si="13"/>
        <v>3.782960167</v>
      </c>
      <c r="W339" s="3"/>
      <c r="X339" s="3"/>
      <c r="Y339" s="3"/>
      <c r="Z339" s="3"/>
      <c r="AA339" s="3"/>
      <c r="AB339" s="3"/>
      <c r="AC339" s="3"/>
    </row>
    <row r="340">
      <c r="A340" s="1">
        <v>328.0</v>
      </c>
      <c r="B340" s="2">
        <v>1.42082173913043E9</v>
      </c>
      <c r="C340" s="2">
        <v>-102.1442108</v>
      </c>
      <c r="D340" s="3">
        <f t="shared" si="1"/>
        <v>421739.1304</v>
      </c>
      <c r="E340" s="4">
        <f t="shared" si="2"/>
        <v>-89.99302095</v>
      </c>
      <c r="F340" s="3">
        <f t="shared" si="16"/>
        <v>0.0002133855136</v>
      </c>
      <c r="G340" s="3">
        <f t="shared" si="4"/>
        <v>0</v>
      </c>
      <c r="H340" s="2">
        <f t="shared" si="5"/>
        <v>0</v>
      </c>
      <c r="I340" s="3">
        <f t="shared" si="6"/>
        <v>0</v>
      </c>
      <c r="J340" s="3">
        <f t="shared" si="7"/>
        <v>0</v>
      </c>
      <c r="K340" s="3"/>
      <c r="L340" s="3">
        <f t="shared" si="8"/>
        <v>464.1785712</v>
      </c>
      <c r="M340" s="9">
        <f t="shared" si="9"/>
        <v>464.423175</v>
      </c>
      <c r="N340" s="9">
        <f t="shared" si="10"/>
        <v>-0.2446037926</v>
      </c>
      <c r="O340" s="3"/>
      <c r="P340" s="3"/>
      <c r="Q340" s="3"/>
      <c r="R340" s="2"/>
      <c r="S340" s="9">
        <f t="shared" si="13"/>
        <v>-0.2246187163</v>
      </c>
      <c r="W340" s="3"/>
      <c r="X340" s="3"/>
      <c r="Y340" s="3"/>
      <c r="Z340" s="3"/>
      <c r="AA340" s="3"/>
      <c r="AB340" s="3"/>
      <c r="AC340" s="3"/>
    </row>
    <row r="341">
      <c r="A341" s="1">
        <v>329.0</v>
      </c>
      <c r="B341" s="2">
        <v>1.42082608695652E9</v>
      </c>
      <c r="C341" s="2">
        <v>-102.1804276</v>
      </c>
      <c r="D341" s="3">
        <f t="shared" si="1"/>
        <v>426086.9565</v>
      </c>
      <c r="E341" s="4">
        <f t="shared" si="2"/>
        <v>-90.91131708</v>
      </c>
      <c r="F341" s="3">
        <f t="shared" si="16"/>
        <v>0.0002133632952</v>
      </c>
      <c r="G341" s="3">
        <f t="shared" si="4"/>
        <v>0</v>
      </c>
      <c r="H341" s="2">
        <f t="shared" si="5"/>
        <v>0</v>
      </c>
      <c r="I341" s="3">
        <f t="shared" si="6"/>
        <v>0</v>
      </c>
      <c r="J341" s="3">
        <f t="shared" si="7"/>
        <v>0</v>
      </c>
      <c r="K341" s="3"/>
      <c r="L341" s="3">
        <f t="shared" si="8"/>
        <v>460.3237764</v>
      </c>
      <c r="M341" s="9">
        <f t="shared" si="9"/>
        <v>464.2927715</v>
      </c>
      <c r="N341" s="9">
        <f t="shared" si="10"/>
        <v>-3.968995106</v>
      </c>
      <c r="O341" s="3"/>
      <c r="P341" s="3"/>
      <c r="Q341" s="3"/>
      <c r="R341" s="2"/>
      <c r="S341" s="9">
        <f t="shared" si="13"/>
        <v>-3.644712857</v>
      </c>
      <c r="W341" s="3"/>
      <c r="X341" s="3"/>
      <c r="Y341" s="3"/>
      <c r="Z341" s="3"/>
      <c r="AA341" s="3"/>
      <c r="AB341" s="3"/>
      <c r="AC341" s="3"/>
    </row>
    <row r="342">
      <c r="A342" s="1">
        <v>330.0</v>
      </c>
      <c r="B342" s="2">
        <v>1.4208304347826E9</v>
      </c>
      <c r="C342" s="2">
        <v>-102.1435852</v>
      </c>
      <c r="D342" s="3">
        <f t="shared" si="1"/>
        <v>430434.7826</v>
      </c>
      <c r="E342" s="4">
        <f t="shared" si="2"/>
        <v>-91.82961321</v>
      </c>
      <c r="F342" s="3">
        <f t="shared" si="16"/>
        <v>0.0002133415256</v>
      </c>
      <c r="G342" s="3">
        <f t="shared" si="4"/>
        <v>0</v>
      </c>
      <c r="H342" s="2">
        <f t="shared" si="5"/>
        <v>0</v>
      </c>
      <c r="I342" s="3">
        <f t="shared" si="6"/>
        <v>0</v>
      </c>
      <c r="J342" s="3">
        <f t="shared" si="7"/>
        <v>0</v>
      </c>
      <c r="K342" s="3"/>
      <c r="L342" s="3">
        <f t="shared" si="8"/>
        <v>464.2454408</v>
      </c>
      <c r="M342" s="9">
        <f t="shared" si="9"/>
        <v>464.1621089</v>
      </c>
      <c r="N342" s="9">
        <f t="shared" si="10"/>
        <v>0.08333194575</v>
      </c>
      <c r="O342" s="3"/>
      <c r="P342" s="3"/>
      <c r="Q342" s="3"/>
      <c r="R342" s="2"/>
      <c r="S342" s="9">
        <f t="shared" si="13"/>
        <v>0.07652340351</v>
      </c>
      <c r="W342" s="3"/>
      <c r="X342" s="3"/>
      <c r="Y342" s="3"/>
      <c r="Z342" s="3"/>
      <c r="AA342" s="3"/>
      <c r="AB342" s="3"/>
      <c r="AC342" s="3"/>
    </row>
    <row r="343">
      <c r="A343" s="1">
        <v>331.0</v>
      </c>
      <c r="B343" s="2">
        <v>1.42083478260869E9</v>
      </c>
      <c r="C343" s="2">
        <v>-102.062767</v>
      </c>
      <c r="D343" s="3">
        <f t="shared" si="1"/>
        <v>434782.6087</v>
      </c>
      <c r="E343" s="4">
        <f t="shared" si="2"/>
        <v>-92.74790935</v>
      </c>
      <c r="F343" s="3">
        <f t="shared" si="16"/>
        <v>0.0002133201915</v>
      </c>
      <c r="G343" s="3">
        <f t="shared" si="4"/>
        <v>0</v>
      </c>
      <c r="H343" s="2">
        <f t="shared" si="5"/>
        <v>0</v>
      </c>
      <c r="I343" s="3">
        <f t="shared" si="6"/>
        <v>0</v>
      </c>
      <c r="J343" s="3">
        <f t="shared" si="7"/>
        <v>0</v>
      </c>
      <c r="K343" s="3"/>
      <c r="L343" s="3">
        <f t="shared" si="8"/>
        <v>472.9655051</v>
      </c>
      <c r="M343" s="9">
        <f t="shared" si="9"/>
        <v>464.0311869</v>
      </c>
      <c r="N343" s="9">
        <f t="shared" si="10"/>
        <v>8.93431822</v>
      </c>
      <c r="O343" s="3"/>
      <c r="P343" s="3"/>
      <c r="Q343" s="3"/>
      <c r="R343" s="2"/>
      <c r="S343" s="9">
        <f t="shared" si="13"/>
        <v>8.20434987</v>
      </c>
      <c r="W343" s="3"/>
      <c r="X343" s="3"/>
      <c r="Y343" s="3"/>
      <c r="Z343" s="3"/>
      <c r="AA343" s="3"/>
      <c r="AB343" s="3"/>
      <c r="AC343" s="3"/>
    </row>
    <row r="344">
      <c r="A344" s="1">
        <v>332.0</v>
      </c>
      <c r="B344" s="2">
        <v>1.42083913043478E9</v>
      </c>
      <c r="C344" s="2">
        <v>-102.1259155</v>
      </c>
      <c r="D344" s="3">
        <f t="shared" si="1"/>
        <v>439130.4348</v>
      </c>
      <c r="E344" s="4">
        <f t="shared" si="2"/>
        <v>-93.66620548</v>
      </c>
      <c r="F344" s="3">
        <f t="shared" si="16"/>
        <v>0.0002132992798</v>
      </c>
      <c r="G344" s="3">
        <f t="shared" si="4"/>
        <v>0</v>
      </c>
      <c r="H344" s="2">
        <f t="shared" si="5"/>
        <v>0</v>
      </c>
      <c r="I344" s="3">
        <f t="shared" si="6"/>
        <v>0</v>
      </c>
      <c r="J344" s="3">
        <f t="shared" si="7"/>
        <v>0</v>
      </c>
      <c r="K344" s="3"/>
      <c r="L344" s="3">
        <f t="shared" si="8"/>
        <v>466.1381169</v>
      </c>
      <c r="M344" s="9">
        <f t="shared" si="9"/>
        <v>463.9000051</v>
      </c>
      <c r="N344" s="9">
        <f t="shared" si="10"/>
        <v>2.238111776</v>
      </c>
      <c r="O344" s="3"/>
      <c r="P344" s="3"/>
      <c r="Q344" s="3"/>
      <c r="R344" s="2"/>
      <c r="S344" s="9">
        <f t="shared" si="13"/>
        <v>2.055249384</v>
      </c>
      <c r="W344" s="3"/>
      <c r="X344" s="3"/>
      <c r="Y344" s="3"/>
      <c r="Z344" s="3"/>
      <c r="AA344" s="3"/>
      <c r="AB344" s="3"/>
      <c r="AC344" s="3"/>
    </row>
    <row r="345">
      <c r="A345" s="1">
        <v>333.0</v>
      </c>
      <c r="B345" s="2">
        <v>1.42084347826087E9</v>
      </c>
      <c r="C345" s="2">
        <v>-102.1211548</v>
      </c>
      <c r="D345" s="3">
        <f t="shared" si="1"/>
        <v>443478.2609</v>
      </c>
      <c r="E345" s="4">
        <f t="shared" si="2"/>
        <v>-94.58450161</v>
      </c>
      <c r="F345" s="3">
        <f t="shared" si="16"/>
        <v>0.0002132787781</v>
      </c>
      <c r="G345" s="3">
        <f t="shared" si="4"/>
        <v>0</v>
      </c>
      <c r="H345" s="2">
        <f t="shared" si="5"/>
        <v>0</v>
      </c>
      <c r="I345" s="3">
        <f t="shared" si="6"/>
        <v>0</v>
      </c>
      <c r="J345" s="3">
        <f t="shared" si="7"/>
        <v>0</v>
      </c>
      <c r="K345" s="3"/>
      <c r="L345" s="3">
        <f t="shared" si="8"/>
        <v>466.6493738</v>
      </c>
      <c r="M345" s="9">
        <f t="shared" si="9"/>
        <v>463.7685633</v>
      </c>
      <c r="N345" s="9">
        <f t="shared" si="10"/>
        <v>2.880810476</v>
      </c>
      <c r="O345" s="3"/>
      <c r="P345" s="3"/>
      <c r="Q345" s="3"/>
      <c r="R345" s="2"/>
      <c r="S345" s="9">
        <f t="shared" si="13"/>
        <v>2.645437119</v>
      </c>
      <c r="W345" s="3"/>
      <c r="X345" s="3"/>
      <c r="Y345" s="3"/>
      <c r="Z345" s="3"/>
      <c r="AA345" s="3"/>
      <c r="AB345" s="3"/>
      <c r="AC345" s="3"/>
    </row>
    <row r="346">
      <c r="A346" s="1">
        <v>334.0</v>
      </c>
      <c r="B346" s="2">
        <v>1.42084782608695E9</v>
      </c>
      <c r="C346" s="2">
        <v>-102.1605988</v>
      </c>
      <c r="D346" s="3">
        <f t="shared" si="1"/>
        <v>447826.087</v>
      </c>
      <c r="E346" s="4">
        <f t="shared" si="2"/>
        <v>-95.50279774</v>
      </c>
      <c r="F346" s="3">
        <f t="shared" si="16"/>
        <v>0.0002132586746</v>
      </c>
      <c r="G346" s="3">
        <f t="shared" si="4"/>
        <v>0</v>
      </c>
      <c r="H346" s="2">
        <f t="shared" si="5"/>
        <v>0</v>
      </c>
      <c r="I346" s="3">
        <f t="shared" si="6"/>
        <v>0</v>
      </c>
      <c r="J346" s="3">
        <f t="shared" si="7"/>
        <v>0</v>
      </c>
      <c r="K346" s="3"/>
      <c r="L346" s="3">
        <f t="shared" si="8"/>
        <v>462.4303049</v>
      </c>
      <c r="M346" s="9">
        <f t="shared" si="9"/>
        <v>463.6368611</v>
      </c>
      <c r="N346" s="9">
        <f t="shared" si="10"/>
        <v>-1.206556225</v>
      </c>
      <c r="O346" s="3"/>
      <c r="P346" s="3"/>
      <c r="Q346" s="3"/>
      <c r="R346" s="2"/>
      <c r="S346" s="9">
        <f t="shared" si="13"/>
        <v>-1.107975915</v>
      </c>
      <c r="W346" s="3"/>
      <c r="X346" s="3"/>
      <c r="Y346" s="3"/>
      <c r="Z346" s="3"/>
      <c r="AA346" s="3"/>
      <c r="AB346" s="3"/>
      <c r="AC346" s="3"/>
    </row>
    <row r="347">
      <c r="A347" s="1">
        <v>335.0</v>
      </c>
      <c r="B347" s="2">
        <v>1.42085217391304E9</v>
      </c>
      <c r="C347" s="2">
        <v>-102.1352692</v>
      </c>
      <c r="D347" s="3">
        <f t="shared" si="1"/>
        <v>452173.913</v>
      </c>
      <c r="E347" s="4">
        <f t="shared" si="2"/>
        <v>-96.42109387</v>
      </c>
      <c r="F347" s="3">
        <f t="shared" si="16"/>
        <v>0.0002132389576</v>
      </c>
      <c r="G347" s="3">
        <f t="shared" si="4"/>
        <v>0</v>
      </c>
      <c r="H347" s="2">
        <f t="shared" si="5"/>
        <v>0</v>
      </c>
      <c r="I347" s="3">
        <f t="shared" si="6"/>
        <v>0</v>
      </c>
      <c r="J347" s="3">
        <f t="shared" si="7"/>
        <v>0</v>
      </c>
      <c r="K347" s="3"/>
      <c r="L347" s="3">
        <f t="shared" si="8"/>
        <v>465.1352434</v>
      </c>
      <c r="M347" s="9">
        <f t="shared" si="9"/>
        <v>463.5048982</v>
      </c>
      <c r="N347" s="9">
        <f t="shared" si="10"/>
        <v>1.630345273</v>
      </c>
      <c r="O347" s="3"/>
      <c r="P347" s="3"/>
      <c r="Q347" s="3"/>
      <c r="R347" s="2"/>
      <c r="S347" s="9">
        <f t="shared" si="13"/>
        <v>1.497139756</v>
      </c>
      <c r="W347" s="3"/>
      <c r="X347" s="3"/>
      <c r="Y347" s="3"/>
      <c r="Z347" s="3"/>
      <c r="AA347" s="3"/>
      <c r="AB347" s="3"/>
      <c r="AC347" s="3"/>
    </row>
    <row r="348">
      <c r="A348" s="1">
        <v>336.0</v>
      </c>
      <c r="B348" s="2">
        <v>1.42085652173913E9</v>
      </c>
      <c r="C348" s="2">
        <v>-102.2005615</v>
      </c>
      <c r="D348" s="3">
        <f t="shared" si="1"/>
        <v>456521.7391</v>
      </c>
      <c r="E348" s="4">
        <f t="shared" si="2"/>
        <v>-97.33939</v>
      </c>
      <c r="F348" s="3">
        <f t="shared" si="16"/>
        <v>0.0002132196162</v>
      </c>
      <c r="G348" s="3">
        <f t="shared" si="4"/>
        <v>0</v>
      </c>
      <c r="H348" s="2">
        <f t="shared" si="5"/>
        <v>0</v>
      </c>
      <c r="I348" s="3">
        <f t="shared" si="6"/>
        <v>0</v>
      </c>
      <c r="J348" s="3">
        <f t="shared" si="7"/>
        <v>0</v>
      </c>
      <c r="K348" s="3"/>
      <c r="L348" s="3">
        <f t="shared" si="8"/>
        <v>458.1946536</v>
      </c>
      <c r="M348" s="9">
        <f t="shared" si="9"/>
        <v>463.3726741</v>
      </c>
      <c r="N348" s="9">
        <f t="shared" si="10"/>
        <v>-5.17802052</v>
      </c>
      <c r="O348" s="3"/>
      <c r="P348" s="3"/>
      <c r="Q348" s="3"/>
      <c r="R348" s="2"/>
      <c r="S348" s="9">
        <f t="shared" si="13"/>
        <v>-4.754956219</v>
      </c>
      <c r="W348" s="3"/>
      <c r="X348" s="3"/>
      <c r="Y348" s="3"/>
      <c r="Z348" s="3"/>
      <c r="AA348" s="3"/>
      <c r="AB348" s="3"/>
      <c r="AC348" s="3"/>
    </row>
    <row r="349">
      <c r="A349" s="1">
        <v>337.0</v>
      </c>
      <c r="B349" s="2">
        <v>1.42086086956521E9</v>
      </c>
      <c r="C349" s="2">
        <v>-102.1274719</v>
      </c>
      <c r="D349" s="3">
        <f t="shared" si="1"/>
        <v>460869.5652</v>
      </c>
      <c r="E349" s="4">
        <f t="shared" si="2"/>
        <v>-98.25768614</v>
      </c>
      <c r="F349" s="3">
        <f t="shared" si="16"/>
        <v>0.0002132006397</v>
      </c>
      <c r="G349" s="3">
        <f t="shared" si="4"/>
        <v>0</v>
      </c>
      <c r="H349" s="2">
        <f t="shared" si="5"/>
        <v>0</v>
      </c>
      <c r="I349" s="3">
        <f t="shared" si="6"/>
        <v>0</v>
      </c>
      <c r="J349" s="3">
        <f t="shared" si="7"/>
        <v>0</v>
      </c>
      <c r="K349" s="3"/>
      <c r="L349" s="3">
        <f t="shared" si="8"/>
        <v>465.9710949</v>
      </c>
      <c r="M349" s="9">
        <f t="shared" si="9"/>
        <v>463.2401887</v>
      </c>
      <c r="N349" s="9">
        <f t="shared" si="10"/>
        <v>2.730906178</v>
      </c>
      <c r="O349" s="3"/>
      <c r="P349" s="3"/>
      <c r="Q349" s="3"/>
      <c r="R349" s="2"/>
      <c r="S349" s="9">
        <f t="shared" si="13"/>
        <v>2.507780582</v>
      </c>
      <c r="W349" s="3"/>
      <c r="X349" s="3"/>
      <c r="Y349" s="3"/>
      <c r="Z349" s="3"/>
      <c r="AA349" s="3"/>
      <c r="AB349" s="3"/>
      <c r="AC349" s="3"/>
    </row>
    <row r="350">
      <c r="A350" s="1">
        <v>338.0</v>
      </c>
      <c r="B350" s="2">
        <v>1.4208652173913E9</v>
      </c>
      <c r="C350" s="2">
        <v>-102.1054764</v>
      </c>
      <c r="D350" s="3">
        <f t="shared" si="1"/>
        <v>465217.3913</v>
      </c>
      <c r="E350" s="4">
        <f t="shared" si="2"/>
        <v>-99.17598227</v>
      </c>
      <c r="F350" s="3">
        <f t="shared" si="16"/>
        <v>0.000213182018</v>
      </c>
      <c r="G350" s="3">
        <f t="shared" si="4"/>
        <v>0</v>
      </c>
      <c r="H350" s="2">
        <f t="shared" si="5"/>
        <v>0</v>
      </c>
      <c r="I350" s="3">
        <f t="shared" si="6"/>
        <v>0</v>
      </c>
      <c r="J350" s="3">
        <f t="shared" si="7"/>
        <v>0</v>
      </c>
      <c r="K350" s="3"/>
      <c r="L350" s="3">
        <f t="shared" si="8"/>
        <v>468.3370622</v>
      </c>
      <c r="M350" s="9">
        <f t="shared" si="9"/>
        <v>463.1074415</v>
      </c>
      <c r="N350" s="9">
        <f t="shared" si="10"/>
        <v>5.229620679</v>
      </c>
      <c r="O350" s="3"/>
      <c r="P350" s="3"/>
      <c r="Q350" s="3"/>
      <c r="R350" s="2"/>
      <c r="S350" s="9">
        <f t="shared" si="13"/>
        <v>4.802340434</v>
      </c>
      <c r="W350" s="3"/>
      <c r="X350" s="3"/>
      <c r="Y350" s="3"/>
      <c r="Z350" s="3"/>
      <c r="AA350" s="3"/>
      <c r="AB350" s="3"/>
      <c r="AC350" s="3"/>
    </row>
    <row r="351">
      <c r="A351" s="1">
        <v>339.0</v>
      </c>
      <c r="B351" s="2">
        <v>1.42086956521739E9</v>
      </c>
      <c r="C351" s="2">
        <v>-102.1353989</v>
      </c>
      <c r="D351" s="3">
        <f t="shared" si="1"/>
        <v>469565.2174</v>
      </c>
      <c r="E351" s="4">
        <f t="shared" si="2"/>
        <v>-100.0942784</v>
      </c>
      <c r="F351" s="3">
        <f t="shared" si="16"/>
        <v>0.000213163741</v>
      </c>
      <c r="G351" s="3">
        <f t="shared" si="4"/>
        <v>0</v>
      </c>
      <c r="H351" s="2">
        <f t="shared" si="5"/>
        <v>0</v>
      </c>
      <c r="I351" s="3">
        <f t="shared" si="6"/>
        <v>0</v>
      </c>
      <c r="J351" s="3">
        <f t="shared" si="7"/>
        <v>0</v>
      </c>
      <c r="K351" s="3"/>
      <c r="L351" s="3">
        <f t="shared" si="8"/>
        <v>465.1213526</v>
      </c>
      <c r="M351" s="9">
        <f t="shared" si="9"/>
        <v>462.9744323</v>
      </c>
      <c r="N351" s="9">
        <f t="shared" si="10"/>
        <v>2.146920295</v>
      </c>
      <c r="O351" s="3"/>
      <c r="P351" s="3"/>
      <c r="Q351" s="3"/>
      <c r="R351" s="2"/>
      <c r="S351" s="9">
        <f t="shared" si="13"/>
        <v>1.971508604</v>
      </c>
      <c r="W351" s="3"/>
      <c r="X351" s="3"/>
      <c r="Y351" s="3"/>
      <c r="Z351" s="3"/>
      <c r="AA351" s="3"/>
      <c r="AB351" s="3"/>
      <c r="AC351" s="3"/>
    </row>
    <row r="352">
      <c r="A352" s="1">
        <v>340.0</v>
      </c>
      <c r="B352" s="2">
        <v>1.42087391304347E9</v>
      </c>
      <c r="C352" s="2">
        <v>-102.144249</v>
      </c>
      <c r="D352" s="3">
        <f t="shared" si="1"/>
        <v>473913.0435</v>
      </c>
      <c r="E352" s="4">
        <f t="shared" si="2"/>
        <v>-101.0125745</v>
      </c>
      <c r="F352" s="3">
        <f t="shared" si="16"/>
        <v>0.0002131457995</v>
      </c>
      <c r="G352" s="3">
        <f t="shared" si="4"/>
        <v>0</v>
      </c>
      <c r="H352" s="2">
        <f t="shared" si="5"/>
        <v>0</v>
      </c>
      <c r="I352" s="3">
        <f t="shared" si="6"/>
        <v>0</v>
      </c>
      <c r="J352" s="3">
        <f t="shared" si="7"/>
        <v>0</v>
      </c>
      <c r="K352" s="3"/>
      <c r="L352" s="3">
        <f t="shared" si="8"/>
        <v>464.1744884</v>
      </c>
      <c r="M352" s="9">
        <f t="shared" si="9"/>
        <v>462.8411607</v>
      </c>
      <c r="N352" s="9">
        <f t="shared" si="10"/>
        <v>1.333327708</v>
      </c>
      <c r="O352" s="3"/>
      <c r="P352" s="3"/>
      <c r="Q352" s="3"/>
      <c r="R352" s="2"/>
      <c r="S352" s="9">
        <f t="shared" si="13"/>
        <v>1.224389678</v>
      </c>
      <c r="W352" s="3"/>
      <c r="X352" s="3"/>
      <c r="Y352" s="3"/>
      <c r="Z352" s="3"/>
      <c r="AA352" s="3"/>
      <c r="AB352" s="3"/>
      <c r="AC352" s="3"/>
    </row>
    <row r="353">
      <c r="A353" s="1">
        <v>341.0</v>
      </c>
      <c r="B353" s="2">
        <v>1.42087826086956E9</v>
      </c>
      <c r="C353" s="2">
        <v>-102.1540985</v>
      </c>
      <c r="D353" s="3">
        <f t="shared" si="1"/>
        <v>478260.8696</v>
      </c>
      <c r="E353" s="4">
        <f t="shared" si="2"/>
        <v>-101.9308707</v>
      </c>
      <c r="F353" s="3">
        <f t="shared" si="16"/>
        <v>0.0002131281841</v>
      </c>
      <c r="G353" s="3">
        <f t="shared" si="4"/>
        <v>0</v>
      </c>
      <c r="H353" s="2">
        <f t="shared" si="5"/>
        <v>0</v>
      </c>
      <c r="I353" s="3">
        <f t="shared" si="6"/>
        <v>0</v>
      </c>
      <c r="J353" s="3">
        <f t="shared" si="7"/>
        <v>0</v>
      </c>
      <c r="K353" s="3"/>
      <c r="L353" s="3">
        <f t="shared" si="8"/>
        <v>463.1229654</v>
      </c>
      <c r="M353" s="9">
        <f t="shared" si="9"/>
        <v>462.7076263</v>
      </c>
      <c r="N353" s="9">
        <f t="shared" si="10"/>
        <v>0.4153391449</v>
      </c>
      <c r="O353" s="3"/>
      <c r="P353" s="3"/>
      <c r="Q353" s="3"/>
      <c r="R353" s="2"/>
      <c r="S353" s="9">
        <f t="shared" si="13"/>
        <v>0.3814043297</v>
      </c>
      <c r="W353" s="3"/>
      <c r="X353" s="3"/>
      <c r="Y353" s="3"/>
      <c r="Z353" s="3"/>
      <c r="AA353" s="3"/>
      <c r="AB353" s="3"/>
      <c r="AC353" s="3"/>
    </row>
    <row r="354">
      <c r="A354" s="1">
        <v>342.0</v>
      </c>
      <c r="B354" s="2">
        <v>1.42088260869565E9</v>
      </c>
      <c r="C354" s="2">
        <v>-102.091217</v>
      </c>
      <c r="D354" s="3">
        <f t="shared" si="1"/>
        <v>482608.6957</v>
      </c>
      <c r="E354" s="4">
        <f t="shared" si="2"/>
        <v>-102.8491668</v>
      </c>
      <c r="F354" s="3">
        <f t="shared" si="16"/>
        <v>0.0002131108862</v>
      </c>
      <c r="G354" s="3">
        <f t="shared" si="4"/>
        <v>0</v>
      </c>
      <c r="H354" s="2">
        <f t="shared" si="5"/>
        <v>0</v>
      </c>
      <c r="I354" s="3">
        <f t="shared" si="6"/>
        <v>0</v>
      </c>
      <c r="J354" s="3">
        <f t="shared" si="7"/>
        <v>0</v>
      </c>
      <c r="K354" s="3"/>
      <c r="L354" s="3">
        <f t="shared" si="8"/>
        <v>469.8773031</v>
      </c>
      <c r="M354" s="9">
        <f t="shared" si="9"/>
        <v>462.5738288</v>
      </c>
      <c r="N354" s="9">
        <f t="shared" si="10"/>
        <v>7.303474271</v>
      </c>
      <c r="O354" s="3"/>
      <c r="P354" s="3"/>
      <c r="Q354" s="3"/>
      <c r="R354" s="2"/>
      <c r="S354" s="9">
        <f t="shared" si="13"/>
        <v>6.706752179</v>
      </c>
      <c r="W354" s="3"/>
      <c r="X354" s="3"/>
      <c r="Y354" s="3"/>
      <c r="Z354" s="3"/>
      <c r="AA354" s="3"/>
      <c r="AB354" s="3"/>
      <c r="AC354" s="3"/>
    </row>
    <row r="355">
      <c r="A355" s="1">
        <v>343.0</v>
      </c>
      <c r="B355" s="2">
        <v>1.42088695652173E9</v>
      </c>
      <c r="C355" s="2">
        <v>-102.1069412</v>
      </c>
      <c r="D355" s="3">
        <f t="shared" si="1"/>
        <v>486956.5217</v>
      </c>
      <c r="E355" s="4">
        <f t="shared" si="2"/>
        <v>-103.7674629</v>
      </c>
      <c r="F355" s="3">
        <f t="shared" si="16"/>
        <v>0.0002130938971</v>
      </c>
      <c r="G355" s="3">
        <f t="shared" si="4"/>
        <v>0</v>
      </c>
      <c r="H355" s="2">
        <f t="shared" si="5"/>
        <v>0</v>
      </c>
      <c r="I355" s="3">
        <f t="shared" si="6"/>
        <v>0</v>
      </c>
      <c r="J355" s="3">
        <f t="shared" si="7"/>
        <v>0</v>
      </c>
      <c r="K355" s="3"/>
      <c r="L355" s="3">
        <f t="shared" si="8"/>
        <v>468.1791269</v>
      </c>
      <c r="M355" s="9">
        <f t="shared" si="9"/>
        <v>462.4397679</v>
      </c>
      <c r="N355" s="9">
        <f t="shared" si="10"/>
        <v>5.739358983</v>
      </c>
      <c r="O355" s="3"/>
      <c r="P355" s="3"/>
      <c r="Q355" s="3"/>
      <c r="R355" s="2"/>
      <c r="S355" s="9">
        <f t="shared" si="13"/>
        <v>5.270431158</v>
      </c>
      <c r="W355" s="3"/>
      <c r="X355" s="3"/>
      <c r="Y355" s="3"/>
      <c r="Z355" s="3"/>
      <c r="AA355" s="3"/>
      <c r="AB355" s="3"/>
      <c r="AC355" s="3"/>
    </row>
    <row r="356">
      <c r="A356" s="1">
        <v>344.0</v>
      </c>
      <c r="B356" s="2">
        <v>1.42089130434782E9</v>
      </c>
      <c r="C356" s="2">
        <v>-102.1984024</v>
      </c>
      <c r="D356" s="3">
        <f t="shared" si="1"/>
        <v>491304.3478</v>
      </c>
      <c r="E356" s="4">
        <f t="shared" si="2"/>
        <v>-104.6857591</v>
      </c>
      <c r="F356" s="3">
        <f t="shared" si="16"/>
        <v>0.0002130772087</v>
      </c>
      <c r="G356" s="3">
        <f t="shared" si="4"/>
        <v>0</v>
      </c>
      <c r="H356" s="2">
        <f t="shared" si="5"/>
        <v>0</v>
      </c>
      <c r="I356" s="3">
        <f t="shared" si="6"/>
        <v>0</v>
      </c>
      <c r="J356" s="3">
        <f t="shared" si="7"/>
        <v>0</v>
      </c>
      <c r="K356" s="3"/>
      <c r="L356" s="3">
        <f t="shared" si="8"/>
        <v>458.4225023</v>
      </c>
      <c r="M356" s="9">
        <f t="shared" si="9"/>
        <v>462.3054433</v>
      </c>
      <c r="N356" s="9">
        <f t="shared" si="10"/>
        <v>-3.882941027</v>
      </c>
      <c r="O356" s="3"/>
      <c r="P356" s="3"/>
      <c r="Q356" s="3"/>
      <c r="R356" s="2"/>
      <c r="S356" s="9">
        <f t="shared" si="13"/>
        <v>-3.565689729</v>
      </c>
      <c r="W356" s="3"/>
      <c r="X356" s="3"/>
      <c r="Y356" s="3"/>
      <c r="Z356" s="3"/>
      <c r="AA356" s="3"/>
      <c r="AB356" s="3"/>
      <c r="AC356" s="3"/>
    </row>
    <row r="357">
      <c r="A357" s="1">
        <v>345.0</v>
      </c>
      <c r="B357" s="2">
        <v>1.42089565217391E9</v>
      </c>
      <c r="C357" s="2">
        <v>-102.1928558</v>
      </c>
      <c r="D357" s="3">
        <f t="shared" si="1"/>
        <v>495652.1739</v>
      </c>
      <c r="E357" s="4">
        <f t="shared" si="2"/>
        <v>-105.6040552</v>
      </c>
      <c r="F357" s="3">
        <f t="shared" si="16"/>
        <v>0.0002130608131</v>
      </c>
      <c r="G357" s="3">
        <f t="shared" si="4"/>
        <v>0</v>
      </c>
      <c r="H357" s="2">
        <f t="shared" si="5"/>
        <v>0</v>
      </c>
      <c r="I357" s="3">
        <f t="shared" si="6"/>
        <v>0</v>
      </c>
      <c r="J357" s="3">
        <f t="shared" si="7"/>
        <v>0</v>
      </c>
      <c r="K357" s="3"/>
      <c r="L357" s="3">
        <f t="shared" si="8"/>
        <v>459.0083514</v>
      </c>
      <c r="M357" s="9">
        <f t="shared" si="9"/>
        <v>462.1708546</v>
      </c>
      <c r="N357" s="9">
        <f t="shared" si="10"/>
        <v>-3.162503146</v>
      </c>
      <c r="O357" s="3"/>
      <c r="P357" s="3"/>
      <c r="Q357" s="3"/>
      <c r="R357" s="2"/>
      <c r="S357" s="9">
        <f t="shared" si="13"/>
        <v>-2.904114403</v>
      </c>
      <c r="W357" s="3"/>
      <c r="X357" s="3"/>
      <c r="Y357" s="3"/>
      <c r="Z357" s="3"/>
      <c r="AA357" s="3"/>
      <c r="AB357" s="3"/>
      <c r="AC357" s="3"/>
    </row>
    <row r="358">
      <c r="A358" s="1">
        <v>346.0</v>
      </c>
      <c r="B358" s="2">
        <v>1.4209E9</v>
      </c>
      <c r="C358" s="2">
        <v>-102.1701584</v>
      </c>
      <c r="D358" s="3">
        <f t="shared" si="1"/>
        <v>500000</v>
      </c>
      <c r="E358" s="4">
        <f t="shared" si="2"/>
        <v>-106.5223513</v>
      </c>
      <c r="F358" s="3">
        <f t="shared" si="16"/>
        <v>0.0002130447027</v>
      </c>
      <c r="G358" s="3">
        <f t="shared" si="4"/>
        <v>0</v>
      </c>
      <c r="H358" s="2">
        <f t="shared" si="5"/>
        <v>0</v>
      </c>
      <c r="I358" s="3">
        <f t="shared" si="6"/>
        <v>0</v>
      </c>
      <c r="J358" s="3">
        <f t="shared" si="7"/>
        <v>0</v>
      </c>
      <c r="K358" s="3"/>
      <c r="L358" s="3">
        <f t="shared" si="8"/>
        <v>461.4135324</v>
      </c>
      <c r="M358" s="9">
        <f t="shared" si="9"/>
        <v>462.0360015</v>
      </c>
      <c r="N358" s="9">
        <f t="shared" si="10"/>
        <v>-0.6224690985</v>
      </c>
      <c r="O358" s="3"/>
      <c r="P358" s="3"/>
      <c r="Q358" s="3"/>
      <c r="R358" s="2"/>
      <c r="S358" s="9">
        <f t="shared" si="13"/>
        <v>-0.571610966</v>
      </c>
      <c r="W358" s="3"/>
      <c r="X358" s="3"/>
      <c r="Y358" s="3"/>
      <c r="Z358" s="3"/>
      <c r="AA358" s="3"/>
      <c r="AB358" s="3"/>
      <c r="AC358" s="3"/>
    </row>
    <row r="359">
      <c r="A359" s="1">
        <v>347.0</v>
      </c>
      <c r="B359" s="2">
        <v>1.42090434782608E9</v>
      </c>
      <c r="C359" s="2">
        <v>-102.173233</v>
      </c>
      <c r="D359" s="3">
        <f t="shared" si="1"/>
        <v>504347.8261</v>
      </c>
      <c r="E359" s="4">
        <f t="shared" si="2"/>
        <v>-107.4406475</v>
      </c>
      <c r="F359" s="3">
        <f t="shared" si="16"/>
        <v>0.00021302887</v>
      </c>
      <c r="G359" s="3">
        <f t="shared" si="4"/>
        <v>0</v>
      </c>
      <c r="H359" s="2">
        <f t="shared" si="5"/>
        <v>0</v>
      </c>
      <c r="I359" s="3">
        <f t="shared" si="6"/>
        <v>0</v>
      </c>
      <c r="J359" s="3">
        <f t="shared" si="7"/>
        <v>0</v>
      </c>
      <c r="K359" s="3"/>
      <c r="L359" s="3">
        <f t="shared" si="8"/>
        <v>461.086989</v>
      </c>
      <c r="M359" s="9">
        <f t="shared" si="9"/>
        <v>461.9008836</v>
      </c>
      <c r="N359" s="9">
        <f t="shared" si="10"/>
        <v>-0.8138946387</v>
      </c>
      <c r="O359" s="3"/>
      <c r="P359" s="3"/>
      <c r="Q359" s="3"/>
      <c r="R359" s="2"/>
      <c r="S359" s="9">
        <f t="shared" si="13"/>
        <v>-0.7473962992</v>
      </c>
      <c r="W359" s="3"/>
      <c r="X359" s="3"/>
      <c r="Y359" s="3"/>
      <c r="Z359" s="3"/>
      <c r="AA359" s="3"/>
      <c r="AB359" s="3"/>
      <c r="AC359" s="3"/>
    </row>
    <row r="360">
      <c r="A360" s="1">
        <v>348.0</v>
      </c>
      <c r="B360" s="2">
        <v>1.42090869565217E9</v>
      </c>
      <c r="C360" s="2">
        <v>-102.144989</v>
      </c>
      <c r="D360" s="3">
        <f t="shared" si="1"/>
        <v>508695.6522</v>
      </c>
      <c r="E360" s="4">
        <f t="shared" si="2"/>
        <v>-108.3589436</v>
      </c>
      <c r="F360" s="3">
        <f t="shared" si="16"/>
        <v>0.0002130133079</v>
      </c>
      <c r="G360" s="3">
        <f t="shared" si="4"/>
        <v>0</v>
      </c>
      <c r="H360" s="2">
        <f t="shared" si="5"/>
        <v>0</v>
      </c>
      <c r="I360" s="3">
        <f t="shared" si="6"/>
        <v>0</v>
      </c>
      <c r="J360" s="3">
        <f t="shared" si="7"/>
        <v>0</v>
      </c>
      <c r="K360" s="3"/>
      <c r="L360" s="3">
        <f t="shared" si="8"/>
        <v>464.0954038</v>
      </c>
      <c r="M360" s="9">
        <f t="shared" si="9"/>
        <v>461.7655006</v>
      </c>
      <c r="N360" s="9">
        <f t="shared" si="10"/>
        <v>2.329903161</v>
      </c>
      <c r="O360" s="3"/>
      <c r="P360" s="3"/>
      <c r="Q360" s="3"/>
      <c r="R360" s="2"/>
      <c r="S360" s="9">
        <f t="shared" si="13"/>
        <v>2.139541058</v>
      </c>
      <c r="W360" s="3"/>
      <c r="X360" s="3"/>
      <c r="Y360" s="3"/>
      <c r="Z360" s="3"/>
      <c r="AA360" s="3"/>
      <c r="AB360" s="3"/>
      <c r="AC360" s="3"/>
    </row>
    <row r="361">
      <c r="A361" s="1">
        <v>349.0</v>
      </c>
      <c r="B361" s="2">
        <v>1.42091304347826E9</v>
      </c>
      <c r="C361" s="2">
        <v>-102.1386414</v>
      </c>
      <c r="D361" s="3">
        <f t="shared" si="1"/>
        <v>513043.4783</v>
      </c>
      <c r="E361" s="4">
        <f t="shared" si="2"/>
        <v>-109.2772397</v>
      </c>
      <c r="F361" s="3">
        <f t="shared" si="16"/>
        <v>0.0002129980096</v>
      </c>
      <c r="G361" s="3">
        <f t="shared" si="4"/>
        <v>0</v>
      </c>
      <c r="H361" s="2">
        <f t="shared" si="5"/>
        <v>0</v>
      </c>
      <c r="I361" s="3">
        <f t="shared" si="6"/>
        <v>0</v>
      </c>
      <c r="J361" s="3">
        <f t="shared" si="7"/>
        <v>0</v>
      </c>
      <c r="K361" s="3"/>
      <c r="L361" s="3">
        <f t="shared" si="8"/>
        <v>464.7742165</v>
      </c>
      <c r="M361" s="9">
        <f t="shared" si="9"/>
        <v>461.6298523</v>
      </c>
      <c r="N361" s="9">
        <f t="shared" si="10"/>
        <v>3.144364172</v>
      </c>
      <c r="O361" s="3"/>
      <c r="P361" s="3"/>
      <c r="Q361" s="3"/>
      <c r="R361" s="2"/>
      <c r="S361" s="9">
        <f t="shared" si="13"/>
        <v>2.887457459</v>
      </c>
      <c r="W361" s="3"/>
      <c r="X361" s="3"/>
      <c r="Y361" s="3"/>
      <c r="Z361" s="3"/>
      <c r="AA361" s="3"/>
      <c r="AB361" s="3"/>
      <c r="AC361" s="3"/>
    </row>
    <row r="362">
      <c r="A362" s="1">
        <v>350.0</v>
      </c>
      <c r="B362" s="2">
        <v>1.42091739130434E9</v>
      </c>
      <c r="C362" s="2">
        <v>-102.2375107</v>
      </c>
      <c r="D362" s="3">
        <f t="shared" si="1"/>
        <v>517391.3043</v>
      </c>
      <c r="E362" s="4">
        <f t="shared" si="2"/>
        <v>-110.1955359</v>
      </c>
      <c r="F362" s="3">
        <f t="shared" si="16"/>
        <v>0.0002129829685</v>
      </c>
      <c r="G362" s="3">
        <f t="shared" si="4"/>
        <v>0</v>
      </c>
      <c r="H362" s="2">
        <f t="shared" si="5"/>
        <v>0</v>
      </c>
      <c r="I362" s="3">
        <f t="shared" si="6"/>
        <v>0</v>
      </c>
      <c r="J362" s="3">
        <f t="shared" si="7"/>
        <v>0</v>
      </c>
      <c r="K362" s="3"/>
      <c r="L362" s="3">
        <f t="shared" si="8"/>
        <v>454.3129301</v>
      </c>
      <c r="M362" s="9">
        <f t="shared" si="9"/>
        <v>461.4939382</v>
      </c>
      <c r="N362" s="9">
        <f t="shared" si="10"/>
        <v>-7.181008039</v>
      </c>
      <c r="O362" s="3"/>
      <c r="P362" s="3"/>
      <c r="Q362" s="3"/>
      <c r="R362" s="2"/>
      <c r="S362" s="9">
        <f t="shared" si="13"/>
        <v>-6.594291912</v>
      </c>
      <c r="W362" s="3"/>
      <c r="X362" s="3"/>
      <c r="Y362" s="3"/>
      <c r="Z362" s="3"/>
      <c r="AA362" s="3"/>
      <c r="AB362" s="3"/>
      <c r="AC362" s="3"/>
    </row>
    <row r="363">
      <c r="A363" s="1">
        <v>351.0</v>
      </c>
      <c r="B363" s="2">
        <v>1.42092173913043E9</v>
      </c>
      <c r="C363" s="2">
        <v>-102.1575165</v>
      </c>
      <c r="D363" s="3">
        <f t="shared" si="1"/>
        <v>521739.1304</v>
      </c>
      <c r="E363" s="4">
        <f t="shared" si="2"/>
        <v>-111.113832</v>
      </c>
      <c r="F363" s="3">
        <f t="shared" si="16"/>
        <v>0.000212968178</v>
      </c>
      <c r="G363" s="3">
        <f t="shared" si="4"/>
        <v>0</v>
      </c>
      <c r="H363" s="2">
        <f t="shared" si="5"/>
        <v>0</v>
      </c>
      <c r="I363" s="3">
        <f t="shared" si="6"/>
        <v>0</v>
      </c>
      <c r="J363" s="3">
        <f t="shared" si="7"/>
        <v>0</v>
      </c>
      <c r="K363" s="3"/>
      <c r="L363" s="3">
        <f t="shared" si="8"/>
        <v>462.7586201</v>
      </c>
      <c r="M363" s="9">
        <f t="shared" si="9"/>
        <v>461.357758</v>
      </c>
      <c r="N363" s="9">
        <f t="shared" si="10"/>
        <v>1.400862124</v>
      </c>
      <c r="O363" s="3"/>
      <c r="P363" s="3"/>
      <c r="Q363" s="3"/>
      <c r="R363" s="2"/>
      <c r="S363" s="9">
        <f t="shared" si="13"/>
        <v>1.286406268</v>
      </c>
      <c r="W363" s="3"/>
      <c r="X363" s="3"/>
      <c r="Y363" s="3"/>
      <c r="Z363" s="3"/>
      <c r="AA363" s="3"/>
      <c r="AB363" s="3"/>
      <c r="AC363" s="3"/>
    </row>
    <row r="364">
      <c r="A364" s="1">
        <v>352.0</v>
      </c>
      <c r="B364" s="2">
        <v>1.42092608695652E9</v>
      </c>
      <c r="C364" s="2">
        <v>-102.2213211</v>
      </c>
      <c r="D364" s="3">
        <f t="shared" si="1"/>
        <v>526086.9565</v>
      </c>
      <c r="E364" s="4">
        <f t="shared" si="2"/>
        <v>-112.0321281</v>
      </c>
      <c r="F364" s="3">
        <f t="shared" si="16"/>
        <v>0.000212953632</v>
      </c>
      <c r="G364" s="3">
        <f t="shared" si="4"/>
        <v>0</v>
      </c>
      <c r="H364" s="2">
        <f t="shared" si="5"/>
        <v>0</v>
      </c>
      <c r="I364" s="3">
        <f t="shared" si="6"/>
        <v>0</v>
      </c>
      <c r="J364" s="3">
        <f t="shared" si="7"/>
        <v>0</v>
      </c>
      <c r="K364" s="3"/>
      <c r="L364" s="3">
        <f t="shared" si="8"/>
        <v>456.0096754</v>
      </c>
      <c r="M364" s="9">
        <f t="shared" si="9"/>
        <v>461.2213114</v>
      </c>
      <c r="N364" s="9">
        <f t="shared" si="10"/>
        <v>-5.211636005</v>
      </c>
      <c r="O364" s="3"/>
      <c r="P364" s="3"/>
      <c r="Q364" s="3"/>
      <c r="R364" s="2"/>
      <c r="S364" s="9">
        <f t="shared" si="13"/>
        <v>-4.785825189</v>
      </c>
      <c r="W364" s="3"/>
      <c r="X364" s="3"/>
      <c r="Y364" s="3"/>
      <c r="Z364" s="3"/>
      <c r="AA364" s="3"/>
      <c r="AB364" s="3"/>
      <c r="AC364" s="3"/>
    </row>
    <row r="365">
      <c r="A365" s="1">
        <v>353.0</v>
      </c>
      <c r="B365" s="2">
        <v>1.4209304347826E9</v>
      </c>
      <c r="C365" s="2">
        <v>-102.2164688</v>
      </c>
      <c r="D365" s="3">
        <f t="shared" si="1"/>
        <v>530434.7826</v>
      </c>
      <c r="E365" s="4">
        <f t="shared" si="2"/>
        <v>-112.9504243</v>
      </c>
      <c r="F365" s="3">
        <f t="shared" si="16"/>
        <v>0.0002129393244</v>
      </c>
      <c r="G365" s="3">
        <f t="shared" si="4"/>
        <v>0</v>
      </c>
      <c r="H365" s="2">
        <f t="shared" si="5"/>
        <v>0</v>
      </c>
      <c r="I365" s="3">
        <f t="shared" si="6"/>
        <v>0</v>
      </c>
      <c r="J365" s="3">
        <f t="shared" si="7"/>
        <v>0</v>
      </c>
      <c r="K365" s="3"/>
      <c r="L365" s="3">
        <f t="shared" si="8"/>
        <v>456.5194521</v>
      </c>
      <c r="M365" s="9">
        <f t="shared" si="9"/>
        <v>461.084598</v>
      </c>
      <c r="N365" s="9">
        <f t="shared" si="10"/>
        <v>-4.565145888</v>
      </c>
      <c r="O365" s="3"/>
      <c r="P365" s="3"/>
      <c r="Q365" s="3"/>
      <c r="R365" s="2"/>
      <c r="S365" s="9">
        <f t="shared" si="13"/>
        <v>-4.192155815</v>
      </c>
      <c r="W365" s="3"/>
      <c r="X365" s="3"/>
      <c r="Y365" s="3"/>
      <c r="Z365" s="3"/>
      <c r="AA365" s="3"/>
      <c r="AB365" s="3"/>
      <c r="AC365" s="3"/>
    </row>
    <row r="366">
      <c r="A366" s="1">
        <v>354.0</v>
      </c>
      <c r="B366" s="2">
        <v>1.42093478260869E9</v>
      </c>
      <c r="C366" s="2">
        <v>-102.175087</v>
      </c>
      <c r="D366" s="3">
        <f t="shared" si="1"/>
        <v>534782.6087</v>
      </c>
      <c r="E366" s="4">
        <f t="shared" si="2"/>
        <v>-113.8687204</v>
      </c>
      <c r="F366" s="3">
        <f t="shared" si="16"/>
        <v>0.0002129252495</v>
      </c>
      <c r="G366" s="3">
        <f t="shared" si="4"/>
        <v>0</v>
      </c>
      <c r="H366" s="2">
        <f t="shared" si="5"/>
        <v>0</v>
      </c>
      <c r="I366" s="3">
        <f t="shared" si="6"/>
        <v>0</v>
      </c>
      <c r="J366" s="3">
        <f t="shared" si="7"/>
        <v>0</v>
      </c>
      <c r="K366" s="3"/>
      <c r="L366" s="3">
        <f t="shared" si="8"/>
        <v>460.8901933</v>
      </c>
      <c r="M366" s="9">
        <f t="shared" si="9"/>
        <v>460.9476176</v>
      </c>
      <c r="N366" s="9">
        <f t="shared" si="10"/>
        <v>-0.05742429363</v>
      </c>
      <c r="O366" s="3"/>
      <c r="P366" s="3"/>
      <c r="Q366" s="3"/>
      <c r="R366" s="2"/>
      <c r="S366" s="9">
        <f t="shared" si="13"/>
        <v>-0.05273250677</v>
      </c>
      <c r="W366" s="3"/>
      <c r="X366" s="3"/>
      <c r="Y366" s="3"/>
      <c r="Z366" s="3"/>
      <c r="AA366" s="3"/>
      <c r="AB366" s="3"/>
      <c r="AC366" s="3"/>
    </row>
    <row r="367">
      <c r="A367" s="1">
        <v>355.0</v>
      </c>
      <c r="B367" s="2">
        <v>1.42093913043478E9</v>
      </c>
      <c r="C367" s="2">
        <v>-102.1504288</v>
      </c>
      <c r="D367" s="3">
        <f t="shared" si="1"/>
        <v>539130.4348</v>
      </c>
      <c r="E367" s="4">
        <f t="shared" si="2"/>
        <v>-114.7870165</v>
      </c>
      <c r="F367" s="3">
        <f t="shared" si="16"/>
        <v>0.0002129114016</v>
      </c>
      <c r="G367" s="3">
        <f t="shared" si="4"/>
        <v>0</v>
      </c>
      <c r="H367" s="2">
        <f t="shared" si="5"/>
        <v>0</v>
      </c>
      <c r="I367" s="3">
        <f t="shared" si="6"/>
        <v>0</v>
      </c>
      <c r="J367" s="3">
        <f t="shared" si="7"/>
        <v>0</v>
      </c>
      <c r="K367" s="3"/>
      <c r="L367" s="3">
        <f t="shared" si="8"/>
        <v>463.5144603</v>
      </c>
      <c r="M367" s="9">
        <f t="shared" si="9"/>
        <v>460.8103697</v>
      </c>
      <c r="N367" s="9">
        <f t="shared" si="10"/>
        <v>2.704090581</v>
      </c>
      <c r="O367" s="3"/>
      <c r="P367" s="3"/>
      <c r="Q367" s="3"/>
      <c r="R367" s="2"/>
      <c r="S367" s="9">
        <f t="shared" si="13"/>
        <v>2.483155917</v>
      </c>
      <c r="W367" s="3"/>
      <c r="X367" s="3"/>
      <c r="Y367" s="3"/>
      <c r="Z367" s="3"/>
      <c r="AA367" s="3"/>
      <c r="AB367" s="3"/>
      <c r="AC367" s="3"/>
    </row>
    <row r="368">
      <c r="A368" s="1">
        <v>356.0</v>
      </c>
      <c r="B368" s="2">
        <v>1.42094347826087E9</v>
      </c>
      <c r="C368" s="2">
        <v>-102.1630554</v>
      </c>
      <c r="D368" s="3">
        <f t="shared" si="1"/>
        <v>543478.2609</v>
      </c>
      <c r="E368" s="4">
        <f t="shared" si="2"/>
        <v>-115.7053126</v>
      </c>
      <c r="F368" s="3">
        <f t="shared" si="16"/>
        <v>0.0002128977753</v>
      </c>
      <c r="G368" s="3">
        <f t="shared" si="4"/>
        <v>0</v>
      </c>
      <c r="H368" s="2">
        <f t="shared" si="5"/>
        <v>0</v>
      </c>
      <c r="I368" s="3">
        <f t="shared" si="6"/>
        <v>0</v>
      </c>
      <c r="J368" s="3">
        <f t="shared" si="7"/>
        <v>0</v>
      </c>
      <c r="K368" s="3"/>
      <c r="L368" s="3">
        <f t="shared" si="8"/>
        <v>462.1688037</v>
      </c>
      <c r="M368" s="9">
        <f t="shared" si="9"/>
        <v>460.6728541</v>
      </c>
      <c r="N368" s="9">
        <f t="shared" si="10"/>
        <v>1.495949677</v>
      </c>
      <c r="O368" s="3"/>
      <c r="P368" s="3"/>
      <c r="Q368" s="3"/>
      <c r="R368" s="2"/>
      <c r="S368" s="9">
        <f t="shared" si="13"/>
        <v>1.373724803</v>
      </c>
      <c r="W368" s="3"/>
      <c r="X368" s="3"/>
      <c r="Y368" s="3"/>
      <c r="Z368" s="3"/>
      <c r="AA368" s="3"/>
      <c r="AB368" s="3"/>
      <c r="AC368" s="3"/>
    </row>
    <row r="369">
      <c r="A369" s="1">
        <v>357.0</v>
      </c>
      <c r="B369" s="2">
        <v>1.42094782608695E9</v>
      </c>
      <c r="C369" s="2">
        <v>-102.1512985</v>
      </c>
      <c r="D369" s="3">
        <f t="shared" si="1"/>
        <v>547826.087</v>
      </c>
      <c r="E369" s="4">
        <f t="shared" si="2"/>
        <v>-116.6236088</v>
      </c>
      <c r="F369" s="3">
        <f t="shared" si="16"/>
        <v>0.0002128843652</v>
      </c>
      <c r="G369" s="3">
        <f t="shared" si="4"/>
        <v>0</v>
      </c>
      <c r="H369" s="2">
        <f t="shared" si="5"/>
        <v>0</v>
      </c>
      <c r="I369" s="3">
        <f t="shared" si="6"/>
        <v>0</v>
      </c>
      <c r="J369" s="3">
        <f t="shared" si="7"/>
        <v>0</v>
      </c>
      <c r="K369" s="3"/>
      <c r="L369" s="3">
        <f t="shared" si="8"/>
        <v>463.4216481</v>
      </c>
      <c r="M369" s="9">
        <f t="shared" si="9"/>
        <v>460.5350704</v>
      </c>
      <c r="N369" s="9">
        <f t="shared" si="10"/>
        <v>2.886577735</v>
      </c>
      <c r="O369" s="3"/>
      <c r="P369" s="3"/>
      <c r="Q369" s="3"/>
      <c r="R369" s="2"/>
      <c r="S369" s="9">
        <f t="shared" si="13"/>
        <v>2.650733171</v>
      </c>
      <c r="W369" s="3"/>
      <c r="X369" s="3"/>
      <c r="Y369" s="3"/>
      <c r="Z369" s="3"/>
      <c r="AA369" s="3"/>
      <c r="AB369" s="3"/>
      <c r="AC369" s="3"/>
    </row>
    <row r="370">
      <c r="A370" s="1">
        <v>358.0</v>
      </c>
      <c r="B370" s="2">
        <v>1.42095217391304E9</v>
      </c>
      <c r="C370" s="2">
        <v>-102.2211075</v>
      </c>
      <c r="D370" s="3">
        <f t="shared" si="1"/>
        <v>552173.913</v>
      </c>
      <c r="E370" s="4">
        <f t="shared" si="2"/>
        <v>-117.5419049</v>
      </c>
      <c r="F370" s="3">
        <f t="shared" si="16"/>
        <v>0.0002128711664</v>
      </c>
      <c r="G370" s="3">
        <f t="shared" si="4"/>
        <v>0</v>
      </c>
      <c r="H370" s="2">
        <f t="shared" si="5"/>
        <v>0</v>
      </c>
      <c r="I370" s="3">
        <f t="shared" si="6"/>
        <v>0</v>
      </c>
      <c r="J370" s="3">
        <f t="shared" si="7"/>
        <v>0</v>
      </c>
      <c r="K370" s="3"/>
      <c r="L370" s="3">
        <f t="shared" si="8"/>
        <v>456.0321039</v>
      </c>
      <c r="M370" s="9">
        <f t="shared" si="9"/>
        <v>460.3970182</v>
      </c>
      <c r="N370" s="9">
        <f t="shared" si="10"/>
        <v>-4.364914287</v>
      </c>
      <c r="O370" s="3"/>
      <c r="P370" s="3"/>
      <c r="Q370" s="3"/>
      <c r="R370" s="2"/>
      <c r="S370" s="9">
        <f t="shared" si="13"/>
        <v>-4.0082839</v>
      </c>
      <c r="W370" s="3"/>
      <c r="X370" s="3"/>
      <c r="Y370" s="3"/>
      <c r="Z370" s="3"/>
      <c r="AA370" s="3"/>
      <c r="AB370" s="3"/>
      <c r="AC370" s="3"/>
    </row>
    <row r="371">
      <c r="A371" s="1">
        <v>359.0</v>
      </c>
      <c r="B371" s="2">
        <v>1.42095652173913E9</v>
      </c>
      <c r="C371" s="2">
        <v>-102.1910477</v>
      </c>
      <c r="D371" s="3">
        <f t="shared" si="1"/>
        <v>556521.7391</v>
      </c>
      <c r="E371" s="4">
        <f t="shared" si="2"/>
        <v>-118.460201</v>
      </c>
      <c r="F371" s="3">
        <f t="shared" si="16"/>
        <v>0.0002128581738</v>
      </c>
      <c r="G371" s="3">
        <f t="shared" si="4"/>
        <v>0</v>
      </c>
      <c r="H371" s="2">
        <f t="shared" si="5"/>
        <v>0</v>
      </c>
      <c r="I371" s="3">
        <f t="shared" si="6"/>
        <v>0</v>
      </c>
      <c r="J371" s="3">
        <f t="shared" si="7"/>
        <v>0</v>
      </c>
      <c r="K371" s="3"/>
      <c r="L371" s="3">
        <f t="shared" si="8"/>
        <v>459.1994903</v>
      </c>
      <c r="M371" s="9">
        <f t="shared" si="9"/>
        <v>460.2586973</v>
      </c>
      <c r="N371" s="9">
        <f t="shared" si="10"/>
        <v>-1.059206984</v>
      </c>
      <c r="O371" s="3"/>
      <c r="P371" s="3"/>
      <c r="Q371" s="3"/>
      <c r="R371" s="2"/>
      <c r="S371" s="9">
        <f t="shared" si="13"/>
        <v>-0.9726656776</v>
      </c>
      <c r="W371" s="3"/>
      <c r="X371" s="3"/>
      <c r="Y371" s="3"/>
      <c r="Z371" s="3"/>
      <c r="AA371" s="3"/>
      <c r="AB371" s="3"/>
      <c r="AC371" s="3"/>
    </row>
    <row r="372">
      <c r="A372" s="1">
        <v>360.0</v>
      </c>
      <c r="B372" s="2">
        <v>1.42096086956521E9</v>
      </c>
      <c r="C372" s="2">
        <v>-102.2208099</v>
      </c>
      <c r="D372" s="3">
        <f t="shared" si="1"/>
        <v>560869.5652</v>
      </c>
      <c r="E372" s="4">
        <f t="shared" si="2"/>
        <v>-119.3784972</v>
      </c>
      <c r="F372" s="3">
        <f t="shared" si="16"/>
        <v>0.0002128453826</v>
      </c>
      <c r="G372" s="3">
        <f t="shared" si="4"/>
        <v>0</v>
      </c>
      <c r="H372" s="2">
        <f t="shared" si="5"/>
        <v>0</v>
      </c>
      <c r="I372" s="3">
        <f t="shared" si="6"/>
        <v>0</v>
      </c>
      <c r="J372" s="3">
        <f t="shared" si="7"/>
        <v>0</v>
      </c>
      <c r="K372" s="3"/>
      <c r="L372" s="3">
        <f t="shared" si="8"/>
        <v>456.0633546</v>
      </c>
      <c r="M372" s="9">
        <f t="shared" si="9"/>
        <v>460.1201074</v>
      </c>
      <c r="N372" s="9">
        <f t="shared" si="10"/>
        <v>-4.056752783</v>
      </c>
      <c r="O372" s="3"/>
      <c r="P372" s="3"/>
      <c r="Q372" s="3"/>
      <c r="R372" s="2"/>
      <c r="S372" s="9">
        <f t="shared" si="13"/>
        <v>-3.725300392</v>
      </c>
      <c r="W372" s="3"/>
      <c r="X372" s="3"/>
      <c r="Y372" s="3"/>
      <c r="Z372" s="3"/>
      <c r="AA372" s="3"/>
      <c r="AB372" s="3"/>
      <c r="AC372" s="3"/>
    </row>
    <row r="373">
      <c r="A373" s="1">
        <v>361.0</v>
      </c>
      <c r="B373" s="2">
        <v>1.4209652173913E9</v>
      </c>
      <c r="C373" s="2">
        <v>-102.1609726</v>
      </c>
      <c r="D373" s="3">
        <f t="shared" si="1"/>
        <v>565217.3913</v>
      </c>
      <c r="E373" s="4">
        <f t="shared" si="2"/>
        <v>-120.2967933</v>
      </c>
      <c r="F373" s="3">
        <f t="shared" si="16"/>
        <v>0.0002128327882</v>
      </c>
      <c r="G373" s="3">
        <f t="shared" si="4"/>
        <v>0</v>
      </c>
      <c r="H373" s="2">
        <f t="shared" si="5"/>
        <v>0</v>
      </c>
      <c r="I373" s="3">
        <f t="shared" si="6"/>
        <v>0</v>
      </c>
      <c r="J373" s="3">
        <f t="shared" si="7"/>
        <v>0</v>
      </c>
      <c r="K373" s="3"/>
      <c r="L373" s="3">
        <f t="shared" si="8"/>
        <v>462.3905049</v>
      </c>
      <c r="M373" s="9">
        <f t="shared" si="9"/>
        <v>459.981248</v>
      </c>
      <c r="N373" s="9">
        <f t="shared" si="10"/>
        <v>2.409256977</v>
      </c>
      <c r="O373" s="3"/>
      <c r="P373" s="3"/>
      <c r="Q373" s="3"/>
      <c r="R373" s="2"/>
      <c r="S373" s="9">
        <f t="shared" si="13"/>
        <v>2.21241136</v>
      </c>
      <c r="W373" s="3"/>
      <c r="X373" s="3"/>
      <c r="Y373" s="3"/>
      <c r="Z373" s="3"/>
      <c r="AA373" s="3"/>
      <c r="AB373" s="3"/>
      <c r="AC373" s="3"/>
    </row>
    <row r="374">
      <c r="A374" s="1">
        <v>362.0</v>
      </c>
      <c r="B374" s="2">
        <v>1.42096956521739E9</v>
      </c>
      <c r="C374" s="2">
        <v>-102.2125931</v>
      </c>
      <c r="D374" s="3">
        <f t="shared" si="1"/>
        <v>569565.2174</v>
      </c>
      <c r="E374" s="4">
        <f t="shared" si="2"/>
        <v>-121.2150894</v>
      </c>
      <c r="F374" s="3">
        <f t="shared" si="16"/>
        <v>0.000212820386</v>
      </c>
      <c r="G374" s="3">
        <f t="shared" si="4"/>
        <v>0</v>
      </c>
      <c r="H374" s="2">
        <f t="shared" si="5"/>
        <v>0</v>
      </c>
      <c r="I374" s="3">
        <f t="shared" si="6"/>
        <v>0</v>
      </c>
      <c r="J374" s="3">
        <f t="shared" si="7"/>
        <v>0</v>
      </c>
      <c r="K374" s="3"/>
      <c r="L374" s="3">
        <f t="shared" si="8"/>
        <v>456.9270378</v>
      </c>
      <c r="M374" s="9">
        <f t="shared" si="9"/>
        <v>459.8421188</v>
      </c>
      <c r="N374" s="9">
        <f t="shared" si="10"/>
        <v>-2.915080992</v>
      </c>
      <c r="O374" s="3"/>
      <c r="P374" s="3"/>
      <c r="Q374" s="3"/>
      <c r="R374" s="2"/>
      <c r="S374" s="9">
        <f t="shared" si="13"/>
        <v>-2.676907602</v>
      </c>
      <c r="W374" s="3"/>
      <c r="X374" s="3"/>
      <c r="Y374" s="3"/>
      <c r="Z374" s="3"/>
      <c r="AA374" s="3"/>
      <c r="AB374" s="3"/>
      <c r="AC374" s="3"/>
    </row>
    <row r="375">
      <c r="A375" s="1">
        <v>363.0</v>
      </c>
      <c r="B375" s="2">
        <v>1.42097391304347E9</v>
      </c>
      <c r="C375" s="2">
        <v>-102.1661911</v>
      </c>
      <c r="D375" s="3">
        <f t="shared" si="1"/>
        <v>573913.0435</v>
      </c>
      <c r="E375" s="4">
        <f t="shared" si="2"/>
        <v>-122.1333856</v>
      </c>
      <c r="F375" s="3">
        <f t="shared" si="16"/>
        <v>0.0002128081718</v>
      </c>
      <c r="G375" s="3">
        <f t="shared" si="4"/>
        <v>0</v>
      </c>
      <c r="H375" s="2">
        <f t="shared" si="5"/>
        <v>0</v>
      </c>
      <c r="I375" s="3">
        <f t="shared" si="6"/>
        <v>0</v>
      </c>
      <c r="J375" s="3">
        <f t="shared" si="7"/>
        <v>0</v>
      </c>
      <c r="K375" s="3"/>
      <c r="L375" s="3">
        <f t="shared" si="8"/>
        <v>461.8352283</v>
      </c>
      <c r="M375" s="9">
        <f t="shared" si="9"/>
        <v>459.7027195</v>
      </c>
      <c r="N375" s="9">
        <f t="shared" si="10"/>
        <v>2.132508771</v>
      </c>
      <c r="O375" s="3"/>
      <c r="P375" s="3"/>
      <c r="Q375" s="3"/>
      <c r="R375" s="2"/>
      <c r="S375" s="9">
        <f t="shared" si="13"/>
        <v>1.958274558</v>
      </c>
      <c r="W375" s="3"/>
      <c r="X375" s="3"/>
      <c r="Y375" s="3"/>
      <c r="Z375" s="3"/>
      <c r="AA375" s="3"/>
      <c r="AB375" s="3"/>
      <c r="AC375" s="3"/>
    </row>
    <row r="376">
      <c r="A376" s="1">
        <v>364.0</v>
      </c>
      <c r="B376" s="2">
        <v>1.42097826086956E9</v>
      </c>
      <c r="C376" s="2">
        <v>-102.1821518</v>
      </c>
      <c r="D376" s="3">
        <f t="shared" si="1"/>
        <v>578260.8696</v>
      </c>
      <c r="E376" s="4">
        <f t="shared" si="2"/>
        <v>-123.0516817</v>
      </c>
      <c r="F376" s="3">
        <f t="shared" si="16"/>
        <v>0.0002127961413</v>
      </c>
      <c r="G376" s="3">
        <f t="shared" si="4"/>
        <v>0</v>
      </c>
      <c r="H376" s="2">
        <f t="shared" si="5"/>
        <v>0</v>
      </c>
      <c r="I376" s="3">
        <f t="shared" si="6"/>
        <v>0</v>
      </c>
      <c r="J376" s="3">
        <f t="shared" si="7"/>
        <v>0</v>
      </c>
      <c r="K376" s="3"/>
      <c r="L376" s="3">
        <f t="shared" si="8"/>
        <v>460.1410587</v>
      </c>
      <c r="M376" s="9">
        <f t="shared" si="9"/>
        <v>459.5630499</v>
      </c>
      <c r="N376" s="9">
        <f t="shared" si="10"/>
        <v>0.578008827</v>
      </c>
      <c r="O376" s="3"/>
      <c r="P376" s="3"/>
      <c r="Q376" s="3"/>
      <c r="R376" s="2"/>
      <c r="S376" s="9">
        <f t="shared" si="13"/>
        <v>0.5307832693</v>
      </c>
      <c r="W376" s="3"/>
      <c r="X376" s="3"/>
      <c r="Y376" s="3"/>
      <c r="Z376" s="3"/>
      <c r="AA376" s="3"/>
      <c r="AB376" s="3"/>
      <c r="AC376" s="3"/>
    </row>
    <row r="377">
      <c r="A377" s="1">
        <v>365.0</v>
      </c>
      <c r="B377" s="2">
        <v>1.42098260869565E9</v>
      </c>
      <c r="C377" s="2">
        <v>-102.1627579</v>
      </c>
      <c r="D377" s="3">
        <f t="shared" si="1"/>
        <v>582608.6957</v>
      </c>
      <c r="E377" s="4">
        <f t="shared" si="2"/>
        <v>-123.9699778</v>
      </c>
      <c r="F377" s="3">
        <f t="shared" si="16"/>
        <v>0.0002127842903</v>
      </c>
      <c r="G377" s="3">
        <f t="shared" si="4"/>
        <v>0</v>
      </c>
      <c r="H377" s="2">
        <f t="shared" si="5"/>
        <v>0</v>
      </c>
      <c r="I377" s="3">
        <f t="shared" si="6"/>
        <v>0</v>
      </c>
      <c r="J377" s="3">
        <f t="shared" si="7"/>
        <v>0</v>
      </c>
      <c r="K377" s="3"/>
      <c r="L377" s="3">
        <f t="shared" si="8"/>
        <v>462.2004643</v>
      </c>
      <c r="M377" s="9">
        <f t="shared" si="9"/>
        <v>459.4231094</v>
      </c>
      <c r="N377" s="9">
        <f t="shared" si="10"/>
        <v>2.777354839</v>
      </c>
      <c r="O377" s="3"/>
      <c r="P377" s="3"/>
      <c r="Q377" s="3"/>
      <c r="R377" s="2"/>
      <c r="S377" s="9">
        <f t="shared" si="13"/>
        <v>2.550434208</v>
      </c>
      <c r="W377" s="3"/>
      <c r="X377" s="3"/>
      <c r="Y377" s="3"/>
      <c r="Z377" s="3"/>
      <c r="AA377" s="3"/>
      <c r="AB377" s="3"/>
      <c r="AC377" s="3"/>
    </row>
    <row r="378">
      <c r="A378" s="1">
        <v>366.0</v>
      </c>
      <c r="B378" s="2">
        <v>1.42098695652173E9</v>
      </c>
      <c r="C378" s="2">
        <v>-102.1757202</v>
      </c>
      <c r="D378" s="3">
        <f t="shared" si="1"/>
        <v>586956.5217</v>
      </c>
      <c r="E378" s="4">
        <f t="shared" si="2"/>
        <v>-124.888274</v>
      </c>
      <c r="F378" s="3">
        <f t="shared" si="16"/>
        <v>0.0002127726149</v>
      </c>
      <c r="G378" s="3">
        <f t="shared" si="4"/>
        <v>0</v>
      </c>
      <c r="H378" s="2">
        <f t="shared" si="5"/>
        <v>0</v>
      </c>
      <c r="I378" s="3">
        <f t="shared" si="6"/>
        <v>0</v>
      </c>
      <c r="J378" s="3">
        <f t="shared" si="7"/>
        <v>0</v>
      </c>
      <c r="K378" s="3"/>
      <c r="L378" s="3">
        <f t="shared" si="8"/>
        <v>460.8230005</v>
      </c>
      <c r="M378" s="9">
        <f t="shared" si="9"/>
        <v>459.2828979</v>
      </c>
      <c r="N378" s="9">
        <f t="shared" si="10"/>
        <v>1.540102613</v>
      </c>
      <c r="O378" s="3"/>
      <c r="P378" s="3"/>
      <c r="Q378" s="3"/>
      <c r="R378" s="2"/>
      <c r="S378" s="9">
        <f t="shared" si="13"/>
        <v>1.414270274</v>
      </c>
      <c r="W378" s="3"/>
      <c r="X378" s="3"/>
      <c r="Y378" s="3"/>
      <c r="Z378" s="3"/>
      <c r="AA378" s="3"/>
      <c r="AB378" s="3"/>
      <c r="AC378" s="3"/>
    </row>
    <row r="379">
      <c r="A379" s="1">
        <v>367.0</v>
      </c>
      <c r="B379" s="2">
        <v>1.42099130434782E9</v>
      </c>
      <c r="C379" s="2">
        <v>-102.1873169</v>
      </c>
      <c r="D379" s="3">
        <f t="shared" si="1"/>
        <v>591304.3478</v>
      </c>
      <c r="E379" s="4">
        <f t="shared" si="2"/>
        <v>-125.8065701</v>
      </c>
      <c r="F379" s="3">
        <f t="shared" si="16"/>
        <v>0.0002127611112</v>
      </c>
      <c r="G379" s="3">
        <f t="shared" si="4"/>
        <v>0</v>
      </c>
      <c r="H379" s="2">
        <f t="shared" si="5"/>
        <v>0</v>
      </c>
      <c r="I379" s="3">
        <f t="shared" si="6"/>
        <v>0</v>
      </c>
      <c r="J379" s="3">
        <f t="shared" si="7"/>
        <v>0</v>
      </c>
      <c r="K379" s="3"/>
      <c r="L379" s="3">
        <f t="shared" si="8"/>
        <v>459.5941344</v>
      </c>
      <c r="M379" s="9">
        <f t="shared" si="9"/>
        <v>459.1424149</v>
      </c>
      <c r="N379" s="9">
        <f t="shared" si="10"/>
        <v>0.4517195057</v>
      </c>
      <c r="O379" s="3"/>
      <c r="P379" s="3"/>
      <c r="Q379" s="3"/>
      <c r="R379" s="2"/>
      <c r="S379" s="9">
        <f t="shared" si="13"/>
        <v>0.4148122752</v>
      </c>
      <c r="W379" s="3"/>
      <c r="X379" s="3"/>
      <c r="Y379" s="3"/>
      <c r="Z379" s="3"/>
      <c r="AA379" s="3"/>
      <c r="AB379" s="3"/>
      <c r="AC379" s="3"/>
    </row>
    <row r="380">
      <c r="A380" s="1">
        <v>368.0</v>
      </c>
      <c r="B380" s="2">
        <v>1.42099565217391E9</v>
      </c>
      <c r="C380" s="2">
        <v>-102.2171402</v>
      </c>
      <c r="D380" s="3">
        <f t="shared" si="1"/>
        <v>595652.1739</v>
      </c>
      <c r="E380" s="4">
        <f t="shared" si="2"/>
        <v>-126.7248662</v>
      </c>
      <c r="F380" s="3">
        <f t="shared" si="16"/>
        <v>0.0002127497754</v>
      </c>
      <c r="G380" s="3">
        <f t="shared" si="4"/>
        <v>0</v>
      </c>
      <c r="H380" s="2">
        <f t="shared" si="5"/>
        <v>0</v>
      </c>
      <c r="I380" s="3">
        <f t="shared" si="6"/>
        <v>0</v>
      </c>
      <c r="J380" s="3">
        <f t="shared" si="7"/>
        <v>0</v>
      </c>
      <c r="K380" s="3"/>
      <c r="L380" s="3">
        <f t="shared" si="8"/>
        <v>456.4488817</v>
      </c>
      <c r="M380" s="9">
        <f t="shared" si="9"/>
        <v>459.0016602</v>
      </c>
      <c r="N380" s="9">
        <f t="shared" si="10"/>
        <v>-2.552778528</v>
      </c>
      <c r="O380" s="3"/>
      <c r="P380" s="3"/>
      <c r="Q380" s="3"/>
      <c r="R380" s="2"/>
      <c r="S380" s="9">
        <f t="shared" si="13"/>
        <v>-2.344206645</v>
      </c>
      <c r="W380" s="3"/>
      <c r="X380" s="3"/>
      <c r="Y380" s="3"/>
      <c r="Z380" s="3"/>
      <c r="AA380" s="3"/>
      <c r="AB380" s="3"/>
      <c r="AC380" s="3"/>
    </row>
    <row r="381">
      <c r="A381" s="1">
        <v>369.0</v>
      </c>
      <c r="B381" s="2">
        <v>1.421E9</v>
      </c>
      <c r="C381" s="2">
        <v>-102.1665497</v>
      </c>
      <c r="D381" s="3">
        <f t="shared" si="1"/>
        <v>600000</v>
      </c>
      <c r="E381" s="4">
        <f t="shared" si="2"/>
        <v>-127.6431624</v>
      </c>
      <c r="F381" s="3">
        <f t="shared" si="16"/>
        <v>0.0002127386039</v>
      </c>
      <c r="G381" s="3">
        <f t="shared" si="4"/>
        <v>0</v>
      </c>
      <c r="H381" s="2">
        <f t="shared" si="5"/>
        <v>0</v>
      </c>
      <c r="I381" s="3">
        <f t="shared" si="6"/>
        <v>0</v>
      </c>
      <c r="J381" s="3">
        <f t="shared" si="7"/>
        <v>0</v>
      </c>
      <c r="K381" s="3"/>
      <c r="L381" s="3">
        <f t="shared" si="8"/>
        <v>461.7970958</v>
      </c>
      <c r="M381" s="9">
        <f t="shared" si="9"/>
        <v>458.8606334</v>
      </c>
      <c r="N381" s="9">
        <f t="shared" si="10"/>
        <v>2.936462436</v>
      </c>
      <c r="O381" s="3"/>
      <c r="P381" s="3"/>
      <c r="Q381" s="3"/>
      <c r="R381" s="2"/>
      <c r="S381" s="9">
        <f t="shared" si="13"/>
        <v>2.696542099</v>
      </c>
      <c r="W381" s="3"/>
      <c r="X381" s="3"/>
      <c r="Y381" s="3"/>
      <c r="Z381" s="3"/>
      <c r="AA381" s="3"/>
      <c r="AB381" s="3"/>
      <c r="AC381" s="3"/>
    </row>
    <row r="382">
      <c r="A382" s="1">
        <v>370.0</v>
      </c>
      <c r="B382" s="2">
        <v>1.42100434782608E9</v>
      </c>
      <c r="C382" s="2">
        <v>-102.2086029</v>
      </c>
      <c r="D382" s="3">
        <f t="shared" si="1"/>
        <v>604347.8261</v>
      </c>
      <c r="E382" s="4">
        <f t="shared" si="2"/>
        <v>-128.5614585</v>
      </c>
      <c r="F382" s="3">
        <f t="shared" si="16"/>
        <v>0.0002127275932</v>
      </c>
      <c r="G382" s="3">
        <f t="shared" si="4"/>
        <v>0</v>
      </c>
      <c r="H382" s="2">
        <f t="shared" si="5"/>
        <v>0</v>
      </c>
      <c r="I382" s="3">
        <f t="shared" si="6"/>
        <v>0</v>
      </c>
      <c r="J382" s="3">
        <f t="shared" si="7"/>
        <v>0</v>
      </c>
      <c r="K382" s="3"/>
      <c r="L382" s="3">
        <f t="shared" si="8"/>
        <v>457.347045</v>
      </c>
      <c r="M382" s="9">
        <f t="shared" si="9"/>
        <v>458.7193341</v>
      </c>
      <c r="N382" s="9">
        <f t="shared" si="10"/>
        <v>-1.372289142</v>
      </c>
      <c r="O382" s="3"/>
      <c r="P382" s="3"/>
      <c r="Q382" s="3"/>
      <c r="R382" s="2"/>
      <c r="S382" s="9">
        <f t="shared" si="13"/>
        <v>-1.260167812</v>
      </c>
      <c r="W382" s="3"/>
      <c r="X382" s="3"/>
      <c r="Y382" s="3"/>
      <c r="Z382" s="3"/>
      <c r="AA382" s="3"/>
      <c r="AB382" s="3"/>
      <c r="AC382" s="3"/>
    </row>
    <row r="383">
      <c r="A383" s="1">
        <v>371.0</v>
      </c>
      <c r="B383" s="2">
        <v>1.42100869565217E9</v>
      </c>
      <c r="C383" s="2">
        <v>-102.1958237</v>
      </c>
      <c r="D383" s="3">
        <f t="shared" si="1"/>
        <v>608695.6522</v>
      </c>
      <c r="E383" s="4">
        <f t="shared" si="2"/>
        <v>-129.4797546</v>
      </c>
      <c r="F383" s="3">
        <f t="shared" si="16"/>
        <v>0.0002127167398</v>
      </c>
      <c r="G383" s="3">
        <f t="shared" si="4"/>
        <v>0</v>
      </c>
      <c r="H383" s="2">
        <f t="shared" si="5"/>
        <v>0</v>
      </c>
      <c r="I383" s="3">
        <f t="shared" si="6"/>
        <v>0</v>
      </c>
      <c r="J383" s="3">
        <f t="shared" si="7"/>
        <v>0</v>
      </c>
      <c r="K383" s="3"/>
      <c r="L383" s="3">
        <f t="shared" si="8"/>
        <v>458.6947795</v>
      </c>
      <c r="M383" s="9">
        <f t="shared" si="9"/>
        <v>458.5777621</v>
      </c>
      <c r="N383" s="9">
        <f t="shared" si="10"/>
        <v>0.1170173852</v>
      </c>
      <c r="O383" s="3"/>
      <c r="P383" s="3"/>
      <c r="Q383" s="3"/>
      <c r="R383" s="2"/>
      <c r="S383" s="9">
        <f t="shared" si="13"/>
        <v>0.107456612</v>
      </c>
      <c r="W383" s="3"/>
      <c r="X383" s="3"/>
      <c r="Y383" s="3"/>
      <c r="Z383" s="3"/>
      <c r="AA383" s="3"/>
      <c r="AB383" s="3"/>
      <c r="AC383" s="3"/>
    </row>
    <row r="384">
      <c r="A384" s="1">
        <v>372.0</v>
      </c>
      <c r="B384" s="2">
        <v>1.42101304347826E9</v>
      </c>
      <c r="C384" s="2">
        <v>-102.1911545</v>
      </c>
      <c r="D384" s="3">
        <f t="shared" si="1"/>
        <v>613043.4783</v>
      </c>
      <c r="E384" s="4">
        <f t="shared" si="2"/>
        <v>-130.3980508</v>
      </c>
      <c r="F384" s="3">
        <f t="shared" si="16"/>
        <v>0.0002127060402</v>
      </c>
      <c r="G384" s="3">
        <f t="shared" si="4"/>
        <v>0</v>
      </c>
      <c r="H384" s="2">
        <f t="shared" si="5"/>
        <v>0</v>
      </c>
      <c r="I384" s="3">
        <f t="shared" si="6"/>
        <v>0</v>
      </c>
      <c r="J384" s="3">
        <f t="shared" si="7"/>
        <v>0</v>
      </c>
      <c r="K384" s="3"/>
      <c r="L384" s="3">
        <f t="shared" si="8"/>
        <v>459.188198</v>
      </c>
      <c r="M384" s="9">
        <f t="shared" si="9"/>
        <v>458.435917</v>
      </c>
      <c r="N384" s="9">
        <f t="shared" si="10"/>
        <v>0.7522810151</v>
      </c>
      <c r="O384" s="3"/>
      <c r="P384" s="3"/>
      <c r="Q384" s="3"/>
      <c r="R384" s="2"/>
      <c r="S384" s="9">
        <f t="shared" si="13"/>
        <v>0.6908167469</v>
      </c>
      <c r="W384" s="3"/>
      <c r="X384" s="3"/>
      <c r="Y384" s="3"/>
      <c r="Z384" s="3"/>
      <c r="AA384" s="3"/>
      <c r="AB384" s="3"/>
      <c r="AC384" s="3"/>
    </row>
    <row r="385">
      <c r="A385" s="1">
        <v>373.0</v>
      </c>
      <c r="B385" s="2">
        <v>1.42101739130434E9</v>
      </c>
      <c r="C385" s="2">
        <v>-102.1958618</v>
      </c>
      <c r="D385" s="3">
        <f t="shared" si="1"/>
        <v>617391.3043</v>
      </c>
      <c r="E385" s="4">
        <f t="shared" si="2"/>
        <v>-131.3163469</v>
      </c>
      <c r="F385" s="3">
        <f t="shared" si="16"/>
        <v>0.0002126954915</v>
      </c>
      <c r="G385" s="3">
        <f t="shared" si="4"/>
        <v>0</v>
      </c>
      <c r="H385" s="2">
        <f t="shared" si="5"/>
        <v>0</v>
      </c>
      <c r="I385" s="3">
        <f t="shared" si="6"/>
        <v>0</v>
      </c>
      <c r="J385" s="3">
        <f t="shared" si="7"/>
        <v>0</v>
      </c>
      <c r="K385" s="3"/>
      <c r="L385" s="3">
        <f t="shared" si="8"/>
        <v>458.6907555</v>
      </c>
      <c r="M385" s="9">
        <f t="shared" si="9"/>
        <v>458.2937985</v>
      </c>
      <c r="N385" s="9">
        <f t="shared" si="10"/>
        <v>0.3969570011</v>
      </c>
      <c r="O385" s="3"/>
      <c r="P385" s="3"/>
      <c r="Q385" s="3"/>
      <c r="R385" s="2"/>
      <c r="S385" s="9">
        <f t="shared" si="13"/>
        <v>0.364524079</v>
      </c>
      <c r="W385" s="3"/>
      <c r="X385" s="3"/>
      <c r="Y385" s="3"/>
      <c r="Z385" s="3"/>
      <c r="AA385" s="3"/>
      <c r="AB385" s="3"/>
      <c r="AC385" s="3"/>
    </row>
    <row r="386">
      <c r="A386" s="1">
        <v>374.0</v>
      </c>
      <c r="B386" s="2">
        <v>1.42102173913043E9</v>
      </c>
      <c r="C386" s="2">
        <v>-102.179245</v>
      </c>
      <c r="D386" s="3">
        <f t="shared" si="1"/>
        <v>621739.1304</v>
      </c>
      <c r="E386" s="4">
        <f t="shared" si="2"/>
        <v>-132.234643</v>
      </c>
      <c r="F386" s="3">
        <f t="shared" si="16"/>
        <v>0.0002126850902</v>
      </c>
      <c r="G386" s="3">
        <f t="shared" si="4"/>
        <v>0</v>
      </c>
      <c r="H386" s="2">
        <f t="shared" si="5"/>
        <v>0</v>
      </c>
      <c r="I386" s="3">
        <f t="shared" si="6"/>
        <v>0</v>
      </c>
      <c r="J386" s="3">
        <f t="shared" si="7"/>
        <v>0</v>
      </c>
      <c r="K386" s="3"/>
      <c r="L386" s="3">
        <f t="shared" si="8"/>
        <v>460.4491413</v>
      </c>
      <c r="M386" s="9">
        <f t="shared" si="9"/>
        <v>458.1514062</v>
      </c>
      <c r="N386" s="9">
        <f t="shared" si="10"/>
        <v>2.297735137</v>
      </c>
      <c r="O386" s="3"/>
      <c r="P386" s="3"/>
      <c r="Q386" s="3"/>
      <c r="R386" s="2"/>
      <c r="S386" s="9">
        <f t="shared" si="13"/>
        <v>2.110001286</v>
      </c>
      <c r="W386" s="3"/>
      <c r="X386" s="3"/>
      <c r="Y386" s="3"/>
      <c r="Z386" s="3"/>
      <c r="AA386" s="3"/>
      <c r="AB386" s="3"/>
      <c r="AC386" s="3"/>
    </row>
    <row r="387">
      <c r="A387" s="1">
        <v>375.0</v>
      </c>
      <c r="B387" s="2">
        <v>1.42102608695652E9</v>
      </c>
      <c r="C387" s="2">
        <v>-102.1761093</v>
      </c>
      <c r="D387" s="3">
        <f t="shared" si="1"/>
        <v>626086.9565</v>
      </c>
      <c r="E387" s="4">
        <f t="shared" si="2"/>
        <v>-133.1529392</v>
      </c>
      <c r="F387" s="3">
        <f t="shared" si="16"/>
        <v>0.0002126748334</v>
      </c>
      <c r="G387" s="3">
        <f t="shared" si="4"/>
        <v>0</v>
      </c>
      <c r="H387" s="2">
        <f t="shared" si="5"/>
        <v>0</v>
      </c>
      <c r="I387" s="3">
        <f t="shared" si="6"/>
        <v>0</v>
      </c>
      <c r="J387" s="3">
        <f t="shared" si="7"/>
        <v>0</v>
      </c>
      <c r="K387" s="3"/>
      <c r="L387" s="3">
        <f t="shared" si="8"/>
        <v>460.7817156</v>
      </c>
      <c r="M387" s="9">
        <f t="shared" si="9"/>
        <v>458.0087397</v>
      </c>
      <c r="N387" s="9">
        <f t="shared" si="10"/>
        <v>2.772975828</v>
      </c>
      <c r="O387" s="3"/>
      <c r="P387" s="3"/>
      <c r="Q387" s="3"/>
      <c r="R387" s="2"/>
      <c r="S387" s="9">
        <f t="shared" si="13"/>
        <v>2.546412979</v>
      </c>
      <c r="W387" s="3"/>
      <c r="X387" s="3"/>
      <c r="Y387" s="3"/>
      <c r="Z387" s="3"/>
      <c r="AA387" s="3"/>
      <c r="AB387" s="3"/>
      <c r="AC387" s="3"/>
    </row>
    <row r="388">
      <c r="A388" s="1">
        <v>376.0</v>
      </c>
      <c r="B388" s="2">
        <v>1.4210304347826E9</v>
      </c>
      <c r="C388" s="2">
        <v>-102.2013321</v>
      </c>
      <c r="D388" s="3">
        <f t="shared" si="1"/>
        <v>630434.7826</v>
      </c>
      <c r="E388" s="4">
        <f t="shared" si="2"/>
        <v>-134.0712353</v>
      </c>
      <c r="F388" s="3">
        <f t="shared" si="16"/>
        <v>0.0002126647181</v>
      </c>
      <c r="G388" s="3">
        <f t="shared" si="4"/>
        <v>0</v>
      </c>
      <c r="H388" s="2">
        <f t="shared" si="5"/>
        <v>0</v>
      </c>
      <c r="I388" s="3">
        <f t="shared" si="6"/>
        <v>0</v>
      </c>
      <c r="J388" s="3">
        <f t="shared" si="7"/>
        <v>0</v>
      </c>
      <c r="K388" s="3"/>
      <c r="L388" s="3">
        <f t="shared" si="8"/>
        <v>458.1133601</v>
      </c>
      <c r="M388" s="9">
        <f t="shared" si="9"/>
        <v>457.8657989</v>
      </c>
      <c r="N388" s="9">
        <f t="shared" si="10"/>
        <v>0.2475611556</v>
      </c>
      <c r="O388" s="3"/>
      <c r="P388" s="3"/>
      <c r="Q388" s="3"/>
      <c r="R388" s="2"/>
      <c r="S388" s="9">
        <f t="shared" si="13"/>
        <v>0.2273344518</v>
      </c>
      <c r="W388" s="3"/>
      <c r="X388" s="3"/>
      <c r="Y388" s="3"/>
      <c r="Z388" s="3"/>
      <c r="AA388" s="3"/>
      <c r="AB388" s="3"/>
      <c r="AC388" s="3"/>
    </row>
    <row r="389">
      <c r="A389" s="1">
        <v>377.0</v>
      </c>
      <c r="B389" s="2">
        <v>1.42103478260869E9</v>
      </c>
      <c r="C389" s="2">
        <v>-102.2334976</v>
      </c>
      <c r="D389" s="3">
        <f t="shared" si="1"/>
        <v>634782.6087</v>
      </c>
      <c r="E389" s="4">
        <f t="shared" si="2"/>
        <v>-134.9895314</v>
      </c>
      <c r="F389" s="3">
        <f t="shared" si="16"/>
        <v>0.0002126547413</v>
      </c>
      <c r="G389" s="3">
        <f t="shared" si="4"/>
        <v>0</v>
      </c>
      <c r="H389" s="2">
        <f t="shared" si="5"/>
        <v>0</v>
      </c>
      <c r="I389" s="3">
        <f t="shared" si="6"/>
        <v>0</v>
      </c>
      <c r="J389" s="3">
        <f t="shared" si="7"/>
        <v>0</v>
      </c>
      <c r="K389" s="3"/>
      <c r="L389" s="3">
        <f t="shared" si="8"/>
        <v>454.7329322</v>
      </c>
      <c r="M389" s="9">
        <f t="shared" si="9"/>
        <v>457.7225833</v>
      </c>
      <c r="N389" s="9">
        <f t="shared" si="10"/>
        <v>-2.989651073</v>
      </c>
      <c r="O389" s="3"/>
      <c r="P389" s="3"/>
      <c r="Q389" s="3"/>
      <c r="R389" s="2"/>
      <c r="S389" s="9">
        <f t="shared" si="13"/>
        <v>-2.745385018</v>
      </c>
      <c r="W389" s="3"/>
      <c r="X389" s="3"/>
      <c r="Y389" s="3"/>
      <c r="Z389" s="3"/>
      <c r="AA389" s="3"/>
      <c r="AB389" s="3"/>
      <c r="AC389" s="3"/>
    </row>
    <row r="390">
      <c r="A390" s="1">
        <v>378.0</v>
      </c>
      <c r="B390" s="2">
        <v>1.42103913043478E9</v>
      </c>
      <c r="C390" s="2">
        <v>-102.1908035</v>
      </c>
      <c r="D390" s="3">
        <f t="shared" si="1"/>
        <v>639130.4348</v>
      </c>
      <c r="E390" s="4">
        <f t="shared" si="2"/>
        <v>-135.9078276</v>
      </c>
      <c r="F390" s="3">
        <f t="shared" si="16"/>
        <v>0.0002126449003</v>
      </c>
      <c r="G390" s="3">
        <f t="shared" si="4"/>
        <v>0</v>
      </c>
      <c r="H390" s="2">
        <f t="shared" si="5"/>
        <v>0</v>
      </c>
      <c r="I390" s="3">
        <f t="shared" si="6"/>
        <v>0</v>
      </c>
      <c r="J390" s="3">
        <f t="shared" si="7"/>
        <v>0</v>
      </c>
      <c r="K390" s="3"/>
      <c r="L390" s="3">
        <f t="shared" si="8"/>
        <v>459.2253115</v>
      </c>
      <c r="M390" s="9">
        <f t="shared" si="9"/>
        <v>457.5790926</v>
      </c>
      <c r="N390" s="9">
        <f t="shared" si="10"/>
        <v>1.6462189</v>
      </c>
      <c r="O390" s="3"/>
      <c r="P390" s="3"/>
      <c r="Q390" s="3"/>
      <c r="R390" s="2"/>
      <c r="S390" s="9">
        <f t="shared" si="13"/>
        <v>1.511716446</v>
      </c>
      <c r="W390" s="3"/>
      <c r="X390" s="3"/>
      <c r="Y390" s="3"/>
      <c r="Z390" s="3"/>
      <c r="AA390" s="3"/>
      <c r="AB390" s="3"/>
      <c r="AC390" s="3"/>
    </row>
    <row r="391">
      <c r="A391" s="1">
        <v>379.0</v>
      </c>
      <c r="B391" s="2">
        <v>1.42104347826087E9</v>
      </c>
      <c r="C391" s="2">
        <v>-102.2032776</v>
      </c>
      <c r="D391" s="3">
        <f t="shared" si="1"/>
        <v>643478.2609</v>
      </c>
      <c r="E391" s="4">
        <f t="shared" si="2"/>
        <v>-136.8261237</v>
      </c>
      <c r="F391" s="3">
        <f t="shared" si="16"/>
        <v>0.0002126351922</v>
      </c>
      <c r="G391" s="3">
        <f t="shared" si="4"/>
        <v>0</v>
      </c>
      <c r="H391" s="2">
        <f t="shared" si="5"/>
        <v>0</v>
      </c>
      <c r="I391" s="3">
        <f t="shared" si="6"/>
        <v>0</v>
      </c>
      <c r="J391" s="3">
        <f t="shared" si="7"/>
        <v>0</v>
      </c>
      <c r="K391" s="3"/>
      <c r="L391" s="3">
        <f t="shared" si="8"/>
        <v>457.9081859</v>
      </c>
      <c r="M391" s="9">
        <f t="shared" si="9"/>
        <v>457.4353264</v>
      </c>
      <c r="N391" s="9">
        <f t="shared" si="10"/>
        <v>0.4728595157</v>
      </c>
      <c r="O391" s="3"/>
      <c r="P391" s="3"/>
      <c r="Q391" s="3"/>
      <c r="R391" s="2"/>
      <c r="S391" s="9">
        <f t="shared" si="13"/>
        <v>0.4342250646</v>
      </c>
      <c r="W391" s="3"/>
      <c r="X391" s="3"/>
      <c r="Y391" s="3"/>
      <c r="Z391" s="3"/>
      <c r="AA391" s="3"/>
      <c r="AB391" s="3"/>
      <c r="AC391" s="3"/>
    </row>
    <row r="392">
      <c r="A392" s="1">
        <v>380.0</v>
      </c>
      <c r="B392" s="2">
        <v>1.42104782608695E9</v>
      </c>
      <c r="C392" s="2">
        <v>-102.2374496</v>
      </c>
      <c r="D392" s="3">
        <f t="shared" si="1"/>
        <v>647826.087</v>
      </c>
      <c r="E392" s="4">
        <f t="shared" si="2"/>
        <v>-137.7444198</v>
      </c>
      <c r="F392" s="3">
        <f t="shared" si="16"/>
        <v>0.0002126256145</v>
      </c>
      <c r="G392" s="3">
        <f t="shared" si="4"/>
        <v>0</v>
      </c>
      <c r="H392" s="2">
        <f t="shared" si="5"/>
        <v>0</v>
      </c>
      <c r="I392" s="3">
        <f t="shared" si="6"/>
        <v>0</v>
      </c>
      <c r="J392" s="3">
        <f t="shared" si="7"/>
        <v>0</v>
      </c>
      <c r="K392" s="3"/>
      <c r="L392" s="3">
        <f t="shared" si="8"/>
        <v>454.3193218</v>
      </c>
      <c r="M392" s="9">
        <f t="shared" si="9"/>
        <v>457.2912845</v>
      </c>
      <c r="N392" s="9">
        <f t="shared" si="10"/>
        <v>-2.971962664</v>
      </c>
      <c r="O392" s="3"/>
      <c r="P392" s="3"/>
      <c r="Q392" s="3"/>
      <c r="R392" s="2"/>
      <c r="S392" s="9">
        <f t="shared" si="13"/>
        <v>-2.729141821</v>
      </c>
      <c r="W392" s="3"/>
      <c r="X392" s="3"/>
      <c r="Y392" s="3"/>
      <c r="Z392" s="3"/>
      <c r="AA392" s="3"/>
      <c r="AB392" s="3"/>
      <c r="AC392" s="3"/>
    </row>
    <row r="393">
      <c r="A393" s="1">
        <v>381.0</v>
      </c>
      <c r="B393" s="2">
        <v>1.42105217391304E9</v>
      </c>
      <c r="C393" s="2">
        <v>-102.2476501</v>
      </c>
      <c r="D393" s="3">
        <f t="shared" si="1"/>
        <v>652173.913</v>
      </c>
      <c r="E393" s="4">
        <f t="shared" si="2"/>
        <v>-138.662716</v>
      </c>
      <c r="F393" s="3">
        <f t="shared" si="16"/>
        <v>0.0002126161645</v>
      </c>
      <c r="G393" s="3">
        <f t="shared" si="4"/>
        <v>0</v>
      </c>
      <c r="H393" s="2">
        <f t="shared" si="5"/>
        <v>0</v>
      </c>
      <c r="I393" s="3">
        <f t="shared" si="6"/>
        <v>0</v>
      </c>
      <c r="J393" s="3">
        <f t="shared" si="7"/>
        <v>0</v>
      </c>
      <c r="K393" s="3"/>
      <c r="L393" s="3">
        <f t="shared" si="8"/>
        <v>453.2534906</v>
      </c>
      <c r="M393" s="9">
        <f t="shared" si="9"/>
        <v>457.1469664</v>
      </c>
      <c r="N393" s="9">
        <f t="shared" si="10"/>
        <v>-3.893475835</v>
      </c>
      <c r="O393" s="3"/>
      <c r="P393" s="3"/>
      <c r="Q393" s="3"/>
      <c r="R393" s="2"/>
      <c r="S393" s="9">
        <f t="shared" si="13"/>
        <v>-3.575363794</v>
      </c>
      <c r="W393" s="3"/>
      <c r="X393" s="3"/>
      <c r="Y393" s="3"/>
      <c r="Z393" s="3"/>
      <c r="AA393" s="3"/>
      <c r="AB393" s="3"/>
      <c r="AC393" s="3"/>
    </row>
    <row r="394">
      <c r="A394" s="1">
        <v>382.0</v>
      </c>
      <c r="B394" s="2">
        <v>1.42105652173913E9</v>
      </c>
      <c r="C394" s="2">
        <v>-102.2515411</v>
      </c>
      <c r="D394" s="3">
        <f t="shared" si="1"/>
        <v>656521.7391</v>
      </c>
      <c r="E394" s="4">
        <f t="shared" si="2"/>
        <v>-139.5810121</v>
      </c>
      <c r="F394" s="3">
        <f t="shared" si="16"/>
        <v>0.0002126068396</v>
      </c>
      <c r="G394" s="3">
        <f t="shared" si="4"/>
        <v>0</v>
      </c>
      <c r="H394" s="2">
        <f t="shared" si="5"/>
        <v>0</v>
      </c>
      <c r="I394" s="3">
        <f t="shared" si="6"/>
        <v>0</v>
      </c>
      <c r="J394" s="3">
        <f t="shared" si="7"/>
        <v>0</v>
      </c>
      <c r="K394" s="3"/>
      <c r="L394" s="3">
        <f t="shared" si="8"/>
        <v>452.8475864</v>
      </c>
      <c r="M394" s="9">
        <f t="shared" si="9"/>
        <v>457.002372</v>
      </c>
      <c r="N394" s="9">
        <f t="shared" si="10"/>
        <v>-4.154785558</v>
      </c>
      <c r="O394" s="3"/>
      <c r="P394" s="3"/>
      <c r="Q394" s="3"/>
      <c r="R394" s="2"/>
      <c r="S394" s="9">
        <f t="shared" si="13"/>
        <v>-3.815323511</v>
      </c>
      <c r="W394" s="3"/>
      <c r="X394" s="3"/>
      <c r="Y394" s="3"/>
      <c r="Z394" s="3"/>
      <c r="AA394" s="3"/>
      <c r="AB394" s="3"/>
      <c r="AC394" s="3"/>
    </row>
    <row r="395">
      <c r="A395" s="1">
        <v>383.0</v>
      </c>
      <c r="B395" s="2">
        <v>1.42106086956521E9</v>
      </c>
      <c r="C395" s="2">
        <v>-102.25737</v>
      </c>
      <c r="D395" s="3">
        <f t="shared" si="1"/>
        <v>660869.5652</v>
      </c>
      <c r="E395" s="4">
        <f t="shared" si="2"/>
        <v>-140.4993082</v>
      </c>
      <c r="F395" s="3">
        <f t="shared" si="16"/>
        <v>0.0002125976374</v>
      </c>
      <c r="G395" s="3">
        <f t="shared" si="4"/>
        <v>0</v>
      </c>
      <c r="H395" s="2">
        <f t="shared" si="5"/>
        <v>0</v>
      </c>
      <c r="I395" s="3">
        <f t="shared" si="6"/>
        <v>0</v>
      </c>
      <c r="J395" s="3">
        <f t="shared" si="7"/>
        <v>0</v>
      </c>
      <c r="K395" s="3"/>
      <c r="L395" s="3">
        <f t="shared" si="8"/>
        <v>452.240203</v>
      </c>
      <c r="M395" s="9">
        <f t="shared" si="9"/>
        <v>456.8575007</v>
      </c>
      <c r="N395" s="9">
        <f t="shared" si="10"/>
        <v>-4.61729774</v>
      </c>
      <c r="O395" s="3"/>
      <c r="P395" s="3"/>
      <c r="Q395" s="3"/>
      <c r="R395" s="2"/>
      <c r="S395" s="9">
        <f t="shared" si="13"/>
        <v>-4.240046659</v>
      </c>
      <c r="W395" s="3"/>
      <c r="X395" s="3"/>
      <c r="Y395" s="3"/>
      <c r="Z395" s="3"/>
      <c r="AA395" s="3"/>
      <c r="AB395" s="3"/>
      <c r="AC395" s="3"/>
    </row>
    <row r="396">
      <c r="A396" s="1">
        <v>384.0</v>
      </c>
      <c r="B396" s="2">
        <v>1.4210652173913E9</v>
      </c>
      <c r="C396" s="2">
        <v>-102.2801895</v>
      </c>
      <c r="D396" s="3">
        <f t="shared" si="1"/>
        <v>665217.3913</v>
      </c>
      <c r="E396" s="4">
        <f t="shared" si="2"/>
        <v>-141.4176043</v>
      </c>
      <c r="F396" s="3">
        <f t="shared" si="16"/>
        <v>0.0002125885556</v>
      </c>
      <c r="G396" s="3">
        <f t="shared" si="4"/>
        <v>0</v>
      </c>
      <c r="H396" s="2">
        <f t="shared" si="5"/>
        <v>0</v>
      </c>
      <c r="I396" s="3">
        <f t="shared" si="6"/>
        <v>0</v>
      </c>
      <c r="J396" s="3">
        <f t="shared" si="7"/>
        <v>0</v>
      </c>
      <c r="K396" s="3"/>
      <c r="L396" s="3">
        <f t="shared" si="8"/>
        <v>449.8701912</v>
      </c>
      <c r="M396" s="9">
        <f t="shared" si="9"/>
        <v>456.7123524</v>
      </c>
      <c r="N396" s="9">
        <f t="shared" si="10"/>
        <v>-6.842161168</v>
      </c>
      <c r="O396" s="3"/>
      <c r="P396" s="3"/>
      <c r="Q396" s="3"/>
      <c r="R396" s="2"/>
      <c r="S396" s="9">
        <f t="shared" si="13"/>
        <v>-6.283130126</v>
      </c>
      <c r="W396" s="3"/>
      <c r="X396" s="3"/>
      <c r="Y396" s="3"/>
      <c r="Z396" s="3"/>
      <c r="AA396" s="3"/>
      <c r="AB396" s="3"/>
      <c r="AC396" s="3"/>
    </row>
    <row r="397">
      <c r="A397" s="1">
        <v>385.0</v>
      </c>
      <c r="B397" s="2">
        <v>1.42106956521739E9</v>
      </c>
      <c r="C397" s="2">
        <v>-102.2271957</v>
      </c>
      <c r="D397" s="3">
        <f t="shared" si="1"/>
        <v>669565.2174</v>
      </c>
      <c r="E397" s="4">
        <f t="shared" si="2"/>
        <v>-142.3359005</v>
      </c>
      <c r="F397" s="3">
        <f t="shared" si="16"/>
        <v>0.0002125795916</v>
      </c>
      <c r="G397" s="3">
        <f t="shared" si="4"/>
        <v>0</v>
      </c>
      <c r="H397" s="2">
        <f t="shared" si="5"/>
        <v>0</v>
      </c>
      <c r="I397" s="3">
        <f t="shared" si="6"/>
        <v>0</v>
      </c>
      <c r="J397" s="3">
        <f t="shared" si="7"/>
        <v>0</v>
      </c>
      <c r="K397" s="3"/>
      <c r="L397" s="3">
        <f t="shared" si="8"/>
        <v>455.3932587</v>
      </c>
      <c r="M397" s="9">
        <f t="shared" si="9"/>
        <v>456.5669266</v>
      </c>
      <c r="N397" s="9">
        <f t="shared" si="10"/>
        <v>-1.17366785</v>
      </c>
      <c r="O397" s="3"/>
      <c r="P397" s="3"/>
      <c r="Q397" s="3"/>
      <c r="R397" s="2"/>
      <c r="S397" s="9">
        <f t="shared" si="13"/>
        <v>-1.077774648</v>
      </c>
      <c r="W397" s="3"/>
      <c r="X397" s="3"/>
      <c r="Y397" s="3"/>
      <c r="Z397" s="3"/>
      <c r="AA397" s="3"/>
      <c r="AB397" s="3"/>
      <c r="AC397" s="3"/>
    </row>
    <row r="398">
      <c r="A398" s="1">
        <v>386.0</v>
      </c>
      <c r="B398" s="2">
        <v>1.42107391304347E9</v>
      </c>
      <c r="C398" s="2">
        <v>-102.2074738</v>
      </c>
      <c r="D398" s="3">
        <f t="shared" si="1"/>
        <v>673913.0435</v>
      </c>
      <c r="E398" s="4">
        <f t="shared" si="2"/>
        <v>-143.2541966</v>
      </c>
      <c r="F398" s="3">
        <f t="shared" si="16"/>
        <v>0.0002125707434</v>
      </c>
      <c r="G398" s="3">
        <f t="shared" si="4"/>
        <v>0</v>
      </c>
      <c r="H398" s="2">
        <f t="shared" si="5"/>
        <v>0</v>
      </c>
      <c r="I398" s="3">
        <f t="shared" si="6"/>
        <v>0</v>
      </c>
      <c r="J398" s="3">
        <f t="shared" si="7"/>
        <v>0</v>
      </c>
      <c r="K398" s="3"/>
      <c r="L398" s="3">
        <f t="shared" si="8"/>
        <v>457.4659638</v>
      </c>
      <c r="M398" s="9">
        <f t="shared" si="9"/>
        <v>456.421223</v>
      </c>
      <c r="N398" s="9">
        <f t="shared" si="10"/>
        <v>1.044740776</v>
      </c>
      <c r="O398" s="3"/>
      <c r="P398" s="3"/>
      <c r="Q398" s="3"/>
      <c r="R398" s="2"/>
      <c r="S398" s="9">
        <f t="shared" si="13"/>
        <v>0.9593814142</v>
      </c>
      <c r="W398" s="3"/>
      <c r="X398" s="3"/>
      <c r="Y398" s="3"/>
      <c r="Z398" s="3"/>
      <c r="AA398" s="3"/>
      <c r="AB398" s="3"/>
      <c r="AC398" s="3"/>
    </row>
    <row r="399">
      <c r="A399" s="1">
        <v>387.0</v>
      </c>
      <c r="B399" s="2">
        <v>1.42107826086956E9</v>
      </c>
      <c r="C399" s="2">
        <v>-102.2754974</v>
      </c>
      <c r="D399" s="3">
        <f t="shared" si="1"/>
        <v>678260.8696</v>
      </c>
      <c r="E399" s="4">
        <f t="shared" si="2"/>
        <v>-144.1724927</v>
      </c>
      <c r="F399" s="3">
        <f t="shared" si="16"/>
        <v>0.0002125620085</v>
      </c>
      <c r="G399" s="3">
        <f t="shared" si="4"/>
        <v>0</v>
      </c>
      <c r="H399" s="2">
        <f t="shared" si="5"/>
        <v>0</v>
      </c>
      <c r="I399" s="3">
        <f t="shared" si="6"/>
        <v>0</v>
      </c>
      <c r="J399" s="3">
        <f t="shared" si="7"/>
        <v>0</v>
      </c>
      <c r="K399" s="3"/>
      <c r="L399" s="3">
        <f t="shared" si="8"/>
        <v>450.3564918</v>
      </c>
      <c r="M399" s="9">
        <f t="shared" si="9"/>
        <v>456.2752413</v>
      </c>
      <c r="N399" s="9">
        <f t="shared" si="10"/>
        <v>-5.918749538</v>
      </c>
      <c r="O399" s="3"/>
      <c r="P399" s="3"/>
      <c r="Q399" s="3"/>
      <c r="R399" s="2"/>
      <c r="S399" s="9">
        <f t="shared" si="13"/>
        <v>-5.435164799</v>
      </c>
      <c r="W399" s="3"/>
      <c r="X399" s="3"/>
      <c r="Y399" s="3"/>
      <c r="Z399" s="3"/>
      <c r="AA399" s="3"/>
      <c r="AB399" s="3"/>
      <c r="AC399" s="3"/>
    </row>
    <row r="400">
      <c r="A400" s="1">
        <v>388.0</v>
      </c>
      <c r="B400" s="2">
        <v>1.42108260869565E9</v>
      </c>
      <c r="C400" s="2">
        <v>-102.2361984</v>
      </c>
      <c r="D400" s="3">
        <f t="shared" si="1"/>
        <v>682608.6957</v>
      </c>
      <c r="E400" s="4">
        <f t="shared" si="2"/>
        <v>-145.0907889</v>
      </c>
      <c r="F400" s="3">
        <f t="shared" si="16"/>
        <v>0.000212553385</v>
      </c>
      <c r="G400" s="3">
        <f t="shared" si="4"/>
        <v>0</v>
      </c>
      <c r="H400" s="2">
        <f t="shared" si="5"/>
        <v>0</v>
      </c>
      <c r="I400" s="3">
        <f t="shared" si="6"/>
        <v>0</v>
      </c>
      <c r="J400" s="3">
        <f t="shared" si="7"/>
        <v>0</v>
      </c>
      <c r="K400" s="3"/>
      <c r="L400" s="3">
        <f t="shared" si="8"/>
        <v>454.4502298</v>
      </c>
      <c r="M400" s="9">
        <f t="shared" si="9"/>
        <v>456.1289812</v>
      </c>
      <c r="N400" s="9">
        <f t="shared" si="10"/>
        <v>-1.678751386</v>
      </c>
      <c r="O400" s="3"/>
      <c r="P400" s="3"/>
      <c r="Q400" s="3"/>
      <c r="R400" s="2"/>
      <c r="S400" s="9">
        <f t="shared" si="13"/>
        <v>-1.541590905</v>
      </c>
      <c r="W400" s="3"/>
      <c r="X400" s="3"/>
      <c r="Y400" s="3"/>
      <c r="Z400" s="3"/>
      <c r="AA400" s="3"/>
      <c r="AB400" s="3"/>
      <c r="AC400" s="3"/>
    </row>
    <row r="401">
      <c r="A401" s="1">
        <v>389.0</v>
      </c>
      <c r="B401" s="2">
        <v>1.42108695652173E9</v>
      </c>
      <c r="C401" s="2">
        <v>-102.2745895</v>
      </c>
      <c r="D401" s="3">
        <f t="shared" si="1"/>
        <v>686956.5217</v>
      </c>
      <c r="E401" s="4">
        <f t="shared" si="2"/>
        <v>-146.009085</v>
      </c>
      <c r="F401" s="3">
        <f t="shared" si="16"/>
        <v>0.0002125448706</v>
      </c>
      <c r="G401" s="3">
        <f t="shared" si="4"/>
        <v>0</v>
      </c>
      <c r="H401" s="2">
        <f t="shared" si="5"/>
        <v>0</v>
      </c>
      <c r="I401" s="3">
        <f t="shared" si="6"/>
        <v>0</v>
      </c>
      <c r="J401" s="3">
        <f t="shared" si="7"/>
        <v>0</v>
      </c>
      <c r="K401" s="3"/>
      <c r="L401" s="3">
        <f t="shared" si="8"/>
        <v>450.4506494</v>
      </c>
      <c r="M401" s="9">
        <f t="shared" si="9"/>
        <v>455.9824423</v>
      </c>
      <c r="N401" s="9">
        <f t="shared" si="10"/>
        <v>-5.53179288</v>
      </c>
      <c r="O401" s="3"/>
      <c r="P401" s="3"/>
      <c r="Q401" s="3"/>
      <c r="R401" s="2"/>
      <c r="S401" s="9">
        <f t="shared" si="13"/>
        <v>-5.079824009</v>
      </c>
      <c r="W401" s="3"/>
      <c r="X401" s="3"/>
      <c r="Y401" s="3"/>
      <c r="Z401" s="3"/>
      <c r="AA401" s="3"/>
      <c r="AB401" s="3"/>
      <c r="AC401" s="3"/>
    </row>
    <row r="402">
      <c r="A402" s="1">
        <v>390.0</v>
      </c>
      <c r="B402" s="2">
        <v>1.42109130434782E9</v>
      </c>
      <c r="C402" s="2">
        <v>-102.243103</v>
      </c>
      <c r="D402" s="3">
        <f t="shared" si="1"/>
        <v>691304.3478</v>
      </c>
      <c r="E402" s="4">
        <f t="shared" si="2"/>
        <v>-146.9273811</v>
      </c>
      <c r="F402" s="3">
        <f t="shared" si="16"/>
        <v>0.0002125364633</v>
      </c>
      <c r="G402" s="3">
        <f t="shared" si="4"/>
        <v>0</v>
      </c>
      <c r="H402" s="2">
        <f t="shared" si="5"/>
        <v>0</v>
      </c>
      <c r="I402" s="3">
        <f t="shared" si="6"/>
        <v>0</v>
      </c>
      <c r="J402" s="3">
        <f t="shared" si="7"/>
        <v>0</v>
      </c>
      <c r="K402" s="3"/>
      <c r="L402" s="3">
        <f t="shared" si="8"/>
        <v>453.7282994</v>
      </c>
      <c r="M402" s="9">
        <f t="shared" si="9"/>
        <v>455.8356243</v>
      </c>
      <c r="N402" s="9">
        <f t="shared" si="10"/>
        <v>-2.107324913</v>
      </c>
      <c r="O402" s="3"/>
      <c r="P402" s="3"/>
      <c r="Q402" s="3"/>
      <c r="R402" s="2"/>
      <c r="S402" s="9">
        <f t="shared" si="13"/>
        <v>-1.935148318</v>
      </c>
      <c r="W402" s="3"/>
      <c r="X402" s="3"/>
      <c r="Y402" s="3"/>
      <c r="Z402" s="3"/>
      <c r="AA402" s="3"/>
      <c r="AB402" s="3"/>
      <c r="AC402" s="3"/>
    </row>
    <row r="403">
      <c r="A403" s="1">
        <v>391.0</v>
      </c>
      <c r="B403" s="2">
        <v>1.42109565217391E9</v>
      </c>
      <c r="C403" s="2">
        <v>-102.2357559</v>
      </c>
      <c r="D403" s="3">
        <f t="shared" si="1"/>
        <v>695652.1739</v>
      </c>
      <c r="E403" s="4">
        <f t="shared" si="2"/>
        <v>-147.8456773</v>
      </c>
      <c r="F403" s="3">
        <f t="shared" si="16"/>
        <v>0.0002125281611</v>
      </c>
      <c r="G403" s="3">
        <f t="shared" si="4"/>
        <v>0</v>
      </c>
      <c r="H403" s="2">
        <f t="shared" si="5"/>
        <v>0</v>
      </c>
      <c r="I403" s="3">
        <f t="shared" si="6"/>
        <v>0</v>
      </c>
      <c r="J403" s="3">
        <f t="shared" si="7"/>
        <v>0</v>
      </c>
      <c r="K403" s="3"/>
      <c r="L403" s="3">
        <f t="shared" si="8"/>
        <v>454.4965358</v>
      </c>
      <c r="M403" s="9">
        <f t="shared" si="9"/>
        <v>455.6885268</v>
      </c>
      <c r="N403" s="9">
        <f t="shared" si="10"/>
        <v>-1.191990995</v>
      </c>
      <c r="O403" s="3"/>
      <c r="P403" s="3"/>
      <c r="Q403" s="3"/>
      <c r="R403" s="2"/>
      <c r="S403" s="9">
        <f t="shared" si="13"/>
        <v>-1.094600719</v>
      </c>
      <c r="W403" s="3"/>
      <c r="X403" s="3"/>
      <c r="Y403" s="3"/>
      <c r="Z403" s="3"/>
      <c r="AA403" s="3"/>
      <c r="AB403" s="3"/>
      <c r="AC403" s="3"/>
    </row>
    <row r="404">
      <c r="A404" s="1">
        <v>392.0</v>
      </c>
      <c r="B404" s="2">
        <v>1.4211E9</v>
      </c>
      <c r="C404" s="2">
        <v>-102.2537537</v>
      </c>
      <c r="D404" s="3">
        <f t="shared" si="1"/>
        <v>700000</v>
      </c>
      <c r="E404" s="4">
        <f t="shared" si="2"/>
        <v>-148.7639734</v>
      </c>
      <c r="F404" s="3">
        <f t="shared" si="16"/>
        <v>0.000212519962</v>
      </c>
      <c r="G404" s="3">
        <f t="shared" si="4"/>
        <v>0</v>
      </c>
      <c r="H404" s="2">
        <f t="shared" si="5"/>
        <v>0</v>
      </c>
      <c r="I404" s="3">
        <f t="shared" si="6"/>
        <v>0</v>
      </c>
      <c r="J404" s="3">
        <f t="shared" si="7"/>
        <v>0</v>
      </c>
      <c r="K404" s="3"/>
      <c r="L404" s="3">
        <f t="shared" si="8"/>
        <v>452.6169329</v>
      </c>
      <c r="M404" s="9">
        <f t="shared" si="9"/>
        <v>455.5411496</v>
      </c>
      <c r="N404" s="9">
        <f t="shared" si="10"/>
        <v>-2.924216664</v>
      </c>
      <c r="O404" s="3"/>
      <c r="P404" s="3"/>
      <c r="Q404" s="3"/>
      <c r="R404" s="2"/>
      <c r="S404" s="9">
        <f t="shared" si="13"/>
        <v>-2.685296854</v>
      </c>
      <c r="W404" s="3"/>
      <c r="X404" s="3"/>
      <c r="Y404" s="3"/>
      <c r="Z404" s="3"/>
      <c r="AA404" s="3"/>
      <c r="AB404" s="3"/>
      <c r="AC404" s="3"/>
    </row>
    <row r="405">
      <c r="A405" s="1">
        <v>393.0</v>
      </c>
      <c r="B405" s="2">
        <v>1.42110434782608E9</v>
      </c>
      <c r="C405" s="2">
        <v>-102.2458878</v>
      </c>
      <c r="D405" s="3">
        <f t="shared" si="1"/>
        <v>704347.8261</v>
      </c>
      <c r="E405" s="4">
        <f t="shared" si="2"/>
        <v>-149.6822695</v>
      </c>
      <c r="F405" s="3">
        <f t="shared" si="16"/>
        <v>0.0002125118642</v>
      </c>
      <c r="G405" s="3">
        <f t="shared" si="4"/>
        <v>0</v>
      </c>
      <c r="H405" s="2">
        <f t="shared" si="5"/>
        <v>0</v>
      </c>
      <c r="I405" s="3">
        <f t="shared" si="6"/>
        <v>0</v>
      </c>
      <c r="J405" s="3">
        <f t="shared" si="7"/>
        <v>0</v>
      </c>
      <c r="K405" s="3"/>
      <c r="L405" s="3">
        <f t="shared" si="8"/>
        <v>453.4374512</v>
      </c>
      <c r="M405" s="9">
        <f t="shared" si="9"/>
        <v>455.3934922</v>
      </c>
      <c r="N405" s="9">
        <f t="shared" si="10"/>
        <v>-1.95604103</v>
      </c>
      <c r="O405" s="3"/>
      <c r="P405" s="3"/>
      <c r="Q405" s="3"/>
      <c r="R405" s="2"/>
      <c r="S405" s="9">
        <f t="shared" si="13"/>
        <v>-1.796224914</v>
      </c>
      <c r="W405" s="3"/>
      <c r="X405" s="3"/>
      <c r="Y405" s="3"/>
      <c r="Z405" s="3"/>
      <c r="AA405" s="3"/>
      <c r="AB405" s="3"/>
      <c r="AC405" s="3"/>
    </row>
    <row r="406">
      <c r="A406" s="1">
        <v>394.0</v>
      </c>
      <c r="B406" s="2">
        <v>1.42110869565217E9</v>
      </c>
      <c r="C406" s="2">
        <v>-102.244072</v>
      </c>
      <c r="D406" s="3">
        <f t="shared" si="1"/>
        <v>708695.6522</v>
      </c>
      <c r="E406" s="4">
        <f t="shared" si="2"/>
        <v>-150.6005657</v>
      </c>
      <c r="F406" s="3">
        <f t="shared" si="16"/>
        <v>0.0002125038657</v>
      </c>
      <c r="G406" s="3">
        <f t="shared" si="4"/>
        <v>0</v>
      </c>
      <c r="H406" s="2">
        <f t="shared" si="5"/>
        <v>0</v>
      </c>
      <c r="I406" s="3">
        <f t="shared" si="6"/>
        <v>0</v>
      </c>
      <c r="J406" s="3">
        <f t="shared" si="7"/>
        <v>0</v>
      </c>
      <c r="K406" s="3"/>
      <c r="L406" s="3">
        <f t="shared" si="8"/>
        <v>453.6270746</v>
      </c>
      <c r="M406" s="9">
        <f t="shared" si="9"/>
        <v>455.2455544</v>
      </c>
      <c r="N406" s="9">
        <f t="shared" si="10"/>
        <v>-1.61847985</v>
      </c>
      <c r="O406" s="3"/>
      <c r="P406" s="3"/>
      <c r="Q406" s="3"/>
      <c r="R406" s="2"/>
      <c r="S406" s="9">
        <f t="shared" si="13"/>
        <v>-1.486243784</v>
      </c>
      <c r="W406" s="3"/>
      <c r="X406" s="3"/>
      <c r="Y406" s="3"/>
      <c r="Z406" s="3"/>
      <c r="AA406" s="3"/>
      <c r="AB406" s="3"/>
      <c r="AC406" s="3"/>
    </row>
    <row r="407">
      <c r="A407" s="1">
        <v>395.0</v>
      </c>
      <c r="B407" s="2">
        <v>1.42111304347826E9</v>
      </c>
      <c r="C407" s="2">
        <v>-102.2168121</v>
      </c>
      <c r="D407" s="3">
        <f t="shared" si="1"/>
        <v>713043.4783</v>
      </c>
      <c r="E407" s="4">
        <f t="shared" si="2"/>
        <v>-151.5188618</v>
      </c>
      <c r="F407" s="3">
        <f t="shared" si="16"/>
        <v>0.0002124959647</v>
      </c>
      <c r="G407" s="3">
        <f t="shared" si="4"/>
        <v>0</v>
      </c>
      <c r="H407" s="2">
        <f t="shared" si="5"/>
        <v>0</v>
      </c>
      <c r="I407" s="3">
        <f t="shared" si="6"/>
        <v>0</v>
      </c>
      <c r="J407" s="3">
        <f t="shared" si="7"/>
        <v>0</v>
      </c>
      <c r="K407" s="3"/>
      <c r="L407" s="3">
        <f t="shared" si="8"/>
        <v>456.4833667</v>
      </c>
      <c r="M407" s="9">
        <f t="shared" si="9"/>
        <v>455.0973358</v>
      </c>
      <c r="N407" s="9">
        <f t="shared" si="10"/>
        <v>1.386030857</v>
      </c>
      <c r="O407" s="3"/>
      <c r="P407" s="3"/>
      <c r="Q407" s="3"/>
      <c r="R407" s="2"/>
      <c r="S407" s="9">
        <f t="shared" si="13"/>
        <v>1.272786776</v>
      </c>
      <c r="W407" s="3"/>
      <c r="X407" s="3"/>
      <c r="Y407" s="3"/>
      <c r="Z407" s="3"/>
      <c r="AA407" s="3"/>
      <c r="AB407" s="3"/>
      <c r="AC407" s="3"/>
    </row>
    <row r="408">
      <c r="A408" s="1">
        <v>396.0</v>
      </c>
      <c r="B408" s="2">
        <v>1.42111739130434E9</v>
      </c>
      <c r="C408" s="2">
        <v>-102.2618561</v>
      </c>
      <c r="D408" s="3">
        <f t="shared" si="1"/>
        <v>717391.3043</v>
      </c>
      <c r="E408" s="4">
        <f t="shared" si="2"/>
        <v>-152.4371579</v>
      </c>
      <c r="F408" s="3">
        <f t="shared" si="16"/>
        <v>0.0002124881595</v>
      </c>
      <c r="G408" s="3">
        <f t="shared" si="4"/>
        <v>0</v>
      </c>
      <c r="H408" s="2">
        <f t="shared" si="5"/>
        <v>0</v>
      </c>
      <c r="I408" s="3">
        <f t="shared" si="6"/>
        <v>0</v>
      </c>
      <c r="J408" s="3">
        <f t="shared" si="7"/>
        <v>0</v>
      </c>
      <c r="K408" s="3"/>
      <c r="L408" s="3">
        <f t="shared" si="8"/>
        <v>451.7732969</v>
      </c>
      <c r="M408" s="9">
        <f t="shared" si="9"/>
        <v>454.9488361</v>
      </c>
      <c r="N408" s="9">
        <f t="shared" si="10"/>
        <v>-3.175539236</v>
      </c>
      <c r="O408" s="3"/>
      <c r="P408" s="3"/>
      <c r="Q408" s="3"/>
      <c r="R408" s="2"/>
      <c r="S408" s="9">
        <f t="shared" si="13"/>
        <v>-2.9160854</v>
      </c>
      <c r="W408" s="3"/>
      <c r="X408" s="3"/>
      <c r="Y408" s="3"/>
      <c r="Z408" s="3"/>
      <c r="AA408" s="3"/>
      <c r="AB408" s="3"/>
      <c r="AC408" s="3"/>
    </row>
    <row r="409">
      <c r="A409" s="1">
        <v>397.0</v>
      </c>
      <c r="B409" s="2">
        <v>1.42112173913043E9</v>
      </c>
      <c r="C409" s="2">
        <v>-102.2967453</v>
      </c>
      <c r="D409" s="3">
        <f t="shared" si="1"/>
        <v>721739.1304</v>
      </c>
      <c r="E409" s="4">
        <f t="shared" si="2"/>
        <v>-153.3554541</v>
      </c>
      <c r="F409" s="3">
        <f t="shared" si="16"/>
        <v>0.0002124804484</v>
      </c>
      <c r="G409" s="3">
        <f t="shared" si="4"/>
        <v>0</v>
      </c>
      <c r="H409" s="2">
        <f t="shared" si="5"/>
        <v>0</v>
      </c>
      <c r="I409" s="3">
        <f t="shared" si="6"/>
        <v>0</v>
      </c>
      <c r="J409" s="3">
        <f t="shared" si="7"/>
        <v>0</v>
      </c>
      <c r="K409" s="3"/>
      <c r="L409" s="3">
        <f t="shared" si="8"/>
        <v>448.1584995</v>
      </c>
      <c r="M409" s="9">
        <f t="shared" si="9"/>
        <v>454.800055</v>
      </c>
      <c r="N409" s="9">
        <f t="shared" si="10"/>
        <v>-6.64155552</v>
      </c>
      <c r="O409" s="3"/>
      <c r="P409" s="3"/>
      <c r="Q409" s="3"/>
      <c r="R409" s="2"/>
      <c r="S409" s="9">
        <f t="shared" si="13"/>
        <v>-6.098914735</v>
      </c>
      <c r="W409" s="3"/>
      <c r="X409" s="3"/>
      <c r="Y409" s="3"/>
      <c r="Z409" s="3"/>
      <c r="AA409" s="3"/>
      <c r="AB409" s="3"/>
      <c r="AC409" s="3"/>
    </row>
    <row r="410">
      <c r="A410" s="1">
        <v>398.0</v>
      </c>
      <c r="B410" s="2">
        <v>1.42112608695652E9</v>
      </c>
      <c r="C410" s="2">
        <v>-102.2399979</v>
      </c>
      <c r="D410" s="3">
        <f t="shared" si="1"/>
        <v>726086.9565</v>
      </c>
      <c r="E410" s="4">
        <f t="shared" si="2"/>
        <v>-154.2737502</v>
      </c>
      <c r="F410" s="3">
        <f t="shared" si="16"/>
        <v>0.0002124728296</v>
      </c>
      <c r="G410" s="3">
        <f t="shared" si="4"/>
        <v>0</v>
      </c>
      <c r="H410" s="2">
        <f t="shared" si="5"/>
        <v>0</v>
      </c>
      <c r="I410" s="3">
        <f t="shared" si="6"/>
        <v>0</v>
      </c>
      <c r="J410" s="3">
        <f t="shared" si="7"/>
        <v>0</v>
      </c>
      <c r="K410" s="3"/>
      <c r="L410" s="3">
        <f t="shared" si="8"/>
        <v>454.0528201</v>
      </c>
      <c r="M410" s="9">
        <f t="shared" si="9"/>
        <v>454.6509921</v>
      </c>
      <c r="N410" s="9">
        <f t="shared" si="10"/>
        <v>-0.5981719883</v>
      </c>
      <c r="O410" s="3"/>
      <c r="P410" s="3"/>
      <c r="Q410" s="3"/>
      <c r="R410" s="2"/>
      <c r="S410" s="9">
        <f t="shared" si="13"/>
        <v>-0.5492990236</v>
      </c>
      <c r="W410" s="3"/>
      <c r="X410" s="3"/>
      <c r="Y410" s="3"/>
      <c r="Z410" s="3"/>
      <c r="AA410" s="3"/>
      <c r="AB410" s="3"/>
      <c r="AC410" s="3"/>
    </row>
    <row r="411">
      <c r="A411" s="1">
        <v>399.0</v>
      </c>
      <c r="B411" s="2">
        <v>1.4211304347826E9</v>
      </c>
      <c r="C411" s="2">
        <v>-102.2715073</v>
      </c>
      <c r="D411" s="3">
        <f t="shared" si="1"/>
        <v>730434.7826</v>
      </c>
      <c r="E411" s="4">
        <f t="shared" si="2"/>
        <v>-155.1920463</v>
      </c>
      <c r="F411" s="3">
        <f t="shared" si="16"/>
        <v>0.0002124653015</v>
      </c>
      <c r="G411" s="3">
        <f t="shared" si="4"/>
        <v>0</v>
      </c>
      <c r="H411" s="2">
        <f t="shared" si="5"/>
        <v>0</v>
      </c>
      <c r="I411" s="3">
        <f t="shared" si="6"/>
        <v>0</v>
      </c>
      <c r="J411" s="3">
        <f t="shared" si="7"/>
        <v>0</v>
      </c>
      <c r="K411" s="3"/>
      <c r="L411" s="3">
        <f t="shared" si="8"/>
        <v>450.770449</v>
      </c>
      <c r="M411" s="9">
        <f t="shared" si="9"/>
        <v>454.501647</v>
      </c>
      <c r="N411" s="9">
        <f t="shared" si="10"/>
        <v>-3.73119805</v>
      </c>
      <c r="O411" s="3"/>
      <c r="P411" s="3"/>
      <c r="Q411" s="3"/>
      <c r="R411" s="2"/>
      <c r="S411" s="9">
        <f t="shared" si="13"/>
        <v>-3.42634474</v>
      </c>
      <c r="W411" s="3"/>
      <c r="X411" s="3"/>
      <c r="Y411" s="3"/>
      <c r="Z411" s="3"/>
      <c r="AA411" s="3"/>
      <c r="AB411" s="3"/>
      <c r="AC411" s="3"/>
    </row>
    <row r="412">
      <c r="A412" s="1">
        <v>400.0</v>
      </c>
      <c r="B412" s="2">
        <v>1.42113478260869E9</v>
      </c>
      <c r="C412" s="2">
        <v>-102.2221069</v>
      </c>
      <c r="D412" s="3">
        <f t="shared" si="1"/>
        <v>734782.6087</v>
      </c>
      <c r="E412" s="4">
        <f t="shared" si="2"/>
        <v>-156.1103425</v>
      </c>
      <c r="F412" s="3">
        <f t="shared" si="16"/>
        <v>0.0002124578625</v>
      </c>
      <c r="G412" s="3">
        <f t="shared" si="4"/>
        <v>0</v>
      </c>
      <c r="H412" s="2">
        <f t="shared" si="5"/>
        <v>0</v>
      </c>
      <c r="I412" s="3">
        <f t="shared" si="6"/>
        <v>0</v>
      </c>
      <c r="J412" s="3">
        <f t="shared" si="7"/>
        <v>0</v>
      </c>
      <c r="K412" s="3"/>
      <c r="L412" s="3">
        <f t="shared" si="8"/>
        <v>455.9271737</v>
      </c>
      <c r="M412" s="9">
        <f t="shared" si="9"/>
        <v>454.3520195</v>
      </c>
      <c r="N412" s="9">
        <f t="shared" si="10"/>
        <v>1.57515423</v>
      </c>
      <c r="O412" s="3"/>
      <c r="P412" s="3"/>
      <c r="Q412" s="3"/>
      <c r="R412" s="2"/>
      <c r="S412" s="9">
        <f t="shared" si="13"/>
        <v>1.446458038</v>
      </c>
      <c r="W412" s="3"/>
      <c r="X412" s="3"/>
      <c r="Y412" s="3"/>
      <c r="Z412" s="3"/>
      <c r="AA412" s="3"/>
      <c r="AB412" s="3"/>
      <c r="AC412" s="3"/>
    </row>
    <row r="413">
      <c r="A413" s="1">
        <v>401.0</v>
      </c>
      <c r="B413" s="2">
        <v>1.42113913043478E9</v>
      </c>
      <c r="C413" s="2">
        <v>-102.1789017</v>
      </c>
      <c r="D413" s="3">
        <f t="shared" si="1"/>
        <v>739130.4348</v>
      </c>
      <c r="E413" s="4">
        <f t="shared" si="2"/>
        <v>-157.0286386</v>
      </c>
      <c r="F413" s="3">
        <f t="shared" si="16"/>
        <v>0.000212450511</v>
      </c>
      <c r="G413" s="3">
        <f t="shared" si="4"/>
        <v>0</v>
      </c>
      <c r="H413" s="2">
        <f t="shared" si="5"/>
        <v>0</v>
      </c>
      <c r="I413" s="3">
        <f t="shared" si="6"/>
        <v>0</v>
      </c>
      <c r="J413" s="3">
        <f t="shared" si="7"/>
        <v>0</v>
      </c>
      <c r="K413" s="3"/>
      <c r="L413" s="3">
        <f t="shared" si="8"/>
        <v>460.4855402</v>
      </c>
      <c r="M413" s="9">
        <f t="shared" si="9"/>
        <v>454.2021092</v>
      </c>
      <c r="N413" s="9">
        <f t="shared" si="10"/>
        <v>6.283430986</v>
      </c>
      <c r="O413" s="3"/>
      <c r="P413" s="3"/>
      <c r="Q413" s="3"/>
      <c r="R413" s="2"/>
      <c r="S413" s="9">
        <f t="shared" si="13"/>
        <v>5.770050362</v>
      </c>
      <c r="W413" s="3"/>
      <c r="X413" s="3"/>
      <c r="Y413" s="3"/>
      <c r="Z413" s="3"/>
      <c r="AA413" s="3"/>
      <c r="AB413" s="3"/>
      <c r="AC413" s="3"/>
    </row>
    <row r="414">
      <c r="A414" s="1">
        <v>402.0</v>
      </c>
      <c r="B414" s="2">
        <v>1.42114347826087E9</v>
      </c>
      <c r="C414" s="2">
        <v>-102.2371826</v>
      </c>
      <c r="D414" s="3">
        <f t="shared" si="1"/>
        <v>743478.2609</v>
      </c>
      <c r="E414" s="4">
        <f t="shared" si="2"/>
        <v>-157.9469347</v>
      </c>
      <c r="F414" s="3">
        <f t="shared" si="16"/>
        <v>0.0002124432455</v>
      </c>
      <c r="G414" s="3">
        <f t="shared" si="4"/>
        <v>0</v>
      </c>
      <c r="H414" s="2">
        <f t="shared" si="5"/>
        <v>0</v>
      </c>
      <c r="I414" s="3">
        <f t="shared" si="6"/>
        <v>0</v>
      </c>
      <c r="J414" s="3">
        <f t="shared" si="7"/>
        <v>0</v>
      </c>
      <c r="K414" s="3"/>
      <c r="L414" s="3">
        <f t="shared" si="8"/>
        <v>454.3472538</v>
      </c>
      <c r="M414" s="9">
        <f t="shared" si="9"/>
        <v>454.0519158</v>
      </c>
      <c r="N414" s="9">
        <f t="shared" si="10"/>
        <v>0.2953379737</v>
      </c>
      <c r="O414" s="3"/>
      <c r="P414" s="3"/>
      <c r="Q414" s="3"/>
      <c r="R414" s="2"/>
      <c r="S414" s="9">
        <f t="shared" si="13"/>
        <v>0.2712077191</v>
      </c>
      <c r="W414" s="3"/>
      <c r="X414" s="3"/>
      <c r="Y414" s="3"/>
      <c r="Z414" s="3"/>
      <c r="AA414" s="3"/>
      <c r="AB414" s="3"/>
      <c r="AC414" s="3"/>
    </row>
    <row r="415">
      <c r="A415" s="1">
        <v>403.0</v>
      </c>
      <c r="B415" s="2">
        <v>1.42114782608695E9</v>
      </c>
      <c r="C415" s="2">
        <v>-102.1694641</v>
      </c>
      <c r="D415" s="3">
        <f t="shared" si="1"/>
        <v>747826.087</v>
      </c>
      <c r="E415" s="4">
        <f t="shared" si="2"/>
        <v>-158.8652309</v>
      </c>
      <c r="F415" s="3">
        <f t="shared" si="16"/>
        <v>0.0002124360645</v>
      </c>
      <c r="G415" s="3">
        <f t="shared" si="4"/>
        <v>0</v>
      </c>
      <c r="H415" s="2">
        <f t="shared" si="5"/>
        <v>0</v>
      </c>
      <c r="I415" s="3">
        <f t="shared" si="6"/>
        <v>0</v>
      </c>
      <c r="J415" s="3">
        <f t="shared" si="7"/>
        <v>0</v>
      </c>
      <c r="K415" s="3"/>
      <c r="L415" s="3">
        <f t="shared" si="8"/>
        <v>461.4873037</v>
      </c>
      <c r="M415" s="9">
        <f t="shared" si="9"/>
        <v>453.9014389</v>
      </c>
      <c r="N415" s="9">
        <f t="shared" si="10"/>
        <v>7.585864797</v>
      </c>
      <c r="O415" s="3"/>
      <c r="P415" s="3"/>
      <c r="Q415" s="3"/>
      <c r="R415" s="2"/>
      <c r="S415" s="9">
        <f t="shared" si="13"/>
        <v>6.966070307</v>
      </c>
      <c r="W415" s="3"/>
      <c r="X415" s="3"/>
      <c r="Y415" s="3"/>
      <c r="Z415" s="3"/>
      <c r="AA415" s="3"/>
      <c r="AB415" s="3"/>
      <c r="AC415" s="3"/>
    </row>
    <row r="416">
      <c r="A416" s="1">
        <v>404.0</v>
      </c>
      <c r="B416" s="2">
        <v>1.42115217391304E9</v>
      </c>
      <c r="C416" s="2">
        <v>-102.2202301</v>
      </c>
      <c r="D416" s="3">
        <f t="shared" si="1"/>
        <v>752173.913</v>
      </c>
      <c r="E416" s="4">
        <f t="shared" si="2"/>
        <v>-159.783527</v>
      </c>
      <c r="F416" s="3">
        <f t="shared" si="16"/>
        <v>0.0002124289665</v>
      </c>
      <c r="G416" s="3">
        <f t="shared" si="4"/>
        <v>0</v>
      </c>
      <c r="H416" s="2">
        <f t="shared" si="5"/>
        <v>0</v>
      </c>
      <c r="I416" s="3">
        <f t="shared" si="6"/>
        <v>0</v>
      </c>
      <c r="J416" s="3">
        <f t="shared" si="7"/>
        <v>0</v>
      </c>
      <c r="K416" s="3"/>
      <c r="L416" s="3">
        <f t="shared" si="8"/>
        <v>456.1242449</v>
      </c>
      <c r="M416" s="9">
        <f t="shared" si="9"/>
        <v>453.7506783</v>
      </c>
      <c r="N416" s="9">
        <f t="shared" si="10"/>
        <v>2.373566584</v>
      </c>
      <c r="O416" s="3"/>
      <c r="P416" s="3"/>
      <c r="Q416" s="3"/>
      <c r="R416" s="2"/>
      <c r="S416" s="9">
        <f t="shared" si="13"/>
        <v>2.17963701</v>
      </c>
      <c r="W416" s="3"/>
      <c r="X416" s="3"/>
      <c r="Y416" s="3"/>
      <c r="Z416" s="3"/>
      <c r="AA416" s="3"/>
      <c r="AB416" s="3"/>
      <c r="AC416" s="3"/>
    </row>
    <row r="417">
      <c r="A417" s="1">
        <v>405.0</v>
      </c>
      <c r="B417" s="2">
        <v>1.42115652173913E9</v>
      </c>
      <c r="C417" s="2">
        <v>-102.2685318</v>
      </c>
      <c r="D417" s="3">
        <f t="shared" si="1"/>
        <v>756521.7391</v>
      </c>
      <c r="E417" s="4">
        <f t="shared" si="2"/>
        <v>-160.7018231</v>
      </c>
      <c r="F417" s="3">
        <f t="shared" si="16"/>
        <v>0.0002124219501</v>
      </c>
      <c r="G417" s="3">
        <f t="shared" si="4"/>
        <v>0</v>
      </c>
      <c r="H417" s="2">
        <f t="shared" si="5"/>
        <v>0</v>
      </c>
      <c r="I417" s="3">
        <f t="shared" si="6"/>
        <v>0</v>
      </c>
      <c r="J417" s="3">
        <f t="shared" si="7"/>
        <v>0</v>
      </c>
      <c r="K417" s="3"/>
      <c r="L417" s="3">
        <f t="shared" si="8"/>
        <v>451.079393</v>
      </c>
      <c r="M417" s="9">
        <f t="shared" si="9"/>
        <v>453.5996335</v>
      </c>
      <c r="N417" s="9">
        <f t="shared" si="10"/>
        <v>-2.520240473</v>
      </c>
      <c r="O417" s="3"/>
      <c r="P417" s="3"/>
      <c r="Q417" s="3"/>
      <c r="R417" s="2"/>
      <c r="S417" s="9">
        <f t="shared" si="13"/>
        <v>-2.31432708</v>
      </c>
      <c r="W417" s="3"/>
      <c r="X417" s="3"/>
      <c r="Y417" s="3"/>
      <c r="Z417" s="3"/>
      <c r="AA417" s="3"/>
      <c r="AB417" s="3"/>
      <c r="AC417" s="3"/>
    </row>
    <row r="418">
      <c r="A418" s="1">
        <v>406.0</v>
      </c>
      <c r="B418" s="2">
        <v>1.42116086956521E9</v>
      </c>
      <c r="C418" s="2">
        <v>-102.245491</v>
      </c>
      <c r="D418" s="3">
        <f t="shared" si="1"/>
        <v>760869.5652</v>
      </c>
      <c r="E418" s="4">
        <f t="shared" si="2"/>
        <v>-161.6201193</v>
      </c>
      <c r="F418" s="3">
        <f t="shared" si="16"/>
        <v>0.0002124150139</v>
      </c>
      <c r="G418" s="3">
        <f t="shared" si="4"/>
        <v>0</v>
      </c>
      <c r="H418" s="2">
        <f t="shared" si="5"/>
        <v>0</v>
      </c>
      <c r="I418" s="3">
        <f t="shared" si="6"/>
        <v>0</v>
      </c>
      <c r="J418" s="3">
        <f t="shared" si="7"/>
        <v>0</v>
      </c>
      <c r="K418" s="3"/>
      <c r="L418" s="3">
        <f t="shared" si="8"/>
        <v>453.4788821</v>
      </c>
      <c r="M418" s="9">
        <f t="shared" si="9"/>
        <v>453.4483043</v>
      </c>
      <c r="N418" s="9">
        <f t="shared" si="10"/>
        <v>0.03057785187</v>
      </c>
      <c r="O418" s="3"/>
      <c r="P418" s="3"/>
      <c r="Q418" s="3"/>
      <c r="R418" s="2"/>
      <c r="S418" s="9">
        <f t="shared" si="13"/>
        <v>0.02807952312</v>
      </c>
      <c r="W418" s="3"/>
      <c r="X418" s="3"/>
      <c r="Y418" s="3"/>
      <c r="Z418" s="3"/>
      <c r="AA418" s="3"/>
      <c r="AB418" s="3"/>
      <c r="AC418" s="3"/>
    </row>
    <row r="419">
      <c r="A419" s="1">
        <v>407.0</v>
      </c>
      <c r="B419" s="2">
        <v>1.4211652173913E9</v>
      </c>
      <c r="C419" s="2">
        <v>-102.2704697</v>
      </c>
      <c r="D419" s="3">
        <f t="shared" si="1"/>
        <v>765217.3913</v>
      </c>
      <c r="E419" s="4">
        <f t="shared" si="2"/>
        <v>-162.5384154</v>
      </c>
      <c r="F419" s="3">
        <f t="shared" si="16"/>
        <v>0.0002124081565</v>
      </c>
      <c r="G419" s="3">
        <f t="shared" si="4"/>
        <v>0</v>
      </c>
      <c r="H419" s="2">
        <f t="shared" si="5"/>
        <v>0</v>
      </c>
      <c r="I419" s="3">
        <f t="shared" si="6"/>
        <v>0</v>
      </c>
      <c r="J419" s="3">
        <f t="shared" si="7"/>
        <v>0</v>
      </c>
      <c r="K419" s="3"/>
      <c r="L419" s="3">
        <f t="shared" si="8"/>
        <v>450.8781582</v>
      </c>
      <c r="M419" s="9">
        <f t="shared" si="9"/>
        <v>453.2966902</v>
      </c>
      <c r="N419" s="9">
        <f t="shared" si="10"/>
        <v>-2.418532041</v>
      </c>
      <c r="O419" s="3"/>
      <c r="P419" s="3"/>
      <c r="Q419" s="3"/>
      <c r="R419" s="2"/>
      <c r="S419" s="9">
        <f t="shared" si="13"/>
        <v>-2.220928615</v>
      </c>
      <c r="W419" s="3"/>
      <c r="X419" s="3"/>
      <c r="Y419" s="3"/>
      <c r="Z419" s="3"/>
      <c r="AA419" s="3"/>
      <c r="AB419" s="3"/>
      <c r="AC419" s="3"/>
    </row>
    <row r="420">
      <c r="A420" s="1">
        <v>408.0</v>
      </c>
      <c r="B420" s="2">
        <v>1.42116956521739E9</v>
      </c>
      <c r="C420" s="2">
        <v>-102.2943115</v>
      </c>
      <c r="D420" s="3">
        <f t="shared" si="1"/>
        <v>769565.2174</v>
      </c>
      <c r="E420" s="4">
        <f t="shared" si="2"/>
        <v>-163.4567115</v>
      </c>
      <c r="F420" s="3">
        <f t="shared" si="16"/>
        <v>0.0002124013765</v>
      </c>
      <c r="G420" s="3">
        <f t="shared" si="4"/>
        <v>0</v>
      </c>
      <c r="H420" s="2">
        <f t="shared" si="5"/>
        <v>0</v>
      </c>
      <c r="I420" s="3">
        <f t="shared" si="6"/>
        <v>0</v>
      </c>
      <c r="J420" s="3">
        <f t="shared" si="7"/>
        <v>0</v>
      </c>
      <c r="K420" s="3"/>
      <c r="L420" s="3">
        <f t="shared" si="8"/>
        <v>448.4097193</v>
      </c>
      <c r="M420" s="9">
        <f t="shared" si="9"/>
        <v>453.1447911</v>
      </c>
      <c r="N420" s="9">
        <f t="shared" si="10"/>
        <v>-4.735071791</v>
      </c>
      <c r="O420" s="3"/>
      <c r="P420" s="3"/>
      <c r="Q420" s="3"/>
      <c r="R420" s="2"/>
      <c r="S420" s="9">
        <f t="shared" si="13"/>
        <v>-4.348198114</v>
      </c>
      <c r="W420" s="3"/>
      <c r="X420" s="3"/>
      <c r="Y420" s="3"/>
      <c r="Z420" s="3"/>
      <c r="AA420" s="3"/>
      <c r="AB420" s="3"/>
      <c r="AC420" s="3"/>
    </row>
    <row r="421">
      <c r="A421" s="1">
        <v>409.0</v>
      </c>
      <c r="B421" s="2">
        <v>1.42117391304347E9</v>
      </c>
      <c r="C421" s="2">
        <v>-102.2609024</v>
      </c>
      <c r="D421" s="3">
        <f t="shared" si="1"/>
        <v>773913.0435</v>
      </c>
      <c r="E421" s="4">
        <f t="shared" si="2"/>
        <v>-164.3750077</v>
      </c>
      <c r="F421" s="3">
        <f t="shared" si="16"/>
        <v>0.0002123946728</v>
      </c>
      <c r="G421" s="3">
        <f t="shared" si="4"/>
        <v>0</v>
      </c>
      <c r="H421" s="2">
        <f t="shared" si="5"/>
        <v>0</v>
      </c>
      <c r="I421" s="3">
        <f t="shared" si="6"/>
        <v>0</v>
      </c>
      <c r="J421" s="3">
        <f t="shared" si="7"/>
        <v>0</v>
      </c>
      <c r="K421" s="3"/>
      <c r="L421" s="3">
        <f t="shared" si="8"/>
        <v>451.8725161</v>
      </c>
      <c r="M421" s="9">
        <f t="shared" si="9"/>
        <v>452.9926065</v>
      </c>
      <c r="N421" s="9">
        <f t="shared" si="10"/>
        <v>-1.120090375</v>
      </c>
      <c r="O421" s="3"/>
      <c r="P421" s="3"/>
      <c r="Q421" s="3"/>
      <c r="R421" s="2"/>
      <c r="S421" s="9">
        <f t="shared" si="13"/>
        <v>-1.02857466</v>
      </c>
      <c r="W421" s="3"/>
      <c r="X421" s="3"/>
      <c r="Y421" s="3"/>
      <c r="Z421" s="3"/>
      <c r="AA421" s="3"/>
      <c r="AB421" s="3"/>
      <c r="AC421" s="3"/>
    </row>
    <row r="422">
      <c r="A422" s="1">
        <v>410.0</v>
      </c>
      <c r="B422" s="2">
        <v>1.42117826086956E9</v>
      </c>
      <c r="C422" s="2">
        <v>-102.2449417</v>
      </c>
      <c r="D422" s="3">
        <f t="shared" si="1"/>
        <v>778260.8696</v>
      </c>
      <c r="E422" s="4">
        <f t="shared" si="2"/>
        <v>-165.2933038</v>
      </c>
      <c r="F422" s="3">
        <f t="shared" si="16"/>
        <v>0.000212388044</v>
      </c>
      <c r="G422" s="3">
        <f t="shared" si="4"/>
        <v>0</v>
      </c>
      <c r="H422" s="2">
        <f t="shared" si="5"/>
        <v>0</v>
      </c>
      <c r="I422" s="3">
        <f t="shared" si="6"/>
        <v>0</v>
      </c>
      <c r="J422" s="3">
        <f t="shared" si="7"/>
        <v>0</v>
      </c>
      <c r="K422" s="3"/>
      <c r="L422" s="3">
        <f t="shared" si="8"/>
        <v>453.5362422</v>
      </c>
      <c r="M422" s="9">
        <f t="shared" si="9"/>
        <v>452.8401361</v>
      </c>
      <c r="N422" s="9">
        <f t="shared" si="10"/>
        <v>0.6961061291</v>
      </c>
      <c r="O422" s="3"/>
      <c r="P422" s="3"/>
      <c r="Q422" s="3"/>
      <c r="R422" s="2"/>
      <c r="S422" s="9">
        <f t="shared" si="13"/>
        <v>0.6392315649</v>
      </c>
      <c r="W422" s="3"/>
      <c r="X422" s="3"/>
      <c r="Y422" s="3"/>
      <c r="Z422" s="3"/>
      <c r="AA422" s="3"/>
      <c r="AB422" s="3"/>
      <c r="AC422" s="3"/>
    </row>
    <row r="423">
      <c r="A423" s="1">
        <v>411.0</v>
      </c>
      <c r="B423" s="2">
        <v>1.42118260869565E9</v>
      </c>
      <c r="C423" s="2">
        <v>-102.2286453</v>
      </c>
      <c r="D423" s="3">
        <f t="shared" si="1"/>
        <v>782608.6957</v>
      </c>
      <c r="E423" s="4">
        <f t="shared" si="2"/>
        <v>-166.2115999</v>
      </c>
      <c r="F423" s="3">
        <f t="shared" si="16"/>
        <v>0.0002123814888</v>
      </c>
      <c r="G423" s="3">
        <f t="shared" si="4"/>
        <v>0</v>
      </c>
      <c r="H423" s="2">
        <f t="shared" si="5"/>
        <v>0</v>
      </c>
      <c r="I423" s="3">
        <f t="shared" si="6"/>
        <v>0</v>
      </c>
      <c r="J423" s="3">
        <f t="shared" si="7"/>
        <v>0</v>
      </c>
      <c r="K423" s="3"/>
      <c r="L423" s="3">
        <f t="shared" si="8"/>
        <v>455.2412817</v>
      </c>
      <c r="M423" s="9">
        <f t="shared" si="9"/>
        <v>452.6873796</v>
      </c>
      <c r="N423" s="9">
        <f t="shared" si="10"/>
        <v>2.553902128</v>
      </c>
      <c r="O423" s="3"/>
      <c r="P423" s="3"/>
      <c r="Q423" s="3"/>
      <c r="R423" s="2"/>
      <c r="S423" s="9">
        <f t="shared" si="13"/>
        <v>2.345238448</v>
      </c>
      <c r="W423" s="3"/>
      <c r="X423" s="3"/>
      <c r="Y423" s="3"/>
      <c r="Z423" s="3"/>
      <c r="AA423" s="3"/>
      <c r="AB423" s="3"/>
      <c r="AC423" s="3"/>
    </row>
    <row r="424">
      <c r="A424" s="1">
        <v>412.0</v>
      </c>
      <c r="B424" s="2">
        <v>1.42118695652173E9</v>
      </c>
      <c r="C424" s="2">
        <v>-102.2281113</v>
      </c>
      <c r="D424" s="3">
        <f t="shared" si="1"/>
        <v>786956.5217</v>
      </c>
      <c r="E424" s="4">
        <f t="shared" si="2"/>
        <v>-167.129896</v>
      </c>
      <c r="F424" s="3">
        <f t="shared" si="16"/>
        <v>0.000212375006</v>
      </c>
      <c r="G424" s="3">
        <f t="shared" si="4"/>
        <v>0</v>
      </c>
      <c r="H424" s="2">
        <f t="shared" si="5"/>
        <v>0</v>
      </c>
      <c r="I424" s="3">
        <f t="shared" si="6"/>
        <v>0</v>
      </c>
      <c r="J424" s="3">
        <f t="shared" si="7"/>
        <v>0</v>
      </c>
      <c r="K424" s="3"/>
      <c r="L424" s="3">
        <f t="shared" si="8"/>
        <v>455.2972607</v>
      </c>
      <c r="M424" s="9">
        <f t="shared" si="9"/>
        <v>452.5343366</v>
      </c>
      <c r="N424" s="9">
        <f t="shared" si="10"/>
        <v>2.762924138</v>
      </c>
      <c r="O424" s="3"/>
      <c r="P424" s="3"/>
      <c r="Q424" s="3"/>
      <c r="R424" s="2"/>
      <c r="S424" s="9">
        <f t="shared" si="13"/>
        <v>2.537182551</v>
      </c>
      <c r="W424" s="3"/>
      <c r="X424" s="3"/>
      <c r="Y424" s="3"/>
      <c r="Z424" s="3"/>
      <c r="AA424" s="3"/>
      <c r="AB424" s="3"/>
      <c r="AC424" s="3"/>
    </row>
    <row r="425">
      <c r="A425" s="1">
        <v>413.0</v>
      </c>
      <c r="B425" s="2">
        <v>1.42119130434782E9</v>
      </c>
      <c r="C425" s="2">
        <v>-102.2521515</v>
      </c>
      <c r="D425" s="3">
        <f t="shared" si="1"/>
        <v>791304.3478</v>
      </c>
      <c r="E425" s="4">
        <f t="shared" si="2"/>
        <v>-168.0481922</v>
      </c>
      <c r="F425" s="3">
        <f t="shared" si="16"/>
        <v>0.0002123685945</v>
      </c>
      <c r="G425" s="3">
        <f t="shared" si="4"/>
        <v>0</v>
      </c>
      <c r="H425" s="2">
        <f t="shared" si="5"/>
        <v>0</v>
      </c>
      <c r="I425" s="3">
        <f t="shared" si="6"/>
        <v>0</v>
      </c>
      <c r="J425" s="3">
        <f t="shared" si="7"/>
        <v>0</v>
      </c>
      <c r="K425" s="3"/>
      <c r="L425" s="3">
        <f t="shared" si="8"/>
        <v>452.7839432</v>
      </c>
      <c r="M425" s="9">
        <f t="shared" si="9"/>
        <v>452.3810068</v>
      </c>
      <c r="N425" s="9">
        <f t="shared" si="10"/>
        <v>0.4029364717</v>
      </c>
      <c r="O425" s="3"/>
      <c r="P425" s="3"/>
      <c r="Q425" s="3"/>
      <c r="R425" s="2"/>
      <c r="S425" s="9">
        <f t="shared" si="13"/>
        <v>0.3700150037</v>
      </c>
      <c r="W425" s="3"/>
      <c r="X425" s="3"/>
      <c r="Y425" s="3"/>
      <c r="Z425" s="3"/>
      <c r="AA425" s="3"/>
      <c r="AB425" s="3"/>
      <c r="AC425" s="3"/>
    </row>
    <row r="426">
      <c r="A426" s="1">
        <v>414.0</v>
      </c>
      <c r="B426" s="2">
        <v>1.42119565217391E9</v>
      </c>
      <c r="C426" s="2">
        <v>-102.2365189</v>
      </c>
      <c r="D426" s="3">
        <f t="shared" si="1"/>
        <v>795652.1739</v>
      </c>
      <c r="E426" s="4">
        <f t="shared" si="2"/>
        <v>-168.9664883</v>
      </c>
      <c r="F426" s="3">
        <f t="shared" si="16"/>
        <v>0.0002123622531</v>
      </c>
      <c r="G426" s="3">
        <f t="shared" si="4"/>
        <v>0</v>
      </c>
      <c r="H426" s="2">
        <f t="shared" si="5"/>
        <v>0</v>
      </c>
      <c r="I426" s="3">
        <f t="shared" si="6"/>
        <v>0</v>
      </c>
      <c r="J426" s="3">
        <f t="shared" si="7"/>
        <v>0</v>
      </c>
      <c r="K426" s="3"/>
      <c r="L426" s="3">
        <f t="shared" si="8"/>
        <v>454.4166936</v>
      </c>
      <c r="M426" s="9">
        <f t="shared" si="9"/>
        <v>452.2273899</v>
      </c>
      <c r="N426" s="9">
        <f t="shared" si="10"/>
        <v>2.189303739</v>
      </c>
      <c r="O426" s="3"/>
      <c r="P426" s="3"/>
      <c r="Q426" s="3"/>
      <c r="R426" s="2"/>
      <c r="S426" s="9">
        <f t="shared" si="13"/>
        <v>2.010429152</v>
      </c>
      <c r="W426" s="3"/>
      <c r="X426" s="3"/>
      <c r="Y426" s="3"/>
      <c r="Z426" s="3"/>
      <c r="AA426" s="3"/>
      <c r="AB426" s="3"/>
      <c r="AC426" s="3"/>
    </row>
    <row r="427">
      <c r="A427" s="1">
        <v>415.0</v>
      </c>
      <c r="B427" s="2">
        <v>1.4212E9</v>
      </c>
      <c r="C427" s="2">
        <v>-102.2555008</v>
      </c>
      <c r="D427" s="3">
        <f t="shared" si="1"/>
        <v>800000</v>
      </c>
      <c r="E427" s="4">
        <f t="shared" si="2"/>
        <v>-169.8847844</v>
      </c>
      <c r="F427" s="3">
        <f t="shared" si="16"/>
        <v>0.0002123559806</v>
      </c>
      <c r="G427" s="3">
        <f t="shared" si="4"/>
        <v>0</v>
      </c>
      <c r="H427" s="2">
        <f t="shared" si="5"/>
        <v>0</v>
      </c>
      <c r="I427" s="3">
        <f t="shared" si="6"/>
        <v>0</v>
      </c>
      <c r="J427" s="3">
        <f t="shared" si="7"/>
        <v>0</v>
      </c>
      <c r="K427" s="3"/>
      <c r="L427" s="3">
        <f t="shared" si="8"/>
        <v>452.4348887</v>
      </c>
      <c r="M427" s="9">
        <f t="shared" si="9"/>
        <v>452.0734855</v>
      </c>
      <c r="N427" s="9">
        <f t="shared" si="10"/>
        <v>0.3614032172</v>
      </c>
      <c r="O427" s="3"/>
      <c r="P427" s="3"/>
      <c r="Q427" s="3"/>
      <c r="R427" s="2"/>
      <c r="S427" s="9">
        <f t="shared" si="13"/>
        <v>0.3318751767</v>
      </c>
      <c r="W427" s="3"/>
      <c r="X427" s="3"/>
      <c r="Y427" s="3"/>
      <c r="Z427" s="3"/>
      <c r="AA427" s="3"/>
      <c r="AB427" s="3"/>
      <c r="AC427" s="3"/>
    </row>
    <row r="428">
      <c r="A428" s="1">
        <v>416.0</v>
      </c>
      <c r="B428" s="2">
        <v>1.42120434782608E9</v>
      </c>
      <c r="C428" s="2">
        <v>-102.2615128</v>
      </c>
      <c r="D428" s="3">
        <f t="shared" si="1"/>
        <v>804347.8261</v>
      </c>
      <c r="E428" s="4">
        <f t="shared" si="2"/>
        <v>-170.8030806</v>
      </c>
      <c r="F428" s="3">
        <f t="shared" si="16"/>
        <v>0.0002123497759</v>
      </c>
      <c r="G428" s="3">
        <f t="shared" si="4"/>
        <v>0</v>
      </c>
      <c r="H428" s="2">
        <f t="shared" si="5"/>
        <v>0</v>
      </c>
      <c r="I428" s="3">
        <f t="shared" si="6"/>
        <v>0</v>
      </c>
      <c r="J428" s="3">
        <f t="shared" si="7"/>
        <v>0</v>
      </c>
      <c r="K428" s="3"/>
      <c r="L428" s="3">
        <f t="shared" si="8"/>
        <v>451.80901</v>
      </c>
      <c r="M428" s="9">
        <f t="shared" si="9"/>
        <v>451.9192933</v>
      </c>
      <c r="N428" s="9">
        <f t="shared" si="10"/>
        <v>-0.1102833223</v>
      </c>
      <c r="O428" s="3"/>
      <c r="P428" s="3"/>
      <c r="Q428" s="3"/>
      <c r="R428" s="2"/>
      <c r="S428" s="9">
        <f t="shared" si="13"/>
        <v>-0.1012727484</v>
      </c>
      <c r="W428" s="3"/>
      <c r="X428" s="3"/>
      <c r="Y428" s="3"/>
      <c r="Z428" s="3"/>
      <c r="AA428" s="3"/>
      <c r="AB428" s="3"/>
      <c r="AC428" s="3"/>
    </row>
    <row r="429">
      <c r="A429" s="1">
        <v>417.0</v>
      </c>
      <c r="B429" s="2">
        <v>1.42120869565217E9</v>
      </c>
      <c r="C429" s="2">
        <v>-102.2638092</v>
      </c>
      <c r="D429" s="3">
        <f t="shared" si="1"/>
        <v>808695.6522</v>
      </c>
      <c r="E429" s="4">
        <f t="shared" si="2"/>
        <v>-171.7213767</v>
      </c>
      <c r="F429" s="3">
        <f t="shared" si="16"/>
        <v>0.0002123436379</v>
      </c>
      <c r="G429" s="3">
        <f t="shared" si="4"/>
        <v>0</v>
      </c>
      <c r="H429" s="2">
        <f t="shared" si="5"/>
        <v>0</v>
      </c>
      <c r="I429" s="3">
        <f t="shared" si="6"/>
        <v>0</v>
      </c>
      <c r="J429" s="3">
        <f t="shared" si="7"/>
        <v>0</v>
      </c>
      <c r="K429" s="3"/>
      <c r="L429" s="3">
        <f t="shared" si="8"/>
        <v>451.5701721</v>
      </c>
      <c r="M429" s="9">
        <f t="shared" si="9"/>
        <v>451.764813</v>
      </c>
      <c r="N429" s="9">
        <f t="shared" si="10"/>
        <v>-0.1946409451</v>
      </c>
      <c r="O429" s="3"/>
      <c r="P429" s="3"/>
      <c r="Q429" s="3"/>
      <c r="R429" s="2"/>
      <c r="S429" s="9">
        <f t="shared" si="13"/>
        <v>-0.1787380268</v>
      </c>
      <c r="W429" s="3"/>
      <c r="X429" s="3"/>
      <c r="Y429" s="3"/>
      <c r="Z429" s="3"/>
      <c r="AA429" s="3"/>
      <c r="AB429" s="3"/>
      <c r="AC429" s="3"/>
    </row>
    <row r="430">
      <c r="A430" s="1">
        <v>418.0</v>
      </c>
      <c r="B430" s="2">
        <v>1.42121304347826E9</v>
      </c>
      <c r="C430" s="2">
        <v>-102.2593307</v>
      </c>
      <c r="D430" s="3">
        <f t="shared" si="1"/>
        <v>813043.4783</v>
      </c>
      <c r="E430" s="4">
        <f t="shared" si="2"/>
        <v>-172.6396728</v>
      </c>
      <c r="F430" s="3">
        <f t="shared" si="16"/>
        <v>0.0002123375655</v>
      </c>
      <c r="G430" s="3">
        <f t="shared" si="4"/>
        <v>0</v>
      </c>
      <c r="H430" s="2">
        <f t="shared" si="5"/>
        <v>0</v>
      </c>
      <c r="I430" s="3">
        <f t="shared" si="6"/>
        <v>0</v>
      </c>
      <c r="J430" s="3">
        <f t="shared" si="7"/>
        <v>0</v>
      </c>
      <c r="K430" s="3"/>
      <c r="L430" s="3">
        <f t="shared" si="8"/>
        <v>452.0360771</v>
      </c>
      <c r="M430" s="9">
        <f t="shared" si="9"/>
        <v>451.6100442</v>
      </c>
      <c r="N430" s="9">
        <f t="shared" si="10"/>
        <v>0.4260329217</v>
      </c>
      <c r="O430" s="3"/>
      <c r="P430" s="3"/>
      <c r="Q430" s="3"/>
      <c r="R430" s="2"/>
      <c r="S430" s="9">
        <f t="shared" si="13"/>
        <v>0.3912243845</v>
      </c>
      <c r="W430" s="3"/>
      <c r="X430" s="3"/>
      <c r="Y430" s="3"/>
      <c r="Z430" s="3"/>
      <c r="AA430" s="3"/>
      <c r="AB430" s="3"/>
      <c r="AC430" s="3"/>
    </row>
    <row r="431">
      <c r="A431" s="1">
        <v>419.0</v>
      </c>
      <c r="B431" s="2">
        <v>1.42121739130434E9</v>
      </c>
      <c r="C431" s="2">
        <v>-102.2392578</v>
      </c>
      <c r="D431" s="3">
        <f t="shared" si="1"/>
        <v>817391.3043</v>
      </c>
      <c r="E431" s="4">
        <f t="shared" si="2"/>
        <v>-173.557969</v>
      </c>
      <c r="F431" s="3">
        <f t="shared" si="16"/>
        <v>0.0002123315578</v>
      </c>
      <c r="G431" s="3">
        <f t="shared" si="4"/>
        <v>0</v>
      </c>
      <c r="H431" s="2">
        <f t="shared" si="5"/>
        <v>0</v>
      </c>
      <c r="I431" s="3">
        <f t="shared" si="6"/>
        <v>0</v>
      </c>
      <c r="J431" s="3">
        <f t="shared" si="7"/>
        <v>0</v>
      </c>
      <c r="K431" s="3"/>
      <c r="L431" s="3">
        <f t="shared" si="8"/>
        <v>454.1302038</v>
      </c>
      <c r="M431" s="9">
        <f t="shared" si="9"/>
        <v>451.4549867</v>
      </c>
      <c r="N431" s="9">
        <f t="shared" si="10"/>
        <v>2.67521712</v>
      </c>
      <c r="O431" s="3"/>
      <c r="P431" s="3"/>
      <c r="Q431" s="3"/>
      <c r="R431" s="2"/>
      <c r="S431" s="9">
        <f t="shared" si="13"/>
        <v>2.456641536</v>
      </c>
      <c r="W431" s="3"/>
      <c r="X431" s="3"/>
      <c r="Y431" s="3"/>
      <c r="Z431" s="3"/>
      <c r="AA431" s="3"/>
      <c r="AB431" s="3"/>
      <c r="AC431" s="3"/>
    </row>
    <row r="432">
      <c r="A432" s="1">
        <v>420.0</v>
      </c>
      <c r="B432" s="2">
        <v>1.42122173913043E9</v>
      </c>
      <c r="C432" s="2">
        <v>-102.255867</v>
      </c>
      <c r="D432" s="3">
        <f t="shared" si="1"/>
        <v>821739.1304</v>
      </c>
      <c r="E432" s="4">
        <f t="shared" si="2"/>
        <v>-174.4762651</v>
      </c>
      <c r="F432" s="3">
        <f t="shared" si="16"/>
        <v>0.0002123256136</v>
      </c>
      <c r="G432" s="3">
        <f t="shared" si="4"/>
        <v>0</v>
      </c>
      <c r="H432" s="2">
        <f t="shared" si="5"/>
        <v>0</v>
      </c>
      <c r="I432" s="3">
        <f t="shared" si="6"/>
        <v>0</v>
      </c>
      <c r="J432" s="3">
        <f t="shared" si="7"/>
        <v>0</v>
      </c>
      <c r="K432" s="3"/>
      <c r="L432" s="3">
        <f t="shared" si="8"/>
        <v>452.3967407</v>
      </c>
      <c r="M432" s="9">
        <f t="shared" si="9"/>
        <v>451.2996399</v>
      </c>
      <c r="N432" s="9">
        <f t="shared" si="10"/>
        <v>1.09710075</v>
      </c>
      <c r="O432" s="3"/>
      <c r="P432" s="3"/>
      <c r="Q432" s="3"/>
      <c r="R432" s="2"/>
      <c r="S432" s="9">
        <f t="shared" si="13"/>
        <v>1.007463374</v>
      </c>
      <c r="W432" s="3"/>
      <c r="X432" s="3"/>
      <c r="Y432" s="3"/>
      <c r="Z432" s="3"/>
      <c r="AA432" s="3"/>
      <c r="AB432" s="3"/>
      <c r="AC432" s="3"/>
    </row>
    <row r="433">
      <c r="A433" s="1">
        <v>421.0</v>
      </c>
      <c r="B433" s="2">
        <v>1.42122608695652E9</v>
      </c>
      <c r="C433" s="2">
        <v>-102.3041458</v>
      </c>
      <c r="D433" s="3">
        <f t="shared" si="1"/>
        <v>826086.9565</v>
      </c>
      <c r="E433" s="4">
        <f t="shared" si="2"/>
        <v>-175.3945612</v>
      </c>
      <c r="F433" s="3">
        <f t="shared" si="16"/>
        <v>0.000212319732</v>
      </c>
      <c r="G433" s="3">
        <f t="shared" si="4"/>
        <v>0</v>
      </c>
      <c r="H433" s="2">
        <f t="shared" si="5"/>
        <v>0</v>
      </c>
      <c r="I433" s="3">
        <f t="shared" si="6"/>
        <v>0</v>
      </c>
      <c r="J433" s="3">
        <f t="shared" si="7"/>
        <v>0</v>
      </c>
      <c r="K433" s="3"/>
      <c r="L433" s="3">
        <f t="shared" si="8"/>
        <v>447.3954751</v>
      </c>
      <c r="M433" s="9">
        <f t="shared" si="9"/>
        <v>451.1440038</v>
      </c>
      <c r="N433" s="9">
        <f t="shared" si="10"/>
        <v>-3.748528678</v>
      </c>
      <c r="O433" s="3"/>
      <c r="P433" s="3"/>
      <c r="Q433" s="3"/>
      <c r="R433" s="2"/>
      <c r="S433" s="9">
        <f t="shared" si="13"/>
        <v>-3.442259389</v>
      </c>
      <c r="W433" s="3"/>
      <c r="X433" s="3"/>
      <c r="Y433" s="3"/>
      <c r="Z433" s="3"/>
      <c r="AA433" s="3"/>
      <c r="AB433" s="3"/>
      <c r="AC433" s="3"/>
    </row>
    <row r="434">
      <c r="A434" s="1">
        <v>422.0</v>
      </c>
      <c r="B434" s="2">
        <v>1.4212304347826E9</v>
      </c>
      <c r="C434" s="2">
        <v>-102.3316116</v>
      </c>
      <c r="D434" s="3">
        <f t="shared" si="1"/>
        <v>830434.7826</v>
      </c>
      <c r="E434" s="4">
        <f t="shared" si="2"/>
        <v>-176.3128574</v>
      </c>
      <c r="F434" s="3">
        <f t="shared" si="16"/>
        <v>0.000212313912</v>
      </c>
      <c r="G434" s="3">
        <f t="shared" si="4"/>
        <v>0</v>
      </c>
      <c r="H434" s="2">
        <f t="shared" si="5"/>
        <v>0</v>
      </c>
      <c r="I434" s="3">
        <f t="shared" si="6"/>
        <v>0</v>
      </c>
      <c r="J434" s="3">
        <f t="shared" si="7"/>
        <v>0</v>
      </c>
      <c r="K434" s="3"/>
      <c r="L434" s="3">
        <f t="shared" si="8"/>
        <v>444.5749695</v>
      </c>
      <c r="M434" s="9">
        <f t="shared" si="9"/>
        <v>450.9880778</v>
      </c>
      <c r="N434" s="9">
        <f t="shared" si="10"/>
        <v>-6.413108281</v>
      </c>
      <c r="O434" s="3"/>
      <c r="P434" s="3"/>
      <c r="Q434" s="3"/>
      <c r="R434" s="2"/>
      <c r="S434" s="9">
        <f t="shared" si="13"/>
        <v>-5.889132533</v>
      </c>
      <c r="W434" s="3"/>
      <c r="X434" s="3"/>
      <c r="Y434" s="3"/>
      <c r="Z434" s="3"/>
      <c r="AA434" s="3"/>
      <c r="AB434" s="3"/>
      <c r="AC434" s="3"/>
    </row>
    <row r="435">
      <c r="A435" s="1">
        <v>423.0</v>
      </c>
      <c r="B435" s="2">
        <v>1.42123478260869E9</v>
      </c>
      <c r="C435" s="2">
        <v>-102.256691</v>
      </c>
      <c r="D435" s="3">
        <f t="shared" si="1"/>
        <v>834782.6087</v>
      </c>
      <c r="E435" s="4">
        <f t="shared" si="2"/>
        <v>-177.2311535</v>
      </c>
      <c r="F435" s="3">
        <f t="shared" si="16"/>
        <v>0.0002123081526</v>
      </c>
      <c r="G435" s="3">
        <f t="shared" si="4"/>
        <v>0</v>
      </c>
      <c r="H435" s="2">
        <f t="shared" si="5"/>
        <v>0</v>
      </c>
      <c r="I435" s="3">
        <f t="shared" si="6"/>
        <v>0</v>
      </c>
      <c r="J435" s="3">
        <f t="shared" si="7"/>
        <v>0</v>
      </c>
      <c r="K435" s="3"/>
      <c r="L435" s="3">
        <f t="shared" si="8"/>
        <v>452.3109142</v>
      </c>
      <c r="M435" s="9">
        <f t="shared" si="9"/>
        <v>450.8318617</v>
      </c>
      <c r="N435" s="9">
        <f t="shared" si="10"/>
        <v>1.479052558</v>
      </c>
      <c r="O435" s="3"/>
      <c r="P435" s="3"/>
      <c r="Q435" s="3"/>
      <c r="R435" s="2"/>
      <c r="S435" s="9">
        <f t="shared" si="13"/>
        <v>1.358208244</v>
      </c>
      <c r="W435" s="3"/>
      <c r="X435" s="3"/>
      <c r="Y435" s="3"/>
      <c r="Z435" s="3"/>
      <c r="AA435" s="3"/>
      <c r="AB435" s="3"/>
      <c r="AC435" s="3"/>
    </row>
    <row r="436">
      <c r="A436" s="1">
        <v>424.0</v>
      </c>
      <c r="B436" s="2">
        <v>1.42123913043478E9</v>
      </c>
      <c r="C436" s="2">
        <v>-102.2613297</v>
      </c>
      <c r="D436" s="3">
        <f t="shared" si="1"/>
        <v>839130.4348</v>
      </c>
      <c r="E436" s="4">
        <f t="shared" si="2"/>
        <v>-178.1494496</v>
      </c>
      <c r="F436" s="3">
        <f t="shared" si="16"/>
        <v>0.0002123024529</v>
      </c>
      <c r="G436" s="3">
        <f t="shared" si="4"/>
        <v>0</v>
      </c>
      <c r="H436" s="2">
        <f t="shared" si="5"/>
        <v>0</v>
      </c>
      <c r="I436" s="3">
        <f t="shared" si="6"/>
        <v>0</v>
      </c>
      <c r="J436" s="3">
        <f t="shared" si="7"/>
        <v>0</v>
      </c>
      <c r="K436" s="3"/>
      <c r="L436" s="3">
        <f t="shared" si="8"/>
        <v>451.8280588</v>
      </c>
      <c r="M436" s="9">
        <f t="shared" si="9"/>
        <v>450.6753551</v>
      </c>
      <c r="N436" s="9">
        <f t="shared" si="10"/>
        <v>1.152703701</v>
      </c>
      <c r="O436" s="3"/>
      <c r="P436" s="3"/>
      <c r="Q436" s="3"/>
      <c r="R436" s="2"/>
      <c r="S436" s="9">
        <f t="shared" si="13"/>
        <v>1.058523348</v>
      </c>
      <c r="W436" s="3"/>
      <c r="X436" s="3"/>
      <c r="Y436" s="3"/>
      <c r="Z436" s="3"/>
      <c r="AA436" s="3"/>
      <c r="AB436" s="3"/>
      <c r="AC436" s="3"/>
    </row>
    <row r="437">
      <c r="A437" s="1">
        <v>425.0</v>
      </c>
      <c r="B437" s="2">
        <v>1.42124347826087E9</v>
      </c>
      <c r="C437" s="2">
        <v>-102.2406387</v>
      </c>
      <c r="D437" s="3">
        <f t="shared" si="1"/>
        <v>843478.2609</v>
      </c>
      <c r="E437" s="4">
        <f t="shared" si="2"/>
        <v>-179.0677458</v>
      </c>
      <c r="F437" s="3">
        <f t="shared" si="16"/>
        <v>0.000212296812</v>
      </c>
      <c r="G437" s="3">
        <f t="shared" si="4"/>
        <v>0</v>
      </c>
      <c r="H437" s="2">
        <f t="shared" si="5"/>
        <v>0</v>
      </c>
      <c r="I437" s="3">
        <f t="shared" si="6"/>
        <v>0</v>
      </c>
      <c r="J437" s="3">
        <f t="shared" si="7"/>
        <v>0</v>
      </c>
      <c r="K437" s="3"/>
      <c r="L437" s="3">
        <f t="shared" si="8"/>
        <v>453.9858297</v>
      </c>
      <c r="M437" s="9">
        <f t="shared" si="9"/>
        <v>450.5185577</v>
      </c>
      <c r="N437" s="9">
        <f t="shared" si="10"/>
        <v>3.467271965</v>
      </c>
      <c r="O437" s="3"/>
      <c r="P437" s="3"/>
      <c r="Q437" s="3"/>
      <c r="R437" s="2"/>
      <c r="S437" s="9">
        <f t="shared" si="13"/>
        <v>3.183982437</v>
      </c>
      <c r="W437" s="3"/>
      <c r="X437" s="3"/>
      <c r="Y437" s="3"/>
      <c r="Z437" s="3"/>
      <c r="AA437" s="3"/>
      <c r="AB437" s="3"/>
      <c r="AC437" s="3"/>
    </row>
    <row r="438">
      <c r="A438" s="1">
        <v>426.0</v>
      </c>
      <c r="B438" s="2">
        <v>1.42124782608695E9</v>
      </c>
      <c r="C438" s="2">
        <v>-102.2686462</v>
      </c>
      <c r="D438" s="3">
        <f t="shared" si="1"/>
        <v>847826.087</v>
      </c>
      <c r="E438" s="4">
        <f t="shared" si="2"/>
        <v>-179.9860419</v>
      </c>
      <c r="F438" s="3">
        <f t="shared" si="16"/>
        <v>0.0002122912289</v>
      </c>
      <c r="G438" s="3">
        <f t="shared" si="4"/>
        <v>0</v>
      </c>
      <c r="H438" s="2">
        <f t="shared" si="5"/>
        <v>0</v>
      </c>
      <c r="I438" s="3">
        <f t="shared" si="6"/>
        <v>0</v>
      </c>
      <c r="J438" s="3">
        <f t="shared" si="7"/>
        <v>0</v>
      </c>
      <c r="K438" s="3"/>
      <c r="L438" s="3">
        <f t="shared" si="8"/>
        <v>451.067511</v>
      </c>
      <c r="M438" s="9">
        <f t="shared" si="9"/>
        <v>450.3614692</v>
      </c>
      <c r="N438" s="9">
        <f t="shared" si="10"/>
        <v>0.7060418541</v>
      </c>
      <c r="O438" s="3"/>
      <c r="P438" s="3"/>
      <c r="Q438" s="3"/>
      <c r="R438" s="2"/>
      <c r="S438" s="9">
        <f t="shared" si="13"/>
        <v>0.6483555042</v>
      </c>
      <c r="W438" s="3"/>
      <c r="X438" s="3"/>
      <c r="Y438" s="3"/>
      <c r="Z438" s="3"/>
      <c r="AA438" s="3"/>
      <c r="AB438" s="3"/>
      <c r="AC438" s="3"/>
    </row>
    <row r="439">
      <c r="A439" s="1">
        <v>427.0</v>
      </c>
      <c r="B439" s="2">
        <v>1.42125217391304E9</v>
      </c>
      <c r="C439" s="2">
        <v>-102.2519073</v>
      </c>
      <c r="D439" s="3">
        <f t="shared" si="1"/>
        <v>852173.913</v>
      </c>
      <c r="E439" s="4">
        <f t="shared" si="2"/>
        <v>-180.904338</v>
      </c>
      <c r="F439" s="3">
        <f t="shared" si="16"/>
        <v>0.0002122857028</v>
      </c>
      <c r="G439" s="3">
        <f t="shared" si="4"/>
        <v>0</v>
      </c>
      <c r="H439" s="2">
        <f t="shared" si="5"/>
        <v>0</v>
      </c>
      <c r="I439" s="3">
        <f t="shared" si="6"/>
        <v>0</v>
      </c>
      <c r="J439" s="3">
        <f t="shared" si="7"/>
        <v>0</v>
      </c>
      <c r="K439" s="3"/>
      <c r="L439" s="3">
        <f t="shared" si="8"/>
        <v>452.8094036</v>
      </c>
      <c r="M439" s="9">
        <f t="shared" si="9"/>
        <v>450.2040892</v>
      </c>
      <c r="N439" s="9">
        <f t="shared" si="10"/>
        <v>2.605314412</v>
      </c>
      <c r="O439" s="3"/>
      <c r="P439" s="3"/>
      <c r="Q439" s="3"/>
      <c r="R439" s="2"/>
      <c r="S439" s="9">
        <f t="shared" si="13"/>
        <v>2.392450144</v>
      </c>
      <c r="W439" s="3"/>
      <c r="X439" s="3"/>
      <c r="Y439" s="3"/>
      <c r="Z439" s="3"/>
      <c r="AA439" s="3"/>
      <c r="AB439" s="3"/>
      <c r="AC439" s="3"/>
    </row>
    <row r="440">
      <c r="A440" s="1">
        <v>428.0</v>
      </c>
      <c r="B440" s="2">
        <v>1.42125652173913E9</v>
      </c>
      <c r="C440" s="2">
        <v>-102.3352661</v>
      </c>
      <c r="D440" s="3">
        <f t="shared" si="1"/>
        <v>856521.7391</v>
      </c>
      <c r="E440" s="4">
        <f t="shared" si="2"/>
        <v>-181.8226342</v>
      </c>
      <c r="F440" s="3">
        <f t="shared" si="16"/>
        <v>0.0002122802328</v>
      </c>
      <c r="G440" s="3">
        <f t="shared" si="4"/>
        <v>0</v>
      </c>
      <c r="H440" s="2">
        <f t="shared" si="5"/>
        <v>0</v>
      </c>
      <c r="I440" s="3">
        <f t="shared" si="6"/>
        <v>0</v>
      </c>
      <c r="J440" s="3">
        <f t="shared" si="7"/>
        <v>0</v>
      </c>
      <c r="K440" s="3"/>
      <c r="L440" s="3">
        <f t="shared" si="8"/>
        <v>444.201026</v>
      </c>
      <c r="M440" s="9">
        <f t="shared" si="9"/>
        <v>450.0464174</v>
      </c>
      <c r="N440" s="9">
        <f t="shared" si="10"/>
        <v>-5.845391347</v>
      </c>
      <c r="O440" s="3"/>
      <c r="P440" s="3"/>
      <c r="Q440" s="3"/>
      <c r="R440" s="2"/>
      <c r="S440" s="9">
        <f t="shared" si="13"/>
        <v>-5.367800268</v>
      </c>
      <c r="W440" s="3"/>
      <c r="X440" s="3"/>
      <c r="Y440" s="3"/>
      <c r="Z440" s="3"/>
      <c r="AA440" s="3"/>
      <c r="AB440" s="3"/>
      <c r="AC440" s="3"/>
    </row>
    <row r="441">
      <c r="A441" s="1">
        <v>429.0</v>
      </c>
      <c r="B441" s="2">
        <v>1.42126086956521E9</v>
      </c>
      <c r="C441" s="2">
        <v>-102.2844467</v>
      </c>
      <c r="D441" s="3">
        <f t="shared" si="1"/>
        <v>860869.5652</v>
      </c>
      <c r="E441" s="4">
        <f t="shared" si="2"/>
        <v>-182.7409303</v>
      </c>
      <c r="F441" s="3">
        <f t="shared" si="16"/>
        <v>0.000212274818</v>
      </c>
      <c r="G441" s="3">
        <f t="shared" si="4"/>
        <v>0</v>
      </c>
      <c r="H441" s="2">
        <f t="shared" si="5"/>
        <v>0</v>
      </c>
      <c r="I441" s="3">
        <f t="shared" si="6"/>
        <v>0</v>
      </c>
      <c r="J441" s="3">
        <f t="shared" si="7"/>
        <v>0</v>
      </c>
      <c r="K441" s="3"/>
      <c r="L441" s="3">
        <f t="shared" si="8"/>
        <v>449.4294191</v>
      </c>
      <c r="M441" s="9">
        <f t="shared" si="9"/>
        <v>449.8884535</v>
      </c>
      <c r="N441" s="9">
        <f t="shared" si="10"/>
        <v>-0.4590343736</v>
      </c>
      <c r="O441" s="3"/>
      <c r="P441" s="3"/>
      <c r="Q441" s="3"/>
      <c r="R441" s="2"/>
      <c r="S441" s="9">
        <f t="shared" si="13"/>
        <v>-0.4215294901</v>
      </c>
      <c r="W441" s="3"/>
      <c r="X441" s="3"/>
      <c r="Y441" s="3"/>
      <c r="Z441" s="3"/>
      <c r="AA441" s="3"/>
      <c r="AB441" s="3"/>
      <c r="AC441" s="3"/>
    </row>
    <row r="442">
      <c r="A442" s="1">
        <v>430.0</v>
      </c>
      <c r="B442" s="2">
        <v>1.4212652173913E9</v>
      </c>
      <c r="C442" s="2">
        <v>-102.2818069</v>
      </c>
      <c r="D442" s="3">
        <f t="shared" si="1"/>
        <v>865217.3913</v>
      </c>
      <c r="E442" s="4">
        <f t="shared" si="2"/>
        <v>-183.6592264</v>
      </c>
      <c r="F442" s="3">
        <f t="shared" si="16"/>
        <v>0.0002122694577</v>
      </c>
      <c r="G442" s="3">
        <f t="shared" si="4"/>
        <v>0</v>
      </c>
      <c r="H442" s="2">
        <f t="shared" si="5"/>
        <v>0</v>
      </c>
      <c r="I442" s="3">
        <f t="shared" si="6"/>
        <v>0</v>
      </c>
      <c r="J442" s="3">
        <f t="shared" si="7"/>
        <v>0</v>
      </c>
      <c r="K442" s="3"/>
      <c r="L442" s="3">
        <f t="shared" si="8"/>
        <v>449.7026817</v>
      </c>
      <c r="M442" s="9">
        <f t="shared" si="9"/>
        <v>449.730197</v>
      </c>
      <c r="N442" s="9">
        <f t="shared" si="10"/>
        <v>-0.0275153499</v>
      </c>
      <c r="O442" s="3"/>
      <c r="P442" s="3"/>
      <c r="Q442" s="3"/>
      <c r="R442" s="2"/>
      <c r="S442" s="9">
        <f t="shared" si="13"/>
        <v>-0.02526723935</v>
      </c>
      <c r="W442" s="3"/>
      <c r="X442" s="3"/>
      <c r="Y442" s="3"/>
      <c r="Z442" s="3"/>
      <c r="AA442" s="3"/>
      <c r="AB442" s="3"/>
      <c r="AC442" s="3"/>
    </row>
    <row r="443">
      <c r="A443" s="1">
        <v>431.0</v>
      </c>
      <c r="B443" s="2">
        <v>1.42126956521739E9</v>
      </c>
      <c r="C443" s="2">
        <v>-102.3400192</v>
      </c>
      <c r="D443" s="3">
        <f t="shared" si="1"/>
        <v>869565.2174</v>
      </c>
      <c r="E443" s="4">
        <f t="shared" si="2"/>
        <v>-184.5775226</v>
      </c>
      <c r="F443" s="3">
        <f t="shared" si="16"/>
        <v>0.0002122641509</v>
      </c>
      <c r="G443" s="3">
        <f t="shared" si="4"/>
        <v>0</v>
      </c>
      <c r="H443" s="2">
        <f t="shared" si="5"/>
        <v>0</v>
      </c>
      <c r="I443" s="3">
        <f t="shared" si="6"/>
        <v>0</v>
      </c>
      <c r="J443" s="3">
        <f t="shared" si="7"/>
        <v>0</v>
      </c>
      <c r="K443" s="3"/>
      <c r="L443" s="3">
        <f t="shared" si="8"/>
        <v>443.7151398</v>
      </c>
      <c r="M443" s="9">
        <f t="shared" si="9"/>
        <v>449.5716478</v>
      </c>
      <c r="N443" s="9">
        <f t="shared" si="10"/>
        <v>-5.856507963</v>
      </c>
      <c r="O443" s="3"/>
      <c r="P443" s="3"/>
      <c r="Q443" s="3"/>
      <c r="R443" s="2"/>
      <c r="S443" s="9">
        <f t="shared" si="13"/>
        <v>-5.378008614</v>
      </c>
      <c r="W443" s="3"/>
      <c r="X443" s="3"/>
      <c r="Y443" s="3"/>
      <c r="Z443" s="3"/>
      <c r="AA443" s="3"/>
      <c r="AB443" s="3"/>
      <c r="AC443" s="3"/>
    </row>
    <row r="444">
      <c r="A444" s="1">
        <v>432.0</v>
      </c>
      <c r="B444" s="2">
        <v>1.42127391304347E9</v>
      </c>
      <c r="C444" s="2">
        <v>-102.3064957</v>
      </c>
      <c r="D444" s="3">
        <f t="shared" si="1"/>
        <v>873913.0435</v>
      </c>
      <c r="E444" s="4">
        <f t="shared" si="2"/>
        <v>-185.4958187</v>
      </c>
      <c r="F444" s="3">
        <f t="shared" si="16"/>
        <v>0.000212258897</v>
      </c>
      <c r="G444" s="3">
        <f t="shared" si="4"/>
        <v>0</v>
      </c>
      <c r="H444" s="2">
        <f t="shared" si="5"/>
        <v>0</v>
      </c>
      <c r="I444" s="3">
        <f t="shared" si="6"/>
        <v>0</v>
      </c>
      <c r="J444" s="3">
        <f t="shared" si="7"/>
        <v>0</v>
      </c>
      <c r="K444" s="3"/>
      <c r="L444" s="3">
        <f t="shared" si="8"/>
        <v>447.1534618</v>
      </c>
      <c r="M444" s="9">
        <f t="shared" si="9"/>
        <v>449.4128054</v>
      </c>
      <c r="N444" s="9">
        <f t="shared" si="10"/>
        <v>-2.259343613</v>
      </c>
      <c r="O444" s="3"/>
      <c r="P444" s="3"/>
      <c r="Q444" s="3"/>
      <c r="R444" s="2"/>
      <c r="S444" s="9">
        <f t="shared" si="13"/>
        <v>-2.074746502</v>
      </c>
      <c r="W444" s="3"/>
      <c r="X444" s="3"/>
      <c r="Y444" s="3"/>
      <c r="Z444" s="3"/>
      <c r="AA444" s="3"/>
      <c r="AB444" s="3"/>
      <c r="AC444" s="3"/>
    </row>
    <row r="445">
      <c r="A445" s="1">
        <v>433.0</v>
      </c>
      <c r="B445" s="2">
        <v>1.42127826086956E9</v>
      </c>
      <c r="C445" s="2">
        <v>-102.2952881</v>
      </c>
      <c r="D445" s="3">
        <f t="shared" si="1"/>
        <v>878260.8696</v>
      </c>
      <c r="E445" s="4">
        <f t="shared" si="2"/>
        <v>-186.4141148</v>
      </c>
      <c r="F445" s="3">
        <f t="shared" si="16"/>
        <v>0.0002122536951</v>
      </c>
      <c r="G445" s="3">
        <f t="shared" si="4"/>
        <v>0</v>
      </c>
      <c r="H445" s="2">
        <f t="shared" si="5"/>
        <v>0</v>
      </c>
      <c r="I445" s="3">
        <f t="shared" si="6"/>
        <v>0</v>
      </c>
      <c r="J445" s="3">
        <f t="shared" si="7"/>
        <v>0</v>
      </c>
      <c r="K445" s="3"/>
      <c r="L445" s="3">
        <f t="shared" si="8"/>
        <v>448.3088965</v>
      </c>
      <c r="M445" s="9">
        <f t="shared" si="9"/>
        <v>449.2536696</v>
      </c>
      <c r="N445" s="9">
        <f t="shared" si="10"/>
        <v>-0.9447730608</v>
      </c>
      <c r="O445" s="3"/>
      <c r="P445" s="3"/>
      <c r="Q445" s="3"/>
      <c r="R445" s="2"/>
      <c r="S445" s="9">
        <f t="shared" si="13"/>
        <v>-0.867581446</v>
      </c>
      <c r="W445" s="3"/>
      <c r="X445" s="3"/>
      <c r="Y445" s="3"/>
      <c r="Z445" s="3"/>
      <c r="AA445" s="3"/>
      <c r="AB445" s="3"/>
      <c r="AC445" s="3"/>
    </row>
    <row r="446">
      <c r="A446" s="1">
        <v>434.0</v>
      </c>
      <c r="B446" s="2">
        <v>1.42128260869565E9</v>
      </c>
      <c r="C446" s="2">
        <v>-102.2567444</v>
      </c>
      <c r="D446" s="3">
        <f t="shared" si="1"/>
        <v>882608.6957</v>
      </c>
      <c r="E446" s="4">
        <f t="shared" si="2"/>
        <v>-187.332411</v>
      </c>
      <c r="F446" s="3">
        <f t="shared" si="16"/>
        <v>0.0002122485444</v>
      </c>
      <c r="G446" s="3">
        <f t="shared" si="4"/>
        <v>0</v>
      </c>
      <c r="H446" s="2">
        <f t="shared" si="5"/>
        <v>0</v>
      </c>
      <c r="I446" s="3">
        <f t="shared" si="6"/>
        <v>0</v>
      </c>
      <c r="J446" s="3">
        <f t="shared" si="7"/>
        <v>0</v>
      </c>
      <c r="K446" s="3"/>
      <c r="L446" s="3">
        <f t="shared" si="8"/>
        <v>452.3053528</v>
      </c>
      <c r="M446" s="9">
        <f t="shared" si="9"/>
        <v>449.0942399</v>
      </c>
      <c r="N446" s="9">
        <f t="shared" si="10"/>
        <v>3.211112804</v>
      </c>
      <c r="O446" s="3"/>
      <c r="P446" s="3"/>
      <c r="Q446" s="3"/>
      <c r="R446" s="2"/>
      <c r="S446" s="9">
        <f t="shared" si="13"/>
        <v>2.94875247</v>
      </c>
      <c r="W446" s="3"/>
      <c r="X446" s="3"/>
      <c r="Y446" s="3"/>
      <c r="Z446" s="3"/>
      <c r="AA446" s="3"/>
      <c r="AB446" s="3"/>
      <c r="AC446" s="3"/>
    </row>
    <row r="447">
      <c r="A447" s="1">
        <v>435.0</v>
      </c>
      <c r="B447" s="2">
        <v>1.42128695652173E9</v>
      </c>
      <c r="C447" s="2">
        <v>-102.259697</v>
      </c>
      <c r="D447" s="3">
        <f t="shared" si="1"/>
        <v>886956.5217</v>
      </c>
      <c r="E447" s="4">
        <f t="shared" si="2"/>
        <v>-188.2507071</v>
      </c>
      <c r="F447" s="3">
        <f t="shared" si="16"/>
        <v>0.0002122434443</v>
      </c>
      <c r="G447" s="3">
        <f t="shared" si="4"/>
        <v>0</v>
      </c>
      <c r="H447" s="2">
        <f t="shared" si="5"/>
        <v>0</v>
      </c>
      <c r="I447" s="3">
        <f t="shared" si="6"/>
        <v>0</v>
      </c>
      <c r="J447" s="3">
        <f t="shared" si="7"/>
        <v>0</v>
      </c>
      <c r="K447" s="3"/>
      <c r="L447" s="3">
        <f t="shared" si="8"/>
        <v>451.9979524</v>
      </c>
      <c r="M447" s="9">
        <f t="shared" si="9"/>
        <v>448.9345161</v>
      </c>
      <c r="N447" s="9">
        <f t="shared" si="10"/>
        <v>3.063436217</v>
      </c>
      <c r="O447" s="3"/>
      <c r="P447" s="3"/>
      <c r="Q447" s="3"/>
      <c r="R447" s="2"/>
      <c r="S447" s="9">
        <f t="shared" si="13"/>
        <v>2.813141631</v>
      </c>
      <c r="W447" s="3"/>
      <c r="X447" s="3"/>
      <c r="Y447" s="3"/>
      <c r="Z447" s="3"/>
      <c r="AA447" s="3"/>
      <c r="AB447" s="3"/>
      <c r="AC447" s="3"/>
    </row>
    <row r="448">
      <c r="A448" s="1">
        <v>436.0</v>
      </c>
      <c r="B448" s="2">
        <v>1.42129130434782E9</v>
      </c>
      <c r="C448" s="2">
        <v>-102.3288116</v>
      </c>
      <c r="D448" s="3">
        <f t="shared" si="1"/>
        <v>891304.3478</v>
      </c>
      <c r="E448" s="4">
        <f t="shared" si="2"/>
        <v>-189.1690032</v>
      </c>
      <c r="F448" s="3">
        <f t="shared" si="16"/>
        <v>0.0002122383939</v>
      </c>
      <c r="G448" s="3">
        <f t="shared" si="4"/>
        <v>0</v>
      </c>
      <c r="H448" s="2">
        <f t="shared" si="5"/>
        <v>0</v>
      </c>
      <c r="I448" s="3">
        <f t="shared" si="6"/>
        <v>0</v>
      </c>
      <c r="J448" s="3">
        <f t="shared" si="7"/>
        <v>0</v>
      </c>
      <c r="K448" s="3"/>
      <c r="L448" s="3">
        <f t="shared" si="8"/>
        <v>444.86169</v>
      </c>
      <c r="M448" s="9">
        <f t="shared" si="9"/>
        <v>448.7744979</v>
      </c>
      <c r="N448" s="9">
        <f t="shared" si="10"/>
        <v>-3.91280786</v>
      </c>
      <c r="O448" s="3"/>
      <c r="P448" s="3"/>
      <c r="Q448" s="3"/>
      <c r="R448" s="2"/>
      <c r="S448" s="9">
        <f t="shared" si="13"/>
        <v>-3.593116326</v>
      </c>
      <c r="W448" s="3"/>
      <c r="X448" s="3"/>
      <c r="Y448" s="3"/>
      <c r="Z448" s="3"/>
      <c r="AA448" s="3"/>
      <c r="AB448" s="3"/>
      <c r="AC448" s="3"/>
    </row>
    <row r="449">
      <c r="A449" s="1">
        <v>437.0</v>
      </c>
      <c r="B449" s="2">
        <v>1.42129565217391E9</v>
      </c>
      <c r="C449" s="2">
        <v>-102.2602234</v>
      </c>
      <c r="D449" s="3">
        <f t="shared" si="1"/>
        <v>895652.1739</v>
      </c>
      <c r="E449" s="4">
        <f t="shared" si="2"/>
        <v>-190.0872994</v>
      </c>
      <c r="F449" s="3">
        <f t="shared" si="16"/>
        <v>0.0002122333925</v>
      </c>
      <c r="G449" s="3">
        <f t="shared" si="4"/>
        <v>0</v>
      </c>
      <c r="H449" s="2">
        <f t="shared" si="5"/>
        <v>0</v>
      </c>
      <c r="I449" s="3">
        <f t="shared" si="6"/>
        <v>0</v>
      </c>
      <c r="J449" s="3">
        <f t="shared" si="7"/>
        <v>0</v>
      </c>
      <c r="K449" s="3"/>
      <c r="L449" s="3">
        <f t="shared" si="8"/>
        <v>451.9431699</v>
      </c>
      <c r="M449" s="9">
        <f t="shared" si="9"/>
        <v>448.6141848</v>
      </c>
      <c r="N449" s="9">
        <f t="shared" si="10"/>
        <v>3.328985102</v>
      </c>
      <c r="O449" s="3"/>
      <c r="P449" s="3"/>
      <c r="Q449" s="3"/>
      <c r="R449" s="2"/>
      <c r="S449" s="9">
        <f t="shared" si="13"/>
        <v>3.056994138</v>
      </c>
      <c r="W449" s="3"/>
      <c r="X449" s="3"/>
      <c r="Y449" s="3"/>
      <c r="Z449" s="3"/>
      <c r="AA449" s="3"/>
      <c r="AB449" s="3"/>
      <c r="AC449" s="3"/>
    </row>
    <row r="450">
      <c r="A450" s="1">
        <v>438.0</v>
      </c>
      <c r="B450" s="2">
        <v>1.4213E9</v>
      </c>
      <c r="C450" s="2">
        <v>-102.326828</v>
      </c>
      <c r="D450" s="3">
        <f t="shared" si="1"/>
        <v>900000</v>
      </c>
      <c r="E450" s="4">
        <f t="shared" si="2"/>
        <v>-191.0055955</v>
      </c>
      <c r="F450" s="3">
        <f t="shared" si="16"/>
        <v>0.0002122284394</v>
      </c>
      <c r="G450" s="3">
        <f t="shared" si="4"/>
        <v>0</v>
      </c>
      <c r="H450" s="2">
        <f t="shared" si="5"/>
        <v>0</v>
      </c>
      <c r="I450" s="3">
        <f t="shared" si="6"/>
        <v>0</v>
      </c>
      <c r="J450" s="3">
        <f t="shared" si="7"/>
        <v>0</v>
      </c>
      <c r="K450" s="3"/>
      <c r="L450" s="3">
        <f t="shared" si="8"/>
        <v>445.0649229</v>
      </c>
      <c r="M450" s="9">
        <f t="shared" si="9"/>
        <v>448.4535765</v>
      </c>
      <c r="N450" s="9">
        <f t="shared" si="10"/>
        <v>-3.388653649</v>
      </c>
      <c r="O450" s="3"/>
      <c r="P450" s="3"/>
      <c r="Q450" s="3"/>
      <c r="R450" s="2"/>
      <c r="S450" s="9">
        <f t="shared" si="13"/>
        <v>-3.111787541</v>
      </c>
      <c r="W450" s="3"/>
      <c r="X450" s="3"/>
      <c r="Y450" s="3"/>
      <c r="Z450" s="3"/>
      <c r="AA450" s="3"/>
      <c r="AB450" s="3"/>
      <c r="AC450" s="3"/>
    </row>
    <row r="451">
      <c r="A451" s="1">
        <v>439.0</v>
      </c>
      <c r="B451" s="2">
        <v>1.42130434782608E9</v>
      </c>
      <c r="C451" s="2">
        <v>-102.2972946</v>
      </c>
      <c r="D451" s="3">
        <f t="shared" si="1"/>
        <v>904347.8261</v>
      </c>
      <c r="E451" s="4">
        <f t="shared" si="2"/>
        <v>-191.9238916</v>
      </c>
      <c r="F451" s="3">
        <f t="shared" si="16"/>
        <v>0.000212223534</v>
      </c>
      <c r="G451" s="3">
        <f t="shared" si="4"/>
        <v>0</v>
      </c>
      <c r="H451" s="2">
        <f t="shared" si="5"/>
        <v>0</v>
      </c>
      <c r="I451" s="3">
        <f t="shared" si="6"/>
        <v>0</v>
      </c>
      <c r="J451" s="3">
        <f t="shared" si="7"/>
        <v>0</v>
      </c>
      <c r="K451" s="3"/>
      <c r="L451" s="3">
        <f t="shared" si="8"/>
        <v>448.1018195</v>
      </c>
      <c r="M451" s="9">
        <f t="shared" si="9"/>
        <v>448.2926728</v>
      </c>
      <c r="N451" s="9">
        <f t="shared" si="10"/>
        <v>-0.190853295</v>
      </c>
      <c r="O451" s="3"/>
      <c r="P451" s="3"/>
      <c r="Q451" s="3"/>
      <c r="R451" s="2"/>
      <c r="S451" s="9">
        <f t="shared" si="13"/>
        <v>-0.1752598427</v>
      </c>
      <c r="W451" s="3"/>
      <c r="X451" s="3"/>
      <c r="Y451" s="3"/>
      <c r="Z451" s="3"/>
      <c r="AA451" s="3"/>
      <c r="AB451" s="3"/>
      <c r="AC451" s="3"/>
    </row>
    <row r="452">
      <c r="A452" s="1">
        <v>440.0</v>
      </c>
      <c r="B452" s="2">
        <v>1.42130869565217E9</v>
      </c>
      <c r="C452" s="2">
        <v>-102.2635803</v>
      </c>
      <c r="D452" s="3">
        <f t="shared" si="1"/>
        <v>908695.6522</v>
      </c>
      <c r="E452" s="4">
        <f t="shared" si="2"/>
        <v>-192.8421877</v>
      </c>
      <c r="F452" s="3">
        <f t="shared" si="16"/>
        <v>0.0002122186755</v>
      </c>
      <c r="G452" s="3">
        <f t="shared" si="4"/>
        <v>0</v>
      </c>
      <c r="H452" s="2">
        <f t="shared" si="5"/>
        <v>0</v>
      </c>
      <c r="I452" s="3">
        <f t="shared" si="6"/>
        <v>0</v>
      </c>
      <c r="J452" s="3">
        <f t="shared" si="7"/>
        <v>0</v>
      </c>
      <c r="K452" s="3"/>
      <c r="L452" s="3">
        <f t="shared" si="8"/>
        <v>451.5939732</v>
      </c>
      <c r="M452" s="9">
        <f t="shared" si="9"/>
        <v>448.1314733</v>
      </c>
      <c r="N452" s="9">
        <f t="shared" si="10"/>
        <v>3.462499927</v>
      </c>
      <c r="O452" s="3"/>
      <c r="P452" s="3"/>
      <c r="Q452" s="3"/>
      <c r="R452" s="2"/>
      <c r="S452" s="9">
        <f t="shared" si="13"/>
        <v>3.179600285</v>
      </c>
      <c r="W452" s="3"/>
      <c r="X452" s="3"/>
      <c r="Y452" s="3"/>
      <c r="Z452" s="3"/>
      <c r="AA452" s="3"/>
      <c r="AB452" s="3"/>
      <c r="AC452" s="3"/>
    </row>
    <row r="453">
      <c r="A453" s="1">
        <v>441.0</v>
      </c>
      <c r="B453" s="2">
        <v>1.42131304347826E9</v>
      </c>
      <c r="C453" s="2">
        <v>-102.2931137</v>
      </c>
      <c r="D453" s="3">
        <f t="shared" si="1"/>
        <v>913043.4783</v>
      </c>
      <c r="E453" s="4">
        <f t="shared" si="2"/>
        <v>-193.7604839</v>
      </c>
      <c r="F453" s="3">
        <f t="shared" si="16"/>
        <v>0.0002122138633</v>
      </c>
      <c r="G453" s="3">
        <f t="shared" si="4"/>
        <v>0</v>
      </c>
      <c r="H453" s="2">
        <f t="shared" si="5"/>
        <v>0</v>
      </c>
      <c r="I453" s="3">
        <f t="shared" si="6"/>
        <v>0</v>
      </c>
      <c r="J453" s="3">
        <f t="shared" si="7"/>
        <v>0</v>
      </c>
      <c r="K453" s="3"/>
      <c r="L453" s="3">
        <f t="shared" si="8"/>
        <v>448.5334094</v>
      </c>
      <c r="M453" s="9">
        <f t="shared" si="9"/>
        <v>447.9699776</v>
      </c>
      <c r="N453" s="9">
        <f t="shared" si="10"/>
        <v>0.5634317855</v>
      </c>
      <c r="O453" s="3"/>
      <c r="P453" s="3"/>
      <c r="Q453" s="3"/>
      <c r="R453" s="2"/>
      <c r="S453" s="9">
        <f t="shared" si="13"/>
        <v>0.5173972297</v>
      </c>
      <c r="W453" s="3"/>
      <c r="X453" s="3"/>
      <c r="Y453" s="3"/>
      <c r="Z453" s="3"/>
      <c r="AA453" s="3"/>
      <c r="AB453" s="3"/>
      <c r="AC453" s="3"/>
    </row>
    <row r="454">
      <c r="A454" s="1">
        <v>442.0</v>
      </c>
      <c r="B454" s="2">
        <v>1.42131739130434E9</v>
      </c>
      <c r="C454" s="2">
        <v>-102.250679</v>
      </c>
      <c r="D454" s="3">
        <f t="shared" si="1"/>
        <v>917391.3043</v>
      </c>
      <c r="E454" s="4">
        <f t="shared" si="2"/>
        <v>-194.67878</v>
      </c>
      <c r="F454" s="3">
        <f t="shared" si="16"/>
        <v>0.0002122090967</v>
      </c>
      <c r="G454" s="3">
        <f t="shared" si="4"/>
        <v>0</v>
      </c>
      <c r="H454" s="2">
        <f t="shared" si="5"/>
        <v>0</v>
      </c>
      <c r="I454" s="3">
        <f t="shared" si="6"/>
        <v>0</v>
      </c>
      <c r="J454" s="3">
        <f t="shared" si="7"/>
        <v>0</v>
      </c>
      <c r="K454" s="3"/>
      <c r="L454" s="3">
        <f t="shared" si="8"/>
        <v>452.9374882</v>
      </c>
      <c r="M454" s="9">
        <f t="shared" si="9"/>
        <v>447.8081854</v>
      </c>
      <c r="N454" s="9">
        <f t="shared" si="10"/>
        <v>5.12930279</v>
      </c>
      <c r="O454" s="3"/>
      <c r="P454" s="3"/>
      <c r="Q454" s="3"/>
      <c r="R454" s="2"/>
      <c r="S454" s="9">
        <f t="shared" si="13"/>
        <v>4.710218916</v>
      </c>
      <c r="W454" s="3"/>
      <c r="X454" s="3"/>
      <c r="Y454" s="3"/>
      <c r="Z454" s="3"/>
      <c r="AA454" s="3"/>
      <c r="AB454" s="3"/>
      <c r="AC454" s="3"/>
    </row>
    <row r="455">
      <c r="A455" s="1">
        <v>443.0</v>
      </c>
      <c r="B455" s="2">
        <v>1.42132173913043E9</v>
      </c>
      <c r="C455" s="2">
        <v>-102.2828369</v>
      </c>
      <c r="D455" s="3">
        <f t="shared" si="1"/>
        <v>921739.1304</v>
      </c>
      <c r="E455" s="4">
        <f t="shared" si="2"/>
        <v>-195.5970761</v>
      </c>
      <c r="F455" s="3">
        <f t="shared" si="16"/>
        <v>0.0002122043751</v>
      </c>
      <c r="G455" s="3">
        <f t="shared" si="4"/>
        <v>0</v>
      </c>
      <c r="H455" s="2">
        <f t="shared" si="5"/>
        <v>0</v>
      </c>
      <c r="I455" s="3">
        <f t="shared" si="6"/>
        <v>0</v>
      </c>
      <c r="J455" s="3">
        <f t="shared" si="7"/>
        <v>0</v>
      </c>
      <c r="K455" s="3"/>
      <c r="L455" s="3">
        <f t="shared" si="8"/>
        <v>449.59604</v>
      </c>
      <c r="M455" s="9">
        <f t="shared" si="9"/>
        <v>447.6460965</v>
      </c>
      <c r="N455" s="9">
        <f t="shared" si="10"/>
        <v>1.949943568</v>
      </c>
      <c r="O455" s="3"/>
      <c r="P455" s="3"/>
      <c r="Q455" s="3"/>
      <c r="R455" s="2"/>
      <c r="S455" s="9">
        <f t="shared" si="13"/>
        <v>1.790625633</v>
      </c>
      <c r="W455" s="3"/>
      <c r="X455" s="3"/>
      <c r="Y455" s="3"/>
      <c r="Z455" s="3"/>
      <c r="AA455" s="3"/>
      <c r="AB455" s="3"/>
      <c r="AC455" s="3"/>
    </row>
    <row r="456">
      <c r="A456" s="1">
        <v>444.0</v>
      </c>
      <c r="B456" s="2">
        <v>1.42132608695652E9</v>
      </c>
      <c r="C456" s="2">
        <v>-102.3784027</v>
      </c>
      <c r="D456" s="3">
        <f t="shared" si="1"/>
        <v>926086.9565</v>
      </c>
      <c r="E456" s="4">
        <f t="shared" si="2"/>
        <v>-196.5153723</v>
      </c>
      <c r="F456" s="3">
        <f t="shared" si="16"/>
        <v>0.0002121996978</v>
      </c>
      <c r="G456" s="3">
        <f t="shared" si="4"/>
        <v>0</v>
      </c>
      <c r="H456" s="2">
        <f t="shared" si="5"/>
        <v>0</v>
      </c>
      <c r="I456" s="3">
        <f t="shared" si="6"/>
        <v>0</v>
      </c>
      <c r="J456" s="3">
        <f t="shared" si="7"/>
        <v>0</v>
      </c>
      <c r="K456" s="3"/>
      <c r="L456" s="3">
        <f t="shared" si="8"/>
        <v>439.8108078</v>
      </c>
      <c r="M456" s="9">
        <f t="shared" si="9"/>
        <v>447.4837103</v>
      </c>
      <c r="N456" s="9">
        <f t="shared" si="10"/>
        <v>-7.672902546</v>
      </c>
      <c r="O456" s="3"/>
      <c r="P456" s="3"/>
      <c r="Q456" s="3"/>
      <c r="R456" s="2"/>
      <c r="S456" s="9">
        <f t="shared" si="13"/>
        <v>-7.045996736</v>
      </c>
      <c r="W456" s="3"/>
      <c r="X456" s="3"/>
      <c r="Y456" s="3"/>
      <c r="Z456" s="3"/>
      <c r="AA456" s="3"/>
      <c r="AB456" s="3"/>
      <c r="AC456" s="3"/>
    </row>
    <row r="457">
      <c r="A457" s="1">
        <v>445.0</v>
      </c>
      <c r="B457" s="2">
        <v>1.4213304347826E9</v>
      </c>
      <c r="C457" s="2">
        <v>-102.3776093</v>
      </c>
      <c r="D457" s="3">
        <f t="shared" si="1"/>
        <v>930434.7826</v>
      </c>
      <c r="E457" s="4">
        <f t="shared" si="2"/>
        <v>-197.4336684</v>
      </c>
      <c r="F457" s="3">
        <f t="shared" si="16"/>
        <v>0.0002121950642</v>
      </c>
      <c r="G457" s="3">
        <f t="shared" si="4"/>
        <v>0</v>
      </c>
      <c r="H457" s="2">
        <f t="shared" si="5"/>
        <v>0</v>
      </c>
      <c r="I457" s="3">
        <f t="shared" si="6"/>
        <v>0</v>
      </c>
      <c r="J457" s="3">
        <f t="shared" si="7"/>
        <v>0</v>
      </c>
      <c r="K457" s="3"/>
      <c r="L457" s="3">
        <f t="shared" si="8"/>
        <v>439.8911629</v>
      </c>
      <c r="M457" s="9">
        <f t="shared" si="9"/>
        <v>447.3210267</v>
      </c>
      <c r="N457" s="9">
        <f t="shared" si="10"/>
        <v>-7.429863826</v>
      </c>
      <c r="O457" s="3"/>
      <c r="P457" s="3"/>
      <c r="Q457" s="3"/>
      <c r="R457" s="2"/>
      <c r="S457" s="9">
        <f t="shared" si="13"/>
        <v>-6.822815219</v>
      </c>
      <c r="W457" s="3"/>
      <c r="X457" s="3"/>
      <c r="Y457" s="3"/>
      <c r="Z457" s="3"/>
      <c r="AA457" s="3"/>
      <c r="AB457" s="3"/>
      <c r="AC457" s="3"/>
    </row>
    <row r="458">
      <c r="A458" s="1">
        <v>446.0</v>
      </c>
      <c r="B458" s="2">
        <v>1.42133478260869E9</v>
      </c>
      <c r="C458" s="2">
        <v>-102.3195343</v>
      </c>
      <c r="D458" s="3">
        <f t="shared" si="1"/>
        <v>934782.6087</v>
      </c>
      <c r="E458" s="4">
        <f t="shared" si="2"/>
        <v>-198.3519645</v>
      </c>
      <c r="F458" s="3">
        <f t="shared" si="16"/>
        <v>0.0002121904737</v>
      </c>
      <c r="G458" s="3">
        <f t="shared" si="4"/>
        <v>0</v>
      </c>
      <c r="H458" s="2">
        <f t="shared" si="5"/>
        <v>0</v>
      </c>
      <c r="I458" s="3">
        <f t="shared" si="6"/>
        <v>0</v>
      </c>
      <c r="J458" s="3">
        <f t="shared" si="7"/>
        <v>0</v>
      </c>
      <c r="K458" s="3"/>
      <c r="L458" s="3">
        <f t="shared" si="8"/>
        <v>445.8130092</v>
      </c>
      <c r="M458" s="9">
        <f t="shared" si="9"/>
        <v>447.1580453</v>
      </c>
      <c r="N458" s="9">
        <f t="shared" si="10"/>
        <v>-1.3450361</v>
      </c>
      <c r="O458" s="3"/>
      <c r="P458" s="3"/>
      <c r="Q458" s="3"/>
      <c r="R458" s="2"/>
      <c r="S458" s="9">
        <f t="shared" si="13"/>
        <v>-1.235141449</v>
      </c>
      <c r="W458" s="3"/>
      <c r="X458" s="3"/>
      <c r="Y458" s="3"/>
      <c r="Z458" s="3"/>
      <c r="AA458" s="3"/>
      <c r="AB458" s="3"/>
      <c r="AC458" s="3"/>
    </row>
    <row r="459">
      <c r="A459" s="1">
        <v>447.0</v>
      </c>
      <c r="B459" s="2">
        <v>1.42133913043478E9</v>
      </c>
      <c r="C459" s="2">
        <v>-102.3155136</v>
      </c>
      <c r="D459" s="3">
        <f t="shared" si="1"/>
        <v>939130.4348</v>
      </c>
      <c r="E459" s="4">
        <f t="shared" si="2"/>
        <v>-199.2702607</v>
      </c>
      <c r="F459" s="3">
        <f t="shared" si="16"/>
        <v>0.0002121859257</v>
      </c>
      <c r="G459" s="3">
        <f t="shared" si="4"/>
        <v>0</v>
      </c>
      <c r="H459" s="2">
        <f t="shared" si="5"/>
        <v>0</v>
      </c>
      <c r="I459" s="3">
        <f t="shared" si="6"/>
        <v>0</v>
      </c>
      <c r="J459" s="3">
        <f t="shared" si="7"/>
        <v>0</v>
      </c>
      <c r="K459" s="3"/>
      <c r="L459" s="3">
        <f t="shared" si="8"/>
        <v>446.2259341</v>
      </c>
      <c r="M459" s="9">
        <f t="shared" si="9"/>
        <v>446.9947657</v>
      </c>
      <c r="N459" s="9">
        <f t="shared" si="10"/>
        <v>-0.7688315374</v>
      </c>
      <c r="O459" s="3"/>
      <c r="P459" s="3"/>
      <c r="Q459" s="3"/>
      <c r="R459" s="2"/>
      <c r="S459" s="9">
        <f t="shared" si="13"/>
        <v>-0.7060150259</v>
      </c>
      <c r="W459" s="3"/>
      <c r="X459" s="3"/>
      <c r="Y459" s="3"/>
      <c r="Z459" s="3"/>
      <c r="AA459" s="3"/>
      <c r="AB459" s="3"/>
      <c r="AC459" s="3"/>
    </row>
    <row r="460">
      <c r="A460" s="1">
        <v>448.0</v>
      </c>
      <c r="B460" s="2">
        <v>1.42134347826087E9</v>
      </c>
      <c r="C460" s="2">
        <v>-102.2226563</v>
      </c>
      <c r="D460" s="3">
        <f t="shared" si="1"/>
        <v>943478.2609</v>
      </c>
      <c r="E460" s="4">
        <f t="shared" si="2"/>
        <v>-200.1885568</v>
      </c>
      <c r="F460" s="3">
        <f t="shared" si="16"/>
        <v>0.0002121814197</v>
      </c>
      <c r="G460" s="3">
        <f t="shared" si="4"/>
        <v>0</v>
      </c>
      <c r="H460" s="2">
        <f t="shared" si="5"/>
        <v>0</v>
      </c>
      <c r="I460" s="3">
        <f t="shared" si="6"/>
        <v>0</v>
      </c>
      <c r="J460" s="3">
        <f t="shared" si="7"/>
        <v>0</v>
      </c>
      <c r="K460" s="3"/>
      <c r="L460" s="3">
        <f t="shared" si="8"/>
        <v>455.8695008</v>
      </c>
      <c r="M460" s="9">
        <f t="shared" si="9"/>
        <v>446.8311876</v>
      </c>
      <c r="N460" s="9">
        <f t="shared" si="10"/>
        <v>9.038313163</v>
      </c>
      <c r="O460" s="3"/>
      <c r="P460" s="3"/>
      <c r="Q460" s="3"/>
      <c r="R460" s="2"/>
      <c r="S460" s="9">
        <f t="shared" si="13"/>
        <v>8.299848025</v>
      </c>
      <c r="W460" s="3"/>
      <c r="X460" s="3"/>
      <c r="Y460" s="3"/>
      <c r="Z460" s="3"/>
      <c r="AA460" s="3"/>
      <c r="AB460" s="3"/>
      <c r="AC460" s="3"/>
    </row>
    <row r="461">
      <c r="A461" s="1">
        <v>449.0</v>
      </c>
      <c r="B461" s="2">
        <v>1.42134782608695E9</v>
      </c>
      <c r="C461" s="2">
        <v>-102.3029861</v>
      </c>
      <c r="D461" s="3">
        <f t="shared" si="1"/>
        <v>947826.087</v>
      </c>
      <c r="E461" s="4">
        <f t="shared" si="2"/>
        <v>-201.1068529</v>
      </c>
      <c r="F461" s="3">
        <f t="shared" si="16"/>
        <v>0.0002121769549</v>
      </c>
      <c r="G461" s="3">
        <f t="shared" si="4"/>
        <v>0</v>
      </c>
      <c r="H461" s="2">
        <f t="shared" si="5"/>
        <v>0</v>
      </c>
      <c r="I461" s="3">
        <f t="shared" si="6"/>
        <v>0</v>
      </c>
      <c r="J461" s="3">
        <f t="shared" si="7"/>
        <v>0</v>
      </c>
      <c r="K461" s="3"/>
      <c r="L461" s="3">
        <f t="shared" si="8"/>
        <v>447.5149594</v>
      </c>
      <c r="M461" s="9">
        <f t="shared" si="9"/>
        <v>446.6673107</v>
      </c>
      <c r="N461" s="9">
        <f t="shared" si="10"/>
        <v>0.847648717</v>
      </c>
      <c r="O461" s="3"/>
      <c r="P461" s="3"/>
      <c r="Q461" s="3"/>
      <c r="R461" s="2"/>
      <c r="S461" s="9">
        <f t="shared" si="13"/>
        <v>0.7783925388</v>
      </c>
      <c r="W461" s="3"/>
      <c r="X461" s="3"/>
      <c r="Y461" s="3"/>
      <c r="Z461" s="3"/>
      <c r="AA461" s="3"/>
      <c r="AB461" s="3"/>
      <c r="AC461" s="3"/>
    </row>
    <row r="462">
      <c r="A462" s="1">
        <v>450.0</v>
      </c>
      <c r="B462" s="2">
        <v>1.42135217391304E9</v>
      </c>
      <c r="C462" s="2">
        <v>-102.3027344</v>
      </c>
      <c r="D462" s="3">
        <f t="shared" si="1"/>
        <v>952173.913</v>
      </c>
      <c r="E462" s="4">
        <f t="shared" si="2"/>
        <v>-202.0251491</v>
      </c>
      <c r="F462" s="3">
        <f t="shared" si="16"/>
        <v>0.000212172531</v>
      </c>
      <c r="G462" s="3">
        <f t="shared" si="4"/>
        <v>0</v>
      </c>
      <c r="H462" s="2">
        <f t="shared" si="5"/>
        <v>0</v>
      </c>
      <c r="I462" s="3">
        <f t="shared" si="6"/>
        <v>0</v>
      </c>
      <c r="J462" s="3">
        <f t="shared" si="7"/>
        <v>0</v>
      </c>
      <c r="K462" s="3"/>
      <c r="L462" s="3">
        <f t="shared" si="8"/>
        <v>447.5408964</v>
      </c>
      <c r="M462" s="9">
        <f t="shared" si="9"/>
        <v>446.5031346</v>
      </c>
      <c r="N462" s="9">
        <f t="shared" si="10"/>
        <v>1.037761732</v>
      </c>
      <c r="O462" s="3"/>
      <c r="P462" s="3"/>
      <c r="Q462" s="3"/>
      <c r="R462" s="2"/>
      <c r="S462" s="9">
        <f t="shared" si="13"/>
        <v>0.9529725827</v>
      </c>
      <c r="W462" s="3"/>
      <c r="X462" s="3"/>
      <c r="Y462" s="3"/>
      <c r="Z462" s="3"/>
      <c r="AA462" s="3"/>
      <c r="AB462" s="3"/>
      <c r="AC462" s="3"/>
    </row>
    <row r="463">
      <c r="A463" s="1">
        <v>451.0</v>
      </c>
      <c r="B463" s="2">
        <v>1.42135652173913E9</v>
      </c>
      <c r="C463" s="2">
        <v>-102.3720627</v>
      </c>
      <c r="D463" s="3">
        <f t="shared" si="1"/>
        <v>956521.7391</v>
      </c>
      <c r="E463" s="4">
        <f t="shared" si="2"/>
        <v>-202.9434452</v>
      </c>
      <c r="F463" s="3">
        <f t="shared" si="16"/>
        <v>0.0002121681473</v>
      </c>
      <c r="G463" s="3">
        <f t="shared" si="4"/>
        <v>0</v>
      </c>
      <c r="H463" s="2">
        <f t="shared" si="5"/>
        <v>0</v>
      </c>
      <c r="I463" s="3">
        <f t="shared" si="6"/>
        <v>0</v>
      </c>
      <c r="J463" s="3">
        <f t="shared" si="7"/>
        <v>0</v>
      </c>
      <c r="K463" s="3"/>
      <c r="L463" s="3">
        <f t="shared" si="8"/>
        <v>440.4533296</v>
      </c>
      <c r="M463" s="9">
        <f t="shared" si="9"/>
        <v>446.3386591</v>
      </c>
      <c r="N463" s="9">
        <f t="shared" si="10"/>
        <v>-5.885329495</v>
      </c>
      <c r="O463" s="3"/>
      <c r="P463" s="3"/>
      <c r="Q463" s="3"/>
      <c r="R463" s="2"/>
      <c r="S463" s="9">
        <f t="shared" si="13"/>
        <v>-5.404475315</v>
      </c>
      <c r="W463" s="3"/>
      <c r="X463" s="3"/>
      <c r="Y463" s="3"/>
      <c r="Z463" s="3"/>
      <c r="AA463" s="3"/>
      <c r="AB463" s="3"/>
      <c r="AC463" s="3"/>
    </row>
    <row r="464">
      <c r="A464" s="1">
        <v>452.0</v>
      </c>
      <c r="B464" s="2">
        <v>1.42136086956521E9</v>
      </c>
      <c r="C464" s="2">
        <v>-102.304245</v>
      </c>
      <c r="D464" s="3">
        <f t="shared" si="1"/>
        <v>960869.5652</v>
      </c>
      <c r="E464" s="4">
        <f t="shared" si="2"/>
        <v>-203.8617413</v>
      </c>
      <c r="F464" s="3">
        <f t="shared" si="16"/>
        <v>0.0002121638032</v>
      </c>
      <c r="G464" s="3">
        <f t="shared" si="4"/>
        <v>0</v>
      </c>
      <c r="H464" s="2">
        <f t="shared" si="5"/>
        <v>0</v>
      </c>
      <c r="I464" s="3">
        <f t="shared" si="6"/>
        <v>0</v>
      </c>
      <c r="J464" s="3">
        <f t="shared" si="7"/>
        <v>0</v>
      </c>
      <c r="K464" s="3"/>
      <c r="L464" s="3">
        <f t="shared" si="8"/>
        <v>447.385256</v>
      </c>
      <c r="M464" s="9">
        <f t="shared" si="9"/>
        <v>446.1738837</v>
      </c>
      <c r="N464" s="9">
        <f t="shared" si="10"/>
        <v>1.211372236</v>
      </c>
      <c r="O464" s="3"/>
      <c r="P464" s="3"/>
      <c r="Q464" s="3"/>
      <c r="R464" s="2"/>
      <c r="S464" s="9">
        <f t="shared" si="13"/>
        <v>1.112398439</v>
      </c>
      <c r="W464" s="3"/>
      <c r="X464" s="3"/>
      <c r="Y464" s="3"/>
      <c r="Z464" s="3"/>
      <c r="AA464" s="3"/>
      <c r="AB464" s="3"/>
      <c r="AC464" s="3"/>
    </row>
    <row r="465">
      <c r="A465" s="1">
        <v>453.0</v>
      </c>
      <c r="B465" s="2">
        <v>1.4213652173913E9</v>
      </c>
      <c r="C465" s="2">
        <v>-102.3296127</v>
      </c>
      <c r="D465" s="3">
        <f t="shared" si="1"/>
        <v>965217.3913</v>
      </c>
      <c r="E465" s="4">
        <f t="shared" si="2"/>
        <v>-204.7800375</v>
      </c>
      <c r="F465" s="3">
        <f t="shared" si="16"/>
        <v>0.0002121594983</v>
      </c>
      <c r="G465" s="3">
        <f t="shared" si="4"/>
        <v>0</v>
      </c>
      <c r="H465" s="2">
        <f t="shared" si="5"/>
        <v>0</v>
      </c>
      <c r="I465" s="3">
        <f t="shared" si="6"/>
        <v>0</v>
      </c>
      <c r="J465" s="3">
        <f t="shared" si="7"/>
        <v>0</v>
      </c>
      <c r="K465" s="3"/>
      <c r="L465" s="3">
        <f t="shared" si="8"/>
        <v>444.7796383</v>
      </c>
      <c r="M465" s="9">
        <f t="shared" si="9"/>
        <v>446.0088082</v>
      </c>
      <c r="N465" s="9">
        <f t="shared" si="10"/>
        <v>-1.229169852</v>
      </c>
      <c r="O465" s="3"/>
      <c r="P465" s="3"/>
      <c r="Q465" s="3"/>
      <c r="R465" s="2"/>
      <c r="S465" s="9">
        <f t="shared" si="13"/>
        <v>-1.128741919</v>
      </c>
      <c r="W465" s="3"/>
      <c r="X465" s="3"/>
      <c r="Y465" s="3"/>
      <c r="Z465" s="3"/>
      <c r="AA465" s="3"/>
      <c r="AB465" s="3"/>
      <c r="AC465" s="3"/>
    </row>
    <row r="466">
      <c r="A466" s="1">
        <v>454.0</v>
      </c>
      <c r="B466" s="2">
        <v>1.42136956521739E9</v>
      </c>
      <c r="C466" s="2">
        <v>-102.3239059</v>
      </c>
      <c r="D466" s="3">
        <f t="shared" si="1"/>
        <v>969565.2174</v>
      </c>
      <c r="E466" s="4">
        <f t="shared" si="2"/>
        <v>-205.6983336</v>
      </c>
      <c r="F466" s="3">
        <f t="shared" si="16"/>
        <v>0.000212155232</v>
      </c>
      <c r="G466" s="3">
        <f t="shared" si="4"/>
        <v>0</v>
      </c>
      <c r="H466" s="2">
        <f t="shared" si="5"/>
        <v>0</v>
      </c>
      <c r="I466" s="3">
        <f t="shared" si="6"/>
        <v>0</v>
      </c>
      <c r="J466" s="3">
        <f t="shared" si="7"/>
        <v>0</v>
      </c>
      <c r="K466" s="3"/>
      <c r="L466" s="3">
        <f t="shared" si="8"/>
        <v>445.3644804</v>
      </c>
      <c r="M466" s="9">
        <f t="shared" si="9"/>
        <v>445.8434322</v>
      </c>
      <c r="N466" s="9">
        <f t="shared" si="10"/>
        <v>-0.4789517576</v>
      </c>
      <c r="O466" s="3"/>
      <c r="P466" s="3"/>
      <c r="Q466" s="3"/>
      <c r="R466" s="2"/>
      <c r="S466" s="9">
        <f t="shared" si="13"/>
        <v>-0.4398195468</v>
      </c>
      <c r="W466" s="3"/>
      <c r="X466" s="3"/>
      <c r="Y466" s="3"/>
      <c r="Z466" s="3"/>
      <c r="AA466" s="3"/>
      <c r="AB466" s="3"/>
      <c r="AC466" s="3"/>
    </row>
    <row r="467">
      <c r="A467" s="1">
        <v>455.0</v>
      </c>
      <c r="B467" s="2">
        <v>1.42137391304347E9</v>
      </c>
      <c r="C467" s="2">
        <v>-102.4074936</v>
      </c>
      <c r="D467" s="3">
        <f t="shared" si="1"/>
        <v>973913.0435</v>
      </c>
      <c r="E467" s="4">
        <f t="shared" si="2"/>
        <v>-206.6166297</v>
      </c>
      <c r="F467" s="3">
        <f t="shared" si="16"/>
        <v>0.0002121510037</v>
      </c>
      <c r="G467" s="3">
        <f t="shared" si="4"/>
        <v>0</v>
      </c>
      <c r="H467" s="2">
        <f t="shared" si="5"/>
        <v>0</v>
      </c>
      <c r="I467" s="3">
        <f t="shared" si="6"/>
        <v>0</v>
      </c>
      <c r="J467" s="3">
        <f t="shared" si="7"/>
        <v>0</v>
      </c>
      <c r="K467" s="3"/>
      <c r="L467" s="3">
        <f t="shared" si="8"/>
        <v>436.874612</v>
      </c>
      <c r="M467" s="9">
        <f t="shared" si="9"/>
        <v>445.6777553</v>
      </c>
      <c r="N467" s="9">
        <f t="shared" si="10"/>
        <v>-8.803143339</v>
      </c>
      <c r="O467" s="3"/>
      <c r="P467" s="3"/>
      <c r="Q467" s="3"/>
      <c r="R467" s="2"/>
      <c r="S467" s="9">
        <f t="shared" si="13"/>
        <v>-8.083892485</v>
      </c>
      <c r="W467" s="3"/>
      <c r="X467" s="3"/>
      <c r="Y467" s="3"/>
      <c r="Z467" s="3"/>
      <c r="AA467" s="3"/>
      <c r="AB467" s="3"/>
      <c r="AC467" s="3"/>
    </row>
    <row r="468">
      <c r="A468" s="1">
        <v>456.0</v>
      </c>
      <c r="B468" s="2">
        <v>1.42137826086956E9</v>
      </c>
      <c r="C468" s="2">
        <v>-102.3757477</v>
      </c>
      <c r="D468" s="3">
        <f t="shared" si="1"/>
        <v>978260.8696</v>
      </c>
      <c r="E468" s="4">
        <f t="shared" si="2"/>
        <v>-207.5349259</v>
      </c>
      <c r="F468" s="3">
        <f t="shared" si="16"/>
        <v>0.0002121468131</v>
      </c>
      <c r="G468" s="3">
        <f t="shared" si="4"/>
        <v>0</v>
      </c>
      <c r="H468" s="2">
        <f t="shared" si="5"/>
        <v>0</v>
      </c>
      <c r="I468" s="3">
        <f t="shared" si="6"/>
        <v>0</v>
      </c>
      <c r="J468" s="3">
        <f t="shared" si="7"/>
        <v>0</v>
      </c>
      <c r="K468" s="3"/>
      <c r="L468" s="3">
        <f t="shared" si="8"/>
        <v>440.0797623</v>
      </c>
      <c r="M468" s="9">
        <f t="shared" si="9"/>
        <v>445.5117773</v>
      </c>
      <c r="N468" s="9">
        <f t="shared" si="10"/>
        <v>-5.432015019</v>
      </c>
      <c r="O468" s="3"/>
      <c r="P468" s="3"/>
      <c r="Q468" s="3"/>
      <c r="R468" s="2"/>
      <c r="S468" s="9">
        <f t="shared" si="13"/>
        <v>-4.988198373</v>
      </c>
      <c r="W468" s="3"/>
      <c r="X468" s="3"/>
      <c r="Y468" s="3"/>
      <c r="Z468" s="3"/>
      <c r="AA468" s="3"/>
      <c r="AB468" s="3"/>
      <c r="AC468" s="3"/>
    </row>
    <row r="469">
      <c r="A469" s="1">
        <v>457.0</v>
      </c>
      <c r="B469" s="2">
        <v>1.42138260869565E9</v>
      </c>
      <c r="C469" s="2">
        <v>-102.2842331</v>
      </c>
      <c r="D469" s="3">
        <f t="shared" si="1"/>
        <v>982608.6957</v>
      </c>
      <c r="E469" s="4">
        <f t="shared" si="2"/>
        <v>-208.453222</v>
      </c>
      <c r="F469" s="3">
        <f t="shared" si="16"/>
        <v>0.0002121426596</v>
      </c>
      <c r="G469" s="3">
        <f t="shared" si="4"/>
        <v>0</v>
      </c>
      <c r="H469" s="2">
        <f t="shared" si="5"/>
        <v>0</v>
      </c>
      <c r="I469" s="3">
        <f t="shared" si="6"/>
        <v>0</v>
      </c>
      <c r="J469" s="3">
        <f t="shared" si="7"/>
        <v>0</v>
      </c>
      <c r="K469" s="3"/>
      <c r="L469" s="3">
        <f t="shared" si="8"/>
        <v>449.451524</v>
      </c>
      <c r="M469" s="9">
        <f t="shared" si="9"/>
        <v>445.3454978</v>
      </c>
      <c r="N469" s="9">
        <f t="shared" si="10"/>
        <v>4.106026175</v>
      </c>
      <c r="O469" s="3"/>
      <c r="P469" s="3"/>
      <c r="Q469" s="3"/>
      <c r="R469" s="2"/>
      <c r="S469" s="9">
        <f t="shared" si="13"/>
        <v>3.770547957</v>
      </c>
      <c r="W469" s="3"/>
      <c r="X469" s="3"/>
      <c r="Y469" s="3"/>
      <c r="Z469" s="3"/>
      <c r="AA469" s="3"/>
      <c r="AB469" s="3"/>
      <c r="AC469" s="3"/>
    </row>
    <row r="470">
      <c r="A470" s="1">
        <v>458.0</v>
      </c>
      <c r="B470" s="2">
        <v>1.42138695652173E9</v>
      </c>
      <c r="C470" s="2">
        <v>-102.3144608</v>
      </c>
      <c r="D470" s="3">
        <f t="shared" si="1"/>
        <v>986956.5217</v>
      </c>
      <c r="E470" s="4">
        <f t="shared" si="2"/>
        <v>-209.3715181</v>
      </c>
      <c r="F470" s="3">
        <f t="shared" si="16"/>
        <v>0.0002121385426</v>
      </c>
      <c r="G470" s="3">
        <f t="shared" si="4"/>
        <v>0</v>
      </c>
      <c r="H470" s="2">
        <f t="shared" si="5"/>
        <v>0</v>
      </c>
      <c r="I470" s="3">
        <f t="shared" si="6"/>
        <v>0</v>
      </c>
      <c r="J470" s="3">
        <f t="shared" si="7"/>
        <v>0</v>
      </c>
      <c r="K470" s="3"/>
      <c r="L470" s="3">
        <f t="shared" si="8"/>
        <v>446.3341196</v>
      </c>
      <c r="M470" s="9">
        <f t="shared" si="9"/>
        <v>445.1789165</v>
      </c>
      <c r="N470" s="9">
        <f t="shared" si="10"/>
        <v>1.155203123</v>
      </c>
      <c r="O470" s="3"/>
      <c r="P470" s="3"/>
      <c r="Q470" s="3"/>
      <c r="R470" s="2"/>
      <c r="S470" s="9">
        <f t="shared" si="13"/>
        <v>1.060818561</v>
      </c>
      <c r="W470" s="3"/>
      <c r="X470" s="3"/>
      <c r="Y470" s="3"/>
      <c r="Z470" s="3"/>
      <c r="AA470" s="3"/>
      <c r="AB470" s="3"/>
      <c r="AC470" s="3"/>
    </row>
    <row r="471">
      <c r="A471" s="1">
        <v>459.0</v>
      </c>
      <c r="B471" s="2">
        <v>1.42139130434782E9</v>
      </c>
      <c r="C471" s="2">
        <v>-102.2760086</v>
      </c>
      <c r="D471" s="3">
        <f t="shared" si="1"/>
        <v>991304.3478</v>
      </c>
      <c r="E471" s="4">
        <f t="shared" si="2"/>
        <v>-210.2898143</v>
      </c>
      <c r="F471" s="3">
        <f t="shared" si="16"/>
        <v>0.0002121344618</v>
      </c>
      <c r="G471" s="3">
        <f t="shared" si="4"/>
        <v>0</v>
      </c>
      <c r="H471" s="2">
        <f t="shared" si="5"/>
        <v>0</v>
      </c>
      <c r="I471" s="3">
        <f t="shared" si="6"/>
        <v>0</v>
      </c>
      <c r="J471" s="3">
        <f t="shared" si="7"/>
        <v>0</v>
      </c>
      <c r="K471" s="3"/>
      <c r="L471" s="3">
        <f t="shared" si="8"/>
        <v>450.3034843</v>
      </c>
      <c r="M471" s="9">
        <f t="shared" si="9"/>
        <v>445.012033</v>
      </c>
      <c r="N471" s="9">
        <f t="shared" si="10"/>
        <v>5.291451258</v>
      </c>
      <c r="O471" s="3"/>
      <c r="P471" s="3"/>
      <c r="Q471" s="3"/>
      <c r="R471" s="2"/>
      <c r="S471" s="9">
        <f t="shared" si="13"/>
        <v>4.859119227</v>
      </c>
      <c r="W471" s="3"/>
      <c r="X471" s="3"/>
      <c r="Y471" s="3"/>
      <c r="Z471" s="3"/>
      <c r="AA471" s="3"/>
      <c r="AB471" s="3"/>
      <c r="AC471" s="3"/>
    </row>
    <row r="472">
      <c r="A472" s="1">
        <v>460.0</v>
      </c>
      <c r="B472" s="2">
        <v>1.42139565217391E9</v>
      </c>
      <c r="C472" s="2">
        <v>-102.3257217</v>
      </c>
      <c r="D472" s="3">
        <f t="shared" si="1"/>
        <v>995652.1739</v>
      </c>
      <c r="E472" s="4">
        <f t="shared" si="2"/>
        <v>-211.2081104</v>
      </c>
      <c r="F472" s="3">
        <f t="shared" si="16"/>
        <v>0.0002121304166</v>
      </c>
      <c r="G472" s="3">
        <f t="shared" si="4"/>
        <v>0</v>
      </c>
      <c r="H472" s="2">
        <f t="shared" si="5"/>
        <v>0</v>
      </c>
      <c r="I472" s="3">
        <f t="shared" si="6"/>
        <v>0</v>
      </c>
      <c r="J472" s="3">
        <f t="shared" si="7"/>
        <v>0</v>
      </c>
      <c r="K472" s="3"/>
      <c r="L472" s="3">
        <f t="shared" si="8"/>
        <v>445.1783109</v>
      </c>
      <c r="M472" s="9">
        <f t="shared" si="9"/>
        <v>444.844847</v>
      </c>
      <c r="N472" s="9">
        <f t="shared" si="10"/>
        <v>0.3334639097</v>
      </c>
      <c r="O472" s="3"/>
      <c r="P472" s="3"/>
      <c r="Q472" s="3"/>
      <c r="R472" s="2"/>
      <c r="S472" s="9">
        <f t="shared" si="13"/>
        <v>0.2640666049</v>
      </c>
      <c r="W472" s="3"/>
      <c r="X472" s="3"/>
      <c r="Y472" s="3"/>
      <c r="Z472" s="3"/>
      <c r="AA472" s="3"/>
      <c r="AB472" s="3"/>
      <c r="AC472" s="3"/>
    </row>
    <row r="473">
      <c r="A473" s="1">
        <v>461.0</v>
      </c>
      <c r="B473" s="2">
        <v>1.4214E9</v>
      </c>
      <c r="C473" s="2">
        <v>-102.349762</v>
      </c>
      <c r="D473" s="3">
        <f t="shared" si="1"/>
        <v>1000000</v>
      </c>
      <c r="E473" s="12">
        <f>-0.000212*D473</f>
        <v>-212</v>
      </c>
      <c r="F473" s="3">
        <f t="shared" si="16"/>
        <v>0.000212</v>
      </c>
      <c r="G473" s="3">
        <f t="shared" si="4"/>
        <v>0</v>
      </c>
      <c r="H473" s="2">
        <f t="shared" si="5"/>
        <v>0</v>
      </c>
      <c r="I473" s="3">
        <f t="shared" si="6"/>
        <v>0</v>
      </c>
      <c r="J473" s="3">
        <f t="shared" si="7"/>
        <v>0</v>
      </c>
      <c r="K473" s="3"/>
      <c r="L473" s="3">
        <f t="shared" si="8"/>
        <v>442.7208416</v>
      </c>
      <c r="M473" s="9">
        <f t="shared" si="9"/>
        <v>444.7004316</v>
      </c>
      <c r="N473" s="9">
        <f t="shared" si="10"/>
        <v>-1.979589997</v>
      </c>
      <c r="O473" s="3"/>
      <c r="P473" s="3"/>
      <c r="Q473" s="3"/>
      <c r="R473" s="2"/>
      <c r="S473" s="9"/>
      <c r="W473" s="3"/>
      <c r="X473" s="3"/>
      <c r="Y473" s="3"/>
      <c r="Z473" s="3"/>
      <c r="AA473" s="3"/>
      <c r="AB473" s="3"/>
      <c r="AC473" s="3"/>
    </row>
    <row r="474">
      <c r="A474" s="4"/>
      <c r="B474" s="3"/>
      <c r="C474" s="3"/>
      <c r="D474" s="3"/>
      <c r="E474" s="4"/>
      <c r="F474" s="3"/>
      <c r="G474" s="3"/>
      <c r="H474" s="3"/>
      <c r="I474" s="3"/>
      <c r="J474" s="3"/>
      <c r="K474" s="3"/>
      <c r="L474" s="3"/>
      <c r="M474" s="5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>
      <c r="A475" s="4"/>
      <c r="B475" s="3"/>
      <c r="C475" s="3"/>
      <c r="D475" s="3"/>
      <c r="E475" s="4"/>
      <c r="F475" s="2" t="s">
        <v>39</v>
      </c>
      <c r="G475" s="3"/>
      <c r="H475" s="3"/>
      <c r="I475" s="3"/>
      <c r="J475" s="3"/>
      <c r="K475" s="3"/>
      <c r="L475" s="3"/>
      <c r="M475" s="5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>
      <c r="A476" s="4"/>
      <c r="B476" s="3"/>
      <c r="C476" s="3"/>
      <c r="D476" s="3"/>
      <c r="E476" s="4"/>
      <c r="F476" s="3">
        <f>AVERAGE(F13:F473)</f>
        <v>0.0002112078356</v>
      </c>
      <c r="G476" s="3"/>
      <c r="H476" s="3"/>
      <c r="I476" s="3"/>
      <c r="J476" s="3"/>
      <c r="K476" s="3"/>
      <c r="L476" s="3"/>
      <c r="M476" s="5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>
      <c r="A477" s="4"/>
      <c r="B477" s="3"/>
      <c r="C477" s="3"/>
      <c r="D477" s="3"/>
      <c r="E477" s="4"/>
      <c r="F477" s="3"/>
      <c r="G477" s="3"/>
      <c r="H477" s="3"/>
      <c r="I477" s="3"/>
      <c r="J477" s="3"/>
      <c r="K477" s="3"/>
      <c r="L477" s="3"/>
      <c r="M477" s="5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>
      <c r="A478" s="4"/>
      <c r="B478" s="3"/>
      <c r="C478" s="3"/>
      <c r="D478" s="3"/>
      <c r="E478" s="4"/>
      <c r="F478" s="3"/>
      <c r="G478" s="3"/>
      <c r="H478" s="3"/>
      <c r="I478" s="3"/>
      <c r="J478" s="3"/>
      <c r="K478" s="3"/>
      <c r="L478" s="3"/>
      <c r="M478" s="5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>
      <c r="A479" s="4"/>
      <c r="B479" s="3"/>
      <c r="C479" s="3"/>
      <c r="D479" s="3"/>
      <c r="E479" s="4"/>
      <c r="F479" s="3"/>
      <c r="G479" s="3"/>
      <c r="H479" s="3"/>
      <c r="I479" s="3"/>
      <c r="J479" s="3"/>
      <c r="K479" s="3"/>
      <c r="L479" s="3"/>
      <c r="M479" s="5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>
      <c r="A480" s="4"/>
      <c r="B480" s="3"/>
      <c r="C480" s="3"/>
      <c r="D480" s="3"/>
      <c r="E480" s="4"/>
      <c r="F480" s="3"/>
      <c r="G480" s="3"/>
      <c r="H480" s="3"/>
      <c r="I480" s="3"/>
      <c r="J480" s="3"/>
      <c r="K480" s="3"/>
      <c r="L480" s="3"/>
      <c r="M480" s="5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>
      <c r="A481" s="4"/>
      <c r="B481" s="3"/>
      <c r="C481" s="3"/>
      <c r="D481" s="3"/>
      <c r="E481" s="4"/>
      <c r="F481" s="3"/>
      <c r="G481" s="3"/>
      <c r="H481" s="3"/>
      <c r="I481" s="3"/>
      <c r="J481" s="3"/>
      <c r="K481" s="3"/>
      <c r="L481" s="3"/>
      <c r="M481" s="5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>
      <c r="A482" s="4"/>
      <c r="B482" s="3"/>
      <c r="C482" s="3"/>
      <c r="D482" s="3"/>
      <c r="E482" s="4"/>
      <c r="F482" s="3"/>
      <c r="G482" s="3"/>
      <c r="H482" s="3"/>
      <c r="I482" s="3"/>
      <c r="J482" s="3"/>
      <c r="K482" s="3"/>
      <c r="L482" s="3"/>
      <c r="M482" s="5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>
      <c r="A483" s="4"/>
      <c r="B483" s="3"/>
      <c r="C483" s="3"/>
      <c r="D483" s="3"/>
      <c r="E483" s="4"/>
      <c r="F483" s="3"/>
      <c r="G483" s="3"/>
      <c r="H483" s="3"/>
      <c r="I483" s="3"/>
      <c r="J483" s="3"/>
      <c r="K483" s="3"/>
      <c r="L483" s="3"/>
      <c r="M483" s="5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>
      <c r="A484" s="4"/>
      <c r="B484" s="3"/>
      <c r="C484" s="3"/>
      <c r="D484" s="3"/>
      <c r="E484" s="4"/>
      <c r="F484" s="3"/>
      <c r="G484" s="3"/>
      <c r="H484" s="3"/>
      <c r="I484" s="3"/>
      <c r="J484" s="3"/>
      <c r="K484" s="3"/>
      <c r="L484" s="3"/>
      <c r="M484" s="5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>
      <c r="A485" s="4"/>
      <c r="B485" s="3"/>
      <c r="C485" s="3"/>
      <c r="D485" s="3"/>
      <c r="E485" s="4"/>
      <c r="F485" s="3"/>
      <c r="G485" s="3"/>
      <c r="H485" s="3"/>
      <c r="I485" s="3"/>
      <c r="J485" s="3"/>
      <c r="K485" s="3"/>
      <c r="L485" s="3"/>
      <c r="M485" s="5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>
      <c r="A486" s="4"/>
      <c r="B486" s="3"/>
      <c r="C486" s="3"/>
      <c r="D486" s="3"/>
      <c r="E486" s="4"/>
      <c r="F486" s="3"/>
      <c r="G486" s="3"/>
      <c r="H486" s="3"/>
      <c r="I486" s="3"/>
      <c r="J486" s="3"/>
      <c r="K486" s="3"/>
      <c r="L486" s="3"/>
      <c r="M486" s="5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>
      <c r="A487" s="4"/>
      <c r="B487" s="3"/>
      <c r="C487" s="3"/>
      <c r="D487" s="3"/>
      <c r="E487" s="4"/>
      <c r="F487" s="3"/>
      <c r="G487" s="3"/>
      <c r="H487" s="3"/>
      <c r="I487" s="3"/>
      <c r="J487" s="3"/>
      <c r="K487" s="3"/>
      <c r="L487" s="3"/>
      <c r="M487" s="5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>
      <c r="A488" s="4"/>
      <c r="B488" s="3"/>
      <c r="C488" s="3"/>
      <c r="D488" s="3"/>
      <c r="E488" s="4"/>
      <c r="F488" s="3"/>
      <c r="G488" s="3"/>
      <c r="H488" s="3"/>
      <c r="I488" s="3"/>
      <c r="J488" s="3"/>
      <c r="K488" s="3"/>
      <c r="L488" s="3"/>
      <c r="M488" s="5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>
      <c r="A489" s="4"/>
      <c r="B489" s="3"/>
      <c r="C489" s="3"/>
      <c r="D489" s="3"/>
      <c r="E489" s="4"/>
      <c r="F489" s="3"/>
      <c r="G489" s="3"/>
      <c r="H489" s="3"/>
      <c r="I489" s="3"/>
      <c r="J489" s="3"/>
      <c r="K489" s="3"/>
      <c r="L489" s="3"/>
      <c r="M489" s="5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>
      <c r="A490" s="4"/>
      <c r="B490" s="3"/>
      <c r="C490" s="3"/>
      <c r="D490" s="3"/>
      <c r="E490" s="4"/>
      <c r="F490" s="3"/>
      <c r="G490" s="3"/>
      <c r="H490" s="3"/>
      <c r="I490" s="3"/>
      <c r="J490" s="3"/>
      <c r="K490" s="3"/>
      <c r="L490" s="3"/>
      <c r="M490" s="5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>
      <c r="A491" s="4"/>
      <c r="B491" s="3"/>
      <c r="C491" s="3"/>
      <c r="D491" s="3"/>
      <c r="E491" s="4"/>
      <c r="F491" s="3"/>
      <c r="G491" s="3"/>
      <c r="H491" s="3"/>
      <c r="I491" s="3"/>
      <c r="J491" s="3"/>
      <c r="K491" s="3"/>
      <c r="L491" s="3"/>
      <c r="M491" s="5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>
      <c r="A492" s="4"/>
      <c r="B492" s="3"/>
      <c r="C492" s="3"/>
      <c r="D492" s="3"/>
      <c r="E492" s="4"/>
      <c r="F492" s="3"/>
      <c r="G492" s="3"/>
      <c r="H492" s="3"/>
      <c r="I492" s="3"/>
      <c r="J492" s="3"/>
      <c r="K492" s="3"/>
      <c r="L492" s="3"/>
      <c r="M492" s="5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>
      <c r="A493" s="4"/>
      <c r="B493" s="3"/>
      <c r="C493" s="3"/>
      <c r="D493" s="3"/>
      <c r="E493" s="4"/>
      <c r="F493" s="3"/>
      <c r="G493" s="3"/>
      <c r="H493" s="3"/>
      <c r="I493" s="3"/>
      <c r="J493" s="3"/>
      <c r="K493" s="3"/>
      <c r="L493" s="3"/>
      <c r="M493" s="5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>
      <c r="A494" s="4"/>
      <c r="B494" s="3"/>
      <c r="C494" s="3"/>
      <c r="D494" s="3"/>
      <c r="E494" s="4"/>
      <c r="F494" s="3"/>
      <c r="G494" s="3"/>
      <c r="H494" s="3"/>
      <c r="I494" s="3"/>
      <c r="J494" s="3"/>
      <c r="K494" s="3"/>
      <c r="L494" s="3"/>
      <c r="M494" s="5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>
      <c r="A495" s="4"/>
      <c r="B495" s="3"/>
      <c r="C495" s="3"/>
      <c r="D495" s="3"/>
      <c r="E495" s="4"/>
      <c r="F495" s="3"/>
      <c r="G495" s="3"/>
      <c r="H495" s="3"/>
      <c r="I495" s="3"/>
      <c r="J495" s="3"/>
      <c r="K495" s="3"/>
      <c r="L495" s="3"/>
      <c r="M495" s="5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>
      <c r="A496" s="4"/>
      <c r="B496" s="3"/>
      <c r="C496" s="3"/>
      <c r="D496" s="3"/>
      <c r="E496" s="4"/>
      <c r="F496" s="3"/>
      <c r="G496" s="3"/>
      <c r="H496" s="3"/>
      <c r="I496" s="3"/>
      <c r="J496" s="3"/>
      <c r="K496" s="3"/>
      <c r="L496" s="3"/>
      <c r="M496" s="5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>
      <c r="A497" s="4"/>
      <c r="B497" s="3"/>
      <c r="C497" s="3"/>
      <c r="D497" s="3"/>
      <c r="E497" s="4"/>
      <c r="F497" s="3"/>
      <c r="G497" s="3"/>
      <c r="H497" s="3"/>
      <c r="I497" s="3"/>
      <c r="J497" s="3"/>
      <c r="K497" s="3"/>
      <c r="L497" s="3"/>
      <c r="M497" s="5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>
      <c r="A498" s="4"/>
      <c r="B498" s="3"/>
      <c r="C498" s="3"/>
      <c r="D498" s="3"/>
      <c r="E498" s="4"/>
      <c r="F498" s="3"/>
      <c r="G498" s="3"/>
      <c r="H498" s="3"/>
      <c r="I498" s="3"/>
      <c r="J498" s="3"/>
      <c r="K498" s="3"/>
      <c r="L498" s="3"/>
      <c r="M498" s="5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>
      <c r="A499" s="4"/>
      <c r="B499" s="3"/>
      <c r="C499" s="3"/>
      <c r="D499" s="3"/>
      <c r="E499" s="4"/>
      <c r="F499" s="3"/>
      <c r="G499" s="3"/>
      <c r="H499" s="3"/>
      <c r="I499" s="3"/>
      <c r="J499" s="3"/>
      <c r="K499" s="3"/>
      <c r="L499" s="3"/>
      <c r="M499" s="5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>
      <c r="A500" s="4"/>
      <c r="B500" s="3"/>
      <c r="C500" s="3"/>
      <c r="D500" s="3"/>
      <c r="E500" s="4"/>
      <c r="F500" s="3"/>
      <c r="G500" s="3"/>
      <c r="H500" s="3"/>
      <c r="I500" s="3"/>
      <c r="J500" s="3"/>
      <c r="K500" s="3"/>
      <c r="L500" s="3"/>
      <c r="M500" s="5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>
      <c r="A501" s="4"/>
      <c r="B501" s="3"/>
      <c r="C501" s="3"/>
      <c r="D501" s="3"/>
      <c r="E501" s="4"/>
      <c r="F501" s="3"/>
      <c r="G501" s="3"/>
      <c r="H501" s="3"/>
      <c r="I501" s="3"/>
      <c r="J501" s="3"/>
      <c r="K501" s="3"/>
      <c r="L501" s="3"/>
      <c r="M501" s="5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>
      <c r="A502" s="4"/>
      <c r="B502" s="3"/>
      <c r="C502" s="3"/>
      <c r="D502" s="3"/>
      <c r="E502" s="4"/>
      <c r="F502" s="3"/>
      <c r="G502" s="3"/>
      <c r="H502" s="3"/>
      <c r="I502" s="3"/>
      <c r="J502" s="3"/>
      <c r="K502" s="3"/>
      <c r="L502" s="3"/>
      <c r="M502" s="5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>
      <c r="A503" s="4"/>
      <c r="B503" s="3"/>
      <c r="C503" s="3"/>
      <c r="D503" s="3"/>
      <c r="E503" s="4"/>
      <c r="F503" s="3"/>
      <c r="G503" s="3"/>
      <c r="H503" s="3"/>
      <c r="I503" s="3"/>
      <c r="J503" s="3"/>
      <c r="K503" s="3"/>
      <c r="L503" s="3"/>
      <c r="M503" s="5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>
      <c r="A504" s="4"/>
      <c r="B504" s="3"/>
      <c r="C504" s="3"/>
      <c r="D504" s="3"/>
      <c r="E504" s="4"/>
      <c r="F504" s="3"/>
      <c r="G504" s="3"/>
      <c r="H504" s="3"/>
      <c r="I504" s="3"/>
      <c r="J504" s="3"/>
      <c r="K504" s="3"/>
      <c r="L504" s="3"/>
      <c r="M504" s="5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>
      <c r="A505" s="4"/>
      <c r="B505" s="3"/>
      <c r="C505" s="3"/>
      <c r="D505" s="3"/>
      <c r="E505" s="4"/>
      <c r="F505" s="3"/>
      <c r="G505" s="3"/>
      <c r="H505" s="3"/>
      <c r="I505" s="3"/>
      <c r="J505" s="3"/>
      <c r="K505" s="3"/>
      <c r="L505" s="3"/>
      <c r="M505" s="5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>
      <c r="A506" s="4"/>
      <c r="B506" s="3"/>
      <c r="C506" s="3"/>
      <c r="D506" s="3"/>
      <c r="E506" s="4"/>
      <c r="F506" s="3"/>
      <c r="G506" s="3"/>
      <c r="H506" s="3"/>
      <c r="I506" s="3"/>
      <c r="J506" s="3"/>
      <c r="K506" s="3"/>
      <c r="L506" s="3"/>
      <c r="M506" s="5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>
      <c r="A507" s="4"/>
      <c r="B507" s="3"/>
      <c r="C507" s="3"/>
      <c r="D507" s="3"/>
      <c r="E507" s="4"/>
      <c r="F507" s="3"/>
      <c r="G507" s="3"/>
      <c r="H507" s="3"/>
      <c r="I507" s="3"/>
      <c r="J507" s="3"/>
      <c r="K507" s="3"/>
      <c r="L507" s="3"/>
      <c r="M507" s="5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>
      <c r="A508" s="4"/>
      <c r="B508" s="3"/>
      <c r="C508" s="3"/>
      <c r="D508" s="3"/>
      <c r="E508" s="4"/>
      <c r="F508" s="3"/>
      <c r="G508" s="3"/>
      <c r="H508" s="3"/>
      <c r="I508" s="3"/>
      <c r="J508" s="3"/>
      <c r="K508" s="3"/>
      <c r="L508" s="3"/>
      <c r="M508" s="5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>
      <c r="A509" s="4"/>
      <c r="B509" s="3"/>
      <c r="C509" s="3"/>
      <c r="D509" s="3"/>
      <c r="E509" s="4"/>
      <c r="F509" s="3"/>
      <c r="G509" s="3"/>
      <c r="H509" s="3"/>
      <c r="I509" s="3"/>
      <c r="J509" s="3"/>
      <c r="K509" s="3"/>
      <c r="L509" s="3"/>
      <c r="M509" s="5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>
      <c r="A510" s="4"/>
      <c r="B510" s="3"/>
      <c r="C510" s="3"/>
      <c r="D510" s="3"/>
      <c r="E510" s="4"/>
      <c r="F510" s="3"/>
      <c r="G510" s="3"/>
      <c r="H510" s="3"/>
      <c r="I510" s="3"/>
      <c r="J510" s="3"/>
      <c r="K510" s="3"/>
      <c r="L510" s="3"/>
      <c r="M510" s="5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>
      <c r="A511" s="4"/>
      <c r="B511" s="3"/>
      <c r="C511" s="3"/>
      <c r="D511" s="3"/>
      <c r="E511" s="4"/>
      <c r="F511" s="3"/>
      <c r="G511" s="3"/>
      <c r="H511" s="3"/>
      <c r="I511" s="3"/>
      <c r="J511" s="3"/>
      <c r="K511" s="3"/>
      <c r="L511" s="3"/>
      <c r="M511" s="5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>
      <c r="A512" s="4"/>
      <c r="B512" s="3"/>
      <c r="C512" s="3"/>
      <c r="D512" s="3"/>
      <c r="E512" s="4"/>
      <c r="F512" s="3"/>
      <c r="G512" s="3"/>
      <c r="H512" s="3"/>
      <c r="I512" s="3"/>
      <c r="J512" s="3"/>
      <c r="K512" s="3"/>
      <c r="L512" s="3"/>
      <c r="M512" s="5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>
      <c r="A513" s="4"/>
      <c r="B513" s="3"/>
      <c r="C513" s="3"/>
      <c r="D513" s="3"/>
      <c r="E513" s="4"/>
      <c r="F513" s="3"/>
      <c r="G513" s="3"/>
      <c r="H513" s="3"/>
      <c r="I513" s="3"/>
      <c r="J513" s="3"/>
      <c r="K513" s="3"/>
      <c r="L513" s="3"/>
      <c r="M513" s="5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>
      <c r="A514" s="4"/>
      <c r="B514" s="3"/>
      <c r="C514" s="3"/>
      <c r="D514" s="3"/>
      <c r="E514" s="4"/>
      <c r="F514" s="3"/>
      <c r="G514" s="3"/>
      <c r="H514" s="3"/>
      <c r="I514" s="3"/>
      <c r="J514" s="3"/>
      <c r="K514" s="3"/>
      <c r="L514" s="3"/>
      <c r="M514" s="5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>
      <c r="A515" s="4"/>
      <c r="B515" s="3"/>
      <c r="C515" s="3"/>
      <c r="D515" s="3"/>
      <c r="E515" s="4"/>
      <c r="F515" s="3"/>
      <c r="G515" s="3"/>
      <c r="H515" s="3"/>
      <c r="I515" s="3"/>
      <c r="J515" s="3"/>
      <c r="K515" s="3"/>
      <c r="L515" s="3"/>
      <c r="M515" s="5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>
      <c r="A516" s="4"/>
      <c r="B516" s="3"/>
      <c r="C516" s="3"/>
      <c r="D516" s="3"/>
      <c r="E516" s="4"/>
      <c r="F516" s="3"/>
      <c r="G516" s="3"/>
      <c r="H516" s="3"/>
      <c r="I516" s="3"/>
      <c r="J516" s="3"/>
      <c r="K516" s="3"/>
      <c r="L516" s="3"/>
      <c r="M516" s="5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>
      <c r="A517" s="4"/>
      <c r="B517" s="3"/>
      <c r="C517" s="3"/>
      <c r="D517" s="3"/>
      <c r="E517" s="4"/>
      <c r="F517" s="3"/>
      <c r="G517" s="3"/>
      <c r="H517" s="3"/>
      <c r="I517" s="3"/>
      <c r="J517" s="3"/>
      <c r="K517" s="3"/>
      <c r="L517" s="3"/>
      <c r="M517" s="5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>
      <c r="A518" s="4"/>
      <c r="B518" s="3"/>
      <c r="C518" s="3"/>
      <c r="D518" s="3"/>
      <c r="E518" s="4"/>
      <c r="F518" s="3"/>
      <c r="G518" s="3"/>
      <c r="H518" s="3"/>
      <c r="I518" s="3"/>
      <c r="J518" s="3"/>
      <c r="K518" s="3"/>
      <c r="L518" s="3"/>
      <c r="M518" s="5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>
      <c r="A519" s="4"/>
      <c r="B519" s="3"/>
      <c r="C519" s="3"/>
      <c r="D519" s="3"/>
      <c r="E519" s="4"/>
      <c r="F519" s="3"/>
      <c r="G519" s="3"/>
      <c r="H519" s="3"/>
      <c r="I519" s="3"/>
      <c r="J519" s="3"/>
      <c r="K519" s="3"/>
      <c r="L519" s="3"/>
      <c r="M519" s="5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>
      <c r="A520" s="4"/>
      <c r="B520" s="3"/>
      <c r="C520" s="3"/>
      <c r="D520" s="3"/>
      <c r="E520" s="4"/>
      <c r="F520" s="3"/>
      <c r="G520" s="3"/>
      <c r="H520" s="3"/>
      <c r="I520" s="3"/>
      <c r="J520" s="3"/>
      <c r="K520" s="3"/>
      <c r="L520" s="3"/>
      <c r="M520" s="5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>
      <c r="A521" s="4"/>
      <c r="B521" s="3"/>
      <c r="C521" s="3"/>
      <c r="D521" s="3"/>
      <c r="E521" s="4"/>
      <c r="F521" s="3"/>
      <c r="G521" s="3"/>
      <c r="H521" s="3"/>
      <c r="I521" s="3"/>
      <c r="J521" s="3"/>
      <c r="K521" s="3"/>
      <c r="L521" s="3"/>
      <c r="M521" s="5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>
      <c r="A522" s="4"/>
      <c r="B522" s="3"/>
      <c r="C522" s="3"/>
      <c r="D522" s="3"/>
      <c r="E522" s="4"/>
      <c r="F522" s="3"/>
      <c r="G522" s="3"/>
      <c r="H522" s="3"/>
      <c r="I522" s="3"/>
      <c r="J522" s="3"/>
      <c r="K522" s="3"/>
      <c r="L522" s="3"/>
      <c r="M522" s="5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>
      <c r="A523" s="4"/>
      <c r="B523" s="3"/>
      <c r="C523" s="3"/>
      <c r="D523" s="3"/>
      <c r="E523" s="4"/>
      <c r="F523" s="3"/>
      <c r="G523" s="3"/>
      <c r="H523" s="3"/>
      <c r="I523" s="3"/>
      <c r="J523" s="3"/>
      <c r="K523" s="3"/>
      <c r="L523" s="3"/>
      <c r="M523" s="5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>
      <c r="A524" s="4"/>
      <c r="B524" s="3"/>
      <c r="C524" s="3"/>
      <c r="D524" s="3"/>
      <c r="E524" s="4"/>
      <c r="F524" s="3"/>
      <c r="G524" s="3"/>
      <c r="H524" s="3"/>
      <c r="I524" s="3"/>
      <c r="J524" s="3"/>
      <c r="K524" s="3"/>
      <c r="L524" s="3"/>
      <c r="M524" s="5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>
      <c r="A525" s="4"/>
      <c r="B525" s="3"/>
      <c r="C525" s="3"/>
      <c r="D525" s="3"/>
      <c r="E525" s="4"/>
      <c r="F525" s="3"/>
      <c r="G525" s="3"/>
      <c r="H525" s="3"/>
      <c r="I525" s="3"/>
      <c r="J525" s="3"/>
      <c r="K525" s="3"/>
      <c r="L525" s="3"/>
      <c r="M525" s="5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>
      <c r="A526" s="4"/>
      <c r="B526" s="3"/>
      <c r="C526" s="3"/>
      <c r="D526" s="3"/>
      <c r="E526" s="4"/>
      <c r="F526" s="3"/>
      <c r="G526" s="3"/>
      <c r="H526" s="3"/>
      <c r="I526" s="3"/>
      <c r="J526" s="3"/>
      <c r="K526" s="3"/>
      <c r="L526" s="3"/>
      <c r="M526" s="5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>
      <c r="A527" s="4"/>
      <c r="B527" s="3"/>
      <c r="C527" s="3"/>
      <c r="D527" s="3"/>
      <c r="E527" s="4"/>
      <c r="F527" s="3"/>
      <c r="G527" s="3"/>
      <c r="H527" s="3"/>
      <c r="I527" s="3"/>
      <c r="J527" s="3"/>
      <c r="K527" s="3"/>
      <c r="L527" s="3"/>
      <c r="M527" s="5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>
      <c r="A528" s="4"/>
      <c r="B528" s="3"/>
      <c r="C528" s="3"/>
      <c r="D528" s="3"/>
      <c r="E528" s="4"/>
      <c r="F528" s="3"/>
      <c r="G528" s="3"/>
      <c r="H528" s="3"/>
      <c r="I528" s="3"/>
      <c r="J528" s="3"/>
      <c r="K528" s="3"/>
      <c r="L528" s="3"/>
      <c r="M528" s="5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>
      <c r="A529" s="4"/>
      <c r="B529" s="3"/>
      <c r="C529" s="3"/>
      <c r="D529" s="3"/>
      <c r="E529" s="4"/>
      <c r="F529" s="3"/>
      <c r="G529" s="3"/>
      <c r="H529" s="3"/>
      <c r="I529" s="3"/>
      <c r="J529" s="3"/>
      <c r="K529" s="3"/>
      <c r="L529" s="3"/>
      <c r="M529" s="5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>
      <c r="A530" s="4"/>
      <c r="B530" s="3"/>
      <c r="C530" s="3"/>
      <c r="D530" s="3"/>
      <c r="E530" s="4"/>
      <c r="F530" s="3"/>
      <c r="G530" s="3"/>
      <c r="H530" s="3"/>
      <c r="I530" s="3"/>
      <c r="J530" s="3"/>
      <c r="K530" s="3"/>
      <c r="L530" s="3"/>
      <c r="M530" s="5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>
      <c r="A531" s="4"/>
      <c r="B531" s="3"/>
      <c r="C531" s="3"/>
      <c r="D531" s="3"/>
      <c r="E531" s="4"/>
      <c r="F531" s="3"/>
      <c r="G531" s="3"/>
      <c r="H531" s="3"/>
      <c r="I531" s="3"/>
      <c r="J531" s="3"/>
      <c r="K531" s="3"/>
      <c r="L531" s="3"/>
      <c r="M531" s="5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>
      <c r="A532" s="4"/>
      <c r="B532" s="3"/>
      <c r="C532" s="3"/>
      <c r="D532" s="3"/>
      <c r="E532" s="4"/>
      <c r="F532" s="3"/>
      <c r="G532" s="3"/>
      <c r="H532" s="3"/>
      <c r="I532" s="3"/>
      <c r="J532" s="3"/>
      <c r="K532" s="3"/>
      <c r="L532" s="3"/>
      <c r="M532" s="5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>
      <c r="A533" s="4"/>
      <c r="B533" s="3"/>
      <c r="C533" s="3"/>
      <c r="D533" s="3"/>
      <c r="E533" s="4"/>
      <c r="F533" s="3"/>
      <c r="G533" s="3"/>
      <c r="H533" s="3"/>
      <c r="I533" s="3"/>
      <c r="J533" s="3"/>
      <c r="K533" s="3"/>
      <c r="L533" s="3"/>
      <c r="M533" s="5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>
      <c r="A534" s="4"/>
      <c r="B534" s="3"/>
      <c r="C534" s="3"/>
      <c r="D534" s="3"/>
      <c r="E534" s="4"/>
      <c r="F534" s="3"/>
      <c r="G534" s="3"/>
      <c r="H534" s="3"/>
      <c r="I534" s="3"/>
      <c r="J534" s="3"/>
      <c r="K534" s="3"/>
      <c r="L534" s="3"/>
      <c r="M534" s="5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>
      <c r="A535" s="4"/>
      <c r="B535" s="3"/>
      <c r="C535" s="3"/>
      <c r="D535" s="3"/>
      <c r="E535" s="4"/>
      <c r="F535" s="3"/>
      <c r="G535" s="3"/>
      <c r="H535" s="3"/>
      <c r="I535" s="3"/>
      <c r="J535" s="3"/>
      <c r="K535" s="3"/>
      <c r="L535" s="3"/>
      <c r="M535" s="5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>
      <c r="A536" s="4"/>
      <c r="B536" s="3"/>
      <c r="C536" s="3"/>
      <c r="D536" s="3"/>
      <c r="E536" s="4"/>
      <c r="F536" s="3"/>
      <c r="G536" s="3"/>
      <c r="H536" s="3"/>
      <c r="I536" s="3"/>
      <c r="J536" s="3"/>
      <c r="K536" s="3"/>
      <c r="L536" s="3"/>
      <c r="M536" s="5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>
      <c r="A537" s="4"/>
      <c r="B537" s="3"/>
      <c r="C537" s="3"/>
      <c r="D537" s="3"/>
      <c r="E537" s="4"/>
      <c r="F537" s="3"/>
      <c r="G537" s="3"/>
      <c r="H537" s="3"/>
      <c r="I537" s="3"/>
      <c r="J537" s="3"/>
      <c r="K537" s="3"/>
      <c r="L537" s="3"/>
      <c r="M537" s="5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>
      <c r="A538" s="4"/>
      <c r="B538" s="3"/>
      <c r="C538" s="3"/>
      <c r="D538" s="3"/>
      <c r="E538" s="4"/>
      <c r="F538" s="3"/>
      <c r="G538" s="3"/>
      <c r="H538" s="3"/>
      <c r="I538" s="3"/>
      <c r="J538" s="3"/>
      <c r="K538" s="3"/>
      <c r="L538" s="3"/>
      <c r="M538" s="5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>
      <c r="A539" s="4"/>
      <c r="B539" s="3"/>
      <c r="C539" s="3"/>
      <c r="D539" s="3"/>
      <c r="E539" s="4"/>
      <c r="F539" s="3"/>
      <c r="G539" s="3"/>
      <c r="H539" s="3"/>
      <c r="I539" s="3"/>
      <c r="J539" s="3"/>
      <c r="K539" s="3"/>
      <c r="L539" s="3"/>
      <c r="M539" s="5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>
      <c r="A540" s="4"/>
      <c r="B540" s="3"/>
      <c r="C540" s="3"/>
      <c r="D540" s="3"/>
      <c r="E540" s="4"/>
      <c r="F540" s="3"/>
      <c r="G540" s="3"/>
      <c r="H540" s="3"/>
      <c r="I540" s="3"/>
      <c r="J540" s="3"/>
      <c r="K540" s="3"/>
      <c r="L540" s="3"/>
      <c r="M540" s="5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>
      <c r="A541" s="4"/>
      <c r="B541" s="3"/>
      <c r="C541" s="3"/>
      <c r="D541" s="3"/>
      <c r="E541" s="4"/>
      <c r="F541" s="3"/>
      <c r="G541" s="3"/>
      <c r="H541" s="3"/>
      <c r="I541" s="3"/>
      <c r="J541" s="3"/>
      <c r="K541" s="3"/>
      <c r="L541" s="3"/>
      <c r="M541" s="5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>
      <c r="A542" s="4"/>
      <c r="B542" s="3"/>
      <c r="C542" s="3"/>
      <c r="D542" s="3"/>
      <c r="E542" s="4"/>
      <c r="F542" s="3"/>
      <c r="G542" s="3"/>
      <c r="H542" s="3"/>
      <c r="I542" s="3"/>
      <c r="J542" s="3"/>
      <c r="K542" s="3"/>
      <c r="L542" s="3"/>
      <c r="M542" s="5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>
      <c r="A543" s="4"/>
      <c r="B543" s="3"/>
      <c r="C543" s="3"/>
      <c r="D543" s="3"/>
      <c r="E543" s="4"/>
      <c r="F543" s="3"/>
      <c r="G543" s="3"/>
      <c r="H543" s="3"/>
      <c r="I543" s="3"/>
      <c r="J543" s="3"/>
      <c r="K543" s="3"/>
      <c r="L543" s="3"/>
      <c r="M543" s="5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>
      <c r="A544" s="4"/>
      <c r="B544" s="3"/>
      <c r="C544" s="3"/>
      <c r="D544" s="3"/>
      <c r="E544" s="4"/>
      <c r="F544" s="3"/>
      <c r="G544" s="3"/>
      <c r="H544" s="3"/>
      <c r="I544" s="3"/>
      <c r="J544" s="3"/>
      <c r="K544" s="3"/>
      <c r="L544" s="3"/>
      <c r="M544" s="5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>
      <c r="A545" s="4"/>
      <c r="B545" s="3"/>
      <c r="C545" s="3"/>
      <c r="D545" s="3"/>
      <c r="E545" s="4"/>
      <c r="F545" s="3"/>
      <c r="G545" s="3"/>
      <c r="H545" s="3"/>
      <c r="I545" s="3"/>
      <c r="J545" s="3"/>
      <c r="K545" s="3"/>
      <c r="L545" s="3"/>
      <c r="M545" s="5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>
      <c r="A546" s="4"/>
      <c r="B546" s="3"/>
      <c r="C546" s="3"/>
      <c r="D546" s="3"/>
      <c r="E546" s="4"/>
      <c r="F546" s="3"/>
      <c r="G546" s="3"/>
      <c r="H546" s="3"/>
      <c r="I546" s="3"/>
      <c r="J546" s="3"/>
      <c r="K546" s="3"/>
      <c r="L546" s="3"/>
      <c r="M546" s="5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>
      <c r="A547" s="4"/>
      <c r="B547" s="3"/>
      <c r="C547" s="3"/>
      <c r="D547" s="3"/>
      <c r="E547" s="4"/>
      <c r="F547" s="3"/>
      <c r="G547" s="3"/>
      <c r="H547" s="3"/>
      <c r="I547" s="3"/>
      <c r="J547" s="3"/>
      <c r="K547" s="3"/>
      <c r="L547" s="3"/>
      <c r="M547" s="5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>
      <c r="A548" s="4"/>
      <c r="B548" s="3"/>
      <c r="C548" s="3"/>
      <c r="D548" s="3"/>
      <c r="E548" s="4"/>
      <c r="F548" s="3"/>
      <c r="G548" s="3"/>
      <c r="H548" s="3"/>
      <c r="I548" s="3"/>
      <c r="J548" s="3"/>
      <c r="K548" s="3"/>
      <c r="L548" s="3"/>
      <c r="M548" s="5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>
      <c r="A549" s="4"/>
      <c r="B549" s="3"/>
      <c r="C549" s="3"/>
      <c r="D549" s="3"/>
      <c r="E549" s="4"/>
      <c r="F549" s="3"/>
      <c r="G549" s="3"/>
      <c r="H549" s="3"/>
      <c r="I549" s="3"/>
      <c r="J549" s="3"/>
      <c r="K549" s="3"/>
      <c r="L549" s="3"/>
      <c r="M549" s="5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>
      <c r="A550" s="4"/>
      <c r="B550" s="3"/>
      <c r="C550" s="3"/>
      <c r="D550" s="3"/>
      <c r="E550" s="4"/>
      <c r="F550" s="3"/>
      <c r="G550" s="3"/>
      <c r="H550" s="3"/>
      <c r="I550" s="3"/>
      <c r="J550" s="3"/>
      <c r="K550" s="3"/>
      <c r="L550" s="3"/>
      <c r="M550" s="5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>
      <c r="A551" s="4"/>
      <c r="B551" s="3"/>
      <c r="C551" s="3"/>
      <c r="D551" s="3"/>
      <c r="E551" s="4"/>
      <c r="F551" s="3"/>
      <c r="G551" s="3"/>
      <c r="H551" s="3"/>
      <c r="I551" s="3"/>
      <c r="J551" s="3"/>
      <c r="K551" s="3"/>
      <c r="L551" s="3"/>
      <c r="M551" s="5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>
      <c r="A552" s="4"/>
      <c r="B552" s="3"/>
      <c r="C552" s="3"/>
      <c r="D552" s="3"/>
      <c r="E552" s="4"/>
      <c r="F552" s="3"/>
      <c r="G552" s="3"/>
      <c r="H552" s="3"/>
      <c r="I552" s="3"/>
      <c r="J552" s="3"/>
      <c r="K552" s="3"/>
      <c r="L552" s="3"/>
      <c r="M552" s="5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>
      <c r="A553" s="4"/>
      <c r="B553" s="3"/>
      <c r="C553" s="3"/>
      <c r="D553" s="3"/>
      <c r="E553" s="4"/>
      <c r="F553" s="3"/>
      <c r="G553" s="3"/>
      <c r="H553" s="3"/>
      <c r="I553" s="3"/>
      <c r="J553" s="3"/>
      <c r="K553" s="3"/>
      <c r="L553" s="3"/>
      <c r="M553" s="5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>
      <c r="A554" s="4"/>
      <c r="B554" s="3"/>
      <c r="C554" s="3"/>
      <c r="D554" s="3"/>
      <c r="E554" s="4"/>
      <c r="F554" s="3"/>
      <c r="G554" s="3"/>
      <c r="H554" s="3"/>
      <c r="I554" s="3"/>
      <c r="J554" s="3"/>
      <c r="K554" s="3"/>
      <c r="L554" s="3"/>
      <c r="M554" s="5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>
      <c r="A555" s="4"/>
      <c r="B555" s="3"/>
      <c r="C555" s="3"/>
      <c r="D555" s="3"/>
      <c r="E555" s="4"/>
      <c r="F555" s="3"/>
      <c r="G555" s="3"/>
      <c r="H555" s="3"/>
      <c r="I555" s="3"/>
      <c r="J555" s="3"/>
      <c r="K555" s="3"/>
      <c r="L555" s="3"/>
      <c r="M555" s="5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>
      <c r="A556" s="4"/>
      <c r="B556" s="3"/>
      <c r="C556" s="3"/>
      <c r="D556" s="3"/>
      <c r="E556" s="4"/>
      <c r="F556" s="3"/>
      <c r="G556" s="3"/>
      <c r="H556" s="3"/>
      <c r="I556" s="3"/>
      <c r="J556" s="3"/>
      <c r="K556" s="3"/>
      <c r="L556" s="3"/>
      <c r="M556" s="5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>
      <c r="A557" s="4"/>
      <c r="B557" s="3"/>
      <c r="C557" s="3"/>
      <c r="D557" s="3"/>
      <c r="E557" s="4"/>
      <c r="F557" s="3"/>
      <c r="G557" s="3"/>
      <c r="H557" s="3"/>
      <c r="I557" s="3"/>
      <c r="J557" s="3"/>
      <c r="K557" s="3"/>
      <c r="L557" s="3"/>
      <c r="M557" s="5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>
      <c r="A558" s="4"/>
      <c r="B558" s="3"/>
      <c r="C558" s="3"/>
      <c r="D558" s="3"/>
      <c r="E558" s="4"/>
      <c r="F558" s="3"/>
      <c r="G558" s="3"/>
      <c r="H558" s="3"/>
      <c r="I558" s="3"/>
      <c r="J558" s="3"/>
      <c r="K558" s="3"/>
      <c r="L558" s="3"/>
      <c r="M558" s="5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>
      <c r="A559" s="4"/>
      <c r="B559" s="3"/>
      <c r="C559" s="3"/>
      <c r="D559" s="3"/>
      <c r="E559" s="4"/>
      <c r="F559" s="3"/>
      <c r="G559" s="3"/>
      <c r="H559" s="3"/>
      <c r="I559" s="3"/>
      <c r="J559" s="3"/>
      <c r="K559" s="3"/>
      <c r="L559" s="3"/>
      <c r="M559" s="5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>
      <c r="A560" s="4"/>
      <c r="B560" s="3"/>
      <c r="C560" s="3"/>
      <c r="D560" s="3"/>
      <c r="E560" s="4"/>
      <c r="F560" s="3"/>
      <c r="G560" s="3"/>
      <c r="H560" s="3"/>
      <c r="I560" s="3"/>
      <c r="J560" s="3"/>
      <c r="K560" s="3"/>
      <c r="L560" s="3"/>
      <c r="M560" s="5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>
      <c r="A561" s="4"/>
      <c r="B561" s="3"/>
      <c r="C561" s="3"/>
      <c r="D561" s="3"/>
      <c r="E561" s="4"/>
      <c r="F561" s="3"/>
      <c r="G561" s="3"/>
      <c r="H561" s="3"/>
      <c r="I561" s="3"/>
      <c r="J561" s="3"/>
      <c r="K561" s="3"/>
      <c r="L561" s="3"/>
      <c r="M561" s="5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>
      <c r="A562" s="4"/>
      <c r="B562" s="3"/>
      <c r="C562" s="3"/>
      <c r="D562" s="3"/>
      <c r="E562" s="4"/>
      <c r="F562" s="3"/>
      <c r="G562" s="3"/>
      <c r="H562" s="3"/>
      <c r="I562" s="3"/>
      <c r="J562" s="3"/>
      <c r="K562" s="3"/>
      <c r="L562" s="3"/>
      <c r="M562" s="5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>
      <c r="A563" s="4"/>
      <c r="B563" s="3"/>
      <c r="C563" s="3"/>
      <c r="D563" s="3"/>
      <c r="E563" s="4"/>
      <c r="F563" s="3"/>
      <c r="G563" s="3"/>
      <c r="H563" s="3"/>
      <c r="I563" s="3"/>
      <c r="J563" s="3"/>
      <c r="K563" s="3"/>
      <c r="L563" s="3"/>
      <c r="M563" s="5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>
      <c r="A564" s="4"/>
      <c r="B564" s="3"/>
      <c r="C564" s="3"/>
      <c r="D564" s="3"/>
      <c r="E564" s="4"/>
      <c r="F564" s="3"/>
      <c r="G564" s="3"/>
      <c r="H564" s="3"/>
      <c r="I564" s="3"/>
      <c r="J564" s="3"/>
      <c r="K564" s="3"/>
      <c r="L564" s="3"/>
      <c r="M564" s="5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>
      <c r="A565" s="4"/>
      <c r="B565" s="3"/>
      <c r="C565" s="3"/>
      <c r="D565" s="3"/>
      <c r="E565" s="4"/>
      <c r="F565" s="3"/>
      <c r="G565" s="3"/>
      <c r="H565" s="3"/>
      <c r="I565" s="3"/>
      <c r="J565" s="3"/>
      <c r="K565" s="3"/>
      <c r="L565" s="3"/>
      <c r="M565" s="5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>
      <c r="A566" s="4"/>
      <c r="B566" s="3"/>
      <c r="C566" s="3"/>
      <c r="D566" s="3"/>
      <c r="E566" s="4"/>
      <c r="F566" s="3"/>
      <c r="G566" s="3"/>
      <c r="H566" s="3"/>
      <c r="I566" s="3"/>
      <c r="J566" s="3"/>
      <c r="K566" s="3"/>
      <c r="L566" s="3"/>
      <c r="M566" s="5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>
      <c r="A567" s="4"/>
      <c r="B567" s="3"/>
      <c r="C567" s="3"/>
      <c r="D567" s="3"/>
      <c r="E567" s="4"/>
      <c r="F567" s="3"/>
      <c r="G567" s="3"/>
      <c r="H567" s="3"/>
      <c r="I567" s="3"/>
      <c r="J567" s="3"/>
      <c r="K567" s="3"/>
      <c r="L567" s="3"/>
      <c r="M567" s="5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>
      <c r="A568" s="4"/>
      <c r="B568" s="3"/>
      <c r="C568" s="3"/>
      <c r="D568" s="3"/>
      <c r="E568" s="4"/>
      <c r="F568" s="3"/>
      <c r="G568" s="3"/>
      <c r="H568" s="3"/>
      <c r="I568" s="3"/>
      <c r="J568" s="3"/>
      <c r="K568" s="3"/>
      <c r="L568" s="3"/>
      <c r="M568" s="5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>
      <c r="A569" s="4"/>
      <c r="B569" s="3"/>
      <c r="C569" s="3"/>
      <c r="D569" s="3"/>
      <c r="E569" s="4"/>
      <c r="F569" s="3"/>
      <c r="G569" s="3"/>
      <c r="H569" s="3"/>
      <c r="I569" s="3"/>
      <c r="J569" s="3"/>
      <c r="K569" s="3"/>
      <c r="L569" s="3"/>
      <c r="M569" s="5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>
      <c r="A570" s="4"/>
      <c r="B570" s="3"/>
      <c r="C570" s="3"/>
      <c r="D570" s="3"/>
      <c r="E570" s="4"/>
      <c r="F570" s="3"/>
      <c r="G570" s="3"/>
      <c r="H570" s="3"/>
      <c r="I570" s="3"/>
      <c r="J570" s="3"/>
      <c r="K570" s="3"/>
      <c r="L570" s="3"/>
      <c r="M570" s="5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>
      <c r="A571" s="4"/>
      <c r="B571" s="3"/>
      <c r="C571" s="3"/>
      <c r="D571" s="3"/>
      <c r="E571" s="4"/>
      <c r="F571" s="3"/>
      <c r="G571" s="3"/>
      <c r="H571" s="3"/>
      <c r="I571" s="3"/>
      <c r="J571" s="3"/>
      <c r="K571" s="3"/>
      <c r="L571" s="3"/>
      <c r="M571" s="5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>
      <c r="A572" s="4"/>
      <c r="B572" s="3"/>
      <c r="C572" s="3"/>
      <c r="D572" s="3"/>
      <c r="E572" s="4"/>
      <c r="F572" s="3"/>
      <c r="G572" s="3"/>
      <c r="H572" s="3"/>
      <c r="I572" s="3"/>
      <c r="J572" s="3"/>
      <c r="K572" s="3"/>
      <c r="L572" s="3"/>
      <c r="M572" s="5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>
      <c r="A573" s="4"/>
      <c r="B573" s="3"/>
      <c r="C573" s="3"/>
      <c r="D573" s="3"/>
      <c r="E573" s="4"/>
      <c r="F573" s="3"/>
      <c r="G573" s="3"/>
      <c r="H573" s="3"/>
      <c r="I573" s="3"/>
      <c r="J573" s="3"/>
      <c r="K573" s="3"/>
      <c r="L573" s="3"/>
      <c r="M573" s="5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>
      <c r="A574" s="4"/>
      <c r="B574" s="3"/>
      <c r="C574" s="3"/>
      <c r="D574" s="3"/>
      <c r="E574" s="4"/>
      <c r="F574" s="3"/>
      <c r="G574" s="3"/>
      <c r="H574" s="3"/>
      <c r="I574" s="3"/>
      <c r="J574" s="3"/>
      <c r="K574" s="3"/>
      <c r="L574" s="3"/>
      <c r="M574" s="5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>
      <c r="A575" s="4"/>
      <c r="B575" s="3"/>
      <c r="C575" s="3"/>
      <c r="D575" s="3"/>
      <c r="E575" s="4"/>
      <c r="F575" s="3"/>
      <c r="G575" s="3"/>
      <c r="H575" s="3"/>
      <c r="I575" s="3"/>
      <c r="J575" s="3"/>
      <c r="K575" s="3"/>
      <c r="L575" s="3"/>
      <c r="M575" s="5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>
      <c r="A576" s="4"/>
      <c r="B576" s="3"/>
      <c r="C576" s="3"/>
      <c r="D576" s="3"/>
      <c r="E576" s="4"/>
      <c r="F576" s="3"/>
      <c r="G576" s="3"/>
      <c r="H576" s="3"/>
      <c r="I576" s="3"/>
      <c r="J576" s="3"/>
      <c r="K576" s="3"/>
      <c r="L576" s="3"/>
      <c r="M576" s="5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>
      <c r="A577" s="4"/>
      <c r="B577" s="3"/>
      <c r="C577" s="3"/>
      <c r="D577" s="3"/>
      <c r="E577" s="4"/>
      <c r="F577" s="3"/>
      <c r="G577" s="3"/>
      <c r="H577" s="3"/>
      <c r="I577" s="3"/>
      <c r="J577" s="3"/>
      <c r="K577" s="3"/>
      <c r="L577" s="3"/>
      <c r="M577" s="5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>
      <c r="A578" s="4"/>
      <c r="B578" s="3"/>
      <c r="C578" s="3"/>
      <c r="D578" s="3"/>
      <c r="E578" s="4"/>
      <c r="F578" s="3"/>
      <c r="G578" s="3"/>
      <c r="H578" s="3"/>
      <c r="I578" s="3"/>
      <c r="J578" s="3"/>
      <c r="K578" s="3"/>
      <c r="L578" s="3"/>
      <c r="M578" s="5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>
      <c r="A579" s="4"/>
      <c r="B579" s="3"/>
      <c r="C579" s="3"/>
      <c r="D579" s="3"/>
      <c r="E579" s="4"/>
      <c r="F579" s="3"/>
      <c r="G579" s="3"/>
      <c r="H579" s="3"/>
      <c r="I579" s="3"/>
      <c r="J579" s="3"/>
      <c r="K579" s="3"/>
      <c r="L579" s="3"/>
      <c r="M579" s="5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>
      <c r="A580" s="4"/>
      <c r="B580" s="3"/>
      <c r="C580" s="3"/>
      <c r="D580" s="3"/>
      <c r="E580" s="4"/>
      <c r="F580" s="3"/>
      <c r="G580" s="3"/>
      <c r="H580" s="3"/>
      <c r="I580" s="3"/>
      <c r="J580" s="3"/>
      <c r="K580" s="3"/>
      <c r="L580" s="3"/>
      <c r="M580" s="5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>
      <c r="A581" s="4"/>
      <c r="B581" s="3"/>
      <c r="C581" s="3"/>
      <c r="D581" s="3"/>
      <c r="E581" s="4"/>
      <c r="F581" s="3"/>
      <c r="G581" s="3"/>
      <c r="H581" s="3"/>
      <c r="I581" s="3"/>
      <c r="J581" s="3"/>
      <c r="K581" s="3"/>
      <c r="L581" s="3"/>
      <c r="M581" s="5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>
      <c r="A582" s="4"/>
      <c r="B582" s="3"/>
      <c r="C582" s="3"/>
      <c r="D582" s="3"/>
      <c r="E582" s="4"/>
      <c r="F582" s="3"/>
      <c r="G582" s="3"/>
      <c r="H582" s="3"/>
      <c r="I582" s="3"/>
      <c r="J582" s="3"/>
      <c r="K582" s="3"/>
      <c r="L582" s="3"/>
      <c r="M582" s="5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>
      <c r="A583" s="4"/>
      <c r="B583" s="3"/>
      <c r="C583" s="3"/>
      <c r="D583" s="3"/>
      <c r="E583" s="4"/>
      <c r="F583" s="3"/>
      <c r="G583" s="3"/>
      <c r="H583" s="3"/>
      <c r="I583" s="3"/>
      <c r="J583" s="3"/>
      <c r="K583" s="3"/>
      <c r="L583" s="3"/>
      <c r="M583" s="5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>
      <c r="A584" s="4"/>
      <c r="B584" s="3"/>
      <c r="C584" s="3"/>
      <c r="D584" s="3"/>
      <c r="E584" s="4"/>
      <c r="F584" s="3"/>
      <c r="G584" s="3"/>
      <c r="H584" s="3"/>
      <c r="I584" s="3"/>
      <c r="J584" s="3"/>
      <c r="K584" s="3"/>
      <c r="L584" s="3"/>
      <c r="M584" s="5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>
      <c r="A585" s="4"/>
      <c r="B585" s="3"/>
      <c r="C585" s="3"/>
      <c r="D585" s="3"/>
      <c r="E585" s="4"/>
      <c r="F585" s="3"/>
      <c r="G585" s="3"/>
      <c r="H585" s="3"/>
      <c r="I585" s="3"/>
      <c r="J585" s="3"/>
      <c r="K585" s="3"/>
      <c r="L585" s="3"/>
      <c r="M585" s="5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>
      <c r="A586" s="4"/>
      <c r="B586" s="3"/>
      <c r="C586" s="3"/>
      <c r="D586" s="3"/>
      <c r="E586" s="4"/>
      <c r="F586" s="3"/>
      <c r="G586" s="3"/>
      <c r="H586" s="3"/>
      <c r="I586" s="3"/>
      <c r="J586" s="3"/>
      <c r="K586" s="3"/>
      <c r="L586" s="3"/>
      <c r="M586" s="5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>
      <c r="A587" s="4"/>
      <c r="B587" s="3"/>
      <c r="C587" s="3"/>
      <c r="D587" s="3"/>
      <c r="E587" s="4"/>
      <c r="F587" s="3"/>
      <c r="G587" s="3"/>
      <c r="H587" s="3"/>
      <c r="I587" s="3"/>
      <c r="J587" s="3"/>
      <c r="K587" s="3"/>
      <c r="L587" s="3"/>
      <c r="M587" s="5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>
      <c r="A588" s="4"/>
      <c r="B588" s="3"/>
      <c r="C588" s="3"/>
      <c r="D588" s="3"/>
      <c r="E588" s="4"/>
      <c r="F588" s="3"/>
      <c r="G588" s="3"/>
      <c r="H588" s="3"/>
      <c r="I588" s="3"/>
      <c r="J588" s="3"/>
      <c r="K588" s="3"/>
      <c r="L588" s="3"/>
      <c r="M588" s="5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>
      <c r="A589" s="4"/>
      <c r="B589" s="3"/>
      <c r="C589" s="3"/>
      <c r="D589" s="3"/>
      <c r="E589" s="4"/>
      <c r="F589" s="3"/>
      <c r="G589" s="3"/>
      <c r="H589" s="3"/>
      <c r="I589" s="3"/>
      <c r="J589" s="3"/>
      <c r="K589" s="3"/>
      <c r="L589" s="3"/>
      <c r="M589" s="5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>
      <c r="A590" s="4"/>
      <c r="B590" s="3"/>
      <c r="C590" s="3"/>
      <c r="D590" s="3"/>
      <c r="E590" s="4"/>
      <c r="F590" s="3"/>
      <c r="G590" s="3"/>
      <c r="H590" s="3"/>
      <c r="I590" s="3"/>
      <c r="J590" s="3"/>
      <c r="K590" s="3"/>
      <c r="L590" s="3"/>
      <c r="M590" s="5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>
      <c r="A591" s="4"/>
      <c r="B591" s="3"/>
      <c r="C591" s="3"/>
      <c r="D591" s="3"/>
      <c r="E591" s="4"/>
      <c r="F591" s="3"/>
      <c r="G591" s="3"/>
      <c r="H591" s="3"/>
      <c r="I591" s="3"/>
      <c r="J591" s="3"/>
      <c r="K591" s="3"/>
      <c r="L591" s="3"/>
      <c r="M591" s="5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>
      <c r="A592" s="4"/>
      <c r="B592" s="3"/>
      <c r="C592" s="3"/>
      <c r="D592" s="3"/>
      <c r="E592" s="4"/>
      <c r="F592" s="3"/>
      <c r="G592" s="3"/>
      <c r="H592" s="3"/>
      <c r="I592" s="3"/>
      <c r="J592" s="3"/>
      <c r="K592" s="3"/>
      <c r="L592" s="3"/>
      <c r="M592" s="5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>
      <c r="A593" s="4"/>
      <c r="B593" s="3"/>
      <c r="C593" s="3"/>
      <c r="D593" s="3"/>
      <c r="E593" s="4"/>
      <c r="F593" s="3"/>
      <c r="G593" s="3"/>
      <c r="H593" s="3"/>
      <c r="I593" s="3"/>
      <c r="J593" s="3"/>
      <c r="K593" s="3"/>
      <c r="L593" s="3"/>
      <c r="M593" s="5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>
      <c r="A594" s="4"/>
      <c r="B594" s="3"/>
      <c r="C594" s="3"/>
      <c r="D594" s="3"/>
      <c r="E594" s="4"/>
      <c r="F594" s="3"/>
      <c r="G594" s="3"/>
      <c r="H594" s="3"/>
      <c r="I594" s="3"/>
      <c r="J594" s="3"/>
      <c r="K594" s="3"/>
      <c r="L594" s="3"/>
      <c r="M594" s="5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>
      <c r="A595" s="4"/>
      <c r="B595" s="3"/>
      <c r="C595" s="3"/>
      <c r="D595" s="3"/>
      <c r="E595" s="4"/>
      <c r="F595" s="3"/>
      <c r="G595" s="3"/>
      <c r="H595" s="3"/>
      <c r="I595" s="3"/>
      <c r="J595" s="3"/>
      <c r="K595" s="3"/>
      <c r="L595" s="3"/>
      <c r="M595" s="5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>
      <c r="A596" s="4"/>
      <c r="B596" s="3"/>
      <c r="C596" s="3"/>
      <c r="D596" s="3"/>
      <c r="E596" s="4"/>
      <c r="F596" s="3"/>
      <c r="G596" s="3"/>
      <c r="H596" s="3"/>
      <c r="I596" s="3"/>
      <c r="J596" s="3"/>
      <c r="K596" s="3"/>
      <c r="L596" s="3"/>
      <c r="M596" s="5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>
      <c r="A597" s="4"/>
      <c r="B597" s="3"/>
      <c r="C597" s="3"/>
      <c r="D597" s="3"/>
      <c r="E597" s="4"/>
      <c r="F597" s="3"/>
      <c r="G597" s="3"/>
      <c r="H597" s="3"/>
      <c r="I597" s="3"/>
      <c r="J597" s="3"/>
      <c r="K597" s="3"/>
      <c r="L597" s="3"/>
      <c r="M597" s="5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>
      <c r="A598" s="4"/>
      <c r="B598" s="3"/>
      <c r="C598" s="3"/>
      <c r="D598" s="3"/>
      <c r="E598" s="4"/>
      <c r="F598" s="3"/>
      <c r="G598" s="3"/>
      <c r="H598" s="3"/>
      <c r="I598" s="3"/>
      <c r="J598" s="3"/>
      <c r="K598" s="3"/>
      <c r="L598" s="3"/>
      <c r="M598" s="5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>
      <c r="A599" s="4"/>
      <c r="B599" s="3"/>
      <c r="C599" s="3"/>
      <c r="D599" s="3"/>
      <c r="E599" s="4"/>
      <c r="F599" s="3"/>
      <c r="G599" s="3"/>
      <c r="H599" s="3"/>
      <c r="I599" s="3"/>
      <c r="J599" s="3"/>
      <c r="K599" s="3"/>
      <c r="L599" s="3"/>
      <c r="M599" s="5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>
      <c r="A600" s="4"/>
      <c r="B600" s="3"/>
      <c r="C600" s="3"/>
      <c r="D600" s="3"/>
      <c r="E600" s="4"/>
      <c r="F600" s="3"/>
      <c r="G600" s="3"/>
      <c r="H600" s="3"/>
      <c r="I600" s="3"/>
      <c r="J600" s="3"/>
      <c r="K600" s="3"/>
      <c r="L600" s="3"/>
      <c r="M600" s="5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>
      <c r="A601" s="4"/>
      <c r="B601" s="3"/>
      <c r="C601" s="3"/>
      <c r="D601" s="3"/>
      <c r="E601" s="4"/>
      <c r="F601" s="3"/>
      <c r="G601" s="3"/>
      <c r="H601" s="3"/>
      <c r="I601" s="3"/>
      <c r="J601" s="3"/>
      <c r="K601" s="3"/>
      <c r="L601" s="3"/>
      <c r="M601" s="5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>
      <c r="A602" s="4"/>
      <c r="B602" s="3"/>
      <c r="C602" s="3"/>
      <c r="D602" s="3"/>
      <c r="E602" s="4"/>
      <c r="F602" s="3"/>
      <c r="G602" s="3"/>
      <c r="H602" s="3"/>
      <c r="I602" s="3"/>
      <c r="J602" s="3"/>
      <c r="K602" s="3"/>
      <c r="L602" s="3"/>
      <c r="M602" s="5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>
      <c r="A603" s="4"/>
      <c r="B603" s="3"/>
      <c r="C603" s="3"/>
      <c r="D603" s="3"/>
      <c r="E603" s="4"/>
      <c r="F603" s="3"/>
      <c r="G603" s="3"/>
      <c r="H603" s="3"/>
      <c r="I603" s="3"/>
      <c r="J603" s="3"/>
      <c r="K603" s="3"/>
      <c r="L603" s="3"/>
      <c r="M603" s="5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>
      <c r="A604" s="4"/>
      <c r="B604" s="3"/>
      <c r="C604" s="3"/>
      <c r="D604" s="3"/>
      <c r="E604" s="4"/>
      <c r="F604" s="3"/>
      <c r="G604" s="3"/>
      <c r="H604" s="3"/>
      <c r="I604" s="3"/>
      <c r="J604" s="3"/>
      <c r="K604" s="3"/>
      <c r="L604" s="3"/>
      <c r="M604" s="5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>
      <c r="A605" s="4"/>
      <c r="B605" s="3"/>
      <c r="C605" s="3"/>
      <c r="D605" s="3"/>
      <c r="E605" s="4"/>
      <c r="F605" s="3"/>
      <c r="G605" s="3"/>
      <c r="H605" s="3"/>
      <c r="I605" s="3"/>
      <c r="J605" s="3"/>
      <c r="K605" s="3"/>
      <c r="L605" s="3"/>
      <c r="M605" s="5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>
      <c r="A606" s="4"/>
      <c r="B606" s="3"/>
      <c r="C606" s="3"/>
      <c r="D606" s="3"/>
      <c r="E606" s="4"/>
      <c r="F606" s="3"/>
      <c r="G606" s="3"/>
      <c r="H606" s="3"/>
      <c r="I606" s="3"/>
      <c r="J606" s="3"/>
      <c r="K606" s="3"/>
      <c r="L606" s="3"/>
      <c r="M606" s="5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>
      <c r="A607" s="4"/>
      <c r="B607" s="3"/>
      <c r="C607" s="3"/>
      <c r="D607" s="3"/>
      <c r="E607" s="4"/>
      <c r="F607" s="3"/>
      <c r="G607" s="3"/>
      <c r="H607" s="3"/>
      <c r="I607" s="3"/>
      <c r="J607" s="3"/>
      <c r="K607" s="3"/>
      <c r="L607" s="3"/>
      <c r="M607" s="5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>
      <c r="A608" s="4"/>
      <c r="B608" s="3"/>
      <c r="C608" s="3"/>
      <c r="D608" s="3"/>
      <c r="E608" s="4"/>
      <c r="F608" s="3"/>
      <c r="G608" s="3"/>
      <c r="H608" s="3"/>
      <c r="I608" s="3"/>
      <c r="J608" s="3"/>
      <c r="K608" s="3"/>
      <c r="L608" s="3"/>
      <c r="M608" s="5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>
      <c r="A609" s="4"/>
      <c r="B609" s="3"/>
      <c r="C609" s="3"/>
      <c r="D609" s="3"/>
      <c r="E609" s="4"/>
      <c r="F609" s="3"/>
      <c r="G609" s="3"/>
      <c r="H609" s="3"/>
      <c r="I609" s="3"/>
      <c r="J609" s="3"/>
      <c r="K609" s="3"/>
      <c r="L609" s="3"/>
      <c r="M609" s="5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>
      <c r="A610" s="4"/>
      <c r="B610" s="3"/>
      <c r="C610" s="3"/>
      <c r="D610" s="3"/>
      <c r="E610" s="4"/>
      <c r="F610" s="3"/>
      <c r="G610" s="3"/>
      <c r="H610" s="3"/>
      <c r="I610" s="3"/>
      <c r="J610" s="3"/>
      <c r="K610" s="3"/>
      <c r="L610" s="3"/>
      <c r="M610" s="5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>
      <c r="A611" s="4"/>
      <c r="B611" s="3"/>
      <c r="C611" s="3"/>
      <c r="D611" s="3"/>
      <c r="E611" s="4"/>
      <c r="F611" s="3"/>
      <c r="G611" s="3"/>
      <c r="H611" s="3"/>
      <c r="I611" s="3"/>
      <c r="J611" s="3"/>
      <c r="K611" s="3"/>
      <c r="L611" s="3"/>
      <c r="M611" s="5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>
      <c r="A612" s="4"/>
      <c r="B612" s="3"/>
      <c r="C612" s="3"/>
      <c r="D612" s="3"/>
      <c r="E612" s="4"/>
      <c r="F612" s="3"/>
      <c r="G612" s="3"/>
      <c r="H612" s="3"/>
      <c r="I612" s="3"/>
      <c r="J612" s="3"/>
      <c r="K612" s="3"/>
      <c r="L612" s="3"/>
      <c r="M612" s="5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>
      <c r="A613" s="4"/>
      <c r="B613" s="3"/>
      <c r="C613" s="3"/>
      <c r="D613" s="3"/>
      <c r="E613" s="4"/>
      <c r="F613" s="3"/>
      <c r="G613" s="3"/>
      <c r="H613" s="3"/>
      <c r="I613" s="3"/>
      <c r="J613" s="3"/>
      <c r="K613" s="3"/>
      <c r="L613" s="3"/>
      <c r="M613" s="5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>
      <c r="A614" s="4"/>
      <c r="B614" s="3"/>
      <c r="C614" s="3"/>
      <c r="D614" s="3"/>
      <c r="E614" s="4"/>
      <c r="F614" s="3"/>
      <c r="G614" s="3"/>
      <c r="H614" s="3"/>
      <c r="I614" s="3"/>
      <c r="J614" s="3"/>
      <c r="K614" s="3"/>
      <c r="L614" s="3"/>
      <c r="M614" s="5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>
      <c r="A615" s="4"/>
      <c r="B615" s="3"/>
      <c r="C615" s="3"/>
      <c r="D615" s="3"/>
      <c r="E615" s="4"/>
      <c r="F615" s="3"/>
      <c r="G615" s="3"/>
      <c r="H615" s="3"/>
      <c r="I615" s="3"/>
      <c r="J615" s="3"/>
      <c r="K615" s="3"/>
      <c r="L615" s="3"/>
      <c r="M615" s="5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>
      <c r="A616" s="4"/>
      <c r="B616" s="3"/>
      <c r="C616" s="3"/>
      <c r="D616" s="3"/>
      <c r="E616" s="4"/>
      <c r="F616" s="3"/>
      <c r="G616" s="3"/>
      <c r="H616" s="3"/>
      <c r="I616" s="3"/>
      <c r="J616" s="3"/>
      <c r="K616" s="3"/>
      <c r="L616" s="3"/>
      <c r="M616" s="5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>
      <c r="A617" s="4"/>
      <c r="B617" s="3"/>
      <c r="C617" s="3"/>
      <c r="D617" s="3"/>
      <c r="E617" s="4"/>
      <c r="F617" s="3"/>
      <c r="G617" s="3"/>
      <c r="H617" s="3"/>
      <c r="I617" s="3"/>
      <c r="J617" s="3"/>
      <c r="K617" s="3"/>
      <c r="L617" s="3"/>
      <c r="M617" s="5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>
      <c r="A618" s="4"/>
      <c r="B618" s="3"/>
      <c r="C618" s="3"/>
      <c r="D618" s="3"/>
      <c r="E618" s="4"/>
      <c r="F618" s="3"/>
      <c r="G618" s="3"/>
      <c r="H618" s="3"/>
      <c r="I618" s="3"/>
      <c r="J618" s="3"/>
      <c r="K618" s="3"/>
      <c r="L618" s="3"/>
      <c r="M618" s="5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>
      <c r="A619" s="4"/>
      <c r="B619" s="3"/>
      <c r="C619" s="3"/>
      <c r="D619" s="3"/>
      <c r="E619" s="4"/>
      <c r="F619" s="3"/>
      <c r="G619" s="3"/>
      <c r="H619" s="3"/>
      <c r="I619" s="3"/>
      <c r="J619" s="3"/>
      <c r="K619" s="3"/>
      <c r="L619" s="3"/>
      <c r="M619" s="5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>
      <c r="A620" s="4"/>
      <c r="B620" s="3"/>
      <c r="C620" s="3"/>
      <c r="D620" s="3"/>
      <c r="E620" s="4"/>
      <c r="F620" s="3"/>
      <c r="G620" s="3"/>
      <c r="H620" s="3"/>
      <c r="I620" s="3"/>
      <c r="J620" s="3"/>
      <c r="K620" s="3"/>
      <c r="L620" s="3"/>
      <c r="M620" s="5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>
      <c r="A621" s="4"/>
      <c r="B621" s="3"/>
      <c r="C621" s="3"/>
      <c r="D621" s="3"/>
      <c r="E621" s="4"/>
      <c r="F621" s="3"/>
      <c r="G621" s="3"/>
      <c r="H621" s="3"/>
      <c r="I621" s="3"/>
      <c r="J621" s="3"/>
      <c r="K621" s="3"/>
      <c r="L621" s="3"/>
      <c r="M621" s="5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>
      <c r="A622" s="4"/>
      <c r="B622" s="3"/>
      <c r="C622" s="3"/>
      <c r="D622" s="3"/>
      <c r="E622" s="4"/>
      <c r="F622" s="3"/>
      <c r="G622" s="3"/>
      <c r="H622" s="3"/>
      <c r="I622" s="3"/>
      <c r="J622" s="3"/>
      <c r="K622" s="3"/>
      <c r="L622" s="3"/>
      <c r="M622" s="5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>
      <c r="A623" s="4"/>
      <c r="B623" s="3"/>
      <c r="C623" s="3"/>
      <c r="D623" s="3"/>
      <c r="E623" s="4"/>
      <c r="F623" s="3"/>
      <c r="G623" s="3"/>
      <c r="H623" s="3"/>
      <c r="I623" s="3"/>
      <c r="J623" s="3"/>
      <c r="K623" s="3"/>
      <c r="L623" s="3"/>
      <c r="M623" s="5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>
      <c r="A624" s="4"/>
      <c r="B624" s="3"/>
      <c r="C624" s="3"/>
      <c r="D624" s="3"/>
      <c r="E624" s="4"/>
      <c r="F624" s="3"/>
      <c r="G624" s="3"/>
      <c r="H624" s="3"/>
      <c r="I624" s="3"/>
      <c r="J624" s="3"/>
      <c r="K624" s="3"/>
      <c r="L624" s="3"/>
      <c r="M624" s="5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>
      <c r="A625" s="4"/>
      <c r="B625" s="3"/>
      <c r="C625" s="3"/>
      <c r="D625" s="3"/>
      <c r="E625" s="4"/>
      <c r="F625" s="3"/>
      <c r="G625" s="3"/>
      <c r="H625" s="3"/>
      <c r="I625" s="3"/>
      <c r="J625" s="3"/>
      <c r="K625" s="3"/>
      <c r="L625" s="3"/>
      <c r="M625" s="5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>
      <c r="A626" s="4"/>
      <c r="B626" s="3"/>
      <c r="C626" s="3"/>
      <c r="D626" s="3"/>
      <c r="E626" s="4"/>
      <c r="F626" s="3"/>
      <c r="G626" s="3"/>
      <c r="H626" s="3"/>
      <c r="I626" s="3"/>
      <c r="J626" s="3"/>
      <c r="K626" s="3"/>
      <c r="L626" s="3"/>
      <c r="M626" s="5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>
      <c r="A627" s="4"/>
      <c r="B627" s="3"/>
      <c r="C627" s="3"/>
      <c r="D627" s="3"/>
      <c r="E627" s="4"/>
      <c r="F627" s="3"/>
      <c r="G627" s="3"/>
      <c r="H627" s="3"/>
      <c r="I627" s="3"/>
      <c r="J627" s="3"/>
      <c r="K627" s="3"/>
      <c r="L627" s="3"/>
      <c r="M627" s="5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>
      <c r="A628" s="4"/>
      <c r="B628" s="3"/>
      <c r="C628" s="3"/>
      <c r="D628" s="3"/>
      <c r="E628" s="4"/>
      <c r="F628" s="3"/>
      <c r="G628" s="3"/>
      <c r="H628" s="3"/>
      <c r="I628" s="3"/>
      <c r="J628" s="3"/>
      <c r="K628" s="3"/>
      <c r="L628" s="3"/>
      <c r="M628" s="5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>
      <c r="A629" s="4"/>
      <c r="B629" s="3"/>
      <c r="C629" s="3"/>
      <c r="D629" s="3"/>
      <c r="E629" s="4"/>
      <c r="F629" s="3"/>
      <c r="G629" s="3"/>
      <c r="H629" s="3"/>
      <c r="I629" s="3"/>
      <c r="J629" s="3"/>
      <c r="K629" s="3"/>
      <c r="L629" s="3"/>
      <c r="M629" s="5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>
      <c r="A630" s="4"/>
      <c r="B630" s="3"/>
      <c r="C630" s="3"/>
      <c r="D630" s="3"/>
      <c r="E630" s="4"/>
      <c r="F630" s="3"/>
      <c r="G630" s="3"/>
      <c r="H630" s="3"/>
      <c r="I630" s="3"/>
      <c r="J630" s="3"/>
      <c r="K630" s="3"/>
      <c r="L630" s="3"/>
      <c r="M630" s="5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>
      <c r="A631" s="4"/>
      <c r="B631" s="3"/>
      <c r="C631" s="3"/>
      <c r="D631" s="3"/>
      <c r="E631" s="4"/>
      <c r="F631" s="3"/>
      <c r="G631" s="3"/>
      <c r="H631" s="3"/>
      <c r="I631" s="3"/>
      <c r="J631" s="3"/>
      <c r="K631" s="3"/>
      <c r="L631" s="3"/>
      <c r="M631" s="5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>
      <c r="A632" s="4"/>
      <c r="B632" s="3"/>
      <c r="C632" s="3"/>
      <c r="D632" s="3"/>
      <c r="E632" s="4"/>
      <c r="F632" s="3"/>
      <c r="G632" s="3"/>
      <c r="H632" s="3"/>
      <c r="I632" s="3"/>
      <c r="J632" s="3"/>
      <c r="K632" s="3"/>
      <c r="L632" s="3"/>
      <c r="M632" s="5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>
      <c r="A633" s="4"/>
      <c r="B633" s="3"/>
      <c r="C633" s="3"/>
      <c r="D633" s="3"/>
      <c r="E633" s="4"/>
      <c r="F633" s="3"/>
      <c r="G633" s="3"/>
      <c r="H633" s="3"/>
      <c r="I633" s="3"/>
      <c r="J633" s="3"/>
      <c r="K633" s="3"/>
      <c r="L633" s="3"/>
      <c r="M633" s="5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>
      <c r="A634" s="4"/>
      <c r="B634" s="3"/>
      <c r="C634" s="3"/>
      <c r="D634" s="3"/>
      <c r="E634" s="4"/>
      <c r="F634" s="3"/>
      <c r="G634" s="3"/>
      <c r="H634" s="3"/>
      <c r="I634" s="3"/>
      <c r="J634" s="3"/>
      <c r="K634" s="3"/>
      <c r="L634" s="3"/>
      <c r="M634" s="5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>
      <c r="A635" s="4"/>
      <c r="B635" s="3"/>
      <c r="C635" s="3"/>
      <c r="D635" s="3"/>
      <c r="E635" s="4"/>
      <c r="F635" s="3"/>
      <c r="G635" s="3"/>
      <c r="H635" s="3"/>
      <c r="I635" s="3"/>
      <c r="J635" s="3"/>
      <c r="K635" s="3"/>
      <c r="L635" s="3"/>
      <c r="M635" s="5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>
      <c r="A636" s="4"/>
      <c r="B636" s="3"/>
      <c r="C636" s="3"/>
      <c r="D636" s="3"/>
      <c r="E636" s="4"/>
      <c r="F636" s="3"/>
      <c r="G636" s="3"/>
      <c r="H636" s="3"/>
      <c r="I636" s="3"/>
      <c r="J636" s="3"/>
      <c r="K636" s="3"/>
      <c r="L636" s="3"/>
      <c r="M636" s="5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>
      <c r="A637" s="4"/>
      <c r="B637" s="3"/>
      <c r="C637" s="3"/>
      <c r="D637" s="3"/>
      <c r="E637" s="4"/>
      <c r="F637" s="3"/>
      <c r="G637" s="3"/>
      <c r="H637" s="3"/>
      <c r="I637" s="3"/>
      <c r="J637" s="3"/>
      <c r="K637" s="3"/>
      <c r="L637" s="3"/>
      <c r="M637" s="5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>
      <c r="A638" s="4"/>
      <c r="B638" s="3"/>
      <c r="C638" s="3"/>
      <c r="D638" s="3"/>
      <c r="E638" s="4"/>
      <c r="F638" s="3"/>
      <c r="G638" s="3"/>
      <c r="H638" s="3"/>
      <c r="I638" s="3"/>
      <c r="J638" s="3"/>
      <c r="K638" s="3"/>
      <c r="L638" s="3"/>
      <c r="M638" s="5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>
      <c r="A639" s="4"/>
      <c r="B639" s="3"/>
      <c r="C639" s="3"/>
      <c r="D639" s="3"/>
      <c r="E639" s="4"/>
      <c r="F639" s="3"/>
      <c r="G639" s="3"/>
      <c r="H639" s="3"/>
      <c r="I639" s="3"/>
      <c r="J639" s="3"/>
      <c r="K639" s="3"/>
      <c r="L639" s="3"/>
      <c r="M639" s="5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>
      <c r="A640" s="4"/>
      <c r="B640" s="3"/>
      <c r="C640" s="3"/>
      <c r="D640" s="3"/>
      <c r="E640" s="4"/>
      <c r="F640" s="3"/>
      <c r="G640" s="3"/>
      <c r="H640" s="3"/>
      <c r="I640" s="3"/>
      <c r="J640" s="3"/>
      <c r="K640" s="3"/>
      <c r="L640" s="3"/>
      <c r="M640" s="5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>
      <c r="A641" s="4"/>
      <c r="B641" s="3"/>
      <c r="C641" s="3"/>
      <c r="D641" s="3"/>
      <c r="E641" s="4"/>
      <c r="F641" s="3"/>
      <c r="G641" s="3"/>
      <c r="H641" s="3"/>
      <c r="I641" s="3"/>
      <c r="J641" s="3"/>
      <c r="K641" s="3"/>
      <c r="L641" s="3"/>
      <c r="M641" s="5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>
      <c r="A642" s="4"/>
      <c r="B642" s="3"/>
      <c r="C642" s="3"/>
      <c r="D642" s="3"/>
      <c r="E642" s="4"/>
      <c r="F642" s="3"/>
      <c r="G642" s="3"/>
      <c r="H642" s="3"/>
      <c r="I642" s="3"/>
      <c r="J642" s="3"/>
      <c r="K642" s="3"/>
      <c r="L642" s="3"/>
      <c r="M642" s="5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>
      <c r="A643" s="4"/>
      <c r="B643" s="3"/>
      <c r="C643" s="3"/>
      <c r="D643" s="3"/>
      <c r="E643" s="4"/>
      <c r="F643" s="3"/>
      <c r="G643" s="3"/>
      <c r="H643" s="3"/>
      <c r="I643" s="3"/>
      <c r="J643" s="3"/>
      <c r="K643" s="3"/>
      <c r="L643" s="3"/>
      <c r="M643" s="5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>
      <c r="A644" s="4"/>
      <c r="B644" s="3"/>
      <c r="C644" s="3"/>
      <c r="D644" s="3"/>
      <c r="E644" s="4"/>
      <c r="F644" s="3"/>
      <c r="G644" s="3"/>
      <c r="H644" s="3"/>
      <c r="I644" s="3"/>
      <c r="J644" s="3"/>
      <c r="K644" s="3"/>
      <c r="L644" s="3"/>
      <c r="M644" s="5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>
      <c r="A645" s="4"/>
      <c r="B645" s="3"/>
      <c r="C645" s="3"/>
      <c r="D645" s="3"/>
      <c r="E645" s="4"/>
      <c r="F645" s="3"/>
      <c r="G645" s="3"/>
      <c r="H645" s="3"/>
      <c r="I645" s="3"/>
      <c r="J645" s="3"/>
      <c r="K645" s="3"/>
      <c r="L645" s="3"/>
      <c r="M645" s="5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>
      <c r="A646" s="4"/>
      <c r="B646" s="3"/>
      <c r="C646" s="3"/>
      <c r="D646" s="3"/>
      <c r="E646" s="4"/>
      <c r="F646" s="3"/>
      <c r="G646" s="3"/>
      <c r="H646" s="3"/>
      <c r="I646" s="3"/>
      <c r="J646" s="3"/>
      <c r="K646" s="3"/>
      <c r="L646" s="3"/>
      <c r="M646" s="5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>
      <c r="A647" s="4"/>
      <c r="B647" s="3"/>
      <c r="C647" s="3"/>
      <c r="D647" s="3"/>
      <c r="E647" s="4"/>
      <c r="F647" s="3"/>
      <c r="G647" s="3"/>
      <c r="H647" s="3"/>
      <c r="I647" s="3"/>
      <c r="J647" s="3"/>
      <c r="K647" s="3"/>
      <c r="L647" s="3"/>
      <c r="M647" s="5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>
      <c r="A648" s="4"/>
      <c r="B648" s="3"/>
      <c r="C648" s="3"/>
      <c r="D648" s="3"/>
      <c r="E648" s="4"/>
      <c r="F648" s="3"/>
      <c r="G648" s="3"/>
      <c r="H648" s="3"/>
      <c r="I648" s="3"/>
      <c r="J648" s="3"/>
      <c r="K648" s="3"/>
      <c r="L648" s="3"/>
      <c r="M648" s="5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>
      <c r="A649" s="4"/>
      <c r="B649" s="3"/>
      <c r="C649" s="3"/>
      <c r="D649" s="3"/>
      <c r="E649" s="4"/>
      <c r="F649" s="3"/>
      <c r="G649" s="3"/>
      <c r="H649" s="3"/>
      <c r="I649" s="3"/>
      <c r="J649" s="3"/>
      <c r="K649" s="3"/>
      <c r="L649" s="3"/>
      <c r="M649" s="5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>
      <c r="A650" s="4"/>
      <c r="B650" s="3"/>
      <c r="C650" s="3"/>
      <c r="D650" s="3"/>
      <c r="E650" s="4"/>
      <c r="F650" s="3"/>
      <c r="G650" s="3"/>
      <c r="H650" s="3"/>
      <c r="I650" s="3"/>
      <c r="J650" s="3"/>
      <c r="K650" s="3"/>
      <c r="L650" s="3"/>
      <c r="M650" s="5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>
      <c r="A651" s="4"/>
      <c r="B651" s="3"/>
      <c r="C651" s="3"/>
      <c r="D651" s="3"/>
      <c r="E651" s="4"/>
      <c r="F651" s="3"/>
      <c r="G651" s="3"/>
      <c r="H651" s="3"/>
      <c r="I651" s="3"/>
      <c r="J651" s="3"/>
      <c r="K651" s="3"/>
      <c r="L651" s="3"/>
      <c r="M651" s="5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>
      <c r="A652" s="4"/>
      <c r="B652" s="3"/>
      <c r="C652" s="3"/>
      <c r="D652" s="3"/>
      <c r="E652" s="4"/>
      <c r="F652" s="3"/>
      <c r="G652" s="3"/>
      <c r="H652" s="3"/>
      <c r="I652" s="3"/>
      <c r="J652" s="3"/>
      <c r="K652" s="3"/>
      <c r="L652" s="3"/>
      <c r="M652" s="5"/>
      <c r="N652" s="3"/>
      <c r="O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>
      <c r="A653" s="4"/>
      <c r="B653" s="3"/>
      <c r="C653" s="3"/>
      <c r="D653" s="3"/>
      <c r="E653" s="4"/>
      <c r="F653" s="3"/>
      <c r="G653" s="3"/>
      <c r="H653" s="3"/>
      <c r="I653" s="3"/>
      <c r="J653" s="3"/>
      <c r="K653" s="3"/>
      <c r="L653" s="3"/>
      <c r="M653" s="5"/>
      <c r="N653" s="3"/>
      <c r="O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>
      <c r="A654" s="4"/>
      <c r="B654" s="3"/>
      <c r="C654" s="3"/>
      <c r="D654" s="3"/>
      <c r="E654" s="4"/>
      <c r="F654" s="3"/>
      <c r="G654" s="3"/>
      <c r="H654" s="3"/>
      <c r="I654" s="3"/>
      <c r="J654" s="3"/>
      <c r="K654" s="3"/>
      <c r="L654" s="3"/>
      <c r="M654" s="5"/>
      <c r="N654" s="3"/>
      <c r="O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>
      <c r="A655" s="4"/>
      <c r="B655" s="3"/>
      <c r="C655" s="3"/>
      <c r="D655" s="3"/>
      <c r="E655" s="4"/>
      <c r="F655" s="3"/>
      <c r="G655" s="3"/>
      <c r="H655" s="3"/>
      <c r="I655" s="3"/>
      <c r="J655" s="3"/>
      <c r="K655" s="3"/>
      <c r="L655" s="3"/>
      <c r="M655" s="5"/>
      <c r="N655" s="3"/>
      <c r="O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>
      <c r="A656" s="4"/>
      <c r="B656" s="3"/>
      <c r="C656" s="3"/>
      <c r="D656" s="3"/>
      <c r="E656" s="4"/>
      <c r="F656" s="3"/>
      <c r="G656" s="3"/>
      <c r="H656" s="3"/>
      <c r="I656" s="3"/>
      <c r="J656" s="3"/>
      <c r="K656" s="3"/>
      <c r="L656" s="3"/>
      <c r="M656" s="5"/>
      <c r="N656" s="3"/>
      <c r="O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>
      <c r="A657" s="4"/>
      <c r="B657" s="3"/>
      <c r="C657" s="3"/>
      <c r="D657" s="3"/>
      <c r="E657" s="4"/>
      <c r="F657" s="3"/>
      <c r="G657" s="3"/>
      <c r="H657" s="3"/>
      <c r="I657" s="3"/>
      <c r="J657" s="3"/>
      <c r="K657" s="3"/>
      <c r="L657" s="3"/>
      <c r="M657" s="5"/>
      <c r="N657" s="3"/>
      <c r="O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>
      <c r="A658" s="4"/>
      <c r="B658" s="3"/>
      <c r="C658" s="3"/>
      <c r="D658" s="3"/>
      <c r="E658" s="4"/>
      <c r="F658" s="3"/>
      <c r="G658" s="3"/>
      <c r="H658" s="3"/>
      <c r="I658" s="3"/>
      <c r="J658" s="3"/>
      <c r="K658" s="3"/>
      <c r="L658" s="3"/>
      <c r="M658" s="5"/>
      <c r="N658" s="3"/>
      <c r="O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>
      <c r="A659" s="4"/>
      <c r="B659" s="3"/>
      <c r="C659" s="3"/>
      <c r="D659" s="3"/>
      <c r="E659" s="4"/>
      <c r="F659" s="3"/>
      <c r="G659" s="3"/>
      <c r="H659" s="3"/>
      <c r="I659" s="3"/>
      <c r="J659" s="3"/>
      <c r="K659" s="3"/>
      <c r="L659" s="3"/>
      <c r="M659" s="5"/>
      <c r="N659" s="3"/>
      <c r="O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>
      <c r="A660" s="4"/>
      <c r="B660" s="3"/>
      <c r="C660" s="3"/>
      <c r="D660" s="3"/>
      <c r="E660" s="4"/>
      <c r="F660" s="3"/>
      <c r="G660" s="3"/>
      <c r="H660" s="3"/>
      <c r="I660" s="3"/>
      <c r="J660" s="3"/>
      <c r="K660" s="3"/>
      <c r="L660" s="3"/>
      <c r="M660" s="5"/>
      <c r="N660" s="3"/>
      <c r="O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>
      <c r="A661" s="4"/>
      <c r="B661" s="3"/>
      <c r="C661" s="3"/>
      <c r="D661" s="3"/>
      <c r="E661" s="4"/>
      <c r="F661" s="3"/>
      <c r="G661" s="3"/>
      <c r="H661" s="3"/>
      <c r="I661" s="3"/>
      <c r="J661" s="3"/>
      <c r="K661" s="3"/>
      <c r="L661" s="3"/>
      <c r="M661" s="5"/>
      <c r="N661" s="3"/>
      <c r="O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>
      <c r="A662" s="4"/>
      <c r="B662" s="3"/>
      <c r="C662" s="3"/>
      <c r="D662" s="3"/>
      <c r="E662" s="4"/>
      <c r="F662" s="3"/>
      <c r="G662" s="3"/>
      <c r="H662" s="3"/>
      <c r="I662" s="3"/>
      <c r="J662" s="3"/>
      <c r="K662" s="3"/>
      <c r="L662" s="3"/>
      <c r="M662" s="5"/>
      <c r="N662" s="3"/>
      <c r="O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>
      <c r="A663" s="4"/>
      <c r="B663" s="3"/>
      <c r="C663" s="3"/>
      <c r="D663" s="3"/>
      <c r="E663" s="4"/>
      <c r="F663" s="3"/>
      <c r="G663" s="3"/>
      <c r="H663" s="3"/>
      <c r="I663" s="3"/>
      <c r="J663" s="3"/>
      <c r="K663" s="3"/>
      <c r="L663" s="3"/>
      <c r="M663" s="5"/>
      <c r="N663" s="3"/>
      <c r="O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>
      <c r="A664" s="4"/>
      <c r="B664" s="3"/>
      <c r="C664" s="3"/>
      <c r="D664" s="3"/>
      <c r="E664" s="4"/>
      <c r="F664" s="3"/>
      <c r="G664" s="3"/>
      <c r="H664" s="3"/>
      <c r="I664" s="3"/>
      <c r="J664" s="3"/>
      <c r="K664" s="3"/>
      <c r="L664" s="3"/>
      <c r="M664" s="5"/>
      <c r="N664" s="3"/>
      <c r="O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>
      <c r="A665" s="4"/>
      <c r="B665" s="3"/>
      <c r="C665" s="3"/>
      <c r="D665" s="3"/>
      <c r="E665" s="4"/>
      <c r="F665" s="3"/>
      <c r="G665" s="3"/>
      <c r="H665" s="3"/>
      <c r="I665" s="3"/>
      <c r="J665" s="3"/>
      <c r="K665" s="3"/>
      <c r="L665" s="3"/>
      <c r="M665" s="5"/>
      <c r="N665" s="3"/>
      <c r="O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>
      <c r="A666" s="4"/>
      <c r="B666" s="3"/>
      <c r="C666" s="3"/>
      <c r="D666" s="3"/>
      <c r="E666" s="4"/>
      <c r="F666" s="3"/>
      <c r="G666" s="3"/>
      <c r="H666" s="3"/>
      <c r="I666" s="3"/>
      <c r="J666" s="3"/>
      <c r="K666" s="3"/>
      <c r="L666" s="3"/>
      <c r="M666" s="5"/>
      <c r="N666" s="3"/>
      <c r="O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>
      <c r="A667" s="4"/>
      <c r="B667" s="3"/>
      <c r="C667" s="3"/>
      <c r="D667" s="3"/>
      <c r="E667" s="4"/>
      <c r="F667" s="3"/>
      <c r="G667" s="3"/>
      <c r="H667" s="3"/>
      <c r="I667" s="3"/>
      <c r="J667" s="3"/>
      <c r="K667" s="3"/>
      <c r="L667" s="3"/>
      <c r="M667" s="5"/>
      <c r="N667" s="3"/>
      <c r="O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>
      <c r="A668" s="4"/>
      <c r="B668" s="3"/>
      <c r="C668" s="3"/>
      <c r="D668" s="3"/>
      <c r="E668" s="4"/>
      <c r="F668" s="3"/>
      <c r="G668" s="3"/>
      <c r="H668" s="3"/>
      <c r="I668" s="3"/>
      <c r="J668" s="3"/>
      <c r="K668" s="3"/>
      <c r="L668" s="3"/>
      <c r="M668" s="5"/>
      <c r="N668" s="3"/>
      <c r="O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>
      <c r="A669" s="4"/>
      <c r="B669" s="3"/>
      <c r="C669" s="3"/>
      <c r="D669" s="3"/>
      <c r="E669" s="4"/>
      <c r="F669" s="3"/>
      <c r="G669" s="3"/>
      <c r="H669" s="3"/>
      <c r="I669" s="3"/>
      <c r="J669" s="3"/>
      <c r="K669" s="3"/>
      <c r="L669" s="3"/>
      <c r="M669" s="5"/>
      <c r="N669" s="3"/>
      <c r="O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>
      <c r="A670" s="4"/>
      <c r="B670" s="3"/>
      <c r="C670" s="3"/>
      <c r="D670" s="3"/>
      <c r="E670" s="4"/>
      <c r="F670" s="3"/>
      <c r="G670" s="3"/>
      <c r="H670" s="3"/>
      <c r="I670" s="3"/>
      <c r="J670" s="3"/>
      <c r="K670" s="3"/>
      <c r="L670" s="3"/>
      <c r="M670" s="5"/>
      <c r="N670" s="3"/>
      <c r="O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>
      <c r="A671" s="4"/>
      <c r="B671" s="3"/>
      <c r="C671" s="3"/>
      <c r="D671" s="3"/>
      <c r="E671" s="4"/>
      <c r="F671" s="3"/>
      <c r="G671" s="3"/>
      <c r="H671" s="3"/>
      <c r="I671" s="3"/>
      <c r="J671" s="3"/>
      <c r="K671" s="3"/>
      <c r="L671" s="3"/>
      <c r="M671" s="5"/>
      <c r="N671" s="3"/>
      <c r="O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>
      <c r="A672" s="4"/>
      <c r="B672" s="3"/>
      <c r="C672" s="3"/>
      <c r="D672" s="3"/>
      <c r="E672" s="4"/>
      <c r="F672" s="3"/>
      <c r="G672" s="3"/>
      <c r="H672" s="3"/>
      <c r="I672" s="3"/>
      <c r="J672" s="3"/>
      <c r="K672" s="3"/>
      <c r="L672" s="3"/>
      <c r="M672" s="5"/>
      <c r="N672" s="3"/>
      <c r="O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>
      <c r="A673" s="4"/>
      <c r="B673" s="3"/>
      <c r="C673" s="3"/>
      <c r="D673" s="3"/>
      <c r="E673" s="4"/>
      <c r="F673" s="3"/>
      <c r="G673" s="3"/>
      <c r="H673" s="3"/>
      <c r="I673" s="3"/>
      <c r="J673" s="3"/>
      <c r="K673" s="3"/>
      <c r="L673" s="3"/>
      <c r="M673" s="5"/>
      <c r="N673" s="3"/>
      <c r="O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>
      <c r="A674" s="4"/>
      <c r="B674" s="3"/>
      <c r="C674" s="3"/>
      <c r="D674" s="3"/>
      <c r="E674" s="4"/>
      <c r="F674" s="3"/>
      <c r="G674" s="3"/>
      <c r="H674" s="3"/>
      <c r="I674" s="3"/>
      <c r="J674" s="3"/>
      <c r="K674" s="3"/>
      <c r="L674" s="3"/>
      <c r="M674" s="5"/>
      <c r="N674" s="3"/>
      <c r="O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>
      <c r="A675" s="4"/>
      <c r="B675" s="3"/>
      <c r="C675" s="3"/>
      <c r="D675" s="3"/>
      <c r="E675" s="4"/>
      <c r="F675" s="3"/>
      <c r="G675" s="3"/>
      <c r="H675" s="3"/>
      <c r="I675" s="3"/>
      <c r="J675" s="3"/>
      <c r="K675" s="3"/>
      <c r="L675" s="3"/>
      <c r="M675" s="5"/>
      <c r="N675" s="3"/>
      <c r="O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>
      <c r="A676" s="4"/>
      <c r="B676" s="3"/>
      <c r="C676" s="3"/>
      <c r="D676" s="3"/>
      <c r="E676" s="4"/>
      <c r="F676" s="3"/>
      <c r="G676" s="3"/>
      <c r="H676" s="3"/>
      <c r="I676" s="3"/>
      <c r="J676" s="3"/>
      <c r="K676" s="3"/>
      <c r="L676" s="3"/>
      <c r="M676" s="5"/>
      <c r="N676" s="3"/>
      <c r="O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>
      <c r="A677" s="4"/>
      <c r="B677" s="3"/>
      <c r="C677" s="3"/>
      <c r="D677" s="3"/>
      <c r="E677" s="4"/>
      <c r="F677" s="3"/>
      <c r="G677" s="3"/>
      <c r="H677" s="3"/>
      <c r="I677" s="3"/>
      <c r="J677" s="3"/>
      <c r="K677" s="3"/>
      <c r="L677" s="3"/>
      <c r="M677" s="5"/>
      <c r="N677" s="3"/>
      <c r="O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>
      <c r="A678" s="4"/>
      <c r="B678" s="3"/>
      <c r="C678" s="3"/>
      <c r="D678" s="3"/>
      <c r="E678" s="4"/>
      <c r="F678" s="3"/>
      <c r="G678" s="3"/>
      <c r="H678" s="3"/>
      <c r="I678" s="3"/>
      <c r="J678" s="3"/>
      <c r="K678" s="3"/>
      <c r="L678" s="3"/>
      <c r="M678" s="5"/>
      <c r="N678" s="3"/>
      <c r="O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>
      <c r="A679" s="4"/>
      <c r="B679" s="3"/>
      <c r="C679" s="3"/>
      <c r="D679" s="3"/>
      <c r="E679" s="4"/>
      <c r="F679" s="3"/>
      <c r="G679" s="3"/>
      <c r="H679" s="3"/>
      <c r="I679" s="3"/>
      <c r="J679" s="3"/>
      <c r="K679" s="3"/>
      <c r="L679" s="3"/>
      <c r="M679" s="5"/>
      <c r="N679" s="3"/>
      <c r="O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>
      <c r="A680" s="4"/>
      <c r="B680" s="3"/>
      <c r="C680" s="3"/>
      <c r="D680" s="3"/>
      <c r="E680" s="4"/>
      <c r="F680" s="3"/>
      <c r="G680" s="3"/>
      <c r="H680" s="3"/>
      <c r="I680" s="3"/>
      <c r="J680" s="3"/>
      <c r="K680" s="3"/>
      <c r="L680" s="3"/>
      <c r="M680" s="5"/>
      <c r="N680" s="3"/>
      <c r="O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>
      <c r="A681" s="4"/>
      <c r="B681" s="3"/>
      <c r="C681" s="3"/>
      <c r="D681" s="3"/>
      <c r="E681" s="4"/>
      <c r="F681" s="3"/>
      <c r="G681" s="3"/>
      <c r="H681" s="3"/>
      <c r="I681" s="3"/>
      <c r="J681" s="3"/>
      <c r="K681" s="3"/>
      <c r="L681" s="3"/>
      <c r="M681" s="5"/>
      <c r="N681" s="3"/>
      <c r="O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>
      <c r="A682" s="4"/>
      <c r="B682" s="3"/>
      <c r="C682" s="3"/>
      <c r="D682" s="3"/>
      <c r="E682" s="4"/>
      <c r="F682" s="3"/>
      <c r="G682" s="3"/>
      <c r="H682" s="3"/>
      <c r="I682" s="3"/>
      <c r="J682" s="3"/>
      <c r="K682" s="3"/>
      <c r="L682" s="3"/>
      <c r="M682" s="5"/>
      <c r="N682" s="3"/>
      <c r="O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>
      <c r="A683" s="4"/>
      <c r="B683" s="3"/>
      <c r="C683" s="3"/>
      <c r="D683" s="3"/>
      <c r="E683" s="4"/>
      <c r="F683" s="3"/>
      <c r="G683" s="3"/>
      <c r="H683" s="3"/>
      <c r="I683" s="3"/>
      <c r="J683" s="3"/>
      <c r="K683" s="3"/>
      <c r="L683" s="3"/>
      <c r="M683" s="5"/>
      <c r="N683" s="3"/>
      <c r="O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>
      <c r="A684" s="4"/>
      <c r="B684" s="3"/>
      <c r="C684" s="3"/>
      <c r="D684" s="3"/>
      <c r="E684" s="4"/>
      <c r="F684" s="3"/>
      <c r="G684" s="3"/>
      <c r="H684" s="3"/>
      <c r="I684" s="3"/>
      <c r="J684" s="3"/>
      <c r="K684" s="3"/>
      <c r="L684" s="3"/>
      <c r="M684" s="5"/>
      <c r="N684" s="3"/>
      <c r="O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>
      <c r="A685" s="4"/>
      <c r="B685" s="3"/>
      <c r="C685" s="3"/>
      <c r="D685" s="3"/>
      <c r="E685" s="4"/>
      <c r="F685" s="3"/>
      <c r="G685" s="3"/>
      <c r="H685" s="3"/>
      <c r="I685" s="3"/>
      <c r="J685" s="3"/>
      <c r="K685" s="3"/>
      <c r="L685" s="3"/>
      <c r="M685" s="5"/>
      <c r="N685" s="3"/>
      <c r="O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>
      <c r="A686" s="4"/>
      <c r="B686" s="3"/>
      <c r="C686" s="3"/>
      <c r="D686" s="3"/>
      <c r="E686" s="4"/>
      <c r="F686" s="3"/>
      <c r="G686" s="3"/>
      <c r="H686" s="3"/>
      <c r="I686" s="3"/>
      <c r="J686" s="3"/>
      <c r="K686" s="3"/>
      <c r="L686" s="3"/>
      <c r="M686" s="5"/>
      <c r="N686" s="3"/>
      <c r="O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>
      <c r="A687" s="4"/>
      <c r="B687" s="3"/>
      <c r="C687" s="3"/>
      <c r="D687" s="3"/>
      <c r="E687" s="4"/>
      <c r="F687" s="3"/>
      <c r="G687" s="3"/>
      <c r="H687" s="3"/>
      <c r="I687" s="3"/>
      <c r="J687" s="3"/>
      <c r="K687" s="3"/>
      <c r="L687" s="3"/>
      <c r="M687" s="5"/>
      <c r="N687" s="3"/>
      <c r="O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>
      <c r="A688" s="4"/>
      <c r="B688" s="3"/>
      <c r="C688" s="3"/>
      <c r="D688" s="3"/>
      <c r="E688" s="4"/>
      <c r="F688" s="3"/>
      <c r="G688" s="3"/>
      <c r="H688" s="3"/>
      <c r="I688" s="3"/>
      <c r="J688" s="3"/>
      <c r="K688" s="3"/>
      <c r="L688" s="3"/>
      <c r="M688" s="5"/>
      <c r="N688" s="3"/>
      <c r="O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>
      <c r="A689" s="4"/>
      <c r="B689" s="3"/>
      <c r="C689" s="3"/>
      <c r="D689" s="3"/>
      <c r="E689" s="4"/>
      <c r="F689" s="3"/>
      <c r="G689" s="3"/>
      <c r="H689" s="3"/>
      <c r="I689" s="3"/>
      <c r="J689" s="3"/>
      <c r="K689" s="3"/>
      <c r="L689" s="3"/>
      <c r="M689" s="5"/>
      <c r="N689" s="3"/>
      <c r="O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>
      <c r="A690" s="4"/>
      <c r="B690" s="3"/>
      <c r="C690" s="3"/>
      <c r="D690" s="3"/>
      <c r="E690" s="4"/>
      <c r="F690" s="3"/>
      <c r="G690" s="3"/>
      <c r="H690" s="3"/>
      <c r="I690" s="3"/>
      <c r="J690" s="3"/>
      <c r="K690" s="3"/>
      <c r="L690" s="3"/>
      <c r="M690" s="5"/>
      <c r="N690" s="3"/>
      <c r="O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>
      <c r="A691" s="4"/>
      <c r="B691" s="3"/>
      <c r="C691" s="3"/>
      <c r="D691" s="3"/>
      <c r="E691" s="4"/>
      <c r="F691" s="3"/>
      <c r="G691" s="3"/>
      <c r="H691" s="3"/>
      <c r="I691" s="3"/>
      <c r="J691" s="3"/>
      <c r="K691" s="3"/>
      <c r="L691" s="3"/>
      <c r="M691" s="5"/>
      <c r="N691" s="3"/>
      <c r="O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>
      <c r="A692" s="4"/>
      <c r="B692" s="3"/>
      <c r="C692" s="3"/>
      <c r="D692" s="3"/>
      <c r="E692" s="4"/>
      <c r="F692" s="3"/>
      <c r="G692" s="3"/>
      <c r="H692" s="3"/>
      <c r="I692" s="3"/>
      <c r="J692" s="3"/>
      <c r="K692" s="3"/>
      <c r="L692" s="3"/>
      <c r="M692" s="5"/>
      <c r="N692" s="3"/>
      <c r="O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>
      <c r="A693" s="4"/>
      <c r="B693" s="3"/>
      <c r="C693" s="3"/>
      <c r="D693" s="3"/>
      <c r="E693" s="4"/>
      <c r="F693" s="3"/>
      <c r="G693" s="3"/>
      <c r="H693" s="3"/>
      <c r="I693" s="3"/>
      <c r="J693" s="3"/>
      <c r="K693" s="3"/>
      <c r="L693" s="3"/>
      <c r="M693" s="5"/>
      <c r="N693" s="3"/>
      <c r="O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>
      <c r="A694" s="4"/>
      <c r="B694" s="3"/>
      <c r="C694" s="3"/>
      <c r="D694" s="3"/>
      <c r="E694" s="4"/>
      <c r="F694" s="3"/>
      <c r="G694" s="3"/>
      <c r="H694" s="3"/>
      <c r="I694" s="3"/>
      <c r="J694" s="3"/>
      <c r="K694" s="3"/>
      <c r="L694" s="3"/>
      <c r="M694" s="5"/>
      <c r="N694" s="3"/>
      <c r="O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>
      <c r="A695" s="4"/>
      <c r="B695" s="3"/>
      <c r="C695" s="3"/>
      <c r="D695" s="3"/>
      <c r="E695" s="4"/>
      <c r="F695" s="3"/>
      <c r="G695" s="3"/>
      <c r="H695" s="3"/>
      <c r="I695" s="3"/>
      <c r="J695" s="3"/>
      <c r="K695" s="3"/>
      <c r="L695" s="3"/>
      <c r="M695" s="5"/>
      <c r="N695" s="3"/>
      <c r="O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>
      <c r="A696" s="4"/>
      <c r="B696" s="3"/>
      <c r="C696" s="3"/>
      <c r="D696" s="3"/>
      <c r="E696" s="4"/>
      <c r="F696" s="3"/>
      <c r="G696" s="3"/>
      <c r="H696" s="3"/>
      <c r="I696" s="3"/>
      <c r="J696" s="3"/>
      <c r="K696" s="3"/>
      <c r="L696" s="3"/>
      <c r="M696" s="5"/>
      <c r="N696" s="3"/>
      <c r="O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>
      <c r="A697" s="4"/>
      <c r="B697" s="3"/>
      <c r="C697" s="3"/>
      <c r="D697" s="3"/>
      <c r="E697" s="4"/>
      <c r="F697" s="3"/>
      <c r="G697" s="3"/>
      <c r="H697" s="3"/>
      <c r="I697" s="3"/>
      <c r="J697" s="3"/>
      <c r="K697" s="3"/>
      <c r="L697" s="3"/>
      <c r="M697" s="5"/>
      <c r="N697" s="3"/>
      <c r="O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>
      <c r="A698" s="4"/>
      <c r="B698" s="3"/>
      <c r="C698" s="3"/>
      <c r="D698" s="3"/>
      <c r="E698" s="4"/>
      <c r="F698" s="3"/>
      <c r="G698" s="3"/>
      <c r="H698" s="3"/>
      <c r="I698" s="3"/>
      <c r="J698" s="3"/>
      <c r="K698" s="3"/>
      <c r="L698" s="3"/>
      <c r="M698" s="5"/>
      <c r="N698" s="3"/>
      <c r="O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>
      <c r="A699" s="4"/>
      <c r="B699" s="3"/>
      <c r="C699" s="3"/>
      <c r="D699" s="3"/>
      <c r="E699" s="4"/>
      <c r="F699" s="3"/>
      <c r="G699" s="3"/>
      <c r="H699" s="3"/>
      <c r="I699" s="3"/>
      <c r="J699" s="3"/>
      <c r="K699" s="3"/>
      <c r="L699" s="3"/>
      <c r="M699" s="5"/>
      <c r="N699" s="3"/>
      <c r="O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>
      <c r="A700" s="4"/>
      <c r="B700" s="3"/>
      <c r="C700" s="3"/>
      <c r="D700" s="3"/>
      <c r="E700" s="4"/>
      <c r="F700" s="3"/>
      <c r="G700" s="3"/>
      <c r="H700" s="3"/>
      <c r="I700" s="3"/>
      <c r="J700" s="3"/>
      <c r="K700" s="3"/>
      <c r="L700" s="3"/>
      <c r="M700" s="5"/>
      <c r="N700" s="3"/>
      <c r="O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>
      <c r="A701" s="4"/>
      <c r="B701" s="3"/>
      <c r="C701" s="3"/>
      <c r="D701" s="3"/>
      <c r="E701" s="4"/>
      <c r="F701" s="3"/>
      <c r="G701" s="3"/>
      <c r="H701" s="3"/>
      <c r="I701" s="3"/>
      <c r="J701" s="3"/>
      <c r="K701" s="3"/>
      <c r="L701" s="3"/>
      <c r="M701" s="5"/>
      <c r="N701" s="3"/>
      <c r="O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>
      <c r="A702" s="4"/>
      <c r="B702" s="3"/>
      <c r="C702" s="3"/>
      <c r="D702" s="3"/>
      <c r="E702" s="4"/>
      <c r="F702" s="3"/>
      <c r="G702" s="3"/>
      <c r="H702" s="3"/>
      <c r="I702" s="3"/>
      <c r="J702" s="3"/>
      <c r="K702" s="3"/>
      <c r="L702" s="3"/>
      <c r="M702" s="5"/>
      <c r="N702" s="3"/>
      <c r="O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>
      <c r="A703" s="4"/>
      <c r="B703" s="3"/>
      <c r="C703" s="3"/>
      <c r="D703" s="3"/>
      <c r="E703" s="4"/>
      <c r="F703" s="3"/>
      <c r="G703" s="3"/>
      <c r="H703" s="3"/>
      <c r="I703" s="3"/>
      <c r="J703" s="3"/>
      <c r="K703" s="3"/>
      <c r="L703" s="3"/>
      <c r="M703" s="5"/>
      <c r="N703" s="3"/>
      <c r="O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>
      <c r="A704" s="4"/>
      <c r="B704" s="3"/>
      <c r="C704" s="3"/>
      <c r="D704" s="3"/>
      <c r="E704" s="4"/>
      <c r="F704" s="3"/>
      <c r="G704" s="3"/>
      <c r="H704" s="3"/>
      <c r="I704" s="3"/>
      <c r="J704" s="3"/>
      <c r="K704" s="3"/>
      <c r="L704" s="3"/>
      <c r="M704" s="5"/>
      <c r="N704" s="3"/>
      <c r="O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>
      <c r="A705" s="4"/>
      <c r="B705" s="3"/>
      <c r="C705" s="3"/>
      <c r="D705" s="3"/>
      <c r="E705" s="4"/>
      <c r="F705" s="3"/>
      <c r="G705" s="3"/>
      <c r="H705" s="3"/>
      <c r="I705" s="3"/>
      <c r="J705" s="3"/>
      <c r="K705" s="3"/>
      <c r="L705" s="3"/>
      <c r="M705" s="5"/>
      <c r="N705" s="3"/>
      <c r="O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>
      <c r="A706" s="4"/>
      <c r="B706" s="3"/>
      <c r="C706" s="3"/>
      <c r="D706" s="3"/>
      <c r="E706" s="4"/>
      <c r="F706" s="3"/>
      <c r="G706" s="3"/>
      <c r="H706" s="3"/>
      <c r="I706" s="3"/>
      <c r="J706" s="3"/>
      <c r="K706" s="3"/>
      <c r="L706" s="3"/>
      <c r="M706" s="5"/>
      <c r="N706" s="3"/>
      <c r="O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>
      <c r="A707" s="4"/>
      <c r="B707" s="3"/>
      <c r="C707" s="3"/>
      <c r="D707" s="3"/>
      <c r="E707" s="4"/>
      <c r="F707" s="3"/>
      <c r="G707" s="3"/>
      <c r="H707" s="3"/>
      <c r="I707" s="3"/>
      <c r="J707" s="3"/>
      <c r="K707" s="3"/>
      <c r="L707" s="3"/>
      <c r="M707" s="5"/>
      <c r="N707" s="3"/>
      <c r="O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>
      <c r="A708" s="4"/>
      <c r="B708" s="3"/>
      <c r="C708" s="3"/>
      <c r="D708" s="3"/>
      <c r="E708" s="4"/>
      <c r="F708" s="3"/>
      <c r="G708" s="3"/>
      <c r="H708" s="3"/>
      <c r="I708" s="3"/>
      <c r="J708" s="3"/>
      <c r="K708" s="3"/>
      <c r="L708" s="3"/>
      <c r="M708" s="5"/>
      <c r="N708" s="3"/>
      <c r="O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>
      <c r="A709" s="4"/>
      <c r="B709" s="3"/>
      <c r="C709" s="3"/>
      <c r="D709" s="3"/>
      <c r="E709" s="4"/>
      <c r="F709" s="3"/>
      <c r="G709" s="3"/>
      <c r="H709" s="3"/>
      <c r="I709" s="3"/>
      <c r="J709" s="3"/>
      <c r="K709" s="3"/>
      <c r="L709" s="3"/>
      <c r="M709" s="5"/>
      <c r="N709" s="3"/>
      <c r="O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>
      <c r="A710" s="4"/>
      <c r="B710" s="3"/>
      <c r="C710" s="3"/>
      <c r="D710" s="3"/>
      <c r="E710" s="4"/>
      <c r="F710" s="3"/>
      <c r="G710" s="3"/>
      <c r="H710" s="3"/>
      <c r="I710" s="3"/>
      <c r="J710" s="3"/>
      <c r="K710" s="3"/>
      <c r="L710" s="3"/>
      <c r="M710" s="5"/>
      <c r="N710" s="3"/>
      <c r="O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>
      <c r="A711" s="4"/>
      <c r="B711" s="3"/>
      <c r="C711" s="3"/>
      <c r="D711" s="3"/>
      <c r="E711" s="4"/>
      <c r="F711" s="3"/>
      <c r="G711" s="3"/>
      <c r="H711" s="3"/>
      <c r="I711" s="3"/>
      <c r="J711" s="3"/>
      <c r="K711" s="3"/>
      <c r="L711" s="3"/>
      <c r="M711" s="5"/>
      <c r="N711" s="3"/>
      <c r="O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>
      <c r="A712" s="4"/>
      <c r="B712" s="3"/>
      <c r="C712" s="3"/>
      <c r="D712" s="3"/>
      <c r="E712" s="4"/>
      <c r="F712" s="3"/>
      <c r="G712" s="3"/>
      <c r="H712" s="3"/>
      <c r="I712" s="3"/>
      <c r="J712" s="3"/>
      <c r="K712" s="3"/>
      <c r="L712" s="3"/>
      <c r="M712" s="5"/>
      <c r="N712" s="3"/>
      <c r="O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>
      <c r="A713" s="4"/>
      <c r="B713" s="3"/>
      <c r="C713" s="3"/>
      <c r="D713" s="3"/>
      <c r="E713" s="4"/>
      <c r="F713" s="3"/>
      <c r="G713" s="3"/>
      <c r="H713" s="3"/>
      <c r="I713" s="3"/>
      <c r="J713" s="3"/>
      <c r="K713" s="3"/>
      <c r="L713" s="3"/>
      <c r="M713" s="5"/>
      <c r="N713" s="3"/>
      <c r="O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>
      <c r="A714" s="4"/>
      <c r="B714" s="3"/>
      <c r="C714" s="3"/>
      <c r="D714" s="3"/>
      <c r="E714" s="4"/>
      <c r="F714" s="3"/>
      <c r="G714" s="3"/>
      <c r="H714" s="3"/>
      <c r="I714" s="3"/>
      <c r="J714" s="3"/>
      <c r="K714" s="3"/>
      <c r="L714" s="3"/>
      <c r="M714" s="5"/>
      <c r="N714" s="3"/>
      <c r="O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>
      <c r="A715" s="4"/>
      <c r="B715" s="3"/>
      <c r="C715" s="3"/>
      <c r="D715" s="3"/>
      <c r="E715" s="4"/>
      <c r="F715" s="3"/>
      <c r="G715" s="3"/>
      <c r="H715" s="3"/>
      <c r="I715" s="3"/>
      <c r="J715" s="3"/>
      <c r="K715" s="3"/>
      <c r="L715" s="3"/>
      <c r="M715" s="5"/>
      <c r="N715" s="3"/>
      <c r="O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>
      <c r="A716" s="4"/>
      <c r="B716" s="3"/>
      <c r="C716" s="3"/>
      <c r="D716" s="3"/>
      <c r="E716" s="4"/>
      <c r="F716" s="3"/>
      <c r="G716" s="3"/>
      <c r="H716" s="3"/>
      <c r="I716" s="3"/>
      <c r="J716" s="3"/>
      <c r="K716" s="3"/>
      <c r="L716" s="3"/>
      <c r="M716" s="5"/>
      <c r="N716" s="3"/>
      <c r="O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>
      <c r="A717" s="4"/>
      <c r="B717" s="3"/>
      <c r="C717" s="3"/>
      <c r="D717" s="3"/>
      <c r="E717" s="4"/>
      <c r="F717" s="3"/>
      <c r="G717" s="3"/>
      <c r="H717" s="3"/>
      <c r="I717" s="3"/>
      <c r="J717" s="3"/>
      <c r="K717" s="3"/>
      <c r="L717" s="3"/>
      <c r="M717" s="5"/>
      <c r="N717" s="3"/>
      <c r="O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>
      <c r="A718" s="4"/>
      <c r="B718" s="3"/>
      <c r="C718" s="3"/>
      <c r="D718" s="3"/>
      <c r="E718" s="4"/>
      <c r="F718" s="3"/>
      <c r="G718" s="3"/>
      <c r="H718" s="3"/>
      <c r="I718" s="3"/>
      <c r="J718" s="3"/>
      <c r="K718" s="3"/>
      <c r="L718" s="3"/>
      <c r="M718" s="5"/>
      <c r="N718" s="3"/>
      <c r="O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>
      <c r="A719" s="4"/>
      <c r="B719" s="3"/>
      <c r="C719" s="3"/>
      <c r="D719" s="3"/>
      <c r="E719" s="4"/>
      <c r="F719" s="3"/>
      <c r="G719" s="3"/>
      <c r="H719" s="3"/>
      <c r="I719" s="3"/>
      <c r="J719" s="3"/>
      <c r="K719" s="3"/>
      <c r="L719" s="3"/>
      <c r="M719" s="5"/>
      <c r="N719" s="3"/>
      <c r="O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>
      <c r="A720" s="4"/>
      <c r="B720" s="3"/>
      <c r="C720" s="3"/>
      <c r="D720" s="3"/>
      <c r="E720" s="4"/>
      <c r="F720" s="3"/>
      <c r="G720" s="3"/>
      <c r="H720" s="3"/>
      <c r="I720" s="3"/>
      <c r="J720" s="3"/>
      <c r="K720" s="3"/>
      <c r="L720" s="3"/>
      <c r="M720" s="5"/>
      <c r="N720" s="3"/>
      <c r="O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>
      <c r="A721" s="4"/>
      <c r="B721" s="3"/>
      <c r="C721" s="3"/>
      <c r="D721" s="3"/>
      <c r="E721" s="4"/>
      <c r="F721" s="3"/>
      <c r="G721" s="3"/>
      <c r="H721" s="3"/>
      <c r="I721" s="3"/>
      <c r="J721" s="3"/>
      <c r="K721" s="3"/>
      <c r="L721" s="3"/>
      <c r="M721" s="5"/>
      <c r="N721" s="3"/>
      <c r="O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>
      <c r="A722" s="4"/>
      <c r="B722" s="3"/>
      <c r="C722" s="3"/>
      <c r="D722" s="3"/>
      <c r="E722" s="4"/>
      <c r="F722" s="3"/>
      <c r="G722" s="3"/>
      <c r="H722" s="3"/>
      <c r="I722" s="3"/>
      <c r="J722" s="3"/>
      <c r="K722" s="3"/>
      <c r="L722" s="3"/>
      <c r="M722" s="5"/>
      <c r="N722" s="3"/>
      <c r="O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>
      <c r="A723" s="4"/>
      <c r="B723" s="3"/>
      <c r="C723" s="3"/>
      <c r="D723" s="3"/>
      <c r="E723" s="4"/>
      <c r="F723" s="3"/>
      <c r="G723" s="3"/>
      <c r="H723" s="3"/>
      <c r="I723" s="3"/>
      <c r="J723" s="3"/>
      <c r="K723" s="3"/>
      <c r="L723" s="3"/>
      <c r="M723" s="5"/>
      <c r="N723" s="3"/>
      <c r="O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>
      <c r="A724" s="4"/>
      <c r="B724" s="3"/>
      <c r="C724" s="3"/>
      <c r="D724" s="3"/>
      <c r="E724" s="4"/>
      <c r="F724" s="3"/>
      <c r="G724" s="3"/>
      <c r="H724" s="3"/>
      <c r="I724" s="3"/>
      <c r="J724" s="3"/>
      <c r="K724" s="3"/>
      <c r="L724" s="3"/>
      <c r="M724" s="5"/>
      <c r="N724" s="3"/>
      <c r="O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>
      <c r="A725" s="4"/>
      <c r="B725" s="3"/>
      <c r="C725" s="3"/>
      <c r="D725" s="3"/>
      <c r="E725" s="4"/>
      <c r="F725" s="3"/>
      <c r="G725" s="3"/>
      <c r="H725" s="3"/>
      <c r="I725" s="3"/>
      <c r="J725" s="3"/>
      <c r="K725" s="3"/>
      <c r="L725" s="3"/>
      <c r="M725" s="5"/>
      <c r="N725" s="3"/>
      <c r="O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>
      <c r="A726" s="4"/>
      <c r="B726" s="3"/>
      <c r="C726" s="3"/>
      <c r="D726" s="3"/>
      <c r="E726" s="4"/>
      <c r="F726" s="3"/>
      <c r="G726" s="3"/>
      <c r="H726" s="3"/>
      <c r="I726" s="3"/>
      <c r="J726" s="3"/>
      <c r="K726" s="3"/>
      <c r="L726" s="3"/>
      <c r="M726" s="5"/>
      <c r="N726" s="3"/>
      <c r="O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>
      <c r="A727" s="4"/>
      <c r="B727" s="3"/>
      <c r="C727" s="3"/>
      <c r="D727" s="3"/>
      <c r="E727" s="4"/>
      <c r="F727" s="3"/>
      <c r="G727" s="3"/>
      <c r="H727" s="3"/>
      <c r="I727" s="3"/>
      <c r="J727" s="3"/>
      <c r="K727" s="3"/>
      <c r="L727" s="3"/>
      <c r="M727" s="5"/>
      <c r="N727" s="3"/>
      <c r="O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>
      <c r="A728" s="4"/>
      <c r="B728" s="3"/>
      <c r="C728" s="3"/>
      <c r="D728" s="3"/>
      <c r="E728" s="4"/>
      <c r="F728" s="3"/>
      <c r="G728" s="3"/>
      <c r="H728" s="3"/>
      <c r="I728" s="3"/>
      <c r="J728" s="3"/>
      <c r="K728" s="3"/>
      <c r="L728" s="3"/>
      <c r="M728" s="5"/>
      <c r="N728" s="3"/>
      <c r="O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>
      <c r="A729" s="4"/>
      <c r="B729" s="3"/>
      <c r="C729" s="3"/>
      <c r="D729" s="3"/>
      <c r="E729" s="4"/>
      <c r="F729" s="3"/>
      <c r="G729" s="3"/>
      <c r="H729" s="3"/>
      <c r="I729" s="3"/>
      <c r="J729" s="3"/>
      <c r="K729" s="3"/>
      <c r="L729" s="3"/>
      <c r="M729" s="5"/>
      <c r="N729" s="3"/>
      <c r="O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>
      <c r="A730" s="4"/>
      <c r="B730" s="3"/>
      <c r="C730" s="3"/>
      <c r="D730" s="3"/>
      <c r="E730" s="4"/>
      <c r="F730" s="3"/>
      <c r="G730" s="3"/>
      <c r="H730" s="3"/>
      <c r="I730" s="3"/>
      <c r="J730" s="3"/>
      <c r="K730" s="3"/>
      <c r="L730" s="3"/>
      <c r="M730" s="5"/>
      <c r="N730" s="3"/>
      <c r="O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>
      <c r="A731" s="4"/>
      <c r="B731" s="3"/>
      <c r="C731" s="3"/>
      <c r="D731" s="3"/>
      <c r="E731" s="4"/>
      <c r="F731" s="3"/>
      <c r="G731" s="3"/>
      <c r="H731" s="3"/>
      <c r="I731" s="3"/>
      <c r="J731" s="3"/>
      <c r="K731" s="3"/>
      <c r="L731" s="3"/>
      <c r="M731" s="5"/>
      <c r="N731" s="3"/>
      <c r="O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>
      <c r="A732" s="4"/>
      <c r="B732" s="3"/>
      <c r="C732" s="3"/>
      <c r="D732" s="3"/>
      <c r="E732" s="4"/>
      <c r="F732" s="3"/>
      <c r="G732" s="3"/>
      <c r="H732" s="3"/>
      <c r="I732" s="3"/>
      <c r="J732" s="3"/>
      <c r="K732" s="3"/>
      <c r="L732" s="3"/>
      <c r="M732" s="5"/>
      <c r="N732" s="3"/>
      <c r="O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>
      <c r="A733" s="4"/>
      <c r="B733" s="3"/>
      <c r="C733" s="3"/>
      <c r="D733" s="3"/>
      <c r="E733" s="4"/>
      <c r="F733" s="3"/>
      <c r="G733" s="3"/>
      <c r="H733" s="3"/>
      <c r="I733" s="3"/>
      <c r="J733" s="3"/>
      <c r="K733" s="3"/>
      <c r="L733" s="3"/>
      <c r="M733" s="5"/>
      <c r="N733" s="3"/>
      <c r="O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>
      <c r="A734" s="4"/>
      <c r="B734" s="3"/>
      <c r="C734" s="3"/>
      <c r="D734" s="3"/>
      <c r="E734" s="4"/>
      <c r="F734" s="3"/>
      <c r="G734" s="3"/>
      <c r="H734" s="3"/>
      <c r="I734" s="3"/>
      <c r="J734" s="3"/>
      <c r="K734" s="3"/>
      <c r="L734" s="3"/>
      <c r="M734" s="5"/>
      <c r="N734" s="3"/>
      <c r="O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>
      <c r="A735" s="4"/>
      <c r="B735" s="3"/>
      <c r="C735" s="3"/>
      <c r="D735" s="3"/>
      <c r="E735" s="4"/>
      <c r="F735" s="3"/>
      <c r="G735" s="3"/>
      <c r="H735" s="3"/>
      <c r="I735" s="3"/>
      <c r="J735" s="3"/>
      <c r="K735" s="3"/>
      <c r="L735" s="3"/>
      <c r="M735" s="5"/>
      <c r="N735" s="3"/>
      <c r="O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>
      <c r="A736" s="4"/>
      <c r="B736" s="3"/>
      <c r="C736" s="3"/>
      <c r="D736" s="3"/>
      <c r="E736" s="4"/>
      <c r="F736" s="3"/>
      <c r="G736" s="3"/>
      <c r="H736" s="3"/>
      <c r="I736" s="3"/>
      <c r="J736" s="3"/>
      <c r="K736" s="3"/>
      <c r="L736" s="3"/>
      <c r="M736" s="5"/>
      <c r="N736" s="3"/>
      <c r="O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>
      <c r="A737" s="4"/>
      <c r="B737" s="3"/>
      <c r="C737" s="3"/>
      <c r="D737" s="3"/>
      <c r="E737" s="4"/>
      <c r="F737" s="3"/>
      <c r="G737" s="3"/>
      <c r="H737" s="3"/>
      <c r="I737" s="3"/>
      <c r="J737" s="3"/>
      <c r="K737" s="3"/>
      <c r="L737" s="3"/>
      <c r="M737" s="5"/>
      <c r="N737" s="3"/>
      <c r="O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>
      <c r="A738" s="4"/>
      <c r="B738" s="3"/>
      <c r="C738" s="3"/>
      <c r="D738" s="3"/>
      <c r="E738" s="4"/>
      <c r="F738" s="3"/>
      <c r="G738" s="3"/>
      <c r="H738" s="3"/>
      <c r="I738" s="3"/>
      <c r="J738" s="3"/>
      <c r="K738" s="3"/>
      <c r="L738" s="3"/>
      <c r="M738" s="5"/>
      <c r="N738" s="3"/>
      <c r="O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>
      <c r="A739" s="4"/>
      <c r="B739" s="3"/>
      <c r="C739" s="3"/>
      <c r="D739" s="3"/>
      <c r="E739" s="4"/>
      <c r="F739" s="3"/>
      <c r="G739" s="3"/>
      <c r="H739" s="3"/>
      <c r="I739" s="3"/>
      <c r="J739" s="3"/>
      <c r="K739" s="3"/>
      <c r="L739" s="3"/>
      <c r="M739" s="5"/>
      <c r="N739" s="3"/>
      <c r="O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>
      <c r="A740" s="4"/>
      <c r="B740" s="3"/>
      <c r="C740" s="3"/>
      <c r="D740" s="3"/>
      <c r="E740" s="4"/>
      <c r="F740" s="3"/>
      <c r="G740" s="3"/>
      <c r="H740" s="3"/>
      <c r="I740" s="3"/>
      <c r="J740" s="3"/>
      <c r="K740" s="3"/>
      <c r="L740" s="3"/>
      <c r="M740" s="5"/>
      <c r="N740" s="3"/>
      <c r="O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>
      <c r="A741" s="4"/>
      <c r="B741" s="3"/>
      <c r="C741" s="3"/>
      <c r="D741" s="3"/>
      <c r="E741" s="4"/>
      <c r="F741" s="3"/>
      <c r="G741" s="3"/>
      <c r="H741" s="3"/>
      <c r="I741" s="3"/>
      <c r="J741" s="3"/>
      <c r="K741" s="3"/>
      <c r="L741" s="3"/>
      <c r="M741" s="5"/>
      <c r="N741" s="3"/>
      <c r="O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>
      <c r="A742" s="4"/>
      <c r="B742" s="3"/>
      <c r="C742" s="3"/>
      <c r="D742" s="3"/>
      <c r="E742" s="4"/>
      <c r="F742" s="3"/>
      <c r="G742" s="3"/>
      <c r="H742" s="3"/>
      <c r="I742" s="3"/>
      <c r="J742" s="3"/>
      <c r="K742" s="3"/>
      <c r="L742" s="3"/>
      <c r="M742" s="5"/>
      <c r="N742" s="3"/>
      <c r="O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>
      <c r="A743" s="4"/>
      <c r="B743" s="3"/>
      <c r="C743" s="3"/>
      <c r="D743" s="3"/>
      <c r="E743" s="4"/>
      <c r="F743" s="3"/>
      <c r="G743" s="3"/>
      <c r="H743" s="3"/>
      <c r="I743" s="3"/>
      <c r="J743" s="3"/>
      <c r="K743" s="3"/>
      <c r="L743" s="3"/>
      <c r="M743" s="5"/>
      <c r="N743" s="3"/>
      <c r="O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>
      <c r="A744" s="4"/>
      <c r="B744" s="3"/>
      <c r="C744" s="3"/>
      <c r="D744" s="3"/>
      <c r="E744" s="4"/>
      <c r="F744" s="3"/>
      <c r="G744" s="3"/>
      <c r="H744" s="3"/>
      <c r="I744" s="3"/>
      <c r="J744" s="3"/>
      <c r="K744" s="3"/>
      <c r="L744" s="3"/>
      <c r="M744" s="5"/>
      <c r="N744" s="3"/>
      <c r="O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>
      <c r="A745" s="4"/>
      <c r="B745" s="3"/>
      <c r="C745" s="3"/>
      <c r="D745" s="3"/>
      <c r="E745" s="4"/>
      <c r="F745" s="3"/>
      <c r="G745" s="3"/>
      <c r="H745" s="3"/>
      <c r="I745" s="3"/>
      <c r="J745" s="3"/>
      <c r="K745" s="3"/>
      <c r="L745" s="3"/>
      <c r="M745" s="5"/>
      <c r="N745" s="3"/>
      <c r="O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>
      <c r="A746" s="4"/>
      <c r="B746" s="3"/>
      <c r="C746" s="3"/>
      <c r="D746" s="3"/>
      <c r="E746" s="4"/>
      <c r="F746" s="3"/>
      <c r="G746" s="3"/>
      <c r="H746" s="3"/>
      <c r="I746" s="3"/>
      <c r="J746" s="3"/>
      <c r="K746" s="3"/>
      <c r="L746" s="3"/>
      <c r="M746" s="5"/>
      <c r="N746" s="3"/>
      <c r="O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>
      <c r="A747" s="4"/>
      <c r="B747" s="3"/>
      <c r="C747" s="3"/>
      <c r="D747" s="3"/>
      <c r="E747" s="4"/>
      <c r="F747" s="3"/>
      <c r="G747" s="3"/>
      <c r="H747" s="3"/>
      <c r="I747" s="3"/>
      <c r="J747" s="3"/>
      <c r="K747" s="3"/>
      <c r="L747" s="3"/>
      <c r="M747" s="5"/>
      <c r="N747" s="3"/>
      <c r="O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>
      <c r="A748" s="4"/>
      <c r="B748" s="3"/>
      <c r="C748" s="3"/>
      <c r="D748" s="3"/>
      <c r="E748" s="4"/>
      <c r="F748" s="3"/>
      <c r="G748" s="3"/>
      <c r="H748" s="3"/>
      <c r="I748" s="3"/>
      <c r="J748" s="3"/>
      <c r="K748" s="3"/>
      <c r="L748" s="3"/>
      <c r="M748" s="5"/>
      <c r="N748" s="3"/>
      <c r="O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>
      <c r="A749" s="4"/>
      <c r="B749" s="3"/>
      <c r="C749" s="3"/>
      <c r="D749" s="3"/>
      <c r="E749" s="4"/>
      <c r="F749" s="3"/>
      <c r="G749" s="3"/>
      <c r="H749" s="3"/>
      <c r="I749" s="3"/>
      <c r="J749" s="3"/>
      <c r="K749" s="3"/>
      <c r="L749" s="3"/>
      <c r="M749" s="5"/>
      <c r="N749" s="3"/>
      <c r="O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>
      <c r="A750" s="4"/>
      <c r="B750" s="3"/>
      <c r="C750" s="3"/>
      <c r="D750" s="3"/>
      <c r="E750" s="4"/>
      <c r="F750" s="3"/>
      <c r="G750" s="3"/>
      <c r="H750" s="3"/>
      <c r="I750" s="3"/>
      <c r="J750" s="3"/>
      <c r="K750" s="3"/>
      <c r="L750" s="3"/>
      <c r="M750" s="5"/>
      <c r="N750" s="3"/>
      <c r="O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>
      <c r="A751" s="4"/>
      <c r="B751" s="3"/>
      <c r="C751" s="3"/>
      <c r="D751" s="3"/>
      <c r="E751" s="4"/>
      <c r="F751" s="3"/>
      <c r="G751" s="3"/>
      <c r="H751" s="3"/>
      <c r="I751" s="3"/>
      <c r="J751" s="3"/>
      <c r="K751" s="3"/>
      <c r="L751" s="3"/>
      <c r="M751" s="5"/>
      <c r="N751" s="3"/>
      <c r="O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>
      <c r="A752" s="4"/>
      <c r="B752" s="3"/>
      <c r="C752" s="3"/>
      <c r="D752" s="3"/>
      <c r="E752" s="4"/>
      <c r="F752" s="3"/>
      <c r="G752" s="3"/>
      <c r="H752" s="3"/>
      <c r="I752" s="3"/>
      <c r="J752" s="3"/>
      <c r="K752" s="3"/>
      <c r="L752" s="3"/>
      <c r="M752" s="5"/>
      <c r="N752" s="3"/>
      <c r="O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>
      <c r="A753" s="4"/>
      <c r="B753" s="3"/>
      <c r="C753" s="3"/>
      <c r="D753" s="3"/>
      <c r="E753" s="4"/>
      <c r="F753" s="3"/>
      <c r="G753" s="3"/>
      <c r="H753" s="3"/>
      <c r="I753" s="3"/>
      <c r="J753" s="3"/>
      <c r="K753" s="3"/>
      <c r="L753" s="3"/>
      <c r="M753" s="5"/>
      <c r="N753" s="3"/>
      <c r="O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>
      <c r="A754" s="4"/>
      <c r="B754" s="3"/>
      <c r="C754" s="3"/>
      <c r="D754" s="3"/>
      <c r="E754" s="4"/>
      <c r="F754" s="3"/>
      <c r="G754" s="3"/>
      <c r="H754" s="3"/>
      <c r="I754" s="3"/>
      <c r="J754" s="3"/>
      <c r="K754" s="3"/>
      <c r="L754" s="3"/>
      <c r="M754" s="5"/>
      <c r="N754" s="3"/>
      <c r="O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>
      <c r="A755" s="4"/>
      <c r="B755" s="3"/>
      <c r="C755" s="3"/>
      <c r="D755" s="3"/>
      <c r="E755" s="4"/>
      <c r="F755" s="3"/>
      <c r="G755" s="3"/>
      <c r="H755" s="3"/>
      <c r="I755" s="3"/>
      <c r="J755" s="3"/>
      <c r="K755" s="3"/>
      <c r="L755" s="3"/>
      <c r="M755" s="5"/>
      <c r="N755" s="3"/>
      <c r="O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>
      <c r="A756" s="4"/>
      <c r="B756" s="3"/>
      <c r="C756" s="3"/>
      <c r="D756" s="3"/>
      <c r="E756" s="4"/>
      <c r="F756" s="3"/>
      <c r="G756" s="3"/>
      <c r="H756" s="3"/>
      <c r="I756" s="3"/>
      <c r="J756" s="3"/>
      <c r="K756" s="3"/>
      <c r="L756" s="3"/>
      <c r="M756" s="5"/>
      <c r="N756" s="3"/>
      <c r="O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>
      <c r="A757" s="4"/>
      <c r="B757" s="3"/>
      <c r="C757" s="3"/>
      <c r="D757" s="3"/>
      <c r="E757" s="4"/>
      <c r="F757" s="3"/>
      <c r="G757" s="3"/>
      <c r="H757" s="3"/>
      <c r="I757" s="3"/>
      <c r="J757" s="3"/>
      <c r="K757" s="3"/>
      <c r="L757" s="3"/>
      <c r="M757" s="5"/>
      <c r="N757" s="3"/>
      <c r="O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>
      <c r="A758" s="4"/>
      <c r="B758" s="3"/>
      <c r="C758" s="3"/>
      <c r="D758" s="3"/>
      <c r="E758" s="4"/>
      <c r="F758" s="3"/>
      <c r="G758" s="3"/>
      <c r="H758" s="3"/>
      <c r="I758" s="3"/>
      <c r="J758" s="3"/>
      <c r="K758" s="3"/>
      <c r="L758" s="3"/>
      <c r="M758" s="5"/>
      <c r="N758" s="3"/>
      <c r="O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>
      <c r="A759" s="4"/>
      <c r="B759" s="3"/>
      <c r="C759" s="3"/>
      <c r="D759" s="3"/>
      <c r="E759" s="4"/>
      <c r="F759" s="3"/>
      <c r="G759" s="3"/>
      <c r="H759" s="3"/>
      <c r="I759" s="3"/>
      <c r="J759" s="3"/>
      <c r="K759" s="3"/>
      <c r="L759" s="3"/>
      <c r="M759" s="5"/>
      <c r="N759" s="3"/>
      <c r="O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>
      <c r="A760" s="4"/>
      <c r="B760" s="3"/>
      <c r="C760" s="3"/>
      <c r="D760" s="3"/>
      <c r="E760" s="4"/>
      <c r="F760" s="3"/>
      <c r="G760" s="3"/>
      <c r="H760" s="3"/>
      <c r="I760" s="3"/>
      <c r="J760" s="3"/>
      <c r="K760" s="3"/>
      <c r="L760" s="3"/>
      <c r="M760" s="5"/>
      <c r="N760" s="3"/>
      <c r="O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>
      <c r="A761" s="4"/>
      <c r="B761" s="3"/>
      <c r="C761" s="3"/>
      <c r="D761" s="3"/>
      <c r="E761" s="4"/>
      <c r="F761" s="3"/>
      <c r="G761" s="3"/>
      <c r="H761" s="3"/>
      <c r="I761" s="3"/>
      <c r="J761" s="3"/>
      <c r="K761" s="3"/>
      <c r="L761" s="3"/>
      <c r="M761" s="5"/>
      <c r="N761" s="3"/>
      <c r="O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>
      <c r="A762" s="4"/>
      <c r="B762" s="3"/>
      <c r="C762" s="3"/>
      <c r="D762" s="3"/>
      <c r="E762" s="4"/>
      <c r="F762" s="3"/>
      <c r="G762" s="3"/>
      <c r="H762" s="3"/>
      <c r="I762" s="3"/>
      <c r="J762" s="3"/>
      <c r="K762" s="3"/>
      <c r="L762" s="3"/>
      <c r="M762" s="5"/>
      <c r="N762" s="3"/>
      <c r="O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>
      <c r="A763" s="4"/>
      <c r="B763" s="3"/>
      <c r="C763" s="3"/>
      <c r="D763" s="3"/>
      <c r="E763" s="4"/>
      <c r="F763" s="3"/>
      <c r="G763" s="3"/>
      <c r="H763" s="3"/>
      <c r="I763" s="3"/>
      <c r="J763" s="3"/>
      <c r="K763" s="3"/>
      <c r="L763" s="3"/>
      <c r="M763" s="5"/>
      <c r="N763" s="3"/>
      <c r="O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>
      <c r="A764" s="4"/>
      <c r="B764" s="3"/>
      <c r="C764" s="3"/>
      <c r="D764" s="3"/>
      <c r="E764" s="4"/>
      <c r="F764" s="3"/>
      <c r="G764" s="3"/>
      <c r="H764" s="3"/>
      <c r="I764" s="3"/>
      <c r="J764" s="3"/>
      <c r="K764" s="3"/>
      <c r="L764" s="3"/>
      <c r="M764" s="5"/>
      <c r="N764" s="3"/>
      <c r="O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>
      <c r="A765" s="4"/>
      <c r="B765" s="3"/>
      <c r="C765" s="3"/>
      <c r="D765" s="3"/>
      <c r="E765" s="4"/>
      <c r="F765" s="3"/>
      <c r="G765" s="3"/>
      <c r="H765" s="3"/>
      <c r="I765" s="3"/>
      <c r="J765" s="3"/>
      <c r="K765" s="3"/>
      <c r="L765" s="3"/>
      <c r="M765" s="5"/>
      <c r="N765" s="3"/>
      <c r="O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>
      <c r="A766" s="4"/>
      <c r="B766" s="3"/>
      <c r="C766" s="3"/>
      <c r="D766" s="3"/>
      <c r="E766" s="4"/>
      <c r="F766" s="3"/>
      <c r="G766" s="3"/>
      <c r="H766" s="3"/>
      <c r="I766" s="3"/>
      <c r="J766" s="3"/>
      <c r="K766" s="3"/>
      <c r="L766" s="3"/>
      <c r="M766" s="5"/>
      <c r="N766" s="3"/>
      <c r="O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>
      <c r="A767" s="4"/>
      <c r="B767" s="3"/>
      <c r="C767" s="3"/>
      <c r="D767" s="3"/>
      <c r="E767" s="4"/>
      <c r="F767" s="3"/>
      <c r="G767" s="3"/>
      <c r="H767" s="3"/>
      <c r="I767" s="3"/>
      <c r="J767" s="3"/>
      <c r="K767" s="3"/>
      <c r="L767" s="3"/>
      <c r="M767" s="5"/>
      <c r="N767" s="3"/>
      <c r="O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>
      <c r="A768" s="4"/>
      <c r="B768" s="3"/>
      <c r="C768" s="3"/>
      <c r="D768" s="3"/>
      <c r="E768" s="4"/>
      <c r="F768" s="3"/>
      <c r="G768" s="3"/>
      <c r="H768" s="3"/>
      <c r="I768" s="3"/>
      <c r="J768" s="3"/>
      <c r="K768" s="3"/>
      <c r="L768" s="3"/>
      <c r="M768" s="5"/>
      <c r="N768" s="3"/>
      <c r="O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>
      <c r="A769" s="4"/>
      <c r="B769" s="3"/>
      <c r="C769" s="3"/>
      <c r="D769" s="3"/>
      <c r="E769" s="4"/>
      <c r="F769" s="3"/>
      <c r="G769" s="3"/>
      <c r="H769" s="3"/>
      <c r="I769" s="3"/>
      <c r="J769" s="3"/>
      <c r="K769" s="3"/>
      <c r="L769" s="3"/>
      <c r="M769" s="5"/>
      <c r="N769" s="3"/>
      <c r="O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>
      <c r="A770" s="4"/>
      <c r="B770" s="3"/>
      <c r="C770" s="3"/>
      <c r="D770" s="3"/>
      <c r="E770" s="4"/>
      <c r="F770" s="3"/>
      <c r="G770" s="3"/>
      <c r="H770" s="3"/>
      <c r="I770" s="3"/>
      <c r="J770" s="3"/>
      <c r="K770" s="3"/>
      <c r="L770" s="3"/>
      <c r="M770" s="5"/>
      <c r="N770" s="3"/>
      <c r="O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>
      <c r="A771" s="4"/>
      <c r="B771" s="3"/>
      <c r="C771" s="3"/>
      <c r="D771" s="3"/>
      <c r="E771" s="4"/>
      <c r="F771" s="3"/>
      <c r="G771" s="3"/>
      <c r="H771" s="3"/>
      <c r="I771" s="3"/>
      <c r="J771" s="3"/>
      <c r="K771" s="3"/>
      <c r="L771" s="3"/>
      <c r="M771" s="5"/>
      <c r="N771" s="3"/>
      <c r="O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>
      <c r="A772" s="4"/>
      <c r="B772" s="3"/>
      <c r="C772" s="3"/>
      <c r="D772" s="3"/>
      <c r="E772" s="4"/>
      <c r="F772" s="3"/>
      <c r="G772" s="3"/>
      <c r="H772" s="3"/>
      <c r="I772" s="3"/>
      <c r="J772" s="3"/>
      <c r="K772" s="3"/>
      <c r="L772" s="3"/>
      <c r="M772" s="5"/>
      <c r="N772" s="3"/>
      <c r="O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>
      <c r="A773" s="4"/>
      <c r="B773" s="3"/>
      <c r="C773" s="3"/>
      <c r="D773" s="3"/>
      <c r="E773" s="4"/>
      <c r="F773" s="3"/>
      <c r="G773" s="3"/>
      <c r="H773" s="3"/>
      <c r="I773" s="3"/>
      <c r="J773" s="3"/>
      <c r="K773" s="3"/>
      <c r="L773" s="3"/>
      <c r="M773" s="5"/>
      <c r="N773" s="3"/>
      <c r="O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>
      <c r="A774" s="4"/>
      <c r="B774" s="3"/>
      <c r="C774" s="3"/>
      <c r="D774" s="3"/>
      <c r="E774" s="4"/>
      <c r="F774" s="3"/>
      <c r="G774" s="3"/>
      <c r="H774" s="3"/>
      <c r="I774" s="3"/>
      <c r="J774" s="3"/>
      <c r="K774" s="3"/>
      <c r="L774" s="3"/>
      <c r="M774" s="5"/>
      <c r="N774" s="3"/>
      <c r="O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>
      <c r="A775" s="4"/>
      <c r="B775" s="3"/>
      <c r="C775" s="3"/>
      <c r="D775" s="3"/>
      <c r="E775" s="4"/>
      <c r="F775" s="3"/>
      <c r="G775" s="3"/>
      <c r="H775" s="3"/>
      <c r="I775" s="3"/>
      <c r="J775" s="3"/>
      <c r="K775" s="3"/>
      <c r="L775" s="3"/>
      <c r="M775" s="5"/>
      <c r="N775" s="3"/>
      <c r="O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>
      <c r="A776" s="4"/>
      <c r="B776" s="3"/>
      <c r="C776" s="3"/>
      <c r="D776" s="3"/>
      <c r="E776" s="4"/>
      <c r="F776" s="3"/>
      <c r="G776" s="3"/>
      <c r="H776" s="3"/>
      <c r="I776" s="3"/>
      <c r="J776" s="3"/>
      <c r="K776" s="3"/>
      <c r="L776" s="3"/>
      <c r="M776" s="5"/>
      <c r="N776" s="3"/>
      <c r="O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>
      <c r="A777" s="4"/>
      <c r="B777" s="3"/>
      <c r="C777" s="3"/>
      <c r="D777" s="3"/>
      <c r="E777" s="4"/>
      <c r="F777" s="3"/>
      <c r="G777" s="3"/>
      <c r="H777" s="3"/>
      <c r="I777" s="3"/>
      <c r="J777" s="3"/>
      <c r="K777" s="3"/>
      <c r="L777" s="3"/>
      <c r="M777" s="5"/>
      <c r="N777" s="3"/>
      <c r="O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>
      <c r="A778" s="4"/>
      <c r="B778" s="3"/>
      <c r="C778" s="3"/>
      <c r="D778" s="3"/>
      <c r="E778" s="4"/>
      <c r="F778" s="3"/>
      <c r="G778" s="3"/>
      <c r="H778" s="3"/>
      <c r="I778" s="3"/>
      <c r="J778" s="3"/>
      <c r="K778" s="3"/>
      <c r="L778" s="3"/>
      <c r="M778" s="5"/>
      <c r="N778" s="3"/>
      <c r="O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>
      <c r="A779" s="4"/>
      <c r="B779" s="3"/>
      <c r="C779" s="3"/>
      <c r="D779" s="3"/>
      <c r="E779" s="4"/>
      <c r="F779" s="3"/>
      <c r="G779" s="3"/>
      <c r="H779" s="3"/>
      <c r="I779" s="3"/>
      <c r="J779" s="3"/>
      <c r="K779" s="3"/>
      <c r="L779" s="3"/>
      <c r="M779" s="5"/>
      <c r="N779" s="3"/>
      <c r="O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>
      <c r="A780" s="4"/>
      <c r="B780" s="3"/>
      <c r="C780" s="3"/>
      <c r="D780" s="3"/>
      <c r="E780" s="4"/>
      <c r="F780" s="3"/>
      <c r="G780" s="3"/>
      <c r="H780" s="3"/>
      <c r="I780" s="3"/>
      <c r="J780" s="3"/>
      <c r="K780" s="3"/>
      <c r="L780" s="3"/>
      <c r="M780" s="5"/>
      <c r="N780" s="3"/>
      <c r="O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>
      <c r="A781" s="4"/>
      <c r="B781" s="3"/>
      <c r="C781" s="3"/>
      <c r="D781" s="3"/>
      <c r="E781" s="4"/>
      <c r="F781" s="3"/>
      <c r="G781" s="3"/>
      <c r="H781" s="3"/>
      <c r="I781" s="3"/>
      <c r="J781" s="3"/>
      <c r="K781" s="3"/>
      <c r="L781" s="3"/>
      <c r="M781" s="5"/>
      <c r="N781" s="3"/>
      <c r="O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>
      <c r="A782" s="4"/>
      <c r="B782" s="3"/>
      <c r="C782" s="3"/>
      <c r="D782" s="3"/>
      <c r="E782" s="4"/>
      <c r="F782" s="3"/>
      <c r="G782" s="3"/>
      <c r="H782" s="3"/>
      <c r="I782" s="3"/>
      <c r="J782" s="3"/>
      <c r="K782" s="3"/>
      <c r="L782" s="3"/>
      <c r="M782" s="5"/>
      <c r="N782" s="3"/>
      <c r="O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>
      <c r="A783" s="4"/>
      <c r="B783" s="3"/>
      <c r="C783" s="3"/>
      <c r="D783" s="3"/>
      <c r="E783" s="4"/>
      <c r="F783" s="3"/>
      <c r="G783" s="3"/>
      <c r="H783" s="3"/>
      <c r="I783" s="3"/>
      <c r="J783" s="3"/>
      <c r="K783" s="3"/>
      <c r="L783" s="3"/>
      <c r="M783" s="5"/>
      <c r="N783" s="3"/>
      <c r="O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>
      <c r="A784" s="4"/>
      <c r="B784" s="3"/>
      <c r="C784" s="3"/>
      <c r="D784" s="3"/>
      <c r="E784" s="4"/>
      <c r="F784" s="3"/>
      <c r="G784" s="3"/>
      <c r="H784" s="3"/>
      <c r="I784" s="3"/>
      <c r="J784" s="3"/>
      <c r="K784" s="3"/>
      <c r="L784" s="3"/>
      <c r="M784" s="5"/>
      <c r="N784" s="3"/>
      <c r="O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>
      <c r="A785" s="4"/>
      <c r="B785" s="3"/>
      <c r="C785" s="3"/>
      <c r="D785" s="3"/>
      <c r="E785" s="4"/>
      <c r="F785" s="3"/>
      <c r="G785" s="3"/>
      <c r="H785" s="3"/>
      <c r="I785" s="3"/>
      <c r="J785" s="3"/>
      <c r="K785" s="3"/>
      <c r="L785" s="3"/>
      <c r="M785" s="5"/>
      <c r="N785" s="3"/>
      <c r="O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>
      <c r="A786" s="4"/>
      <c r="B786" s="3"/>
      <c r="C786" s="3"/>
      <c r="D786" s="3"/>
      <c r="E786" s="4"/>
      <c r="F786" s="3"/>
      <c r="G786" s="3"/>
      <c r="H786" s="3"/>
      <c r="I786" s="3"/>
      <c r="J786" s="3"/>
      <c r="K786" s="3"/>
      <c r="L786" s="3"/>
      <c r="M786" s="5"/>
      <c r="N786" s="3"/>
      <c r="O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>
      <c r="A787" s="4"/>
      <c r="B787" s="3"/>
      <c r="C787" s="3"/>
      <c r="D787" s="3"/>
      <c r="E787" s="4"/>
      <c r="F787" s="3"/>
      <c r="G787" s="3"/>
      <c r="H787" s="3"/>
      <c r="I787" s="3"/>
      <c r="J787" s="3"/>
      <c r="K787" s="3"/>
      <c r="L787" s="3"/>
      <c r="M787" s="5"/>
      <c r="N787" s="3"/>
      <c r="O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>
      <c r="A788" s="4"/>
      <c r="B788" s="3"/>
      <c r="C788" s="3"/>
      <c r="D788" s="3"/>
      <c r="E788" s="4"/>
      <c r="F788" s="3"/>
      <c r="G788" s="3"/>
      <c r="H788" s="3"/>
      <c r="I788" s="3"/>
      <c r="J788" s="3"/>
      <c r="K788" s="3"/>
      <c r="L788" s="3"/>
      <c r="M788" s="5"/>
      <c r="N788" s="3"/>
      <c r="O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>
      <c r="A789" s="4"/>
      <c r="B789" s="3"/>
      <c r="C789" s="3"/>
      <c r="D789" s="3"/>
      <c r="E789" s="4"/>
      <c r="F789" s="3"/>
      <c r="G789" s="3"/>
      <c r="H789" s="3"/>
      <c r="I789" s="3"/>
      <c r="J789" s="3"/>
      <c r="K789" s="3"/>
      <c r="L789" s="3"/>
      <c r="M789" s="5"/>
      <c r="N789" s="3"/>
      <c r="O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>
      <c r="A790" s="4"/>
      <c r="B790" s="3"/>
      <c r="C790" s="3"/>
      <c r="D790" s="3"/>
      <c r="E790" s="4"/>
      <c r="F790" s="3"/>
      <c r="G790" s="3"/>
      <c r="H790" s="3"/>
      <c r="I790" s="3"/>
      <c r="J790" s="3"/>
      <c r="K790" s="3"/>
      <c r="L790" s="3"/>
      <c r="M790" s="5"/>
      <c r="N790" s="3"/>
      <c r="O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>
      <c r="A791" s="4"/>
      <c r="B791" s="3"/>
      <c r="C791" s="3"/>
      <c r="D791" s="3"/>
      <c r="E791" s="4"/>
      <c r="F791" s="3"/>
      <c r="G791" s="3"/>
      <c r="H791" s="3"/>
      <c r="I791" s="3"/>
      <c r="J791" s="3"/>
      <c r="K791" s="3"/>
      <c r="L791" s="3"/>
      <c r="M791" s="5"/>
      <c r="N791" s="3"/>
      <c r="O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>
      <c r="A792" s="4"/>
      <c r="B792" s="3"/>
      <c r="C792" s="3"/>
      <c r="D792" s="3"/>
      <c r="E792" s="4"/>
      <c r="F792" s="3"/>
      <c r="G792" s="3"/>
      <c r="H792" s="3"/>
      <c r="I792" s="3"/>
      <c r="J792" s="3"/>
      <c r="K792" s="3"/>
      <c r="L792" s="3"/>
      <c r="M792" s="5"/>
      <c r="N792" s="3"/>
      <c r="O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>
      <c r="A793" s="4"/>
      <c r="B793" s="3"/>
      <c r="C793" s="3"/>
      <c r="D793" s="3"/>
      <c r="E793" s="4"/>
      <c r="F793" s="3"/>
      <c r="G793" s="3"/>
      <c r="H793" s="3"/>
      <c r="I793" s="3"/>
      <c r="J793" s="3"/>
      <c r="K793" s="3"/>
      <c r="L793" s="3"/>
      <c r="M793" s="5"/>
      <c r="N793" s="3"/>
      <c r="O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>
      <c r="A794" s="4"/>
      <c r="B794" s="3"/>
      <c r="C794" s="3"/>
      <c r="D794" s="3"/>
      <c r="E794" s="4"/>
      <c r="F794" s="3"/>
      <c r="G794" s="3"/>
      <c r="H794" s="3"/>
      <c r="I794" s="3"/>
      <c r="J794" s="3"/>
      <c r="K794" s="3"/>
      <c r="L794" s="3"/>
      <c r="M794" s="5"/>
      <c r="N794" s="3"/>
      <c r="O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>
      <c r="A795" s="4"/>
      <c r="B795" s="3"/>
      <c r="C795" s="3"/>
      <c r="D795" s="3"/>
      <c r="E795" s="4"/>
      <c r="F795" s="3"/>
      <c r="G795" s="3"/>
      <c r="H795" s="3"/>
      <c r="I795" s="3"/>
      <c r="J795" s="3"/>
      <c r="K795" s="3"/>
      <c r="L795" s="3"/>
      <c r="M795" s="5"/>
      <c r="N795" s="3"/>
      <c r="O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>
      <c r="A796" s="4"/>
      <c r="B796" s="3"/>
      <c r="C796" s="3"/>
      <c r="D796" s="3"/>
      <c r="E796" s="4"/>
      <c r="F796" s="3"/>
      <c r="G796" s="3"/>
      <c r="H796" s="3"/>
      <c r="I796" s="3"/>
      <c r="J796" s="3"/>
      <c r="K796" s="3"/>
      <c r="L796" s="3"/>
      <c r="M796" s="5"/>
      <c r="N796" s="3"/>
      <c r="O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>
      <c r="A797" s="4"/>
      <c r="B797" s="3"/>
      <c r="C797" s="3"/>
      <c r="D797" s="3"/>
      <c r="E797" s="4"/>
      <c r="F797" s="3"/>
      <c r="G797" s="3"/>
      <c r="H797" s="3"/>
      <c r="I797" s="3"/>
      <c r="J797" s="3"/>
      <c r="K797" s="3"/>
      <c r="L797" s="3"/>
      <c r="M797" s="5"/>
      <c r="N797" s="3"/>
      <c r="O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>
      <c r="A798" s="4"/>
      <c r="B798" s="3"/>
      <c r="C798" s="3"/>
      <c r="D798" s="3"/>
      <c r="E798" s="4"/>
      <c r="F798" s="3"/>
      <c r="G798" s="3"/>
      <c r="H798" s="3"/>
      <c r="I798" s="3"/>
      <c r="J798" s="3"/>
      <c r="K798" s="3"/>
      <c r="L798" s="3"/>
      <c r="M798" s="5"/>
      <c r="N798" s="3"/>
      <c r="O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>
      <c r="A799" s="4"/>
      <c r="B799" s="3"/>
      <c r="C799" s="3"/>
      <c r="D799" s="3"/>
      <c r="E799" s="4"/>
      <c r="F799" s="3"/>
      <c r="G799" s="3"/>
      <c r="H799" s="3"/>
      <c r="I799" s="3"/>
      <c r="J799" s="3"/>
      <c r="K799" s="3"/>
      <c r="L799" s="3"/>
      <c r="M799" s="5"/>
      <c r="N799" s="3"/>
      <c r="O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>
      <c r="A800" s="4"/>
      <c r="B800" s="3"/>
      <c r="C800" s="3"/>
      <c r="D800" s="3"/>
      <c r="E800" s="4"/>
      <c r="F800" s="3"/>
      <c r="G800" s="3"/>
      <c r="H800" s="3"/>
      <c r="I800" s="3"/>
      <c r="J800" s="3"/>
      <c r="K800" s="3"/>
      <c r="L800" s="3"/>
      <c r="M800" s="5"/>
      <c r="N800" s="3"/>
      <c r="O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>
      <c r="A801" s="4"/>
      <c r="B801" s="3"/>
      <c r="C801" s="3"/>
      <c r="D801" s="3"/>
      <c r="E801" s="4"/>
      <c r="F801" s="3"/>
      <c r="G801" s="3"/>
      <c r="H801" s="3"/>
      <c r="I801" s="3"/>
      <c r="J801" s="3"/>
      <c r="K801" s="3"/>
      <c r="L801" s="3"/>
      <c r="M801" s="5"/>
      <c r="N801" s="3"/>
      <c r="O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>
      <c r="A802" s="4"/>
      <c r="B802" s="3"/>
      <c r="C802" s="3"/>
      <c r="D802" s="3"/>
      <c r="E802" s="4"/>
      <c r="F802" s="3"/>
      <c r="G802" s="3"/>
      <c r="H802" s="3"/>
      <c r="I802" s="3"/>
      <c r="J802" s="3"/>
      <c r="K802" s="3"/>
      <c r="L802" s="3"/>
      <c r="M802" s="5"/>
      <c r="N802" s="3"/>
      <c r="O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>
      <c r="A803" s="4"/>
      <c r="B803" s="3"/>
      <c r="C803" s="3"/>
      <c r="D803" s="3"/>
      <c r="E803" s="4"/>
      <c r="F803" s="3"/>
      <c r="G803" s="3"/>
      <c r="H803" s="3"/>
      <c r="I803" s="3"/>
      <c r="J803" s="3"/>
      <c r="K803" s="3"/>
      <c r="L803" s="3"/>
      <c r="M803" s="5"/>
      <c r="N803" s="3"/>
      <c r="O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>
      <c r="A804" s="4"/>
      <c r="B804" s="3"/>
      <c r="C804" s="3"/>
      <c r="D804" s="3"/>
      <c r="E804" s="4"/>
      <c r="F804" s="3"/>
      <c r="G804" s="3"/>
      <c r="H804" s="3"/>
      <c r="I804" s="3"/>
      <c r="J804" s="3"/>
      <c r="K804" s="3"/>
      <c r="L804" s="3"/>
      <c r="M804" s="5"/>
      <c r="N804" s="3"/>
      <c r="O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>
      <c r="A805" s="4"/>
      <c r="B805" s="3"/>
      <c r="C805" s="3"/>
      <c r="D805" s="3"/>
      <c r="E805" s="4"/>
      <c r="F805" s="3"/>
      <c r="G805" s="3"/>
      <c r="H805" s="3"/>
      <c r="I805" s="3"/>
      <c r="J805" s="3"/>
      <c r="K805" s="3"/>
      <c r="L805" s="3"/>
      <c r="M805" s="5"/>
      <c r="N805" s="3"/>
      <c r="O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>
      <c r="A806" s="4"/>
      <c r="B806" s="3"/>
      <c r="C806" s="3"/>
      <c r="D806" s="3"/>
      <c r="E806" s="4"/>
      <c r="F806" s="3"/>
      <c r="G806" s="3"/>
      <c r="H806" s="3"/>
      <c r="I806" s="3"/>
      <c r="J806" s="3"/>
      <c r="K806" s="3"/>
      <c r="L806" s="3"/>
      <c r="M806" s="5"/>
      <c r="N806" s="3"/>
      <c r="O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>
      <c r="A807" s="4"/>
      <c r="B807" s="3"/>
      <c r="C807" s="3"/>
      <c r="D807" s="3"/>
      <c r="E807" s="4"/>
      <c r="F807" s="3"/>
      <c r="G807" s="3"/>
      <c r="H807" s="3"/>
      <c r="I807" s="3"/>
      <c r="J807" s="3"/>
      <c r="K807" s="3"/>
      <c r="L807" s="3"/>
      <c r="M807" s="5"/>
      <c r="N807" s="3"/>
      <c r="O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>
      <c r="A808" s="4"/>
      <c r="B808" s="3"/>
      <c r="C808" s="3"/>
      <c r="D808" s="3"/>
      <c r="E808" s="4"/>
      <c r="F808" s="3"/>
      <c r="G808" s="3"/>
      <c r="H808" s="3"/>
      <c r="I808" s="3"/>
      <c r="J808" s="3"/>
      <c r="K808" s="3"/>
      <c r="L808" s="3"/>
      <c r="M808" s="5"/>
      <c r="N808" s="3"/>
      <c r="O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>
      <c r="A809" s="4"/>
      <c r="B809" s="3"/>
      <c r="C809" s="3"/>
      <c r="D809" s="3"/>
      <c r="E809" s="4"/>
      <c r="F809" s="3"/>
      <c r="G809" s="3"/>
      <c r="H809" s="3"/>
      <c r="I809" s="3"/>
      <c r="J809" s="3"/>
      <c r="K809" s="3"/>
      <c r="L809" s="3"/>
      <c r="M809" s="5"/>
      <c r="N809" s="3"/>
      <c r="O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>
      <c r="A810" s="4"/>
      <c r="B810" s="3"/>
      <c r="C810" s="3"/>
      <c r="D810" s="3"/>
      <c r="E810" s="4"/>
      <c r="F810" s="3"/>
      <c r="G810" s="3"/>
      <c r="H810" s="3"/>
      <c r="I810" s="3"/>
      <c r="J810" s="3"/>
      <c r="K810" s="3"/>
      <c r="L810" s="3"/>
      <c r="M810" s="5"/>
      <c r="N810" s="3"/>
      <c r="O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>
      <c r="A811" s="4"/>
      <c r="B811" s="3"/>
      <c r="C811" s="3"/>
      <c r="D811" s="3"/>
      <c r="E811" s="4"/>
      <c r="F811" s="3"/>
      <c r="G811" s="3"/>
      <c r="H811" s="3"/>
      <c r="I811" s="3"/>
      <c r="J811" s="3"/>
      <c r="K811" s="3"/>
      <c r="L811" s="3"/>
      <c r="M811" s="5"/>
      <c r="N811" s="3"/>
      <c r="O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>
      <c r="A812" s="4"/>
      <c r="B812" s="3"/>
      <c r="C812" s="3"/>
      <c r="D812" s="3"/>
      <c r="E812" s="4"/>
      <c r="F812" s="3"/>
      <c r="G812" s="3"/>
      <c r="H812" s="3"/>
      <c r="I812" s="3"/>
      <c r="J812" s="3"/>
      <c r="K812" s="3"/>
      <c r="L812" s="3"/>
      <c r="M812" s="5"/>
      <c r="N812" s="3"/>
      <c r="O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>
      <c r="A813" s="4"/>
      <c r="B813" s="3"/>
      <c r="C813" s="3"/>
      <c r="D813" s="3"/>
      <c r="E813" s="4"/>
      <c r="F813" s="3"/>
      <c r="G813" s="3"/>
      <c r="H813" s="3"/>
      <c r="I813" s="3"/>
      <c r="J813" s="3"/>
      <c r="K813" s="3"/>
      <c r="L813" s="3"/>
      <c r="M813" s="5"/>
      <c r="N813" s="3"/>
      <c r="O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>
      <c r="A814" s="4"/>
      <c r="B814" s="3"/>
      <c r="C814" s="3"/>
      <c r="D814" s="3"/>
      <c r="E814" s="4"/>
      <c r="F814" s="3"/>
      <c r="G814" s="3"/>
      <c r="H814" s="3"/>
      <c r="I814" s="3"/>
      <c r="J814" s="3"/>
      <c r="K814" s="3"/>
      <c r="L814" s="3"/>
      <c r="M814" s="5"/>
      <c r="N814" s="3"/>
      <c r="O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>
      <c r="A815" s="4"/>
      <c r="B815" s="3"/>
      <c r="C815" s="3"/>
      <c r="D815" s="3"/>
      <c r="E815" s="4"/>
      <c r="F815" s="3"/>
      <c r="G815" s="3"/>
      <c r="H815" s="3"/>
      <c r="I815" s="3"/>
      <c r="J815" s="3"/>
      <c r="K815" s="3"/>
      <c r="L815" s="3"/>
      <c r="M815" s="5"/>
      <c r="N815" s="3"/>
      <c r="O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>
      <c r="A816" s="4"/>
      <c r="B816" s="3"/>
      <c r="C816" s="3"/>
      <c r="D816" s="3"/>
      <c r="E816" s="4"/>
      <c r="F816" s="3"/>
      <c r="G816" s="3"/>
      <c r="H816" s="3"/>
      <c r="I816" s="3"/>
      <c r="J816" s="3"/>
      <c r="K816" s="3"/>
      <c r="L816" s="3"/>
      <c r="M816" s="5"/>
      <c r="N816" s="3"/>
      <c r="O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>
      <c r="A817" s="4"/>
      <c r="B817" s="3"/>
      <c r="C817" s="3"/>
      <c r="D817" s="3"/>
      <c r="E817" s="4"/>
      <c r="F817" s="3"/>
      <c r="G817" s="3"/>
      <c r="H817" s="3"/>
      <c r="I817" s="3"/>
      <c r="J817" s="3"/>
      <c r="K817" s="3"/>
      <c r="L817" s="3"/>
      <c r="M817" s="5"/>
      <c r="N817" s="3"/>
      <c r="O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>
      <c r="A818" s="4"/>
      <c r="B818" s="3"/>
      <c r="C818" s="3"/>
      <c r="D818" s="3"/>
      <c r="E818" s="4"/>
      <c r="F818" s="3"/>
      <c r="G818" s="3"/>
      <c r="H818" s="3"/>
      <c r="I818" s="3"/>
      <c r="J818" s="3"/>
      <c r="K818" s="3"/>
      <c r="L818" s="3"/>
      <c r="M818" s="5"/>
      <c r="N818" s="3"/>
      <c r="O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>
      <c r="A819" s="4"/>
      <c r="B819" s="3"/>
      <c r="C819" s="3"/>
      <c r="D819" s="3"/>
      <c r="E819" s="4"/>
      <c r="F819" s="3"/>
      <c r="G819" s="3"/>
      <c r="H819" s="3"/>
      <c r="I819" s="3"/>
      <c r="J819" s="3"/>
      <c r="K819" s="3"/>
      <c r="L819" s="3"/>
      <c r="M819" s="5"/>
      <c r="N819" s="3"/>
      <c r="O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>
      <c r="A820" s="4"/>
      <c r="B820" s="3"/>
      <c r="C820" s="3"/>
      <c r="D820" s="3"/>
      <c r="E820" s="4"/>
      <c r="F820" s="3"/>
      <c r="G820" s="3"/>
      <c r="H820" s="3"/>
      <c r="I820" s="3"/>
      <c r="J820" s="3"/>
      <c r="K820" s="3"/>
      <c r="L820" s="3"/>
      <c r="M820" s="5"/>
      <c r="N820" s="3"/>
      <c r="O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>
      <c r="A821" s="4"/>
      <c r="B821" s="3"/>
      <c r="C821" s="3"/>
      <c r="D821" s="3"/>
      <c r="E821" s="4"/>
      <c r="F821" s="3"/>
      <c r="G821" s="3"/>
      <c r="H821" s="3"/>
      <c r="I821" s="3"/>
      <c r="J821" s="3"/>
      <c r="K821" s="3"/>
      <c r="L821" s="3"/>
      <c r="M821" s="5"/>
      <c r="N821" s="3"/>
      <c r="O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>
      <c r="A822" s="4"/>
      <c r="B822" s="3"/>
      <c r="C822" s="3"/>
      <c r="D822" s="3"/>
      <c r="E822" s="4"/>
      <c r="F822" s="3"/>
      <c r="G822" s="3"/>
      <c r="H822" s="3"/>
      <c r="I822" s="3"/>
      <c r="J822" s="3"/>
      <c r="K822" s="3"/>
      <c r="L822" s="3"/>
      <c r="M822" s="5"/>
      <c r="N822" s="3"/>
      <c r="O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>
      <c r="A823" s="4"/>
      <c r="B823" s="3"/>
      <c r="C823" s="3"/>
      <c r="D823" s="3"/>
      <c r="E823" s="4"/>
      <c r="F823" s="3"/>
      <c r="G823" s="3"/>
      <c r="H823" s="3"/>
      <c r="I823" s="3"/>
      <c r="J823" s="3"/>
      <c r="K823" s="3"/>
      <c r="L823" s="3"/>
      <c r="M823" s="5"/>
      <c r="N823" s="3"/>
      <c r="O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>
      <c r="A824" s="4"/>
      <c r="B824" s="3"/>
      <c r="C824" s="3"/>
      <c r="D824" s="3"/>
      <c r="E824" s="4"/>
      <c r="F824" s="3"/>
      <c r="G824" s="3"/>
      <c r="H824" s="3"/>
      <c r="I824" s="3"/>
      <c r="J824" s="3"/>
      <c r="K824" s="3"/>
      <c r="L824" s="3"/>
      <c r="M824" s="5"/>
      <c r="N824" s="3"/>
      <c r="O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>
      <c r="A825" s="4"/>
      <c r="B825" s="3"/>
      <c r="C825" s="3"/>
      <c r="D825" s="3"/>
      <c r="E825" s="4"/>
      <c r="F825" s="3"/>
      <c r="G825" s="3"/>
      <c r="H825" s="3"/>
      <c r="I825" s="3"/>
      <c r="J825" s="3"/>
      <c r="K825" s="3"/>
      <c r="L825" s="3"/>
      <c r="M825" s="5"/>
      <c r="N825" s="3"/>
      <c r="O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>
      <c r="A826" s="4"/>
      <c r="B826" s="3"/>
      <c r="C826" s="3"/>
      <c r="D826" s="3"/>
      <c r="E826" s="4"/>
      <c r="F826" s="3"/>
      <c r="G826" s="3"/>
      <c r="H826" s="3"/>
      <c r="I826" s="3"/>
      <c r="J826" s="3"/>
      <c r="K826" s="3"/>
      <c r="L826" s="3"/>
      <c r="M826" s="5"/>
      <c r="N826" s="3"/>
      <c r="O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>
      <c r="A827" s="4"/>
      <c r="B827" s="3"/>
      <c r="C827" s="3"/>
      <c r="D827" s="3"/>
      <c r="E827" s="4"/>
      <c r="F827" s="3"/>
      <c r="G827" s="3"/>
      <c r="H827" s="3"/>
      <c r="I827" s="3"/>
      <c r="J827" s="3"/>
      <c r="K827" s="3"/>
      <c r="L827" s="3"/>
      <c r="M827" s="5"/>
      <c r="N827" s="3"/>
      <c r="O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>
      <c r="A828" s="4"/>
      <c r="B828" s="3"/>
      <c r="C828" s="3"/>
      <c r="D828" s="3"/>
      <c r="E828" s="4"/>
      <c r="F828" s="3"/>
      <c r="G828" s="3"/>
      <c r="H828" s="3"/>
      <c r="I828" s="3"/>
      <c r="J828" s="3"/>
      <c r="K828" s="3"/>
      <c r="L828" s="3"/>
      <c r="M828" s="5"/>
      <c r="N828" s="3"/>
      <c r="O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>
      <c r="A829" s="4"/>
      <c r="B829" s="3"/>
      <c r="C829" s="3"/>
      <c r="D829" s="3"/>
      <c r="E829" s="4"/>
      <c r="F829" s="3"/>
      <c r="G829" s="3"/>
      <c r="H829" s="3"/>
      <c r="I829" s="3"/>
      <c r="J829" s="3"/>
      <c r="K829" s="3"/>
      <c r="L829" s="3"/>
      <c r="M829" s="5"/>
      <c r="N829" s="3"/>
      <c r="O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>
      <c r="A830" s="4"/>
      <c r="B830" s="3"/>
      <c r="C830" s="3"/>
      <c r="D830" s="3"/>
      <c r="E830" s="4"/>
      <c r="F830" s="3"/>
      <c r="G830" s="3"/>
      <c r="H830" s="3"/>
      <c r="I830" s="3"/>
      <c r="J830" s="3"/>
      <c r="K830" s="3"/>
      <c r="L830" s="3"/>
      <c r="M830" s="5"/>
      <c r="N830" s="3"/>
      <c r="O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>
      <c r="A831" s="4"/>
      <c r="B831" s="3"/>
      <c r="C831" s="3"/>
      <c r="D831" s="3"/>
      <c r="E831" s="4"/>
      <c r="F831" s="3"/>
      <c r="G831" s="3"/>
      <c r="H831" s="3"/>
      <c r="I831" s="3"/>
      <c r="J831" s="3"/>
      <c r="K831" s="3"/>
      <c r="L831" s="3"/>
      <c r="M831" s="5"/>
      <c r="N831" s="3"/>
      <c r="O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>
      <c r="A832" s="4"/>
      <c r="B832" s="3"/>
      <c r="C832" s="3"/>
      <c r="D832" s="3"/>
      <c r="E832" s="4"/>
      <c r="F832" s="3"/>
      <c r="G832" s="3"/>
      <c r="H832" s="3"/>
      <c r="I832" s="3"/>
      <c r="J832" s="3"/>
      <c r="K832" s="3"/>
      <c r="L832" s="3"/>
      <c r="M832" s="5"/>
      <c r="N832" s="3"/>
      <c r="O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>
      <c r="A833" s="4"/>
      <c r="B833" s="3"/>
      <c r="C833" s="3"/>
      <c r="D833" s="3"/>
      <c r="E833" s="4"/>
      <c r="F833" s="3"/>
      <c r="G833" s="3"/>
      <c r="H833" s="3"/>
      <c r="I833" s="3"/>
      <c r="J833" s="3"/>
      <c r="K833" s="3"/>
      <c r="L833" s="3"/>
      <c r="M833" s="5"/>
      <c r="N833" s="3"/>
      <c r="O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>
      <c r="A834" s="4"/>
      <c r="B834" s="3"/>
      <c r="C834" s="3"/>
      <c r="D834" s="3"/>
      <c r="E834" s="4"/>
      <c r="F834" s="3"/>
      <c r="G834" s="3"/>
      <c r="H834" s="3"/>
      <c r="I834" s="3"/>
      <c r="J834" s="3"/>
      <c r="K834" s="3"/>
      <c r="L834" s="3"/>
      <c r="M834" s="5"/>
      <c r="N834" s="3"/>
      <c r="O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>
      <c r="A835" s="4"/>
      <c r="B835" s="3"/>
      <c r="C835" s="3"/>
      <c r="D835" s="3"/>
      <c r="E835" s="4"/>
      <c r="F835" s="3"/>
      <c r="G835" s="3"/>
      <c r="H835" s="3"/>
      <c r="I835" s="3"/>
      <c r="J835" s="3"/>
      <c r="K835" s="3"/>
      <c r="L835" s="3"/>
      <c r="M835" s="5"/>
      <c r="N835" s="3"/>
      <c r="O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>
      <c r="A836" s="4"/>
      <c r="B836" s="3"/>
      <c r="C836" s="3"/>
      <c r="D836" s="3"/>
      <c r="E836" s="4"/>
      <c r="F836" s="3"/>
      <c r="G836" s="3"/>
      <c r="H836" s="3"/>
      <c r="I836" s="3"/>
      <c r="J836" s="3"/>
      <c r="K836" s="3"/>
      <c r="L836" s="3"/>
      <c r="M836" s="5"/>
      <c r="N836" s="3"/>
      <c r="O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>
      <c r="A837" s="4"/>
      <c r="B837" s="3"/>
      <c r="C837" s="3"/>
      <c r="D837" s="3"/>
      <c r="E837" s="4"/>
      <c r="F837" s="3"/>
      <c r="G837" s="3"/>
      <c r="H837" s="3"/>
      <c r="I837" s="3"/>
      <c r="J837" s="3"/>
      <c r="K837" s="3"/>
      <c r="L837" s="3"/>
      <c r="M837" s="5"/>
      <c r="N837" s="3"/>
      <c r="O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>
      <c r="A838" s="4"/>
      <c r="B838" s="3"/>
      <c r="C838" s="3"/>
      <c r="D838" s="3"/>
      <c r="E838" s="4"/>
      <c r="F838" s="3"/>
      <c r="G838" s="3"/>
      <c r="H838" s="3"/>
      <c r="I838" s="3"/>
      <c r="J838" s="3"/>
      <c r="K838" s="3"/>
      <c r="L838" s="3"/>
      <c r="M838" s="5"/>
      <c r="N838" s="3"/>
      <c r="O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>
      <c r="A839" s="4"/>
      <c r="B839" s="3"/>
      <c r="C839" s="3"/>
      <c r="D839" s="3"/>
      <c r="E839" s="4"/>
      <c r="F839" s="3"/>
      <c r="G839" s="3"/>
      <c r="H839" s="3"/>
      <c r="I839" s="3"/>
      <c r="J839" s="3"/>
      <c r="K839" s="3"/>
      <c r="L839" s="3"/>
      <c r="M839" s="5"/>
      <c r="N839" s="3"/>
      <c r="O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>
      <c r="A840" s="4"/>
      <c r="B840" s="3"/>
      <c r="C840" s="3"/>
      <c r="D840" s="3"/>
      <c r="E840" s="4"/>
      <c r="F840" s="3"/>
      <c r="G840" s="3"/>
      <c r="H840" s="3"/>
      <c r="I840" s="3"/>
      <c r="J840" s="3"/>
      <c r="K840" s="3"/>
      <c r="L840" s="3"/>
      <c r="M840" s="5"/>
      <c r="N840" s="3"/>
      <c r="O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>
      <c r="A841" s="4"/>
      <c r="B841" s="3"/>
      <c r="C841" s="3"/>
      <c r="D841" s="3"/>
      <c r="E841" s="4"/>
      <c r="F841" s="3"/>
      <c r="G841" s="3"/>
      <c r="H841" s="3"/>
      <c r="I841" s="3"/>
      <c r="J841" s="3"/>
      <c r="K841" s="3"/>
      <c r="L841" s="3"/>
      <c r="M841" s="5"/>
      <c r="N841" s="3"/>
      <c r="O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>
      <c r="A842" s="4"/>
      <c r="B842" s="3"/>
      <c r="C842" s="3"/>
      <c r="D842" s="3"/>
      <c r="E842" s="4"/>
      <c r="F842" s="3"/>
      <c r="G842" s="3"/>
      <c r="H842" s="3"/>
      <c r="I842" s="3"/>
      <c r="J842" s="3"/>
      <c r="K842" s="3"/>
      <c r="L842" s="3"/>
      <c r="M842" s="5"/>
      <c r="N842" s="3"/>
      <c r="O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>
      <c r="A843" s="4"/>
      <c r="B843" s="3"/>
      <c r="C843" s="3"/>
      <c r="D843" s="3"/>
      <c r="E843" s="4"/>
      <c r="F843" s="3"/>
      <c r="G843" s="3"/>
      <c r="H843" s="3"/>
      <c r="I843" s="3"/>
      <c r="J843" s="3"/>
      <c r="K843" s="3"/>
      <c r="L843" s="3"/>
      <c r="M843" s="5"/>
      <c r="N843" s="3"/>
      <c r="O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>
      <c r="A844" s="4"/>
      <c r="B844" s="3"/>
      <c r="C844" s="3"/>
      <c r="D844" s="3"/>
      <c r="E844" s="4"/>
      <c r="F844" s="3"/>
      <c r="G844" s="3"/>
      <c r="H844" s="3"/>
      <c r="I844" s="3"/>
      <c r="J844" s="3"/>
      <c r="K844" s="3"/>
      <c r="L844" s="3"/>
      <c r="M844" s="5"/>
      <c r="N844" s="3"/>
      <c r="O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>
      <c r="A845" s="4"/>
      <c r="B845" s="3"/>
      <c r="C845" s="3"/>
      <c r="D845" s="3"/>
      <c r="E845" s="4"/>
      <c r="F845" s="3"/>
      <c r="G845" s="3"/>
      <c r="H845" s="3"/>
      <c r="I845" s="3"/>
      <c r="J845" s="3"/>
      <c r="K845" s="3"/>
      <c r="L845" s="3"/>
      <c r="M845" s="5"/>
      <c r="N845" s="3"/>
      <c r="O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>
      <c r="A846" s="4"/>
      <c r="B846" s="3"/>
      <c r="C846" s="3"/>
      <c r="D846" s="3"/>
      <c r="E846" s="4"/>
      <c r="F846" s="3"/>
      <c r="G846" s="3"/>
      <c r="H846" s="3"/>
      <c r="I846" s="3"/>
      <c r="J846" s="3"/>
      <c r="K846" s="3"/>
      <c r="L846" s="3"/>
      <c r="M846" s="5"/>
      <c r="N846" s="3"/>
      <c r="O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>
      <c r="A847" s="4"/>
      <c r="B847" s="3"/>
      <c r="C847" s="3"/>
      <c r="D847" s="3"/>
      <c r="E847" s="4"/>
      <c r="F847" s="3"/>
      <c r="G847" s="3"/>
      <c r="H847" s="3"/>
      <c r="I847" s="3"/>
      <c r="J847" s="3"/>
      <c r="K847" s="3"/>
      <c r="L847" s="3"/>
      <c r="M847" s="5"/>
      <c r="N847" s="3"/>
      <c r="O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>
      <c r="A848" s="4"/>
      <c r="B848" s="3"/>
      <c r="C848" s="3"/>
      <c r="D848" s="3"/>
      <c r="E848" s="4"/>
      <c r="F848" s="3"/>
      <c r="G848" s="3"/>
      <c r="H848" s="3"/>
      <c r="I848" s="3"/>
      <c r="J848" s="3"/>
      <c r="K848" s="3"/>
      <c r="L848" s="3"/>
      <c r="M848" s="5"/>
      <c r="N848" s="3"/>
      <c r="O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>
      <c r="A849" s="4"/>
      <c r="B849" s="3"/>
      <c r="C849" s="3"/>
      <c r="D849" s="3"/>
      <c r="E849" s="4"/>
      <c r="F849" s="3"/>
      <c r="G849" s="3"/>
      <c r="H849" s="3"/>
      <c r="I849" s="3"/>
      <c r="J849" s="3"/>
      <c r="K849" s="3"/>
      <c r="L849" s="3"/>
      <c r="M849" s="5"/>
      <c r="N849" s="3"/>
      <c r="O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>
      <c r="A850" s="4"/>
      <c r="B850" s="3"/>
      <c r="C850" s="3"/>
      <c r="D850" s="3"/>
      <c r="E850" s="4"/>
      <c r="F850" s="3"/>
      <c r="G850" s="3"/>
      <c r="H850" s="3"/>
      <c r="I850" s="3"/>
      <c r="J850" s="3"/>
      <c r="K850" s="3"/>
      <c r="L850" s="3"/>
      <c r="M850" s="5"/>
      <c r="N850" s="3"/>
      <c r="O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>
      <c r="A851" s="4"/>
      <c r="B851" s="3"/>
      <c r="C851" s="3"/>
      <c r="D851" s="3"/>
      <c r="E851" s="4"/>
      <c r="F851" s="3"/>
      <c r="G851" s="3"/>
      <c r="H851" s="3"/>
      <c r="I851" s="3"/>
      <c r="J851" s="3"/>
      <c r="K851" s="3"/>
      <c r="L851" s="3"/>
      <c r="M851" s="5"/>
      <c r="N851" s="3"/>
      <c r="O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>
      <c r="A852" s="4"/>
      <c r="B852" s="3"/>
      <c r="C852" s="3"/>
      <c r="D852" s="3"/>
      <c r="E852" s="4"/>
      <c r="F852" s="3"/>
      <c r="G852" s="3"/>
      <c r="H852" s="3"/>
      <c r="I852" s="3"/>
      <c r="J852" s="3"/>
      <c r="K852" s="3"/>
      <c r="L852" s="3"/>
      <c r="M852" s="5"/>
      <c r="N852" s="3"/>
      <c r="O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>
      <c r="A853" s="4"/>
      <c r="B853" s="3"/>
      <c r="C853" s="3"/>
      <c r="D853" s="3"/>
      <c r="E853" s="4"/>
      <c r="F853" s="3"/>
      <c r="G853" s="3"/>
      <c r="H853" s="3"/>
      <c r="I853" s="3"/>
      <c r="J853" s="3"/>
      <c r="K853" s="3"/>
      <c r="L853" s="3"/>
      <c r="M853" s="5"/>
      <c r="N853" s="3"/>
      <c r="O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>
      <c r="A854" s="4"/>
      <c r="B854" s="3"/>
      <c r="C854" s="3"/>
      <c r="D854" s="3"/>
      <c r="E854" s="4"/>
      <c r="F854" s="3"/>
      <c r="G854" s="3"/>
      <c r="H854" s="3"/>
      <c r="I854" s="3"/>
      <c r="J854" s="3"/>
      <c r="K854" s="3"/>
      <c r="L854" s="3"/>
      <c r="M854" s="5"/>
      <c r="N854" s="3"/>
      <c r="O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>
      <c r="A855" s="4"/>
      <c r="B855" s="3"/>
      <c r="C855" s="3"/>
      <c r="D855" s="3"/>
      <c r="E855" s="4"/>
      <c r="F855" s="3"/>
      <c r="G855" s="3"/>
      <c r="H855" s="3"/>
      <c r="I855" s="3"/>
      <c r="J855" s="3"/>
      <c r="K855" s="3"/>
      <c r="L855" s="3"/>
      <c r="M855" s="5"/>
      <c r="N855" s="3"/>
      <c r="O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>
      <c r="A856" s="4"/>
      <c r="B856" s="3"/>
      <c r="C856" s="3"/>
      <c r="D856" s="3"/>
      <c r="E856" s="4"/>
      <c r="F856" s="3"/>
      <c r="G856" s="3"/>
      <c r="H856" s="3"/>
      <c r="I856" s="3"/>
      <c r="J856" s="3"/>
      <c r="K856" s="3"/>
      <c r="L856" s="3"/>
      <c r="M856" s="5"/>
      <c r="N856" s="3"/>
      <c r="O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>
      <c r="A857" s="4"/>
      <c r="B857" s="3"/>
      <c r="C857" s="3"/>
      <c r="D857" s="3"/>
      <c r="E857" s="4"/>
      <c r="F857" s="3"/>
      <c r="G857" s="3"/>
      <c r="H857" s="3"/>
      <c r="I857" s="3"/>
      <c r="J857" s="3"/>
      <c r="K857" s="3"/>
      <c r="L857" s="3"/>
      <c r="M857" s="5"/>
      <c r="N857" s="3"/>
      <c r="O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>
      <c r="A858" s="4"/>
      <c r="B858" s="3"/>
      <c r="C858" s="3"/>
      <c r="D858" s="3"/>
      <c r="E858" s="4"/>
      <c r="F858" s="3"/>
      <c r="G858" s="3"/>
      <c r="H858" s="3"/>
      <c r="I858" s="3"/>
      <c r="J858" s="3"/>
      <c r="K858" s="3"/>
      <c r="L858" s="3"/>
      <c r="M858" s="5"/>
      <c r="N858" s="3"/>
      <c r="O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>
      <c r="A859" s="4"/>
      <c r="B859" s="3"/>
      <c r="C859" s="3"/>
      <c r="D859" s="3"/>
      <c r="E859" s="4"/>
      <c r="F859" s="3"/>
      <c r="G859" s="3"/>
      <c r="H859" s="3"/>
      <c r="I859" s="3"/>
      <c r="J859" s="3"/>
      <c r="K859" s="3"/>
      <c r="L859" s="3"/>
      <c r="M859" s="5"/>
      <c r="N859" s="3"/>
      <c r="O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>
      <c r="A860" s="4"/>
      <c r="B860" s="3"/>
      <c r="C860" s="3"/>
      <c r="D860" s="3"/>
      <c r="E860" s="4"/>
      <c r="F860" s="3"/>
      <c r="G860" s="3"/>
      <c r="H860" s="3"/>
      <c r="I860" s="3"/>
      <c r="J860" s="3"/>
      <c r="K860" s="3"/>
      <c r="L860" s="3"/>
      <c r="M860" s="5"/>
      <c r="N860" s="3"/>
      <c r="O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>
      <c r="A861" s="4"/>
      <c r="B861" s="3"/>
      <c r="C861" s="3"/>
      <c r="D861" s="3"/>
      <c r="E861" s="4"/>
      <c r="F861" s="3"/>
      <c r="G861" s="3"/>
      <c r="H861" s="3"/>
      <c r="I861" s="3"/>
      <c r="J861" s="3"/>
      <c r="K861" s="3"/>
      <c r="L861" s="3"/>
      <c r="M861" s="5"/>
      <c r="N861" s="3"/>
      <c r="O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>
      <c r="A862" s="4"/>
      <c r="B862" s="3"/>
      <c r="C862" s="3"/>
      <c r="D862" s="3"/>
      <c r="E862" s="4"/>
      <c r="F862" s="3"/>
      <c r="G862" s="3"/>
      <c r="H862" s="3"/>
      <c r="I862" s="3"/>
      <c r="J862" s="3"/>
      <c r="K862" s="3"/>
      <c r="L862" s="3"/>
      <c r="M862" s="5"/>
      <c r="N862" s="3"/>
      <c r="O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>
      <c r="A863" s="4"/>
      <c r="B863" s="3"/>
      <c r="C863" s="3"/>
      <c r="D863" s="3"/>
      <c r="E863" s="4"/>
      <c r="F863" s="3"/>
      <c r="G863" s="3"/>
      <c r="H863" s="3"/>
      <c r="I863" s="3"/>
      <c r="J863" s="3"/>
      <c r="K863" s="3"/>
      <c r="L863" s="3"/>
      <c r="M863" s="5"/>
      <c r="N863" s="3"/>
      <c r="O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>
      <c r="A864" s="4"/>
      <c r="B864" s="3"/>
      <c r="C864" s="3"/>
      <c r="D864" s="3"/>
      <c r="E864" s="4"/>
      <c r="F864" s="3"/>
      <c r="G864" s="3"/>
      <c r="H864" s="3"/>
      <c r="I864" s="3"/>
      <c r="J864" s="3"/>
      <c r="K864" s="3"/>
      <c r="L864" s="3"/>
      <c r="M864" s="5"/>
      <c r="N864" s="3"/>
      <c r="O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>
      <c r="A865" s="4"/>
      <c r="B865" s="3"/>
      <c r="C865" s="3"/>
      <c r="D865" s="3"/>
      <c r="E865" s="4"/>
      <c r="F865" s="3"/>
      <c r="G865" s="3"/>
      <c r="H865" s="3"/>
      <c r="I865" s="3"/>
      <c r="J865" s="3"/>
      <c r="K865" s="3"/>
      <c r="L865" s="3"/>
      <c r="M865" s="5"/>
      <c r="N865" s="3"/>
      <c r="O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>
      <c r="A866" s="4"/>
      <c r="B866" s="3"/>
      <c r="C866" s="3"/>
      <c r="D866" s="3"/>
      <c r="E866" s="4"/>
      <c r="F866" s="3"/>
      <c r="G866" s="3"/>
      <c r="H866" s="3"/>
      <c r="I866" s="3"/>
      <c r="J866" s="3"/>
      <c r="K866" s="3"/>
      <c r="L866" s="3"/>
      <c r="M866" s="5"/>
      <c r="N866" s="3"/>
      <c r="O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>
      <c r="A867" s="4"/>
      <c r="B867" s="3"/>
      <c r="C867" s="3"/>
      <c r="D867" s="3"/>
      <c r="E867" s="4"/>
      <c r="F867" s="3"/>
      <c r="G867" s="3"/>
      <c r="H867" s="3"/>
      <c r="I867" s="3"/>
      <c r="J867" s="3"/>
      <c r="K867" s="3"/>
      <c r="L867" s="3"/>
      <c r="M867" s="5"/>
      <c r="N867" s="3"/>
      <c r="O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>
      <c r="A868" s="4"/>
      <c r="B868" s="3"/>
      <c r="C868" s="3"/>
      <c r="D868" s="3"/>
      <c r="E868" s="4"/>
      <c r="F868" s="3"/>
      <c r="G868" s="3"/>
      <c r="H868" s="3"/>
      <c r="I868" s="3"/>
      <c r="J868" s="3"/>
      <c r="K868" s="3"/>
      <c r="L868" s="3"/>
      <c r="M868" s="5"/>
      <c r="N868" s="3"/>
      <c r="O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>
      <c r="A869" s="4"/>
      <c r="B869" s="3"/>
      <c r="C869" s="3"/>
      <c r="D869" s="3"/>
      <c r="E869" s="4"/>
      <c r="F869" s="3"/>
      <c r="G869" s="3"/>
      <c r="H869" s="3"/>
      <c r="I869" s="3"/>
      <c r="J869" s="3"/>
      <c r="K869" s="3"/>
      <c r="L869" s="3"/>
      <c r="M869" s="5"/>
      <c r="N869" s="3"/>
      <c r="O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>
      <c r="A870" s="4"/>
      <c r="B870" s="3"/>
      <c r="C870" s="3"/>
      <c r="D870" s="3"/>
      <c r="E870" s="4"/>
      <c r="F870" s="3"/>
      <c r="G870" s="3"/>
      <c r="H870" s="3"/>
      <c r="I870" s="3"/>
      <c r="J870" s="3"/>
      <c r="K870" s="3"/>
      <c r="L870" s="3"/>
      <c r="M870" s="5"/>
      <c r="N870" s="3"/>
      <c r="O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>
      <c r="A871" s="4"/>
      <c r="B871" s="3"/>
      <c r="C871" s="3"/>
      <c r="D871" s="3"/>
      <c r="E871" s="4"/>
      <c r="F871" s="3"/>
      <c r="G871" s="3"/>
      <c r="H871" s="3"/>
      <c r="I871" s="3"/>
      <c r="J871" s="3"/>
      <c r="K871" s="3"/>
      <c r="L871" s="3"/>
      <c r="M871" s="5"/>
      <c r="N871" s="3"/>
      <c r="O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>
      <c r="A872" s="4"/>
      <c r="B872" s="3"/>
      <c r="C872" s="3"/>
      <c r="D872" s="3"/>
      <c r="E872" s="4"/>
      <c r="F872" s="3"/>
      <c r="G872" s="3"/>
      <c r="H872" s="3"/>
      <c r="I872" s="3"/>
      <c r="J872" s="3"/>
      <c r="K872" s="3"/>
      <c r="L872" s="3"/>
      <c r="M872" s="5"/>
      <c r="N872" s="3"/>
      <c r="O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>
      <c r="A873" s="4"/>
      <c r="B873" s="3"/>
      <c r="C873" s="3"/>
      <c r="D873" s="3"/>
      <c r="E873" s="4"/>
      <c r="F873" s="3"/>
      <c r="G873" s="3"/>
      <c r="H873" s="3"/>
      <c r="I873" s="3"/>
      <c r="J873" s="3"/>
      <c r="K873" s="3"/>
      <c r="L873" s="3"/>
      <c r="M873" s="5"/>
      <c r="N873" s="3"/>
      <c r="O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>
      <c r="A874" s="4"/>
      <c r="B874" s="3"/>
      <c r="C874" s="3"/>
      <c r="D874" s="3"/>
      <c r="E874" s="4"/>
      <c r="F874" s="3"/>
      <c r="G874" s="3"/>
      <c r="H874" s="3"/>
      <c r="I874" s="3"/>
      <c r="J874" s="3"/>
      <c r="K874" s="3"/>
      <c r="L874" s="3"/>
      <c r="M874" s="5"/>
      <c r="N874" s="3"/>
      <c r="O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>
      <c r="A875" s="4"/>
      <c r="B875" s="3"/>
      <c r="C875" s="3"/>
      <c r="D875" s="3"/>
      <c r="E875" s="4"/>
      <c r="F875" s="3"/>
      <c r="G875" s="3"/>
      <c r="H875" s="3"/>
      <c r="I875" s="3"/>
      <c r="J875" s="3"/>
      <c r="K875" s="3"/>
      <c r="L875" s="3"/>
      <c r="M875" s="5"/>
      <c r="N875" s="3"/>
      <c r="O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>
      <c r="A876" s="4"/>
      <c r="B876" s="3"/>
      <c r="C876" s="3"/>
      <c r="D876" s="3"/>
      <c r="E876" s="4"/>
      <c r="F876" s="3"/>
      <c r="G876" s="3"/>
      <c r="H876" s="3"/>
      <c r="I876" s="3"/>
      <c r="J876" s="3"/>
      <c r="K876" s="3"/>
      <c r="L876" s="3"/>
      <c r="M876" s="5"/>
      <c r="N876" s="3"/>
      <c r="O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>
      <c r="A877" s="4"/>
      <c r="B877" s="3"/>
      <c r="C877" s="3"/>
      <c r="D877" s="3"/>
      <c r="E877" s="4"/>
      <c r="F877" s="3"/>
      <c r="G877" s="3"/>
      <c r="H877" s="3"/>
      <c r="I877" s="3"/>
      <c r="J877" s="3"/>
      <c r="K877" s="3"/>
      <c r="L877" s="3"/>
      <c r="M877" s="5"/>
      <c r="N877" s="3"/>
      <c r="O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>
      <c r="A878" s="4"/>
      <c r="B878" s="3"/>
      <c r="C878" s="3"/>
      <c r="D878" s="3"/>
      <c r="E878" s="4"/>
      <c r="F878" s="3"/>
      <c r="G878" s="3"/>
      <c r="H878" s="3"/>
      <c r="I878" s="3"/>
      <c r="J878" s="3"/>
      <c r="K878" s="3"/>
      <c r="L878" s="3"/>
      <c r="M878" s="5"/>
      <c r="N878" s="3"/>
      <c r="O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>
      <c r="A879" s="4"/>
      <c r="B879" s="3"/>
      <c r="C879" s="3"/>
      <c r="D879" s="3"/>
      <c r="E879" s="4"/>
      <c r="F879" s="3"/>
      <c r="G879" s="3"/>
      <c r="H879" s="3"/>
      <c r="I879" s="3"/>
      <c r="J879" s="3"/>
      <c r="K879" s="3"/>
      <c r="L879" s="3"/>
      <c r="M879" s="5"/>
      <c r="N879" s="3"/>
      <c r="O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>
      <c r="A880" s="4"/>
      <c r="B880" s="3"/>
      <c r="C880" s="3"/>
      <c r="D880" s="3"/>
      <c r="E880" s="4"/>
      <c r="F880" s="3"/>
      <c r="G880" s="3"/>
      <c r="H880" s="3"/>
      <c r="I880" s="3"/>
      <c r="J880" s="3"/>
      <c r="K880" s="3"/>
      <c r="L880" s="3"/>
      <c r="M880" s="5"/>
      <c r="N880" s="3"/>
      <c r="O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>
      <c r="A881" s="4"/>
      <c r="B881" s="3"/>
      <c r="C881" s="3"/>
      <c r="D881" s="3"/>
      <c r="E881" s="4"/>
      <c r="F881" s="3"/>
      <c r="G881" s="3"/>
      <c r="H881" s="3"/>
      <c r="I881" s="3"/>
      <c r="J881" s="3"/>
      <c r="K881" s="3"/>
      <c r="L881" s="3"/>
      <c r="M881" s="5"/>
      <c r="N881" s="3"/>
      <c r="O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>
      <c r="A882" s="4"/>
      <c r="B882" s="3"/>
      <c r="C882" s="3"/>
      <c r="D882" s="3"/>
      <c r="E882" s="4"/>
      <c r="F882" s="3"/>
      <c r="G882" s="3"/>
      <c r="H882" s="3"/>
      <c r="I882" s="3"/>
      <c r="J882" s="3"/>
      <c r="K882" s="3"/>
      <c r="L882" s="3"/>
      <c r="M882" s="5"/>
      <c r="N882" s="3"/>
      <c r="O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>
      <c r="A883" s="4"/>
      <c r="B883" s="3"/>
      <c r="C883" s="3"/>
      <c r="D883" s="3"/>
      <c r="E883" s="4"/>
      <c r="F883" s="3"/>
      <c r="G883" s="3"/>
      <c r="H883" s="3"/>
      <c r="I883" s="3"/>
      <c r="J883" s="3"/>
      <c r="K883" s="3"/>
      <c r="L883" s="3"/>
      <c r="M883" s="5"/>
      <c r="N883" s="3"/>
      <c r="O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>
      <c r="A884" s="4"/>
      <c r="B884" s="3"/>
      <c r="C884" s="3"/>
      <c r="D884" s="3"/>
      <c r="E884" s="4"/>
      <c r="F884" s="3"/>
      <c r="G884" s="3"/>
      <c r="H884" s="3"/>
      <c r="I884" s="3"/>
      <c r="J884" s="3"/>
      <c r="K884" s="3"/>
      <c r="L884" s="3"/>
      <c r="M884" s="5"/>
      <c r="N884" s="3"/>
      <c r="O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>
      <c r="A885" s="4"/>
      <c r="B885" s="3"/>
      <c r="C885" s="3"/>
      <c r="D885" s="3"/>
      <c r="E885" s="4"/>
      <c r="F885" s="3"/>
      <c r="G885" s="3"/>
      <c r="H885" s="3"/>
      <c r="I885" s="3"/>
      <c r="J885" s="3"/>
      <c r="K885" s="3"/>
      <c r="L885" s="3"/>
      <c r="M885" s="5"/>
      <c r="N885" s="3"/>
      <c r="O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>
      <c r="A886" s="4"/>
      <c r="B886" s="3"/>
      <c r="C886" s="3"/>
      <c r="D886" s="3"/>
      <c r="E886" s="4"/>
      <c r="F886" s="3"/>
      <c r="G886" s="3"/>
      <c r="H886" s="3"/>
      <c r="I886" s="3"/>
      <c r="J886" s="3"/>
      <c r="K886" s="3"/>
      <c r="L886" s="3"/>
      <c r="M886" s="5"/>
      <c r="N886" s="3"/>
      <c r="O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>
      <c r="A887" s="4"/>
      <c r="B887" s="3"/>
      <c r="C887" s="3"/>
      <c r="D887" s="3"/>
      <c r="E887" s="4"/>
      <c r="F887" s="3"/>
      <c r="G887" s="3"/>
      <c r="H887" s="3"/>
      <c r="I887" s="3"/>
      <c r="J887" s="3"/>
      <c r="K887" s="3"/>
      <c r="L887" s="3"/>
      <c r="M887" s="5"/>
      <c r="N887" s="3"/>
      <c r="O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>
      <c r="A888" s="4"/>
      <c r="B888" s="3"/>
      <c r="C888" s="3"/>
      <c r="D888" s="3"/>
      <c r="E888" s="4"/>
      <c r="F888" s="3"/>
      <c r="G888" s="3"/>
      <c r="H888" s="3"/>
      <c r="I888" s="3"/>
      <c r="J888" s="3"/>
      <c r="K888" s="3"/>
      <c r="L888" s="3"/>
      <c r="M888" s="5"/>
      <c r="N888" s="3"/>
      <c r="O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>
      <c r="A889" s="4"/>
      <c r="B889" s="3"/>
      <c r="C889" s="3"/>
      <c r="D889" s="3"/>
      <c r="E889" s="4"/>
      <c r="F889" s="3"/>
      <c r="G889" s="3"/>
      <c r="H889" s="3"/>
      <c r="I889" s="3"/>
      <c r="J889" s="3"/>
      <c r="K889" s="3"/>
      <c r="L889" s="3"/>
      <c r="M889" s="5"/>
      <c r="N889" s="3"/>
      <c r="O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>
      <c r="A890" s="4"/>
      <c r="B890" s="3"/>
      <c r="C890" s="3"/>
      <c r="D890" s="3"/>
      <c r="E890" s="4"/>
      <c r="F890" s="3"/>
      <c r="G890" s="3"/>
      <c r="H890" s="3"/>
      <c r="I890" s="3"/>
      <c r="J890" s="3"/>
      <c r="K890" s="3"/>
      <c r="L890" s="3"/>
      <c r="M890" s="5"/>
      <c r="N890" s="3"/>
      <c r="O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>
      <c r="A891" s="4"/>
      <c r="B891" s="3"/>
      <c r="C891" s="3"/>
      <c r="D891" s="3"/>
      <c r="E891" s="4"/>
      <c r="F891" s="3"/>
      <c r="G891" s="3"/>
      <c r="H891" s="3"/>
      <c r="I891" s="3"/>
      <c r="J891" s="3"/>
      <c r="K891" s="3"/>
      <c r="L891" s="3"/>
      <c r="M891" s="5"/>
      <c r="N891" s="3"/>
      <c r="O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>
      <c r="A892" s="4"/>
      <c r="B892" s="3"/>
      <c r="C892" s="3"/>
      <c r="D892" s="3"/>
      <c r="E892" s="4"/>
      <c r="F892" s="3"/>
      <c r="G892" s="3"/>
      <c r="H892" s="3"/>
      <c r="I892" s="3"/>
      <c r="J892" s="3"/>
      <c r="K892" s="3"/>
      <c r="L892" s="3"/>
      <c r="M892" s="5"/>
      <c r="N892" s="3"/>
      <c r="O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>
      <c r="A893" s="4"/>
      <c r="B893" s="3"/>
      <c r="C893" s="3"/>
      <c r="D893" s="3"/>
      <c r="E893" s="4"/>
      <c r="F893" s="3"/>
      <c r="G893" s="3"/>
      <c r="H893" s="3"/>
      <c r="I893" s="3"/>
      <c r="J893" s="3"/>
      <c r="K893" s="3"/>
      <c r="L893" s="3"/>
      <c r="M893" s="5"/>
      <c r="N893" s="3"/>
      <c r="O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>
      <c r="A894" s="4"/>
      <c r="B894" s="3"/>
      <c r="C894" s="3"/>
      <c r="D894" s="3"/>
      <c r="E894" s="4"/>
      <c r="F894" s="3"/>
      <c r="G894" s="3"/>
      <c r="H894" s="3"/>
      <c r="I894" s="3"/>
      <c r="J894" s="3"/>
      <c r="K894" s="3"/>
      <c r="L894" s="3"/>
      <c r="M894" s="5"/>
      <c r="N894" s="3"/>
      <c r="O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>
      <c r="A895" s="4"/>
      <c r="B895" s="3"/>
      <c r="C895" s="3"/>
      <c r="D895" s="3"/>
      <c r="E895" s="4"/>
      <c r="F895" s="3"/>
      <c r="G895" s="3"/>
      <c r="H895" s="3"/>
      <c r="I895" s="3"/>
      <c r="J895" s="3"/>
      <c r="K895" s="3"/>
      <c r="L895" s="3"/>
      <c r="M895" s="5"/>
      <c r="N895" s="3"/>
      <c r="O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>
      <c r="A896" s="4"/>
      <c r="B896" s="3"/>
      <c r="C896" s="3"/>
      <c r="D896" s="3"/>
      <c r="E896" s="4"/>
      <c r="F896" s="3"/>
      <c r="G896" s="3"/>
      <c r="H896" s="3"/>
      <c r="I896" s="3"/>
      <c r="J896" s="3"/>
      <c r="K896" s="3"/>
      <c r="L896" s="3"/>
      <c r="M896" s="5"/>
      <c r="N896" s="3"/>
      <c r="O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>
      <c r="A897" s="4"/>
      <c r="B897" s="3"/>
      <c r="C897" s="3"/>
      <c r="D897" s="3"/>
      <c r="E897" s="4"/>
      <c r="F897" s="3"/>
      <c r="G897" s="3"/>
      <c r="H897" s="3"/>
      <c r="I897" s="3"/>
      <c r="J897" s="3"/>
      <c r="K897" s="3"/>
      <c r="L897" s="3"/>
      <c r="M897" s="5"/>
      <c r="N897" s="3"/>
      <c r="O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>
      <c r="A898" s="4"/>
      <c r="B898" s="3"/>
      <c r="C898" s="3"/>
      <c r="D898" s="3"/>
      <c r="E898" s="4"/>
      <c r="F898" s="3"/>
      <c r="G898" s="3"/>
      <c r="H898" s="3"/>
      <c r="I898" s="3"/>
      <c r="J898" s="3"/>
      <c r="K898" s="3"/>
      <c r="L898" s="3"/>
      <c r="M898" s="5"/>
      <c r="N898" s="3"/>
      <c r="O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>
      <c r="A899" s="4"/>
      <c r="B899" s="3"/>
      <c r="C899" s="3"/>
      <c r="D899" s="3"/>
      <c r="E899" s="4"/>
      <c r="F899" s="3"/>
      <c r="G899" s="3"/>
      <c r="H899" s="3"/>
      <c r="I899" s="3"/>
      <c r="J899" s="3"/>
      <c r="K899" s="3"/>
      <c r="L899" s="3"/>
      <c r="M899" s="5"/>
      <c r="N899" s="3"/>
      <c r="O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>
      <c r="A900" s="4"/>
      <c r="B900" s="3"/>
      <c r="C900" s="3"/>
      <c r="D900" s="3"/>
      <c r="E900" s="4"/>
      <c r="F900" s="3"/>
      <c r="G900" s="3"/>
      <c r="H900" s="3"/>
      <c r="I900" s="3"/>
      <c r="J900" s="3"/>
      <c r="K900" s="3"/>
      <c r="L900" s="3"/>
      <c r="M900" s="5"/>
      <c r="N900" s="3"/>
      <c r="O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>
      <c r="A901" s="4"/>
      <c r="B901" s="3"/>
      <c r="C901" s="3"/>
      <c r="D901" s="3"/>
      <c r="E901" s="4"/>
      <c r="F901" s="3"/>
      <c r="G901" s="3"/>
      <c r="H901" s="3"/>
      <c r="I901" s="3"/>
      <c r="J901" s="3"/>
      <c r="K901" s="3"/>
      <c r="L901" s="3"/>
      <c r="M901" s="5"/>
      <c r="N901" s="3"/>
      <c r="O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>
      <c r="A902" s="4"/>
      <c r="B902" s="3"/>
      <c r="C902" s="3"/>
      <c r="D902" s="3"/>
      <c r="E902" s="4"/>
      <c r="F902" s="3"/>
      <c r="G902" s="3"/>
      <c r="H902" s="3"/>
      <c r="I902" s="3"/>
      <c r="J902" s="3"/>
      <c r="K902" s="3"/>
      <c r="L902" s="3"/>
      <c r="M902" s="5"/>
      <c r="N902" s="3"/>
      <c r="O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>
      <c r="A903" s="4"/>
      <c r="B903" s="3"/>
      <c r="C903" s="3"/>
      <c r="D903" s="3"/>
      <c r="E903" s="4"/>
      <c r="F903" s="3"/>
      <c r="G903" s="3"/>
      <c r="H903" s="3"/>
      <c r="I903" s="3"/>
      <c r="J903" s="3"/>
      <c r="K903" s="3"/>
      <c r="L903" s="3"/>
      <c r="M903" s="5"/>
      <c r="N903" s="3"/>
      <c r="O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>
      <c r="A904" s="4"/>
      <c r="B904" s="3"/>
      <c r="C904" s="3"/>
      <c r="D904" s="3"/>
      <c r="E904" s="4"/>
      <c r="F904" s="3"/>
      <c r="G904" s="3"/>
      <c r="H904" s="3"/>
      <c r="I904" s="3"/>
      <c r="J904" s="3"/>
      <c r="K904" s="3"/>
      <c r="L904" s="3"/>
      <c r="M904" s="5"/>
      <c r="N904" s="3"/>
      <c r="O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>
      <c r="A905" s="4"/>
      <c r="B905" s="3"/>
      <c r="C905" s="3"/>
      <c r="D905" s="3"/>
      <c r="E905" s="4"/>
      <c r="F905" s="3"/>
      <c r="G905" s="3"/>
      <c r="H905" s="3"/>
      <c r="I905" s="3"/>
      <c r="J905" s="3"/>
      <c r="K905" s="3"/>
      <c r="L905" s="3"/>
      <c r="M905" s="5"/>
      <c r="N905" s="3"/>
      <c r="O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>
      <c r="A906" s="4"/>
      <c r="B906" s="3"/>
      <c r="C906" s="3"/>
      <c r="D906" s="3"/>
      <c r="E906" s="4"/>
      <c r="F906" s="3"/>
      <c r="G906" s="3"/>
      <c r="H906" s="3"/>
      <c r="I906" s="3"/>
      <c r="J906" s="3"/>
      <c r="K906" s="3"/>
      <c r="L906" s="3"/>
      <c r="M906" s="5"/>
      <c r="N906" s="3"/>
      <c r="O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>
      <c r="A907" s="4"/>
      <c r="B907" s="3"/>
      <c r="C907" s="3"/>
      <c r="D907" s="3"/>
      <c r="E907" s="4"/>
      <c r="F907" s="3"/>
      <c r="G907" s="3"/>
      <c r="H907" s="3"/>
      <c r="I907" s="3"/>
      <c r="J907" s="3"/>
      <c r="K907" s="3"/>
      <c r="L907" s="3"/>
      <c r="M907" s="5"/>
      <c r="N907" s="3"/>
      <c r="O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>
      <c r="A908" s="4"/>
      <c r="B908" s="3"/>
      <c r="C908" s="3"/>
      <c r="D908" s="3"/>
      <c r="E908" s="4"/>
      <c r="F908" s="3"/>
      <c r="G908" s="3"/>
      <c r="H908" s="3"/>
      <c r="I908" s="3"/>
      <c r="J908" s="3"/>
      <c r="K908" s="3"/>
      <c r="L908" s="3"/>
      <c r="M908" s="5"/>
      <c r="N908" s="3"/>
      <c r="O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>
      <c r="A909" s="4"/>
      <c r="B909" s="3"/>
      <c r="C909" s="3"/>
      <c r="D909" s="3"/>
      <c r="E909" s="4"/>
      <c r="F909" s="3"/>
      <c r="G909" s="3"/>
      <c r="H909" s="3"/>
      <c r="I909" s="3"/>
      <c r="J909" s="3"/>
      <c r="K909" s="3"/>
      <c r="L909" s="3"/>
      <c r="M909" s="5"/>
      <c r="N909" s="3"/>
      <c r="O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>
      <c r="A910" s="4"/>
      <c r="B910" s="3"/>
      <c r="C910" s="3"/>
      <c r="D910" s="3"/>
      <c r="E910" s="4"/>
      <c r="F910" s="3"/>
      <c r="G910" s="3"/>
      <c r="H910" s="3"/>
      <c r="I910" s="3"/>
      <c r="J910" s="3"/>
      <c r="K910" s="3"/>
      <c r="L910" s="3"/>
      <c r="M910" s="5"/>
      <c r="N910" s="3"/>
      <c r="O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>
      <c r="A911" s="4"/>
      <c r="B911" s="3"/>
      <c r="C911" s="3"/>
      <c r="D911" s="3"/>
      <c r="E911" s="4"/>
      <c r="F911" s="3"/>
      <c r="G911" s="3"/>
      <c r="H911" s="3"/>
      <c r="I911" s="3"/>
      <c r="J911" s="3"/>
      <c r="K911" s="3"/>
      <c r="L911" s="3"/>
      <c r="M911" s="5"/>
      <c r="N911" s="3"/>
      <c r="O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>
      <c r="A912" s="4"/>
      <c r="B912" s="3"/>
      <c r="C912" s="3"/>
      <c r="D912" s="3"/>
      <c r="E912" s="4"/>
      <c r="F912" s="3"/>
      <c r="G912" s="3"/>
      <c r="H912" s="3"/>
      <c r="I912" s="3"/>
      <c r="J912" s="3"/>
      <c r="K912" s="3"/>
      <c r="L912" s="3"/>
      <c r="M912" s="5"/>
      <c r="N912" s="3"/>
      <c r="O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>
      <c r="A913" s="4"/>
      <c r="B913" s="3"/>
      <c r="C913" s="3"/>
      <c r="D913" s="3"/>
      <c r="E913" s="4"/>
      <c r="F913" s="3"/>
      <c r="G913" s="3"/>
      <c r="H913" s="3"/>
      <c r="I913" s="3"/>
      <c r="J913" s="3"/>
      <c r="K913" s="3"/>
      <c r="L913" s="3"/>
      <c r="M913" s="5"/>
      <c r="N913" s="3"/>
      <c r="O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>
      <c r="A914" s="4"/>
      <c r="B914" s="3"/>
      <c r="C914" s="3"/>
      <c r="D914" s="3"/>
      <c r="E914" s="4"/>
      <c r="F914" s="3"/>
      <c r="G914" s="3"/>
      <c r="H914" s="3"/>
      <c r="I914" s="3"/>
      <c r="J914" s="3"/>
      <c r="K914" s="3"/>
      <c r="L914" s="3"/>
      <c r="M914" s="5"/>
      <c r="N914" s="3"/>
      <c r="O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>
      <c r="A915" s="4"/>
      <c r="B915" s="3"/>
      <c r="C915" s="3"/>
      <c r="D915" s="3"/>
      <c r="E915" s="4"/>
      <c r="F915" s="3"/>
      <c r="G915" s="3"/>
      <c r="H915" s="3"/>
      <c r="I915" s="3"/>
      <c r="J915" s="3"/>
      <c r="K915" s="3"/>
      <c r="L915" s="3"/>
      <c r="M915" s="5"/>
      <c r="N915" s="3"/>
      <c r="O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>
      <c r="A916" s="4"/>
      <c r="B916" s="3"/>
      <c r="C916" s="3"/>
      <c r="D916" s="3"/>
      <c r="E916" s="4"/>
      <c r="F916" s="3"/>
      <c r="G916" s="3"/>
      <c r="H916" s="3"/>
      <c r="I916" s="3"/>
      <c r="J916" s="3"/>
      <c r="K916" s="3"/>
      <c r="L916" s="3"/>
      <c r="M916" s="5"/>
      <c r="N916" s="3"/>
      <c r="O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>
      <c r="A917" s="4"/>
      <c r="B917" s="3"/>
      <c r="C917" s="3"/>
      <c r="D917" s="3"/>
      <c r="E917" s="4"/>
      <c r="F917" s="3"/>
      <c r="G917" s="3"/>
      <c r="H917" s="3"/>
      <c r="I917" s="3"/>
      <c r="J917" s="3"/>
      <c r="K917" s="3"/>
      <c r="L917" s="3"/>
      <c r="M917" s="5"/>
      <c r="N917" s="3"/>
      <c r="O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>
      <c r="A918" s="4"/>
      <c r="B918" s="3"/>
      <c r="C918" s="3"/>
      <c r="D918" s="3"/>
      <c r="E918" s="4"/>
      <c r="F918" s="3"/>
      <c r="G918" s="3"/>
      <c r="H918" s="3"/>
      <c r="I918" s="3"/>
      <c r="J918" s="3"/>
      <c r="K918" s="3"/>
      <c r="L918" s="3"/>
      <c r="M918" s="5"/>
      <c r="N918" s="3"/>
      <c r="O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>
      <c r="A919" s="4"/>
      <c r="B919" s="3"/>
      <c r="C919" s="3"/>
      <c r="D919" s="3"/>
      <c r="E919" s="4"/>
      <c r="F919" s="3"/>
      <c r="G919" s="3"/>
      <c r="H919" s="3"/>
      <c r="I919" s="3"/>
      <c r="J919" s="3"/>
      <c r="K919" s="3"/>
      <c r="L919" s="3"/>
      <c r="M919" s="5"/>
      <c r="N919" s="3"/>
      <c r="O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>
      <c r="A920" s="4"/>
      <c r="B920" s="3"/>
      <c r="C920" s="3"/>
      <c r="D920" s="3"/>
      <c r="E920" s="4"/>
      <c r="F920" s="3"/>
      <c r="G920" s="3"/>
      <c r="H920" s="3"/>
      <c r="I920" s="3"/>
      <c r="J920" s="3"/>
      <c r="K920" s="3"/>
      <c r="L920" s="3"/>
      <c r="M920" s="5"/>
      <c r="N920" s="3"/>
      <c r="O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>
      <c r="A921" s="4"/>
      <c r="B921" s="3"/>
      <c r="C921" s="3"/>
      <c r="D921" s="3"/>
      <c r="E921" s="4"/>
      <c r="F921" s="3"/>
      <c r="G921" s="3"/>
      <c r="H921" s="3"/>
      <c r="I921" s="3"/>
      <c r="J921" s="3"/>
      <c r="K921" s="3"/>
      <c r="L921" s="3"/>
      <c r="M921" s="5"/>
      <c r="N921" s="3"/>
      <c r="O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>
      <c r="A922" s="4"/>
      <c r="B922" s="3"/>
      <c r="C922" s="3"/>
      <c r="D922" s="3"/>
      <c r="E922" s="4"/>
      <c r="F922" s="3"/>
      <c r="G922" s="3"/>
      <c r="H922" s="3"/>
      <c r="I922" s="3"/>
      <c r="J922" s="3"/>
      <c r="K922" s="3"/>
      <c r="L922" s="3"/>
      <c r="M922" s="5"/>
      <c r="N922" s="3"/>
      <c r="O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>
      <c r="A923" s="4"/>
      <c r="B923" s="3"/>
      <c r="C923" s="3"/>
      <c r="D923" s="3"/>
      <c r="E923" s="4"/>
      <c r="F923" s="3"/>
      <c r="G923" s="3"/>
      <c r="H923" s="3"/>
      <c r="I923" s="3"/>
      <c r="J923" s="3"/>
      <c r="K923" s="3"/>
      <c r="L923" s="3"/>
      <c r="M923" s="5"/>
      <c r="N923" s="3"/>
      <c r="O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>
      <c r="A924" s="4"/>
      <c r="B924" s="3"/>
      <c r="C924" s="3"/>
      <c r="D924" s="3"/>
      <c r="E924" s="4"/>
      <c r="F924" s="3"/>
      <c r="G924" s="3"/>
      <c r="H924" s="3"/>
      <c r="I924" s="3"/>
      <c r="J924" s="3"/>
      <c r="K924" s="3"/>
      <c r="L924" s="3"/>
      <c r="M924" s="5"/>
      <c r="N924" s="3"/>
      <c r="O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>
      <c r="A925" s="4"/>
      <c r="B925" s="3"/>
      <c r="C925" s="3"/>
      <c r="D925" s="3"/>
      <c r="E925" s="4"/>
      <c r="F925" s="3"/>
      <c r="G925" s="3"/>
      <c r="H925" s="3"/>
      <c r="I925" s="3"/>
      <c r="J925" s="3"/>
      <c r="K925" s="3"/>
      <c r="L925" s="3"/>
      <c r="M925" s="5"/>
      <c r="N925" s="3"/>
      <c r="O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>
      <c r="A926" s="4"/>
      <c r="B926" s="3"/>
      <c r="C926" s="3"/>
      <c r="D926" s="3"/>
      <c r="E926" s="4"/>
      <c r="F926" s="3"/>
      <c r="G926" s="3"/>
      <c r="H926" s="3"/>
      <c r="I926" s="3"/>
      <c r="J926" s="3"/>
      <c r="K926" s="3"/>
      <c r="L926" s="3"/>
      <c r="M926" s="5"/>
      <c r="N926" s="3"/>
      <c r="O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>
      <c r="A927" s="4"/>
      <c r="B927" s="3"/>
      <c r="C927" s="3"/>
      <c r="D927" s="3"/>
      <c r="E927" s="4"/>
      <c r="F927" s="3"/>
      <c r="G927" s="3"/>
      <c r="H927" s="3"/>
      <c r="I927" s="3"/>
      <c r="J927" s="3"/>
      <c r="K927" s="3"/>
      <c r="L927" s="3"/>
      <c r="M927" s="5"/>
      <c r="N927" s="3"/>
      <c r="O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>
      <c r="A928" s="4"/>
      <c r="B928" s="3"/>
      <c r="C928" s="3"/>
      <c r="D928" s="3"/>
      <c r="E928" s="4"/>
      <c r="F928" s="3"/>
      <c r="G928" s="3"/>
      <c r="H928" s="3"/>
      <c r="I928" s="3"/>
      <c r="J928" s="3"/>
      <c r="K928" s="3"/>
      <c r="L928" s="3"/>
      <c r="M928" s="5"/>
      <c r="N928" s="3"/>
      <c r="O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>
      <c r="A929" s="4"/>
      <c r="B929" s="3"/>
      <c r="C929" s="3"/>
      <c r="D929" s="3"/>
      <c r="E929" s="4"/>
      <c r="F929" s="3"/>
      <c r="G929" s="3"/>
      <c r="H929" s="3"/>
      <c r="I929" s="3"/>
      <c r="J929" s="3"/>
      <c r="K929" s="3"/>
      <c r="L929" s="3"/>
      <c r="M929" s="5"/>
      <c r="N929" s="3"/>
      <c r="O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>
      <c r="A930" s="4"/>
      <c r="B930" s="3"/>
      <c r="C930" s="3"/>
      <c r="D930" s="3"/>
      <c r="E930" s="4"/>
      <c r="F930" s="3"/>
      <c r="G930" s="3"/>
      <c r="H930" s="3"/>
      <c r="I930" s="3"/>
      <c r="J930" s="3"/>
      <c r="K930" s="3"/>
      <c r="L930" s="3"/>
      <c r="M930" s="5"/>
      <c r="N930" s="3"/>
      <c r="O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>
      <c r="A931" s="4"/>
      <c r="B931" s="3"/>
      <c r="C931" s="3"/>
      <c r="D931" s="3"/>
      <c r="E931" s="4"/>
      <c r="F931" s="3"/>
      <c r="G931" s="3"/>
      <c r="H931" s="3"/>
      <c r="I931" s="3"/>
      <c r="J931" s="3"/>
      <c r="K931" s="3"/>
      <c r="L931" s="3"/>
      <c r="M931" s="5"/>
      <c r="N931" s="3"/>
      <c r="O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>
      <c r="A932" s="4"/>
      <c r="B932" s="3"/>
      <c r="C932" s="3"/>
      <c r="D932" s="3"/>
      <c r="E932" s="4"/>
      <c r="F932" s="3"/>
      <c r="G932" s="3"/>
      <c r="H932" s="3"/>
      <c r="I932" s="3"/>
      <c r="J932" s="3"/>
      <c r="K932" s="3"/>
      <c r="L932" s="3"/>
      <c r="M932" s="5"/>
      <c r="N932" s="3"/>
      <c r="O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>
      <c r="A933" s="4"/>
      <c r="B933" s="3"/>
      <c r="C933" s="3"/>
      <c r="D933" s="3"/>
      <c r="E933" s="4"/>
      <c r="F933" s="3"/>
      <c r="G933" s="3"/>
      <c r="H933" s="3"/>
      <c r="I933" s="3"/>
      <c r="J933" s="3"/>
      <c r="K933" s="3"/>
      <c r="L933" s="3"/>
      <c r="M933" s="5"/>
      <c r="N933" s="3"/>
      <c r="O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>
      <c r="A934" s="4"/>
      <c r="B934" s="3"/>
      <c r="C934" s="3"/>
      <c r="D934" s="3"/>
      <c r="E934" s="4"/>
      <c r="F934" s="3"/>
      <c r="G934" s="3"/>
      <c r="H934" s="3"/>
      <c r="I934" s="3"/>
      <c r="J934" s="3"/>
      <c r="K934" s="3"/>
      <c r="L934" s="3"/>
      <c r="M934" s="5"/>
      <c r="N934" s="3"/>
      <c r="O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>
      <c r="A935" s="4"/>
      <c r="B935" s="3"/>
      <c r="C935" s="3"/>
      <c r="D935" s="3"/>
      <c r="E935" s="4"/>
      <c r="F935" s="3"/>
      <c r="G935" s="3"/>
      <c r="H935" s="3"/>
      <c r="I935" s="3"/>
      <c r="J935" s="3"/>
      <c r="K935" s="3"/>
      <c r="L935" s="3"/>
      <c r="M935" s="5"/>
      <c r="N935" s="3"/>
      <c r="O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>
      <c r="A936" s="4"/>
      <c r="B936" s="3"/>
      <c r="C936" s="3"/>
      <c r="D936" s="3"/>
      <c r="E936" s="4"/>
      <c r="F936" s="3"/>
      <c r="G936" s="3"/>
      <c r="H936" s="3"/>
      <c r="I936" s="3"/>
      <c r="J936" s="3"/>
      <c r="K936" s="3"/>
      <c r="L936" s="3"/>
      <c r="M936" s="5"/>
      <c r="N936" s="3"/>
      <c r="O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>
      <c r="A937" s="4"/>
      <c r="B937" s="3"/>
      <c r="C937" s="3"/>
      <c r="D937" s="3"/>
      <c r="E937" s="4"/>
      <c r="F937" s="3"/>
      <c r="G937" s="3"/>
      <c r="H937" s="3"/>
      <c r="I937" s="3"/>
      <c r="J937" s="3"/>
      <c r="K937" s="3"/>
      <c r="L937" s="3"/>
      <c r="M937" s="5"/>
      <c r="N937" s="3"/>
      <c r="O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>
      <c r="A938" s="4"/>
      <c r="B938" s="3"/>
      <c r="C938" s="3"/>
      <c r="D938" s="3"/>
      <c r="E938" s="4"/>
      <c r="F938" s="3"/>
      <c r="G938" s="3"/>
      <c r="H938" s="3"/>
      <c r="I938" s="3"/>
      <c r="J938" s="3"/>
      <c r="K938" s="3"/>
      <c r="L938" s="3"/>
      <c r="M938" s="5"/>
      <c r="N938" s="3"/>
      <c r="O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>
      <c r="A939" s="4"/>
      <c r="B939" s="3"/>
      <c r="C939" s="3"/>
      <c r="D939" s="3"/>
      <c r="E939" s="4"/>
      <c r="F939" s="3"/>
      <c r="G939" s="3"/>
      <c r="H939" s="3"/>
      <c r="I939" s="3"/>
      <c r="J939" s="3"/>
      <c r="K939" s="3"/>
      <c r="L939" s="3"/>
      <c r="M939" s="5"/>
      <c r="N939" s="3"/>
      <c r="O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>
      <c r="A940" s="4"/>
      <c r="B940" s="3"/>
      <c r="C940" s="3"/>
      <c r="D940" s="3"/>
      <c r="E940" s="4"/>
      <c r="F940" s="3"/>
      <c r="G940" s="3"/>
      <c r="H940" s="3"/>
      <c r="I940" s="3"/>
      <c r="J940" s="3"/>
      <c r="K940" s="3"/>
      <c r="L940" s="3"/>
      <c r="M940" s="5"/>
      <c r="N940" s="3"/>
      <c r="O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>
      <c r="A941" s="4"/>
      <c r="B941" s="3"/>
      <c r="C941" s="3"/>
      <c r="D941" s="3"/>
      <c r="E941" s="4"/>
      <c r="F941" s="3"/>
      <c r="G941" s="3"/>
      <c r="H941" s="3"/>
      <c r="I941" s="3"/>
      <c r="J941" s="3"/>
      <c r="K941" s="3"/>
      <c r="L941" s="3"/>
      <c r="M941" s="5"/>
      <c r="N941" s="3"/>
      <c r="O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>
      <c r="A942" s="4"/>
      <c r="B942" s="3"/>
      <c r="C942" s="3"/>
      <c r="D942" s="3"/>
      <c r="E942" s="4"/>
      <c r="F942" s="3"/>
      <c r="G942" s="3"/>
      <c r="H942" s="3"/>
      <c r="I942" s="3"/>
      <c r="J942" s="3"/>
      <c r="K942" s="3"/>
      <c r="L942" s="3"/>
      <c r="M942" s="5"/>
      <c r="N942" s="3"/>
      <c r="O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>
      <c r="A943" s="4"/>
      <c r="B943" s="3"/>
      <c r="C943" s="3"/>
      <c r="D943" s="3"/>
      <c r="E943" s="4"/>
      <c r="F943" s="3"/>
      <c r="G943" s="3"/>
      <c r="H943" s="3"/>
      <c r="I943" s="3"/>
      <c r="J943" s="3"/>
      <c r="K943" s="3"/>
      <c r="L943" s="3"/>
      <c r="M943" s="5"/>
      <c r="N943" s="3"/>
      <c r="O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>
      <c r="A944" s="4"/>
      <c r="B944" s="3"/>
      <c r="C944" s="3"/>
      <c r="D944" s="3"/>
      <c r="E944" s="4"/>
      <c r="F944" s="3"/>
      <c r="G944" s="3"/>
      <c r="H944" s="3"/>
      <c r="I944" s="3"/>
      <c r="J944" s="3"/>
      <c r="K944" s="3"/>
      <c r="L944" s="3"/>
      <c r="M944" s="5"/>
      <c r="N944" s="3"/>
      <c r="O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>
      <c r="A945" s="4"/>
      <c r="B945" s="3"/>
      <c r="C945" s="3"/>
      <c r="D945" s="3"/>
      <c r="E945" s="4"/>
      <c r="F945" s="3"/>
      <c r="G945" s="3"/>
      <c r="H945" s="3"/>
      <c r="I945" s="3"/>
      <c r="J945" s="3"/>
      <c r="K945" s="3"/>
      <c r="L945" s="3"/>
      <c r="M945" s="5"/>
      <c r="N945" s="3"/>
      <c r="O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>
      <c r="A946" s="4"/>
      <c r="B946" s="3"/>
      <c r="C946" s="3"/>
      <c r="D946" s="3"/>
      <c r="E946" s="4"/>
      <c r="F946" s="3"/>
      <c r="G946" s="3"/>
      <c r="H946" s="3"/>
      <c r="I946" s="3"/>
      <c r="J946" s="3"/>
      <c r="K946" s="3"/>
      <c r="L946" s="3"/>
      <c r="M946" s="5"/>
      <c r="N946" s="3"/>
      <c r="O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>
      <c r="A947" s="4"/>
      <c r="B947" s="3"/>
      <c r="C947" s="3"/>
      <c r="D947" s="3"/>
      <c r="E947" s="4"/>
      <c r="F947" s="3"/>
      <c r="G947" s="3"/>
      <c r="H947" s="3"/>
      <c r="I947" s="3"/>
      <c r="J947" s="3"/>
      <c r="K947" s="3"/>
      <c r="L947" s="3"/>
      <c r="M947" s="5"/>
      <c r="N947" s="3"/>
      <c r="O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>
      <c r="A948" s="4"/>
      <c r="B948" s="3"/>
      <c r="C948" s="3"/>
      <c r="D948" s="3"/>
      <c r="E948" s="4"/>
      <c r="F948" s="3"/>
      <c r="G948" s="3"/>
      <c r="H948" s="3"/>
      <c r="I948" s="3"/>
      <c r="J948" s="3"/>
      <c r="K948" s="3"/>
      <c r="L948" s="3"/>
      <c r="M948" s="5"/>
      <c r="N948" s="3"/>
      <c r="O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>
      <c r="A949" s="4"/>
      <c r="B949" s="3"/>
      <c r="C949" s="3"/>
      <c r="D949" s="3"/>
      <c r="E949" s="4"/>
      <c r="F949" s="3"/>
      <c r="G949" s="3"/>
      <c r="H949" s="3"/>
      <c r="I949" s="3"/>
      <c r="J949" s="3"/>
      <c r="K949" s="3"/>
      <c r="L949" s="3"/>
      <c r="M949" s="5"/>
      <c r="N949" s="3"/>
      <c r="O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>
      <c r="A950" s="4"/>
      <c r="B950" s="3"/>
      <c r="C950" s="3"/>
      <c r="D950" s="3"/>
      <c r="E950" s="4"/>
      <c r="F950" s="3"/>
      <c r="G950" s="3"/>
      <c r="H950" s="3"/>
      <c r="I950" s="3"/>
      <c r="J950" s="3"/>
      <c r="K950" s="3"/>
      <c r="L950" s="3"/>
      <c r="M950" s="5"/>
      <c r="N950" s="3"/>
      <c r="O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>
      <c r="A951" s="4"/>
      <c r="B951" s="3"/>
      <c r="C951" s="3"/>
      <c r="D951" s="3"/>
      <c r="E951" s="4"/>
      <c r="F951" s="3"/>
      <c r="G951" s="3"/>
      <c r="H951" s="3"/>
      <c r="I951" s="3"/>
      <c r="J951" s="3"/>
      <c r="K951" s="3"/>
      <c r="L951" s="3"/>
      <c r="M951" s="5"/>
      <c r="N951" s="3"/>
      <c r="O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>
      <c r="A952" s="4"/>
      <c r="B952" s="3"/>
      <c r="C952" s="3"/>
      <c r="D952" s="3"/>
      <c r="E952" s="4"/>
      <c r="F952" s="3"/>
      <c r="G952" s="3"/>
      <c r="H952" s="3"/>
      <c r="I952" s="3"/>
      <c r="J952" s="3"/>
      <c r="K952" s="3"/>
      <c r="L952" s="3"/>
      <c r="M952" s="5"/>
      <c r="N952" s="3"/>
      <c r="O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>
      <c r="A953" s="4"/>
      <c r="B953" s="3"/>
      <c r="C953" s="3"/>
      <c r="D953" s="3"/>
      <c r="E953" s="4"/>
      <c r="F953" s="3"/>
      <c r="G953" s="3"/>
      <c r="H953" s="3"/>
      <c r="I953" s="3"/>
      <c r="J953" s="3"/>
      <c r="K953" s="3"/>
      <c r="L953" s="3"/>
      <c r="M953" s="5"/>
      <c r="N953" s="3"/>
      <c r="O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>
      <c r="A954" s="4"/>
      <c r="B954" s="3"/>
      <c r="C954" s="3"/>
      <c r="D954" s="3"/>
      <c r="E954" s="4"/>
      <c r="F954" s="3"/>
      <c r="G954" s="3"/>
      <c r="H954" s="3"/>
      <c r="I954" s="3"/>
      <c r="J954" s="3"/>
      <c r="K954" s="3"/>
      <c r="L954" s="3"/>
      <c r="M954" s="5"/>
      <c r="N954" s="3"/>
      <c r="O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>
      <c r="A955" s="4"/>
      <c r="B955" s="3"/>
      <c r="C955" s="3"/>
      <c r="D955" s="3"/>
      <c r="E955" s="4"/>
      <c r="F955" s="3"/>
      <c r="G955" s="3"/>
      <c r="H955" s="3"/>
      <c r="I955" s="3"/>
      <c r="J955" s="3"/>
      <c r="K955" s="3"/>
      <c r="L955" s="3"/>
      <c r="M955" s="5"/>
      <c r="N955" s="3"/>
      <c r="O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>
      <c r="A956" s="4"/>
      <c r="B956" s="3"/>
      <c r="C956" s="3"/>
      <c r="D956" s="3"/>
      <c r="E956" s="4"/>
      <c r="F956" s="3"/>
      <c r="G956" s="3"/>
      <c r="H956" s="3"/>
      <c r="I956" s="3"/>
      <c r="J956" s="3"/>
      <c r="K956" s="3"/>
      <c r="L956" s="3"/>
      <c r="M956" s="5"/>
      <c r="N956" s="3"/>
      <c r="O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>
      <c r="A957" s="4"/>
      <c r="B957" s="3"/>
      <c r="C957" s="3"/>
      <c r="D957" s="3"/>
      <c r="E957" s="4"/>
      <c r="F957" s="3"/>
      <c r="G957" s="3"/>
      <c r="H957" s="3"/>
      <c r="I957" s="3"/>
      <c r="J957" s="3"/>
      <c r="K957" s="3"/>
      <c r="L957" s="3"/>
      <c r="M957" s="5"/>
      <c r="N957" s="3"/>
      <c r="O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>
      <c r="A958" s="4"/>
      <c r="B958" s="3"/>
      <c r="C958" s="3"/>
      <c r="D958" s="3"/>
      <c r="E958" s="4"/>
      <c r="F958" s="3"/>
      <c r="G958" s="3"/>
      <c r="H958" s="3"/>
      <c r="I958" s="3"/>
      <c r="J958" s="3"/>
      <c r="K958" s="3"/>
      <c r="L958" s="3"/>
      <c r="M958" s="5"/>
      <c r="N958" s="3"/>
      <c r="O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>
      <c r="A959" s="4"/>
      <c r="B959" s="3"/>
      <c r="C959" s="3"/>
      <c r="D959" s="3"/>
      <c r="E959" s="4"/>
      <c r="F959" s="3"/>
      <c r="G959" s="3"/>
      <c r="H959" s="3"/>
      <c r="I959" s="3"/>
      <c r="J959" s="3"/>
      <c r="K959" s="3"/>
      <c r="L959" s="3"/>
      <c r="M959" s="5"/>
      <c r="N959" s="3"/>
      <c r="O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>
      <c r="A960" s="4"/>
      <c r="B960" s="3"/>
      <c r="C960" s="3"/>
      <c r="D960" s="3"/>
      <c r="E960" s="4"/>
      <c r="F960" s="3"/>
      <c r="G960" s="3"/>
      <c r="H960" s="3"/>
      <c r="I960" s="3"/>
      <c r="J960" s="3"/>
      <c r="K960" s="3"/>
      <c r="L960" s="3"/>
      <c r="M960" s="5"/>
      <c r="N960" s="3"/>
      <c r="O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>
      <c r="A961" s="4"/>
      <c r="B961" s="3"/>
      <c r="C961" s="3"/>
      <c r="D961" s="3"/>
      <c r="E961" s="4"/>
      <c r="F961" s="3"/>
      <c r="G961" s="3"/>
      <c r="H961" s="3"/>
      <c r="I961" s="3"/>
      <c r="J961" s="3"/>
      <c r="K961" s="3"/>
      <c r="L961" s="3"/>
      <c r="M961" s="5"/>
      <c r="N961" s="3"/>
      <c r="O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>
      <c r="A962" s="4"/>
      <c r="B962" s="3"/>
      <c r="C962" s="3"/>
      <c r="D962" s="3"/>
      <c r="E962" s="4"/>
      <c r="F962" s="3"/>
      <c r="G962" s="3"/>
      <c r="H962" s="3"/>
      <c r="I962" s="3"/>
      <c r="J962" s="3"/>
      <c r="K962" s="3"/>
      <c r="L962" s="3"/>
      <c r="M962" s="5"/>
      <c r="N962" s="3"/>
      <c r="O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>
      <c r="A963" s="4"/>
      <c r="B963" s="3"/>
      <c r="C963" s="3"/>
      <c r="D963" s="3"/>
      <c r="E963" s="4"/>
      <c r="F963" s="3"/>
      <c r="G963" s="3"/>
      <c r="H963" s="3"/>
      <c r="I963" s="3"/>
      <c r="J963" s="3"/>
      <c r="K963" s="3"/>
      <c r="L963" s="3"/>
      <c r="M963" s="5"/>
      <c r="N963" s="3"/>
      <c r="O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>
      <c r="A964" s="4"/>
      <c r="B964" s="3"/>
      <c r="C964" s="3"/>
      <c r="D964" s="3"/>
      <c r="E964" s="4"/>
      <c r="F964" s="3"/>
      <c r="G964" s="3"/>
      <c r="H964" s="3"/>
      <c r="I964" s="3"/>
      <c r="J964" s="3"/>
      <c r="K964" s="3"/>
      <c r="L964" s="3"/>
      <c r="M964" s="5"/>
      <c r="N964" s="3"/>
      <c r="O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>
      <c r="A965" s="4"/>
      <c r="B965" s="3"/>
      <c r="C965" s="3"/>
      <c r="D965" s="3"/>
      <c r="E965" s="4"/>
      <c r="F965" s="3"/>
      <c r="G965" s="3"/>
      <c r="H965" s="3"/>
      <c r="I965" s="3"/>
      <c r="J965" s="3"/>
      <c r="K965" s="3"/>
      <c r="L965" s="3"/>
      <c r="M965" s="5"/>
      <c r="N965" s="3"/>
      <c r="O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>
      <c r="A966" s="4"/>
      <c r="B966" s="3"/>
      <c r="C966" s="3"/>
      <c r="D966" s="3"/>
      <c r="E966" s="4"/>
      <c r="F966" s="3"/>
      <c r="G966" s="3"/>
      <c r="H966" s="3"/>
      <c r="I966" s="3"/>
      <c r="J966" s="3"/>
      <c r="K966" s="3"/>
      <c r="L966" s="3"/>
      <c r="M966" s="5"/>
      <c r="N966" s="3"/>
      <c r="O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>
      <c r="A967" s="4"/>
      <c r="B967" s="3"/>
      <c r="C967" s="3"/>
      <c r="D967" s="3"/>
      <c r="E967" s="4"/>
      <c r="F967" s="3"/>
      <c r="G967" s="3"/>
      <c r="H967" s="3"/>
      <c r="I967" s="3"/>
      <c r="J967" s="3"/>
      <c r="K967" s="3"/>
      <c r="L967" s="3"/>
      <c r="M967" s="5"/>
      <c r="N967" s="3"/>
      <c r="O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>
      <c r="A968" s="4"/>
      <c r="B968" s="3"/>
      <c r="C968" s="3"/>
      <c r="D968" s="3"/>
      <c r="E968" s="4"/>
      <c r="F968" s="3"/>
      <c r="G968" s="3"/>
      <c r="H968" s="3"/>
      <c r="I968" s="3"/>
      <c r="J968" s="3"/>
      <c r="K968" s="3"/>
      <c r="L968" s="3"/>
      <c r="M968" s="5"/>
      <c r="N968" s="3"/>
      <c r="O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>
      <c r="A969" s="4"/>
      <c r="B969" s="3"/>
      <c r="C969" s="3"/>
      <c r="D969" s="3"/>
      <c r="E969" s="4"/>
      <c r="F969" s="3"/>
      <c r="G969" s="3"/>
      <c r="H969" s="3"/>
      <c r="I969" s="3"/>
      <c r="J969" s="3"/>
      <c r="K969" s="3"/>
      <c r="L969" s="3"/>
      <c r="M969" s="5"/>
      <c r="N969" s="3"/>
      <c r="O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>
      <c r="A970" s="4"/>
      <c r="B970" s="3"/>
      <c r="C970" s="3"/>
      <c r="D970" s="3"/>
      <c r="E970" s="4"/>
      <c r="F970" s="3"/>
      <c r="G970" s="3"/>
      <c r="H970" s="3"/>
      <c r="I970" s="3"/>
      <c r="J970" s="3"/>
      <c r="K970" s="3"/>
      <c r="L970" s="3"/>
      <c r="M970" s="5"/>
      <c r="N970" s="3"/>
      <c r="O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>
      <c r="A971" s="4"/>
      <c r="B971" s="3"/>
      <c r="C971" s="3"/>
      <c r="D971" s="3"/>
      <c r="E971" s="4"/>
      <c r="F971" s="3"/>
      <c r="G971" s="3"/>
      <c r="H971" s="3"/>
      <c r="I971" s="3"/>
      <c r="J971" s="3"/>
      <c r="K971" s="3"/>
      <c r="L971" s="3"/>
      <c r="M971" s="5"/>
      <c r="N971" s="3"/>
      <c r="O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>
      <c r="A972" s="4"/>
      <c r="B972" s="3"/>
      <c r="C972" s="3"/>
      <c r="D972" s="3"/>
      <c r="E972" s="4"/>
      <c r="F972" s="3"/>
      <c r="G972" s="3"/>
      <c r="H972" s="3"/>
      <c r="I972" s="3"/>
      <c r="J972" s="3"/>
      <c r="K972" s="3"/>
      <c r="L972" s="3"/>
      <c r="M972" s="5"/>
      <c r="N972" s="3"/>
      <c r="O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>
      <c r="A973" s="4"/>
      <c r="B973" s="3"/>
      <c r="C973" s="3"/>
      <c r="D973" s="3"/>
      <c r="E973" s="4"/>
      <c r="F973" s="3"/>
      <c r="G973" s="3"/>
      <c r="H973" s="3"/>
      <c r="I973" s="3"/>
      <c r="J973" s="3"/>
      <c r="K973" s="3"/>
      <c r="L973" s="3"/>
      <c r="M973" s="5"/>
      <c r="N973" s="3"/>
      <c r="O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>
      <c r="A974" s="4"/>
      <c r="B974" s="3"/>
      <c r="C974" s="3"/>
      <c r="D974" s="3"/>
      <c r="E974" s="4"/>
      <c r="F974" s="3"/>
      <c r="G974" s="3"/>
      <c r="H974" s="3"/>
      <c r="I974" s="3"/>
      <c r="J974" s="3"/>
      <c r="K974" s="3"/>
      <c r="L974" s="3"/>
      <c r="M974" s="5"/>
      <c r="N974" s="3"/>
      <c r="O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>
      <c r="A975" s="4"/>
      <c r="B975" s="3"/>
      <c r="C975" s="3"/>
      <c r="D975" s="3"/>
      <c r="E975" s="4"/>
      <c r="F975" s="3"/>
      <c r="G975" s="3"/>
      <c r="H975" s="3"/>
      <c r="I975" s="3"/>
      <c r="J975" s="3"/>
      <c r="K975" s="3"/>
      <c r="L975" s="3"/>
      <c r="M975" s="5"/>
      <c r="N975" s="3"/>
      <c r="O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>
      <c r="A976" s="4"/>
      <c r="B976" s="3"/>
      <c r="C976" s="3"/>
      <c r="D976" s="3"/>
      <c r="E976" s="4"/>
      <c r="F976" s="3"/>
      <c r="G976" s="3"/>
      <c r="H976" s="3"/>
      <c r="I976" s="3"/>
      <c r="J976" s="3"/>
      <c r="K976" s="3"/>
      <c r="L976" s="3"/>
      <c r="M976" s="5"/>
      <c r="N976" s="3"/>
      <c r="O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>
      <c r="A977" s="4"/>
      <c r="B977" s="3"/>
      <c r="C977" s="3"/>
      <c r="D977" s="3"/>
      <c r="E977" s="4"/>
      <c r="F977" s="3"/>
      <c r="G977" s="3"/>
      <c r="H977" s="3"/>
      <c r="I977" s="3"/>
      <c r="J977" s="3"/>
      <c r="K977" s="3"/>
      <c r="L977" s="3"/>
      <c r="M977" s="5"/>
      <c r="N977" s="3"/>
      <c r="O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>
      <c r="A978" s="4"/>
      <c r="B978" s="3"/>
      <c r="C978" s="3"/>
      <c r="D978" s="3"/>
      <c r="E978" s="4"/>
      <c r="F978" s="3"/>
      <c r="G978" s="3"/>
      <c r="H978" s="3"/>
      <c r="I978" s="3"/>
      <c r="J978" s="3"/>
      <c r="K978" s="3"/>
      <c r="L978" s="3"/>
      <c r="M978" s="5"/>
      <c r="N978" s="3"/>
      <c r="O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>
      <c r="A979" s="4"/>
      <c r="B979" s="3"/>
      <c r="C979" s="3"/>
      <c r="D979" s="3"/>
      <c r="E979" s="4"/>
      <c r="F979" s="3"/>
      <c r="G979" s="3"/>
      <c r="H979" s="3"/>
      <c r="I979" s="3"/>
      <c r="J979" s="3"/>
      <c r="K979" s="3"/>
      <c r="L979" s="3"/>
      <c r="M979" s="5"/>
      <c r="N979" s="3"/>
      <c r="O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>
      <c r="A980" s="4"/>
      <c r="B980" s="3"/>
      <c r="C980" s="3"/>
      <c r="D980" s="3"/>
      <c r="E980" s="4"/>
      <c r="F980" s="3"/>
      <c r="G980" s="3"/>
      <c r="H980" s="3"/>
      <c r="I980" s="3"/>
      <c r="J980" s="3"/>
      <c r="K980" s="3"/>
      <c r="L980" s="3"/>
      <c r="M980" s="5"/>
      <c r="N980" s="3"/>
      <c r="O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>
      <c r="A981" s="4"/>
      <c r="B981" s="3"/>
      <c r="C981" s="3"/>
      <c r="D981" s="3"/>
      <c r="E981" s="4"/>
      <c r="F981" s="3"/>
      <c r="G981" s="3"/>
      <c r="H981" s="3"/>
      <c r="I981" s="3"/>
      <c r="J981" s="3"/>
      <c r="K981" s="3"/>
      <c r="L981" s="3"/>
      <c r="M981" s="5"/>
      <c r="N981" s="3"/>
      <c r="O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>
      <c r="A982" s="4"/>
      <c r="B982" s="3"/>
      <c r="C982" s="3"/>
      <c r="D982" s="3"/>
      <c r="E982" s="4"/>
      <c r="F982" s="3"/>
      <c r="G982" s="3"/>
      <c r="H982" s="3"/>
      <c r="I982" s="3"/>
      <c r="J982" s="3"/>
      <c r="K982" s="3"/>
      <c r="L982" s="3"/>
      <c r="M982" s="5"/>
      <c r="N982" s="3"/>
      <c r="O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>
      <c r="A983" s="4"/>
      <c r="B983" s="3"/>
      <c r="C983" s="3"/>
      <c r="D983" s="3"/>
      <c r="E983" s="4"/>
      <c r="F983" s="3"/>
      <c r="G983" s="3"/>
      <c r="H983" s="3"/>
      <c r="I983" s="3"/>
      <c r="J983" s="3"/>
      <c r="K983" s="3"/>
      <c r="L983" s="3"/>
      <c r="M983" s="5"/>
      <c r="N983" s="3"/>
      <c r="O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>
      <c r="A984" s="4"/>
      <c r="B984" s="3"/>
      <c r="C984" s="3"/>
      <c r="D984" s="3"/>
      <c r="E984" s="4"/>
      <c r="F984" s="3"/>
      <c r="G984" s="3"/>
      <c r="H984" s="3"/>
      <c r="I984" s="3"/>
      <c r="J984" s="3"/>
      <c r="K984" s="3"/>
      <c r="L984" s="3"/>
      <c r="M984" s="5"/>
      <c r="N984" s="3"/>
      <c r="O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>
      <c r="A985" s="4"/>
      <c r="B985" s="3"/>
      <c r="C985" s="3"/>
      <c r="D985" s="3"/>
      <c r="E985" s="4"/>
      <c r="F985" s="3"/>
      <c r="G985" s="3"/>
      <c r="H985" s="3"/>
      <c r="I985" s="3"/>
      <c r="J985" s="3"/>
      <c r="K985" s="3"/>
      <c r="L985" s="3"/>
      <c r="M985" s="5"/>
      <c r="N985" s="3"/>
      <c r="O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>
      <c r="A986" s="4"/>
      <c r="B986" s="3"/>
      <c r="C986" s="3"/>
      <c r="D986" s="3"/>
      <c r="E986" s="4"/>
      <c r="F986" s="3"/>
      <c r="G986" s="3"/>
      <c r="H986" s="3"/>
      <c r="I986" s="3"/>
      <c r="J986" s="3"/>
      <c r="K986" s="3"/>
      <c r="L986" s="3"/>
      <c r="M986" s="5"/>
      <c r="N986" s="3"/>
      <c r="O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>
      <c r="A987" s="4"/>
      <c r="B987" s="3"/>
      <c r="C987" s="3"/>
      <c r="D987" s="3"/>
      <c r="E987" s="4"/>
      <c r="F987" s="3"/>
      <c r="G987" s="3"/>
      <c r="H987" s="3"/>
      <c r="I987" s="3"/>
      <c r="J987" s="3"/>
      <c r="K987" s="3"/>
      <c r="L987" s="3"/>
      <c r="M987" s="5"/>
      <c r="N987" s="3"/>
      <c r="O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>
      <c r="A988" s="4"/>
      <c r="B988" s="3"/>
      <c r="C988" s="3"/>
      <c r="D988" s="3"/>
      <c r="E988" s="4"/>
      <c r="F988" s="3"/>
      <c r="G988" s="3"/>
      <c r="H988" s="3"/>
      <c r="I988" s="3"/>
      <c r="J988" s="3"/>
      <c r="K988" s="3"/>
      <c r="L988" s="3"/>
      <c r="M988" s="5"/>
      <c r="N988" s="3"/>
      <c r="O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>
      <c r="A989" s="4"/>
      <c r="B989" s="3"/>
      <c r="C989" s="3"/>
      <c r="D989" s="3"/>
      <c r="E989" s="4"/>
      <c r="F989" s="3"/>
      <c r="G989" s="3"/>
      <c r="H989" s="3"/>
      <c r="I989" s="3"/>
      <c r="J989" s="3"/>
      <c r="K989" s="3"/>
      <c r="L989" s="3"/>
      <c r="M989" s="5"/>
      <c r="N989" s="3"/>
      <c r="O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>
      <c r="A990" s="4"/>
      <c r="B990" s="3"/>
      <c r="C990" s="3"/>
      <c r="D990" s="3"/>
      <c r="E990" s="4"/>
      <c r="F990" s="3"/>
      <c r="G990" s="3"/>
      <c r="H990" s="3"/>
      <c r="I990" s="3"/>
      <c r="J990" s="3"/>
      <c r="K990" s="3"/>
      <c r="L990" s="3"/>
      <c r="M990" s="5"/>
      <c r="N990" s="3"/>
      <c r="O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>
      <c r="A991" s="4"/>
      <c r="B991" s="3"/>
      <c r="C991" s="3"/>
      <c r="D991" s="3"/>
      <c r="E991" s="4"/>
      <c r="F991" s="3"/>
      <c r="G991" s="3"/>
      <c r="H991" s="3"/>
      <c r="I991" s="3"/>
      <c r="J991" s="3"/>
      <c r="K991" s="3"/>
      <c r="L991" s="3"/>
      <c r="M991" s="5"/>
      <c r="N991" s="3"/>
      <c r="O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>
      <c r="A992" s="4"/>
      <c r="B992" s="3"/>
      <c r="C992" s="3"/>
      <c r="D992" s="3"/>
      <c r="E992" s="4"/>
      <c r="F992" s="3"/>
      <c r="G992" s="3"/>
      <c r="H992" s="3"/>
      <c r="I992" s="3"/>
      <c r="J992" s="3"/>
      <c r="K992" s="3"/>
      <c r="L992" s="3"/>
      <c r="M992" s="5"/>
      <c r="N992" s="3"/>
      <c r="O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>
      <c r="A993" s="4"/>
      <c r="B993" s="3"/>
      <c r="C993" s="3"/>
      <c r="D993" s="3"/>
      <c r="E993" s="4"/>
      <c r="F993" s="3"/>
      <c r="G993" s="3"/>
      <c r="H993" s="3"/>
      <c r="I993" s="3"/>
      <c r="J993" s="3"/>
      <c r="K993" s="3"/>
      <c r="L993" s="3"/>
      <c r="M993" s="5"/>
      <c r="N993" s="3"/>
      <c r="O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>
      <c r="A994" s="4"/>
      <c r="B994" s="3"/>
      <c r="C994" s="3"/>
      <c r="D994" s="3"/>
      <c r="E994" s="4"/>
      <c r="F994" s="3"/>
      <c r="G994" s="3"/>
      <c r="H994" s="3"/>
      <c r="I994" s="3"/>
      <c r="J994" s="3"/>
      <c r="K994" s="3"/>
      <c r="L994" s="3"/>
      <c r="M994" s="5"/>
      <c r="N994" s="3"/>
      <c r="O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>
      <c r="A995" s="4"/>
      <c r="B995" s="3"/>
      <c r="C995" s="3"/>
      <c r="D995" s="3"/>
      <c r="E995" s="4"/>
      <c r="F995" s="3"/>
      <c r="G995" s="3"/>
      <c r="H995" s="3"/>
      <c r="I995" s="3"/>
      <c r="J995" s="3"/>
      <c r="K995" s="3"/>
      <c r="L995" s="3"/>
      <c r="M995" s="5"/>
      <c r="N995" s="3"/>
      <c r="O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>
      <c r="A996" s="4"/>
      <c r="B996" s="3"/>
      <c r="C996" s="3"/>
      <c r="D996" s="3"/>
      <c r="E996" s="4"/>
      <c r="F996" s="3"/>
      <c r="G996" s="3"/>
      <c r="H996" s="3"/>
      <c r="I996" s="3"/>
      <c r="J996" s="3"/>
      <c r="K996" s="3"/>
      <c r="L996" s="3"/>
      <c r="M996" s="5"/>
      <c r="N996" s="3"/>
      <c r="O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>
      <c r="A997" s="4"/>
      <c r="B997" s="3"/>
      <c r="C997" s="3"/>
      <c r="D997" s="3"/>
      <c r="E997" s="4"/>
      <c r="F997" s="3"/>
      <c r="G997" s="3"/>
      <c r="H997" s="3"/>
      <c r="I997" s="3"/>
      <c r="J997" s="3"/>
      <c r="K997" s="3"/>
      <c r="L997" s="3"/>
      <c r="M997" s="5"/>
      <c r="N997" s="3"/>
      <c r="O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>
      <c r="A998" s="4"/>
      <c r="B998" s="3"/>
      <c r="C998" s="3"/>
      <c r="D998" s="3"/>
      <c r="E998" s="4"/>
      <c r="F998" s="3"/>
      <c r="G998" s="3"/>
      <c r="H998" s="3"/>
      <c r="I998" s="3"/>
      <c r="J998" s="3"/>
      <c r="K998" s="3"/>
      <c r="L998" s="3"/>
      <c r="M998" s="5"/>
      <c r="N998" s="3"/>
      <c r="O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>
      <c r="A999" s="4"/>
      <c r="B999" s="3"/>
      <c r="C999" s="3"/>
      <c r="D999" s="3"/>
      <c r="E999" s="4"/>
      <c r="F999" s="3"/>
      <c r="G999" s="3"/>
      <c r="H999" s="3"/>
      <c r="I999" s="3"/>
      <c r="J999" s="3"/>
      <c r="K999" s="3"/>
      <c r="L999" s="3"/>
      <c r="M999" s="5"/>
      <c r="N999" s="3"/>
      <c r="O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>
      <c r="A1000" s="4"/>
      <c r="B1000" s="3"/>
      <c r="C1000" s="3"/>
      <c r="D1000" s="3"/>
      <c r="E1000" s="4"/>
      <c r="F1000" s="3"/>
      <c r="G1000" s="3"/>
      <c r="H1000" s="3"/>
      <c r="I1000" s="3"/>
      <c r="J1000" s="3"/>
      <c r="K1000" s="3"/>
      <c r="L1000" s="3"/>
      <c r="M1000" s="5"/>
      <c r="N1000" s="3"/>
      <c r="O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0</v>
      </c>
      <c r="B1" s="11" t="s">
        <v>1</v>
      </c>
    </row>
    <row r="2">
      <c r="A2" s="11" t="s">
        <v>2</v>
      </c>
      <c r="B2" s="11" t="s">
        <v>3</v>
      </c>
    </row>
    <row r="3">
      <c r="A3" s="11" t="s">
        <v>5</v>
      </c>
      <c r="B3" s="11" t="s">
        <v>6</v>
      </c>
    </row>
    <row r="4">
      <c r="A4" s="11" t="s">
        <v>7</v>
      </c>
      <c r="B4" s="11">
        <v>1.4204E9</v>
      </c>
      <c r="C4" s="11" t="s">
        <v>8</v>
      </c>
    </row>
    <row r="5">
      <c r="A5" s="11" t="s">
        <v>9</v>
      </c>
      <c r="B5" s="11">
        <v>2000000.0</v>
      </c>
      <c r="C5" s="11" t="s">
        <v>8</v>
      </c>
    </row>
    <row r="6">
      <c r="A6" s="11" t="s">
        <v>10</v>
      </c>
      <c r="B6" s="11">
        <v>30000.0</v>
      </c>
      <c r="C6" s="11" t="s">
        <v>8</v>
      </c>
    </row>
    <row r="7">
      <c r="A7" s="11" t="s">
        <v>11</v>
      </c>
      <c r="B7" s="11">
        <v>30000.0</v>
      </c>
      <c r="C7" s="11" t="s">
        <v>8</v>
      </c>
    </row>
    <row r="8">
      <c r="A8" s="11" t="s">
        <v>12</v>
      </c>
      <c r="B8" s="11">
        <v>-97.0</v>
      </c>
      <c r="C8" s="11" t="s">
        <v>13</v>
      </c>
    </row>
    <row r="9">
      <c r="A9" s="11" t="s">
        <v>14</v>
      </c>
      <c r="B9" s="11">
        <v>1.0</v>
      </c>
      <c r="C9" s="11" t="s">
        <v>15</v>
      </c>
    </row>
    <row r="10">
      <c r="A10" s="11" t="s">
        <v>16</v>
      </c>
      <c r="B10" s="11">
        <v>461.0</v>
      </c>
    </row>
    <row r="11">
      <c r="A11" s="11" t="s">
        <v>17</v>
      </c>
      <c r="B11" s="11" t="s">
        <v>8</v>
      </c>
      <c r="C11" s="11" t="s">
        <v>13</v>
      </c>
      <c r="D11" s="2" t="s">
        <v>18</v>
      </c>
      <c r="E11" s="1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26</v>
      </c>
      <c r="M11" s="6" t="s">
        <v>27</v>
      </c>
      <c r="N11" s="2" t="s">
        <v>28</v>
      </c>
      <c r="O11" s="3"/>
      <c r="P11" s="2" t="s">
        <v>29</v>
      </c>
      <c r="Q11" s="2" t="s">
        <v>30</v>
      </c>
      <c r="R11" s="2"/>
      <c r="S11" s="2" t="s">
        <v>31</v>
      </c>
      <c r="V11" s="13" t="s">
        <v>32</v>
      </c>
    </row>
    <row r="12">
      <c r="A12" s="11" t="s">
        <v>33</v>
      </c>
      <c r="B12" s="11" t="s">
        <v>34</v>
      </c>
      <c r="C12" s="11" t="s">
        <v>35</v>
      </c>
      <c r="D12" s="3"/>
      <c r="E12" s="4"/>
      <c r="F12" s="3"/>
      <c r="G12" s="2" t="s">
        <v>36</v>
      </c>
      <c r="H12" s="2" t="s">
        <v>37</v>
      </c>
      <c r="I12" s="3"/>
      <c r="J12" s="3"/>
      <c r="K12" s="3"/>
      <c r="L12" s="3"/>
      <c r="M12" s="5"/>
      <c r="N12" s="3"/>
      <c r="O12" s="3"/>
      <c r="P12" s="3"/>
      <c r="Q12" s="3"/>
      <c r="R12" s="3"/>
      <c r="S12" s="3"/>
    </row>
    <row r="13">
      <c r="A13" s="11">
        <v>1.0</v>
      </c>
      <c r="B13" s="11">
        <v>1.4194E9</v>
      </c>
      <c r="C13" s="2">
        <v>-102.0817871</v>
      </c>
      <c r="D13" s="3">
        <f t="shared" ref="D13:D473" si="1">B13-$B$4</f>
        <v>-1000000</v>
      </c>
      <c r="E13" s="4">
        <f t="shared" ref="E13:E472" si="2">-((B14-$B$4)/$B$4)*(3*10^5)</f>
        <v>210.2898143</v>
      </c>
      <c r="F13" s="3">
        <f t="shared" ref="F13:F242" si="3">-E13/D13</f>
        <v>0.0002102898143</v>
      </c>
      <c r="G13" s="3">
        <f t="shared" ref="G13:G473" si="4">(10^(C13/10))/1000</f>
        <v>0</v>
      </c>
      <c r="H13" s="2">
        <f t="shared" ref="H13:H473" si="5">G13/30000</f>
        <v>0</v>
      </c>
      <c r="I13" s="3">
        <f t="shared" ref="I13:I473" si="6">0.0063*H13</f>
        <v>0</v>
      </c>
      <c r="J13" s="3">
        <f t="shared" ref="J13:J473" si="7">(1/F13^2)*I13</f>
        <v>0</v>
      </c>
      <c r="K13" s="8">
        <f>1.38064852E-23</f>
        <v>0</v>
      </c>
      <c r="L13" s="3">
        <f t="shared" ref="L13:L473" si="8">(1/(2*$K$13))*(I13)</f>
        <v>470.898663</v>
      </c>
      <c r="M13" s="2">
        <f t="shared" ref="M13:M473" si="9"> 0.0000006753*E13^3 - 0.0001422*E13^2 + 0.08555*E13 + 459.4
</f>
        <v>477.3818345</v>
      </c>
      <c r="N13" s="9">
        <f t="shared" ref="N13:N473" si="10">L13-M13</f>
        <v>-6.483171483</v>
      </c>
      <c r="O13" s="3"/>
      <c r="P13" s="10">
        <f t="shared" ref="P13:P67" si="11">-((B14-$B$4)/$B$4)*(3*10^5)</f>
        <v>210.2898143</v>
      </c>
      <c r="Q13" s="9">
        <f t="shared" ref="Q13:Q67" si="12">(1/(2*$K$13))*(I13)</f>
        <v>470.898663</v>
      </c>
      <c r="R13" s="2"/>
      <c r="S13" s="14">
        <f t="shared" ref="S13:S472" si="13">(N13 * ABS(E14-E13))</f>
        <v>-5.953471301</v>
      </c>
      <c r="V13" s="3">
        <f>1822400000000000000 * SUM(S13:S473)</f>
        <v>6.6642E+21</v>
      </c>
    </row>
    <row r="14">
      <c r="A14" s="11">
        <v>2.0</v>
      </c>
      <c r="B14" s="11">
        <v>1.41940434782608E9</v>
      </c>
      <c r="C14" s="2">
        <v>-102.0011749</v>
      </c>
      <c r="D14" s="3">
        <f t="shared" si="1"/>
        <v>-995652.1739</v>
      </c>
      <c r="E14" s="4">
        <f t="shared" si="2"/>
        <v>209.3715181</v>
      </c>
      <c r="F14" s="3">
        <f t="shared" si="3"/>
        <v>0.0002102858042</v>
      </c>
      <c r="G14" s="3">
        <f t="shared" si="4"/>
        <v>0</v>
      </c>
      <c r="H14" s="2">
        <f t="shared" si="5"/>
        <v>0</v>
      </c>
      <c r="I14" s="3">
        <f t="shared" si="6"/>
        <v>0</v>
      </c>
      <c r="J14" s="3">
        <f t="shared" si="7"/>
        <v>0</v>
      </c>
      <c r="K14" s="3"/>
      <c r="L14" s="3">
        <f t="shared" si="8"/>
        <v>479.7209415</v>
      </c>
      <c r="M14" s="2">
        <f t="shared" si="9"/>
        <v>477.2761639</v>
      </c>
      <c r="N14" s="9">
        <f t="shared" si="10"/>
        <v>2.444777637</v>
      </c>
      <c r="O14" s="3"/>
      <c r="P14" s="10">
        <f t="shared" si="11"/>
        <v>209.3715181</v>
      </c>
      <c r="Q14" s="9">
        <f t="shared" si="12"/>
        <v>479.7209415</v>
      </c>
      <c r="R14" s="2"/>
      <c r="S14" s="14">
        <f t="shared" si="13"/>
        <v>2.24502985</v>
      </c>
    </row>
    <row r="15">
      <c r="A15" s="11">
        <v>3.0</v>
      </c>
      <c r="B15" s="11">
        <v>1.41940869565217E9</v>
      </c>
      <c r="C15" s="2">
        <v>-101.9959869</v>
      </c>
      <c r="D15" s="3">
        <f t="shared" si="1"/>
        <v>-991304.3478</v>
      </c>
      <c r="E15" s="4">
        <f t="shared" si="2"/>
        <v>208.453222</v>
      </c>
      <c r="F15" s="3">
        <f t="shared" si="3"/>
        <v>0.000210281759</v>
      </c>
      <c r="G15" s="3">
        <f t="shared" si="4"/>
        <v>0</v>
      </c>
      <c r="H15" s="2">
        <f t="shared" si="5"/>
        <v>0</v>
      </c>
      <c r="I15" s="3">
        <f t="shared" si="6"/>
        <v>0</v>
      </c>
      <c r="J15" s="3">
        <f t="shared" si="7"/>
        <v>0</v>
      </c>
      <c r="K15" s="3"/>
      <c r="L15" s="3">
        <f t="shared" si="8"/>
        <v>480.2943495</v>
      </c>
      <c r="M15" s="2">
        <f t="shared" si="9"/>
        <v>477.1709688</v>
      </c>
      <c r="N15" s="9">
        <f t="shared" si="10"/>
        <v>3.123380708</v>
      </c>
      <c r="O15" s="3"/>
      <c r="P15" s="10">
        <f t="shared" si="11"/>
        <v>208.453222</v>
      </c>
      <c r="Q15" s="9">
        <f t="shared" si="12"/>
        <v>480.2943495</v>
      </c>
      <c r="R15" s="2"/>
      <c r="S15" s="14">
        <f t="shared" si="13"/>
        <v>2.868188419</v>
      </c>
    </row>
    <row r="16">
      <c r="A16" s="11">
        <v>4.0</v>
      </c>
      <c r="B16" s="11">
        <v>1.41941304347826E9</v>
      </c>
      <c r="C16" s="2">
        <v>-102.0210419</v>
      </c>
      <c r="D16" s="3">
        <f t="shared" si="1"/>
        <v>-986956.5217</v>
      </c>
      <c r="E16" s="4">
        <f t="shared" si="2"/>
        <v>207.5349259</v>
      </c>
      <c r="F16" s="3">
        <f t="shared" si="3"/>
        <v>0.0002102776782</v>
      </c>
      <c r="G16" s="3">
        <f t="shared" si="4"/>
        <v>0</v>
      </c>
      <c r="H16" s="2">
        <f t="shared" si="5"/>
        <v>0</v>
      </c>
      <c r="I16" s="3">
        <f t="shared" si="6"/>
        <v>0</v>
      </c>
      <c r="J16" s="3">
        <f t="shared" si="7"/>
        <v>0</v>
      </c>
      <c r="K16" s="3"/>
      <c r="L16" s="3">
        <f t="shared" si="8"/>
        <v>477.5314479</v>
      </c>
      <c r="M16" s="2">
        <f t="shared" si="9"/>
        <v>477.0662462</v>
      </c>
      <c r="N16" s="9">
        <f t="shared" si="10"/>
        <v>0.4652017085</v>
      </c>
      <c r="O16" s="3"/>
      <c r="P16" s="10">
        <f t="shared" si="11"/>
        <v>207.5349259</v>
      </c>
      <c r="Q16" s="9">
        <f t="shared" si="12"/>
        <v>477.5314479</v>
      </c>
      <c r="R16" s="2"/>
      <c r="S16" s="14">
        <f t="shared" si="13"/>
        <v>0.4271929298</v>
      </c>
    </row>
    <row r="17">
      <c r="A17" s="11">
        <v>5.0</v>
      </c>
      <c r="B17" s="11">
        <v>1.41941739130434E9</v>
      </c>
      <c r="C17" s="2">
        <v>-102.0154495</v>
      </c>
      <c r="D17" s="3">
        <f t="shared" si="1"/>
        <v>-982608.6957</v>
      </c>
      <c r="E17" s="4">
        <f t="shared" si="2"/>
        <v>206.6166297</v>
      </c>
      <c r="F17" s="3">
        <f t="shared" si="3"/>
        <v>0.0002102735612</v>
      </c>
      <c r="G17" s="3">
        <f t="shared" si="4"/>
        <v>0</v>
      </c>
      <c r="H17" s="2">
        <f t="shared" si="5"/>
        <v>0</v>
      </c>
      <c r="I17" s="3">
        <f t="shared" si="6"/>
        <v>0</v>
      </c>
      <c r="J17" s="3">
        <f t="shared" si="7"/>
        <v>0</v>
      </c>
      <c r="K17" s="3"/>
      <c r="L17" s="3">
        <f t="shared" si="8"/>
        <v>478.1467601</v>
      </c>
      <c r="M17" s="2">
        <f t="shared" si="9"/>
        <v>476.9619928</v>
      </c>
      <c r="N17" s="9">
        <f t="shared" si="10"/>
        <v>1.184767311</v>
      </c>
      <c r="O17" s="3"/>
      <c r="P17" s="10">
        <f t="shared" si="11"/>
        <v>206.6166297</v>
      </c>
      <c r="Q17" s="9">
        <f t="shared" si="12"/>
        <v>478.1467601</v>
      </c>
      <c r="R17" s="2"/>
      <c r="S17" s="14">
        <f t="shared" si="13"/>
        <v>1.08796724</v>
      </c>
    </row>
    <row r="18">
      <c r="A18" s="11">
        <v>6.0</v>
      </c>
      <c r="B18" s="11">
        <v>1.41942173913043E9</v>
      </c>
      <c r="C18" s="2">
        <v>-102.0300446</v>
      </c>
      <c r="D18" s="3">
        <f t="shared" si="1"/>
        <v>-978260.8696</v>
      </c>
      <c r="E18" s="4">
        <f t="shared" si="2"/>
        <v>205.6983336</v>
      </c>
      <c r="F18" s="3">
        <f t="shared" si="3"/>
        <v>0.0002102694077</v>
      </c>
      <c r="G18" s="3">
        <f t="shared" si="4"/>
        <v>0</v>
      </c>
      <c r="H18" s="2">
        <f t="shared" si="5"/>
        <v>0</v>
      </c>
      <c r="I18" s="3">
        <f t="shared" si="6"/>
        <v>0</v>
      </c>
      <c r="J18" s="3">
        <f t="shared" si="7"/>
        <v>0</v>
      </c>
      <c r="K18" s="3"/>
      <c r="L18" s="3">
        <f t="shared" si="8"/>
        <v>476.5425752</v>
      </c>
      <c r="M18" s="2">
        <f t="shared" si="9"/>
        <v>476.8582056</v>
      </c>
      <c r="N18" s="9">
        <f t="shared" si="10"/>
        <v>-0.3156303674</v>
      </c>
      <c r="O18" s="3"/>
      <c r="P18" s="10">
        <f t="shared" si="11"/>
        <v>205.6983336</v>
      </c>
      <c r="Q18" s="9">
        <f t="shared" si="12"/>
        <v>476.5425752</v>
      </c>
      <c r="R18" s="2"/>
      <c r="S18" s="14">
        <f t="shared" si="13"/>
        <v>-0.2898421451</v>
      </c>
    </row>
    <row r="19">
      <c r="A19" s="11">
        <v>7.0</v>
      </c>
      <c r="B19" s="11">
        <v>1.41942608695652E9</v>
      </c>
      <c r="C19" s="2">
        <v>-101.9843216</v>
      </c>
      <c r="D19" s="3">
        <f t="shared" si="1"/>
        <v>-973913.0435</v>
      </c>
      <c r="E19" s="4">
        <f t="shared" si="2"/>
        <v>204.7800375</v>
      </c>
      <c r="F19" s="3">
        <f t="shared" si="3"/>
        <v>0.000210265217</v>
      </c>
      <c r="G19" s="3">
        <f t="shared" si="4"/>
        <v>0</v>
      </c>
      <c r="H19" s="2">
        <f t="shared" si="5"/>
        <v>0</v>
      </c>
      <c r="I19" s="3">
        <f t="shared" si="6"/>
        <v>0</v>
      </c>
      <c r="J19" s="3">
        <f t="shared" si="7"/>
        <v>0</v>
      </c>
      <c r="K19" s="3"/>
      <c r="L19" s="3">
        <f t="shared" si="8"/>
        <v>481.5861709</v>
      </c>
      <c r="M19" s="2">
        <f t="shared" si="9"/>
        <v>476.7548813</v>
      </c>
      <c r="N19" s="9">
        <f t="shared" si="10"/>
        <v>4.831289627</v>
      </c>
      <c r="O19" s="3"/>
      <c r="P19" s="10">
        <f t="shared" si="11"/>
        <v>204.7800375</v>
      </c>
      <c r="Q19" s="9">
        <f t="shared" si="12"/>
        <v>481.5861709</v>
      </c>
      <c r="R19" s="2"/>
      <c r="S19" s="14">
        <f t="shared" si="13"/>
        <v>4.436554581</v>
      </c>
    </row>
    <row r="20">
      <c r="A20" s="11">
        <v>8.0</v>
      </c>
      <c r="B20" s="11">
        <v>1.4194304347826E9</v>
      </c>
      <c r="C20" s="2">
        <v>-102.0227509</v>
      </c>
      <c r="D20" s="3">
        <f t="shared" si="1"/>
        <v>-969565.2174</v>
      </c>
      <c r="E20" s="4">
        <f t="shared" si="2"/>
        <v>203.8617413</v>
      </c>
      <c r="F20" s="3">
        <f t="shared" si="3"/>
        <v>0.0002102609888</v>
      </c>
      <c r="G20" s="3">
        <f t="shared" si="4"/>
        <v>0</v>
      </c>
      <c r="H20" s="2">
        <f t="shared" si="5"/>
        <v>0</v>
      </c>
      <c r="I20" s="3">
        <f t="shared" si="6"/>
        <v>0</v>
      </c>
      <c r="J20" s="3">
        <f t="shared" si="7"/>
        <v>0</v>
      </c>
      <c r="K20" s="3"/>
      <c r="L20" s="3">
        <f t="shared" si="8"/>
        <v>477.3435706</v>
      </c>
      <c r="M20" s="2">
        <f t="shared" si="9"/>
        <v>476.6520169</v>
      </c>
      <c r="N20" s="9">
        <f t="shared" si="10"/>
        <v>0.6915536878</v>
      </c>
      <c r="O20" s="3"/>
      <c r="P20" s="10">
        <f t="shared" si="11"/>
        <v>203.8617413</v>
      </c>
      <c r="Q20" s="9">
        <f t="shared" si="12"/>
        <v>477.3435706</v>
      </c>
      <c r="R20" s="2"/>
      <c r="S20" s="14">
        <f t="shared" si="13"/>
        <v>0.6350510771</v>
      </c>
    </row>
    <row r="21">
      <c r="A21" s="11">
        <v>9.0</v>
      </c>
      <c r="B21" s="11">
        <v>1.41943478260869E9</v>
      </c>
      <c r="C21" s="2">
        <v>-102.045723</v>
      </c>
      <c r="D21" s="3">
        <f t="shared" si="1"/>
        <v>-965217.3913</v>
      </c>
      <c r="E21" s="4">
        <f t="shared" si="2"/>
        <v>202.9434452</v>
      </c>
      <c r="F21" s="3">
        <f t="shared" si="3"/>
        <v>0.0002102567225</v>
      </c>
      <c r="G21" s="3">
        <f t="shared" si="4"/>
        <v>0</v>
      </c>
      <c r="H21" s="2">
        <f t="shared" si="5"/>
        <v>0</v>
      </c>
      <c r="I21" s="3">
        <f t="shared" si="6"/>
        <v>0</v>
      </c>
      <c r="J21" s="3">
        <f t="shared" si="7"/>
        <v>0</v>
      </c>
      <c r="K21" s="3"/>
      <c r="L21" s="3">
        <f t="shared" si="8"/>
        <v>474.8253176</v>
      </c>
      <c r="M21" s="2">
        <f t="shared" si="9"/>
        <v>476.5496092</v>
      </c>
      <c r="N21" s="9">
        <f t="shared" si="10"/>
        <v>-1.724291671</v>
      </c>
      <c r="O21" s="3"/>
      <c r="P21" s="10">
        <f t="shared" si="11"/>
        <v>202.9434452</v>
      </c>
      <c r="Q21" s="9">
        <f t="shared" si="12"/>
        <v>474.8253176</v>
      </c>
      <c r="R21" s="2"/>
      <c r="S21" s="14">
        <f t="shared" si="13"/>
        <v>-1.583410373</v>
      </c>
    </row>
    <row r="22">
      <c r="A22" s="11">
        <v>10.0</v>
      </c>
      <c r="B22" s="11">
        <v>1.41943913043478E9</v>
      </c>
      <c r="C22" s="2">
        <v>-102.0660553</v>
      </c>
      <c r="D22" s="3">
        <f t="shared" si="1"/>
        <v>-960869.5652</v>
      </c>
      <c r="E22" s="4">
        <f t="shared" si="2"/>
        <v>202.0251491</v>
      </c>
      <c r="F22" s="3">
        <f t="shared" si="3"/>
        <v>0.0002102524176</v>
      </c>
      <c r="G22" s="3">
        <f t="shared" si="4"/>
        <v>0</v>
      </c>
      <c r="H22" s="2">
        <f t="shared" si="5"/>
        <v>0</v>
      </c>
      <c r="I22" s="3">
        <f t="shared" si="6"/>
        <v>0</v>
      </c>
      <c r="J22" s="3">
        <f t="shared" si="7"/>
        <v>0</v>
      </c>
      <c r="K22" s="3"/>
      <c r="L22" s="3">
        <f t="shared" si="8"/>
        <v>472.6075305</v>
      </c>
      <c r="M22" s="2">
        <f t="shared" si="9"/>
        <v>476.4476552</v>
      </c>
      <c r="N22" s="9">
        <f t="shared" si="10"/>
        <v>-3.840124647</v>
      </c>
      <c r="O22" s="3"/>
      <c r="P22" s="10">
        <f t="shared" si="11"/>
        <v>202.0251491</v>
      </c>
      <c r="Q22" s="9">
        <f t="shared" si="12"/>
        <v>472.6075305</v>
      </c>
      <c r="R22" s="2"/>
      <c r="S22" s="14">
        <f t="shared" si="13"/>
        <v>-3.526371605</v>
      </c>
      <c r="U22" s="11">
        <v>1.0</v>
      </c>
    </row>
    <row r="23">
      <c r="A23" s="11">
        <v>11.0</v>
      </c>
      <c r="B23" s="11">
        <v>1.41944347826087E9</v>
      </c>
      <c r="C23" s="2">
        <v>-102.035408</v>
      </c>
      <c r="D23" s="3">
        <f t="shared" si="1"/>
        <v>-956521.7391</v>
      </c>
      <c r="E23" s="4">
        <f t="shared" si="2"/>
        <v>201.1068529</v>
      </c>
      <c r="F23" s="3">
        <f t="shared" si="3"/>
        <v>0.0002102480735</v>
      </c>
      <c r="G23" s="3">
        <f t="shared" si="4"/>
        <v>0</v>
      </c>
      <c r="H23" s="2">
        <f t="shared" si="5"/>
        <v>0</v>
      </c>
      <c r="I23" s="3">
        <f t="shared" si="6"/>
        <v>0</v>
      </c>
      <c r="J23" s="3">
        <f t="shared" si="7"/>
        <v>0</v>
      </c>
      <c r="K23" s="3"/>
      <c r="L23" s="3">
        <f t="shared" si="8"/>
        <v>475.9544234</v>
      </c>
      <c r="M23" s="2">
        <f t="shared" si="9"/>
        <v>476.3461515</v>
      </c>
      <c r="N23" s="9">
        <f t="shared" si="10"/>
        <v>-0.3917281272</v>
      </c>
      <c r="O23" s="3"/>
      <c r="P23" s="10">
        <f t="shared" si="11"/>
        <v>201.1068529</v>
      </c>
      <c r="Q23" s="9">
        <f t="shared" si="12"/>
        <v>475.9544234</v>
      </c>
      <c r="R23" s="2"/>
      <c r="S23" s="14">
        <f t="shared" si="13"/>
        <v>-0.3597224243</v>
      </c>
    </row>
    <row r="24">
      <c r="A24" s="11">
        <v>12.0</v>
      </c>
      <c r="B24" s="11">
        <v>1.41944782608695E9</v>
      </c>
      <c r="C24" s="2">
        <v>-102.0473633</v>
      </c>
      <c r="D24" s="3">
        <f t="shared" si="1"/>
        <v>-952173.913</v>
      </c>
      <c r="E24" s="4">
        <f t="shared" si="2"/>
        <v>200.1885568</v>
      </c>
      <c r="F24" s="3">
        <f t="shared" si="3"/>
        <v>0.0002102436898</v>
      </c>
      <c r="G24" s="3">
        <f t="shared" si="4"/>
        <v>0</v>
      </c>
      <c r="H24" s="2">
        <f t="shared" si="5"/>
        <v>0</v>
      </c>
      <c r="I24" s="3">
        <f t="shared" si="6"/>
        <v>0</v>
      </c>
      <c r="J24" s="3">
        <f t="shared" si="7"/>
        <v>0</v>
      </c>
      <c r="K24" s="3"/>
      <c r="L24" s="3">
        <f t="shared" si="8"/>
        <v>474.6460132</v>
      </c>
      <c r="M24" s="2">
        <f t="shared" si="9"/>
        <v>476.2450952</v>
      </c>
      <c r="N24" s="9">
        <f t="shared" si="10"/>
        <v>-1.599081944</v>
      </c>
      <c r="O24" s="3"/>
      <c r="P24" s="10">
        <f t="shared" si="11"/>
        <v>200.1885568</v>
      </c>
      <c r="Q24" s="9">
        <f t="shared" si="12"/>
        <v>474.6460132</v>
      </c>
      <c r="R24" s="2"/>
      <c r="S24" s="14">
        <f t="shared" si="13"/>
        <v>-1.468430765</v>
      </c>
    </row>
    <row r="25">
      <c r="A25" s="11">
        <v>13.0</v>
      </c>
      <c r="B25" s="11">
        <v>1.41945217391304E9</v>
      </c>
      <c r="C25" s="2">
        <v>-102.052681</v>
      </c>
      <c r="D25" s="3">
        <f t="shared" si="1"/>
        <v>-947826.087</v>
      </c>
      <c r="E25" s="4">
        <f t="shared" si="2"/>
        <v>199.2702607</v>
      </c>
      <c r="F25" s="3">
        <f t="shared" si="3"/>
        <v>0.0002102392658</v>
      </c>
      <c r="G25" s="3">
        <f t="shared" si="4"/>
        <v>0</v>
      </c>
      <c r="H25" s="2">
        <f t="shared" si="5"/>
        <v>0</v>
      </c>
      <c r="I25" s="3">
        <f t="shared" si="6"/>
        <v>0</v>
      </c>
      <c r="J25" s="3">
        <f t="shared" si="7"/>
        <v>0</v>
      </c>
      <c r="K25" s="3"/>
      <c r="L25" s="3">
        <f t="shared" si="8"/>
        <v>474.0651906</v>
      </c>
      <c r="M25" s="2">
        <f t="shared" si="9"/>
        <v>476.144483</v>
      </c>
      <c r="N25" s="9">
        <f t="shared" si="10"/>
        <v>-2.079292366</v>
      </c>
      <c r="O25" s="3"/>
      <c r="P25" s="10">
        <f t="shared" si="11"/>
        <v>199.2702607</v>
      </c>
      <c r="Q25" s="9">
        <f t="shared" si="12"/>
        <v>474.0651906</v>
      </c>
      <c r="R25" s="2"/>
      <c r="S25" s="14">
        <f t="shared" si="13"/>
        <v>-1.909406135</v>
      </c>
    </row>
    <row r="26">
      <c r="A26" s="11">
        <v>14.0</v>
      </c>
      <c r="B26" s="11">
        <v>1.41945652173913E9</v>
      </c>
      <c r="C26" s="2">
        <v>-101.990387</v>
      </c>
      <c r="D26" s="3">
        <f t="shared" si="1"/>
        <v>-943478.2609</v>
      </c>
      <c r="E26" s="4">
        <f t="shared" si="2"/>
        <v>198.3519645</v>
      </c>
      <c r="F26" s="3">
        <f t="shared" si="3"/>
        <v>0.0002102348011</v>
      </c>
      <c r="G26" s="3">
        <f t="shared" si="4"/>
        <v>0</v>
      </c>
      <c r="H26" s="2">
        <f t="shared" si="5"/>
        <v>0</v>
      </c>
      <c r="I26" s="3">
        <f t="shared" si="6"/>
        <v>0</v>
      </c>
      <c r="J26" s="3">
        <f t="shared" si="7"/>
        <v>0</v>
      </c>
      <c r="K26" s="3"/>
      <c r="L26" s="3">
        <f t="shared" si="8"/>
        <v>480.9140523</v>
      </c>
      <c r="M26" s="2">
        <f t="shared" si="9"/>
        <v>476.0443119</v>
      </c>
      <c r="N26" s="9">
        <f t="shared" si="10"/>
        <v>4.86974049</v>
      </c>
      <c r="O26" s="3"/>
      <c r="P26" s="10">
        <f t="shared" si="11"/>
        <v>198.3519645</v>
      </c>
      <c r="Q26" s="9">
        <f t="shared" si="12"/>
        <v>480.9140523</v>
      </c>
      <c r="R26" s="2"/>
      <c r="S26" s="14">
        <f t="shared" si="13"/>
        <v>4.471863859</v>
      </c>
    </row>
    <row r="27">
      <c r="A27" s="11">
        <v>15.0</v>
      </c>
      <c r="B27" s="11">
        <v>1.41946086956521E9</v>
      </c>
      <c r="C27" s="2">
        <v>-102.0343552</v>
      </c>
      <c r="D27" s="3">
        <f t="shared" si="1"/>
        <v>-939130.4348</v>
      </c>
      <c r="E27" s="4">
        <f t="shared" si="2"/>
        <v>197.4336684</v>
      </c>
      <c r="F27" s="3">
        <f t="shared" si="3"/>
        <v>0.0002102302951</v>
      </c>
      <c r="G27" s="3">
        <f t="shared" si="4"/>
        <v>0</v>
      </c>
      <c r="H27" s="2">
        <f t="shared" si="5"/>
        <v>0</v>
      </c>
      <c r="I27" s="3">
        <f t="shared" si="6"/>
        <v>0</v>
      </c>
      <c r="J27" s="3">
        <f t="shared" si="7"/>
        <v>0</v>
      </c>
      <c r="K27" s="3"/>
      <c r="L27" s="3">
        <f t="shared" si="8"/>
        <v>476.0698164</v>
      </c>
      <c r="M27" s="2">
        <f t="shared" si="9"/>
        <v>475.9445786</v>
      </c>
      <c r="N27" s="9">
        <f t="shared" si="10"/>
        <v>0.1252377948</v>
      </c>
      <c r="O27" s="3"/>
      <c r="P27" s="10">
        <f t="shared" si="11"/>
        <v>197.4336684</v>
      </c>
      <c r="Q27" s="9">
        <f t="shared" si="12"/>
        <v>476.0698164</v>
      </c>
      <c r="R27" s="2"/>
      <c r="S27" s="14">
        <f t="shared" si="13"/>
        <v>0.1150053827</v>
      </c>
    </row>
    <row r="28">
      <c r="A28" s="11">
        <v>16.0</v>
      </c>
      <c r="B28" s="11">
        <v>1.4194652173913E9</v>
      </c>
      <c r="C28" s="2">
        <v>-102.088501</v>
      </c>
      <c r="D28" s="3">
        <f t="shared" si="1"/>
        <v>-934782.6087</v>
      </c>
      <c r="E28" s="4">
        <f t="shared" si="2"/>
        <v>196.5153723</v>
      </c>
      <c r="F28" s="3">
        <f t="shared" si="3"/>
        <v>0.0002102257471</v>
      </c>
      <c r="G28" s="3">
        <f t="shared" si="4"/>
        <v>0</v>
      </c>
      <c r="H28" s="2">
        <f t="shared" si="5"/>
        <v>0</v>
      </c>
      <c r="I28" s="3">
        <f t="shared" si="6"/>
        <v>0</v>
      </c>
      <c r="J28" s="3">
        <f t="shared" si="7"/>
        <v>0</v>
      </c>
      <c r="K28" s="3"/>
      <c r="L28" s="3">
        <f t="shared" si="8"/>
        <v>470.1712478</v>
      </c>
      <c r="M28" s="2">
        <f t="shared" si="9"/>
        <v>475.8452801</v>
      </c>
      <c r="N28" s="9">
        <f t="shared" si="10"/>
        <v>-5.674032304</v>
      </c>
      <c r="O28" s="3"/>
      <c r="P28" s="10">
        <f t="shared" si="11"/>
        <v>196.5153723</v>
      </c>
      <c r="Q28" s="9">
        <f t="shared" si="12"/>
        <v>470.1712478</v>
      </c>
      <c r="R28" s="2"/>
      <c r="S28" s="14">
        <f t="shared" si="13"/>
        <v>-5.21044191</v>
      </c>
    </row>
    <row r="29">
      <c r="A29" s="11">
        <v>17.0</v>
      </c>
      <c r="B29" s="11">
        <v>1.41946956521739E9</v>
      </c>
      <c r="C29" s="2">
        <v>-101.9934464</v>
      </c>
      <c r="D29" s="3">
        <f t="shared" si="1"/>
        <v>-930434.7826</v>
      </c>
      <c r="E29" s="4">
        <f t="shared" si="2"/>
        <v>195.5970761</v>
      </c>
      <c r="F29" s="3">
        <f t="shared" si="3"/>
        <v>0.0002102211566</v>
      </c>
      <c r="G29" s="3">
        <f t="shared" si="4"/>
        <v>0</v>
      </c>
      <c r="H29" s="2">
        <f t="shared" si="5"/>
        <v>0</v>
      </c>
      <c r="I29" s="3">
        <f t="shared" si="6"/>
        <v>0</v>
      </c>
      <c r="J29" s="3">
        <f t="shared" si="7"/>
        <v>0</v>
      </c>
      <c r="K29" s="3"/>
      <c r="L29" s="3">
        <f t="shared" si="8"/>
        <v>480.5753904</v>
      </c>
      <c r="M29" s="2">
        <f t="shared" si="9"/>
        <v>475.7464133</v>
      </c>
      <c r="N29" s="9">
        <f t="shared" si="10"/>
        <v>4.828977099</v>
      </c>
      <c r="O29" s="3"/>
      <c r="P29" s="10">
        <f t="shared" si="11"/>
        <v>195.5970761</v>
      </c>
      <c r="Q29" s="9">
        <f t="shared" si="12"/>
        <v>480.5753904</v>
      </c>
      <c r="R29" s="2"/>
      <c r="S29" s="14">
        <f t="shared" si="13"/>
        <v>4.434430996</v>
      </c>
    </row>
    <row r="30">
      <c r="A30" s="11">
        <v>18.0</v>
      </c>
      <c r="B30" s="11">
        <v>1.41947391304347E9</v>
      </c>
      <c r="C30" s="2">
        <v>-102.0187302</v>
      </c>
      <c r="D30" s="3">
        <f t="shared" si="1"/>
        <v>-926086.9565</v>
      </c>
      <c r="E30" s="4">
        <f t="shared" si="2"/>
        <v>194.67878</v>
      </c>
      <c r="F30" s="3">
        <f t="shared" si="3"/>
        <v>0.000210216523</v>
      </c>
      <c r="G30" s="3">
        <f t="shared" si="4"/>
        <v>0</v>
      </c>
      <c r="H30" s="2">
        <f t="shared" si="5"/>
        <v>0</v>
      </c>
      <c r="I30" s="3">
        <f t="shared" si="6"/>
        <v>0</v>
      </c>
      <c r="J30" s="3">
        <f t="shared" si="7"/>
        <v>0</v>
      </c>
      <c r="K30" s="3"/>
      <c r="L30" s="3">
        <f t="shared" si="8"/>
        <v>477.7857001</v>
      </c>
      <c r="M30" s="2">
        <f t="shared" si="9"/>
        <v>475.6479749</v>
      </c>
      <c r="N30" s="9">
        <f t="shared" si="10"/>
        <v>2.137725229</v>
      </c>
      <c r="O30" s="3"/>
      <c r="P30" s="10">
        <f t="shared" si="11"/>
        <v>194.67878</v>
      </c>
      <c r="Q30" s="9">
        <f t="shared" si="12"/>
        <v>477.7857001</v>
      </c>
      <c r="R30" s="2"/>
      <c r="S30" s="14">
        <f t="shared" si="13"/>
        <v>1.963064811</v>
      </c>
    </row>
    <row r="31">
      <c r="A31" s="11">
        <v>19.0</v>
      </c>
      <c r="B31" s="11">
        <v>1.41947826086956E9</v>
      </c>
      <c r="C31" s="2">
        <v>-102.0132141</v>
      </c>
      <c r="D31" s="3">
        <f t="shared" si="1"/>
        <v>-921739.1304</v>
      </c>
      <c r="E31" s="4">
        <f t="shared" si="2"/>
        <v>193.7604839</v>
      </c>
      <c r="F31" s="3">
        <f t="shared" si="3"/>
        <v>0.0002102118457</v>
      </c>
      <c r="G31" s="3">
        <f t="shared" si="4"/>
        <v>0</v>
      </c>
      <c r="H31" s="2">
        <f t="shared" si="5"/>
        <v>0</v>
      </c>
      <c r="I31" s="3">
        <f t="shared" si="6"/>
        <v>0</v>
      </c>
      <c r="J31" s="3">
        <f t="shared" si="7"/>
        <v>0</v>
      </c>
      <c r="K31" s="3"/>
      <c r="L31" s="3">
        <f t="shared" si="8"/>
        <v>478.3929351</v>
      </c>
      <c r="M31" s="2">
        <f t="shared" si="9"/>
        <v>475.5499618</v>
      </c>
      <c r="N31" s="9">
        <f t="shared" si="10"/>
        <v>2.842973281</v>
      </c>
      <c r="O31" s="3"/>
      <c r="P31" s="10">
        <f t="shared" si="11"/>
        <v>193.7604839</v>
      </c>
      <c r="Q31" s="9">
        <f t="shared" si="12"/>
        <v>478.3929351</v>
      </c>
      <c r="R31" s="2"/>
      <c r="S31" s="14">
        <f t="shared" si="13"/>
        <v>2.610691363</v>
      </c>
    </row>
    <row r="32">
      <c r="A32" s="11">
        <v>20.0</v>
      </c>
      <c r="B32" s="11">
        <v>1.41948260869565E9</v>
      </c>
      <c r="C32" s="2">
        <v>-102.0898438</v>
      </c>
      <c r="D32" s="3">
        <f t="shared" si="1"/>
        <v>-917391.3043</v>
      </c>
      <c r="E32" s="4">
        <f t="shared" si="2"/>
        <v>192.8421878</v>
      </c>
      <c r="F32" s="3">
        <f t="shared" si="3"/>
        <v>0.0002102071241</v>
      </c>
      <c r="G32" s="3">
        <f t="shared" si="4"/>
        <v>0</v>
      </c>
      <c r="H32" s="2">
        <f t="shared" si="5"/>
        <v>0</v>
      </c>
      <c r="I32" s="3">
        <f t="shared" si="6"/>
        <v>0</v>
      </c>
      <c r="J32" s="3">
        <f t="shared" si="7"/>
        <v>0</v>
      </c>
      <c r="K32" s="3"/>
      <c r="L32" s="3">
        <f t="shared" si="8"/>
        <v>470.0258975</v>
      </c>
      <c r="M32" s="2">
        <f t="shared" si="9"/>
        <v>475.452371</v>
      </c>
      <c r="N32" s="9">
        <f t="shared" si="10"/>
        <v>-5.426473473</v>
      </c>
      <c r="O32" s="3"/>
      <c r="P32" s="10">
        <f t="shared" si="11"/>
        <v>192.8421878</v>
      </c>
      <c r="Q32" s="9">
        <f t="shared" si="12"/>
        <v>470.0258975</v>
      </c>
      <c r="R32" s="2"/>
      <c r="S32" s="14">
        <f t="shared" si="13"/>
        <v>-4.983109605</v>
      </c>
    </row>
    <row r="33">
      <c r="A33" s="11">
        <v>21.0</v>
      </c>
      <c r="B33" s="11">
        <v>1.41948695652173E9</v>
      </c>
      <c r="C33" s="2">
        <v>-102.0634232</v>
      </c>
      <c r="D33" s="3">
        <f t="shared" si="1"/>
        <v>-913043.4783</v>
      </c>
      <c r="E33" s="4">
        <f t="shared" si="2"/>
        <v>191.9238916</v>
      </c>
      <c r="F33" s="3">
        <f t="shared" si="3"/>
        <v>0.0002102023575</v>
      </c>
      <c r="G33" s="3">
        <f t="shared" si="4"/>
        <v>0</v>
      </c>
      <c r="H33" s="2">
        <f t="shared" si="5"/>
        <v>0</v>
      </c>
      <c r="I33" s="3">
        <f t="shared" si="6"/>
        <v>0</v>
      </c>
      <c r="J33" s="3">
        <f t="shared" si="7"/>
        <v>0</v>
      </c>
      <c r="K33" s="3"/>
      <c r="L33" s="3">
        <f t="shared" si="8"/>
        <v>472.8940475</v>
      </c>
      <c r="M33" s="2">
        <f t="shared" si="9"/>
        <v>475.3551992</v>
      </c>
      <c r="N33" s="9">
        <f t="shared" si="10"/>
        <v>-2.461151762</v>
      </c>
      <c r="O33" s="3"/>
      <c r="P33" s="10">
        <f t="shared" si="11"/>
        <v>191.9238916</v>
      </c>
      <c r="Q33" s="9">
        <f t="shared" si="12"/>
        <v>472.8940475</v>
      </c>
      <c r="R33" s="2"/>
      <c r="S33" s="14">
        <f t="shared" si="13"/>
        <v>-2.260066145</v>
      </c>
    </row>
    <row r="34">
      <c r="A34" s="11">
        <v>22.0</v>
      </c>
      <c r="B34" s="11">
        <v>1.41949130434782E9</v>
      </c>
      <c r="C34" s="2">
        <v>-102.0549927</v>
      </c>
      <c r="D34" s="3">
        <f t="shared" si="1"/>
        <v>-908695.6522</v>
      </c>
      <c r="E34" s="4">
        <f t="shared" si="2"/>
        <v>191.0055955</v>
      </c>
      <c r="F34" s="3">
        <f t="shared" si="3"/>
        <v>0.0002101975453</v>
      </c>
      <c r="G34" s="3">
        <f t="shared" si="4"/>
        <v>0</v>
      </c>
      <c r="H34" s="2">
        <f t="shared" si="5"/>
        <v>0</v>
      </c>
      <c r="I34" s="3">
        <f t="shared" si="6"/>
        <v>0</v>
      </c>
      <c r="J34" s="3">
        <f t="shared" si="7"/>
        <v>0</v>
      </c>
      <c r="K34" s="3"/>
      <c r="L34" s="3">
        <f t="shared" si="8"/>
        <v>473.8129183</v>
      </c>
      <c r="M34" s="2">
        <f t="shared" si="9"/>
        <v>475.2584434</v>
      </c>
      <c r="N34" s="9">
        <f t="shared" si="10"/>
        <v>-1.445525101</v>
      </c>
      <c r="O34" s="3"/>
      <c r="P34" s="10">
        <f t="shared" si="11"/>
        <v>191.0055955</v>
      </c>
      <c r="Q34" s="9">
        <f t="shared" si="12"/>
        <v>473.8129183</v>
      </c>
      <c r="R34" s="2"/>
      <c r="S34" s="14">
        <f t="shared" si="13"/>
        <v>-1.32742011</v>
      </c>
    </row>
    <row r="35">
      <c r="A35" s="11">
        <v>23.0</v>
      </c>
      <c r="B35" s="11">
        <v>1.41949565217391E9</v>
      </c>
      <c r="C35" s="2">
        <v>-102.0491028</v>
      </c>
      <c r="D35" s="3">
        <f t="shared" si="1"/>
        <v>-904347.8261</v>
      </c>
      <c r="E35" s="4">
        <f t="shared" si="2"/>
        <v>190.0872994</v>
      </c>
      <c r="F35" s="3">
        <f t="shared" si="3"/>
        <v>0.0002101926868</v>
      </c>
      <c r="G35" s="3">
        <f t="shared" si="4"/>
        <v>0</v>
      </c>
      <c r="H35" s="2">
        <f t="shared" si="5"/>
        <v>0</v>
      </c>
      <c r="I35" s="3">
        <f t="shared" si="6"/>
        <v>0</v>
      </c>
      <c r="J35" s="3">
        <f t="shared" si="7"/>
        <v>0</v>
      </c>
      <c r="K35" s="3"/>
      <c r="L35" s="3">
        <f t="shared" si="8"/>
        <v>474.4559391</v>
      </c>
      <c r="M35" s="2">
        <f t="shared" si="9"/>
        <v>475.1621003</v>
      </c>
      <c r="N35" s="9">
        <f t="shared" si="10"/>
        <v>-0.7061612354</v>
      </c>
      <c r="O35" s="3"/>
      <c r="P35" s="10">
        <f t="shared" si="11"/>
        <v>190.0872994</v>
      </c>
      <c r="Q35" s="9">
        <f t="shared" si="12"/>
        <v>474.4559391</v>
      </c>
      <c r="R35" s="2"/>
      <c r="S35" s="14">
        <f t="shared" si="13"/>
        <v>-0.6484651301</v>
      </c>
    </row>
    <row r="36">
      <c r="A36" s="11">
        <v>24.0</v>
      </c>
      <c r="B36" s="11">
        <v>1.4195E9</v>
      </c>
      <c r="C36" s="2">
        <v>-101.9978485</v>
      </c>
      <c r="D36" s="3">
        <f t="shared" si="1"/>
        <v>-900000</v>
      </c>
      <c r="E36" s="4">
        <f t="shared" si="2"/>
        <v>189.1690032</v>
      </c>
      <c r="F36" s="3">
        <f t="shared" si="3"/>
        <v>0.0002101877814</v>
      </c>
      <c r="G36" s="3">
        <f t="shared" si="4"/>
        <v>0</v>
      </c>
      <c r="H36" s="2">
        <f t="shared" si="5"/>
        <v>0</v>
      </c>
      <c r="I36" s="3">
        <f t="shared" si="6"/>
        <v>0</v>
      </c>
      <c r="J36" s="3">
        <f t="shared" si="7"/>
        <v>0</v>
      </c>
      <c r="K36" s="3"/>
      <c r="L36" s="3">
        <f t="shared" si="8"/>
        <v>480.0885159</v>
      </c>
      <c r="M36" s="2">
        <f t="shared" si="9"/>
        <v>475.066167</v>
      </c>
      <c r="N36" s="9">
        <f t="shared" si="10"/>
        <v>5.022348901</v>
      </c>
      <c r="O36" s="3"/>
      <c r="P36" s="10">
        <f t="shared" si="11"/>
        <v>189.1690032</v>
      </c>
      <c r="Q36" s="9">
        <f t="shared" si="12"/>
        <v>480.0885159</v>
      </c>
      <c r="R36" s="2"/>
      <c r="S36" s="14">
        <f t="shared" si="13"/>
        <v>4.612003573</v>
      </c>
    </row>
    <row r="37">
      <c r="A37" s="11">
        <v>25.0</v>
      </c>
      <c r="B37" s="11">
        <v>1.41950434782608E9</v>
      </c>
      <c r="C37" s="2">
        <v>-102.0094299</v>
      </c>
      <c r="D37" s="3">
        <f t="shared" si="1"/>
        <v>-895652.1739</v>
      </c>
      <c r="E37" s="4">
        <f t="shared" si="2"/>
        <v>188.2507071</v>
      </c>
      <c r="F37" s="3">
        <f t="shared" si="3"/>
        <v>0.0002101828283</v>
      </c>
      <c r="G37" s="3">
        <f t="shared" si="4"/>
        <v>0</v>
      </c>
      <c r="H37" s="2">
        <f t="shared" si="5"/>
        <v>0</v>
      </c>
      <c r="I37" s="3">
        <f t="shared" si="6"/>
        <v>0</v>
      </c>
      <c r="J37" s="3">
        <f t="shared" si="7"/>
        <v>0</v>
      </c>
      <c r="K37" s="3"/>
      <c r="L37" s="3">
        <f t="shared" si="8"/>
        <v>478.8099617</v>
      </c>
      <c r="M37" s="2">
        <f t="shared" si="9"/>
        <v>474.9706401</v>
      </c>
      <c r="N37" s="9">
        <f t="shared" si="10"/>
        <v>3.83932162</v>
      </c>
      <c r="O37" s="3"/>
      <c r="P37" s="10">
        <f t="shared" si="11"/>
        <v>188.2507071</v>
      </c>
      <c r="Q37" s="9">
        <f t="shared" si="12"/>
        <v>478.8099617</v>
      </c>
      <c r="R37" s="2"/>
      <c r="S37" s="14">
        <f t="shared" si="13"/>
        <v>3.525634196</v>
      </c>
    </row>
    <row r="38">
      <c r="A38" s="11">
        <v>26.0</v>
      </c>
      <c r="B38" s="11">
        <v>1.41950869565217E9</v>
      </c>
      <c r="C38" s="2">
        <v>-102.0651703</v>
      </c>
      <c r="D38" s="3">
        <f t="shared" si="1"/>
        <v>-891304.3478</v>
      </c>
      <c r="E38" s="4">
        <f t="shared" si="2"/>
        <v>187.332411</v>
      </c>
      <c r="F38" s="3">
        <f t="shared" si="3"/>
        <v>0.0002101778269</v>
      </c>
      <c r="G38" s="3">
        <f t="shared" si="4"/>
        <v>0</v>
      </c>
      <c r="H38" s="2">
        <f t="shared" si="5"/>
        <v>0</v>
      </c>
      <c r="I38" s="3">
        <f t="shared" si="6"/>
        <v>0</v>
      </c>
      <c r="J38" s="3">
        <f t="shared" si="7"/>
        <v>0</v>
      </c>
      <c r="K38" s="3"/>
      <c r="L38" s="3">
        <f t="shared" si="8"/>
        <v>472.7038477</v>
      </c>
      <c r="M38" s="2">
        <f t="shared" si="9"/>
        <v>474.8755166</v>
      </c>
      <c r="N38" s="9">
        <f t="shared" si="10"/>
        <v>-2.171668886</v>
      </c>
      <c r="O38" s="3"/>
      <c r="P38" s="10">
        <f t="shared" si="11"/>
        <v>187.332411</v>
      </c>
      <c r="Q38" s="9">
        <f t="shared" si="12"/>
        <v>472.7038477</v>
      </c>
      <c r="R38" s="2"/>
      <c r="S38" s="14">
        <f t="shared" si="13"/>
        <v>-1.994235135</v>
      </c>
    </row>
    <row r="39">
      <c r="A39" s="11">
        <v>27.0</v>
      </c>
      <c r="B39" s="11">
        <v>1.41951304347826E9</v>
      </c>
      <c r="C39" s="2">
        <v>-102.0296097</v>
      </c>
      <c r="D39" s="3">
        <f t="shared" si="1"/>
        <v>-886956.5217</v>
      </c>
      <c r="E39" s="4">
        <f t="shared" si="2"/>
        <v>186.4141148</v>
      </c>
      <c r="F39" s="3">
        <f t="shared" si="3"/>
        <v>0.0002101727765</v>
      </c>
      <c r="G39" s="3">
        <f t="shared" si="4"/>
        <v>0</v>
      </c>
      <c r="H39" s="2">
        <f t="shared" si="5"/>
        <v>0</v>
      </c>
      <c r="I39" s="3">
        <f t="shared" si="6"/>
        <v>0</v>
      </c>
      <c r="J39" s="3">
        <f t="shared" si="7"/>
        <v>0</v>
      </c>
      <c r="K39" s="3"/>
      <c r="L39" s="3">
        <f t="shared" si="8"/>
        <v>476.5902983</v>
      </c>
      <c r="M39" s="2">
        <f t="shared" si="9"/>
        <v>474.7807933</v>
      </c>
      <c r="N39" s="9">
        <f t="shared" si="10"/>
        <v>1.809504938</v>
      </c>
      <c r="O39" s="3"/>
      <c r="P39" s="10">
        <f t="shared" si="11"/>
        <v>186.4141148</v>
      </c>
      <c r="Q39" s="9">
        <f t="shared" si="12"/>
        <v>476.5902983</v>
      </c>
      <c r="R39" s="2"/>
      <c r="S39" s="14">
        <f t="shared" si="13"/>
        <v>1.661661387</v>
      </c>
    </row>
    <row r="40">
      <c r="A40" s="11">
        <v>28.0</v>
      </c>
      <c r="B40" s="11">
        <v>1.41951739130434E9</v>
      </c>
      <c r="C40" s="2">
        <v>-102.0487747</v>
      </c>
      <c r="D40" s="3">
        <f t="shared" si="1"/>
        <v>-882608.6957</v>
      </c>
      <c r="E40" s="4">
        <f t="shared" si="2"/>
        <v>185.4958187</v>
      </c>
      <c r="F40" s="3">
        <f t="shared" si="3"/>
        <v>0.0002101676763</v>
      </c>
      <c r="G40" s="3">
        <f t="shared" si="4"/>
        <v>0</v>
      </c>
      <c r="H40" s="2">
        <f t="shared" si="5"/>
        <v>0</v>
      </c>
      <c r="I40" s="3">
        <f t="shared" si="6"/>
        <v>0</v>
      </c>
      <c r="J40" s="3">
        <f t="shared" si="7"/>
        <v>0</v>
      </c>
      <c r="K40" s="3"/>
      <c r="L40" s="3">
        <f t="shared" si="8"/>
        <v>474.4917846</v>
      </c>
      <c r="M40" s="2">
        <f t="shared" si="9"/>
        <v>474.6864672</v>
      </c>
      <c r="N40" s="9">
        <f t="shared" si="10"/>
        <v>-0.1946826372</v>
      </c>
      <c r="O40" s="3"/>
      <c r="P40" s="10">
        <f t="shared" si="11"/>
        <v>185.4958187</v>
      </c>
      <c r="Q40" s="9">
        <f t="shared" si="12"/>
        <v>474.4917846</v>
      </c>
      <c r="R40" s="2"/>
      <c r="S40" s="14">
        <f t="shared" si="13"/>
        <v>-0.1787763129</v>
      </c>
    </row>
    <row r="41">
      <c r="A41" s="11">
        <v>29.0</v>
      </c>
      <c r="B41" s="11">
        <v>1.41952173913043E9</v>
      </c>
      <c r="C41" s="2">
        <v>-102.0786667</v>
      </c>
      <c r="D41" s="3">
        <f t="shared" si="1"/>
        <v>-878260.8696</v>
      </c>
      <c r="E41" s="4">
        <f t="shared" si="2"/>
        <v>184.5775226</v>
      </c>
      <c r="F41" s="3">
        <f t="shared" si="3"/>
        <v>0.0002101625257</v>
      </c>
      <c r="G41" s="3">
        <f t="shared" si="4"/>
        <v>0</v>
      </c>
      <c r="H41" s="2">
        <f t="shared" si="5"/>
        <v>0</v>
      </c>
      <c r="I41" s="3">
        <f t="shared" si="6"/>
        <v>0</v>
      </c>
      <c r="J41" s="3">
        <f t="shared" si="7"/>
        <v>0</v>
      </c>
      <c r="K41" s="3"/>
      <c r="L41" s="3">
        <f t="shared" si="8"/>
        <v>471.2371246</v>
      </c>
      <c r="M41" s="2">
        <f t="shared" si="9"/>
        <v>474.592535</v>
      </c>
      <c r="N41" s="9">
        <f t="shared" si="10"/>
        <v>-3.355410393</v>
      </c>
      <c r="O41" s="3"/>
      <c r="P41" s="10">
        <f t="shared" si="11"/>
        <v>184.5775226</v>
      </c>
      <c r="Q41" s="9">
        <f t="shared" si="12"/>
        <v>471.2371246</v>
      </c>
      <c r="R41" s="2"/>
      <c r="S41" s="14">
        <f t="shared" si="13"/>
        <v>-3.081260381</v>
      </c>
    </row>
    <row r="42">
      <c r="A42" s="11">
        <v>30.0</v>
      </c>
      <c r="B42" s="11">
        <v>1.41952608695652E9</v>
      </c>
      <c r="C42" s="2">
        <v>-102.0654144</v>
      </c>
      <c r="D42" s="3">
        <f t="shared" si="1"/>
        <v>-873913.0435</v>
      </c>
      <c r="E42" s="4">
        <f t="shared" si="2"/>
        <v>183.6592264</v>
      </c>
      <c r="F42" s="3">
        <f t="shared" si="3"/>
        <v>0.0002101573238</v>
      </c>
      <c r="G42" s="3">
        <f t="shared" si="4"/>
        <v>0</v>
      </c>
      <c r="H42" s="2">
        <f t="shared" si="5"/>
        <v>0</v>
      </c>
      <c r="I42" s="3">
        <f t="shared" si="6"/>
        <v>0</v>
      </c>
      <c r="J42" s="3">
        <f t="shared" si="7"/>
        <v>0</v>
      </c>
      <c r="K42" s="3"/>
      <c r="L42" s="3">
        <f t="shared" si="8"/>
        <v>472.6772796</v>
      </c>
      <c r="M42" s="2">
        <f t="shared" si="9"/>
        <v>474.4989937</v>
      </c>
      <c r="N42" s="9">
        <f t="shared" si="10"/>
        <v>-1.821714079</v>
      </c>
      <c r="O42" s="3"/>
      <c r="P42" s="10">
        <f t="shared" si="11"/>
        <v>183.6592264</v>
      </c>
      <c r="Q42" s="9">
        <f t="shared" si="12"/>
        <v>472.6772796</v>
      </c>
      <c r="R42" s="2"/>
      <c r="S42" s="14">
        <f t="shared" si="13"/>
        <v>-1.672872993</v>
      </c>
    </row>
    <row r="43">
      <c r="A43" s="11">
        <v>31.0</v>
      </c>
      <c r="B43" s="11">
        <v>1.4195304347826E9</v>
      </c>
      <c r="C43" s="2">
        <v>-102.0434036</v>
      </c>
      <c r="D43" s="3">
        <f t="shared" si="1"/>
        <v>-869565.2174</v>
      </c>
      <c r="E43" s="4">
        <f t="shared" si="2"/>
        <v>182.7409303</v>
      </c>
      <c r="F43" s="3">
        <f t="shared" si="3"/>
        <v>0.0002101520698</v>
      </c>
      <c r="G43" s="3">
        <f t="shared" si="4"/>
        <v>0</v>
      </c>
      <c r="H43" s="2">
        <f t="shared" si="5"/>
        <v>0</v>
      </c>
      <c r="I43" s="3">
        <f t="shared" si="6"/>
        <v>0</v>
      </c>
      <c r="J43" s="3">
        <f t="shared" si="7"/>
        <v>0</v>
      </c>
      <c r="K43" s="3"/>
      <c r="L43" s="3">
        <f t="shared" si="8"/>
        <v>475.0789713</v>
      </c>
      <c r="M43" s="2">
        <f t="shared" si="9"/>
        <v>474.40584</v>
      </c>
      <c r="N43" s="9">
        <f t="shared" si="10"/>
        <v>0.6731312231</v>
      </c>
      <c r="O43" s="3"/>
      <c r="P43" s="10">
        <f t="shared" si="11"/>
        <v>182.7409303</v>
      </c>
      <c r="Q43" s="9">
        <f t="shared" si="12"/>
        <v>475.0789713</v>
      </c>
      <c r="R43" s="2"/>
      <c r="S43" s="14">
        <f t="shared" si="13"/>
        <v>0.618133799</v>
      </c>
    </row>
    <row r="44">
      <c r="A44" s="11">
        <v>32.0</v>
      </c>
      <c r="B44" s="11">
        <v>1.41953478260869E9</v>
      </c>
      <c r="C44" s="2">
        <v>-102.0744858</v>
      </c>
      <c r="D44" s="3">
        <f t="shared" si="1"/>
        <v>-865217.3913</v>
      </c>
      <c r="E44" s="4">
        <f t="shared" si="2"/>
        <v>181.8226342</v>
      </c>
      <c r="F44" s="3">
        <f t="shared" si="3"/>
        <v>0.0002101467631</v>
      </c>
      <c r="G44" s="3">
        <f t="shared" si="4"/>
        <v>0</v>
      </c>
      <c r="H44" s="2">
        <f t="shared" si="5"/>
        <v>0</v>
      </c>
      <c r="I44" s="3">
        <f t="shared" si="6"/>
        <v>0</v>
      </c>
      <c r="J44" s="3">
        <f t="shared" si="7"/>
        <v>0</v>
      </c>
      <c r="K44" s="3"/>
      <c r="L44" s="3">
        <f t="shared" si="8"/>
        <v>471.6909973</v>
      </c>
      <c r="M44" s="2">
        <f t="shared" si="9"/>
        <v>474.3130709</v>
      </c>
      <c r="N44" s="9">
        <f t="shared" si="10"/>
        <v>-2.622073642</v>
      </c>
      <c r="O44" s="3"/>
      <c r="P44" s="10">
        <f t="shared" si="11"/>
        <v>181.8226342</v>
      </c>
      <c r="Q44" s="9">
        <f t="shared" si="12"/>
        <v>471.6909973</v>
      </c>
      <c r="R44" s="2"/>
      <c r="S44" s="14">
        <f t="shared" si="13"/>
        <v>-2.407840085</v>
      </c>
    </row>
    <row r="45">
      <c r="A45" s="11">
        <v>33.0</v>
      </c>
      <c r="B45" s="11">
        <v>1.41953913043478E9</v>
      </c>
      <c r="C45" s="2">
        <v>-102.0772552</v>
      </c>
      <c r="D45" s="3">
        <f t="shared" si="1"/>
        <v>-860869.5652</v>
      </c>
      <c r="E45" s="4">
        <f t="shared" si="2"/>
        <v>180.904338</v>
      </c>
      <c r="F45" s="3">
        <f t="shared" si="3"/>
        <v>0.0002101414028</v>
      </c>
      <c r="G45" s="3">
        <f t="shared" si="4"/>
        <v>0</v>
      </c>
      <c r="H45" s="2">
        <f t="shared" si="5"/>
        <v>0</v>
      </c>
      <c r="I45" s="3">
        <f t="shared" si="6"/>
        <v>0</v>
      </c>
      <c r="J45" s="3">
        <f t="shared" si="7"/>
        <v>0</v>
      </c>
      <c r="K45" s="3"/>
      <c r="L45" s="3">
        <f t="shared" si="8"/>
        <v>471.3903063</v>
      </c>
      <c r="M45" s="2">
        <f t="shared" si="9"/>
        <v>474.2206833</v>
      </c>
      <c r="N45" s="9">
        <f t="shared" si="10"/>
        <v>-2.830377015</v>
      </c>
      <c r="O45" s="3"/>
      <c r="P45" s="10">
        <f t="shared" si="11"/>
        <v>180.904338</v>
      </c>
      <c r="Q45" s="9">
        <f t="shared" si="12"/>
        <v>471.3903063</v>
      </c>
      <c r="R45" s="2"/>
      <c r="S45" s="14">
        <f t="shared" si="13"/>
        <v>-2.599124261</v>
      </c>
    </row>
    <row r="46">
      <c r="A46" s="11">
        <v>34.0</v>
      </c>
      <c r="B46" s="11">
        <v>1.41954347826087E9</v>
      </c>
      <c r="C46" s="2">
        <v>-102.0232849</v>
      </c>
      <c r="D46" s="3">
        <f t="shared" si="1"/>
        <v>-856521.7391</v>
      </c>
      <c r="E46" s="4">
        <f t="shared" si="2"/>
        <v>179.9860419</v>
      </c>
      <c r="F46" s="3">
        <f t="shared" si="3"/>
        <v>0.000210135988</v>
      </c>
      <c r="G46" s="3">
        <f t="shared" si="4"/>
        <v>0</v>
      </c>
      <c r="H46" s="2">
        <f t="shared" si="5"/>
        <v>0</v>
      </c>
      <c r="I46" s="3">
        <f t="shared" si="6"/>
        <v>0</v>
      </c>
      <c r="J46" s="3">
        <f t="shared" si="7"/>
        <v>0</v>
      </c>
      <c r="K46" s="3"/>
      <c r="L46" s="3">
        <f t="shared" si="8"/>
        <v>477.284881</v>
      </c>
      <c r="M46" s="2">
        <f t="shared" si="9"/>
        <v>474.1286739</v>
      </c>
      <c r="N46" s="9">
        <f t="shared" si="10"/>
        <v>3.15620711</v>
      </c>
      <c r="O46" s="3"/>
      <c r="P46" s="10">
        <f t="shared" si="11"/>
        <v>179.9860419</v>
      </c>
      <c r="Q46" s="9">
        <f t="shared" si="12"/>
        <v>477.284881</v>
      </c>
      <c r="R46" s="2"/>
      <c r="S46" s="14">
        <f t="shared" si="13"/>
        <v>2.898332783</v>
      </c>
    </row>
    <row r="47">
      <c r="A47" s="11">
        <v>35.0</v>
      </c>
      <c r="B47" s="11">
        <v>1.41954782608695E9</v>
      </c>
      <c r="C47" s="2">
        <v>-102.1366196</v>
      </c>
      <c r="D47" s="3">
        <f t="shared" si="1"/>
        <v>-852173.913</v>
      </c>
      <c r="E47" s="4">
        <f t="shared" si="2"/>
        <v>179.0677458</v>
      </c>
      <c r="F47" s="3">
        <f t="shared" si="3"/>
        <v>0.000210130518</v>
      </c>
      <c r="G47" s="3">
        <f t="shared" si="4"/>
        <v>0</v>
      </c>
      <c r="H47" s="2">
        <f t="shared" si="5"/>
        <v>0</v>
      </c>
      <c r="I47" s="3">
        <f t="shared" si="6"/>
        <v>0</v>
      </c>
      <c r="J47" s="3">
        <f t="shared" si="7"/>
        <v>0</v>
      </c>
      <c r="K47" s="3"/>
      <c r="L47" s="3">
        <f t="shared" si="8"/>
        <v>464.9906363</v>
      </c>
      <c r="M47" s="2">
        <f t="shared" si="9"/>
        <v>474.0370396</v>
      </c>
      <c r="N47" s="9">
        <f t="shared" si="10"/>
        <v>-9.04640336</v>
      </c>
      <c r="O47" s="3"/>
      <c r="P47" s="10">
        <f t="shared" si="11"/>
        <v>179.0677458</v>
      </c>
      <c r="Q47" s="9">
        <f t="shared" si="12"/>
        <v>464.9906363</v>
      </c>
      <c r="R47" s="2"/>
      <c r="S47" s="14">
        <f t="shared" si="13"/>
        <v>-8.307277221</v>
      </c>
    </row>
    <row r="48">
      <c r="A48" s="11">
        <v>36.0</v>
      </c>
      <c r="B48" s="11">
        <v>1.41955217391304E9</v>
      </c>
      <c r="C48" s="2">
        <v>-102.097168</v>
      </c>
      <c r="D48" s="3">
        <f t="shared" si="1"/>
        <v>-847826.087</v>
      </c>
      <c r="E48" s="4">
        <f t="shared" si="2"/>
        <v>178.1494496</v>
      </c>
      <c r="F48" s="3">
        <f t="shared" si="3"/>
        <v>0.0002101249919</v>
      </c>
      <c r="G48" s="3">
        <f t="shared" si="4"/>
        <v>0</v>
      </c>
      <c r="H48" s="2">
        <f t="shared" si="5"/>
        <v>0</v>
      </c>
      <c r="I48" s="3">
        <f t="shared" si="6"/>
        <v>0</v>
      </c>
      <c r="J48" s="3">
        <f t="shared" si="7"/>
        <v>0</v>
      </c>
      <c r="K48" s="3"/>
      <c r="L48" s="3">
        <f t="shared" si="8"/>
        <v>469.233886</v>
      </c>
      <c r="M48" s="2">
        <f t="shared" si="9"/>
        <v>473.9457774</v>
      </c>
      <c r="N48" s="9">
        <f t="shared" si="10"/>
        <v>-4.711891398</v>
      </c>
      <c r="O48" s="3"/>
      <c r="P48" s="10">
        <f t="shared" si="11"/>
        <v>178.1494496</v>
      </c>
      <c r="Q48" s="9">
        <f t="shared" si="12"/>
        <v>469.233886</v>
      </c>
      <c r="R48" s="2"/>
      <c r="S48" s="14">
        <f t="shared" si="13"/>
        <v>-4.326911639</v>
      </c>
    </row>
    <row r="49">
      <c r="A49" s="11">
        <v>37.0</v>
      </c>
      <c r="B49" s="11">
        <v>1.41955652173913E9</v>
      </c>
      <c r="C49" s="2">
        <v>-102.0800323</v>
      </c>
      <c r="D49" s="3">
        <f t="shared" si="1"/>
        <v>-843478.2609</v>
      </c>
      <c r="E49" s="4">
        <f t="shared" si="2"/>
        <v>177.2311535</v>
      </c>
      <c r="F49" s="3">
        <f t="shared" si="3"/>
        <v>0.0002101194088</v>
      </c>
      <c r="G49" s="3">
        <f t="shared" si="4"/>
        <v>0</v>
      </c>
      <c r="H49" s="2">
        <f t="shared" si="5"/>
        <v>0</v>
      </c>
      <c r="I49" s="3">
        <f t="shared" si="6"/>
        <v>0</v>
      </c>
      <c r="J49" s="3">
        <f t="shared" si="7"/>
        <v>0</v>
      </c>
      <c r="K49" s="3"/>
      <c r="L49" s="3">
        <f t="shared" si="8"/>
        <v>471.0889717</v>
      </c>
      <c r="M49" s="2">
        <f t="shared" si="9"/>
        <v>473.854884</v>
      </c>
      <c r="N49" s="9">
        <f t="shared" si="10"/>
        <v>-2.765912335</v>
      </c>
      <c r="O49" s="3"/>
      <c r="P49" s="10">
        <f t="shared" si="11"/>
        <v>177.2311535</v>
      </c>
      <c r="Q49" s="9">
        <f t="shared" si="12"/>
        <v>471.0889717</v>
      </c>
      <c r="R49" s="2"/>
      <c r="S49" s="14">
        <f t="shared" si="13"/>
        <v>-2.539926601</v>
      </c>
    </row>
    <row r="50">
      <c r="A50" s="11">
        <v>38.0</v>
      </c>
      <c r="B50" s="11">
        <v>1.41956086956521E9</v>
      </c>
      <c r="C50" s="2">
        <v>-102.1339188</v>
      </c>
      <c r="D50" s="3">
        <f t="shared" si="1"/>
        <v>-839130.4348</v>
      </c>
      <c r="E50" s="4">
        <f t="shared" si="2"/>
        <v>176.3128574</v>
      </c>
      <c r="F50" s="3">
        <f t="shared" si="3"/>
        <v>0.0002101137678</v>
      </c>
      <c r="G50" s="3">
        <f t="shared" si="4"/>
        <v>0</v>
      </c>
      <c r="H50" s="2">
        <f t="shared" si="5"/>
        <v>0</v>
      </c>
      <c r="I50" s="3">
        <f t="shared" si="6"/>
        <v>0</v>
      </c>
      <c r="J50" s="3">
        <f t="shared" si="7"/>
        <v>0</v>
      </c>
      <c r="K50" s="3"/>
      <c r="L50" s="3">
        <f t="shared" si="8"/>
        <v>465.2798956</v>
      </c>
      <c r="M50" s="2">
        <f t="shared" si="9"/>
        <v>473.7643563</v>
      </c>
      <c r="N50" s="9">
        <f t="shared" si="10"/>
        <v>-8.48446075</v>
      </c>
      <c r="O50" s="3"/>
      <c r="P50" s="10">
        <f t="shared" si="11"/>
        <v>176.3128574</v>
      </c>
      <c r="Q50" s="9">
        <f t="shared" si="12"/>
        <v>465.2798956</v>
      </c>
      <c r="R50" s="2"/>
      <c r="S50" s="14">
        <f t="shared" si="13"/>
        <v>-7.791247496</v>
      </c>
    </row>
    <row r="51">
      <c r="A51" s="11">
        <v>39.0</v>
      </c>
      <c r="B51" s="11">
        <v>1.4195652173913E9</v>
      </c>
      <c r="C51" s="2">
        <v>-102.0538025</v>
      </c>
      <c r="D51" s="3">
        <f t="shared" si="1"/>
        <v>-834782.6087</v>
      </c>
      <c r="E51" s="4">
        <f t="shared" si="2"/>
        <v>175.3945612</v>
      </c>
      <c r="F51" s="3">
        <f t="shared" si="3"/>
        <v>0.0002101080681</v>
      </c>
      <c r="G51" s="3">
        <f t="shared" si="4"/>
        <v>0</v>
      </c>
      <c r="H51" s="2">
        <f t="shared" si="5"/>
        <v>0</v>
      </c>
      <c r="I51" s="3">
        <f t="shared" si="6"/>
        <v>0</v>
      </c>
      <c r="J51" s="3">
        <f t="shared" si="7"/>
        <v>0</v>
      </c>
      <c r="K51" s="3"/>
      <c r="L51" s="3">
        <f t="shared" si="8"/>
        <v>473.9427863</v>
      </c>
      <c r="M51" s="2">
        <f t="shared" si="9"/>
        <v>473.6741913</v>
      </c>
      <c r="N51" s="9">
        <f t="shared" si="10"/>
        <v>0.2685949776</v>
      </c>
      <c r="O51" s="3"/>
      <c r="P51" s="10">
        <f t="shared" si="11"/>
        <v>175.3945612</v>
      </c>
      <c r="Q51" s="9">
        <f t="shared" si="12"/>
        <v>473.9427863</v>
      </c>
      <c r="R51" s="2"/>
      <c r="S51" s="14">
        <f t="shared" si="13"/>
        <v>0.2466497286</v>
      </c>
    </row>
    <row r="52">
      <c r="A52" s="11">
        <v>40.0</v>
      </c>
      <c r="B52" s="11">
        <v>1.41956956521739E9</v>
      </c>
      <c r="C52" s="2">
        <v>-101.9901733</v>
      </c>
      <c r="D52" s="3">
        <f t="shared" si="1"/>
        <v>-830434.7826</v>
      </c>
      <c r="E52" s="4">
        <f t="shared" si="2"/>
        <v>174.4762651</v>
      </c>
      <c r="F52" s="3">
        <f t="shared" si="3"/>
        <v>0.0002101023088</v>
      </c>
      <c r="G52" s="3">
        <f t="shared" si="4"/>
        <v>0</v>
      </c>
      <c r="H52" s="2">
        <f t="shared" si="5"/>
        <v>0</v>
      </c>
      <c r="I52" s="3">
        <f t="shared" si="6"/>
        <v>0</v>
      </c>
      <c r="J52" s="3">
        <f t="shared" si="7"/>
        <v>0</v>
      </c>
      <c r="K52" s="3"/>
      <c r="L52" s="3">
        <f t="shared" si="8"/>
        <v>480.9377169</v>
      </c>
      <c r="M52" s="2">
        <f t="shared" si="9"/>
        <v>473.5843857</v>
      </c>
      <c r="N52" s="9">
        <f t="shared" si="10"/>
        <v>7.353331238</v>
      </c>
      <c r="O52" s="3"/>
      <c r="P52" s="10">
        <f t="shared" si="11"/>
        <v>174.4762651</v>
      </c>
      <c r="Q52" s="9">
        <f t="shared" si="12"/>
        <v>480.9377169</v>
      </c>
      <c r="R52" s="2"/>
      <c r="S52" s="14">
        <f t="shared" si="13"/>
        <v>6.752535639</v>
      </c>
    </row>
    <row r="53">
      <c r="A53" s="11">
        <v>41.0</v>
      </c>
      <c r="B53" s="11">
        <v>1.41957391304347E9</v>
      </c>
      <c r="C53" s="2">
        <v>-102.0820389</v>
      </c>
      <c r="D53" s="3">
        <f t="shared" si="1"/>
        <v>-826086.9565</v>
      </c>
      <c r="E53" s="4">
        <f t="shared" si="2"/>
        <v>173.557969</v>
      </c>
      <c r="F53" s="3">
        <f t="shared" si="3"/>
        <v>0.0002100964888</v>
      </c>
      <c r="G53" s="3">
        <f t="shared" si="4"/>
        <v>0</v>
      </c>
      <c r="H53" s="2">
        <f t="shared" si="5"/>
        <v>0</v>
      </c>
      <c r="I53" s="3">
        <f t="shared" si="6"/>
        <v>0</v>
      </c>
      <c r="J53" s="3">
        <f t="shared" si="7"/>
        <v>0</v>
      </c>
      <c r="K53" s="3"/>
      <c r="L53" s="3">
        <f t="shared" si="8"/>
        <v>470.8713615</v>
      </c>
      <c r="M53" s="2">
        <f t="shared" si="9"/>
        <v>473.4949364</v>
      </c>
      <c r="N53" s="9">
        <f t="shared" si="10"/>
        <v>-2.623574855</v>
      </c>
      <c r="O53" s="3"/>
      <c r="P53" s="10">
        <f t="shared" si="11"/>
        <v>173.557969</v>
      </c>
      <c r="Q53" s="9">
        <f t="shared" si="12"/>
        <v>470.8713615</v>
      </c>
      <c r="R53" s="2"/>
      <c r="S53" s="14">
        <f t="shared" si="13"/>
        <v>-2.409218644</v>
      </c>
    </row>
    <row r="54">
      <c r="A54" s="11">
        <v>42.0</v>
      </c>
      <c r="B54" s="11">
        <v>1.41957826086956E9</v>
      </c>
      <c r="C54" s="2">
        <v>-102.0932007</v>
      </c>
      <c r="D54" s="3">
        <f t="shared" si="1"/>
        <v>-821739.1304</v>
      </c>
      <c r="E54" s="4">
        <f t="shared" si="2"/>
        <v>172.6396728</v>
      </c>
      <c r="F54" s="3">
        <f t="shared" si="3"/>
        <v>0.0002100906072</v>
      </c>
      <c r="G54" s="3">
        <f t="shared" si="4"/>
        <v>0</v>
      </c>
      <c r="H54" s="2">
        <f t="shared" si="5"/>
        <v>0</v>
      </c>
      <c r="I54" s="3">
        <f t="shared" si="6"/>
        <v>0</v>
      </c>
      <c r="J54" s="3">
        <f t="shared" si="7"/>
        <v>0</v>
      </c>
      <c r="K54" s="3"/>
      <c r="L54" s="3">
        <f t="shared" si="8"/>
        <v>469.6627291</v>
      </c>
      <c r="M54" s="2">
        <f t="shared" si="9"/>
        <v>473.4058403</v>
      </c>
      <c r="N54" s="9">
        <f t="shared" si="10"/>
        <v>-3.743111144</v>
      </c>
      <c r="O54" s="3"/>
      <c r="P54" s="10">
        <f t="shared" si="11"/>
        <v>172.6396728</v>
      </c>
      <c r="Q54" s="9">
        <f t="shared" si="12"/>
        <v>469.6627291</v>
      </c>
      <c r="R54" s="2"/>
      <c r="S54" s="14">
        <f t="shared" si="13"/>
        <v>-3.43728448</v>
      </c>
    </row>
    <row r="55">
      <c r="A55" s="11">
        <v>43.0</v>
      </c>
      <c r="B55" s="11">
        <v>1.41958260869565E9</v>
      </c>
      <c r="C55" s="2">
        <v>-102.0380249</v>
      </c>
      <c r="D55" s="3">
        <f t="shared" si="1"/>
        <v>-817391.3043</v>
      </c>
      <c r="E55" s="4">
        <f t="shared" si="2"/>
        <v>171.7213767</v>
      </c>
      <c r="F55" s="3">
        <f t="shared" si="3"/>
        <v>0.000210084663</v>
      </c>
      <c r="G55" s="3">
        <f t="shared" si="4"/>
        <v>0</v>
      </c>
      <c r="H55" s="2">
        <f t="shared" si="5"/>
        <v>0</v>
      </c>
      <c r="I55" s="3">
        <f t="shared" si="6"/>
        <v>0</v>
      </c>
      <c r="J55" s="3">
        <f t="shared" si="7"/>
        <v>0</v>
      </c>
      <c r="K55" s="3"/>
      <c r="L55" s="3">
        <f t="shared" si="8"/>
        <v>475.667717</v>
      </c>
      <c r="M55" s="2">
        <f t="shared" si="9"/>
        <v>473.3170942</v>
      </c>
      <c r="N55" s="9">
        <f t="shared" si="10"/>
        <v>2.35062281</v>
      </c>
      <c r="O55" s="3"/>
      <c r="P55" s="10">
        <f t="shared" si="11"/>
        <v>171.7213767</v>
      </c>
      <c r="Q55" s="9">
        <f t="shared" si="12"/>
        <v>475.667717</v>
      </c>
      <c r="R55" s="2"/>
      <c r="S55" s="14">
        <f t="shared" si="13"/>
        <v>2.158567836</v>
      </c>
    </row>
    <row r="56">
      <c r="A56" s="11">
        <v>44.0</v>
      </c>
      <c r="B56" s="11">
        <v>1.41958695652173E9</v>
      </c>
      <c r="C56" s="2">
        <v>-102.0228043</v>
      </c>
      <c r="D56" s="3">
        <f t="shared" si="1"/>
        <v>-813043.4783</v>
      </c>
      <c r="E56" s="4">
        <f t="shared" si="2"/>
        <v>170.8030806</v>
      </c>
      <c r="F56" s="3">
        <f t="shared" si="3"/>
        <v>0.0002100786553</v>
      </c>
      <c r="G56" s="3">
        <f t="shared" si="4"/>
        <v>0</v>
      </c>
      <c r="H56" s="2">
        <f t="shared" si="5"/>
        <v>0</v>
      </c>
      <c r="I56" s="3">
        <f t="shared" si="6"/>
        <v>0</v>
      </c>
      <c r="J56" s="3">
        <f t="shared" si="7"/>
        <v>0</v>
      </c>
      <c r="K56" s="3"/>
      <c r="L56" s="3">
        <f t="shared" si="8"/>
        <v>477.3377013</v>
      </c>
      <c r="M56" s="2">
        <f t="shared" si="9"/>
        <v>473.228695</v>
      </c>
      <c r="N56" s="9">
        <f t="shared" si="10"/>
        <v>4.109006286</v>
      </c>
      <c r="O56" s="3"/>
      <c r="P56" s="10">
        <f t="shared" si="11"/>
        <v>170.8030806</v>
      </c>
      <c r="Q56" s="9">
        <f t="shared" si="12"/>
        <v>477.3377013</v>
      </c>
      <c r="R56" s="2"/>
      <c r="S56" s="14">
        <f t="shared" si="13"/>
        <v>3.773284582</v>
      </c>
    </row>
    <row r="57">
      <c r="A57" s="11">
        <v>45.0</v>
      </c>
      <c r="B57" s="11">
        <v>1.41959130434782E9</v>
      </c>
      <c r="C57" s="2">
        <v>-102.0087128</v>
      </c>
      <c r="D57" s="3">
        <f t="shared" si="1"/>
        <v>-808695.6522</v>
      </c>
      <c r="E57" s="4">
        <f t="shared" si="2"/>
        <v>169.8847844</v>
      </c>
      <c r="F57" s="3">
        <f t="shared" si="3"/>
        <v>0.0002100725829</v>
      </c>
      <c r="G57" s="3">
        <f t="shared" si="4"/>
        <v>0</v>
      </c>
      <c r="H57" s="2">
        <f t="shared" si="5"/>
        <v>0</v>
      </c>
      <c r="I57" s="3">
        <f t="shared" si="6"/>
        <v>0</v>
      </c>
      <c r="J57" s="3">
        <f t="shared" si="7"/>
        <v>0</v>
      </c>
      <c r="K57" s="3"/>
      <c r="L57" s="3">
        <f t="shared" si="8"/>
        <v>478.8890286</v>
      </c>
      <c r="M57" s="2">
        <f t="shared" si="9"/>
        <v>473.1406396</v>
      </c>
      <c r="N57" s="9">
        <f t="shared" si="10"/>
        <v>5.748388918</v>
      </c>
      <c r="O57" s="3"/>
      <c r="P57" s="10">
        <f t="shared" si="11"/>
        <v>169.8847844</v>
      </c>
      <c r="Q57" s="9">
        <f t="shared" si="12"/>
        <v>478.8890286</v>
      </c>
      <c r="R57" s="2"/>
      <c r="S57" s="14">
        <f t="shared" si="13"/>
        <v>5.278723313</v>
      </c>
    </row>
    <row r="58">
      <c r="A58" s="11">
        <v>46.0</v>
      </c>
      <c r="B58" s="11">
        <v>1.41959565217391E9</v>
      </c>
      <c r="C58" s="2">
        <v>-102.070694</v>
      </c>
      <c r="D58" s="3">
        <f t="shared" si="1"/>
        <v>-804347.8261</v>
      </c>
      <c r="E58" s="4">
        <f t="shared" si="2"/>
        <v>168.9664883</v>
      </c>
      <c r="F58" s="3">
        <f t="shared" si="3"/>
        <v>0.0002100664449</v>
      </c>
      <c r="G58" s="3">
        <f t="shared" si="4"/>
        <v>0</v>
      </c>
      <c r="H58" s="2">
        <f t="shared" si="5"/>
        <v>0</v>
      </c>
      <c r="I58" s="3">
        <f t="shared" si="6"/>
        <v>0</v>
      </c>
      <c r="J58" s="3">
        <f t="shared" si="7"/>
        <v>0</v>
      </c>
      <c r="K58" s="3"/>
      <c r="L58" s="3">
        <f t="shared" si="8"/>
        <v>472.1030078</v>
      </c>
      <c r="M58" s="2">
        <f t="shared" si="9"/>
        <v>473.0529249</v>
      </c>
      <c r="N58" s="9">
        <f t="shared" si="10"/>
        <v>-0.9499170438</v>
      </c>
      <c r="O58" s="3"/>
      <c r="P58" s="10">
        <f t="shared" si="11"/>
        <v>168.9664883</v>
      </c>
      <c r="Q58" s="9">
        <f t="shared" si="12"/>
        <v>472.1030078</v>
      </c>
      <c r="R58" s="2"/>
      <c r="S58" s="14">
        <f t="shared" si="13"/>
        <v>-0.8723051458</v>
      </c>
    </row>
    <row r="59">
      <c r="A59" s="11">
        <v>47.0</v>
      </c>
      <c r="B59" s="11">
        <v>1.4196E9</v>
      </c>
      <c r="C59" s="2">
        <v>-102.0476379</v>
      </c>
      <c r="D59" s="3">
        <f t="shared" si="1"/>
        <v>-800000</v>
      </c>
      <c r="E59" s="4">
        <f t="shared" si="2"/>
        <v>168.0481922</v>
      </c>
      <c r="F59" s="3">
        <f t="shared" si="3"/>
        <v>0.0002100602402</v>
      </c>
      <c r="G59" s="3">
        <f t="shared" si="4"/>
        <v>0</v>
      </c>
      <c r="H59" s="2">
        <f t="shared" si="5"/>
        <v>0</v>
      </c>
      <c r="I59" s="3">
        <f t="shared" si="6"/>
        <v>0</v>
      </c>
      <c r="J59" s="3">
        <f t="shared" si="7"/>
        <v>0</v>
      </c>
      <c r="K59" s="3"/>
      <c r="L59" s="3">
        <f t="shared" si="8"/>
        <v>474.6160028</v>
      </c>
      <c r="M59" s="2">
        <f t="shared" si="9"/>
        <v>472.9655476</v>
      </c>
      <c r="N59" s="9">
        <f t="shared" si="10"/>
        <v>1.650455198</v>
      </c>
      <c r="O59" s="3"/>
      <c r="P59" s="10">
        <f t="shared" si="11"/>
        <v>168.0481922</v>
      </c>
      <c r="Q59" s="9">
        <f t="shared" si="12"/>
        <v>474.6160028</v>
      </c>
      <c r="R59" s="2"/>
      <c r="S59" s="14">
        <f t="shared" si="13"/>
        <v>1.515606625</v>
      </c>
    </row>
    <row r="60">
      <c r="A60" s="11">
        <v>48.0</v>
      </c>
      <c r="B60" s="11">
        <v>1.41960434782608E9</v>
      </c>
      <c r="C60" s="2">
        <v>-102.0126648</v>
      </c>
      <c r="D60" s="3">
        <f t="shared" si="1"/>
        <v>-795652.1739</v>
      </c>
      <c r="E60" s="4">
        <f t="shared" si="2"/>
        <v>167.129896</v>
      </c>
      <c r="F60" s="3">
        <f t="shared" si="3"/>
        <v>0.0002100539677</v>
      </c>
      <c r="G60" s="3">
        <f t="shared" si="4"/>
        <v>0</v>
      </c>
      <c r="H60" s="2">
        <f t="shared" si="5"/>
        <v>0</v>
      </c>
      <c r="I60" s="3">
        <f t="shared" si="6"/>
        <v>0</v>
      </c>
      <c r="J60" s="3">
        <f t="shared" si="7"/>
        <v>0</v>
      </c>
      <c r="K60" s="3"/>
      <c r="L60" s="3">
        <f t="shared" si="8"/>
        <v>478.4534466</v>
      </c>
      <c r="M60" s="2">
        <f t="shared" si="9"/>
        <v>472.8785047</v>
      </c>
      <c r="N60" s="9">
        <f t="shared" si="10"/>
        <v>5.574941887</v>
      </c>
      <c r="O60" s="3"/>
      <c r="P60" s="10">
        <f t="shared" si="11"/>
        <v>167.129896</v>
      </c>
      <c r="Q60" s="9">
        <f t="shared" si="12"/>
        <v>478.4534466</v>
      </c>
      <c r="R60" s="2"/>
      <c r="S60" s="14">
        <f t="shared" si="13"/>
        <v>5.119447575</v>
      </c>
    </row>
    <row r="61">
      <c r="A61" s="11">
        <v>49.0</v>
      </c>
      <c r="B61" s="11">
        <v>1.41960869565217E9</v>
      </c>
      <c r="C61" s="2">
        <v>-102.0513306</v>
      </c>
      <c r="D61" s="3">
        <f t="shared" si="1"/>
        <v>-791304.3478</v>
      </c>
      <c r="E61" s="4">
        <f t="shared" si="2"/>
        <v>166.2115999</v>
      </c>
      <c r="F61" s="3">
        <f t="shared" si="3"/>
        <v>0.0002100476263</v>
      </c>
      <c r="G61" s="3">
        <f t="shared" si="4"/>
        <v>0</v>
      </c>
      <c r="H61" s="2">
        <f t="shared" si="5"/>
        <v>0</v>
      </c>
      <c r="I61" s="3">
        <f t="shared" si="6"/>
        <v>0</v>
      </c>
      <c r="J61" s="3">
        <f t="shared" si="7"/>
        <v>0</v>
      </c>
      <c r="K61" s="3"/>
      <c r="L61" s="3">
        <f t="shared" si="8"/>
        <v>474.2126199</v>
      </c>
      <c r="M61" s="2">
        <f t="shared" si="9"/>
        <v>472.791793</v>
      </c>
      <c r="N61" s="9">
        <f t="shared" si="10"/>
        <v>1.420826942</v>
      </c>
      <c r="O61" s="3"/>
      <c r="P61" s="10">
        <f t="shared" si="11"/>
        <v>166.2115999</v>
      </c>
      <c r="Q61" s="9">
        <f t="shared" si="12"/>
        <v>474.2126199</v>
      </c>
      <c r="R61" s="2"/>
      <c r="S61" s="14">
        <f t="shared" si="13"/>
        <v>1.304739883</v>
      </c>
    </row>
    <row r="62">
      <c r="A62" s="11">
        <v>50.0</v>
      </c>
      <c r="B62" s="11">
        <v>1.41961304347826E9</v>
      </c>
      <c r="C62" s="2">
        <v>-102.077446</v>
      </c>
      <c r="D62" s="3">
        <f t="shared" si="1"/>
        <v>-786956.5217</v>
      </c>
      <c r="E62" s="4">
        <f t="shared" si="2"/>
        <v>165.2933038</v>
      </c>
      <c r="F62" s="3">
        <f t="shared" si="3"/>
        <v>0.0002100412148</v>
      </c>
      <c r="G62" s="3">
        <f t="shared" si="4"/>
        <v>0</v>
      </c>
      <c r="H62" s="2">
        <f t="shared" si="5"/>
        <v>0</v>
      </c>
      <c r="I62" s="3">
        <f t="shared" si="6"/>
        <v>0</v>
      </c>
      <c r="J62" s="3">
        <f t="shared" si="7"/>
        <v>0</v>
      </c>
      <c r="K62" s="3"/>
      <c r="L62" s="3">
        <f t="shared" si="8"/>
        <v>471.369597</v>
      </c>
      <c r="M62" s="2">
        <f t="shared" si="9"/>
        <v>472.7054093</v>
      </c>
      <c r="N62" s="9">
        <f t="shared" si="10"/>
        <v>-1.335812359</v>
      </c>
      <c r="O62" s="3"/>
      <c r="P62" s="10">
        <f t="shared" si="11"/>
        <v>165.2933038</v>
      </c>
      <c r="Q62" s="9">
        <f t="shared" si="12"/>
        <v>471.369597</v>
      </c>
      <c r="R62" s="2"/>
      <c r="S62" s="14">
        <f t="shared" si="13"/>
        <v>-1.226671323</v>
      </c>
    </row>
    <row r="63">
      <c r="A63" s="11">
        <v>51.0</v>
      </c>
      <c r="B63" s="11">
        <v>1.41961739130434E9</v>
      </c>
      <c r="C63" s="2">
        <v>-102.0509644</v>
      </c>
      <c r="D63" s="3">
        <f t="shared" si="1"/>
        <v>-782608.6957</v>
      </c>
      <c r="E63" s="4">
        <f t="shared" si="2"/>
        <v>164.3750077</v>
      </c>
      <c r="F63" s="3">
        <f t="shared" si="3"/>
        <v>0.000210034732</v>
      </c>
      <c r="G63" s="3">
        <f t="shared" si="4"/>
        <v>0</v>
      </c>
      <c r="H63" s="2">
        <f t="shared" si="5"/>
        <v>0</v>
      </c>
      <c r="I63" s="3">
        <f t="shared" si="6"/>
        <v>0</v>
      </c>
      <c r="J63" s="3">
        <f t="shared" si="7"/>
        <v>0</v>
      </c>
      <c r="K63" s="3"/>
      <c r="L63" s="3">
        <f t="shared" si="8"/>
        <v>474.2526075</v>
      </c>
      <c r="M63" s="2">
        <f t="shared" si="9"/>
        <v>472.6193506</v>
      </c>
      <c r="N63" s="9">
        <f t="shared" si="10"/>
        <v>1.63325687</v>
      </c>
      <c r="O63" s="3"/>
      <c r="P63" s="10">
        <f t="shared" si="11"/>
        <v>164.3750077</v>
      </c>
      <c r="Q63" s="9">
        <f t="shared" si="12"/>
        <v>474.2526075</v>
      </c>
      <c r="R63" s="2"/>
      <c r="S63" s="14">
        <f t="shared" si="13"/>
        <v>1.499813468</v>
      </c>
    </row>
    <row r="64">
      <c r="A64" s="11">
        <v>52.0</v>
      </c>
      <c r="B64" s="11">
        <v>1.41962173913043E9</v>
      </c>
      <c r="C64" s="2">
        <v>-102.1013641</v>
      </c>
      <c r="D64" s="3">
        <f t="shared" si="1"/>
        <v>-778260.8696</v>
      </c>
      <c r="E64" s="4">
        <f t="shared" si="2"/>
        <v>163.4567115</v>
      </c>
      <c r="F64" s="3">
        <f t="shared" si="3"/>
        <v>0.0002100281768</v>
      </c>
      <c r="G64" s="3">
        <f t="shared" si="4"/>
        <v>0</v>
      </c>
      <c r="H64" s="2">
        <f t="shared" si="5"/>
        <v>0</v>
      </c>
      <c r="I64" s="3">
        <f t="shared" si="6"/>
        <v>0</v>
      </c>
      <c r="J64" s="3">
        <f t="shared" si="7"/>
        <v>0</v>
      </c>
      <c r="K64" s="3"/>
      <c r="L64" s="3">
        <f t="shared" si="8"/>
        <v>468.7807369</v>
      </c>
      <c r="M64" s="2">
        <f t="shared" si="9"/>
        <v>472.5336138</v>
      </c>
      <c r="N64" s="9">
        <f t="shared" si="10"/>
        <v>-3.752876856</v>
      </c>
      <c r="O64" s="3"/>
      <c r="P64" s="10">
        <f t="shared" si="11"/>
        <v>163.4567115</v>
      </c>
      <c r="Q64" s="9">
        <f t="shared" si="12"/>
        <v>468.7807369</v>
      </c>
      <c r="R64" s="2"/>
      <c r="S64" s="14">
        <f t="shared" si="13"/>
        <v>-3.446252296</v>
      </c>
    </row>
    <row r="65">
      <c r="A65" s="11">
        <v>53.0</v>
      </c>
      <c r="B65" s="11">
        <v>1.41962608695652E9</v>
      </c>
      <c r="C65" s="2">
        <v>-102.0643387</v>
      </c>
      <c r="D65" s="3">
        <f t="shared" si="1"/>
        <v>-773913.0435</v>
      </c>
      <c r="E65" s="4">
        <f t="shared" si="2"/>
        <v>162.5384154</v>
      </c>
      <c r="F65" s="3">
        <f t="shared" si="3"/>
        <v>0.000210021548</v>
      </c>
      <c r="G65" s="3">
        <f t="shared" si="4"/>
        <v>0</v>
      </c>
      <c r="H65" s="2">
        <f t="shared" si="5"/>
        <v>0</v>
      </c>
      <c r="I65" s="3">
        <f t="shared" si="6"/>
        <v>0</v>
      </c>
      <c r="J65" s="3">
        <f t="shared" si="7"/>
        <v>0</v>
      </c>
      <c r="K65" s="3"/>
      <c r="L65" s="3">
        <f t="shared" si="8"/>
        <v>472.7943711</v>
      </c>
      <c r="M65" s="2">
        <f t="shared" si="9"/>
        <v>472.4481955</v>
      </c>
      <c r="N65" s="9">
        <f t="shared" si="10"/>
        <v>0.3461755796</v>
      </c>
      <c r="O65" s="3"/>
      <c r="P65" s="10">
        <f t="shared" si="11"/>
        <v>162.5384154</v>
      </c>
      <c r="Q65" s="9">
        <f t="shared" si="12"/>
        <v>472.7943711</v>
      </c>
      <c r="R65" s="2"/>
      <c r="S65" s="14">
        <f t="shared" si="13"/>
        <v>0.317891696</v>
      </c>
    </row>
    <row r="66">
      <c r="A66" s="11">
        <v>54.0</v>
      </c>
      <c r="B66" s="11">
        <v>1.4196304347826E9</v>
      </c>
      <c r="C66" s="2">
        <v>-102.0440292</v>
      </c>
      <c r="D66" s="3">
        <f t="shared" si="1"/>
        <v>-769565.2174</v>
      </c>
      <c r="E66" s="4">
        <f t="shared" si="2"/>
        <v>161.6201193</v>
      </c>
      <c r="F66" s="3">
        <f t="shared" si="3"/>
        <v>0.0002100148442</v>
      </c>
      <c r="G66" s="3">
        <f t="shared" si="4"/>
        <v>0</v>
      </c>
      <c r="H66" s="2">
        <f t="shared" si="5"/>
        <v>0</v>
      </c>
      <c r="I66" s="3">
        <f t="shared" si="6"/>
        <v>0</v>
      </c>
      <c r="J66" s="3">
        <f t="shared" si="7"/>
        <v>0</v>
      </c>
      <c r="K66" s="3"/>
      <c r="L66" s="3">
        <f t="shared" si="8"/>
        <v>475.0105412</v>
      </c>
      <c r="M66" s="2">
        <f t="shared" si="9"/>
        <v>472.3630928</v>
      </c>
      <c r="N66" s="9">
        <f t="shared" si="10"/>
        <v>2.647448357</v>
      </c>
      <c r="O66" s="3"/>
      <c r="P66" s="10">
        <f t="shared" si="11"/>
        <v>161.6201193</v>
      </c>
      <c r="Q66" s="9">
        <f t="shared" si="12"/>
        <v>475.0105412</v>
      </c>
      <c r="R66" s="2"/>
      <c r="S66" s="14">
        <f t="shared" si="13"/>
        <v>2.431141588</v>
      </c>
    </row>
    <row r="67">
      <c r="A67" s="11">
        <v>55.0</v>
      </c>
      <c r="B67" s="11">
        <v>1.41963478260869E9</v>
      </c>
      <c r="C67" s="2">
        <v>-102.0979309</v>
      </c>
      <c r="D67" s="3">
        <f t="shared" si="1"/>
        <v>-765217.3913</v>
      </c>
      <c r="E67" s="4">
        <f t="shared" si="2"/>
        <v>160.7018231</v>
      </c>
      <c r="F67" s="3">
        <f t="shared" si="3"/>
        <v>0.0002100080643</v>
      </c>
      <c r="G67" s="3">
        <f t="shared" si="4"/>
        <v>0</v>
      </c>
      <c r="H67" s="2">
        <f t="shared" si="5"/>
        <v>0</v>
      </c>
      <c r="I67" s="3">
        <f t="shared" si="6"/>
        <v>0</v>
      </c>
      <c r="J67" s="3">
        <f t="shared" si="7"/>
        <v>0</v>
      </c>
      <c r="K67" s="3"/>
      <c r="L67" s="3">
        <f t="shared" si="8"/>
        <v>469.1514656</v>
      </c>
      <c r="M67" s="2">
        <f t="shared" si="9"/>
        <v>472.2783025</v>
      </c>
      <c r="N67" s="9">
        <f t="shared" si="10"/>
        <v>-3.126836933</v>
      </c>
      <c r="O67" s="3"/>
      <c r="P67" s="10">
        <f t="shared" si="11"/>
        <v>160.7018231</v>
      </c>
      <c r="Q67" s="9">
        <f t="shared" si="12"/>
        <v>469.1514656</v>
      </c>
      <c r="R67" s="2"/>
      <c r="S67" s="14">
        <f t="shared" si="13"/>
        <v>-2.871362264</v>
      </c>
    </row>
    <row r="68">
      <c r="A68" s="11">
        <v>56.0</v>
      </c>
      <c r="B68" s="11">
        <v>1.41963913043478E9</v>
      </c>
      <c r="C68" s="2">
        <v>-102.1195526</v>
      </c>
      <c r="D68" s="3">
        <f t="shared" si="1"/>
        <v>-760869.5652</v>
      </c>
      <c r="E68" s="4">
        <f t="shared" si="2"/>
        <v>159.783527</v>
      </c>
      <c r="F68" s="3">
        <f t="shared" si="3"/>
        <v>0.0002100012069</v>
      </c>
      <c r="G68" s="3">
        <f t="shared" si="4"/>
        <v>0</v>
      </c>
      <c r="H68" s="2">
        <f t="shared" si="5"/>
        <v>0</v>
      </c>
      <c r="I68" s="3">
        <f t="shared" si="6"/>
        <v>0</v>
      </c>
      <c r="J68" s="3">
        <f t="shared" si="7"/>
        <v>0</v>
      </c>
      <c r="K68" s="3"/>
      <c r="L68" s="3">
        <f t="shared" si="8"/>
        <v>466.8215619</v>
      </c>
      <c r="M68" s="2">
        <f t="shared" si="9"/>
        <v>472.1938215</v>
      </c>
      <c r="N68" s="9">
        <f t="shared" si="10"/>
        <v>-5.372259563</v>
      </c>
      <c r="O68" s="3"/>
      <c r="P68" s="10">
        <f t="shared" ref="P68:P123" si="14">-((B418-$B$4)/$B$4)*(3*10^5)</f>
        <v>-160.7018231</v>
      </c>
      <c r="Q68" s="9">
        <f t="shared" ref="Q68:Q123" si="15">(1/(2*$K$13))*(I417)</f>
        <v>437.6235425</v>
      </c>
      <c r="R68" s="2"/>
      <c r="S68" s="14">
        <f t="shared" si="13"/>
        <v>-4.93332517</v>
      </c>
    </row>
    <row r="69">
      <c r="A69" s="11">
        <v>57.0</v>
      </c>
      <c r="B69" s="11">
        <v>1.41964347826087E9</v>
      </c>
      <c r="C69" s="2">
        <v>-102.0227661</v>
      </c>
      <c r="D69" s="3">
        <f t="shared" si="1"/>
        <v>-756521.7391</v>
      </c>
      <c r="E69" s="4">
        <f t="shared" si="2"/>
        <v>158.8652309</v>
      </c>
      <c r="F69" s="3">
        <f t="shared" si="3"/>
        <v>0.0002099942707</v>
      </c>
      <c r="G69" s="3">
        <f t="shared" si="4"/>
        <v>0</v>
      </c>
      <c r="H69" s="2">
        <f t="shared" si="5"/>
        <v>0</v>
      </c>
      <c r="I69" s="3">
        <f t="shared" si="6"/>
        <v>0</v>
      </c>
      <c r="J69" s="3">
        <f t="shared" si="7"/>
        <v>0</v>
      </c>
      <c r="K69" s="3"/>
      <c r="L69" s="3">
        <f t="shared" si="8"/>
        <v>477.3418999</v>
      </c>
      <c r="M69" s="2">
        <f t="shared" si="9"/>
        <v>472.1096466</v>
      </c>
      <c r="N69" s="9">
        <f t="shared" si="10"/>
        <v>5.23225338</v>
      </c>
      <c r="O69" s="3"/>
      <c r="P69" s="10">
        <f t="shared" si="14"/>
        <v>-161.6201193</v>
      </c>
      <c r="Q69" s="9">
        <f t="shared" si="15"/>
        <v>442.9799067</v>
      </c>
      <c r="R69" s="2"/>
      <c r="S69" s="14">
        <f t="shared" si="13"/>
        <v>4.804758044</v>
      </c>
    </row>
    <row r="70">
      <c r="A70" s="11">
        <v>58.0</v>
      </c>
      <c r="B70" s="11">
        <v>1.41964782608695E9</v>
      </c>
      <c r="C70" s="2">
        <v>-102.0569458</v>
      </c>
      <c r="D70" s="3">
        <f t="shared" si="1"/>
        <v>-752173.913</v>
      </c>
      <c r="E70" s="4">
        <f t="shared" si="2"/>
        <v>157.9469347</v>
      </c>
      <c r="F70" s="3">
        <f t="shared" si="3"/>
        <v>0.0002099872543</v>
      </c>
      <c r="G70" s="3">
        <f t="shared" si="4"/>
        <v>0</v>
      </c>
      <c r="H70" s="2">
        <f t="shared" si="5"/>
        <v>0</v>
      </c>
      <c r="I70" s="3">
        <f t="shared" si="6"/>
        <v>0</v>
      </c>
      <c r="J70" s="3">
        <f t="shared" si="7"/>
        <v>0</v>
      </c>
      <c r="K70" s="3"/>
      <c r="L70" s="3">
        <f t="shared" si="8"/>
        <v>473.599884</v>
      </c>
      <c r="M70" s="2">
        <f t="shared" si="9"/>
        <v>472.0257746</v>
      </c>
      <c r="N70" s="9">
        <f t="shared" si="10"/>
        <v>1.574109435</v>
      </c>
      <c r="O70" s="3"/>
      <c r="P70" s="10">
        <f t="shared" si="14"/>
        <v>-162.5384154</v>
      </c>
      <c r="Q70" s="9">
        <f t="shared" si="15"/>
        <v>440.8752281</v>
      </c>
      <c r="R70" s="2"/>
      <c r="S70" s="14">
        <f t="shared" si="13"/>
        <v>1.445498607</v>
      </c>
    </row>
    <row r="71">
      <c r="A71" s="11">
        <v>59.0</v>
      </c>
      <c r="B71" s="11">
        <v>1.41965217391304E9</v>
      </c>
      <c r="C71" s="2">
        <v>-102.0959778</v>
      </c>
      <c r="D71" s="3">
        <f t="shared" si="1"/>
        <v>-747826.087</v>
      </c>
      <c r="E71" s="4">
        <f t="shared" si="2"/>
        <v>157.0286386</v>
      </c>
      <c r="F71" s="3">
        <f t="shared" si="3"/>
        <v>0.0002099801563</v>
      </c>
      <c r="G71" s="3">
        <f t="shared" si="4"/>
        <v>0</v>
      </c>
      <c r="H71" s="2">
        <f t="shared" si="5"/>
        <v>0</v>
      </c>
      <c r="I71" s="3">
        <f t="shared" si="6"/>
        <v>0</v>
      </c>
      <c r="J71" s="3">
        <f t="shared" si="7"/>
        <v>0</v>
      </c>
      <c r="K71" s="3"/>
      <c r="L71" s="3">
        <f t="shared" si="8"/>
        <v>469.3624989</v>
      </c>
      <c r="M71" s="2">
        <f t="shared" si="9"/>
        <v>471.9422025</v>
      </c>
      <c r="N71" s="9">
        <f t="shared" si="10"/>
        <v>-2.579703626</v>
      </c>
      <c r="O71" s="3"/>
      <c r="P71" s="10">
        <f t="shared" si="14"/>
        <v>-163.4567115</v>
      </c>
      <c r="Q71" s="9">
        <f t="shared" si="15"/>
        <v>430.333789</v>
      </c>
      <c r="R71" s="2"/>
      <c r="S71" s="14">
        <f t="shared" si="13"/>
        <v>-2.368931858</v>
      </c>
    </row>
    <row r="72">
      <c r="A72" s="11">
        <v>60.0</v>
      </c>
      <c r="B72" s="11">
        <v>1.41965652173913E9</v>
      </c>
      <c r="C72" s="2">
        <v>-102.1112137</v>
      </c>
      <c r="D72" s="3">
        <f t="shared" si="1"/>
        <v>-743478.2609</v>
      </c>
      <c r="E72" s="4">
        <f t="shared" si="2"/>
        <v>156.1103425</v>
      </c>
      <c r="F72" s="3">
        <f t="shared" si="3"/>
        <v>0.0002099729752</v>
      </c>
      <c r="G72" s="3">
        <f t="shared" si="4"/>
        <v>0</v>
      </c>
      <c r="H72" s="2">
        <f t="shared" si="5"/>
        <v>0</v>
      </c>
      <c r="I72" s="3">
        <f t="shared" si="6"/>
        <v>0</v>
      </c>
      <c r="J72" s="3">
        <f t="shared" si="7"/>
        <v>0</v>
      </c>
      <c r="K72" s="3"/>
      <c r="L72" s="3">
        <f t="shared" si="8"/>
        <v>467.7187684</v>
      </c>
      <c r="M72" s="2">
        <f t="shared" si="9"/>
        <v>471.8589271</v>
      </c>
      <c r="N72" s="9">
        <f t="shared" si="10"/>
        <v>-4.140158728</v>
      </c>
      <c r="O72" s="3"/>
      <c r="P72" s="10">
        <f t="shared" si="14"/>
        <v>-164.3750077</v>
      </c>
      <c r="Q72" s="9">
        <f t="shared" si="15"/>
        <v>435.0656018</v>
      </c>
      <c r="R72" s="2"/>
      <c r="S72" s="14">
        <f t="shared" si="13"/>
        <v>-3.801891748</v>
      </c>
    </row>
    <row r="73">
      <c r="A73" s="11">
        <v>61.0</v>
      </c>
      <c r="B73" s="11">
        <v>1.41966086956521E9</v>
      </c>
      <c r="C73" s="2">
        <v>-102.0212708</v>
      </c>
      <c r="D73" s="3">
        <f t="shared" si="1"/>
        <v>-739130.4348</v>
      </c>
      <c r="E73" s="4">
        <f t="shared" si="2"/>
        <v>155.1920463</v>
      </c>
      <c r="F73" s="3">
        <f t="shared" si="3"/>
        <v>0.0002099657097</v>
      </c>
      <c r="G73" s="3">
        <f t="shared" si="4"/>
        <v>0</v>
      </c>
      <c r="H73" s="2">
        <f t="shared" si="5"/>
        <v>0</v>
      </c>
      <c r="I73" s="3">
        <f t="shared" si="6"/>
        <v>0</v>
      </c>
      <c r="J73" s="3">
        <f t="shared" si="7"/>
        <v>0</v>
      </c>
      <c r="K73" s="3"/>
      <c r="L73" s="3">
        <f t="shared" si="8"/>
        <v>477.5062797</v>
      </c>
      <c r="M73" s="2">
        <f t="shared" si="9"/>
        <v>471.7759452</v>
      </c>
      <c r="N73" s="9">
        <f t="shared" si="10"/>
        <v>5.730334469</v>
      </c>
      <c r="O73" s="3"/>
      <c r="P73" s="10">
        <f t="shared" si="14"/>
        <v>-165.2933038</v>
      </c>
      <c r="Q73" s="9">
        <f t="shared" si="15"/>
        <v>435.5986422</v>
      </c>
      <c r="R73" s="2"/>
      <c r="S73" s="14">
        <f t="shared" si="13"/>
        <v>5.262143983</v>
      </c>
    </row>
    <row r="74">
      <c r="A74" s="11">
        <v>62.0</v>
      </c>
      <c r="B74" s="11">
        <v>1.4196652173913E9</v>
      </c>
      <c r="C74" s="2">
        <v>-102.1319962</v>
      </c>
      <c r="D74" s="3">
        <f t="shared" si="1"/>
        <v>-734782.6087</v>
      </c>
      <c r="E74" s="4">
        <f t="shared" si="2"/>
        <v>154.2737502</v>
      </c>
      <c r="F74" s="3">
        <f t="shared" si="3"/>
        <v>0.0002099583583</v>
      </c>
      <c r="G74" s="3">
        <f t="shared" si="4"/>
        <v>0</v>
      </c>
      <c r="H74" s="2">
        <f t="shared" si="5"/>
        <v>0</v>
      </c>
      <c r="I74" s="3">
        <f t="shared" si="6"/>
        <v>0</v>
      </c>
      <c r="J74" s="3">
        <f t="shared" si="7"/>
        <v>0</v>
      </c>
      <c r="K74" s="3"/>
      <c r="L74" s="3">
        <f t="shared" si="8"/>
        <v>465.4859183</v>
      </c>
      <c r="M74" s="2">
        <f t="shared" si="9"/>
        <v>471.6932538</v>
      </c>
      <c r="N74" s="9">
        <f t="shared" si="10"/>
        <v>-6.207335543</v>
      </c>
      <c r="O74" s="3"/>
      <c r="P74" s="10">
        <f t="shared" si="14"/>
        <v>-166.2115999</v>
      </c>
      <c r="Q74" s="9">
        <f t="shared" si="15"/>
        <v>435.5282471</v>
      </c>
      <c r="R74" s="2"/>
      <c r="S74" s="14">
        <f t="shared" si="13"/>
        <v>-5.700172211</v>
      </c>
    </row>
    <row r="75">
      <c r="A75" s="11">
        <v>63.0</v>
      </c>
      <c r="B75" s="11">
        <v>1.41966956521739E9</v>
      </c>
      <c r="C75" s="2">
        <v>-102.0023575</v>
      </c>
      <c r="D75" s="3">
        <f t="shared" si="1"/>
        <v>-730434.7826</v>
      </c>
      <c r="E75" s="4">
        <f t="shared" si="2"/>
        <v>153.3554541</v>
      </c>
      <c r="F75" s="3">
        <f t="shared" si="3"/>
        <v>0.0002099509193</v>
      </c>
      <c r="G75" s="3">
        <f t="shared" si="4"/>
        <v>0</v>
      </c>
      <c r="H75" s="2">
        <f t="shared" si="5"/>
        <v>0</v>
      </c>
      <c r="I75" s="3">
        <f t="shared" si="6"/>
        <v>0</v>
      </c>
      <c r="J75" s="3">
        <f t="shared" si="7"/>
        <v>0</v>
      </c>
      <c r="K75" s="3"/>
      <c r="L75" s="3">
        <f t="shared" si="8"/>
        <v>479.5903295</v>
      </c>
      <c r="M75" s="2">
        <f t="shared" si="9"/>
        <v>471.6108497</v>
      </c>
      <c r="N75" s="9">
        <f t="shared" si="10"/>
        <v>7.979479832</v>
      </c>
      <c r="O75" s="3"/>
      <c r="P75" s="10">
        <f t="shared" si="14"/>
        <v>-167.129896</v>
      </c>
      <c r="Q75" s="9">
        <f t="shared" si="15"/>
        <v>442.8141879</v>
      </c>
      <c r="R75" s="2"/>
      <c r="S75" s="14">
        <f t="shared" si="13"/>
        <v>7.327525472</v>
      </c>
    </row>
    <row r="76">
      <c r="A76" s="11">
        <v>64.0</v>
      </c>
      <c r="B76" s="11">
        <v>1.41967391304347E9</v>
      </c>
      <c r="C76" s="2">
        <v>-102.0796051</v>
      </c>
      <c r="D76" s="3">
        <f t="shared" si="1"/>
        <v>-726086.9565</v>
      </c>
      <c r="E76" s="4">
        <f t="shared" si="2"/>
        <v>152.4371579</v>
      </c>
      <c r="F76" s="3">
        <f t="shared" si="3"/>
        <v>0.0002099433912</v>
      </c>
      <c r="G76" s="3">
        <f t="shared" si="4"/>
        <v>0</v>
      </c>
      <c r="H76" s="2">
        <f t="shared" si="5"/>
        <v>0</v>
      </c>
      <c r="I76" s="3">
        <f t="shared" si="6"/>
        <v>0</v>
      </c>
      <c r="J76" s="3">
        <f t="shared" si="7"/>
        <v>0</v>
      </c>
      <c r="K76" s="3"/>
      <c r="L76" s="3">
        <f t="shared" si="8"/>
        <v>471.1353133</v>
      </c>
      <c r="M76" s="2">
        <f t="shared" si="9"/>
        <v>471.5287297</v>
      </c>
      <c r="N76" s="9">
        <f t="shared" si="10"/>
        <v>-0.3934164339</v>
      </c>
      <c r="O76" s="3"/>
      <c r="P76" s="10">
        <f t="shared" si="14"/>
        <v>-168.0481922</v>
      </c>
      <c r="Q76" s="9">
        <f t="shared" si="15"/>
        <v>439.8857541</v>
      </c>
      <c r="R76" s="2"/>
      <c r="S76" s="14">
        <f t="shared" si="13"/>
        <v>-0.3612727898</v>
      </c>
    </row>
    <row r="77">
      <c r="A77" s="11">
        <v>65.0</v>
      </c>
      <c r="B77" s="11">
        <v>1.41967826086956E9</v>
      </c>
      <c r="C77" s="2">
        <v>-102.0281601</v>
      </c>
      <c r="D77" s="3">
        <f t="shared" si="1"/>
        <v>-721739.1304</v>
      </c>
      <c r="E77" s="4">
        <f t="shared" si="2"/>
        <v>151.5188618</v>
      </c>
      <c r="F77" s="3">
        <f t="shared" si="3"/>
        <v>0.0002099357724</v>
      </c>
      <c r="G77" s="3">
        <f t="shared" si="4"/>
        <v>0</v>
      </c>
      <c r="H77" s="2">
        <f t="shared" si="5"/>
        <v>0</v>
      </c>
      <c r="I77" s="3">
        <f t="shared" si="6"/>
        <v>0</v>
      </c>
      <c r="J77" s="3">
        <f t="shared" si="7"/>
        <v>0</v>
      </c>
      <c r="K77" s="3"/>
      <c r="L77" s="3">
        <f t="shared" si="8"/>
        <v>476.7494024</v>
      </c>
      <c r="M77" s="2">
        <f t="shared" si="9"/>
        <v>471.4468907</v>
      </c>
      <c r="N77" s="9">
        <f t="shared" si="10"/>
        <v>5.302511704</v>
      </c>
      <c r="O77" s="3"/>
      <c r="P77" s="10">
        <f t="shared" si="14"/>
        <v>-168.9664883</v>
      </c>
      <c r="Q77" s="9">
        <f t="shared" si="15"/>
        <v>434.4935236</v>
      </c>
      <c r="R77" s="2"/>
      <c r="S77" s="14">
        <f t="shared" si="13"/>
        <v>4.869275981</v>
      </c>
    </row>
    <row r="78">
      <c r="A78" s="11">
        <v>66.0</v>
      </c>
      <c r="B78" s="11">
        <v>1.41968260869565E9</v>
      </c>
      <c r="C78" s="2">
        <v>-102.0030823</v>
      </c>
      <c r="D78" s="3">
        <f t="shared" si="1"/>
        <v>-717391.3043</v>
      </c>
      <c r="E78" s="4">
        <f t="shared" si="2"/>
        <v>150.6005657</v>
      </c>
      <c r="F78" s="3">
        <f t="shared" si="3"/>
        <v>0.0002099280612</v>
      </c>
      <c r="G78" s="3">
        <f t="shared" si="4"/>
        <v>0</v>
      </c>
      <c r="H78" s="2">
        <f t="shared" si="5"/>
        <v>0</v>
      </c>
      <c r="I78" s="3">
        <f t="shared" si="6"/>
        <v>0</v>
      </c>
      <c r="J78" s="3">
        <f t="shared" si="7"/>
        <v>0</v>
      </c>
      <c r="K78" s="3"/>
      <c r="L78" s="3">
        <f t="shared" si="8"/>
        <v>479.5102967</v>
      </c>
      <c r="M78" s="2">
        <f t="shared" si="9"/>
        <v>471.3653297</v>
      </c>
      <c r="N78" s="9">
        <f t="shared" si="10"/>
        <v>8.14496705</v>
      </c>
      <c r="O78" s="3"/>
      <c r="P78" s="10">
        <f t="shared" si="14"/>
        <v>-169.8847844</v>
      </c>
      <c r="Q78" s="9">
        <f t="shared" si="15"/>
        <v>432.2620685</v>
      </c>
      <c r="R78" s="2"/>
      <c r="S78" s="14">
        <f t="shared" si="13"/>
        <v>7.479491744</v>
      </c>
    </row>
    <row r="79">
      <c r="A79" s="11">
        <v>67.0</v>
      </c>
      <c r="B79" s="11">
        <v>1.41968695652173E9</v>
      </c>
      <c r="C79" s="2">
        <v>-102.0771866</v>
      </c>
      <c r="D79" s="3">
        <f t="shared" si="1"/>
        <v>-713043.4783</v>
      </c>
      <c r="E79" s="4">
        <f t="shared" si="2"/>
        <v>149.6822695</v>
      </c>
      <c r="F79" s="3">
        <f t="shared" si="3"/>
        <v>0.0002099202561</v>
      </c>
      <c r="G79" s="3">
        <f t="shared" si="4"/>
        <v>0</v>
      </c>
      <c r="H79" s="2">
        <f t="shared" si="5"/>
        <v>0</v>
      </c>
      <c r="I79" s="3">
        <f t="shared" si="6"/>
        <v>0</v>
      </c>
      <c r="J79" s="3">
        <f t="shared" si="7"/>
        <v>0</v>
      </c>
      <c r="K79" s="3"/>
      <c r="L79" s="3">
        <f t="shared" si="8"/>
        <v>471.3977523</v>
      </c>
      <c r="M79" s="2">
        <f t="shared" si="9"/>
        <v>471.2840433</v>
      </c>
      <c r="N79" s="9">
        <f t="shared" si="10"/>
        <v>0.1137089564</v>
      </c>
      <c r="O79" s="3"/>
      <c r="P79" s="10">
        <f t="shared" si="14"/>
        <v>-170.8030806</v>
      </c>
      <c r="Q79" s="9">
        <f t="shared" si="15"/>
        <v>437.9296271</v>
      </c>
      <c r="R79" s="2"/>
      <c r="S79" s="14">
        <f t="shared" si="13"/>
        <v>0.104418495</v>
      </c>
    </row>
    <row r="80">
      <c r="A80" s="11">
        <v>68.0</v>
      </c>
      <c r="B80" s="11">
        <v>1.41969130434782E9</v>
      </c>
      <c r="C80" s="2">
        <v>-102.0899582</v>
      </c>
      <c r="D80" s="3">
        <f t="shared" si="1"/>
        <v>-708695.6522</v>
      </c>
      <c r="E80" s="4">
        <f t="shared" si="2"/>
        <v>148.7639734</v>
      </c>
      <c r="F80" s="3">
        <f t="shared" si="3"/>
        <v>0.0002099123551</v>
      </c>
      <c r="G80" s="3">
        <f t="shared" si="4"/>
        <v>0</v>
      </c>
      <c r="H80" s="2">
        <f t="shared" si="5"/>
        <v>0</v>
      </c>
      <c r="I80" s="3">
        <f t="shared" si="6"/>
        <v>0</v>
      </c>
      <c r="J80" s="3">
        <f t="shared" si="7"/>
        <v>0</v>
      </c>
      <c r="K80" s="3"/>
      <c r="L80" s="3">
        <f t="shared" si="8"/>
        <v>470.0135165</v>
      </c>
      <c r="M80" s="2">
        <f t="shared" si="9"/>
        <v>471.2030286</v>
      </c>
      <c r="N80" s="9">
        <f t="shared" si="10"/>
        <v>-1.189512111</v>
      </c>
      <c r="O80" s="3"/>
      <c r="P80" s="10">
        <f t="shared" si="14"/>
        <v>-171.7213767</v>
      </c>
      <c r="Q80" s="9">
        <f t="shared" si="15"/>
        <v>434.5958125</v>
      </c>
      <c r="R80" s="2"/>
      <c r="S80" s="14">
        <f t="shared" si="13"/>
        <v>-1.092324372</v>
      </c>
    </row>
    <row r="81">
      <c r="A81" s="11">
        <v>69.0</v>
      </c>
      <c r="B81" s="11">
        <v>1.41969565217391E9</v>
      </c>
      <c r="C81" s="2">
        <v>-102.0704956</v>
      </c>
      <c r="D81" s="3">
        <f t="shared" si="1"/>
        <v>-704347.8261</v>
      </c>
      <c r="E81" s="4">
        <f t="shared" si="2"/>
        <v>147.8456773</v>
      </c>
      <c r="F81" s="3">
        <f t="shared" si="3"/>
        <v>0.0002099043566</v>
      </c>
      <c r="G81" s="3">
        <f t="shared" si="4"/>
        <v>0</v>
      </c>
      <c r="H81" s="2">
        <f t="shared" si="5"/>
        <v>0</v>
      </c>
      <c r="I81" s="3">
        <f t="shared" si="6"/>
        <v>0</v>
      </c>
      <c r="J81" s="3">
        <f t="shared" si="7"/>
        <v>0</v>
      </c>
      <c r="K81" s="3"/>
      <c r="L81" s="3">
        <f t="shared" si="8"/>
        <v>472.1245755</v>
      </c>
      <c r="M81" s="2">
        <f t="shared" si="9"/>
        <v>471.1222823</v>
      </c>
      <c r="N81" s="9">
        <f t="shared" si="10"/>
        <v>1.002293243</v>
      </c>
      <c r="O81" s="3"/>
      <c r="P81" s="10">
        <f t="shared" si="14"/>
        <v>-172.6396728</v>
      </c>
      <c r="Q81" s="9">
        <f t="shared" si="15"/>
        <v>430.2068066</v>
      </c>
      <c r="R81" s="2"/>
      <c r="S81" s="14">
        <f t="shared" si="13"/>
        <v>0.9204020069</v>
      </c>
    </row>
    <row r="82">
      <c r="A82" s="11">
        <v>70.0</v>
      </c>
      <c r="B82" s="11">
        <v>1.4197E9</v>
      </c>
      <c r="C82" s="2">
        <v>-102.094635</v>
      </c>
      <c r="D82" s="3">
        <f t="shared" si="1"/>
        <v>-700000</v>
      </c>
      <c r="E82" s="4">
        <f t="shared" si="2"/>
        <v>146.9273811</v>
      </c>
      <c r="F82" s="3">
        <f t="shared" si="3"/>
        <v>0.0002098962588</v>
      </c>
      <c r="G82" s="3">
        <f t="shared" si="4"/>
        <v>0</v>
      </c>
      <c r="H82" s="2">
        <f t="shared" si="5"/>
        <v>0</v>
      </c>
      <c r="I82" s="3">
        <f t="shared" si="6"/>
        <v>0</v>
      </c>
      <c r="J82" s="3">
        <f t="shared" si="7"/>
        <v>0</v>
      </c>
      <c r="K82" s="3"/>
      <c r="L82" s="3">
        <f t="shared" si="8"/>
        <v>469.507644</v>
      </c>
      <c r="M82" s="2">
        <f t="shared" si="9"/>
        <v>471.0418013</v>
      </c>
      <c r="N82" s="9">
        <f t="shared" si="10"/>
        <v>-1.534157313</v>
      </c>
      <c r="O82" s="3"/>
      <c r="P82" s="10">
        <f t="shared" si="14"/>
        <v>-173.557969</v>
      </c>
      <c r="Q82" s="9">
        <f t="shared" si="15"/>
        <v>434.9884118</v>
      </c>
      <c r="R82" s="2"/>
      <c r="S82" s="14">
        <f t="shared" si="13"/>
        <v>-1.408810728</v>
      </c>
    </row>
    <row r="83">
      <c r="A83" s="11">
        <v>71.0</v>
      </c>
      <c r="B83" s="11">
        <v>1.41970434782608E9</v>
      </c>
      <c r="C83" s="2">
        <v>-102.1011353</v>
      </c>
      <c r="D83" s="3">
        <f t="shared" si="1"/>
        <v>-695652.1739</v>
      </c>
      <c r="E83" s="4">
        <f t="shared" si="2"/>
        <v>146.009085</v>
      </c>
      <c r="F83" s="3">
        <f t="shared" si="3"/>
        <v>0.0002098880597</v>
      </c>
      <c r="G83" s="3">
        <f t="shared" si="4"/>
        <v>0</v>
      </c>
      <c r="H83" s="2">
        <f t="shared" si="5"/>
        <v>0</v>
      </c>
      <c r="I83" s="3">
        <f t="shared" si="6"/>
        <v>0</v>
      </c>
      <c r="J83" s="3">
        <f t="shared" si="7"/>
        <v>0</v>
      </c>
      <c r="K83" s="3"/>
      <c r="L83" s="3">
        <f t="shared" si="8"/>
        <v>468.8054344</v>
      </c>
      <c r="M83" s="2">
        <f t="shared" si="9"/>
        <v>470.9615826</v>
      </c>
      <c r="N83" s="9">
        <f t="shared" si="10"/>
        <v>-2.156148181</v>
      </c>
      <c r="O83" s="3"/>
      <c r="P83" s="10">
        <f t="shared" si="14"/>
        <v>-174.4762651</v>
      </c>
      <c r="Q83" s="9">
        <f t="shared" si="15"/>
        <v>436.7165469</v>
      </c>
      <c r="R83" s="2"/>
      <c r="S83" s="14">
        <f t="shared" si="13"/>
        <v>-1.979982537</v>
      </c>
    </row>
    <row r="84">
      <c r="A84" s="11">
        <v>72.0</v>
      </c>
      <c r="B84" s="11">
        <v>1.41970869565217E9</v>
      </c>
      <c r="C84" s="2">
        <v>-102.0546646</v>
      </c>
      <c r="D84" s="3">
        <f t="shared" si="1"/>
        <v>-691304.3478</v>
      </c>
      <c r="E84" s="4">
        <f t="shared" si="2"/>
        <v>145.0907889</v>
      </c>
      <c r="F84" s="3">
        <f t="shared" si="3"/>
        <v>0.0002098797575</v>
      </c>
      <c r="G84" s="3">
        <f t="shared" si="4"/>
        <v>0</v>
      </c>
      <c r="H84" s="2">
        <f t="shared" si="5"/>
        <v>0</v>
      </c>
      <c r="I84" s="3">
        <f t="shared" si="6"/>
        <v>0</v>
      </c>
      <c r="J84" s="3">
        <f t="shared" si="7"/>
        <v>0</v>
      </c>
      <c r="K84" s="3"/>
      <c r="L84" s="3">
        <f t="shared" si="8"/>
        <v>473.8487152</v>
      </c>
      <c r="M84" s="2">
        <f t="shared" si="9"/>
        <v>470.8816229</v>
      </c>
      <c r="N84" s="9">
        <f t="shared" si="10"/>
        <v>2.967092306</v>
      </c>
      <c r="O84" s="3"/>
      <c r="P84" s="10">
        <f t="shared" si="14"/>
        <v>-175.3945612</v>
      </c>
      <c r="Q84" s="9">
        <f t="shared" si="15"/>
        <v>438.4754146</v>
      </c>
      <c r="R84" s="2"/>
      <c r="S84" s="14">
        <f t="shared" si="13"/>
        <v>2.724669384</v>
      </c>
    </row>
    <row r="85">
      <c r="A85" s="11">
        <v>73.0</v>
      </c>
      <c r="B85" s="11">
        <v>1.41971304347826E9</v>
      </c>
      <c r="C85" s="2">
        <v>-102.0629578</v>
      </c>
      <c r="D85" s="3">
        <f t="shared" si="1"/>
        <v>-686956.5217</v>
      </c>
      <c r="E85" s="4">
        <f t="shared" si="2"/>
        <v>144.1724927</v>
      </c>
      <c r="F85" s="3">
        <f t="shared" si="3"/>
        <v>0.0002098713502</v>
      </c>
      <c r="G85" s="3">
        <f t="shared" si="4"/>
        <v>0</v>
      </c>
      <c r="H85" s="2">
        <f t="shared" si="5"/>
        <v>0</v>
      </c>
      <c r="I85" s="3">
        <f t="shared" si="6"/>
        <v>0</v>
      </c>
      <c r="J85" s="3">
        <f t="shared" si="7"/>
        <v>0</v>
      </c>
      <c r="K85" s="3"/>
      <c r="L85" s="3">
        <f t="shared" si="8"/>
        <v>472.9447266</v>
      </c>
      <c r="M85" s="2">
        <f t="shared" si="9"/>
        <v>470.8019191</v>
      </c>
      <c r="N85" s="9">
        <f t="shared" si="10"/>
        <v>2.142807531</v>
      </c>
      <c r="O85" s="3"/>
      <c r="P85" s="10">
        <f t="shared" si="14"/>
        <v>-176.3128574</v>
      </c>
      <c r="Q85" s="9">
        <f t="shared" si="15"/>
        <v>434.2142454</v>
      </c>
      <c r="R85" s="2"/>
      <c r="S85" s="14">
        <f t="shared" si="13"/>
        <v>1.967731869</v>
      </c>
    </row>
    <row r="86">
      <c r="A86" s="11">
        <v>74.0</v>
      </c>
      <c r="B86" s="11">
        <v>1.41971739130434E9</v>
      </c>
      <c r="C86" s="2">
        <v>-102.0920105</v>
      </c>
      <c r="D86" s="3">
        <f t="shared" si="1"/>
        <v>-682608.6957</v>
      </c>
      <c r="E86" s="4">
        <f t="shared" si="2"/>
        <v>143.2541966</v>
      </c>
      <c r="F86" s="3">
        <f t="shared" si="3"/>
        <v>0.0002098628358</v>
      </c>
      <c r="G86" s="3">
        <f t="shared" si="4"/>
        <v>0</v>
      </c>
      <c r="H86" s="2">
        <f t="shared" si="5"/>
        <v>0</v>
      </c>
      <c r="I86" s="3">
        <f t="shared" si="6"/>
        <v>0</v>
      </c>
      <c r="J86" s="3">
        <f t="shared" si="7"/>
        <v>0</v>
      </c>
      <c r="K86" s="3"/>
      <c r="L86" s="3">
        <f t="shared" si="8"/>
        <v>469.7914596</v>
      </c>
      <c r="M86" s="2">
        <f t="shared" si="9"/>
        <v>470.722468</v>
      </c>
      <c r="N86" s="9">
        <f t="shared" si="10"/>
        <v>-0.9310084807</v>
      </c>
      <c r="O86" s="3"/>
      <c r="P86" s="10">
        <f t="shared" si="14"/>
        <v>-177.2311535</v>
      </c>
      <c r="Q86" s="9">
        <f t="shared" si="15"/>
        <v>433.2891933</v>
      </c>
      <c r="R86" s="2"/>
      <c r="S86" s="14">
        <f t="shared" si="13"/>
        <v>-0.8549414874</v>
      </c>
    </row>
    <row r="87">
      <c r="A87" s="11">
        <v>75.0</v>
      </c>
      <c r="B87" s="11">
        <v>1.41972173913043E9</v>
      </c>
      <c r="C87" s="2">
        <v>-102.1157379</v>
      </c>
      <c r="D87" s="3">
        <f t="shared" si="1"/>
        <v>-678260.8696</v>
      </c>
      <c r="E87" s="4">
        <f t="shared" si="2"/>
        <v>142.3359005</v>
      </c>
      <c r="F87" s="3">
        <f t="shared" si="3"/>
        <v>0.0002098542122</v>
      </c>
      <c r="G87" s="3">
        <f t="shared" si="4"/>
        <v>0</v>
      </c>
      <c r="H87" s="2">
        <f t="shared" si="5"/>
        <v>0</v>
      </c>
      <c r="I87" s="3">
        <f t="shared" si="6"/>
        <v>0</v>
      </c>
      <c r="J87" s="3">
        <f t="shared" si="7"/>
        <v>0</v>
      </c>
      <c r="K87" s="3"/>
      <c r="L87" s="3">
        <f t="shared" si="8"/>
        <v>467.2317828</v>
      </c>
      <c r="M87" s="2">
        <f t="shared" si="9"/>
        <v>470.6432667</v>
      </c>
      <c r="N87" s="9">
        <f t="shared" si="10"/>
        <v>-3.411483872</v>
      </c>
      <c r="O87" s="3"/>
      <c r="P87" s="10">
        <f t="shared" si="14"/>
        <v>-178.1494496</v>
      </c>
      <c r="Q87" s="9">
        <f t="shared" si="15"/>
        <v>434.7607581</v>
      </c>
      <c r="R87" s="2"/>
      <c r="S87" s="14">
        <f t="shared" si="13"/>
        <v>-3.13275244</v>
      </c>
    </row>
    <row r="88">
      <c r="A88" s="11">
        <v>76.0</v>
      </c>
      <c r="B88" s="11">
        <v>1.41972608695652E9</v>
      </c>
      <c r="C88" s="2">
        <v>-102.0934448</v>
      </c>
      <c r="D88" s="3">
        <f t="shared" si="1"/>
        <v>-673913.0435</v>
      </c>
      <c r="E88" s="4">
        <f t="shared" si="2"/>
        <v>141.4176044</v>
      </c>
      <c r="F88" s="3">
        <f t="shared" si="3"/>
        <v>0.0002098454774</v>
      </c>
      <c r="G88" s="3">
        <f t="shared" si="4"/>
        <v>0</v>
      </c>
      <c r="H88" s="2">
        <f t="shared" si="5"/>
        <v>0</v>
      </c>
      <c r="I88" s="3">
        <f t="shared" si="6"/>
        <v>0</v>
      </c>
      <c r="J88" s="3">
        <f t="shared" si="7"/>
        <v>0</v>
      </c>
      <c r="K88" s="3"/>
      <c r="L88" s="3">
        <f t="shared" si="8"/>
        <v>469.636332</v>
      </c>
      <c r="M88" s="2">
        <f t="shared" si="9"/>
        <v>470.5643118</v>
      </c>
      <c r="N88" s="9">
        <f t="shared" si="10"/>
        <v>-0.9279798218</v>
      </c>
      <c r="O88" s="3"/>
      <c r="P88" s="10">
        <f t="shared" si="14"/>
        <v>-179.0677458</v>
      </c>
      <c r="Q88" s="9">
        <f t="shared" si="15"/>
        <v>438.5578483</v>
      </c>
      <c r="R88" s="2"/>
      <c r="S88" s="14">
        <f t="shared" si="13"/>
        <v>-0.8521602816</v>
      </c>
    </row>
    <row r="89">
      <c r="A89" s="11">
        <v>77.0</v>
      </c>
      <c r="B89" s="11">
        <v>1.4197304347826E9</v>
      </c>
      <c r="C89" s="2">
        <v>-102.0656586</v>
      </c>
      <c r="D89" s="3">
        <f t="shared" si="1"/>
        <v>-669565.2174</v>
      </c>
      <c r="E89" s="4">
        <f t="shared" si="2"/>
        <v>140.4993082</v>
      </c>
      <c r="F89" s="3">
        <f t="shared" si="3"/>
        <v>0.0002098366292</v>
      </c>
      <c r="G89" s="3">
        <f t="shared" si="4"/>
        <v>0</v>
      </c>
      <c r="H89" s="2">
        <f t="shared" si="5"/>
        <v>0</v>
      </c>
      <c r="I89" s="3">
        <f t="shared" si="6"/>
        <v>0</v>
      </c>
      <c r="J89" s="3">
        <f t="shared" si="7"/>
        <v>0</v>
      </c>
      <c r="K89" s="3"/>
      <c r="L89" s="3">
        <f t="shared" si="8"/>
        <v>472.6507021</v>
      </c>
      <c r="M89" s="2">
        <f t="shared" si="9"/>
        <v>470.4856003</v>
      </c>
      <c r="N89" s="9">
        <f t="shared" si="10"/>
        <v>2.165101872</v>
      </c>
      <c r="O89" s="3"/>
      <c r="P89" s="10">
        <f t="shared" si="14"/>
        <v>-179.9860419</v>
      </c>
      <c r="Q89" s="9">
        <f t="shared" si="15"/>
        <v>428.3900226</v>
      </c>
      <c r="R89" s="2"/>
      <c r="S89" s="14">
        <f t="shared" si="13"/>
        <v>1.988204676</v>
      </c>
    </row>
    <row r="90">
      <c r="A90" s="11">
        <v>78.0</v>
      </c>
      <c r="B90" s="11">
        <v>1.41973478260869E9</v>
      </c>
      <c r="C90" s="2">
        <v>-102.0814285</v>
      </c>
      <c r="D90" s="3">
        <f t="shared" si="1"/>
        <v>-665217.3913</v>
      </c>
      <c r="E90" s="4">
        <f t="shared" si="2"/>
        <v>139.5810121</v>
      </c>
      <c r="F90" s="3">
        <f t="shared" si="3"/>
        <v>0.0002098276652</v>
      </c>
      <c r="G90" s="3">
        <f t="shared" si="4"/>
        <v>0</v>
      </c>
      <c r="H90" s="2">
        <f t="shared" si="5"/>
        <v>0</v>
      </c>
      <c r="I90" s="3">
        <f t="shared" si="6"/>
        <v>0</v>
      </c>
      <c r="J90" s="3">
        <f t="shared" si="7"/>
        <v>0</v>
      </c>
      <c r="K90" s="3"/>
      <c r="L90" s="3">
        <f t="shared" si="8"/>
        <v>470.937547</v>
      </c>
      <c r="M90" s="2">
        <f t="shared" si="9"/>
        <v>470.407129</v>
      </c>
      <c r="N90" s="9">
        <f t="shared" si="10"/>
        <v>0.5304180823</v>
      </c>
      <c r="O90" s="3"/>
      <c r="P90" s="10">
        <f t="shared" si="14"/>
        <v>-180.904338</v>
      </c>
      <c r="Q90" s="9">
        <f t="shared" si="15"/>
        <v>434.2844281</v>
      </c>
      <c r="R90" s="2"/>
      <c r="S90" s="14">
        <f t="shared" si="13"/>
        <v>0.4870808737</v>
      </c>
    </row>
    <row r="91">
      <c r="A91" s="11">
        <v>79.0</v>
      </c>
      <c r="B91" s="11">
        <v>1.41973913043478E9</v>
      </c>
      <c r="C91" s="2">
        <v>-102.0440674</v>
      </c>
      <c r="D91" s="3">
        <f t="shared" si="1"/>
        <v>-660869.5652</v>
      </c>
      <c r="E91" s="4">
        <f t="shared" si="2"/>
        <v>138.662716</v>
      </c>
      <c r="F91" s="3">
        <f t="shared" si="3"/>
        <v>0.0002098185833</v>
      </c>
      <c r="G91" s="3">
        <f t="shared" si="4"/>
        <v>0</v>
      </c>
      <c r="H91" s="2">
        <f t="shared" si="5"/>
        <v>0</v>
      </c>
      <c r="I91" s="3">
        <f t="shared" si="6"/>
        <v>0</v>
      </c>
      <c r="J91" s="3">
        <f t="shared" si="7"/>
        <v>0</v>
      </c>
      <c r="K91" s="3"/>
      <c r="L91" s="3">
        <f t="shared" si="8"/>
        <v>475.0063631</v>
      </c>
      <c r="M91" s="2">
        <f t="shared" si="9"/>
        <v>470.3288948</v>
      </c>
      <c r="N91" s="9">
        <f t="shared" si="10"/>
        <v>4.677468324</v>
      </c>
      <c r="O91" s="3"/>
      <c r="P91" s="10">
        <f t="shared" si="14"/>
        <v>-181.8226342</v>
      </c>
      <c r="Q91" s="9">
        <f t="shared" si="15"/>
        <v>433.1385092</v>
      </c>
      <c r="R91" s="2"/>
      <c r="S91" s="14">
        <f t="shared" si="13"/>
        <v>4.295301064</v>
      </c>
    </row>
    <row r="92">
      <c r="A92" s="11">
        <v>80.0</v>
      </c>
      <c r="B92" s="11">
        <v>1.41974347826087E9</v>
      </c>
      <c r="C92" s="2">
        <v>-102.0974884</v>
      </c>
      <c r="D92" s="3">
        <f t="shared" si="1"/>
        <v>-656521.7391</v>
      </c>
      <c r="E92" s="4">
        <f t="shared" si="2"/>
        <v>137.7444198</v>
      </c>
      <c r="F92" s="3">
        <f t="shared" si="3"/>
        <v>0.0002098093812</v>
      </c>
      <c r="G92" s="3">
        <f t="shared" si="4"/>
        <v>0</v>
      </c>
      <c r="H92" s="2">
        <f t="shared" si="5"/>
        <v>0</v>
      </c>
      <c r="I92" s="3">
        <f t="shared" si="6"/>
        <v>0</v>
      </c>
      <c r="J92" s="3">
        <f t="shared" si="7"/>
        <v>0</v>
      </c>
      <c r="K92" s="3"/>
      <c r="L92" s="3">
        <f t="shared" si="8"/>
        <v>469.1992696</v>
      </c>
      <c r="M92" s="2">
        <f t="shared" si="9"/>
        <v>470.2508945</v>
      </c>
      <c r="N92" s="9">
        <f t="shared" si="10"/>
        <v>-1.051624906</v>
      </c>
      <c r="O92" s="3"/>
      <c r="P92" s="10">
        <f t="shared" si="14"/>
        <v>-182.7409303</v>
      </c>
      <c r="Q92" s="9">
        <f t="shared" si="15"/>
        <v>435.4134972</v>
      </c>
      <c r="R92" s="2"/>
      <c r="S92" s="14">
        <f t="shared" si="13"/>
        <v>-0.9657030846</v>
      </c>
    </row>
    <row r="93">
      <c r="A93" s="11">
        <v>81.0</v>
      </c>
      <c r="B93" s="11">
        <v>1.41974782608695E9</v>
      </c>
      <c r="C93" s="2">
        <v>-102.1187515</v>
      </c>
      <c r="D93" s="3">
        <f t="shared" si="1"/>
        <v>-652173.913</v>
      </c>
      <c r="E93" s="4">
        <f t="shared" si="2"/>
        <v>136.8261237</v>
      </c>
      <c r="F93" s="3">
        <f t="shared" si="3"/>
        <v>0.0002098000563</v>
      </c>
      <c r="G93" s="3">
        <f t="shared" si="4"/>
        <v>0</v>
      </c>
      <c r="H93" s="2">
        <f t="shared" si="5"/>
        <v>0</v>
      </c>
      <c r="I93" s="3">
        <f t="shared" si="6"/>
        <v>0</v>
      </c>
      <c r="J93" s="3">
        <f t="shared" si="7"/>
        <v>0</v>
      </c>
      <c r="K93" s="3"/>
      <c r="L93" s="3">
        <f t="shared" si="8"/>
        <v>466.9076798</v>
      </c>
      <c r="M93" s="2">
        <f t="shared" si="9"/>
        <v>470.1731251</v>
      </c>
      <c r="N93" s="9">
        <f t="shared" si="10"/>
        <v>-3.265445245</v>
      </c>
      <c r="O93" s="3"/>
      <c r="P93" s="10">
        <f t="shared" si="14"/>
        <v>-183.6592264</v>
      </c>
      <c r="Q93" s="9">
        <f t="shared" si="15"/>
        <v>435.4693342</v>
      </c>
      <c r="R93" s="2"/>
      <c r="S93" s="14">
        <f t="shared" si="13"/>
        <v>-2.99864574</v>
      </c>
    </row>
    <row r="94">
      <c r="A94" s="11">
        <v>82.0</v>
      </c>
      <c r="B94" s="11">
        <v>1.41975217391304E9</v>
      </c>
      <c r="C94" s="2">
        <v>-102.0567932</v>
      </c>
      <c r="D94" s="3">
        <f t="shared" si="1"/>
        <v>-647826.087</v>
      </c>
      <c r="E94" s="4">
        <f t="shared" si="2"/>
        <v>135.9078276</v>
      </c>
      <c r="F94" s="3">
        <f t="shared" si="3"/>
        <v>0.0002097906063</v>
      </c>
      <c r="G94" s="3">
        <f t="shared" si="4"/>
        <v>0</v>
      </c>
      <c r="H94" s="2">
        <f t="shared" si="5"/>
        <v>0</v>
      </c>
      <c r="I94" s="3">
        <f t="shared" si="6"/>
        <v>0</v>
      </c>
      <c r="J94" s="3">
        <f t="shared" si="7"/>
        <v>0</v>
      </c>
      <c r="K94" s="3"/>
      <c r="L94" s="3">
        <f t="shared" si="8"/>
        <v>473.6165254</v>
      </c>
      <c r="M94" s="2">
        <f t="shared" si="9"/>
        <v>470.0955833</v>
      </c>
      <c r="N94" s="9">
        <f t="shared" si="10"/>
        <v>3.520942124</v>
      </c>
      <c r="O94" s="3"/>
      <c r="P94" s="10">
        <f t="shared" si="14"/>
        <v>-184.5775226</v>
      </c>
      <c r="Q94" s="9">
        <f t="shared" si="15"/>
        <v>435.3331881</v>
      </c>
      <c r="R94" s="2"/>
      <c r="S94" s="14">
        <f t="shared" si="13"/>
        <v>3.233267529</v>
      </c>
    </row>
    <row r="95">
      <c r="A95" s="11">
        <v>83.0</v>
      </c>
      <c r="B95" s="11">
        <v>1.41975652173913E9</v>
      </c>
      <c r="C95" s="2">
        <v>-102.0714417</v>
      </c>
      <c r="D95" s="3">
        <f t="shared" si="1"/>
        <v>-643478.2609</v>
      </c>
      <c r="E95" s="4">
        <f t="shared" si="2"/>
        <v>134.9895314</v>
      </c>
      <c r="F95" s="3">
        <f t="shared" si="3"/>
        <v>0.0002097810286</v>
      </c>
      <c r="G95" s="3">
        <f t="shared" si="4"/>
        <v>0</v>
      </c>
      <c r="H95" s="2">
        <f t="shared" si="5"/>
        <v>0</v>
      </c>
      <c r="I95" s="3">
        <f t="shared" si="6"/>
        <v>0</v>
      </c>
      <c r="J95" s="3">
        <f t="shared" si="7"/>
        <v>0</v>
      </c>
      <c r="K95" s="3"/>
      <c r="L95" s="3">
        <f t="shared" si="8"/>
        <v>472.0217355</v>
      </c>
      <c r="M95" s="2">
        <f t="shared" si="9"/>
        <v>470.0182661</v>
      </c>
      <c r="N95" s="9">
        <f t="shared" si="10"/>
        <v>2.003469466</v>
      </c>
      <c r="O95" s="3"/>
      <c r="P95" s="10">
        <f t="shared" si="14"/>
        <v>-185.4958187</v>
      </c>
      <c r="Q95" s="9">
        <f t="shared" si="15"/>
        <v>433.8932235</v>
      </c>
      <c r="R95" s="2"/>
      <c r="S95" s="14">
        <f t="shared" si="13"/>
        <v>1.839778262</v>
      </c>
    </row>
    <row r="96">
      <c r="A96" s="11">
        <v>84.0</v>
      </c>
      <c r="B96" s="11">
        <v>1.41976086956521E9</v>
      </c>
      <c r="C96" s="2">
        <v>-102.0182571</v>
      </c>
      <c r="D96" s="3">
        <f t="shared" si="1"/>
        <v>-639130.4348</v>
      </c>
      <c r="E96" s="4">
        <f t="shared" si="2"/>
        <v>134.0712353</v>
      </c>
      <c r="F96" s="3">
        <f t="shared" si="3"/>
        <v>0.0002097713205</v>
      </c>
      <c r="G96" s="3">
        <f t="shared" si="4"/>
        <v>0</v>
      </c>
      <c r="H96" s="2">
        <f t="shared" si="5"/>
        <v>0</v>
      </c>
      <c r="I96" s="3">
        <f t="shared" si="6"/>
        <v>0</v>
      </c>
      <c r="J96" s="3">
        <f t="shared" si="7"/>
        <v>0</v>
      </c>
      <c r="K96" s="3"/>
      <c r="L96" s="3">
        <f t="shared" si="8"/>
        <v>477.8377507</v>
      </c>
      <c r="M96" s="2">
        <f t="shared" si="9"/>
        <v>469.9411702</v>
      </c>
      <c r="N96" s="9">
        <f t="shared" si="10"/>
        <v>7.896580415</v>
      </c>
      <c r="O96" s="3"/>
      <c r="P96" s="10">
        <f t="shared" si="14"/>
        <v>-186.4141148</v>
      </c>
      <c r="Q96" s="9">
        <f t="shared" si="15"/>
        <v>427.7177636</v>
      </c>
      <c r="R96" s="2"/>
      <c r="S96" s="14">
        <f t="shared" si="13"/>
        <v>7.251399257</v>
      </c>
    </row>
    <row r="97">
      <c r="A97" s="11">
        <v>85.0</v>
      </c>
      <c r="B97" s="11">
        <v>1.4197652173913E9</v>
      </c>
      <c r="C97" s="2">
        <v>-102.1030273</v>
      </c>
      <c r="D97" s="3">
        <f t="shared" si="1"/>
        <v>-634782.6087</v>
      </c>
      <c r="E97" s="4">
        <f t="shared" si="2"/>
        <v>133.1529392</v>
      </c>
      <c r="F97" s="3">
        <f t="shared" si="3"/>
        <v>0.0002097614795</v>
      </c>
      <c r="G97" s="3">
        <f t="shared" si="4"/>
        <v>0</v>
      </c>
      <c r="H97" s="2">
        <f t="shared" si="5"/>
        <v>0</v>
      </c>
      <c r="I97" s="3">
        <f t="shared" si="6"/>
        <v>0</v>
      </c>
      <c r="J97" s="3">
        <f t="shared" si="7"/>
        <v>0</v>
      </c>
      <c r="K97" s="3"/>
      <c r="L97" s="3">
        <f t="shared" si="8"/>
        <v>468.6012442</v>
      </c>
      <c r="M97" s="2">
        <f t="shared" si="9"/>
        <v>469.8642927</v>
      </c>
      <c r="N97" s="9">
        <f t="shared" si="10"/>
        <v>-1.263048479</v>
      </c>
      <c r="O97" s="3"/>
      <c r="P97" s="10">
        <f t="shared" si="14"/>
        <v>-187.332411</v>
      </c>
      <c r="Q97" s="9">
        <f t="shared" si="15"/>
        <v>430.0843874</v>
      </c>
      <c r="R97" s="2"/>
      <c r="S97" s="14">
        <f t="shared" si="13"/>
        <v>-1.159852531</v>
      </c>
    </row>
    <row r="98">
      <c r="A98" s="11">
        <v>86.0</v>
      </c>
      <c r="B98" s="11">
        <v>1.41976956521739E9</v>
      </c>
      <c r="C98" s="2">
        <v>-102.0961227</v>
      </c>
      <c r="D98" s="3">
        <f t="shared" si="1"/>
        <v>-630434.7826</v>
      </c>
      <c r="E98" s="4">
        <f t="shared" si="2"/>
        <v>132.234643</v>
      </c>
      <c r="F98" s="3">
        <f t="shared" si="3"/>
        <v>0.0002097515027</v>
      </c>
      <c r="G98" s="3">
        <f t="shared" si="4"/>
        <v>0</v>
      </c>
      <c r="H98" s="2">
        <f t="shared" si="5"/>
        <v>0</v>
      </c>
      <c r="I98" s="3">
        <f t="shared" si="6"/>
        <v>0</v>
      </c>
      <c r="J98" s="3">
        <f t="shared" si="7"/>
        <v>0</v>
      </c>
      <c r="K98" s="3"/>
      <c r="L98" s="3">
        <f t="shared" si="8"/>
        <v>469.3468391</v>
      </c>
      <c r="M98" s="2">
        <f t="shared" si="9"/>
        <v>469.7876302</v>
      </c>
      <c r="N98" s="9">
        <f t="shared" si="10"/>
        <v>-0.4407911461</v>
      </c>
      <c r="O98" s="3"/>
      <c r="P98" s="10">
        <f t="shared" si="14"/>
        <v>-188.2507071</v>
      </c>
      <c r="Q98" s="9">
        <f t="shared" si="15"/>
        <v>434.6385642</v>
      </c>
      <c r="R98" s="2"/>
      <c r="S98" s="14">
        <f t="shared" si="13"/>
        <v>-0.4047768048</v>
      </c>
    </row>
    <row r="99">
      <c r="A99" s="11">
        <v>87.0</v>
      </c>
      <c r="B99" s="11">
        <v>1.41977391304347E9</v>
      </c>
      <c r="C99" s="2">
        <v>-102.0790863</v>
      </c>
      <c r="D99" s="3">
        <f t="shared" si="1"/>
        <v>-626086.9565</v>
      </c>
      <c r="E99" s="4">
        <f t="shared" si="2"/>
        <v>131.3163469</v>
      </c>
      <c r="F99" s="3">
        <f t="shared" si="3"/>
        <v>0.0002097413874</v>
      </c>
      <c r="G99" s="3">
        <f t="shared" si="4"/>
        <v>0</v>
      </c>
      <c r="H99" s="2">
        <f t="shared" si="5"/>
        <v>0</v>
      </c>
      <c r="I99" s="3">
        <f t="shared" si="6"/>
        <v>0</v>
      </c>
      <c r="J99" s="3">
        <f t="shared" si="7"/>
        <v>0</v>
      </c>
      <c r="K99" s="3"/>
      <c r="L99" s="3">
        <f t="shared" si="8"/>
        <v>471.1915976</v>
      </c>
      <c r="M99" s="2">
        <f t="shared" si="9"/>
        <v>469.7111798</v>
      </c>
      <c r="N99" s="9">
        <f t="shared" si="10"/>
        <v>1.480417774</v>
      </c>
      <c r="O99" s="3"/>
      <c r="P99" s="10">
        <f t="shared" si="14"/>
        <v>-189.1690032</v>
      </c>
      <c r="Q99" s="9">
        <f t="shared" si="15"/>
        <v>430.7581046</v>
      </c>
      <c r="R99" s="2"/>
      <c r="S99" s="14">
        <f t="shared" si="13"/>
        <v>1.359461916</v>
      </c>
    </row>
    <row r="100">
      <c r="A100" s="11">
        <v>88.0</v>
      </c>
      <c r="B100" s="11">
        <v>1.41977826086956E9</v>
      </c>
      <c r="C100" s="2">
        <v>-102.1260529</v>
      </c>
      <c r="D100" s="3">
        <f t="shared" si="1"/>
        <v>-621739.1304</v>
      </c>
      <c r="E100" s="4">
        <f t="shared" si="2"/>
        <v>130.3980508</v>
      </c>
      <c r="F100" s="3">
        <f t="shared" si="3"/>
        <v>0.0002097311306</v>
      </c>
      <c r="G100" s="3">
        <f t="shared" si="4"/>
        <v>0</v>
      </c>
      <c r="H100" s="2">
        <f t="shared" si="5"/>
        <v>0</v>
      </c>
      <c r="I100" s="3">
        <f t="shared" si="6"/>
        <v>0</v>
      </c>
      <c r="J100" s="3">
        <f t="shared" si="7"/>
        <v>0</v>
      </c>
      <c r="K100" s="3"/>
      <c r="L100" s="3">
        <f t="shared" si="8"/>
        <v>466.1233697</v>
      </c>
      <c r="M100" s="2">
        <f t="shared" si="9"/>
        <v>469.6349382</v>
      </c>
      <c r="N100" s="9">
        <f t="shared" si="10"/>
        <v>-3.511568515</v>
      </c>
      <c r="O100" s="3"/>
      <c r="P100" s="10">
        <f t="shared" si="14"/>
        <v>-190.0872994</v>
      </c>
      <c r="Q100" s="9">
        <f t="shared" si="15"/>
        <v>433.961066</v>
      </c>
      <c r="R100" s="2"/>
      <c r="S100" s="14">
        <f t="shared" si="13"/>
        <v>-3.22465978</v>
      </c>
    </row>
    <row r="101">
      <c r="A101" s="11">
        <v>89.0</v>
      </c>
      <c r="B101" s="11">
        <v>1.41978260869565E9</v>
      </c>
      <c r="C101" s="2">
        <v>-102.043129</v>
      </c>
      <c r="D101" s="3">
        <f t="shared" si="1"/>
        <v>-617391.3043</v>
      </c>
      <c r="E101" s="4">
        <f t="shared" si="2"/>
        <v>129.4797546</v>
      </c>
      <c r="F101" s="3">
        <f t="shared" si="3"/>
        <v>0.0002097207293</v>
      </c>
      <c r="G101" s="3">
        <f t="shared" si="4"/>
        <v>0</v>
      </c>
      <c r="H101" s="2">
        <f t="shared" si="5"/>
        <v>0</v>
      </c>
      <c r="I101" s="3">
        <f t="shared" si="6"/>
        <v>0</v>
      </c>
      <c r="J101" s="3">
        <f t="shared" si="7"/>
        <v>0</v>
      </c>
      <c r="K101" s="3"/>
      <c r="L101" s="3">
        <f t="shared" si="8"/>
        <v>475.109011</v>
      </c>
      <c r="M101" s="2">
        <f t="shared" si="9"/>
        <v>469.5589023</v>
      </c>
      <c r="N101" s="9">
        <f t="shared" si="10"/>
        <v>5.550108666</v>
      </c>
      <c r="O101" s="3"/>
      <c r="P101" s="10">
        <f t="shared" si="14"/>
        <v>-191.0055955</v>
      </c>
      <c r="Q101" s="9">
        <f t="shared" si="15"/>
        <v>435.5863957</v>
      </c>
      <c r="R101" s="2"/>
      <c r="S101" s="14">
        <f t="shared" si="13"/>
        <v>5.096643324</v>
      </c>
    </row>
    <row r="102">
      <c r="A102" s="11">
        <v>90.0</v>
      </c>
      <c r="B102" s="11">
        <v>1.41978695652173E9</v>
      </c>
      <c r="C102" s="2">
        <v>-102.0729065</v>
      </c>
      <c r="D102" s="3">
        <f t="shared" si="1"/>
        <v>-613043.4783</v>
      </c>
      <c r="E102" s="4">
        <f t="shared" si="2"/>
        <v>128.5614585</v>
      </c>
      <c r="F102" s="3">
        <f t="shared" si="3"/>
        <v>0.0002097101805</v>
      </c>
      <c r="G102" s="3">
        <f t="shared" si="4"/>
        <v>0</v>
      </c>
      <c r="H102" s="2">
        <f t="shared" si="5"/>
        <v>0</v>
      </c>
      <c r="I102" s="3">
        <f t="shared" si="6"/>
        <v>0</v>
      </c>
      <c r="J102" s="3">
        <f t="shared" si="7"/>
        <v>0</v>
      </c>
      <c r="K102" s="3"/>
      <c r="L102" s="3">
        <f t="shared" si="8"/>
        <v>471.8625576</v>
      </c>
      <c r="M102" s="2">
        <f t="shared" si="9"/>
        <v>469.483069</v>
      </c>
      <c r="N102" s="9">
        <f t="shared" si="10"/>
        <v>2.37948864</v>
      </c>
      <c r="O102" s="3"/>
      <c r="P102" s="10">
        <f t="shared" si="14"/>
        <v>-191.9238916</v>
      </c>
      <c r="Q102" s="9">
        <f t="shared" si="15"/>
        <v>436.323915</v>
      </c>
      <c r="R102" s="2"/>
      <c r="S102" s="14">
        <f t="shared" si="13"/>
        <v>2.185075216</v>
      </c>
    </row>
    <row r="103">
      <c r="A103" s="11">
        <v>91.0</v>
      </c>
      <c r="B103" s="11">
        <v>1.41979130434782E9</v>
      </c>
      <c r="C103" s="2">
        <v>-102.0249634</v>
      </c>
      <c r="D103" s="3">
        <f t="shared" si="1"/>
        <v>-608695.6522</v>
      </c>
      <c r="E103" s="4">
        <f t="shared" si="2"/>
        <v>127.6431624</v>
      </c>
      <c r="F103" s="3">
        <f t="shared" si="3"/>
        <v>0.000209699481</v>
      </c>
      <c r="G103" s="3">
        <f t="shared" si="4"/>
        <v>0</v>
      </c>
      <c r="H103" s="2">
        <f t="shared" si="5"/>
        <v>0</v>
      </c>
      <c r="I103" s="3">
        <f t="shared" si="6"/>
        <v>0</v>
      </c>
      <c r="J103" s="3">
        <f t="shared" si="7"/>
        <v>0</v>
      </c>
      <c r="K103" s="3"/>
      <c r="L103" s="3">
        <f t="shared" si="8"/>
        <v>477.1004513</v>
      </c>
      <c r="M103" s="2">
        <f t="shared" si="9"/>
        <v>469.4074351</v>
      </c>
      <c r="N103" s="9">
        <f t="shared" si="10"/>
        <v>7.693016191</v>
      </c>
      <c r="O103" s="3"/>
      <c r="P103" s="10">
        <f t="shared" si="14"/>
        <v>-192.8421877</v>
      </c>
      <c r="Q103" s="9">
        <f t="shared" si="15"/>
        <v>442.1620014</v>
      </c>
      <c r="R103" s="2"/>
      <c r="S103" s="14">
        <f t="shared" si="13"/>
        <v>7.064467018</v>
      </c>
    </row>
    <row r="104">
      <c r="A104" s="11">
        <v>92.0</v>
      </c>
      <c r="B104" s="11">
        <v>1.41979565217391E9</v>
      </c>
      <c r="C104" s="2">
        <v>-102.0729218</v>
      </c>
      <c r="D104" s="3">
        <f t="shared" si="1"/>
        <v>-604347.8261</v>
      </c>
      <c r="E104" s="4">
        <f t="shared" si="2"/>
        <v>126.7248662</v>
      </c>
      <c r="F104" s="3">
        <f t="shared" si="3"/>
        <v>0.0002096886276</v>
      </c>
      <c r="G104" s="3">
        <f t="shared" si="4"/>
        <v>0</v>
      </c>
      <c r="H104" s="2">
        <f t="shared" si="5"/>
        <v>0</v>
      </c>
      <c r="I104" s="3">
        <f t="shared" si="6"/>
        <v>0</v>
      </c>
      <c r="J104" s="3">
        <f t="shared" si="7"/>
        <v>0</v>
      </c>
      <c r="K104" s="3"/>
      <c r="L104" s="3">
        <f t="shared" si="8"/>
        <v>471.8608953</v>
      </c>
      <c r="M104" s="2">
        <f t="shared" si="9"/>
        <v>469.3319975</v>
      </c>
      <c r="N104" s="9">
        <f t="shared" si="10"/>
        <v>2.528897743</v>
      </c>
      <c r="O104" s="3"/>
      <c r="P104" s="10">
        <f t="shared" si="14"/>
        <v>-193.7604839</v>
      </c>
      <c r="Q104" s="9">
        <f t="shared" si="15"/>
        <v>439.7598111</v>
      </c>
      <c r="R104" s="2"/>
      <c r="S104" s="14">
        <f t="shared" si="13"/>
        <v>2.322277013</v>
      </c>
    </row>
    <row r="105">
      <c r="A105" s="11">
        <v>93.0</v>
      </c>
      <c r="B105" s="11">
        <v>1.4198E9</v>
      </c>
      <c r="C105" s="2">
        <v>-102.0674667</v>
      </c>
      <c r="D105" s="3">
        <f t="shared" si="1"/>
        <v>-600000</v>
      </c>
      <c r="E105" s="4">
        <f t="shared" si="2"/>
        <v>125.8065701</v>
      </c>
      <c r="F105" s="3">
        <f t="shared" si="3"/>
        <v>0.0002096776168</v>
      </c>
      <c r="G105" s="3">
        <f t="shared" si="4"/>
        <v>0</v>
      </c>
      <c r="H105" s="2">
        <f t="shared" si="5"/>
        <v>0</v>
      </c>
      <c r="I105" s="3">
        <f t="shared" si="6"/>
        <v>0</v>
      </c>
      <c r="J105" s="3">
        <f t="shared" si="7"/>
        <v>0</v>
      </c>
      <c r="K105" s="3"/>
      <c r="L105" s="3">
        <f t="shared" si="8"/>
        <v>472.4539642</v>
      </c>
      <c r="M105" s="2">
        <f t="shared" si="9"/>
        <v>469.2567531</v>
      </c>
      <c r="N105" s="9">
        <f t="shared" si="10"/>
        <v>3.197211091</v>
      </c>
      <c r="O105" s="3"/>
      <c r="P105" s="10">
        <f t="shared" si="14"/>
        <v>-194.67878</v>
      </c>
      <c r="Q105" s="9">
        <f t="shared" si="15"/>
        <v>429.7762354</v>
      </c>
      <c r="R105" s="2"/>
      <c r="S105" s="14">
        <f t="shared" si="13"/>
        <v>2.935986581</v>
      </c>
    </row>
    <row r="106">
      <c r="A106" s="11">
        <v>94.0</v>
      </c>
      <c r="B106" s="11">
        <v>1.41980434782608E9</v>
      </c>
      <c r="C106" s="2">
        <v>-102.0902023</v>
      </c>
      <c r="D106" s="3">
        <f t="shared" si="1"/>
        <v>-595652.1739</v>
      </c>
      <c r="E106" s="4">
        <f t="shared" si="2"/>
        <v>124.888274</v>
      </c>
      <c r="F106" s="3">
        <f t="shared" si="3"/>
        <v>0.0002096664454</v>
      </c>
      <c r="G106" s="3">
        <f t="shared" si="4"/>
        <v>0</v>
      </c>
      <c r="H106" s="2">
        <f t="shared" si="5"/>
        <v>0</v>
      </c>
      <c r="I106" s="3">
        <f t="shared" si="6"/>
        <v>0</v>
      </c>
      <c r="J106" s="3">
        <f t="shared" si="7"/>
        <v>0</v>
      </c>
      <c r="K106" s="3"/>
      <c r="L106" s="3">
        <f t="shared" si="8"/>
        <v>469.9870996</v>
      </c>
      <c r="M106" s="2">
        <f t="shared" si="9"/>
        <v>469.1816987</v>
      </c>
      <c r="N106" s="9">
        <f t="shared" si="10"/>
        <v>0.8054008289</v>
      </c>
      <c r="O106" s="3"/>
      <c r="P106" s="10">
        <f t="shared" si="14"/>
        <v>-195.5970761</v>
      </c>
      <c r="Q106" s="9">
        <f t="shared" si="15"/>
        <v>432.040388</v>
      </c>
      <c r="R106" s="2"/>
      <c r="S106" s="14">
        <f t="shared" si="13"/>
        <v>0.7395964665</v>
      </c>
    </row>
    <row r="107">
      <c r="A107" s="11">
        <v>95.0</v>
      </c>
      <c r="B107" s="11">
        <v>1.41980869565217E9</v>
      </c>
      <c r="C107" s="2">
        <v>-102.0586624</v>
      </c>
      <c r="D107" s="3">
        <f t="shared" si="1"/>
        <v>-591304.3478</v>
      </c>
      <c r="E107" s="4">
        <f t="shared" si="2"/>
        <v>123.9699778</v>
      </c>
      <c r="F107" s="3">
        <f t="shared" si="3"/>
        <v>0.0002096551096</v>
      </c>
      <c r="G107" s="3">
        <f t="shared" si="4"/>
        <v>0</v>
      </c>
      <c r="H107" s="2">
        <f t="shared" si="5"/>
        <v>0</v>
      </c>
      <c r="I107" s="3">
        <f t="shared" si="6"/>
        <v>0</v>
      </c>
      <c r="J107" s="3">
        <f t="shared" si="7"/>
        <v>0</v>
      </c>
      <c r="K107" s="3"/>
      <c r="L107" s="3">
        <f t="shared" si="8"/>
        <v>473.4127251</v>
      </c>
      <c r="M107" s="2">
        <f t="shared" si="9"/>
        <v>469.1068312</v>
      </c>
      <c r="N107" s="9">
        <f t="shared" si="10"/>
        <v>4.305893868</v>
      </c>
      <c r="O107" s="3"/>
      <c r="P107" s="10">
        <f t="shared" si="14"/>
        <v>-196.5153723</v>
      </c>
      <c r="Q107" s="9">
        <f t="shared" si="15"/>
        <v>428.4600236</v>
      </c>
      <c r="R107" s="2"/>
      <c r="S107" s="14">
        <f t="shared" si="13"/>
        <v>3.954085678</v>
      </c>
    </row>
    <row r="108">
      <c r="A108" s="11">
        <v>96.0</v>
      </c>
      <c r="B108" s="11">
        <v>1.41981304347826E9</v>
      </c>
      <c r="C108" s="2">
        <v>-102.1494904</v>
      </c>
      <c r="D108" s="3">
        <f t="shared" si="1"/>
        <v>-586956.5217</v>
      </c>
      <c r="E108" s="4">
        <f t="shared" si="2"/>
        <v>123.0516817</v>
      </c>
      <c r="F108" s="3">
        <f t="shared" si="3"/>
        <v>0.0002096436059</v>
      </c>
      <c r="G108" s="3">
        <f t="shared" si="4"/>
        <v>0</v>
      </c>
      <c r="H108" s="2">
        <f t="shared" si="5"/>
        <v>0</v>
      </c>
      <c r="I108" s="3">
        <f t="shared" si="6"/>
        <v>0</v>
      </c>
      <c r="J108" s="3">
        <f t="shared" si="7"/>
        <v>0</v>
      </c>
      <c r="K108" s="3"/>
      <c r="L108" s="3">
        <f t="shared" si="8"/>
        <v>463.6146248</v>
      </c>
      <c r="M108" s="2">
        <f t="shared" si="9"/>
        <v>469.0321475</v>
      </c>
      <c r="N108" s="9">
        <f t="shared" si="10"/>
        <v>-5.41752271</v>
      </c>
      <c r="O108" s="3"/>
      <c r="P108" s="10">
        <f t="shared" si="14"/>
        <v>-197.4336684</v>
      </c>
      <c r="Q108" s="9">
        <f t="shared" si="15"/>
        <v>430.753562</v>
      </c>
      <c r="R108" s="2"/>
      <c r="S108" s="14">
        <f t="shared" si="13"/>
        <v>-4.974890154</v>
      </c>
    </row>
    <row r="109">
      <c r="A109" s="11">
        <v>97.0</v>
      </c>
      <c r="B109" s="11">
        <v>1.41981739130434E9</v>
      </c>
      <c r="C109" s="2">
        <v>-102.1455765</v>
      </c>
      <c r="D109" s="3">
        <f t="shared" si="1"/>
        <v>-582608.6957</v>
      </c>
      <c r="E109" s="4">
        <f t="shared" si="2"/>
        <v>122.1333856</v>
      </c>
      <c r="F109" s="3">
        <f t="shared" si="3"/>
        <v>0.0002096319305</v>
      </c>
      <c r="G109" s="3">
        <f t="shared" si="4"/>
        <v>0</v>
      </c>
      <c r="H109" s="2">
        <f t="shared" si="5"/>
        <v>0</v>
      </c>
      <c r="I109" s="3">
        <f t="shared" si="6"/>
        <v>0</v>
      </c>
      <c r="J109" s="3">
        <f t="shared" si="7"/>
        <v>0</v>
      </c>
      <c r="K109" s="3"/>
      <c r="L109" s="3">
        <f t="shared" si="8"/>
        <v>464.0326267</v>
      </c>
      <c r="M109" s="2">
        <f t="shared" si="9"/>
        <v>468.9576443</v>
      </c>
      <c r="N109" s="9">
        <f t="shared" si="10"/>
        <v>-4.925017673</v>
      </c>
      <c r="O109" s="3"/>
      <c r="P109" s="10">
        <f t="shared" si="14"/>
        <v>-198.3519645</v>
      </c>
      <c r="Q109" s="9">
        <f t="shared" si="15"/>
        <v>430.5303849</v>
      </c>
      <c r="R109" s="2"/>
      <c r="S109" s="14">
        <f t="shared" si="13"/>
        <v>-4.522624683</v>
      </c>
    </row>
    <row r="110">
      <c r="A110" s="11">
        <v>98.0</v>
      </c>
      <c r="B110" s="11">
        <v>1.41982173913043E9</v>
      </c>
      <c r="C110" s="2">
        <v>-102.1186752</v>
      </c>
      <c r="D110" s="3">
        <f t="shared" si="1"/>
        <v>-578260.8696</v>
      </c>
      <c r="E110" s="4">
        <f t="shared" si="2"/>
        <v>121.2150894</v>
      </c>
      <c r="F110" s="3">
        <f t="shared" si="3"/>
        <v>0.0002096200795</v>
      </c>
      <c r="G110" s="3">
        <f t="shared" si="4"/>
        <v>0</v>
      </c>
      <c r="H110" s="2">
        <f t="shared" si="5"/>
        <v>0</v>
      </c>
      <c r="I110" s="3">
        <f t="shared" si="6"/>
        <v>0</v>
      </c>
      <c r="J110" s="3">
        <f t="shared" si="7"/>
        <v>0</v>
      </c>
      <c r="K110" s="3"/>
      <c r="L110" s="3">
        <f t="shared" si="8"/>
        <v>466.9158829</v>
      </c>
      <c r="M110" s="2">
        <f t="shared" si="9"/>
        <v>468.8833187</v>
      </c>
      <c r="N110" s="9">
        <f t="shared" si="10"/>
        <v>-1.967435816</v>
      </c>
      <c r="O110" s="3"/>
      <c r="P110" s="10">
        <f t="shared" si="14"/>
        <v>-199.2702607</v>
      </c>
      <c r="Q110" s="9">
        <f t="shared" si="15"/>
        <v>430.5636652</v>
      </c>
      <c r="R110" s="2"/>
      <c r="S110" s="14">
        <f t="shared" si="13"/>
        <v>-1.806688697</v>
      </c>
    </row>
    <row r="111">
      <c r="A111" s="11">
        <v>99.0</v>
      </c>
      <c r="B111" s="11">
        <v>1.41982608695652E9</v>
      </c>
      <c r="C111" s="2">
        <v>-102.0778885</v>
      </c>
      <c r="D111" s="3">
        <f t="shared" si="1"/>
        <v>-573913.0435</v>
      </c>
      <c r="E111" s="4">
        <f t="shared" si="2"/>
        <v>120.2967933</v>
      </c>
      <c r="F111" s="3">
        <f t="shared" si="3"/>
        <v>0.000209608049</v>
      </c>
      <c r="G111" s="3">
        <f t="shared" si="4"/>
        <v>0</v>
      </c>
      <c r="H111" s="2">
        <f t="shared" si="5"/>
        <v>0</v>
      </c>
      <c r="I111" s="3">
        <f t="shared" si="6"/>
        <v>0</v>
      </c>
      <c r="J111" s="3">
        <f t="shared" si="7"/>
        <v>0</v>
      </c>
      <c r="K111" s="3"/>
      <c r="L111" s="3">
        <f t="shared" si="8"/>
        <v>471.3215719</v>
      </c>
      <c r="M111" s="2">
        <f t="shared" si="9"/>
        <v>468.8091674</v>
      </c>
      <c r="N111" s="9">
        <f t="shared" si="10"/>
        <v>2.512404502</v>
      </c>
      <c r="O111" s="3"/>
      <c r="P111" s="10">
        <f t="shared" si="14"/>
        <v>-200.1885568</v>
      </c>
      <c r="Q111" s="9">
        <f t="shared" si="15"/>
        <v>431.2207071</v>
      </c>
      <c r="R111" s="2"/>
      <c r="S111" s="14">
        <f t="shared" si="13"/>
        <v>2.307131338</v>
      </c>
    </row>
    <row r="112">
      <c r="A112" s="15">
        <v>100.0</v>
      </c>
      <c r="B112" s="15">
        <v>1.4198304347826E9</v>
      </c>
      <c r="C112" s="16">
        <v>-102.078186</v>
      </c>
      <c r="D112" s="17">
        <f t="shared" si="1"/>
        <v>-569565.2174</v>
      </c>
      <c r="E112" s="18">
        <f t="shared" si="2"/>
        <v>119.3784972</v>
      </c>
      <c r="F112" s="17">
        <f t="shared" si="3"/>
        <v>0.0002095958347</v>
      </c>
      <c r="G112" s="17">
        <f t="shared" si="4"/>
        <v>0</v>
      </c>
      <c r="H112" s="16">
        <f t="shared" si="5"/>
        <v>0</v>
      </c>
      <c r="I112" s="17">
        <f t="shared" si="6"/>
        <v>0</v>
      </c>
      <c r="J112" s="17">
        <f t="shared" si="7"/>
        <v>0</v>
      </c>
      <c r="K112" s="17"/>
      <c r="L112" s="17">
        <f t="shared" si="8"/>
        <v>471.2892865</v>
      </c>
      <c r="M112" s="2">
        <f t="shared" si="9"/>
        <v>468.7351872</v>
      </c>
      <c r="N112" s="9">
        <f t="shared" si="10"/>
        <v>2.554099312</v>
      </c>
      <c r="O112" s="17"/>
      <c r="P112" s="19">
        <f t="shared" si="14"/>
        <v>-201.1068529</v>
      </c>
      <c r="Q112" s="20">
        <f t="shared" si="15"/>
        <v>433.603678</v>
      </c>
      <c r="R112" s="16"/>
      <c r="S112" s="14">
        <f t="shared" si="13"/>
        <v>2.345419521</v>
      </c>
      <c r="U112" s="21"/>
      <c r="V112" s="21"/>
      <c r="W112" s="21"/>
      <c r="X112" s="21"/>
      <c r="Y112" s="21"/>
      <c r="Z112" s="21"/>
    </row>
    <row r="113">
      <c r="A113" s="15">
        <v>101.0</v>
      </c>
      <c r="B113" s="15">
        <v>1.41983478260869E9</v>
      </c>
      <c r="C113" s="16">
        <v>-102.0784912</v>
      </c>
      <c r="D113" s="17">
        <f t="shared" si="1"/>
        <v>-565217.3913</v>
      </c>
      <c r="E113" s="18">
        <f t="shared" si="2"/>
        <v>118.460201</v>
      </c>
      <c r="F113" s="17">
        <f t="shared" si="3"/>
        <v>0.0002095834326</v>
      </c>
      <c r="G113" s="17">
        <f t="shared" si="4"/>
        <v>0</v>
      </c>
      <c r="H113" s="16">
        <f t="shared" si="5"/>
        <v>0</v>
      </c>
      <c r="I113" s="17">
        <f t="shared" si="6"/>
        <v>0</v>
      </c>
      <c r="J113" s="17">
        <f t="shared" si="7"/>
        <v>0</v>
      </c>
      <c r="K113" s="17"/>
      <c r="L113" s="17">
        <f t="shared" si="8"/>
        <v>471.2561679</v>
      </c>
      <c r="M113" s="2">
        <f t="shared" si="9"/>
        <v>468.6613752</v>
      </c>
      <c r="N113" s="9">
        <f t="shared" si="10"/>
        <v>2.59479274</v>
      </c>
      <c r="O113" s="17"/>
      <c r="P113" s="19">
        <f t="shared" si="14"/>
        <v>-202.0251491</v>
      </c>
      <c r="Q113" s="20">
        <f t="shared" si="15"/>
        <v>432.5712459</v>
      </c>
      <c r="R113" s="16"/>
      <c r="S113" s="14">
        <f t="shared" si="13"/>
        <v>2.382788138</v>
      </c>
      <c r="U113" s="21"/>
      <c r="V113" s="21"/>
      <c r="W113" s="21"/>
      <c r="X113" s="21"/>
      <c r="Y113" s="21"/>
      <c r="Z113" s="21"/>
    </row>
    <row r="114">
      <c r="A114" s="15">
        <v>102.0</v>
      </c>
      <c r="B114" s="15">
        <v>1.41983913043478E9</v>
      </c>
      <c r="C114" s="16">
        <v>-102.1603928</v>
      </c>
      <c r="D114" s="17">
        <f t="shared" si="1"/>
        <v>-560869.5652</v>
      </c>
      <c r="E114" s="18">
        <f t="shared" si="2"/>
        <v>117.5419049</v>
      </c>
      <c r="F114" s="17">
        <f t="shared" si="3"/>
        <v>0.0002095708382</v>
      </c>
      <c r="G114" s="17">
        <f t="shared" si="4"/>
        <v>0</v>
      </c>
      <c r="H114" s="16">
        <f t="shared" si="5"/>
        <v>0</v>
      </c>
      <c r="I114" s="17">
        <f t="shared" si="6"/>
        <v>0</v>
      </c>
      <c r="J114" s="17">
        <f t="shared" si="7"/>
        <v>0</v>
      </c>
      <c r="K114" s="17"/>
      <c r="L114" s="17">
        <f t="shared" si="8"/>
        <v>462.45224</v>
      </c>
      <c r="M114" s="2">
        <f t="shared" si="9"/>
        <v>468.587728</v>
      </c>
      <c r="N114" s="9">
        <f t="shared" si="10"/>
        <v>-6.135488024</v>
      </c>
      <c r="O114" s="17"/>
      <c r="P114" s="19">
        <f t="shared" si="14"/>
        <v>-202.9434452</v>
      </c>
      <c r="Q114" s="20">
        <f t="shared" si="15"/>
        <v>430.3942666</v>
      </c>
      <c r="R114" s="16"/>
      <c r="S114" s="14">
        <f t="shared" si="13"/>
        <v>-5.634194913</v>
      </c>
      <c r="U114" s="21"/>
      <c r="V114" s="21"/>
      <c r="W114" s="21"/>
      <c r="X114" s="21"/>
      <c r="Y114" s="21"/>
      <c r="Z114" s="21"/>
    </row>
    <row r="115">
      <c r="A115" s="15">
        <v>103.0</v>
      </c>
      <c r="B115" s="15">
        <v>1.41984347826087E9</v>
      </c>
      <c r="C115" s="16">
        <v>-102.1413956</v>
      </c>
      <c r="D115" s="17">
        <f t="shared" si="1"/>
        <v>-556521.7391</v>
      </c>
      <c r="E115" s="18">
        <f t="shared" si="2"/>
        <v>116.6236088</v>
      </c>
      <c r="F115" s="17">
        <f t="shared" si="3"/>
        <v>0.000209558047</v>
      </c>
      <c r="G115" s="17">
        <f t="shared" si="4"/>
        <v>0</v>
      </c>
      <c r="H115" s="16">
        <f t="shared" si="5"/>
        <v>0</v>
      </c>
      <c r="I115" s="17">
        <f t="shared" si="6"/>
        <v>0</v>
      </c>
      <c r="J115" s="17">
        <f t="shared" si="7"/>
        <v>0</v>
      </c>
      <c r="K115" s="17"/>
      <c r="L115" s="17">
        <f t="shared" si="8"/>
        <v>464.4795603</v>
      </c>
      <c r="M115" s="2">
        <f t="shared" si="9"/>
        <v>468.5142426</v>
      </c>
      <c r="N115" s="9">
        <f t="shared" si="10"/>
        <v>-4.034682327</v>
      </c>
      <c r="O115" s="17"/>
      <c r="P115" s="19">
        <f t="shared" si="14"/>
        <v>-203.8617413</v>
      </c>
      <c r="Q115" s="20">
        <f t="shared" si="15"/>
        <v>436.6367617</v>
      </c>
      <c r="R115" s="16"/>
      <c r="S115" s="14">
        <f t="shared" si="13"/>
        <v>-3.705033177</v>
      </c>
      <c r="U115" s="21"/>
      <c r="V115" s="21"/>
      <c r="W115" s="21"/>
      <c r="X115" s="21"/>
      <c r="Y115" s="21"/>
      <c r="Z115" s="21"/>
    </row>
    <row r="116">
      <c r="A116" s="15">
        <v>104.0</v>
      </c>
      <c r="B116" s="15">
        <v>1.41984782608695E9</v>
      </c>
      <c r="C116" s="16">
        <v>-102.0950928</v>
      </c>
      <c r="D116" s="17">
        <f t="shared" si="1"/>
        <v>-552173.913</v>
      </c>
      <c r="E116" s="18">
        <f t="shared" si="2"/>
        <v>115.7053126</v>
      </c>
      <c r="F116" s="17">
        <f t="shared" si="3"/>
        <v>0.0002095450544</v>
      </c>
      <c r="G116" s="17">
        <f t="shared" si="4"/>
        <v>0</v>
      </c>
      <c r="H116" s="16">
        <f t="shared" si="5"/>
        <v>0</v>
      </c>
      <c r="I116" s="17">
        <f t="shared" si="6"/>
        <v>0</v>
      </c>
      <c r="J116" s="17">
        <f t="shared" si="7"/>
        <v>0</v>
      </c>
      <c r="K116" s="17"/>
      <c r="L116" s="17">
        <f t="shared" si="8"/>
        <v>469.4581547</v>
      </c>
      <c r="M116" s="2">
        <f t="shared" si="9"/>
        <v>468.4409159</v>
      </c>
      <c r="N116" s="9">
        <f t="shared" si="10"/>
        <v>1.017238796</v>
      </c>
      <c r="O116" s="17"/>
      <c r="P116" s="19">
        <f t="shared" si="14"/>
        <v>-204.7800375</v>
      </c>
      <c r="Q116" s="20">
        <f t="shared" si="15"/>
        <v>427.6816997</v>
      </c>
      <c r="R116" s="16"/>
      <c r="S116" s="14">
        <f t="shared" si="13"/>
        <v>0.9341264522</v>
      </c>
      <c r="U116" s="21"/>
      <c r="V116" s="21"/>
      <c r="W116" s="21"/>
      <c r="X116" s="21"/>
      <c r="Y116" s="21"/>
      <c r="Z116" s="21"/>
    </row>
    <row r="117">
      <c r="A117" s="15">
        <v>105.0</v>
      </c>
      <c r="B117" s="15">
        <v>1.41985217391304E9</v>
      </c>
      <c r="C117" s="16">
        <v>-102.1452103</v>
      </c>
      <c r="D117" s="17">
        <f t="shared" si="1"/>
        <v>-547826.087</v>
      </c>
      <c r="E117" s="18">
        <f t="shared" si="2"/>
        <v>114.7870165</v>
      </c>
      <c r="F117" s="17">
        <f t="shared" si="3"/>
        <v>0.0002095318555</v>
      </c>
      <c r="G117" s="17">
        <f t="shared" si="4"/>
        <v>0</v>
      </c>
      <c r="H117" s="16">
        <f t="shared" si="5"/>
        <v>0</v>
      </c>
      <c r="I117" s="17">
        <f t="shared" si="6"/>
        <v>0</v>
      </c>
      <c r="J117" s="17">
        <f t="shared" si="7"/>
        <v>0</v>
      </c>
      <c r="K117" s="17"/>
      <c r="L117" s="17">
        <f t="shared" si="8"/>
        <v>464.0717559</v>
      </c>
      <c r="M117" s="2">
        <f t="shared" si="9"/>
        <v>468.3677447</v>
      </c>
      <c r="N117" s="9">
        <f t="shared" si="10"/>
        <v>-4.295988869</v>
      </c>
      <c r="O117" s="17"/>
      <c r="P117" s="19">
        <f t="shared" si="14"/>
        <v>-205.6983336</v>
      </c>
      <c r="Q117" s="20">
        <f t="shared" si="15"/>
        <v>434.4622304</v>
      </c>
      <c r="R117" s="16"/>
      <c r="S117" s="14">
        <f t="shared" si="13"/>
        <v>-3.944989956</v>
      </c>
      <c r="U117" s="21"/>
      <c r="V117" s="21"/>
      <c r="W117" s="21"/>
      <c r="X117" s="21"/>
      <c r="Y117" s="21"/>
      <c r="Z117" s="21"/>
    </row>
    <row r="118">
      <c r="A118" s="15">
        <v>106.0</v>
      </c>
      <c r="B118" s="15">
        <v>1.41985652173913E9</v>
      </c>
      <c r="C118" s="16">
        <v>-102.1345596</v>
      </c>
      <c r="D118" s="17">
        <f t="shared" si="1"/>
        <v>-543478.2609</v>
      </c>
      <c r="E118" s="18">
        <f t="shared" si="2"/>
        <v>113.8687204</v>
      </c>
      <c r="F118" s="17">
        <f t="shared" si="3"/>
        <v>0.0002095184455</v>
      </c>
      <c r="G118" s="17">
        <f t="shared" si="4"/>
        <v>0</v>
      </c>
      <c r="H118" s="16">
        <f t="shared" si="5"/>
        <v>0</v>
      </c>
      <c r="I118" s="17">
        <f t="shared" si="6"/>
        <v>0</v>
      </c>
      <c r="J118" s="17">
        <f t="shared" si="7"/>
        <v>0</v>
      </c>
      <c r="K118" s="17"/>
      <c r="L118" s="17">
        <f t="shared" si="8"/>
        <v>465.2112488</v>
      </c>
      <c r="M118" s="2">
        <f t="shared" si="9"/>
        <v>468.2947259</v>
      </c>
      <c r="N118" s="9">
        <f t="shared" si="10"/>
        <v>-3.083477147</v>
      </c>
      <c r="O118" s="17"/>
      <c r="P118" s="19">
        <f t="shared" si="14"/>
        <v>-206.6166297</v>
      </c>
      <c r="Q118" s="20">
        <f t="shared" si="15"/>
        <v>435.6912393</v>
      </c>
      <c r="R118" s="16"/>
      <c r="S118" s="14">
        <f t="shared" si="13"/>
        <v>-2.831545139</v>
      </c>
      <c r="U118" s="21"/>
      <c r="V118" s="21"/>
      <c r="W118" s="21"/>
      <c r="X118" s="21"/>
      <c r="Y118" s="21"/>
      <c r="Z118" s="21"/>
    </row>
    <row r="119">
      <c r="A119" s="15">
        <v>107.0</v>
      </c>
      <c r="B119" s="15">
        <v>1.41986086956521E9</v>
      </c>
      <c r="C119" s="16">
        <v>-102.0540543</v>
      </c>
      <c r="D119" s="17">
        <f t="shared" si="1"/>
        <v>-539130.4348</v>
      </c>
      <c r="E119" s="18">
        <f t="shared" si="2"/>
        <v>112.9504243</v>
      </c>
      <c r="F119" s="17">
        <f t="shared" si="3"/>
        <v>0.0002095048192</v>
      </c>
      <c r="G119" s="17">
        <f t="shared" si="4"/>
        <v>0</v>
      </c>
      <c r="H119" s="16">
        <f t="shared" si="5"/>
        <v>0</v>
      </c>
      <c r="I119" s="17">
        <f t="shared" si="6"/>
        <v>0</v>
      </c>
      <c r="J119" s="17">
        <f t="shared" si="7"/>
        <v>0</v>
      </c>
      <c r="K119" s="17"/>
      <c r="L119" s="17">
        <f t="shared" si="8"/>
        <v>473.9153083</v>
      </c>
      <c r="M119" s="2">
        <f t="shared" si="9"/>
        <v>468.2218563</v>
      </c>
      <c r="N119" s="9">
        <f t="shared" si="10"/>
        <v>5.693451957</v>
      </c>
      <c r="O119" s="17"/>
      <c r="P119" s="19">
        <f t="shared" si="14"/>
        <v>-207.5349259</v>
      </c>
      <c r="Q119" s="20">
        <f t="shared" si="15"/>
        <v>429.5928133</v>
      </c>
      <c r="R119" s="16"/>
      <c r="S119" s="14">
        <f t="shared" si="13"/>
        <v>5.228274915</v>
      </c>
      <c r="U119" s="21"/>
      <c r="V119" s="21"/>
      <c r="W119" s="21"/>
      <c r="X119" s="21"/>
      <c r="Y119" s="21"/>
      <c r="Z119" s="21"/>
    </row>
    <row r="120">
      <c r="A120" s="15">
        <v>108.0</v>
      </c>
      <c r="B120" s="15">
        <v>1.4198652173913E9</v>
      </c>
      <c r="C120" s="16">
        <v>-102.1044083</v>
      </c>
      <c r="D120" s="17">
        <f t="shared" si="1"/>
        <v>-534782.6087</v>
      </c>
      <c r="E120" s="18">
        <f t="shared" si="2"/>
        <v>112.0321281</v>
      </c>
      <c r="F120" s="17">
        <f t="shared" si="3"/>
        <v>0.0002094909713</v>
      </c>
      <c r="G120" s="17">
        <f t="shared" si="4"/>
        <v>0</v>
      </c>
      <c r="H120" s="16">
        <f t="shared" si="5"/>
        <v>0</v>
      </c>
      <c r="I120" s="17">
        <f t="shared" si="6"/>
        <v>0</v>
      </c>
      <c r="J120" s="17">
        <f t="shared" si="7"/>
        <v>0</v>
      </c>
      <c r="K120" s="17"/>
      <c r="L120" s="17">
        <f t="shared" si="8"/>
        <v>468.4522588</v>
      </c>
      <c r="M120" s="2">
        <f t="shared" si="9"/>
        <v>468.1491328</v>
      </c>
      <c r="N120" s="9">
        <f t="shared" si="10"/>
        <v>0.3031259669</v>
      </c>
      <c r="O120" s="17"/>
      <c r="P120" s="19">
        <f t="shared" si="14"/>
        <v>-208.453222</v>
      </c>
      <c r="Q120" s="20">
        <f t="shared" si="15"/>
        <v>426.1472472</v>
      </c>
      <c r="R120" s="16"/>
      <c r="S120" s="14">
        <f t="shared" si="13"/>
        <v>0.2783594025</v>
      </c>
      <c r="U120" s="21"/>
      <c r="V120" s="21"/>
      <c r="W120" s="21"/>
      <c r="X120" s="21"/>
      <c r="Y120" s="21"/>
      <c r="Z120" s="21"/>
    </row>
    <row r="121">
      <c r="A121" s="15">
        <v>109.0</v>
      </c>
      <c r="B121" s="15">
        <v>1.41986956521739E9</v>
      </c>
      <c r="C121" s="16">
        <v>-102.0856857</v>
      </c>
      <c r="D121" s="17">
        <f t="shared" si="1"/>
        <v>-530434.7826</v>
      </c>
      <c r="E121" s="18">
        <f t="shared" si="2"/>
        <v>111.113832</v>
      </c>
      <c r="F121" s="17">
        <f t="shared" si="3"/>
        <v>0.0002094768964</v>
      </c>
      <c r="G121" s="17">
        <f t="shared" si="4"/>
        <v>0</v>
      </c>
      <c r="H121" s="16">
        <f t="shared" si="5"/>
        <v>0</v>
      </c>
      <c r="I121" s="17">
        <f t="shared" si="6"/>
        <v>0</v>
      </c>
      <c r="J121" s="17">
        <f t="shared" si="7"/>
        <v>0</v>
      </c>
      <c r="K121" s="17"/>
      <c r="L121" s="17">
        <f t="shared" si="8"/>
        <v>470.4761336</v>
      </c>
      <c r="M121" s="2">
        <f t="shared" si="9"/>
        <v>468.0765523</v>
      </c>
      <c r="N121" s="9">
        <f t="shared" si="10"/>
        <v>2.399581338</v>
      </c>
      <c r="O121" s="17"/>
      <c r="P121" s="19">
        <f t="shared" si="14"/>
        <v>-209.3715181</v>
      </c>
      <c r="Q121" s="20">
        <f t="shared" si="15"/>
        <v>433.0167812</v>
      </c>
      <c r="R121" s="16"/>
      <c r="S121" s="14">
        <f t="shared" si="13"/>
        <v>2.203526263</v>
      </c>
      <c r="U121" s="21"/>
      <c r="V121" s="21"/>
      <c r="W121" s="21"/>
      <c r="X121" s="21"/>
      <c r="Y121" s="21"/>
      <c r="Z121" s="21"/>
    </row>
    <row r="122">
      <c r="A122" s="15">
        <v>110.0</v>
      </c>
      <c r="B122" s="15">
        <v>1.41987391304347E9</v>
      </c>
      <c r="C122" s="16">
        <v>-102.094986</v>
      </c>
      <c r="D122" s="17">
        <f t="shared" si="1"/>
        <v>-526086.9565</v>
      </c>
      <c r="E122" s="18">
        <f t="shared" si="2"/>
        <v>110.1955359</v>
      </c>
      <c r="F122" s="17">
        <f t="shared" si="3"/>
        <v>0.0002094625888</v>
      </c>
      <c r="G122" s="17">
        <f t="shared" si="4"/>
        <v>0</v>
      </c>
      <c r="H122" s="16">
        <f t="shared" si="5"/>
        <v>0</v>
      </c>
      <c r="I122" s="17">
        <f t="shared" si="6"/>
        <v>0</v>
      </c>
      <c r="J122" s="17">
        <f t="shared" si="7"/>
        <v>0</v>
      </c>
      <c r="K122" s="17"/>
      <c r="L122" s="17">
        <f t="shared" si="8"/>
        <v>469.4696996</v>
      </c>
      <c r="M122" s="2">
        <f t="shared" si="9"/>
        <v>468.0041116</v>
      </c>
      <c r="N122" s="9">
        <f t="shared" si="10"/>
        <v>1.465588019</v>
      </c>
      <c r="O122" s="17"/>
      <c r="P122" s="19">
        <f t="shared" si="14"/>
        <v>-210.2898143</v>
      </c>
      <c r="Q122" s="20">
        <f t="shared" si="15"/>
        <v>433.0494959</v>
      </c>
      <c r="R122" s="16"/>
      <c r="S122" s="14">
        <f t="shared" si="13"/>
        <v>1.34584381</v>
      </c>
      <c r="U122" s="21"/>
      <c r="V122" s="21"/>
      <c r="W122" s="21"/>
      <c r="X122" s="21"/>
      <c r="Y122" s="21"/>
      <c r="Z122" s="21"/>
    </row>
    <row r="123">
      <c r="A123" s="15">
        <v>111.0</v>
      </c>
      <c r="B123" s="15">
        <v>1.41987826086956E9</v>
      </c>
      <c r="C123" s="16">
        <v>-102.1240158</v>
      </c>
      <c r="D123" s="17">
        <f t="shared" si="1"/>
        <v>-521739.1304</v>
      </c>
      <c r="E123" s="18">
        <f t="shared" si="2"/>
        <v>109.2772397</v>
      </c>
      <c r="F123" s="17">
        <f t="shared" si="3"/>
        <v>0.0002094480428</v>
      </c>
      <c r="G123" s="17">
        <f t="shared" si="4"/>
        <v>0</v>
      </c>
      <c r="H123" s="16">
        <f t="shared" si="5"/>
        <v>0</v>
      </c>
      <c r="I123" s="17">
        <f t="shared" si="6"/>
        <v>0</v>
      </c>
      <c r="J123" s="17">
        <f t="shared" si="7"/>
        <v>0</v>
      </c>
      <c r="K123" s="17"/>
      <c r="L123" s="17">
        <f t="shared" si="8"/>
        <v>466.3420606</v>
      </c>
      <c r="M123" s="2">
        <f t="shared" si="9"/>
        <v>467.9318076</v>
      </c>
      <c r="N123" s="9">
        <f t="shared" si="10"/>
        <v>-1.589746947</v>
      </c>
      <c r="O123" s="17"/>
      <c r="P123" s="19">
        <f t="shared" si="14"/>
        <v>-211.2081104</v>
      </c>
      <c r="Q123" s="20">
        <f t="shared" si="15"/>
        <v>431.739185</v>
      </c>
      <c r="R123" s="16"/>
      <c r="S123" s="14">
        <f t="shared" si="13"/>
        <v>-1.45985847</v>
      </c>
      <c r="U123" s="21"/>
      <c r="V123" s="21"/>
      <c r="W123" s="21"/>
      <c r="X123" s="21"/>
      <c r="Y123" s="21"/>
      <c r="Z123" s="21"/>
    </row>
    <row r="124">
      <c r="A124" s="15">
        <v>112.0</v>
      </c>
      <c r="B124" s="15">
        <v>1.41988260869565E9</v>
      </c>
      <c r="C124" s="16">
        <v>-102.0974045</v>
      </c>
      <c r="D124" s="17">
        <f t="shared" si="1"/>
        <v>-517391.3043</v>
      </c>
      <c r="E124" s="18">
        <f t="shared" si="2"/>
        <v>108.3589436</v>
      </c>
      <c r="F124" s="17">
        <f t="shared" si="3"/>
        <v>0.0002094332523</v>
      </c>
      <c r="G124" s="17">
        <f t="shared" si="4"/>
        <v>0</v>
      </c>
      <c r="H124" s="16">
        <f t="shared" si="5"/>
        <v>0</v>
      </c>
      <c r="I124" s="17">
        <f t="shared" si="6"/>
        <v>0</v>
      </c>
      <c r="J124" s="17">
        <f t="shared" si="7"/>
        <v>0</v>
      </c>
      <c r="K124" s="17"/>
      <c r="L124" s="17">
        <f t="shared" si="8"/>
        <v>469.208334</v>
      </c>
      <c r="M124" s="2">
        <f t="shared" si="9"/>
        <v>467.8596371</v>
      </c>
      <c r="N124" s="9">
        <f t="shared" si="10"/>
        <v>1.348696916</v>
      </c>
      <c r="O124" s="17"/>
      <c r="P124" s="19"/>
      <c r="Q124" s="20"/>
      <c r="R124" s="16"/>
      <c r="S124" s="14">
        <f t="shared" si="13"/>
        <v>1.238503162</v>
      </c>
      <c r="U124" s="21"/>
      <c r="V124" s="21"/>
      <c r="W124" s="21"/>
      <c r="X124" s="21"/>
      <c r="Y124" s="21"/>
      <c r="Z124" s="21"/>
    </row>
    <row r="125">
      <c r="A125" s="15">
        <v>113.0</v>
      </c>
      <c r="B125" s="15">
        <v>1.41988695652173E9</v>
      </c>
      <c r="C125" s="16">
        <v>-102.0983734</v>
      </c>
      <c r="D125" s="17">
        <f t="shared" si="1"/>
        <v>-513043.4783</v>
      </c>
      <c r="E125" s="18">
        <f t="shared" si="2"/>
        <v>107.4406475</v>
      </c>
      <c r="F125" s="17">
        <f t="shared" si="3"/>
        <v>0.0002094182111</v>
      </c>
      <c r="G125" s="17">
        <f t="shared" si="4"/>
        <v>0</v>
      </c>
      <c r="H125" s="16">
        <f t="shared" si="5"/>
        <v>0</v>
      </c>
      <c r="I125" s="17">
        <f t="shared" si="6"/>
        <v>0</v>
      </c>
      <c r="J125" s="17">
        <f t="shared" si="7"/>
        <v>0</v>
      </c>
      <c r="K125" s="17"/>
      <c r="L125" s="17">
        <f t="shared" si="8"/>
        <v>469.1036665</v>
      </c>
      <c r="M125" s="2">
        <f t="shared" si="9"/>
        <v>467.787597</v>
      </c>
      <c r="N125" s="9">
        <f t="shared" si="10"/>
        <v>1.316069465</v>
      </c>
      <c r="O125" s="17"/>
      <c r="P125" s="17"/>
      <c r="Q125" s="17"/>
      <c r="R125" s="16"/>
      <c r="S125" s="14">
        <f t="shared" si="13"/>
        <v>1.2085415</v>
      </c>
      <c r="U125" s="21"/>
      <c r="V125" s="21"/>
      <c r="W125" s="21"/>
      <c r="X125" s="21"/>
      <c r="Y125" s="21"/>
      <c r="Z125" s="21"/>
    </row>
    <row r="126">
      <c r="A126" s="15">
        <v>114.0</v>
      </c>
      <c r="B126" s="15">
        <v>1.41989130434782E9</v>
      </c>
      <c r="C126" s="16">
        <v>-102.0740204</v>
      </c>
      <c r="D126" s="17">
        <f t="shared" si="1"/>
        <v>-508695.6522</v>
      </c>
      <c r="E126" s="18">
        <f t="shared" si="2"/>
        <v>106.5223513</v>
      </c>
      <c r="F126" s="17">
        <f t="shared" si="3"/>
        <v>0.0002094029129</v>
      </c>
      <c r="G126" s="17">
        <f t="shared" si="4"/>
        <v>0</v>
      </c>
      <c r="H126" s="16">
        <f t="shared" si="5"/>
        <v>0</v>
      </c>
      <c r="I126" s="17">
        <f t="shared" si="6"/>
        <v>0</v>
      </c>
      <c r="J126" s="17">
        <f t="shared" si="7"/>
        <v>0</v>
      </c>
      <c r="K126" s="17"/>
      <c r="L126" s="17">
        <f t="shared" si="8"/>
        <v>471.7415475</v>
      </c>
      <c r="M126" s="2">
        <f t="shared" si="9"/>
        <v>467.7156842</v>
      </c>
      <c r="N126" s="9">
        <f t="shared" si="10"/>
        <v>4.025863281</v>
      </c>
      <c r="O126" s="17"/>
      <c r="P126" s="17"/>
      <c r="Q126" s="17"/>
      <c r="R126" s="16"/>
      <c r="S126" s="14">
        <f t="shared" si="13"/>
        <v>3.696934683</v>
      </c>
      <c r="U126" s="21"/>
      <c r="V126" s="21"/>
      <c r="W126" s="21"/>
      <c r="X126" s="21"/>
      <c r="Y126" s="21"/>
      <c r="Z126" s="21"/>
    </row>
    <row r="127">
      <c r="A127" s="15">
        <v>115.0</v>
      </c>
      <c r="B127" s="15">
        <v>1.41989565217391E9</v>
      </c>
      <c r="C127" s="16">
        <v>-102.1502686</v>
      </c>
      <c r="D127" s="17">
        <f t="shared" si="1"/>
        <v>-504347.8261</v>
      </c>
      <c r="E127" s="18">
        <f t="shared" si="2"/>
        <v>105.6040552</v>
      </c>
      <c r="F127" s="17">
        <f t="shared" si="3"/>
        <v>0.0002093873508</v>
      </c>
      <c r="G127" s="17">
        <f t="shared" si="4"/>
        <v>0</v>
      </c>
      <c r="H127" s="16">
        <f t="shared" si="5"/>
        <v>0</v>
      </c>
      <c r="I127" s="17">
        <f t="shared" si="6"/>
        <v>0</v>
      </c>
      <c r="J127" s="17">
        <f t="shared" si="7"/>
        <v>0</v>
      </c>
      <c r="K127" s="17"/>
      <c r="L127" s="17">
        <f t="shared" si="8"/>
        <v>463.5315584</v>
      </c>
      <c r="M127" s="2">
        <f t="shared" si="9"/>
        <v>467.6438956</v>
      </c>
      <c r="N127" s="9">
        <f t="shared" si="10"/>
        <v>-4.112337144</v>
      </c>
      <c r="O127" s="17"/>
      <c r="P127" s="17"/>
      <c r="Q127" s="17"/>
      <c r="R127" s="16"/>
      <c r="S127" s="14">
        <f t="shared" si="13"/>
        <v>-3.776343287</v>
      </c>
      <c r="U127" s="21"/>
      <c r="V127" s="21"/>
      <c r="W127" s="21"/>
      <c r="X127" s="21"/>
      <c r="Y127" s="21"/>
      <c r="Z127" s="21"/>
    </row>
    <row r="128">
      <c r="A128" s="15">
        <v>116.0</v>
      </c>
      <c r="B128" s="15">
        <v>1.4199E9</v>
      </c>
      <c r="C128" s="16">
        <v>-102.1162338</v>
      </c>
      <c r="D128" s="17">
        <f t="shared" si="1"/>
        <v>-500000</v>
      </c>
      <c r="E128" s="18">
        <f t="shared" si="2"/>
        <v>104.6857591</v>
      </c>
      <c r="F128" s="17">
        <f t="shared" si="3"/>
        <v>0.0002093715181</v>
      </c>
      <c r="G128" s="17">
        <f t="shared" si="4"/>
        <v>0</v>
      </c>
      <c r="H128" s="16">
        <f t="shared" si="5"/>
        <v>0</v>
      </c>
      <c r="I128" s="17">
        <f t="shared" si="6"/>
        <v>0</v>
      </c>
      <c r="J128" s="17">
        <f t="shared" si="7"/>
        <v>0</v>
      </c>
      <c r="K128" s="17"/>
      <c r="L128" s="17">
        <f t="shared" si="8"/>
        <v>467.1784349</v>
      </c>
      <c r="M128" s="2">
        <f t="shared" si="9"/>
        <v>467.5722279</v>
      </c>
      <c r="N128" s="9">
        <f t="shared" si="10"/>
        <v>-0.3937930349</v>
      </c>
      <c r="O128" s="17"/>
      <c r="P128" s="17"/>
      <c r="Q128" s="17"/>
      <c r="R128" s="16"/>
      <c r="S128" s="14">
        <f t="shared" si="13"/>
        <v>-0.3616186211</v>
      </c>
      <c r="U128" s="21"/>
      <c r="V128" s="21"/>
      <c r="W128" s="21"/>
      <c r="X128" s="21"/>
      <c r="Y128" s="21"/>
      <c r="Z128" s="21"/>
    </row>
    <row r="129">
      <c r="A129" s="15">
        <v>117.0</v>
      </c>
      <c r="B129" s="15">
        <v>1.41990434782608E9</v>
      </c>
      <c r="C129" s="16">
        <v>-102.1121063</v>
      </c>
      <c r="D129" s="17">
        <f t="shared" si="1"/>
        <v>-495652.1739</v>
      </c>
      <c r="E129" s="18">
        <f t="shared" si="2"/>
        <v>103.7674629</v>
      </c>
      <c r="F129" s="17">
        <f t="shared" si="3"/>
        <v>0.0002093554077</v>
      </c>
      <c r="G129" s="17">
        <f t="shared" si="4"/>
        <v>0</v>
      </c>
      <c r="H129" s="16">
        <f t="shared" si="5"/>
        <v>0</v>
      </c>
      <c r="I129" s="17">
        <f t="shared" si="6"/>
        <v>0</v>
      </c>
      <c r="J129" s="17">
        <f t="shared" si="7"/>
        <v>0</v>
      </c>
      <c r="K129" s="17"/>
      <c r="L129" s="17">
        <f t="shared" si="8"/>
        <v>467.6226486</v>
      </c>
      <c r="M129" s="2">
        <f t="shared" si="9"/>
        <v>467.5006781</v>
      </c>
      <c r="N129" s="9">
        <f t="shared" si="10"/>
        <v>0.1219704654</v>
      </c>
      <c r="O129" s="17"/>
      <c r="P129" s="17"/>
      <c r="Q129" s="17"/>
      <c r="R129" s="16"/>
      <c r="S129" s="14">
        <f t="shared" si="13"/>
        <v>0.1120050067</v>
      </c>
      <c r="U129" s="21"/>
      <c r="V129" s="21"/>
      <c r="W129" s="21"/>
      <c r="X129" s="21"/>
      <c r="Y129" s="21"/>
      <c r="Z129" s="21"/>
    </row>
    <row r="130">
      <c r="A130" s="15">
        <v>118.0</v>
      </c>
      <c r="B130" s="15">
        <v>1.41990869565217E9</v>
      </c>
      <c r="C130" s="16">
        <v>-102.1102448</v>
      </c>
      <c r="D130" s="17">
        <f t="shared" si="1"/>
        <v>-491304.3478</v>
      </c>
      <c r="E130" s="18">
        <f t="shared" si="2"/>
        <v>102.8491668</v>
      </c>
      <c r="F130" s="17">
        <f t="shared" si="3"/>
        <v>0.0002093390121</v>
      </c>
      <c r="G130" s="17">
        <f t="shared" si="4"/>
        <v>0</v>
      </c>
      <c r="H130" s="16">
        <f t="shared" si="5"/>
        <v>0</v>
      </c>
      <c r="I130" s="17">
        <f t="shared" si="6"/>
        <v>0</v>
      </c>
      <c r="J130" s="17">
        <f t="shared" si="7"/>
        <v>0</v>
      </c>
      <c r="K130" s="17"/>
      <c r="L130" s="17">
        <f t="shared" si="8"/>
        <v>467.8231269</v>
      </c>
      <c r="M130" s="2">
        <f t="shared" si="9"/>
        <v>467.429243</v>
      </c>
      <c r="N130" s="9">
        <f t="shared" si="10"/>
        <v>0.3938838306</v>
      </c>
      <c r="O130" s="17"/>
      <c r="P130" s="17"/>
      <c r="Q130" s="17"/>
      <c r="R130" s="16"/>
      <c r="S130" s="14">
        <f t="shared" si="13"/>
        <v>0.3617019975</v>
      </c>
      <c r="U130" s="21"/>
      <c r="V130" s="21"/>
      <c r="W130" s="21"/>
      <c r="X130" s="21"/>
      <c r="Y130" s="21"/>
      <c r="Z130" s="21"/>
    </row>
    <row r="131">
      <c r="A131" s="15">
        <v>119.0</v>
      </c>
      <c r="B131" s="15">
        <v>1.41991304347826E9</v>
      </c>
      <c r="C131" s="16">
        <v>-102.1283112</v>
      </c>
      <c r="D131" s="17">
        <f t="shared" si="1"/>
        <v>-486956.5217</v>
      </c>
      <c r="E131" s="18">
        <f t="shared" si="2"/>
        <v>101.9308707</v>
      </c>
      <c r="F131" s="17">
        <f t="shared" si="3"/>
        <v>0.0002093223237</v>
      </c>
      <c r="G131" s="17">
        <f t="shared" si="4"/>
        <v>0</v>
      </c>
      <c r="H131" s="16">
        <f t="shared" si="5"/>
        <v>0</v>
      </c>
      <c r="I131" s="17">
        <f t="shared" si="6"/>
        <v>0</v>
      </c>
      <c r="J131" s="17">
        <f t="shared" si="7"/>
        <v>0</v>
      </c>
      <c r="K131" s="17"/>
      <c r="L131" s="17">
        <f t="shared" si="8"/>
        <v>465.8810519</v>
      </c>
      <c r="M131" s="2">
        <f t="shared" si="9"/>
        <v>467.3579195</v>
      </c>
      <c r="N131" s="9">
        <f t="shared" si="10"/>
        <v>-1.476867646</v>
      </c>
      <c r="O131" s="17"/>
      <c r="P131" s="17"/>
      <c r="Q131" s="17"/>
      <c r="R131" s="16"/>
      <c r="S131" s="14">
        <f t="shared" si="13"/>
        <v>-1.356201848</v>
      </c>
      <c r="U131" s="21"/>
      <c r="V131" s="21"/>
      <c r="W131" s="21"/>
      <c r="X131" s="21"/>
      <c r="Y131" s="21"/>
      <c r="Z131" s="21"/>
    </row>
    <row r="132">
      <c r="A132" s="15">
        <v>120.0</v>
      </c>
      <c r="B132" s="15">
        <v>1.41991739130434E9</v>
      </c>
      <c r="C132" s="16">
        <v>-102.1367035</v>
      </c>
      <c r="D132" s="17">
        <f t="shared" si="1"/>
        <v>-482608.6957</v>
      </c>
      <c r="E132" s="18">
        <f t="shared" si="2"/>
        <v>101.0125745</v>
      </c>
      <c r="F132" s="17">
        <f t="shared" si="3"/>
        <v>0.0002093053346</v>
      </c>
      <c r="G132" s="17">
        <f t="shared" si="4"/>
        <v>0</v>
      </c>
      <c r="H132" s="16">
        <f t="shared" si="5"/>
        <v>0</v>
      </c>
      <c r="I132" s="17">
        <f t="shared" si="6"/>
        <v>0</v>
      </c>
      <c r="J132" s="17">
        <f t="shared" si="7"/>
        <v>0</v>
      </c>
      <c r="K132" s="17"/>
      <c r="L132" s="17">
        <f t="shared" si="8"/>
        <v>464.9816533</v>
      </c>
      <c r="M132" s="2">
        <f t="shared" si="9"/>
        <v>467.2867045</v>
      </c>
      <c r="N132" s="9">
        <f t="shared" si="10"/>
        <v>-2.305051163</v>
      </c>
      <c r="O132" s="17"/>
      <c r="P132" s="17"/>
      <c r="Q132" s="17"/>
      <c r="R132" s="16"/>
      <c r="S132" s="14">
        <f t="shared" si="13"/>
        <v>-2.116719569</v>
      </c>
      <c r="U132" s="21"/>
      <c r="V132" s="21"/>
      <c r="W132" s="21"/>
      <c r="X132" s="21"/>
      <c r="Y132" s="21"/>
      <c r="Z132" s="21"/>
    </row>
    <row r="133">
      <c r="A133" s="15">
        <v>121.0</v>
      </c>
      <c r="B133" s="15">
        <v>1.41992173913043E9</v>
      </c>
      <c r="C133" s="16">
        <v>-102.1924744</v>
      </c>
      <c r="D133" s="17">
        <f t="shared" si="1"/>
        <v>-478260.8696</v>
      </c>
      <c r="E133" s="18">
        <f t="shared" si="2"/>
        <v>100.0942784</v>
      </c>
      <c r="F133" s="17">
        <f t="shared" si="3"/>
        <v>0.0002092880367</v>
      </c>
      <c r="G133" s="17">
        <f t="shared" si="4"/>
        <v>0</v>
      </c>
      <c r="H133" s="16">
        <f t="shared" si="5"/>
        <v>0</v>
      </c>
      <c r="I133" s="17">
        <f t="shared" si="6"/>
        <v>0</v>
      </c>
      <c r="J133" s="17">
        <f t="shared" si="7"/>
        <v>0</v>
      </c>
      <c r="K133" s="17"/>
      <c r="L133" s="17">
        <f t="shared" si="8"/>
        <v>459.0486636</v>
      </c>
      <c r="M133" s="2">
        <f t="shared" si="9"/>
        <v>467.2155948</v>
      </c>
      <c r="N133" s="9">
        <f t="shared" si="10"/>
        <v>-8.166931179</v>
      </c>
      <c r="O133" s="17"/>
      <c r="P133" s="17"/>
      <c r="Q133" s="17"/>
      <c r="R133" s="16"/>
      <c r="S133" s="14">
        <f t="shared" si="13"/>
        <v>-7.499661301</v>
      </c>
      <c r="U133" s="21"/>
      <c r="V133" s="21"/>
      <c r="W133" s="21"/>
      <c r="X133" s="21"/>
      <c r="Y133" s="21"/>
      <c r="Z133" s="21"/>
    </row>
    <row r="134">
      <c r="A134" s="15">
        <v>122.0</v>
      </c>
      <c r="B134" s="15">
        <v>1.41992608695652E9</v>
      </c>
      <c r="C134" s="16">
        <v>-102.0991516</v>
      </c>
      <c r="D134" s="17">
        <f t="shared" si="1"/>
        <v>-473913.0435</v>
      </c>
      <c r="E134" s="18">
        <f t="shared" si="2"/>
        <v>99.17598227</v>
      </c>
      <c r="F134" s="17">
        <f t="shared" si="3"/>
        <v>0.0002092704213</v>
      </c>
      <c r="G134" s="17">
        <f t="shared" si="4"/>
        <v>0</v>
      </c>
      <c r="H134" s="16">
        <f t="shared" si="5"/>
        <v>0</v>
      </c>
      <c r="I134" s="17">
        <f t="shared" si="6"/>
        <v>0</v>
      </c>
      <c r="J134" s="17">
        <f t="shared" si="7"/>
        <v>0</v>
      </c>
      <c r="K134" s="17"/>
      <c r="L134" s="17">
        <f t="shared" si="8"/>
        <v>469.0196167</v>
      </c>
      <c r="M134" s="2">
        <f t="shared" si="9"/>
        <v>467.1445872</v>
      </c>
      <c r="N134" s="9">
        <f t="shared" si="10"/>
        <v>1.875029457</v>
      </c>
      <c r="O134" s="17"/>
      <c r="P134" s="17"/>
      <c r="Q134" s="17"/>
      <c r="R134" s="16"/>
      <c r="S134" s="14">
        <f t="shared" si="13"/>
        <v>1.721832299</v>
      </c>
      <c r="U134" s="21"/>
      <c r="V134" s="21"/>
      <c r="W134" s="21"/>
      <c r="X134" s="21"/>
      <c r="Y134" s="21"/>
      <c r="Z134" s="21"/>
    </row>
    <row r="135">
      <c r="A135" s="15">
        <v>123.0</v>
      </c>
      <c r="B135" s="15">
        <v>1.4199304347826E9</v>
      </c>
      <c r="C135" s="16">
        <v>-102.0811005</v>
      </c>
      <c r="D135" s="17">
        <f t="shared" si="1"/>
        <v>-469565.2174</v>
      </c>
      <c r="E135" s="18">
        <f t="shared" si="2"/>
        <v>98.25768614</v>
      </c>
      <c r="F135" s="17">
        <f t="shared" si="3"/>
        <v>0.0002092524797</v>
      </c>
      <c r="G135" s="17">
        <f t="shared" si="4"/>
        <v>0</v>
      </c>
      <c r="H135" s="16">
        <f t="shared" si="5"/>
        <v>0</v>
      </c>
      <c r="I135" s="17">
        <f t="shared" si="6"/>
        <v>0</v>
      </c>
      <c r="J135" s="17">
        <f t="shared" si="7"/>
        <v>0</v>
      </c>
      <c r="K135" s="17"/>
      <c r="L135" s="17">
        <f t="shared" si="8"/>
        <v>470.9731158</v>
      </c>
      <c r="M135" s="2">
        <f t="shared" si="9"/>
        <v>467.0736787</v>
      </c>
      <c r="N135" s="9">
        <f t="shared" si="10"/>
        <v>3.899437178</v>
      </c>
      <c r="O135" s="17"/>
      <c r="P135" s="17"/>
      <c r="Q135" s="17"/>
      <c r="R135" s="16"/>
      <c r="S135" s="14">
        <f t="shared" si="13"/>
        <v>3.58083808</v>
      </c>
      <c r="U135" s="21"/>
      <c r="V135" s="21"/>
      <c r="W135" s="21"/>
      <c r="X135" s="21"/>
      <c r="Y135" s="21"/>
      <c r="Z135" s="21"/>
    </row>
    <row r="136">
      <c r="A136" s="15">
        <v>124.0</v>
      </c>
      <c r="B136" s="15">
        <v>1.41993478260869E9</v>
      </c>
      <c r="C136" s="16">
        <v>-102.1384964</v>
      </c>
      <c r="D136" s="17">
        <f t="shared" si="1"/>
        <v>-465217.3913</v>
      </c>
      <c r="E136" s="18">
        <f t="shared" si="2"/>
        <v>97.33939001</v>
      </c>
      <c r="F136" s="17">
        <f t="shared" si="3"/>
        <v>0.0002092342028</v>
      </c>
      <c r="G136" s="17">
        <f t="shared" si="4"/>
        <v>0</v>
      </c>
      <c r="H136" s="16">
        <f t="shared" si="5"/>
        <v>0</v>
      </c>
      <c r="I136" s="17">
        <f t="shared" si="6"/>
        <v>0</v>
      </c>
      <c r="J136" s="17">
        <f t="shared" si="7"/>
        <v>0</v>
      </c>
      <c r="K136" s="17"/>
      <c r="L136" s="17">
        <f t="shared" si="8"/>
        <v>464.7897344</v>
      </c>
      <c r="M136" s="2">
        <f t="shared" si="9"/>
        <v>467.002866</v>
      </c>
      <c r="N136" s="9">
        <f t="shared" si="10"/>
        <v>-2.213131685</v>
      </c>
      <c r="O136" s="17"/>
      <c r="P136" s="17"/>
      <c r="Q136" s="17"/>
      <c r="R136" s="16"/>
      <c r="S136" s="14">
        <f t="shared" si="13"/>
        <v>-2.032310267</v>
      </c>
      <c r="U136" s="21"/>
      <c r="V136" s="21"/>
      <c r="W136" s="21"/>
      <c r="X136" s="21"/>
      <c r="Y136" s="21"/>
      <c r="Z136" s="21"/>
    </row>
    <row r="137">
      <c r="A137" s="15">
        <v>125.0</v>
      </c>
      <c r="B137" s="15">
        <v>1.41993913043478E9</v>
      </c>
      <c r="C137" s="16">
        <v>-102.169136</v>
      </c>
      <c r="D137" s="17">
        <f t="shared" si="1"/>
        <v>-460869.5652</v>
      </c>
      <c r="E137" s="18">
        <f t="shared" si="2"/>
        <v>96.42109387</v>
      </c>
      <c r="F137" s="17">
        <f t="shared" si="3"/>
        <v>0.000209215581</v>
      </c>
      <c r="G137" s="17">
        <f t="shared" si="4"/>
        <v>0</v>
      </c>
      <c r="H137" s="16">
        <f t="shared" si="5"/>
        <v>0</v>
      </c>
      <c r="I137" s="17">
        <f t="shared" si="6"/>
        <v>0</v>
      </c>
      <c r="J137" s="17">
        <f t="shared" si="7"/>
        <v>0</v>
      </c>
      <c r="K137" s="17"/>
      <c r="L137" s="17">
        <f t="shared" si="8"/>
        <v>461.5221694</v>
      </c>
      <c r="M137" s="2">
        <f t="shared" si="9"/>
        <v>466.9321462</v>
      </c>
      <c r="N137" s="9">
        <f t="shared" si="10"/>
        <v>-5.409976755</v>
      </c>
      <c r="O137" s="17"/>
      <c r="P137" s="17"/>
      <c r="Q137" s="17"/>
      <c r="R137" s="16"/>
      <c r="S137" s="14">
        <f t="shared" si="13"/>
        <v>-4.967960721</v>
      </c>
      <c r="U137" s="21"/>
      <c r="V137" s="21"/>
      <c r="W137" s="21"/>
      <c r="X137" s="21"/>
      <c r="Y137" s="21"/>
      <c r="Z137" s="21"/>
    </row>
    <row r="138">
      <c r="A138" s="15">
        <v>126.0</v>
      </c>
      <c r="B138" s="15">
        <v>1.41994347826087E9</v>
      </c>
      <c r="C138" s="16">
        <v>-102.127594</v>
      </c>
      <c r="D138" s="17">
        <f t="shared" si="1"/>
        <v>-456521.7391</v>
      </c>
      <c r="E138" s="18">
        <f t="shared" si="2"/>
        <v>95.50279774</v>
      </c>
      <c r="F138" s="17">
        <f t="shared" si="3"/>
        <v>0.0002091966046</v>
      </c>
      <c r="G138" s="17">
        <f t="shared" si="4"/>
        <v>0</v>
      </c>
      <c r="H138" s="16">
        <f t="shared" si="5"/>
        <v>0</v>
      </c>
      <c r="I138" s="17">
        <f t="shared" si="6"/>
        <v>0</v>
      </c>
      <c r="J138" s="17">
        <f t="shared" si="7"/>
        <v>0</v>
      </c>
      <c r="K138" s="17"/>
      <c r="L138" s="17">
        <f t="shared" si="8"/>
        <v>465.9579945</v>
      </c>
      <c r="M138" s="2">
        <f t="shared" si="9"/>
        <v>466.8615159</v>
      </c>
      <c r="N138" s="9">
        <f t="shared" si="10"/>
        <v>-0.9035214128</v>
      </c>
      <c r="O138" s="17"/>
      <c r="P138" s="17"/>
      <c r="Q138" s="17"/>
      <c r="R138" s="16"/>
      <c r="S138" s="14">
        <f t="shared" si="13"/>
        <v>-0.8297002193</v>
      </c>
      <c r="U138" s="21"/>
      <c r="V138" s="21"/>
      <c r="W138" s="21"/>
      <c r="X138" s="21"/>
      <c r="Y138" s="21"/>
      <c r="Z138" s="21"/>
    </row>
    <row r="139">
      <c r="A139" s="15">
        <v>127.0</v>
      </c>
      <c r="B139" s="15">
        <v>1.41994782608695E9</v>
      </c>
      <c r="C139" s="16">
        <v>-102.1198578</v>
      </c>
      <c r="D139" s="17">
        <f t="shared" si="1"/>
        <v>-452173.913</v>
      </c>
      <c r="E139" s="18">
        <f t="shared" si="2"/>
        <v>94.58450161</v>
      </c>
      <c r="F139" s="17">
        <f t="shared" si="3"/>
        <v>0.0002091772632</v>
      </c>
      <c r="G139" s="17">
        <f t="shared" si="4"/>
        <v>0</v>
      </c>
      <c r="H139" s="16">
        <f t="shared" si="5"/>
        <v>0</v>
      </c>
      <c r="I139" s="17">
        <f t="shared" si="6"/>
        <v>0</v>
      </c>
      <c r="J139" s="17">
        <f t="shared" si="7"/>
        <v>0</v>
      </c>
      <c r="K139" s="17"/>
      <c r="L139" s="17">
        <f t="shared" si="8"/>
        <v>466.7887572</v>
      </c>
      <c r="M139" s="2">
        <f t="shared" si="9"/>
        <v>466.7909721</v>
      </c>
      <c r="N139" s="9">
        <f t="shared" si="10"/>
        <v>-0.002214901129</v>
      </c>
      <c r="O139" s="17"/>
      <c r="P139" s="17"/>
      <c r="Q139" s="17"/>
      <c r="R139" s="16"/>
      <c r="S139" s="14">
        <f t="shared" si="13"/>
        <v>-0.002033935141</v>
      </c>
      <c r="U139" s="21"/>
      <c r="V139" s="21"/>
      <c r="W139" s="21"/>
      <c r="X139" s="21"/>
      <c r="Y139" s="21"/>
      <c r="Z139" s="21"/>
    </row>
    <row r="140">
      <c r="A140" s="15">
        <v>128.0</v>
      </c>
      <c r="B140" s="15">
        <v>1.41995217391304E9</v>
      </c>
      <c r="C140" s="16">
        <v>-102.0986252</v>
      </c>
      <c r="D140" s="17">
        <f t="shared" si="1"/>
        <v>-447826.087</v>
      </c>
      <c r="E140" s="18">
        <f t="shared" si="2"/>
        <v>93.66620548</v>
      </c>
      <c r="F140" s="17">
        <f t="shared" si="3"/>
        <v>0.0002091575462</v>
      </c>
      <c r="G140" s="17">
        <f t="shared" si="4"/>
        <v>0</v>
      </c>
      <c r="H140" s="16">
        <f t="shared" si="5"/>
        <v>0</v>
      </c>
      <c r="I140" s="17">
        <f t="shared" si="6"/>
        <v>0</v>
      </c>
      <c r="J140" s="17">
        <f t="shared" si="7"/>
        <v>0</v>
      </c>
      <c r="K140" s="17"/>
      <c r="L140" s="17">
        <f t="shared" si="8"/>
        <v>469.0764691</v>
      </c>
      <c r="M140" s="2">
        <f t="shared" si="9"/>
        <v>466.7205117</v>
      </c>
      <c r="N140" s="9">
        <f t="shared" si="10"/>
        <v>2.355957343</v>
      </c>
      <c r="O140" s="17"/>
      <c r="P140" s="17"/>
      <c r="Q140" s="17"/>
      <c r="R140" s="16"/>
      <c r="S140" s="14">
        <f t="shared" si="13"/>
        <v>2.163466513</v>
      </c>
      <c r="U140" s="21"/>
      <c r="V140" s="21"/>
      <c r="W140" s="21"/>
      <c r="X140" s="21"/>
      <c r="Y140" s="21"/>
      <c r="Z140" s="21"/>
    </row>
    <row r="141">
      <c r="A141" s="15">
        <v>129.0</v>
      </c>
      <c r="B141" s="15">
        <v>1.41995652173913E9</v>
      </c>
      <c r="C141" s="16">
        <v>-102.0741119</v>
      </c>
      <c r="D141" s="17">
        <f t="shared" si="1"/>
        <v>-443478.2609</v>
      </c>
      <c r="E141" s="18">
        <f t="shared" si="2"/>
        <v>92.74790935</v>
      </c>
      <c r="F141" s="17">
        <f t="shared" si="3"/>
        <v>0.0002091374426</v>
      </c>
      <c r="G141" s="17">
        <f t="shared" si="4"/>
        <v>0</v>
      </c>
      <c r="H141" s="16">
        <f t="shared" si="5"/>
        <v>0</v>
      </c>
      <c r="I141" s="17">
        <f t="shared" si="6"/>
        <v>0</v>
      </c>
      <c r="J141" s="17">
        <f t="shared" si="7"/>
        <v>0</v>
      </c>
      <c r="K141" s="17"/>
      <c r="L141" s="17">
        <f t="shared" si="8"/>
        <v>471.7316087</v>
      </c>
      <c r="M141" s="2">
        <f t="shared" si="9"/>
        <v>466.6501315</v>
      </c>
      <c r="N141" s="9">
        <f t="shared" si="10"/>
        <v>5.081477142</v>
      </c>
      <c r="O141" s="17"/>
      <c r="P141" s="17"/>
      <c r="Q141" s="17"/>
      <c r="R141" s="16"/>
      <c r="S141" s="14">
        <f t="shared" si="13"/>
        <v>4.666300808</v>
      </c>
      <c r="U141" s="21"/>
      <c r="V141" s="21"/>
      <c r="W141" s="21"/>
      <c r="X141" s="21"/>
      <c r="Y141" s="21"/>
      <c r="Z141" s="21"/>
    </row>
    <row r="142">
      <c r="A142" s="15">
        <v>130.0</v>
      </c>
      <c r="B142" s="15">
        <v>1.41996086956521E9</v>
      </c>
      <c r="C142" s="16">
        <v>-102.1637878</v>
      </c>
      <c r="D142" s="17">
        <f t="shared" si="1"/>
        <v>-439130.4348</v>
      </c>
      <c r="E142" s="18">
        <f t="shared" si="2"/>
        <v>91.82961321</v>
      </c>
      <c r="F142" s="17">
        <f t="shared" si="3"/>
        <v>0.000209116941</v>
      </c>
      <c r="G142" s="17">
        <f t="shared" si="4"/>
        <v>0</v>
      </c>
      <c r="H142" s="16">
        <f t="shared" si="5"/>
        <v>0</v>
      </c>
      <c r="I142" s="17">
        <f t="shared" si="6"/>
        <v>0</v>
      </c>
      <c r="J142" s="17">
        <f t="shared" si="7"/>
        <v>0</v>
      </c>
      <c r="K142" s="17"/>
      <c r="L142" s="17">
        <f t="shared" si="8"/>
        <v>462.0908695</v>
      </c>
      <c r="M142" s="2">
        <f t="shared" si="9"/>
        <v>466.5798284</v>
      </c>
      <c r="N142" s="9">
        <f t="shared" si="10"/>
        <v>-4.488958826</v>
      </c>
      <c r="O142" s="17"/>
      <c r="P142" s="17"/>
      <c r="Q142" s="17"/>
      <c r="R142" s="16"/>
      <c r="S142" s="14">
        <f t="shared" si="13"/>
        <v>-4.12219353</v>
      </c>
      <c r="U142" s="21"/>
      <c r="V142" s="21"/>
      <c r="W142" s="21"/>
      <c r="X142" s="21"/>
      <c r="Y142" s="21"/>
      <c r="Z142" s="21"/>
    </row>
    <row r="143">
      <c r="A143" s="15">
        <v>131.0</v>
      </c>
      <c r="B143" s="15">
        <v>1.4199652173913E9</v>
      </c>
      <c r="C143" s="16">
        <v>-102.170784</v>
      </c>
      <c r="D143" s="17">
        <f t="shared" si="1"/>
        <v>-434782.6087</v>
      </c>
      <c r="E143" s="18">
        <f t="shared" si="2"/>
        <v>90.91131708</v>
      </c>
      <c r="F143" s="17">
        <f t="shared" si="3"/>
        <v>0.0002090960293</v>
      </c>
      <c r="G143" s="17">
        <f t="shared" si="4"/>
        <v>0</v>
      </c>
      <c r="H143" s="16">
        <f t="shared" si="5"/>
        <v>0</v>
      </c>
      <c r="I143" s="17">
        <f t="shared" si="6"/>
        <v>0</v>
      </c>
      <c r="J143" s="17">
        <f t="shared" si="7"/>
        <v>0</v>
      </c>
      <c r="K143" s="17"/>
      <c r="L143" s="17">
        <f t="shared" si="8"/>
        <v>461.3470707</v>
      </c>
      <c r="M143" s="2">
        <f t="shared" si="9"/>
        <v>466.5095992</v>
      </c>
      <c r="N143" s="9">
        <f t="shared" si="10"/>
        <v>-5.162528514</v>
      </c>
      <c r="O143" s="17"/>
      <c r="P143" s="17"/>
      <c r="Q143" s="17"/>
      <c r="R143" s="16"/>
      <c r="S143" s="14">
        <f t="shared" si="13"/>
        <v>-4.740729959</v>
      </c>
      <c r="U143" s="21"/>
      <c r="V143" s="21"/>
      <c r="W143" s="21"/>
      <c r="X143" s="21"/>
      <c r="Y143" s="21"/>
      <c r="Z143" s="21"/>
    </row>
    <row r="144">
      <c r="A144" s="15">
        <v>132.0</v>
      </c>
      <c r="B144" s="15">
        <v>1.41996956521739E9</v>
      </c>
      <c r="C144" s="16">
        <v>-102.1507339</v>
      </c>
      <c r="D144" s="17">
        <f t="shared" si="1"/>
        <v>-430434.7826</v>
      </c>
      <c r="E144" s="18">
        <f t="shared" si="2"/>
        <v>89.99302095</v>
      </c>
      <c r="F144" s="17">
        <f t="shared" si="3"/>
        <v>0.0002090746951</v>
      </c>
      <c r="G144" s="17">
        <f t="shared" si="4"/>
        <v>0</v>
      </c>
      <c r="H144" s="16">
        <f t="shared" si="5"/>
        <v>0</v>
      </c>
      <c r="I144" s="17">
        <f t="shared" si="6"/>
        <v>0</v>
      </c>
      <c r="J144" s="17">
        <f t="shared" si="7"/>
        <v>0</v>
      </c>
      <c r="K144" s="17"/>
      <c r="L144" s="17">
        <f t="shared" si="8"/>
        <v>463.4818986</v>
      </c>
      <c r="M144" s="2">
        <f t="shared" si="9"/>
        <v>466.4394408</v>
      </c>
      <c r="N144" s="9">
        <f t="shared" si="10"/>
        <v>-2.957542106</v>
      </c>
      <c r="O144" s="17"/>
      <c r="P144" s="17"/>
      <c r="Q144" s="17"/>
      <c r="R144" s="16"/>
      <c r="S144" s="14">
        <f t="shared" si="13"/>
        <v>-2.715899479</v>
      </c>
      <c r="U144" s="21"/>
      <c r="V144" s="21"/>
      <c r="W144" s="21"/>
      <c r="X144" s="21"/>
      <c r="Y144" s="21"/>
      <c r="Z144" s="21"/>
    </row>
    <row r="145">
      <c r="A145" s="15">
        <v>133.0</v>
      </c>
      <c r="B145" s="15">
        <v>1.41997391304347E9</v>
      </c>
      <c r="C145" s="16">
        <v>-102.1082535</v>
      </c>
      <c r="D145" s="17">
        <f t="shared" si="1"/>
        <v>-426086.9565</v>
      </c>
      <c r="E145" s="18">
        <f t="shared" si="2"/>
        <v>89.07472482</v>
      </c>
      <c r="F145" s="17">
        <f t="shared" si="3"/>
        <v>0.0002090529256</v>
      </c>
      <c r="G145" s="17">
        <f t="shared" si="4"/>
        <v>0</v>
      </c>
      <c r="H145" s="16">
        <f t="shared" si="5"/>
        <v>0</v>
      </c>
      <c r="I145" s="17">
        <f t="shared" si="6"/>
        <v>0</v>
      </c>
      <c r="J145" s="17">
        <f t="shared" si="7"/>
        <v>0</v>
      </c>
      <c r="K145" s="17"/>
      <c r="L145" s="17">
        <f t="shared" si="8"/>
        <v>468.0376794</v>
      </c>
      <c r="M145" s="2">
        <f t="shared" si="9"/>
        <v>466.36935</v>
      </c>
      <c r="N145" s="9">
        <f t="shared" si="10"/>
        <v>1.668329393</v>
      </c>
      <c r="O145" s="17"/>
      <c r="P145" s="17"/>
      <c r="Q145" s="17"/>
      <c r="R145" s="16"/>
      <c r="S145" s="14">
        <f t="shared" si="13"/>
        <v>1.53202043</v>
      </c>
      <c r="U145" s="21"/>
      <c r="V145" s="21"/>
      <c r="W145" s="21"/>
      <c r="X145" s="21"/>
      <c r="Y145" s="21"/>
      <c r="Z145" s="21"/>
    </row>
    <row r="146">
      <c r="A146" s="15">
        <v>134.0</v>
      </c>
      <c r="B146" s="15">
        <v>1.41997826086956E9</v>
      </c>
      <c r="C146" s="16">
        <v>-102.1034012</v>
      </c>
      <c r="D146" s="17">
        <f t="shared" si="1"/>
        <v>-421739.1304</v>
      </c>
      <c r="E146" s="18">
        <f t="shared" si="2"/>
        <v>88.15642869</v>
      </c>
      <c r="F146" s="17">
        <f t="shared" si="3"/>
        <v>0.0002090307072</v>
      </c>
      <c r="G146" s="17">
        <f t="shared" si="4"/>
        <v>0</v>
      </c>
      <c r="H146" s="16">
        <f t="shared" si="5"/>
        <v>0</v>
      </c>
      <c r="I146" s="17">
        <f t="shared" si="6"/>
        <v>0</v>
      </c>
      <c r="J146" s="17">
        <f t="shared" si="7"/>
        <v>0</v>
      </c>
      <c r="K146" s="17"/>
      <c r="L146" s="17">
        <f t="shared" si="8"/>
        <v>468.5609023</v>
      </c>
      <c r="M146" s="2">
        <f t="shared" si="9"/>
        <v>466.2993238</v>
      </c>
      <c r="N146" s="9">
        <f t="shared" si="10"/>
        <v>2.261578577</v>
      </c>
      <c r="O146" s="17"/>
      <c r="P146" s="17"/>
      <c r="Q146" s="17"/>
      <c r="R146" s="16"/>
      <c r="S146" s="14">
        <f t="shared" si="13"/>
        <v>2.076798857</v>
      </c>
      <c r="U146" s="21"/>
      <c r="V146" s="21"/>
      <c r="W146" s="21"/>
      <c r="X146" s="21"/>
      <c r="Y146" s="21"/>
      <c r="Z146" s="21"/>
    </row>
    <row r="147">
      <c r="A147" s="15">
        <v>135.0</v>
      </c>
      <c r="B147" s="15">
        <v>1.41998260869565E9</v>
      </c>
      <c r="C147" s="16">
        <v>-102.1466141</v>
      </c>
      <c r="D147" s="17">
        <f t="shared" si="1"/>
        <v>-417391.3043</v>
      </c>
      <c r="E147" s="18">
        <f t="shared" si="2"/>
        <v>87.23813255</v>
      </c>
      <c r="F147" s="17">
        <f t="shared" si="3"/>
        <v>0.0002090080259</v>
      </c>
      <c r="G147" s="17">
        <f t="shared" si="4"/>
        <v>0</v>
      </c>
      <c r="H147" s="16">
        <f t="shared" si="5"/>
        <v>0</v>
      </c>
      <c r="I147" s="17">
        <f t="shared" si="6"/>
        <v>0</v>
      </c>
      <c r="J147" s="17">
        <f t="shared" si="7"/>
        <v>0</v>
      </c>
      <c r="K147" s="17"/>
      <c r="L147" s="17">
        <f t="shared" si="8"/>
        <v>463.921775</v>
      </c>
      <c r="M147" s="2">
        <f t="shared" si="9"/>
        <v>466.2293589</v>
      </c>
      <c r="N147" s="9">
        <f t="shared" si="10"/>
        <v>-2.307583931</v>
      </c>
      <c r="O147" s="17"/>
      <c r="P147" s="17"/>
      <c r="Q147" s="17"/>
      <c r="R147" s="16"/>
      <c r="S147" s="14">
        <f t="shared" si="13"/>
        <v>-2.1190454</v>
      </c>
      <c r="U147" s="21"/>
      <c r="V147" s="21"/>
      <c r="W147" s="21"/>
      <c r="X147" s="21"/>
      <c r="Y147" s="21"/>
      <c r="Z147" s="21"/>
    </row>
    <row r="148">
      <c r="A148" s="15">
        <v>136.0</v>
      </c>
      <c r="B148" s="15">
        <v>1.41998695652173E9</v>
      </c>
      <c r="C148" s="16">
        <v>-102.1452103</v>
      </c>
      <c r="D148" s="17">
        <f t="shared" si="1"/>
        <v>-413043.4783</v>
      </c>
      <c r="E148" s="18">
        <f t="shared" si="2"/>
        <v>86.31983642</v>
      </c>
      <c r="F148" s="17">
        <f t="shared" si="3"/>
        <v>0.0002089848671</v>
      </c>
      <c r="G148" s="17">
        <f t="shared" si="4"/>
        <v>0</v>
      </c>
      <c r="H148" s="16">
        <f t="shared" si="5"/>
        <v>0</v>
      </c>
      <c r="I148" s="17">
        <f t="shared" si="6"/>
        <v>0</v>
      </c>
      <c r="J148" s="17">
        <f t="shared" si="7"/>
        <v>0</v>
      </c>
      <c r="K148" s="17"/>
      <c r="L148" s="17">
        <f t="shared" si="8"/>
        <v>464.0717559</v>
      </c>
      <c r="M148" s="2">
        <f t="shared" si="9"/>
        <v>466.1594523</v>
      </c>
      <c r="N148" s="9">
        <f t="shared" si="10"/>
        <v>-2.087696456</v>
      </c>
      <c r="O148" s="17"/>
      <c r="P148" s="17"/>
      <c r="Q148" s="17"/>
      <c r="R148" s="16"/>
      <c r="S148" s="14">
        <f t="shared" si="13"/>
        <v>-1.917123582</v>
      </c>
      <c r="U148" s="21"/>
      <c r="V148" s="21"/>
      <c r="W148" s="21"/>
      <c r="X148" s="21"/>
      <c r="Y148" s="21"/>
      <c r="Z148" s="21"/>
    </row>
    <row r="149">
      <c r="A149" s="15">
        <v>137.0</v>
      </c>
      <c r="B149" s="15">
        <v>1.41999130434782E9</v>
      </c>
      <c r="C149" s="16">
        <v>-102.1297607</v>
      </c>
      <c r="D149" s="17">
        <f t="shared" si="1"/>
        <v>-408695.6522</v>
      </c>
      <c r="E149" s="18">
        <f t="shared" si="2"/>
        <v>85.40154029</v>
      </c>
      <c r="F149" s="17">
        <f t="shared" si="3"/>
        <v>0.0002089612156</v>
      </c>
      <c r="G149" s="17">
        <f t="shared" si="4"/>
        <v>0</v>
      </c>
      <c r="H149" s="16">
        <f t="shared" si="5"/>
        <v>0</v>
      </c>
      <c r="I149" s="17">
        <f t="shared" si="6"/>
        <v>0</v>
      </c>
      <c r="J149" s="17">
        <f t="shared" si="7"/>
        <v>0</v>
      </c>
      <c r="K149" s="17"/>
      <c r="L149" s="17">
        <f t="shared" si="8"/>
        <v>465.7255855</v>
      </c>
      <c r="M149" s="2">
        <f t="shared" si="9"/>
        <v>466.0896008</v>
      </c>
      <c r="N149" s="9">
        <f t="shared" si="10"/>
        <v>-0.3640153078</v>
      </c>
      <c r="O149" s="17"/>
      <c r="P149" s="17"/>
      <c r="Q149" s="17"/>
      <c r="R149" s="16"/>
      <c r="S149" s="14">
        <f t="shared" si="13"/>
        <v>-0.3342738495</v>
      </c>
      <c r="U149" s="21"/>
      <c r="V149" s="21"/>
      <c r="W149" s="21"/>
      <c r="X149" s="21"/>
      <c r="Y149" s="21"/>
      <c r="Z149" s="21"/>
    </row>
    <row r="150">
      <c r="A150" s="15">
        <v>138.0</v>
      </c>
      <c r="B150" s="15">
        <v>1.41999565217391E9</v>
      </c>
      <c r="C150" s="16">
        <v>-102.1312714</v>
      </c>
      <c r="D150" s="17">
        <f t="shared" si="1"/>
        <v>-404347.8261</v>
      </c>
      <c r="E150" s="18">
        <f t="shared" si="2"/>
        <v>84.48324416</v>
      </c>
      <c r="F150" s="17">
        <f t="shared" si="3"/>
        <v>0.0002089370554</v>
      </c>
      <c r="G150" s="17">
        <f t="shared" si="4"/>
        <v>0</v>
      </c>
      <c r="H150" s="16">
        <f t="shared" si="5"/>
        <v>0</v>
      </c>
      <c r="I150" s="17">
        <f t="shared" si="6"/>
        <v>0</v>
      </c>
      <c r="J150" s="17">
        <f t="shared" si="7"/>
        <v>0</v>
      </c>
      <c r="K150" s="17"/>
      <c r="L150" s="17">
        <f t="shared" si="8"/>
        <v>465.5636103</v>
      </c>
      <c r="M150" s="2">
        <f t="shared" si="9"/>
        <v>466.0198013</v>
      </c>
      <c r="N150" s="9">
        <f t="shared" si="10"/>
        <v>-0.4561909683</v>
      </c>
      <c r="O150" s="17"/>
      <c r="P150" s="17"/>
      <c r="Q150" s="17"/>
      <c r="R150" s="16"/>
      <c r="S150" s="14">
        <f t="shared" si="13"/>
        <v>-0.4189184011</v>
      </c>
      <c r="U150" s="21"/>
      <c r="V150" s="21"/>
      <c r="W150" s="21"/>
      <c r="X150" s="21"/>
      <c r="Y150" s="21"/>
      <c r="Z150" s="21"/>
    </row>
    <row r="151">
      <c r="A151" s="15">
        <v>139.0</v>
      </c>
      <c r="B151" s="15">
        <v>1.42E9</v>
      </c>
      <c r="C151" s="16">
        <v>-102.1232758</v>
      </c>
      <c r="D151" s="17">
        <f t="shared" si="1"/>
        <v>-400000</v>
      </c>
      <c r="E151" s="18">
        <f t="shared" si="2"/>
        <v>83.56494803</v>
      </c>
      <c r="F151" s="17">
        <f t="shared" si="3"/>
        <v>0.0002089123701</v>
      </c>
      <c r="G151" s="17">
        <f t="shared" si="4"/>
        <v>0</v>
      </c>
      <c r="H151" s="16">
        <f t="shared" si="5"/>
        <v>0</v>
      </c>
      <c r="I151" s="17">
        <f t="shared" si="6"/>
        <v>0</v>
      </c>
      <c r="J151" s="17">
        <f t="shared" si="7"/>
        <v>0</v>
      </c>
      <c r="K151" s="17"/>
      <c r="L151" s="17">
        <f t="shared" si="8"/>
        <v>466.421528</v>
      </c>
      <c r="M151" s="2">
        <f t="shared" si="9"/>
        <v>465.9500506</v>
      </c>
      <c r="N151" s="9">
        <f t="shared" si="10"/>
        <v>0.4714774</v>
      </c>
      <c r="O151" s="17"/>
      <c r="P151" s="17"/>
      <c r="Q151" s="17"/>
      <c r="R151" s="16"/>
      <c r="S151" s="14">
        <f t="shared" si="13"/>
        <v>0.4329558731</v>
      </c>
      <c r="U151" s="21"/>
      <c r="V151" s="21"/>
      <c r="W151" s="21"/>
      <c r="X151" s="21"/>
      <c r="Y151" s="21"/>
      <c r="Z151" s="21"/>
    </row>
    <row r="152">
      <c r="A152" s="15">
        <v>140.0</v>
      </c>
      <c r="B152" s="15">
        <v>1.42000434782608E9</v>
      </c>
      <c r="C152" s="16">
        <v>-102.1599579</v>
      </c>
      <c r="D152" s="17">
        <f t="shared" si="1"/>
        <v>-395652.1739</v>
      </c>
      <c r="E152" s="18">
        <f t="shared" si="2"/>
        <v>82.64665189</v>
      </c>
      <c r="F152" s="17">
        <f t="shared" si="3"/>
        <v>0.0002088871421</v>
      </c>
      <c r="G152" s="17">
        <f t="shared" si="4"/>
        <v>0</v>
      </c>
      <c r="H152" s="16">
        <f t="shared" si="5"/>
        <v>0</v>
      </c>
      <c r="I152" s="17">
        <f t="shared" si="6"/>
        <v>0</v>
      </c>
      <c r="J152" s="17">
        <f t="shared" si="7"/>
        <v>0</v>
      </c>
      <c r="K152" s="17"/>
      <c r="L152" s="17">
        <f t="shared" si="8"/>
        <v>462.498552</v>
      </c>
      <c r="M152" s="2">
        <f t="shared" si="9"/>
        <v>465.8803456</v>
      </c>
      <c r="N152" s="9">
        <f t="shared" si="10"/>
        <v>-3.381793616</v>
      </c>
      <c r="O152" s="17"/>
      <c r="P152" s="17"/>
      <c r="Q152" s="17"/>
      <c r="R152" s="16"/>
      <c r="S152" s="14">
        <f t="shared" si="13"/>
        <v>-3.105488</v>
      </c>
      <c r="U152" s="21"/>
      <c r="V152" s="21"/>
      <c r="W152" s="21"/>
      <c r="X152" s="21"/>
      <c r="Y152" s="21"/>
      <c r="Z152" s="21"/>
    </row>
    <row r="153">
      <c r="A153" s="15">
        <v>141.0</v>
      </c>
      <c r="B153" s="15">
        <v>1.42000869565217E9</v>
      </c>
      <c r="C153" s="16">
        <v>-102.1370468</v>
      </c>
      <c r="D153" s="17">
        <f t="shared" si="1"/>
        <v>-391304.3478</v>
      </c>
      <c r="E153" s="18">
        <f t="shared" si="2"/>
        <v>81.72835576</v>
      </c>
      <c r="F153" s="17">
        <f t="shared" si="3"/>
        <v>0.0002088613536</v>
      </c>
      <c r="G153" s="17">
        <f t="shared" si="4"/>
        <v>0</v>
      </c>
      <c r="H153" s="16">
        <f t="shared" si="5"/>
        <v>0</v>
      </c>
      <c r="I153" s="17">
        <f t="shared" si="6"/>
        <v>0</v>
      </c>
      <c r="J153" s="17">
        <f t="shared" si="7"/>
        <v>0</v>
      </c>
      <c r="K153" s="17"/>
      <c r="L153" s="17">
        <f t="shared" si="8"/>
        <v>464.944899</v>
      </c>
      <c r="M153" s="2">
        <f t="shared" si="9"/>
        <v>465.8106832</v>
      </c>
      <c r="N153" s="9">
        <f t="shared" si="10"/>
        <v>-0.8657841429</v>
      </c>
      <c r="O153" s="17"/>
      <c r="P153" s="17"/>
      <c r="Q153" s="17"/>
      <c r="R153" s="16"/>
      <c r="S153" s="14">
        <f t="shared" si="13"/>
        <v>-0.7950462284</v>
      </c>
      <c r="U153" s="21"/>
      <c r="V153" s="21"/>
      <c r="W153" s="21"/>
      <c r="X153" s="21"/>
      <c r="Y153" s="21"/>
      <c r="Z153" s="21"/>
    </row>
    <row r="154">
      <c r="A154" s="15">
        <v>142.0</v>
      </c>
      <c r="B154" s="15">
        <v>1.42001304347826E9</v>
      </c>
      <c r="C154" s="16">
        <v>-102.1231995</v>
      </c>
      <c r="D154" s="17">
        <f t="shared" si="1"/>
        <v>-386956.5217</v>
      </c>
      <c r="E154" s="18">
        <f t="shared" si="2"/>
        <v>80.81005963</v>
      </c>
      <c r="F154" s="17">
        <f t="shared" si="3"/>
        <v>0.0002088349856</v>
      </c>
      <c r="G154" s="17">
        <f t="shared" si="4"/>
        <v>0</v>
      </c>
      <c r="H154" s="16">
        <f t="shared" si="5"/>
        <v>0</v>
      </c>
      <c r="I154" s="17">
        <f t="shared" si="6"/>
        <v>0</v>
      </c>
      <c r="J154" s="17">
        <f t="shared" si="7"/>
        <v>0</v>
      </c>
      <c r="K154" s="17"/>
      <c r="L154" s="17">
        <f t="shared" si="8"/>
        <v>466.4297225</v>
      </c>
      <c r="M154" s="2">
        <f t="shared" si="9"/>
        <v>465.7410602</v>
      </c>
      <c r="N154" s="9">
        <f t="shared" si="10"/>
        <v>0.6886623534</v>
      </c>
      <c r="O154" s="17"/>
      <c r="P154" s="17"/>
      <c r="Q154" s="17"/>
      <c r="R154" s="16"/>
      <c r="S154" s="14">
        <f t="shared" si="13"/>
        <v>0.6323959759</v>
      </c>
      <c r="U154" s="21"/>
      <c r="V154" s="21"/>
      <c r="W154" s="21"/>
      <c r="X154" s="21"/>
      <c r="Y154" s="21"/>
      <c r="Z154" s="21"/>
    </row>
    <row r="155">
      <c r="A155" s="15">
        <v>143.0</v>
      </c>
      <c r="B155" s="15">
        <v>1.42001739130434E9</v>
      </c>
      <c r="C155" s="16">
        <v>-102.1190948</v>
      </c>
      <c r="D155" s="17">
        <f t="shared" si="1"/>
        <v>-382608.6957</v>
      </c>
      <c r="E155" s="18">
        <f t="shared" si="2"/>
        <v>79.8917635</v>
      </c>
      <c r="F155" s="17">
        <f t="shared" si="3"/>
        <v>0.0002088080182</v>
      </c>
      <c r="G155" s="17">
        <f t="shared" si="4"/>
        <v>0</v>
      </c>
      <c r="H155" s="16">
        <f t="shared" si="5"/>
        <v>0</v>
      </c>
      <c r="I155" s="17">
        <f t="shared" si="6"/>
        <v>0</v>
      </c>
      <c r="J155" s="17">
        <f t="shared" si="7"/>
        <v>0</v>
      </c>
      <c r="K155" s="17"/>
      <c r="L155" s="17">
        <f t="shared" si="8"/>
        <v>466.8707733</v>
      </c>
      <c r="M155" s="2">
        <f t="shared" si="9"/>
        <v>465.6714734</v>
      </c>
      <c r="N155" s="9">
        <f t="shared" si="10"/>
        <v>1.199299852</v>
      </c>
      <c r="O155" s="17"/>
      <c r="P155" s="17"/>
      <c r="Q155" s="17"/>
      <c r="R155" s="16"/>
      <c r="S155" s="14">
        <f t="shared" si="13"/>
        <v>1.101312416</v>
      </c>
      <c r="U155" s="21"/>
      <c r="V155" s="21"/>
      <c r="W155" s="21"/>
      <c r="X155" s="21"/>
      <c r="Y155" s="21"/>
      <c r="Z155" s="21"/>
    </row>
    <row r="156">
      <c r="A156" s="15">
        <v>144.0</v>
      </c>
      <c r="B156" s="15">
        <v>1.42002173913043E9</v>
      </c>
      <c r="C156" s="16">
        <v>-102.1609879</v>
      </c>
      <c r="D156" s="17">
        <f t="shared" si="1"/>
        <v>-378260.8696</v>
      </c>
      <c r="E156" s="18">
        <f t="shared" si="2"/>
        <v>78.97346736</v>
      </c>
      <c r="F156" s="17">
        <f t="shared" si="3"/>
        <v>0.000208780431</v>
      </c>
      <c r="G156" s="17">
        <f t="shared" si="4"/>
        <v>0</v>
      </c>
      <c r="H156" s="16">
        <f t="shared" si="5"/>
        <v>0</v>
      </c>
      <c r="I156" s="17">
        <f t="shared" si="6"/>
        <v>0</v>
      </c>
      <c r="J156" s="17">
        <f t="shared" si="7"/>
        <v>0</v>
      </c>
      <c r="K156" s="17"/>
      <c r="L156" s="17">
        <f t="shared" si="8"/>
        <v>462.388876</v>
      </c>
      <c r="M156" s="2">
        <f t="shared" si="9"/>
        <v>465.6019198</v>
      </c>
      <c r="N156" s="9">
        <f t="shared" si="10"/>
        <v>-3.213043885</v>
      </c>
      <c r="O156" s="17"/>
      <c r="P156" s="17"/>
      <c r="Q156" s="17"/>
      <c r="R156" s="16"/>
      <c r="S156" s="14">
        <f t="shared" si="13"/>
        <v>-2.950525767</v>
      </c>
      <c r="U156" s="21"/>
      <c r="V156" s="21"/>
      <c r="W156" s="21"/>
      <c r="X156" s="21"/>
      <c r="Y156" s="21"/>
      <c r="Z156" s="21"/>
    </row>
    <row r="157">
      <c r="A157" s="15">
        <v>145.0</v>
      </c>
      <c r="B157" s="15">
        <v>1.42002608695652E9</v>
      </c>
      <c r="C157" s="16">
        <v>-102.2128983</v>
      </c>
      <c r="D157" s="17">
        <f t="shared" si="1"/>
        <v>-373913.0435</v>
      </c>
      <c r="E157" s="18">
        <f t="shared" si="2"/>
        <v>78.05517123</v>
      </c>
      <c r="F157" s="17">
        <f t="shared" si="3"/>
        <v>0.0002087522021</v>
      </c>
      <c r="G157" s="17">
        <f t="shared" si="4"/>
        <v>0</v>
      </c>
      <c r="H157" s="16">
        <f t="shared" si="5"/>
        <v>0</v>
      </c>
      <c r="I157" s="17">
        <f t="shared" si="6"/>
        <v>0</v>
      </c>
      <c r="J157" s="17">
        <f t="shared" si="7"/>
        <v>0</v>
      </c>
      <c r="K157" s="17"/>
      <c r="L157" s="17">
        <f t="shared" si="8"/>
        <v>456.8949284</v>
      </c>
      <c r="M157" s="2">
        <f t="shared" si="9"/>
        <v>465.5323963</v>
      </c>
      <c r="N157" s="9">
        <f t="shared" si="10"/>
        <v>-8.637467825</v>
      </c>
      <c r="O157" s="17"/>
      <c r="P157" s="17"/>
      <c r="Q157" s="17"/>
      <c r="R157" s="16"/>
      <c r="S157" s="14">
        <f t="shared" si="13"/>
        <v>-7.931753301</v>
      </c>
      <c r="U157" s="21"/>
      <c r="V157" s="21"/>
      <c r="W157" s="21"/>
      <c r="X157" s="21"/>
      <c r="Y157" s="21"/>
      <c r="Z157" s="21"/>
    </row>
    <row r="158">
      <c r="A158" s="15">
        <v>146.0</v>
      </c>
      <c r="B158" s="15">
        <v>1.4200304347826E9</v>
      </c>
      <c r="C158" s="16">
        <v>-102.1564178</v>
      </c>
      <c r="D158" s="17">
        <f t="shared" si="1"/>
        <v>-369565.2174</v>
      </c>
      <c r="E158" s="18">
        <f t="shared" si="2"/>
        <v>77.1368751</v>
      </c>
      <c r="F158" s="17">
        <f t="shared" si="3"/>
        <v>0.0002087233091</v>
      </c>
      <c r="G158" s="17">
        <f t="shared" si="4"/>
        <v>0</v>
      </c>
      <c r="H158" s="16">
        <f t="shared" si="5"/>
        <v>0</v>
      </c>
      <c r="I158" s="17">
        <f t="shared" si="6"/>
        <v>0</v>
      </c>
      <c r="J158" s="17">
        <f t="shared" si="7"/>
        <v>0</v>
      </c>
      <c r="K158" s="17"/>
      <c r="L158" s="17">
        <f t="shared" si="8"/>
        <v>462.8757059</v>
      </c>
      <c r="M158" s="2">
        <f t="shared" si="9"/>
        <v>465.4628995</v>
      </c>
      <c r="N158" s="9">
        <f t="shared" si="10"/>
        <v>-2.587193634</v>
      </c>
      <c r="O158" s="17"/>
      <c r="P158" s="17"/>
      <c r="Q158" s="17"/>
      <c r="R158" s="16"/>
      <c r="S158" s="14">
        <f t="shared" si="13"/>
        <v>-2.375809908</v>
      </c>
      <c r="U158" s="21"/>
      <c r="V158" s="21"/>
      <c r="W158" s="21"/>
      <c r="X158" s="21"/>
      <c r="Y158" s="21"/>
      <c r="Z158" s="21"/>
    </row>
    <row r="159">
      <c r="A159" s="15">
        <v>147.0</v>
      </c>
      <c r="B159" s="15">
        <v>1.42003478260869E9</v>
      </c>
      <c r="C159" s="16">
        <v>-102.1153793</v>
      </c>
      <c r="D159" s="17">
        <f t="shared" si="1"/>
        <v>-365217.3913</v>
      </c>
      <c r="E159" s="18">
        <f t="shared" si="2"/>
        <v>76.21857897</v>
      </c>
      <c r="F159" s="17">
        <f t="shared" si="3"/>
        <v>0.0002086937281</v>
      </c>
      <c r="G159" s="17">
        <f t="shared" si="4"/>
        <v>0</v>
      </c>
      <c r="H159" s="16">
        <f t="shared" si="5"/>
        <v>0</v>
      </c>
      <c r="I159" s="17">
        <f t="shared" si="6"/>
        <v>0</v>
      </c>
      <c r="J159" s="17">
        <f t="shared" si="7"/>
        <v>0</v>
      </c>
      <c r="K159" s="17"/>
      <c r="L159" s="17">
        <f t="shared" si="8"/>
        <v>467.270364</v>
      </c>
      <c r="M159" s="2">
        <f t="shared" si="9"/>
        <v>465.3934266</v>
      </c>
      <c r="N159" s="9">
        <f t="shared" si="10"/>
        <v>1.87693747</v>
      </c>
      <c r="O159" s="17"/>
      <c r="P159" s="17"/>
      <c r="Q159" s="17"/>
      <c r="R159" s="16"/>
      <c r="S159" s="14">
        <f t="shared" si="13"/>
        <v>1.72358442</v>
      </c>
      <c r="U159" s="21"/>
      <c r="V159" s="21"/>
      <c r="W159" s="21"/>
      <c r="X159" s="21"/>
      <c r="Y159" s="21"/>
      <c r="Z159" s="21"/>
    </row>
    <row r="160">
      <c r="A160" s="15">
        <v>148.0</v>
      </c>
      <c r="B160" s="15">
        <v>1.42003913043478E9</v>
      </c>
      <c r="C160" s="16">
        <v>-102.194313</v>
      </c>
      <c r="D160" s="17">
        <f t="shared" si="1"/>
        <v>-360869.5652</v>
      </c>
      <c r="E160" s="18">
        <f t="shared" si="2"/>
        <v>75.30028284</v>
      </c>
      <c r="F160" s="17">
        <f t="shared" si="3"/>
        <v>0.0002086634344</v>
      </c>
      <c r="G160" s="17">
        <f t="shared" si="4"/>
        <v>0</v>
      </c>
      <c r="H160" s="16">
        <f t="shared" si="5"/>
        <v>0</v>
      </c>
      <c r="I160" s="17">
        <f t="shared" si="6"/>
        <v>0</v>
      </c>
      <c r="J160" s="17">
        <f t="shared" si="7"/>
        <v>0</v>
      </c>
      <c r="K160" s="17"/>
      <c r="L160" s="17">
        <f t="shared" si="8"/>
        <v>458.854365</v>
      </c>
      <c r="M160" s="2">
        <f t="shared" si="9"/>
        <v>465.3239742</v>
      </c>
      <c r="N160" s="9">
        <f t="shared" si="10"/>
        <v>-6.469609226</v>
      </c>
      <c r="O160" s="17"/>
      <c r="P160" s="17"/>
      <c r="Q160" s="17"/>
      <c r="R160" s="16"/>
      <c r="S160" s="14">
        <f t="shared" si="13"/>
        <v>-5.94101712</v>
      </c>
      <c r="U160" s="21"/>
      <c r="V160" s="21"/>
      <c r="W160" s="21"/>
      <c r="X160" s="21"/>
      <c r="Y160" s="21"/>
      <c r="Z160" s="21"/>
    </row>
    <row r="161">
      <c r="A161" s="15">
        <v>149.0</v>
      </c>
      <c r="B161" s="15">
        <v>1.42004347826087E9</v>
      </c>
      <c r="C161" s="16">
        <v>-102.1493607</v>
      </c>
      <c r="D161" s="17">
        <f t="shared" si="1"/>
        <v>-356521.7391</v>
      </c>
      <c r="E161" s="18">
        <f t="shared" si="2"/>
        <v>74.3819867</v>
      </c>
      <c r="F161" s="17">
        <f t="shared" si="3"/>
        <v>0.0002086324017</v>
      </c>
      <c r="G161" s="17">
        <f t="shared" si="4"/>
        <v>0</v>
      </c>
      <c r="H161" s="16">
        <f t="shared" si="5"/>
        <v>0</v>
      </c>
      <c r="I161" s="17">
        <f t="shared" si="6"/>
        <v>0</v>
      </c>
      <c r="J161" s="17">
        <f t="shared" si="7"/>
        <v>0</v>
      </c>
      <c r="K161" s="17"/>
      <c r="L161" s="17">
        <f t="shared" si="8"/>
        <v>463.6284706</v>
      </c>
      <c r="M161" s="2">
        <f t="shared" si="9"/>
        <v>465.2545392</v>
      </c>
      <c r="N161" s="9">
        <f t="shared" si="10"/>
        <v>-1.62606863</v>
      </c>
      <c r="O161" s="17"/>
      <c r="P161" s="17"/>
      <c r="Q161" s="17"/>
      <c r="R161" s="16"/>
      <c r="S161" s="14">
        <f t="shared" si="13"/>
        <v>-1.493212535</v>
      </c>
      <c r="U161" s="21"/>
      <c r="V161" s="21"/>
      <c r="W161" s="21"/>
      <c r="X161" s="21"/>
      <c r="Y161" s="21"/>
      <c r="Z161" s="21"/>
    </row>
    <row r="162">
      <c r="A162" s="15">
        <v>150.0</v>
      </c>
      <c r="B162" s="15">
        <v>1.42004782608695E9</v>
      </c>
      <c r="C162" s="16">
        <v>-102.1562729</v>
      </c>
      <c r="D162" s="17">
        <f t="shared" si="1"/>
        <v>-352173.913</v>
      </c>
      <c r="E162" s="18">
        <f t="shared" si="2"/>
        <v>73.46369057</v>
      </c>
      <c r="F162" s="17">
        <f t="shared" si="3"/>
        <v>0.0002086006029</v>
      </c>
      <c r="G162" s="17">
        <f t="shared" si="4"/>
        <v>0</v>
      </c>
      <c r="H162" s="16">
        <f t="shared" si="5"/>
        <v>0</v>
      </c>
      <c r="I162" s="17">
        <f t="shared" si="6"/>
        <v>0</v>
      </c>
      <c r="J162" s="17">
        <f t="shared" si="7"/>
        <v>0</v>
      </c>
      <c r="K162" s="17"/>
      <c r="L162" s="17">
        <f t="shared" si="8"/>
        <v>462.8911498</v>
      </c>
      <c r="M162" s="2">
        <f t="shared" si="9"/>
        <v>465.1851186</v>
      </c>
      <c r="N162" s="9">
        <f t="shared" si="10"/>
        <v>-2.293968876</v>
      </c>
      <c r="O162" s="17"/>
      <c r="P162" s="17"/>
      <c r="Q162" s="17"/>
      <c r="R162" s="16"/>
      <c r="S162" s="14">
        <f t="shared" si="13"/>
        <v>-2.106542747</v>
      </c>
      <c r="U162" s="21"/>
      <c r="V162" s="21"/>
      <c r="W162" s="21"/>
      <c r="X162" s="21"/>
      <c r="Y162" s="21"/>
      <c r="Z162" s="21"/>
    </row>
    <row r="163">
      <c r="A163" s="15">
        <v>151.0</v>
      </c>
      <c r="B163" s="15">
        <v>1.42005217391304E9</v>
      </c>
      <c r="C163" s="16">
        <v>-102.1533813</v>
      </c>
      <c r="D163" s="17">
        <f t="shared" si="1"/>
        <v>-347826.087</v>
      </c>
      <c r="E163" s="18">
        <f t="shared" si="2"/>
        <v>72.54539444</v>
      </c>
      <c r="F163" s="17">
        <f t="shared" si="3"/>
        <v>0.000208568009</v>
      </c>
      <c r="G163" s="17">
        <f t="shared" si="4"/>
        <v>0</v>
      </c>
      <c r="H163" s="16">
        <f t="shared" si="5"/>
        <v>0</v>
      </c>
      <c r="I163" s="17">
        <f t="shared" si="6"/>
        <v>0</v>
      </c>
      <c r="J163" s="17">
        <f t="shared" si="7"/>
        <v>0</v>
      </c>
      <c r="K163" s="17"/>
      <c r="L163" s="17">
        <f t="shared" si="8"/>
        <v>463.1994525</v>
      </c>
      <c r="M163" s="2">
        <f t="shared" si="9"/>
        <v>465.1157092</v>
      </c>
      <c r="N163" s="9">
        <f t="shared" si="10"/>
        <v>-1.916256719</v>
      </c>
      <c r="O163" s="17"/>
      <c r="P163" s="17"/>
      <c r="Q163" s="17"/>
      <c r="R163" s="16"/>
      <c r="S163" s="14">
        <f t="shared" si="13"/>
        <v>-1.75969113</v>
      </c>
      <c r="U163" s="21"/>
      <c r="V163" s="21"/>
      <c r="W163" s="21"/>
      <c r="X163" s="21"/>
      <c r="Y163" s="21"/>
      <c r="Z163" s="21"/>
    </row>
    <row r="164">
      <c r="A164" s="15">
        <v>152.0</v>
      </c>
      <c r="B164" s="15">
        <v>1.42005652173913E9</v>
      </c>
      <c r="C164" s="16">
        <v>-102.0986252</v>
      </c>
      <c r="D164" s="17">
        <f t="shared" si="1"/>
        <v>-343478.2609</v>
      </c>
      <c r="E164" s="18">
        <f t="shared" si="2"/>
        <v>71.62709831</v>
      </c>
      <c r="F164" s="17">
        <f t="shared" si="3"/>
        <v>0.00020853459</v>
      </c>
      <c r="G164" s="17">
        <f t="shared" si="4"/>
        <v>0</v>
      </c>
      <c r="H164" s="16">
        <f t="shared" si="5"/>
        <v>0</v>
      </c>
      <c r="I164" s="17">
        <f t="shared" si="6"/>
        <v>0</v>
      </c>
      <c r="J164" s="17">
        <f t="shared" si="7"/>
        <v>0</v>
      </c>
      <c r="K164" s="17"/>
      <c r="L164" s="17">
        <f t="shared" si="8"/>
        <v>469.0764691</v>
      </c>
      <c r="M164" s="2">
        <f t="shared" si="9"/>
        <v>465.0463078</v>
      </c>
      <c r="N164" s="9">
        <f t="shared" si="10"/>
        <v>4.030161239</v>
      </c>
      <c r="O164" s="17"/>
      <c r="P164" s="17"/>
      <c r="Q164" s="17"/>
      <c r="R164" s="16"/>
      <c r="S164" s="14">
        <f t="shared" si="13"/>
        <v>3.70088148</v>
      </c>
      <c r="U164" s="21"/>
      <c r="V164" s="21"/>
      <c r="W164" s="21"/>
      <c r="X164" s="21"/>
      <c r="Y164" s="21"/>
      <c r="Z164" s="21"/>
    </row>
    <row r="165">
      <c r="A165" s="15">
        <v>153.0</v>
      </c>
      <c r="B165" s="15">
        <v>1.42006086956521E9</v>
      </c>
      <c r="C165" s="16">
        <v>-102.1245728</v>
      </c>
      <c r="D165" s="17">
        <f t="shared" si="1"/>
        <v>-339130.4348</v>
      </c>
      <c r="E165" s="18">
        <f t="shared" si="2"/>
        <v>70.70880218</v>
      </c>
      <c r="F165" s="17">
        <f t="shared" si="3"/>
        <v>0.0002085003141</v>
      </c>
      <c r="G165" s="17">
        <f t="shared" si="4"/>
        <v>0</v>
      </c>
      <c r="H165" s="16">
        <f t="shared" si="5"/>
        <v>0</v>
      </c>
      <c r="I165" s="17">
        <f t="shared" si="6"/>
        <v>0</v>
      </c>
      <c r="J165" s="17">
        <f t="shared" si="7"/>
        <v>0</v>
      </c>
      <c r="K165" s="17"/>
      <c r="L165" s="17">
        <f t="shared" si="8"/>
        <v>466.2822542</v>
      </c>
      <c r="M165" s="2">
        <f t="shared" si="9"/>
        <v>464.9769114</v>
      </c>
      <c r="N165" s="9">
        <f t="shared" si="10"/>
        <v>1.305342865</v>
      </c>
      <c r="O165" s="17"/>
      <c r="P165" s="17"/>
      <c r="Q165" s="17"/>
      <c r="R165" s="16"/>
      <c r="S165" s="14">
        <f t="shared" si="13"/>
        <v>1.198691305</v>
      </c>
      <c r="U165" s="21"/>
      <c r="V165" s="21"/>
      <c r="W165" s="21"/>
      <c r="X165" s="21"/>
      <c r="Y165" s="21"/>
      <c r="Z165" s="21"/>
    </row>
    <row r="166">
      <c r="A166" s="15">
        <v>154.0</v>
      </c>
      <c r="B166" s="15">
        <v>1.4200652173913E9</v>
      </c>
      <c r="C166" s="16">
        <v>-102.130867</v>
      </c>
      <c r="D166" s="17">
        <f t="shared" si="1"/>
        <v>-334782.6087</v>
      </c>
      <c r="E166" s="18">
        <f t="shared" si="2"/>
        <v>69.79050604</v>
      </c>
      <c r="F166" s="17">
        <f t="shared" si="3"/>
        <v>0.0002084651479</v>
      </c>
      <c r="G166" s="17">
        <f t="shared" si="4"/>
        <v>0</v>
      </c>
      <c r="H166" s="16">
        <f t="shared" si="5"/>
        <v>0</v>
      </c>
      <c r="I166" s="17">
        <f t="shared" si="6"/>
        <v>0</v>
      </c>
      <c r="J166" s="17">
        <f t="shared" si="7"/>
        <v>0</v>
      </c>
      <c r="K166" s="17"/>
      <c r="L166" s="17">
        <f t="shared" si="8"/>
        <v>465.606964</v>
      </c>
      <c r="M166" s="2">
        <f t="shared" si="9"/>
        <v>464.9075166</v>
      </c>
      <c r="N166" s="9">
        <f t="shared" si="10"/>
        <v>0.6994473794</v>
      </c>
      <c r="O166" s="17"/>
      <c r="P166" s="17"/>
      <c r="Q166" s="17"/>
      <c r="R166" s="16"/>
      <c r="S166" s="14">
        <f t="shared" si="13"/>
        <v>0.6422998221</v>
      </c>
      <c r="U166" s="21"/>
      <c r="V166" s="21"/>
      <c r="W166" s="21"/>
      <c r="X166" s="21"/>
      <c r="Y166" s="21"/>
      <c r="Z166" s="21"/>
    </row>
    <row r="167">
      <c r="A167" s="15">
        <v>155.0</v>
      </c>
      <c r="B167" s="15">
        <v>1.42006956521739E9</v>
      </c>
      <c r="C167" s="16">
        <v>-102.1198578</v>
      </c>
      <c r="D167" s="17">
        <f t="shared" si="1"/>
        <v>-330434.7826</v>
      </c>
      <c r="E167" s="18">
        <f t="shared" si="2"/>
        <v>68.87220991</v>
      </c>
      <c r="F167" s="17">
        <f t="shared" si="3"/>
        <v>0.0002084290563</v>
      </c>
      <c r="G167" s="17">
        <f t="shared" si="4"/>
        <v>0</v>
      </c>
      <c r="H167" s="16">
        <f t="shared" si="5"/>
        <v>0</v>
      </c>
      <c r="I167" s="17">
        <f t="shared" si="6"/>
        <v>0</v>
      </c>
      <c r="J167" s="17">
        <f t="shared" si="7"/>
        <v>0</v>
      </c>
      <c r="K167" s="17"/>
      <c r="L167" s="17">
        <f t="shared" si="8"/>
        <v>466.7887572</v>
      </c>
      <c r="M167" s="2">
        <f t="shared" si="9"/>
        <v>464.8381206</v>
      </c>
      <c r="N167" s="9">
        <f t="shared" si="10"/>
        <v>1.950636674</v>
      </c>
      <c r="O167" s="17"/>
      <c r="P167" s="17"/>
      <c r="Q167" s="17"/>
      <c r="R167" s="16"/>
      <c r="S167" s="14">
        <f t="shared" si="13"/>
        <v>1.791262114</v>
      </c>
      <c r="U167" s="21"/>
      <c r="V167" s="21"/>
      <c r="W167" s="21"/>
      <c r="X167" s="21"/>
      <c r="Y167" s="21"/>
      <c r="Z167" s="21"/>
    </row>
    <row r="168">
      <c r="A168" s="15">
        <v>156.0</v>
      </c>
      <c r="B168" s="15">
        <v>1.42007391304347E9</v>
      </c>
      <c r="C168" s="16">
        <v>-102.1230011</v>
      </c>
      <c r="D168" s="17">
        <f t="shared" si="1"/>
        <v>-326086.9565</v>
      </c>
      <c r="E168" s="18">
        <f t="shared" si="2"/>
        <v>67.95391378</v>
      </c>
      <c r="F168" s="17">
        <f t="shared" si="3"/>
        <v>0.0002083920023</v>
      </c>
      <c r="G168" s="17">
        <f t="shared" si="4"/>
        <v>0</v>
      </c>
      <c r="H168" s="16">
        <f t="shared" si="5"/>
        <v>0</v>
      </c>
      <c r="I168" s="17">
        <f t="shared" si="6"/>
        <v>0</v>
      </c>
      <c r="J168" s="17">
        <f t="shared" si="7"/>
        <v>0</v>
      </c>
      <c r="K168" s="17"/>
      <c r="L168" s="17">
        <f t="shared" si="8"/>
        <v>466.451031</v>
      </c>
      <c r="M168" s="2">
        <f t="shared" si="9"/>
        <v>464.76872</v>
      </c>
      <c r="N168" s="9">
        <f t="shared" si="10"/>
        <v>1.682311056</v>
      </c>
      <c r="O168" s="17"/>
      <c r="P168" s="17"/>
      <c r="Q168" s="17"/>
      <c r="R168" s="16"/>
      <c r="S168" s="14">
        <f t="shared" si="13"/>
        <v>1.544859737</v>
      </c>
      <c r="U168" s="21"/>
      <c r="V168" s="21"/>
      <c r="W168" s="21"/>
      <c r="X168" s="21"/>
      <c r="Y168" s="21"/>
      <c r="Z168" s="21"/>
    </row>
    <row r="169">
      <c r="A169" s="15">
        <v>157.0</v>
      </c>
      <c r="B169" s="15">
        <v>1.42007826086956E9</v>
      </c>
      <c r="C169" s="16">
        <v>-102.2019272</v>
      </c>
      <c r="D169" s="17">
        <f t="shared" si="1"/>
        <v>-321739.1304</v>
      </c>
      <c r="E169" s="18">
        <f t="shared" si="2"/>
        <v>67.03561765</v>
      </c>
      <c r="F169" s="17">
        <f t="shared" si="3"/>
        <v>0.0002083539467</v>
      </c>
      <c r="G169" s="17">
        <f t="shared" si="4"/>
        <v>0</v>
      </c>
      <c r="H169" s="16">
        <f t="shared" si="5"/>
        <v>0</v>
      </c>
      <c r="I169" s="17">
        <f t="shared" si="6"/>
        <v>0</v>
      </c>
      <c r="J169" s="17">
        <f t="shared" si="7"/>
        <v>0</v>
      </c>
      <c r="K169" s="17"/>
      <c r="L169" s="17">
        <f t="shared" si="8"/>
        <v>458.0505905</v>
      </c>
      <c r="M169" s="2">
        <f t="shared" si="9"/>
        <v>464.6993118</v>
      </c>
      <c r="N169" s="9">
        <f t="shared" si="10"/>
        <v>-6.648721236</v>
      </c>
      <c r="O169" s="17"/>
      <c r="P169" s="17"/>
      <c r="Q169" s="17"/>
      <c r="R169" s="16"/>
      <c r="S169" s="14">
        <f t="shared" si="13"/>
        <v>-6.105494984</v>
      </c>
      <c r="U169" s="21"/>
      <c r="V169" s="21"/>
      <c r="W169" s="21"/>
      <c r="X169" s="21"/>
      <c r="Y169" s="21"/>
      <c r="Z169" s="21"/>
    </row>
    <row r="170">
      <c r="A170" s="15">
        <v>158.0</v>
      </c>
      <c r="B170" s="15">
        <v>1.42008260869565E9</v>
      </c>
      <c r="C170" s="16">
        <v>-102.1839294</v>
      </c>
      <c r="D170" s="17">
        <f t="shared" si="1"/>
        <v>-317391.3043</v>
      </c>
      <c r="E170" s="18">
        <f t="shared" si="2"/>
        <v>66.11732152</v>
      </c>
      <c r="F170" s="17">
        <f t="shared" si="3"/>
        <v>0.0002083148486</v>
      </c>
      <c r="G170" s="17">
        <f t="shared" si="4"/>
        <v>0</v>
      </c>
      <c r="H170" s="16">
        <f t="shared" si="5"/>
        <v>0</v>
      </c>
      <c r="I170" s="17">
        <f t="shared" si="6"/>
        <v>0</v>
      </c>
      <c r="J170" s="17">
        <f t="shared" si="7"/>
        <v>0</v>
      </c>
      <c r="K170" s="17"/>
      <c r="L170" s="17">
        <f t="shared" si="8"/>
        <v>459.952758</v>
      </c>
      <c r="M170" s="2">
        <f t="shared" si="9"/>
        <v>464.6298928</v>
      </c>
      <c r="N170" s="9">
        <f t="shared" si="10"/>
        <v>-4.677134724</v>
      </c>
      <c r="O170" s="17"/>
      <c r="P170" s="17"/>
      <c r="Q170" s="17"/>
      <c r="R170" s="16"/>
      <c r="S170" s="14">
        <f t="shared" si="13"/>
        <v>-4.29499473</v>
      </c>
      <c r="U170" s="21"/>
      <c r="V170" s="21"/>
      <c r="W170" s="21"/>
      <c r="X170" s="21"/>
      <c r="Y170" s="21"/>
      <c r="Z170" s="21"/>
    </row>
    <row r="171">
      <c r="A171" s="15">
        <v>159.0</v>
      </c>
      <c r="B171" s="15">
        <v>1.42008695652173E9</v>
      </c>
      <c r="C171" s="16">
        <v>-102.1193542</v>
      </c>
      <c r="D171" s="17">
        <f t="shared" si="1"/>
        <v>-313043.4783</v>
      </c>
      <c r="E171" s="18">
        <f t="shared" si="2"/>
        <v>65.19902538</v>
      </c>
      <c r="F171" s="17">
        <f t="shared" si="3"/>
        <v>0.0002082746644</v>
      </c>
      <c r="G171" s="17">
        <f t="shared" si="4"/>
        <v>0</v>
      </c>
      <c r="H171" s="16">
        <f t="shared" si="5"/>
        <v>0</v>
      </c>
      <c r="I171" s="17">
        <f t="shared" si="6"/>
        <v>0</v>
      </c>
      <c r="J171" s="17">
        <f t="shared" si="7"/>
        <v>0</v>
      </c>
      <c r="K171" s="17"/>
      <c r="L171" s="17">
        <f t="shared" si="8"/>
        <v>466.8428884</v>
      </c>
      <c r="M171" s="2">
        <f t="shared" si="9"/>
        <v>464.5604598</v>
      </c>
      <c r="N171" s="9">
        <f t="shared" si="10"/>
        <v>2.282428528</v>
      </c>
      <c r="O171" s="17"/>
      <c r="P171" s="17"/>
      <c r="Q171" s="17"/>
      <c r="R171" s="16"/>
      <c r="S171" s="14">
        <f t="shared" si="13"/>
        <v>2.095945291</v>
      </c>
      <c r="U171" s="21"/>
      <c r="V171" s="21"/>
      <c r="W171" s="21"/>
      <c r="X171" s="21"/>
      <c r="Y171" s="21"/>
      <c r="Z171" s="21"/>
    </row>
    <row r="172">
      <c r="A172" s="15">
        <v>160.0</v>
      </c>
      <c r="B172" s="15">
        <v>1.42009130434782E9</v>
      </c>
      <c r="C172" s="16">
        <v>-102.2072449</v>
      </c>
      <c r="D172" s="17">
        <f t="shared" si="1"/>
        <v>-308695.6522</v>
      </c>
      <c r="E172" s="18">
        <f t="shared" si="2"/>
        <v>64.28072925</v>
      </c>
      <c r="F172" s="17">
        <f t="shared" si="3"/>
        <v>0.0002082333483</v>
      </c>
      <c r="G172" s="17">
        <f t="shared" si="4"/>
        <v>0</v>
      </c>
      <c r="H172" s="16">
        <f t="shared" si="5"/>
        <v>0</v>
      </c>
      <c r="I172" s="17">
        <f t="shared" si="6"/>
        <v>0</v>
      </c>
      <c r="J172" s="17">
        <f t="shared" si="7"/>
        <v>0</v>
      </c>
      <c r="K172" s="17"/>
      <c r="L172" s="17">
        <f t="shared" si="8"/>
        <v>457.4900757</v>
      </c>
      <c r="M172" s="2">
        <f t="shared" si="9"/>
        <v>464.4910099</v>
      </c>
      <c r="N172" s="9">
        <f t="shared" si="10"/>
        <v>-7.000934157</v>
      </c>
      <c r="O172" s="17"/>
      <c r="P172" s="17"/>
      <c r="Q172" s="17"/>
      <c r="R172" s="16"/>
      <c r="S172" s="14">
        <f t="shared" si="13"/>
        <v>-6.428930762</v>
      </c>
      <c r="U172" s="21"/>
      <c r="V172" s="21"/>
      <c r="W172" s="21"/>
      <c r="X172" s="21"/>
      <c r="Y172" s="21"/>
      <c r="Z172" s="21"/>
    </row>
    <row r="173">
      <c r="A173" s="15">
        <v>161.0</v>
      </c>
      <c r="B173" s="15">
        <v>1.42009565217391E9</v>
      </c>
      <c r="C173" s="16">
        <v>-102.1604538</v>
      </c>
      <c r="D173" s="17">
        <f t="shared" si="1"/>
        <v>-304347.8261</v>
      </c>
      <c r="E173" s="18">
        <f t="shared" si="2"/>
        <v>63.36243312</v>
      </c>
      <c r="F173" s="17">
        <f t="shared" si="3"/>
        <v>0.0002081908517</v>
      </c>
      <c r="G173" s="17">
        <f t="shared" si="4"/>
        <v>0</v>
      </c>
      <c r="H173" s="16">
        <f t="shared" si="5"/>
        <v>0</v>
      </c>
      <c r="I173" s="17">
        <f t="shared" si="6"/>
        <v>0</v>
      </c>
      <c r="J173" s="17">
        <f t="shared" si="7"/>
        <v>0</v>
      </c>
      <c r="K173" s="17"/>
      <c r="L173" s="17">
        <f t="shared" si="8"/>
        <v>462.4457445</v>
      </c>
      <c r="M173" s="2">
        <f t="shared" si="9"/>
        <v>464.4215397</v>
      </c>
      <c r="N173" s="9">
        <f t="shared" si="10"/>
        <v>-1.975795147</v>
      </c>
      <c r="O173" s="17"/>
      <c r="P173" s="17"/>
      <c r="Q173" s="17"/>
      <c r="R173" s="16"/>
      <c r="S173" s="14">
        <f t="shared" si="13"/>
        <v>-1.814365038</v>
      </c>
      <c r="U173" s="21"/>
      <c r="V173" s="21"/>
      <c r="W173" s="21"/>
      <c r="X173" s="21"/>
      <c r="Y173" s="21"/>
      <c r="Z173" s="21"/>
    </row>
    <row r="174">
      <c r="A174" s="15">
        <v>162.0</v>
      </c>
      <c r="B174" s="15">
        <v>1.4201E9</v>
      </c>
      <c r="C174" s="16">
        <v>-102.1274643</v>
      </c>
      <c r="D174" s="17">
        <f t="shared" si="1"/>
        <v>-300000</v>
      </c>
      <c r="E174" s="18">
        <f t="shared" si="2"/>
        <v>62.44413699</v>
      </c>
      <c r="F174" s="17">
        <f t="shared" si="3"/>
        <v>0.0002081471233</v>
      </c>
      <c r="G174" s="17">
        <f t="shared" si="4"/>
        <v>0</v>
      </c>
      <c r="H174" s="16">
        <f t="shared" si="5"/>
        <v>0</v>
      </c>
      <c r="I174" s="17">
        <f t="shared" si="6"/>
        <v>0</v>
      </c>
      <c r="J174" s="17">
        <f t="shared" si="7"/>
        <v>0</v>
      </c>
      <c r="K174" s="17"/>
      <c r="L174" s="17">
        <f t="shared" si="8"/>
        <v>465.9719103</v>
      </c>
      <c r="M174" s="2">
        <f t="shared" si="9"/>
        <v>464.3520462</v>
      </c>
      <c r="N174" s="9">
        <f t="shared" si="10"/>
        <v>1.619864157</v>
      </c>
      <c r="O174" s="17"/>
      <c r="P174" s="17"/>
      <c r="Q174" s="17"/>
      <c r="R174" s="16"/>
      <c r="S174" s="14">
        <f t="shared" si="13"/>
        <v>1.487514991</v>
      </c>
      <c r="U174" s="21"/>
      <c r="V174" s="21"/>
      <c r="W174" s="21"/>
      <c r="X174" s="21"/>
      <c r="Y174" s="21"/>
      <c r="Z174" s="21"/>
    </row>
    <row r="175">
      <c r="A175" s="15">
        <v>163.0</v>
      </c>
      <c r="B175" s="15">
        <v>1.42010434782608E9</v>
      </c>
      <c r="C175" s="16">
        <v>-102.151886</v>
      </c>
      <c r="D175" s="17">
        <f t="shared" si="1"/>
        <v>-295652.1739</v>
      </c>
      <c r="E175" s="18">
        <f t="shared" si="2"/>
        <v>61.52584085</v>
      </c>
      <c r="F175" s="17">
        <f t="shared" si="3"/>
        <v>0.0002081021088</v>
      </c>
      <c r="G175" s="17">
        <f t="shared" si="4"/>
        <v>0</v>
      </c>
      <c r="H175" s="16">
        <f t="shared" si="5"/>
        <v>0</v>
      </c>
      <c r="I175" s="17">
        <f t="shared" si="6"/>
        <v>0</v>
      </c>
      <c r="J175" s="17">
        <f t="shared" si="7"/>
        <v>0</v>
      </c>
      <c r="K175" s="17"/>
      <c r="L175" s="17">
        <f t="shared" si="8"/>
        <v>463.3589621</v>
      </c>
      <c r="M175" s="2">
        <f t="shared" si="9"/>
        <v>464.2825262</v>
      </c>
      <c r="N175" s="9">
        <f t="shared" si="10"/>
        <v>-0.9235640972</v>
      </c>
      <c r="O175" s="17"/>
      <c r="P175" s="17"/>
      <c r="Q175" s="17"/>
      <c r="R175" s="16"/>
      <c r="S175" s="14">
        <f t="shared" si="13"/>
        <v>-0.8481053388</v>
      </c>
      <c r="U175" s="21"/>
      <c r="V175" s="21"/>
      <c r="W175" s="21"/>
      <c r="X175" s="21"/>
      <c r="Y175" s="21"/>
      <c r="Z175" s="21"/>
    </row>
    <row r="176">
      <c r="A176" s="15">
        <v>164.0</v>
      </c>
      <c r="B176" s="15">
        <v>1.42010869565217E9</v>
      </c>
      <c r="C176" s="16">
        <v>-102.1711731</v>
      </c>
      <c r="D176" s="17">
        <f t="shared" si="1"/>
        <v>-291304.3478</v>
      </c>
      <c r="E176" s="18">
        <f t="shared" si="2"/>
        <v>60.60754472</v>
      </c>
      <c r="F176" s="17">
        <f t="shared" si="3"/>
        <v>0.0002080557505</v>
      </c>
      <c r="G176" s="17">
        <f t="shared" si="4"/>
        <v>0</v>
      </c>
      <c r="H176" s="16">
        <f t="shared" si="5"/>
        <v>0</v>
      </c>
      <c r="I176" s="17">
        <f t="shared" si="6"/>
        <v>0</v>
      </c>
      <c r="J176" s="17">
        <f t="shared" si="7"/>
        <v>0</v>
      </c>
      <c r="K176" s="17"/>
      <c r="L176" s="17">
        <f t="shared" si="8"/>
        <v>461.3057388</v>
      </c>
      <c r="M176" s="2">
        <f t="shared" si="9"/>
        <v>464.2129766</v>
      </c>
      <c r="N176" s="9">
        <f t="shared" si="10"/>
        <v>-2.907237843</v>
      </c>
      <c r="O176" s="17"/>
      <c r="P176" s="17"/>
      <c r="Q176" s="17"/>
      <c r="R176" s="16"/>
      <c r="S176" s="14">
        <f t="shared" si="13"/>
        <v>-2.669705262</v>
      </c>
      <c r="U176" s="21"/>
      <c r="V176" s="21"/>
      <c r="W176" s="21"/>
      <c r="X176" s="21"/>
      <c r="Y176" s="21"/>
      <c r="Z176" s="21"/>
    </row>
    <row r="177">
      <c r="A177" s="15">
        <v>165.0</v>
      </c>
      <c r="B177" s="15">
        <v>1.42011304347826E9</v>
      </c>
      <c r="C177" s="16">
        <v>-102.1416397</v>
      </c>
      <c r="D177" s="17">
        <f t="shared" si="1"/>
        <v>-286956.5217</v>
      </c>
      <c r="E177" s="18">
        <f t="shared" si="2"/>
        <v>59.68924859</v>
      </c>
      <c r="F177" s="17">
        <f t="shared" si="3"/>
        <v>0.0002080079875</v>
      </c>
      <c r="G177" s="17">
        <f t="shared" si="4"/>
        <v>0</v>
      </c>
      <c r="H177" s="16">
        <f t="shared" si="5"/>
        <v>0</v>
      </c>
      <c r="I177" s="17">
        <f t="shared" si="6"/>
        <v>0</v>
      </c>
      <c r="J177" s="17">
        <f t="shared" si="7"/>
        <v>0</v>
      </c>
      <c r="K177" s="17"/>
      <c r="L177" s="17">
        <f t="shared" si="8"/>
        <v>464.4534545</v>
      </c>
      <c r="M177" s="2">
        <f t="shared" si="9"/>
        <v>464.1433943</v>
      </c>
      <c r="N177" s="9">
        <f t="shared" si="10"/>
        <v>0.310060186</v>
      </c>
      <c r="O177" s="17"/>
      <c r="P177" s="17"/>
      <c r="Q177" s="17"/>
      <c r="R177" s="16"/>
      <c r="S177" s="14">
        <f t="shared" si="13"/>
        <v>0.2847270698</v>
      </c>
      <c r="U177" s="21"/>
      <c r="V177" s="21"/>
      <c r="W177" s="21"/>
      <c r="X177" s="21"/>
      <c r="Y177" s="21"/>
      <c r="Z177" s="21"/>
    </row>
    <row r="178">
      <c r="A178" s="15">
        <v>166.0</v>
      </c>
      <c r="B178" s="15">
        <v>1.42011739130434E9</v>
      </c>
      <c r="C178" s="16">
        <v>-102.1041336</v>
      </c>
      <c r="D178" s="17">
        <f t="shared" si="1"/>
        <v>-282608.6957</v>
      </c>
      <c r="E178" s="18">
        <f t="shared" si="2"/>
        <v>58.77095246</v>
      </c>
      <c r="F178" s="17">
        <f t="shared" si="3"/>
        <v>0.0002079587548</v>
      </c>
      <c r="G178" s="17">
        <f t="shared" si="4"/>
        <v>0</v>
      </c>
      <c r="H178" s="16">
        <f t="shared" si="5"/>
        <v>0</v>
      </c>
      <c r="I178" s="17">
        <f t="shared" si="6"/>
        <v>0</v>
      </c>
      <c r="J178" s="17">
        <f t="shared" si="7"/>
        <v>0</v>
      </c>
      <c r="K178" s="17"/>
      <c r="L178" s="17">
        <f t="shared" si="8"/>
        <v>468.4818903</v>
      </c>
      <c r="M178" s="2">
        <f t="shared" si="9"/>
        <v>464.0737761</v>
      </c>
      <c r="N178" s="9">
        <f t="shared" si="10"/>
        <v>4.408114206</v>
      </c>
      <c r="O178" s="17"/>
      <c r="P178" s="17"/>
      <c r="Q178" s="17"/>
      <c r="R178" s="16"/>
      <c r="S178" s="14">
        <f t="shared" si="13"/>
        <v>4.047954228</v>
      </c>
      <c r="U178" s="21"/>
      <c r="V178" s="21"/>
      <c r="W178" s="21"/>
      <c r="X178" s="21"/>
      <c r="Y178" s="21"/>
      <c r="Z178" s="21"/>
    </row>
    <row r="179">
      <c r="A179" s="15">
        <v>167.0</v>
      </c>
      <c r="B179" s="15">
        <v>1.42012173913043E9</v>
      </c>
      <c r="C179" s="16">
        <v>-102.1594391</v>
      </c>
      <c r="D179" s="17">
        <f t="shared" si="1"/>
        <v>-278260.8696</v>
      </c>
      <c r="E179" s="18">
        <f t="shared" si="2"/>
        <v>57.85265632</v>
      </c>
      <c r="F179" s="17">
        <f t="shared" si="3"/>
        <v>0.0002079079837</v>
      </c>
      <c r="G179" s="17">
        <f t="shared" si="4"/>
        <v>0</v>
      </c>
      <c r="H179" s="16">
        <f t="shared" si="5"/>
        <v>0</v>
      </c>
      <c r="I179" s="17">
        <f t="shared" si="6"/>
        <v>0</v>
      </c>
      <c r="J179" s="17">
        <f t="shared" si="7"/>
        <v>0</v>
      </c>
      <c r="K179" s="17"/>
      <c r="L179" s="17">
        <f t="shared" si="8"/>
        <v>462.5538045</v>
      </c>
      <c r="M179" s="2">
        <f t="shared" si="9"/>
        <v>464.0041188</v>
      </c>
      <c r="N179" s="9">
        <f t="shared" si="10"/>
        <v>-1.450314335</v>
      </c>
      <c r="O179" s="17"/>
      <c r="P179" s="17"/>
      <c r="Q179" s="17"/>
      <c r="R179" s="16"/>
      <c r="S179" s="14">
        <f t="shared" si="13"/>
        <v>-1.331818042</v>
      </c>
      <c r="U179" s="21"/>
      <c r="V179" s="21"/>
      <c r="W179" s="21"/>
      <c r="X179" s="21"/>
      <c r="Y179" s="21"/>
      <c r="Z179" s="21"/>
    </row>
    <row r="180">
      <c r="A180" s="15">
        <v>168.0</v>
      </c>
      <c r="B180" s="15">
        <v>1.42012608695652E9</v>
      </c>
      <c r="C180" s="16">
        <v>-102.1268158</v>
      </c>
      <c r="D180" s="17">
        <f t="shared" si="1"/>
        <v>-273913.0435</v>
      </c>
      <c r="E180" s="18">
        <f t="shared" si="2"/>
        <v>56.93436019</v>
      </c>
      <c r="F180" s="17">
        <f t="shared" si="3"/>
        <v>0.0002078556007</v>
      </c>
      <c r="G180" s="17">
        <f t="shared" si="4"/>
        <v>0</v>
      </c>
      <c r="H180" s="16">
        <f t="shared" si="5"/>
        <v>0</v>
      </c>
      <c r="I180" s="17">
        <f t="shared" si="6"/>
        <v>0</v>
      </c>
      <c r="J180" s="17">
        <f t="shared" si="7"/>
        <v>0</v>
      </c>
      <c r="K180" s="17"/>
      <c r="L180" s="17">
        <f t="shared" si="8"/>
        <v>466.0414957</v>
      </c>
      <c r="M180" s="2">
        <f t="shared" si="9"/>
        <v>463.9344195</v>
      </c>
      <c r="N180" s="9">
        <f t="shared" si="10"/>
        <v>2.107076222</v>
      </c>
      <c r="O180" s="17"/>
      <c r="P180" s="17"/>
      <c r="Q180" s="17"/>
      <c r="R180" s="16"/>
      <c r="S180" s="14">
        <f t="shared" si="13"/>
        <v>1.934919947</v>
      </c>
      <c r="U180" s="21"/>
      <c r="V180" s="21"/>
      <c r="W180" s="21"/>
      <c r="X180" s="21"/>
      <c r="Y180" s="21"/>
      <c r="Z180" s="21"/>
    </row>
    <row r="181">
      <c r="A181" s="15">
        <v>169.0</v>
      </c>
      <c r="B181" s="15">
        <v>1.4201304347826E9</v>
      </c>
      <c r="C181" s="16">
        <v>-102.1156845</v>
      </c>
      <c r="D181" s="17">
        <f t="shared" si="1"/>
        <v>-269565.2174</v>
      </c>
      <c r="E181" s="18">
        <f t="shared" si="2"/>
        <v>56.01606406</v>
      </c>
      <c r="F181" s="17">
        <f t="shared" si="3"/>
        <v>0.000207801528</v>
      </c>
      <c r="G181" s="17">
        <f t="shared" si="4"/>
        <v>0</v>
      </c>
      <c r="H181" s="16">
        <f t="shared" si="5"/>
        <v>0</v>
      </c>
      <c r="I181" s="17">
        <f t="shared" si="6"/>
        <v>0</v>
      </c>
      <c r="J181" s="17">
        <f t="shared" si="7"/>
        <v>0</v>
      </c>
      <c r="K181" s="17"/>
      <c r="L181" s="17">
        <f t="shared" si="8"/>
        <v>467.2375278</v>
      </c>
      <c r="M181" s="2">
        <f t="shared" si="9"/>
        <v>463.8646748</v>
      </c>
      <c r="N181" s="9">
        <f t="shared" si="10"/>
        <v>3.372853036</v>
      </c>
      <c r="O181" s="17"/>
      <c r="P181" s="17"/>
      <c r="Q181" s="17"/>
      <c r="R181" s="16"/>
      <c r="S181" s="14">
        <f t="shared" si="13"/>
        <v>3.097277899</v>
      </c>
      <c r="U181" s="21"/>
      <c r="V181" s="21"/>
      <c r="W181" s="21"/>
      <c r="X181" s="21"/>
      <c r="Y181" s="21"/>
      <c r="Z181" s="21"/>
    </row>
    <row r="182">
      <c r="A182" s="15">
        <v>170.0</v>
      </c>
      <c r="B182" s="15">
        <v>1.42013478260869E9</v>
      </c>
      <c r="C182" s="16">
        <v>-102.1445389</v>
      </c>
      <c r="D182" s="17">
        <f t="shared" si="1"/>
        <v>-265217.3913</v>
      </c>
      <c r="E182" s="18">
        <f t="shared" si="2"/>
        <v>55.09776793</v>
      </c>
      <c r="F182" s="17">
        <f t="shared" si="3"/>
        <v>0.0002077456823</v>
      </c>
      <c r="G182" s="17">
        <f t="shared" si="4"/>
        <v>0</v>
      </c>
      <c r="H182" s="16">
        <f t="shared" si="5"/>
        <v>0</v>
      </c>
      <c r="I182" s="17">
        <f t="shared" si="6"/>
        <v>0</v>
      </c>
      <c r="J182" s="17">
        <f t="shared" si="7"/>
        <v>0</v>
      </c>
      <c r="K182" s="17"/>
      <c r="L182" s="17">
        <f t="shared" si="8"/>
        <v>464.1435048</v>
      </c>
      <c r="M182" s="2">
        <f t="shared" si="9"/>
        <v>463.7948817</v>
      </c>
      <c r="N182" s="9">
        <f t="shared" si="10"/>
        <v>0.3486231849</v>
      </c>
      <c r="O182" s="17"/>
      <c r="P182" s="17"/>
      <c r="Q182" s="17"/>
      <c r="R182" s="16"/>
      <c r="S182" s="14">
        <f t="shared" si="13"/>
        <v>0.3201393225</v>
      </c>
      <c r="U182" s="21"/>
      <c r="V182" s="21"/>
      <c r="W182" s="21"/>
      <c r="X182" s="21"/>
      <c r="Y182" s="21"/>
      <c r="Z182" s="21"/>
    </row>
    <row r="183">
      <c r="A183" s="15">
        <v>171.0</v>
      </c>
      <c r="B183" s="15">
        <v>1.42013913043478E9</v>
      </c>
      <c r="C183" s="16">
        <v>-102.2065735</v>
      </c>
      <c r="D183" s="17">
        <f t="shared" si="1"/>
        <v>-260869.5652</v>
      </c>
      <c r="E183" s="18">
        <f t="shared" si="2"/>
        <v>54.1794718</v>
      </c>
      <c r="F183" s="17">
        <f t="shared" si="3"/>
        <v>0.0002076879752</v>
      </c>
      <c r="G183" s="17">
        <f t="shared" si="4"/>
        <v>0</v>
      </c>
      <c r="H183" s="16">
        <f t="shared" si="5"/>
        <v>0</v>
      </c>
      <c r="I183" s="17">
        <f t="shared" si="6"/>
        <v>0</v>
      </c>
      <c r="J183" s="17">
        <f t="shared" si="7"/>
        <v>0</v>
      </c>
      <c r="K183" s="17"/>
      <c r="L183" s="17">
        <f t="shared" si="8"/>
        <v>457.5608071</v>
      </c>
      <c r="M183" s="2">
        <f t="shared" si="9"/>
        <v>463.725037</v>
      </c>
      <c r="N183" s="9">
        <f t="shared" si="10"/>
        <v>-6.164229879</v>
      </c>
      <c r="O183" s="17"/>
      <c r="P183" s="17"/>
      <c r="Q183" s="17"/>
      <c r="R183" s="16"/>
      <c r="S183" s="14">
        <f t="shared" si="13"/>
        <v>-5.660588447</v>
      </c>
      <c r="U183" s="21"/>
      <c r="V183" s="21"/>
      <c r="W183" s="21"/>
      <c r="X183" s="21"/>
      <c r="Y183" s="21"/>
      <c r="Z183" s="21"/>
    </row>
    <row r="184">
      <c r="A184" s="15">
        <v>172.0</v>
      </c>
      <c r="B184" s="15">
        <v>1.42014347826087E9</v>
      </c>
      <c r="C184" s="16">
        <v>-102.1657791</v>
      </c>
      <c r="D184" s="17">
        <f t="shared" si="1"/>
        <v>-256521.7391</v>
      </c>
      <c r="E184" s="18">
        <f t="shared" si="2"/>
        <v>53.26117567</v>
      </c>
      <c r="F184" s="17">
        <f t="shared" si="3"/>
        <v>0.0002076283119</v>
      </c>
      <c r="G184" s="17">
        <f t="shared" si="4"/>
        <v>0</v>
      </c>
      <c r="H184" s="16">
        <f t="shared" si="5"/>
        <v>0</v>
      </c>
      <c r="I184" s="17">
        <f t="shared" si="6"/>
        <v>0</v>
      </c>
      <c r="J184" s="17">
        <f t="shared" si="7"/>
        <v>0</v>
      </c>
      <c r="K184" s="17"/>
      <c r="L184" s="17">
        <f t="shared" si="8"/>
        <v>461.8790431</v>
      </c>
      <c r="M184" s="2">
        <f t="shared" si="9"/>
        <v>463.6551376</v>
      </c>
      <c r="N184" s="9">
        <f t="shared" si="10"/>
        <v>-1.776094498</v>
      </c>
      <c r="O184" s="17"/>
      <c r="P184" s="17"/>
      <c r="Q184" s="17"/>
      <c r="R184" s="16"/>
      <c r="S184" s="14">
        <f t="shared" si="13"/>
        <v>-1.630980709</v>
      </c>
      <c r="U184" s="21"/>
      <c r="V184" s="21"/>
      <c r="W184" s="21"/>
      <c r="X184" s="21"/>
      <c r="Y184" s="21"/>
      <c r="Z184" s="21"/>
    </row>
    <row r="185">
      <c r="A185" s="15">
        <v>173.0</v>
      </c>
      <c r="B185" s="15">
        <v>1.42014782608695E9</v>
      </c>
      <c r="C185" s="16">
        <v>-102.1489258</v>
      </c>
      <c r="D185" s="17">
        <f t="shared" si="1"/>
        <v>-252173.913</v>
      </c>
      <c r="E185" s="18">
        <f t="shared" si="2"/>
        <v>52.34287953</v>
      </c>
      <c r="F185" s="17">
        <f t="shared" si="3"/>
        <v>0.0002075665912</v>
      </c>
      <c r="G185" s="17">
        <f t="shared" si="4"/>
        <v>0</v>
      </c>
      <c r="H185" s="16">
        <f t="shared" si="5"/>
        <v>0</v>
      </c>
      <c r="I185" s="17">
        <f t="shared" si="6"/>
        <v>0</v>
      </c>
      <c r="J185" s="17">
        <f t="shared" si="7"/>
        <v>0</v>
      </c>
      <c r="K185" s="17"/>
      <c r="L185" s="17">
        <f t="shared" si="8"/>
        <v>463.6749004</v>
      </c>
      <c r="M185" s="2">
        <f t="shared" si="9"/>
        <v>463.5851803</v>
      </c>
      <c r="N185" s="9">
        <f t="shared" si="10"/>
        <v>0.08972008225</v>
      </c>
      <c r="O185" s="17"/>
      <c r="P185" s="17"/>
      <c r="Q185" s="17"/>
      <c r="R185" s="16"/>
      <c r="S185" s="14">
        <f t="shared" si="13"/>
        <v>0.08238960456</v>
      </c>
      <c r="U185" s="21"/>
      <c r="V185" s="21"/>
      <c r="W185" s="21"/>
      <c r="X185" s="21"/>
      <c r="Y185" s="21"/>
      <c r="Z185" s="21"/>
    </row>
    <row r="186">
      <c r="A186" s="15">
        <v>174.0</v>
      </c>
      <c r="B186" s="15">
        <v>1.42015217391304E9</v>
      </c>
      <c r="C186" s="16">
        <v>-102.1426086</v>
      </c>
      <c r="D186" s="17">
        <f t="shared" si="1"/>
        <v>-247826.087</v>
      </c>
      <c r="E186" s="18">
        <f t="shared" si="2"/>
        <v>51.4245834</v>
      </c>
      <c r="F186" s="17">
        <f t="shared" si="3"/>
        <v>0.0002075027049</v>
      </c>
      <c r="G186" s="17">
        <f t="shared" si="4"/>
        <v>0</v>
      </c>
      <c r="H186" s="16">
        <f t="shared" si="5"/>
        <v>0</v>
      </c>
      <c r="I186" s="17">
        <f t="shared" si="6"/>
        <v>0</v>
      </c>
      <c r="J186" s="17">
        <f t="shared" si="7"/>
        <v>0</v>
      </c>
      <c r="K186" s="17"/>
      <c r="L186" s="17">
        <f t="shared" si="8"/>
        <v>464.3498476</v>
      </c>
      <c r="M186" s="2">
        <f t="shared" si="9"/>
        <v>463.5151621</v>
      </c>
      <c r="N186" s="9">
        <f t="shared" si="10"/>
        <v>0.8346855027</v>
      </c>
      <c r="O186" s="17"/>
      <c r="P186" s="17"/>
      <c r="Q186" s="17"/>
      <c r="R186" s="16"/>
      <c r="S186" s="14">
        <f t="shared" si="13"/>
        <v>0.7664884675</v>
      </c>
      <c r="U186" s="21"/>
      <c r="V186" s="21"/>
      <c r="W186" s="21"/>
      <c r="X186" s="21"/>
      <c r="Y186" s="21"/>
      <c r="Z186" s="21"/>
    </row>
    <row r="187">
      <c r="A187" s="15">
        <v>175.0</v>
      </c>
      <c r="B187" s="15">
        <v>1.42015652173913E9</v>
      </c>
      <c r="C187" s="16">
        <v>-102.1539536</v>
      </c>
      <c r="D187" s="17">
        <f t="shared" si="1"/>
        <v>-243478.2609</v>
      </c>
      <c r="E187" s="18">
        <f t="shared" si="2"/>
        <v>50.50628727</v>
      </c>
      <c r="F187" s="17">
        <f t="shared" si="3"/>
        <v>0.000207436537</v>
      </c>
      <c r="G187" s="17">
        <f t="shared" si="4"/>
        <v>0</v>
      </c>
      <c r="H187" s="16">
        <f t="shared" si="5"/>
        <v>0</v>
      </c>
      <c r="I187" s="17">
        <f t="shared" si="6"/>
        <v>0</v>
      </c>
      <c r="J187" s="17">
        <f t="shared" si="7"/>
        <v>0</v>
      </c>
      <c r="K187" s="17"/>
      <c r="L187" s="17">
        <f t="shared" si="8"/>
        <v>463.1384175</v>
      </c>
      <c r="M187" s="2">
        <f t="shared" si="9"/>
        <v>463.4450798</v>
      </c>
      <c r="N187" s="9">
        <f t="shared" si="10"/>
        <v>-0.306662285</v>
      </c>
      <c r="O187" s="17"/>
      <c r="P187" s="17"/>
      <c r="Q187" s="17"/>
      <c r="R187" s="16"/>
      <c r="S187" s="14">
        <f t="shared" si="13"/>
        <v>-0.2816067904</v>
      </c>
      <c r="U187" s="21"/>
      <c r="V187" s="21"/>
      <c r="W187" s="21"/>
      <c r="X187" s="21"/>
      <c r="Y187" s="21"/>
      <c r="Z187" s="21"/>
    </row>
    <row r="188">
      <c r="A188" s="15">
        <v>176.0</v>
      </c>
      <c r="B188" s="15">
        <v>1.42016086956521E9</v>
      </c>
      <c r="C188" s="16">
        <v>-102.1830597</v>
      </c>
      <c r="D188" s="17">
        <f t="shared" si="1"/>
        <v>-239130.4348</v>
      </c>
      <c r="E188" s="18">
        <f t="shared" si="2"/>
        <v>49.58799114</v>
      </c>
      <c r="F188" s="17">
        <f t="shared" si="3"/>
        <v>0.0002073679629</v>
      </c>
      <c r="G188" s="17">
        <f t="shared" si="4"/>
        <v>0</v>
      </c>
      <c r="H188" s="16">
        <f t="shared" si="5"/>
        <v>0</v>
      </c>
      <c r="I188" s="17">
        <f t="shared" si="6"/>
        <v>0</v>
      </c>
      <c r="J188" s="17">
        <f t="shared" si="7"/>
        <v>0</v>
      </c>
      <c r="K188" s="17"/>
      <c r="L188" s="17">
        <f t="shared" si="8"/>
        <v>460.0448755</v>
      </c>
      <c r="M188" s="2">
        <f t="shared" si="9"/>
        <v>463.3749302</v>
      </c>
      <c r="N188" s="9">
        <f t="shared" si="10"/>
        <v>-3.330054719</v>
      </c>
      <c r="O188" s="17"/>
      <c r="P188" s="17"/>
      <c r="Q188" s="17"/>
      <c r="R188" s="16"/>
      <c r="S188" s="14">
        <f t="shared" si="13"/>
        <v>-3.05797637</v>
      </c>
      <c r="U188" s="21"/>
      <c r="V188" s="21"/>
      <c r="W188" s="21"/>
      <c r="X188" s="21"/>
      <c r="Y188" s="21"/>
      <c r="Z188" s="21"/>
    </row>
    <row r="189">
      <c r="A189" s="15">
        <v>177.0</v>
      </c>
      <c r="B189" s="15">
        <v>1.4201652173913E9</v>
      </c>
      <c r="C189" s="16">
        <v>-102.157959</v>
      </c>
      <c r="D189" s="17">
        <f t="shared" si="1"/>
        <v>-234782.6087</v>
      </c>
      <c r="E189" s="18">
        <f t="shared" si="2"/>
        <v>48.669695</v>
      </c>
      <c r="F189" s="17">
        <f t="shared" si="3"/>
        <v>0.0002072968491</v>
      </c>
      <c r="G189" s="17">
        <f t="shared" si="4"/>
        <v>0</v>
      </c>
      <c r="H189" s="16">
        <f t="shared" si="5"/>
        <v>0</v>
      </c>
      <c r="I189" s="17">
        <f t="shared" si="6"/>
        <v>0</v>
      </c>
      <c r="J189" s="17">
        <f t="shared" si="7"/>
        <v>0</v>
      </c>
      <c r="K189" s="17"/>
      <c r="L189" s="17">
        <f t="shared" si="8"/>
        <v>462.7114723</v>
      </c>
      <c r="M189" s="2">
        <f t="shared" si="9"/>
        <v>463.3047102</v>
      </c>
      <c r="N189" s="9">
        <f t="shared" si="10"/>
        <v>-0.5932378952</v>
      </c>
      <c r="O189" s="17"/>
      <c r="P189" s="17"/>
      <c r="Q189" s="17"/>
      <c r="R189" s="16"/>
      <c r="S189" s="14">
        <f t="shared" si="13"/>
        <v>-0.5447680637</v>
      </c>
      <c r="U189" s="21"/>
      <c r="V189" s="21"/>
      <c r="W189" s="21"/>
      <c r="X189" s="21"/>
      <c r="Y189" s="21"/>
      <c r="Z189" s="21"/>
    </row>
    <row r="190">
      <c r="A190" s="15">
        <v>178.0</v>
      </c>
      <c r="B190" s="15">
        <v>1.42016956521739E9</v>
      </c>
      <c r="C190" s="16">
        <v>-102.1906281</v>
      </c>
      <c r="D190" s="17">
        <f t="shared" si="1"/>
        <v>-230434.7826</v>
      </c>
      <c r="E190" s="18">
        <f t="shared" si="2"/>
        <v>47.75139887</v>
      </c>
      <c r="F190" s="17">
        <f t="shared" si="3"/>
        <v>0.0002072230517</v>
      </c>
      <c r="G190" s="17">
        <f t="shared" si="4"/>
        <v>0</v>
      </c>
      <c r="H190" s="16">
        <f t="shared" si="5"/>
        <v>0</v>
      </c>
      <c r="I190" s="17">
        <f t="shared" si="6"/>
        <v>0</v>
      </c>
      <c r="J190" s="17">
        <f t="shared" si="7"/>
        <v>0</v>
      </c>
      <c r="K190" s="17"/>
      <c r="L190" s="17">
        <f t="shared" si="8"/>
        <v>459.2438587</v>
      </c>
      <c r="M190" s="2">
        <f t="shared" si="9"/>
        <v>463.2344167</v>
      </c>
      <c r="N190" s="9">
        <f t="shared" si="10"/>
        <v>-3.990557952</v>
      </c>
      <c r="O190" s="17"/>
      <c r="P190" s="17"/>
      <c r="Q190" s="17"/>
      <c r="R190" s="16"/>
      <c r="S190" s="14">
        <f t="shared" si="13"/>
        <v>-3.664513935</v>
      </c>
      <c r="U190" s="21"/>
      <c r="V190" s="21"/>
      <c r="W190" s="21"/>
      <c r="X190" s="21"/>
      <c r="Y190" s="21"/>
      <c r="Z190" s="21"/>
    </row>
    <row r="191">
      <c r="A191" s="15">
        <v>179.0</v>
      </c>
      <c r="B191" s="15">
        <v>1.42017391304347E9</v>
      </c>
      <c r="C191" s="16">
        <v>-102.1552124</v>
      </c>
      <c r="D191" s="17">
        <f t="shared" si="1"/>
        <v>-226086.9565</v>
      </c>
      <c r="E191" s="18">
        <f t="shared" si="2"/>
        <v>46.83310274</v>
      </c>
      <c r="F191" s="17">
        <f t="shared" si="3"/>
        <v>0.000207146416</v>
      </c>
      <c r="G191" s="17">
        <f t="shared" si="4"/>
        <v>0</v>
      </c>
      <c r="H191" s="16">
        <f t="shared" si="5"/>
        <v>0</v>
      </c>
      <c r="I191" s="17">
        <f t="shared" si="6"/>
        <v>0</v>
      </c>
      <c r="J191" s="17">
        <f t="shared" si="7"/>
        <v>0</v>
      </c>
      <c r="K191" s="17"/>
      <c r="L191" s="17">
        <f t="shared" si="8"/>
        <v>463.0041966</v>
      </c>
      <c r="M191" s="2">
        <f t="shared" si="9"/>
        <v>463.1640465</v>
      </c>
      <c r="N191" s="9">
        <f t="shared" si="10"/>
        <v>-0.1598499189</v>
      </c>
      <c r="O191" s="17"/>
      <c r="P191" s="17"/>
      <c r="Q191" s="17"/>
      <c r="R191" s="16"/>
      <c r="S191" s="14">
        <f t="shared" si="13"/>
        <v>-0.1467895624</v>
      </c>
      <c r="U191" s="21"/>
      <c r="V191" s="21"/>
      <c r="W191" s="21"/>
      <c r="X191" s="21"/>
      <c r="Y191" s="21"/>
      <c r="Z191" s="21"/>
    </row>
    <row r="192">
      <c r="A192" s="15">
        <v>180.0</v>
      </c>
      <c r="B192" s="15">
        <v>1.42017826086956E9</v>
      </c>
      <c r="C192" s="16">
        <v>-102.1802673</v>
      </c>
      <c r="D192" s="17">
        <f t="shared" si="1"/>
        <v>-221739.1304</v>
      </c>
      <c r="E192" s="18">
        <f t="shared" si="2"/>
        <v>45.91480661</v>
      </c>
      <c r="F192" s="17">
        <f t="shared" si="3"/>
        <v>0.0002070667749</v>
      </c>
      <c r="G192" s="17">
        <f t="shared" si="4"/>
        <v>0</v>
      </c>
      <c r="H192" s="16">
        <f t="shared" si="5"/>
        <v>0</v>
      </c>
      <c r="I192" s="17">
        <f t="shared" si="6"/>
        <v>0</v>
      </c>
      <c r="J192" s="17">
        <f t="shared" si="7"/>
        <v>0</v>
      </c>
      <c r="K192" s="17"/>
      <c r="L192" s="17">
        <f t="shared" si="8"/>
        <v>460.3407674</v>
      </c>
      <c r="M192" s="2">
        <f t="shared" si="9"/>
        <v>463.0935965</v>
      </c>
      <c r="N192" s="9">
        <f t="shared" si="10"/>
        <v>-2.752829055</v>
      </c>
      <c r="O192" s="17"/>
      <c r="P192" s="17"/>
      <c r="Q192" s="17"/>
      <c r="R192" s="16"/>
      <c r="S192" s="14">
        <f t="shared" si="13"/>
        <v>-2.52791227</v>
      </c>
      <c r="U192" s="21"/>
      <c r="V192" s="21"/>
      <c r="W192" s="21"/>
      <c r="X192" s="21"/>
      <c r="Y192" s="21"/>
      <c r="Z192" s="21"/>
    </row>
    <row r="193">
      <c r="A193" s="15">
        <v>181.0</v>
      </c>
      <c r="B193" s="15">
        <v>1.42018260869565E9</v>
      </c>
      <c r="C193" s="16">
        <v>-102.192131</v>
      </c>
      <c r="D193" s="17">
        <f t="shared" si="1"/>
        <v>-217391.3043</v>
      </c>
      <c r="E193" s="18">
        <f t="shared" si="2"/>
        <v>44.99651048</v>
      </c>
      <c r="F193" s="17">
        <f t="shared" si="3"/>
        <v>0.0002069839482</v>
      </c>
      <c r="G193" s="17">
        <f t="shared" si="4"/>
        <v>0</v>
      </c>
      <c r="H193" s="16">
        <f t="shared" si="5"/>
        <v>0</v>
      </c>
      <c r="I193" s="17">
        <f t="shared" si="6"/>
        <v>0</v>
      </c>
      <c r="J193" s="17">
        <f t="shared" si="7"/>
        <v>0</v>
      </c>
      <c r="K193" s="17"/>
      <c r="L193" s="17">
        <f t="shared" si="8"/>
        <v>459.0849624</v>
      </c>
      <c r="M193" s="2">
        <f t="shared" si="9"/>
        <v>463.0230635</v>
      </c>
      <c r="N193" s="9">
        <f t="shared" si="10"/>
        <v>-3.938101175</v>
      </c>
      <c r="O193" s="17"/>
      <c r="P193" s="17"/>
      <c r="Q193" s="17"/>
      <c r="R193" s="16"/>
      <c r="S193" s="14">
        <f t="shared" si="13"/>
        <v>-3.61634308</v>
      </c>
      <c r="U193" s="21"/>
      <c r="V193" s="21"/>
      <c r="W193" s="21"/>
      <c r="X193" s="21"/>
      <c r="Y193" s="21"/>
      <c r="Z193" s="21"/>
    </row>
    <row r="194">
      <c r="A194" s="15">
        <v>182.0</v>
      </c>
      <c r="B194" s="15">
        <v>1.42018695652173E9</v>
      </c>
      <c r="C194" s="16">
        <v>-102.2013397</v>
      </c>
      <c r="D194" s="17">
        <f t="shared" si="1"/>
        <v>-213043.4783</v>
      </c>
      <c r="E194" s="18">
        <f t="shared" si="2"/>
        <v>44.07821434</v>
      </c>
      <c r="F194" s="17">
        <f t="shared" si="3"/>
        <v>0.0002068977408</v>
      </c>
      <c r="G194" s="17">
        <f t="shared" si="4"/>
        <v>0</v>
      </c>
      <c r="H194" s="16">
        <f t="shared" si="5"/>
        <v>0</v>
      </c>
      <c r="I194" s="17">
        <f t="shared" si="6"/>
        <v>0</v>
      </c>
      <c r="J194" s="17">
        <f t="shared" si="7"/>
        <v>0</v>
      </c>
      <c r="K194" s="17"/>
      <c r="L194" s="17">
        <f t="shared" si="8"/>
        <v>458.1125584</v>
      </c>
      <c r="M194" s="2">
        <f t="shared" si="9"/>
        <v>462.9524445</v>
      </c>
      <c r="N194" s="9">
        <f t="shared" si="10"/>
        <v>-4.839886121</v>
      </c>
      <c r="O194" s="17"/>
      <c r="P194" s="17"/>
      <c r="Q194" s="17"/>
      <c r="R194" s="16"/>
      <c r="S194" s="14">
        <f t="shared" si="13"/>
        <v>-4.444448707</v>
      </c>
      <c r="U194" s="21"/>
      <c r="V194" s="21"/>
      <c r="W194" s="21"/>
      <c r="X194" s="21"/>
      <c r="Y194" s="21"/>
      <c r="Z194" s="21"/>
    </row>
    <row r="195">
      <c r="A195" s="15">
        <v>183.0</v>
      </c>
      <c r="B195" s="15">
        <v>1.42019130434782E9</v>
      </c>
      <c r="C195" s="16">
        <v>-102.126091</v>
      </c>
      <c r="D195" s="17">
        <f t="shared" si="1"/>
        <v>-208695.6522</v>
      </c>
      <c r="E195" s="18">
        <f t="shared" si="2"/>
        <v>43.15991821</v>
      </c>
      <c r="F195" s="17">
        <f t="shared" si="3"/>
        <v>0.0002068079414</v>
      </c>
      <c r="G195" s="17">
        <f t="shared" si="4"/>
        <v>0</v>
      </c>
      <c r="H195" s="16">
        <f t="shared" si="5"/>
        <v>0</v>
      </c>
      <c r="I195" s="17">
        <f t="shared" si="6"/>
        <v>0</v>
      </c>
      <c r="J195" s="17">
        <f t="shared" si="7"/>
        <v>0</v>
      </c>
      <c r="K195" s="17"/>
      <c r="L195" s="17">
        <f t="shared" si="8"/>
        <v>466.1192805</v>
      </c>
      <c r="M195" s="2">
        <f t="shared" si="9"/>
        <v>462.8817362</v>
      </c>
      <c r="N195" s="9">
        <f t="shared" si="10"/>
        <v>3.237544232</v>
      </c>
      <c r="O195" s="17"/>
      <c r="P195" s="17"/>
      <c r="Q195" s="17"/>
      <c r="R195" s="16"/>
      <c r="S195" s="14">
        <f t="shared" si="13"/>
        <v>2.973024348</v>
      </c>
      <c r="U195" s="21"/>
      <c r="V195" s="21"/>
      <c r="W195" s="21"/>
      <c r="X195" s="21"/>
      <c r="Y195" s="21"/>
      <c r="Z195" s="21"/>
    </row>
    <row r="196">
      <c r="A196" s="15">
        <v>184.0</v>
      </c>
      <c r="B196" s="15">
        <v>1.42019565217391E9</v>
      </c>
      <c r="C196" s="16">
        <v>-102.1175842</v>
      </c>
      <c r="D196" s="17">
        <f t="shared" si="1"/>
        <v>-204347.8261</v>
      </c>
      <c r="E196" s="18">
        <f t="shared" si="2"/>
        <v>42.24162208</v>
      </c>
      <c r="F196" s="17">
        <f t="shared" si="3"/>
        <v>0.0002067143208</v>
      </c>
      <c r="G196" s="17">
        <f t="shared" si="4"/>
        <v>0</v>
      </c>
      <c r="H196" s="16">
        <f t="shared" si="5"/>
        <v>0</v>
      </c>
      <c r="I196" s="17">
        <f t="shared" si="6"/>
        <v>0</v>
      </c>
      <c r="J196" s="17">
        <f t="shared" si="7"/>
        <v>0</v>
      </c>
      <c r="K196" s="17"/>
      <c r="L196" s="17">
        <f t="shared" si="8"/>
        <v>467.0331925</v>
      </c>
      <c r="M196" s="2">
        <f t="shared" si="9"/>
        <v>462.8109356</v>
      </c>
      <c r="N196" s="9">
        <f t="shared" si="10"/>
        <v>4.222256863</v>
      </c>
      <c r="O196" s="17"/>
      <c r="P196" s="17"/>
      <c r="Q196" s="17"/>
      <c r="R196" s="16"/>
      <c r="S196" s="14">
        <f t="shared" si="13"/>
        <v>3.87728214</v>
      </c>
      <c r="U196" s="21"/>
      <c r="V196" s="21"/>
      <c r="W196" s="21"/>
      <c r="X196" s="21"/>
      <c r="Y196" s="21"/>
      <c r="Z196" s="21"/>
    </row>
    <row r="197">
      <c r="A197" s="15">
        <v>185.0</v>
      </c>
      <c r="B197" s="15">
        <v>1.4202E9</v>
      </c>
      <c r="C197" s="16">
        <v>-102.1891632</v>
      </c>
      <c r="D197" s="17">
        <f t="shared" si="1"/>
        <v>-200000</v>
      </c>
      <c r="E197" s="18">
        <f t="shared" si="2"/>
        <v>41.32332595</v>
      </c>
      <c r="F197" s="17">
        <f t="shared" si="3"/>
        <v>0.0002066166297</v>
      </c>
      <c r="G197" s="17">
        <f t="shared" si="4"/>
        <v>0</v>
      </c>
      <c r="H197" s="16">
        <f t="shared" si="5"/>
        <v>0</v>
      </c>
      <c r="I197" s="17">
        <f t="shared" si="6"/>
        <v>0</v>
      </c>
      <c r="J197" s="17">
        <f t="shared" si="7"/>
        <v>0</v>
      </c>
      <c r="K197" s="17"/>
      <c r="L197" s="17">
        <f t="shared" si="8"/>
        <v>459.3987904</v>
      </c>
      <c r="M197" s="2">
        <f t="shared" si="9"/>
        <v>462.7400395</v>
      </c>
      <c r="N197" s="9">
        <f t="shared" si="10"/>
        <v>-3.341249095</v>
      </c>
      <c r="O197" s="17"/>
      <c r="P197" s="17"/>
      <c r="Q197" s="17"/>
      <c r="R197" s="16"/>
      <c r="S197" s="14">
        <f t="shared" si="13"/>
        <v>-3.068256123</v>
      </c>
      <c r="U197" s="21"/>
      <c r="V197" s="21"/>
      <c r="W197" s="21"/>
      <c r="X197" s="21"/>
      <c r="Y197" s="21"/>
      <c r="Z197" s="21"/>
    </row>
    <row r="198">
      <c r="A198" s="15">
        <v>186.0</v>
      </c>
      <c r="B198" s="15">
        <v>1.42020434782608E9</v>
      </c>
      <c r="C198" s="16">
        <v>-102.1867371</v>
      </c>
      <c r="D198" s="17">
        <f t="shared" si="1"/>
        <v>-195652.1739</v>
      </c>
      <c r="E198" s="18">
        <f t="shared" si="2"/>
        <v>40.40502981</v>
      </c>
      <c r="F198" s="17">
        <f t="shared" si="3"/>
        <v>0.0002065145968</v>
      </c>
      <c r="G198" s="17">
        <f t="shared" si="4"/>
        <v>0</v>
      </c>
      <c r="H198" s="16">
        <f t="shared" si="5"/>
        <v>0</v>
      </c>
      <c r="I198" s="17">
        <f t="shared" si="6"/>
        <v>0</v>
      </c>
      <c r="J198" s="17">
        <f t="shared" si="7"/>
        <v>0</v>
      </c>
      <c r="K198" s="17"/>
      <c r="L198" s="17">
        <f t="shared" si="8"/>
        <v>459.6554961</v>
      </c>
      <c r="M198" s="2">
        <f t="shared" si="9"/>
        <v>462.6690448</v>
      </c>
      <c r="N198" s="9">
        <f t="shared" si="10"/>
        <v>-3.013548633</v>
      </c>
      <c r="O198" s="17"/>
      <c r="P198" s="17"/>
      <c r="Q198" s="17"/>
      <c r="R198" s="16"/>
      <c r="S198" s="14">
        <f t="shared" si="13"/>
        <v>-2.767330055</v>
      </c>
      <c r="U198" s="21"/>
      <c r="V198" s="21"/>
      <c r="W198" s="21"/>
      <c r="X198" s="21"/>
      <c r="Y198" s="21"/>
      <c r="Z198" s="21"/>
    </row>
    <row r="199">
      <c r="A199" s="15">
        <v>187.0</v>
      </c>
      <c r="B199" s="15">
        <v>1.42020869565217E9</v>
      </c>
      <c r="C199" s="16">
        <v>-102.0977631</v>
      </c>
      <c r="D199" s="17">
        <f t="shared" si="1"/>
        <v>-191304.3478</v>
      </c>
      <c r="E199" s="18">
        <f t="shared" si="2"/>
        <v>39.48673368</v>
      </c>
      <c r="F199" s="17">
        <f t="shared" si="3"/>
        <v>0.0002064079261</v>
      </c>
      <c r="G199" s="17">
        <f t="shared" si="4"/>
        <v>0</v>
      </c>
      <c r="H199" s="16">
        <f t="shared" si="5"/>
        <v>0</v>
      </c>
      <c r="I199" s="17">
        <f t="shared" si="6"/>
        <v>0</v>
      </c>
      <c r="J199" s="17">
        <f t="shared" si="7"/>
        <v>0</v>
      </c>
      <c r="K199" s="17"/>
      <c r="L199" s="17">
        <f t="shared" si="8"/>
        <v>469.1695927</v>
      </c>
      <c r="M199" s="2">
        <f t="shared" si="9"/>
        <v>462.5979483</v>
      </c>
      <c r="N199" s="9">
        <f t="shared" si="10"/>
        <v>6.571644482</v>
      </c>
      <c r="O199" s="17"/>
      <c r="P199" s="17"/>
      <c r="Q199" s="17"/>
      <c r="R199" s="16"/>
      <c r="S199" s="14">
        <f t="shared" si="13"/>
        <v>6.0347157</v>
      </c>
      <c r="U199" s="21"/>
      <c r="V199" s="21"/>
      <c r="W199" s="21"/>
      <c r="X199" s="21"/>
      <c r="Y199" s="21"/>
      <c r="Z199" s="21"/>
    </row>
    <row r="200">
      <c r="A200" s="15">
        <v>188.0</v>
      </c>
      <c r="B200" s="15">
        <v>1.42021304347826E9</v>
      </c>
      <c r="C200" s="16">
        <v>-102.1340103</v>
      </c>
      <c r="D200" s="17">
        <f t="shared" si="1"/>
        <v>-186956.5217</v>
      </c>
      <c r="E200" s="18">
        <f t="shared" si="2"/>
        <v>38.56843755</v>
      </c>
      <c r="F200" s="17">
        <f t="shared" si="3"/>
        <v>0.0002062962939</v>
      </c>
      <c r="G200" s="17">
        <f t="shared" si="4"/>
        <v>0</v>
      </c>
      <c r="H200" s="16">
        <f t="shared" si="5"/>
        <v>0</v>
      </c>
      <c r="I200" s="17">
        <f t="shared" si="6"/>
        <v>0</v>
      </c>
      <c r="J200" s="17">
        <f t="shared" si="7"/>
        <v>0</v>
      </c>
      <c r="K200" s="17"/>
      <c r="L200" s="17">
        <f t="shared" si="8"/>
        <v>465.2700929</v>
      </c>
      <c r="M200" s="2">
        <f t="shared" si="9"/>
        <v>462.5267468</v>
      </c>
      <c r="N200" s="9">
        <f t="shared" si="10"/>
        <v>2.743346031</v>
      </c>
      <c r="O200" s="17"/>
      <c r="P200" s="17"/>
      <c r="Q200" s="17"/>
      <c r="R200" s="16"/>
      <c r="S200" s="14">
        <f t="shared" si="13"/>
        <v>2.519204051</v>
      </c>
      <c r="U200" s="21"/>
      <c r="V200" s="21"/>
      <c r="W200" s="21"/>
      <c r="X200" s="21"/>
      <c r="Y200" s="21"/>
      <c r="Z200" s="21"/>
    </row>
    <row r="201">
      <c r="A201" s="15">
        <v>189.0</v>
      </c>
      <c r="B201" s="15">
        <v>1.42021739130434E9</v>
      </c>
      <c r="C201" s="16">
        <v>-102.1482315</v>
      </c>
      <c r="D201" s="17">
        <f t="shared" si="1"/>
        <v>-182608.6957</v>
      </c>
      <c r="E201" s="18">
        <f t="shared" si="2"/>
        <v>37.65014142</v>
      </c>
      <c r="F201" s="17">
        <f t="shared" si="3"/>
        <v>0.0002061793459</v>
      </c>
      <c r="G201" s="17">
        <f t="shared" si="4"/>
        <v>0</v>
      </c>
      <c r="H201" s="16">
        <f t="shared" si="5"/>
        <v>0</v>
      </c>
      <c r="I201" s="17">
        <f t="shared" si="6"/>
        <v>0</v>
      </c>
      <c r="J201" s="17">
        <f t="shared" si="7"/>
        <v>0</v>
      </c>
      <c r="K201" s="17"/>
      <c r="L201" s="17">
        <f t="shared" si="8"/>
        <v>463.7490334</v>
      </c>
      <c r="M201" s="2">
        <f t="shared" si="9"/>
        <v>462.4554374</v>
      </c>
      <c r="N201" s="9">
        <f t="shared" si="10"/>
        <v>1.293595996</v>
      </c>
      <c r="O201" s="17"/>
      <c r="P201" s="17"/>
      <c r="Q201" s="17"/>
      <c r="R201" s="16"/>
      <c r="S201" s="14">
        <f t="shared" si="13"/>
        <v>1.187904201</v>
      </c>
      <c r="U201" s="21"/>
      <c r="V201" s="21"/>
      <c r="W201" s="21"/>
      <c r="X201" s="21"/>
      <c r="Y201" s="21"/>
      <c r="Z201" s="21"/>
    </row>
    <row r="202">
      <c r="A202" s="15">
        <v>190.0</v>
      </c>
      <c r="B202" s="15">
        <v>1.42022173913043E9</v>
      </c>
      <c r="C202" s="16">
        <v>-102.1645279</v>
      </c>
      <c r="D202" s="17">
        <f t="shared" si="1"/>
        <v>-178260.8696</v>
      </c>
      <c r="E202" s="18">
        <f t="shared" si="2"/>
        <v>36.73184529</v>
      </c>
      <c r="F202" s="17">
        <f t="shared" si="3"/>
        <v>0.0002060566931</v>
      </c>
      <c r="G202" s="17">
        <f t="shared" si="4"/>
        <v>0</v>
      </c>
      <c r="H202" s="16">
        <f t="shared" si="5"/>
        <v>0</v>
      </c>
      <c r="I202" s="17">
        <f t="shared" si="6"/>
        <v>0</v>
      </c>
      <c r="J202" s="17">
        <f t="shared" si="7"/>
        <v>0</v>
      </c>
      <c r="K202" s="17"/>
      <c r="L202" s="17">
        <f t="shared" si="8"/>
        <v>462.0121294</v>
      </c>
      <c r="M202" s="2">
        <f t="shared" si="9"/>
        <v>462.3840167</v>
      </c>
      <c r="N202" s="9">
        <f t="shared" si="10"/>
        <v>-0.3718873555</v>
      </c>
      <c r="O202" s="17"/>
      <c r="P202" s="17"/>
      <c r="Q202" s="17"/>
      <c r="R202" s="16"/>
      <c r="S202" s="14">
        <f t="shared" si="13"/>
        <v>-0.3415027196</v>
      </c>
      <c r="U202" s="21"/>
      <c r="V202" s="21"/>
      <c r="W202" s="21"/>
      <c r="X202" s="21"/>
      <c r="Y202" s="21"/>
      <c r="Z202" s="21"/>
    </row>
    <row r="203">
      <c r="A203" s="15">
        <v>191.0</v>
      </c>
      <c r="B203" s="15">
        <v>1.42022608695652E9</v>
      </c>
      <c r="C203" s="16">
        <v>-102.1478577</v>
      </c>
      <c r="D203" s="17">
        <f t="shared" si="1"/>
        <v>-173913.0435</v>
      </c>
      <c r="E203" s="18">
        <f t="shared" si="2"/>
        <v>35.81354916</v>
      </c>
      <c r="F203" s="17">
        <f t="shared" si="3"/>
        <v>0.0002059279076</v>
      </c>
      <c r="G203" s="17">
        <f t="shared" si="4"/>
        <v>0</v>
      </c>
      <c r="H203" s="16">
        <f t="shared" si="5"/>
        <v>0</v>
      </c>
      <c r="I203" s="17">
        <f t="shared" si="6"/>
        <v>0</v>
      </c>
      <c r="J203" s="17">
        <f t="shared" si="7"/>
        <v>0</v>
      </c>
      <c r="K203" s="17"/>
      <c r="L203" s="17">
        <f t="shared" si="8"/>
        <v>463.7889503</v>
      </c>
      <c r="M203" s="2">
        <f t="shared" si="9"/>
        <v>462.3124817</v>
      </c>
      <c r="N203" s="9">
        <f t="shared" si="10"/>
        <v>1.476468516</v>
      </c>
      <c r="O203" s="17"/>
      <c r="P203" s="17"/>
      <c r="Q203" s="17"/>
      <c r="R203" s="16"/>
      <c r="S203" s="14">
        <f t="shared" si="13"/>
        <v>1.355835329</v>
      </c>
      <c r="U203" s="21"/>
      <c r="V203" s="21"/>
      <c r="W203" s="21"/>
      <c r="X203" s="21"/>
      <c r="Y203" s="21"/>
      <c r="Z203" s="21"/>
    </row>
    <row r="204">
      <c r="A204" s="15">
        <v>192.0</v>
      </c>
      <c r="B204" s="15">
        <v>1.4202304347826E9</v>
      </c>
      <c r="C204" s="16">
        <v>-102.1643143</v>
      </c>
      <c r="D204" s="17">
        <f t="shared" si="1"/>
        <v>-169565.2174</v>
      </c>
      <c r="E204" s="18">
        <f t="shared" si="2"/>
        <v>34.89525302</v>
      </c>
      <c r="F204" s="17">
        <f t="shared" si="3"/>
        <v>0.0002057925178</v>
      </c>
      <c r="G204" s="17">
        <f t="shared" si="4"/>
        <v>0</v>
      </c>
      <c r="H204" s="16">
        <f t="shared" si="5"/>
        <v>0</v>
      </c>
      <c r="I204" s="17">
        <f t="shared" si="6"/>
        <v>0</v>
      </c>
      <c r="J204" s="17">
        <f t="shared" si="7"/>
        <v>0</v>
      </c>
      <c r="K204" s="17"/>
      <c r="L204" s="17">
        <f t="shared" si="8"/>
        <v>462.0348532</v>
      </c>
      <c r="M204" s="2">
        <f t="shared" si="9"/>
        <v>462.2408293</v>
      </c>
      <c r="N204" s="9">
        <f t="shared" si="10"/>
        <v>-0.2059761424</v>
      </c>
      <c r="O204" s="17"/>
      <c r="P204" s="17"/>
      <c r="Q204" s="17"/>
      <c r="R204" s="16"/>
      <c r="S204" s="14">
        <f t="shared" si="13"/>
        <v>-0.189147095</v>
      </c>
      <c r="U204" s="21"/>
      <c r="V204" s="21"/>
      <c r="W204" s="21"/>
      <c r="X204" s="21"/>
      <c r="Y204" s="21"/>
      <c r="Z204" s="21"/>
    </row>
    <row r="205">
      <c r="A205" s="15">
        <v>193.0</v>
      </c>
      <c r="B205" s="15">
        <v>1.42023478260869E9</v>
      </c>
      <c r="C205" s="16">
        <v>-102.1310501</v>
      </c>
      <c r="D205" s="17">
        <f t="shared" si="1"/>
        <v>-165217.3913</v>
      </c>
      <c r="E205" s="18">
        <f t="shared" si="2"/>
        <v>33.97695689</v>
      </c>
      <c r="F205" s="17">
        <f t="shared" si="3"/>
        <v>0.0002056500022</v>
      </c>
      <c r="G205" s="17">
        <f t="shared" si="4"/>
        <v>0</v>
      </c>
      <c r="H205" s="16">
        <f t="shared" si="5"/>
        <v>0</v>
      </c>
      <c r="I205" s="17">
        <f t="shared" si="6"/>
        <v>0</v>
      </c>
      <c r="J205" s="17">
        <f t="shared" si="7"/>
        <v>0</v>
      </c>
      <c r="K205" s="17"/>
      <c r="L205" s="17">
        <f t="shared" si="8"/>
        <v>465.5873343</v>
      </c>
      <c r="M205" s="2">
        <f t="shared" si="9"/>
        <v>462.1690563</v>
      </c>
      <c r="N205" s="9">
        <f t="shared" si="10"/>
        <v>3.418278029</v>
      </c>
      <c r="O205" s="17"/>
      <c r="P205" s="17"/>
      <c r="Q205" s="17"/>
      <c r="R205" s="16"/>
      <c r="S205" s="14">
        <f t="shared" si="13"/>
        <v>3.138991495</v>
      </c>
      <c r="U205" s="21"/>
      <c r="V205" s="21"/>
      <c r="W205" s="21"/>
      <c r="X205" s="21"/>
      <c r="Y205" s="21"/>
      <c r="Z205" s="21"/>
    </row>
    <row r="206">
      <c r="A206" s="15">
        <v>194.0</v>
      </c>
      <c r="B206" s="15">
        <v>1.42023913043478E9</v>
      </c>
      <c r="C206" s="16">
        <v>-102.1485977</v>
      </c>
      <c r="D206" s="17">
        <f t="shared" si="1"/>
        <v>-160869.5652</v>
      </c>
      <c r="E206" s="18">
        <f t="shared" si="2"/>
        <v>33.05866076</v>
      </c>
      <c r="F206" s="17">
        <f t="shared" si="3"/>
        <v>0.0002054997831</v>
      </c>
      <c r="G206" s="17">
        <f t="shared" si="4"/>
        <v>0</v>
      </c>
      <c r="H206" s="16">
        <f t="shared" si="5"/>
        <v>0</v>
      </c>
      <c r="I206" s="17">
        <f t="shared" si="6"/>
        <v>0</v>
      </c>
      <c r="J206" s="17">
        <f t="shared" si="7"/>
        <v>0</v>
      </c>
      <c r="K206" s="17"/>
      <c r="L206" s="17">
        <f t="shared" si="8"/>
        <v>463.7099314</v>
      </c>
      <c r="M206" s="2">
        <f t="shared" si="9"/>
        <v>462.0971595</v>
      </c>
      <c r="N206" s="9">
        <f t="shared" si="10"/>
        <v>1.612771882</v>
      </c>
      <c r="O206" s="17"/>
      <c r="P206" s="17"/>
      <c r="Q206" s="17"/>
      <c r="R206" s="16"/>
      <c r="S206" s="14">
        <f t="shared" si="13"/>
        <v>1.481002179</v>
      </c>
      <c r="U206" s="21"/>
      <c r="V206" s="21"/>
      <c r="W206" s="21"/>
      <c r="X206" s="21"/>
      <c r="Y206" s="21"/>
      <c r="Z206" s="21"/>
    </row>
    <row r="207">
      <c r="A207" s="15">
        <v>195.0</v>
      </c>
      <c r="B207" s="15">
        <v>1.42024347826087E9</v>
      </c>
      <c r="C207" s="16">
        <v>-102.1536179</v>
      </c>
      <c r="D207" s="17">
        <f t="shared" si="1"/>
        <v>-156521.7391</v>
      </c>
      <c r="E207" s="18">
        <f t="shared" si="2"/>
        <v>32.14036463</v>
      </c>
      <c r="F207" s="17">
        <f t="shared" si="3"/>
        <v>0.0002053412184</v>
      </c>
      <c r="G207" s="17">
        <f t="shared" si="4"/>
        <v>0</v>
      </c>
      <c r="H207" s="16">
        <f t="shared" si="5"/>
        <v>0</v>
      </c>
      <c r="I207" s="17">
        <f t="shared" si="6"/>
        <v>0</v>
      </c>
      <c r="J207" s="17">
        <f t="shared" si="7"/>
        <v>0</v>
      </c>
      <c r="K207" s="17"/>
      <c r="L207" s="17">
        <f t="shared" si="8"/>
        <v>463.1742185</v>
      </c>
      <c r="M207" s="2">
        <f t="shared" si="9"/>
        <v>462.0251359</v>
      </c>
      <c r="N207" s="9">
        <f t="shared" si="10"/>
        <v>1.149082602</v>
      </c>
      <c r="O207" s="17"/>
      <c r="P207" s="17"/>
      <c r="Q207" s="17"/>
      <c r="R207" s="16"/>
      <c r="S207" s="14">
        <f t="shared" si="13"/>
        <v>1.05519811</v>
      </c>
      <c r="U207" s="21"/>
      <c r="V207" s="21"/>
      <c r="W207" s="21"/>
      <c r="X207" s="21"/>
      <c r="Y207" s="21"/>
      <c r="Z207" s="21"/>
    </row>
    <row r="208">
      <c r="A208" s="15">
        <v>196.0</v>
      </c>
      <c r="B208" s="15">
        <v>1.42024782608695E9</v>
      </c>
      <c r="C208" s="16">
        <v>-102.1488724</v>
      </c>
      <c r="D208" s="17">
        <f t="shared" si="1"/>
        <v>-152173.913</v>
      </c>
      <c r="E208" s="18">
        <f t="shared" si="2"/>
        <v>31.22206849</v>
      </c>
      <c r="F208" s="17">
        <f t="shared" si="3"/>
        <v>0.0002051735929</v>
      </c>
      <c r="G208" s="17">
        <f t="shared" si="4"/>
        <v>0</v>
      </c>
      <c r="H208" s="16">
        <f t="shared" si="5"/>
        <v>0</v>
      </c>
      <c r="I208" s="17">
        <f t="shared" si="6"/>
        <v>0</v>
      </c>
      <c r="J208" s="17">
        <f t="shared" si="7"/>
        <v>0</v>
      </c>
      <c r="K208" s="17"/>
      <c r="L208" s="17">
        <f t="shared" si="8"/>
        <v>463.6806017</v>
      </c>
      <c r="M208" s="2">
        <f t="shared" si="9"/>
        <v>461.9529822</v>
      </c>
      <c r="N208" s="9">
        <f t="shared" si="10"/>
        <v>1.727619511</v>
      </c>
      <c r="O208" s="17"/>
      <c r="P208" s="17"/>
      <c r="Q208" s="17"/>
      <c r="R208" s="16"/>
      <c r="S208" s="14">
        <f t="shared" si="13"/>
        <v>1.586466316</v>
      </c>
      <c r="U208" s="21"/>
      <c r="V208" s="21"/>
      <c r="W208" s="21"/>
      <c r="X208" s="21"/>
      <c r="Y208" s="21"/>
      <c r="Z208" s="21"/>
    </row>
    <row r="209">
      <c r="A209" s="15">
        <v>197.0</v>
      </c>
      <c r="B209" s="15">
        <v>1.42025217391304E9</v>
      </c>
      <c r="C209" s="16">
        <v>-102.1513977</v>
      </c>
      <c r="D209" s="17">
        <f t="shared" si="1"/>
        <v>-147826.087</v>
      </c>
      <c r="E209" s="18">
        <f t="shared" si="2"/>
        <v>30.30377236</v>
      </c>
      <c r="F209" s="17">
        <f t="shared" si="3"/>
        <v>0.0002049961071</v>
      </c>
      <c r="G209" s="17">
        <f t="shared" si="4"/>
        <v>0</v>
      </c>
      <c r="H209" s="16">
        <f t="shared" si="5"/>
        <v>0</v>
      </c>
      <c r="I209" s="17">
        <f t="shared" si="6"/>
        <v>0</v>
      </c>
      <c r="J209" s="17">
        <f t="shared" si="7"/>
        <v>0</v>
      </c>
      <c r="K209" s="17"/>
      <c r="L209" s="17">
        <f t="shared" si="8"/>
        <v>463.4110629</v>
      </c>
      <c r="M209" s="2">
        <f t="shared" si="9"/>
        <v>461.8806954</v>
      </c>
      <c r="N209" s="9">
        <f t="shared" si="10"/>
        <v>1.530367478</v>
      </c>
      <c r="O209" s="17"/>
      <c r="P209" s="17"/>
      <c r="Q209" s="17"/>
      <c r="R209" s="16"/>
      <c r="S209" s="14">
        <f t="shared" si="13"/>
        <v>1.405330534</v>
      </c>
      <c r="U209" s="21"/>
      <c r="V209" s="21"/>
      <c r="W209" s="21"/>
      <c r="X209" s="21"/>
      <c r="Y209" s="21"/>
      <c r="Z209" s="21"/>
    </row>
    <row r="210">
      <c r="A210" s="15">
        <v>198.0</v>
      </c>
      <c r="B210" s="15">
        <v>1.42025652173913E9</v>
      </c>
      <c r="C210" s="16">
        <v>-102.147995</v>
      </c>
      <c r="D210" s="17">
        <f t="shared" si="1"/>
        <v>-143478.2609</v>
      </c>
      <c r="E210" s="18">
        <f t="shared" si="2"/>
        <v>29.38547623</v>
      </c>
      <c r="F210" s="17">
        <f t="shared" si="3"/>
        <v>0.0002048078646</v>
      </c>
      <c r="G210" s="17">
        <f t="shared" si="4"/>
        <v>0</v>
      </c>
      <c r="H210" s="16">
        <f t="shared" si="5"/>
        <v>0</v>
      </c>
      <c r="I210" s="17">
        <f t="shared" si="6"/>
        <v>0</v>
      </c>
      <c r="J210" s="17">
        <f t="shared" si="7"/>
        <v>0</v>
      </c>
      <c r="K210" s="17"/>
      <c r="L210" s="17">
        <f t="shared" si="8"/>
        <v>463.774288</v>
      </c>
      <c r="M210" s="2">
        <f t="shared" si="9"/>
        <v>461.8082723</v>
      </c>
      <c r="N210" s="9">
        <f t="shared" si="10"/>
        <v>1.966015694</v>
      </c>
      <c r="O210" s="17"/>
      <c r="P210" s="17"/>
      <c r="Q210" s="17"/>
      <c r="R210" s="16"/>
      <c r="S210" s="14">
        <f t="shared" si="13"/>
        <v>1.805384608</v>
      </c>
      <c r="U210" s="21"/>
      <c r="V210" s="21"/>
      <c r="W210" s="21"/>
      <c r="X210" s="21"/>
      <c r="Y210" s="21"/>
      <c r="Z210" s="21"/>
    </row>
    <row r="211">
      <c r="A211" s="15">
        <v>199.0</v>
      </c>
      <c r="B211" s="15">
        <v>1.42026086956521E9</v>
      </c>
      <c r="C211" s="16">
        <v>-102.1362457</v>
      </c>
      <c r="D211" s="17">
        <f t="shared" si="1"/>
        <v>-139130.4348</v>
      </c>
      <c r="E211" s="18">
        <f t="shared" si="2"/>
        <v>28.4671801</v>
      </c>
      <c r="F211" s="17">
        <f t="shared" si="3"/>
        <v>0.0002046078569</v>
      </c>
      <c r="G211" s="17">
        <f t="shared" si="4"/>
        <v>0</v>
      </c>
      <c r="H211" s="16">
        <f t="shared" si="5"/>
        <v>0</v>
      </c>
      <c r="I211" s="17">
        <f t="shared" si="6"/>
        <v>0</v>
      </c>
      <c r="J211" s="17">
        <f t="shared" si="7"/>
        <v>0</v>
      </c>
      <c r="K211" s="17"/>
      <c r="L211" s="17">
        <f t="shared" si="8"/>
        <v>465.0306707</v>
      </c>
      <c r="M211" s="2">
        <f t="shared" si="9"/>
        <v>461.7357098</v>
      </c>
      <c r="N211" s="9">
        <f t="shared" si="10"/>
        <v>3.294960893</v>
      </c>
      <c r="O211" s="17"/>
      <c r="P211" s="17"/>
      <c r="Q211" s="17"/>
      <c r="R211" s="16"/>
      <c r="S211" s="14">
        <f t="shared" si="13"/>
        <v>3.025749846</v>
      </c>
      <c r="U211" s="21"/>
      <c r="V211" s="21"/>
      <c r="W211" s="21"/>
      <c r="X211" s="21"/>
      <c r="Y211" s="21"/>
      <c r="Z211" s="21"/>
    </row>
    <row r="212">
      <c r="A212" s="15">
        <v>200.0</v>
      </c>
      <c r="B212" s="15">
        <v>1.4202652173913E9</v>
      </c>
      <c r="C212" s="16">
        <v>-102.1300354</v>
      </c>
      <c r="D212" s="17">
        <f t="shared" si="1"/>
        <v>-134782.6087</v>
      </c>
      <c r="E212" s="18">
        <f t="shared" si="2"/>
        <v>27.54888396</v>
      </c>
      <c r="F212" s="17">
        <f t="shared" si="3"/>
        <v>0.0002043949455</v>
      </c>
      <c r="G212" s="17">
        <f t="shared" si="4"/>
        <v>0</v>
      </c>
      <c r="H212" s="16">
        <f t="shared" si="5"/>
        <v>0</v>
      </c>
      <c r="I212" s="17">
        <f t="shared" si="6"/>
        <v>0</v>
      </c>
      <c r="J212" s="17">
        <f t="shared" si="7"/>
        <v>0</v>
      </c>
      <c r="K212" s="17"/>
      <c r="L212" s="17">
        <f t="shared" si="8"/>
        <v>465.6961284</v>
      </c>
      <c r="M212" s="2">
        <f t="shared" si="9"/>
        <v>461.6630048</v>
      </c>
      <c r="N212" s="9">
        <f t="shared" si="10"/>
        <v>4.033123601</v>
      </c>
      <c r="O212" s="17"/>
      <c r="P212" s="17"/>
      <c r="Q212" s="17"/>
      <c r="R212" s="16"/>
      <c r="S212" s="14">
        <f t="shared" si="13"/>
        <v>3.703601797</v>
      </c>
      <c r="U212" s="21"/>
      <c r="V212" s="21"/>
      <c r="W212" s="21"/>
      <c r="X212" s="21"/>
      <c r="Y212" s="21"/>
      <c r="Z212" s="21"/>
    </row>
    <row r="213">
      <c r="A213" s="15">
        <v>201.0</v>
      </c>
      <c r="B213" s="15">
        <v>1.42026956521739E9</v>
      </c>
      <c r="C213" s="16">
        <v>-102.0931549</v>
      </c>
      <c r="D213" s="17">
        <f t="shared" si="1"/>
        <v>-130434.7826</v>
      </c>
      <c r="E213" s="18">
        <f t="shared" si="2"/>
        <v>26.63058783</v>
      </c>
      <c r="F213" s="17">
        <f t="shared" si="3"/>
        <v>0.0002041678401</v>
      </c>
      <c r="G213" s="17">
        <f t="shared" si="4"/>
        <v>0</v>
      </c>
      <c r="H213" s="16">
        <f t="shared" si="5"/>
        <v>0</v>
      </c>
      <c r="I213" s="17">
        <f t="shared" si="6"/>
        <v>0</v>
      </c>
      <c r="J213" s="17">
        <f t="shared" si="7"/>
        <v>0</v>
      </c>
      <c r="K213" s="17"/>
      <c r="L213" s="17">
        <f t="shared" si="8"/>
        <v>469.6676821</v>
      </c>
      <c r="M213" s="2">
        <f t="shared" si="9"/>
        <v>461.590154</v>
      </c>
      <c r="N213" s="9">
        <f t="shared" si="10"/>
        <v>8.077528128</v>
      </c>
      <c r="O213" s="17"/>
      <c r="P213" s="17"/>
      <c r="Q213" s="17"/>
      <c r="R213" s="16"/>
      <c r="S213" s="14">
        <f t="shared" si="13"/>
        <v>7.417562842</v>
      </c>
      <c r="U213" s="21"/>
      <c r="V213" s="21"/>
      <c r="W213" s="21"/>
      <c r="X213" s="21"/>
      <c r="Y213" s="21"/>
      <c r="Z213" s="21"/>
    </row>
    <row r="214">
      <c r="A214" s="15">
        <v>202.0</v>
      </c>
      <c r="B214" s="15">
        <v>1.42027391304347E9</v>
      </c>
      <c r="C214" s="16">
        <v>-102.1189194</v>
      </c>
      <c r="D214" s="17">
        <f t="shared" si="1"/>
        <v>-126086.9565</v>
      </c>
      <c r="E214" s="18">
        <f t="shared" si="2"/>
        <v>25.7122917</v>
      </c>
      <c r="F214" s="17">
        <f t="shared" si="3"/>
        <v>0.0002039250721</v>
      </c>
      <c r="G214" s="17">
        <f t="shared" si="4"/>
        <v>0</v>
      </c>
      <c r="H214" s="16">
        <f t="shared" si="5"/>
        <v>0</v>
      </c>
      <c r="I214" s="17">
        <f t="shared" si="6"/>
        <v>0</v>
      </c>
      <c r="J214" s="17">
        <f t="shared" si="7"/>
        <v>0</v>
      </c>
      <c r="K214" s="17"/>
      <c r="L214" s="17">
        <f t="shared" si="8"/>
        <v>466.8896293</v>
      </c>
      <c r="M214" s="2">
        <f t="shared" si="9"/>
        <v>461.5171544</v>
      </c>
      <c r="N214" s="9">
        <f t="shared" si="10"/>
        <v>5.372474918</v>
      </c>
      <c r="O214" s="17"/>
      <c r="P214" s="17"/>
      <c r="Q214" s="17"/>
      <c r="R214" s="16"/>
      <c r="S214" s="14">
        <f t="shared" si="13"/>
        <v>4.933522941</v>
      </c>
      <c r="U214" s="21"/>
      <c r="V214" s="21"/>
      <c r="W214" s="21"/>
      <c r="X214" s="21"/>
      <c r="Y214" s="21"/>
      <c r="Z214" s="21"/>
    </row>
    <row r="215">
      <c r="A215" s="15">
        <v>203.0</v>
      </c>
      <c r="B215" s="15">
        <v>1.42027826086956E9</v>
      </c>
      <c r="C215" s="16">
        <v>-102.1398087</v>
      </c>
      <c r="D215" s="17">
        <f t="shared" si="1"/>
        <v>-121739.1304</v>
      </c>
      <c r="E215" s="18">
        <f t="shared" si="2"/>
        <v>24.79399557</v>
      </c>
      <c r="F215" s="17">
        <f t="shared" si="3"/>
        <v>0.0002036649636</v>
      </c>
      <c r="G215" s="17">
        <f t="shared" si="4"/>
        <v>0</v>
      </c>
      <c r="H215" s="16">
        <f t="shared" si="5"/>
        <v>0</v>
      </c>
      <c r="I215" s="17">
        <f t="shared" si="6"/>
        <v>0</v>
      </c>
      <c r="J215" s="17">
        <f t="shared" si="7"/>
        <v>0</v>
      </c>
      <c r="K215" s="17"/>
      <c r="L215" s="17">
        <f t="shared" si="8"/>
        <v>464.6493109</v>
      </c>
      <c r="M215" s="2">
        <f t="shared" si="9"/>
        <v>461.4440028</v>
      </c>
      <c r="N215" s="9">
        <f t="shared" si="10"/>
        <v>3.20530803</v>
      </c>
      <c r="O215" s="17"/>
      <c r="P215" s="17"/>
      <c r="Q215" s="17"/>
      <c r="R215" s="16"/>
      <c r="S215" s="14">
        <f t="shared" si="13"/>
        <v>2.943421962</v>
      </c>
      <c r="U215" s="21"/>
      <c r="V215" s="21"/>
      <c r="W215" s="21"/>
      <c r="X215" s="21"/>
      <c r="Y215" s="21"/>
      <c r="Z215" s="21"/>
    </row>
    <row r="216">
      <c r="A216" s="15">
        <v>204.0</v>
      </c>
      <c r="B216" s="15">
        <v>1.42028260869565E9</v>
      </c>
      <c r="C216" s="16">
        <v>-102.1569366</v>
      </c>
      <c r="D216" s="17">
        <f t="shared" si="1"/>
        <v>-117391.3043</v>
      </c>
      <c r="E216" s="18">
        <f t="shared" si="2"/>
        <v>23.87569944</v>
      </c>
      <c r="F216" s="17">
        <f t="shared" si="3"/>
        <v>0.0002033855878</v>
      </c>
      <c r="G216" s="17">
        <f t="shared" si="4"/>
        <v>0</v>
      </c>
      <c r="H216" s="16">
        <f t="shared" si="5"/>
        <v>0</v>
      </c>
      <c r="I216" s="17">
        <f t="shared" si="6"/>
        <v>0</v>
      </c>
      <c r="J216" s="17">
        <f t="shared" si="7"/>
        <v>0</v>
      </c>
      <c r="K216" s="17"/>
      <c r="L216" s="17">
        <f t="shared" si="8"/>
        <v>462.820415</v>
      </c>
      <c r="M216" s="2">
        <f t="shared" si="9"/>
        <v>461.3706962</v>
      </c>
      <c r="N216" s="9">
        <f t="shared" si="10"/>
        <v>1.449718789</v>
      </c>
      <c r="O216" s="17"/>
      <c r="P216" s="17"/>
      <c r="Q216" s="17"/>
      <c r="R216" s="16"/>
      <c r="S216" s="14">
        <f t="shared" si="13"/>
        <v>1.331271157</v>
      </c>
      <c r="U216" s="21"/>
      <c r="V216" s="21"/>
      <c r="W216" s="21"/>
      <c r="X216" s="21"/>
      <c r="Y216" s="21"/>
      <c r="Z216" s="21"/>
    </row>
    <row r="217">
      <c r="A217" s="15">
        <v>205.0</v>
      </c>
      <c r="B217" s="15">
        <v>1.42028695652173E9</v>
      </c>
      <c r="C217" s="16">
        <v>-102.0752487</v>
      </c>
      <c r="D217" s="17">
        <f t="shared" si="1"/>
        <v>-113043.4783</v>
      </c>
      <c r="E217" s="18">
        <f t="shared" si="2"/>
        <v>22.9574033</v>
      </c>
      <c r="F217" s="17">
        <f t="shared" si="3"/>
        <v>0.0002030847215</v>
      </c>
      <c r="G217" s="17">
        <f t="shared" si="4"/>
        <v>0</v>
      </c>
      <c r="H217" s="16">
        <f t="shared" si="5"/>
        <v>0</v>
      </c>
      <c r="I217" s="17">
        <f t="shared" si="6"/>
        <v>0</v>
      </c>
      <c r="J217" s="17">
        <f t="shared" si="7"/>
        <v>0</v>
      </c>
      <c r="K217" s="17"/>
      <c r="L217" s="17">
        <f t="shared" si="8"/>
        <v>471.6081454</v>
      </c>
      <c r="M217" s="2">
        <f t="shared" si="9"/>
        <v>461.2972312</v>
      </c>
      <c r="N217" s="9">
        <f t="shared" si="10"/>
        <v>10.31091412</v>
      </c>
      <c r="O217" s="17"/>
      <c r="P217" s="17"/>
      <c r="Q217" s="17"/>
      <c r="R217" s="16"/>
      <c r="S217" s="14">
        <f t="shared" si="13"/>
        <v>9.468472558</v>
      </c>
      <c r="U217" s="21"/>
      <c r="V217" s="21"/>
      <c r="W217" s="21"/>
      <c r="X217" s="21"/>
      <c r="Y217" s="21"/>
      <c r="Z217" s="21"/>
    </row>
    <row r="218">
      <c r="A218" s="15">
        <v>206.0</v>
      </c>
      <c r="B218" s="15">
        <v>1.42029130434782E9</v>
      </c>
      <c r="C218" s="16">
        <v>-102.106041</v>
      </c>
      <c r="D218" s="17">
        <f t="shared" si="1"/>
        <v>-108695.6522</v>
      </c>
      <c r="E218" s="18">
        <f t="shared" si="2"/>
        <v>22.03910717</v>
      </c>
      <c r="F218" s="17">
        <f t="shared" si="3"/>
        <v>0.000202759786</v>
      </c>
      <c r="G218" s="17">
        <f t="shared" si="4"/>
        <v>0</v>
      </c>
      <c r="H218" s="16">
        <f t="shared" si="5"/>
        <v>0</v>
      </c>
      <c r="I218" s="17">
        <f t="shared" si="6"/>
        <v>0</v>
      </c>
      <c r="J218" s="17">
        <f t="shared" si="7"/>
        <v>0</v>
      </c>
      <c r="K218" s="17"/>
      <c r="L218" s="17">
        <f t="shared" si="8"/>
        <v>468.2761805</v>
      </c>
      <c r="M218" s="2">
        <f t="shared" si="9"/>
        <v>461.2236049</v>
      </c>
      <c r="N218" s="9">
        <f t="shared" si="10"/>
        <v>7.052575588</v>
      </c>
      <c r="O218" s="17"/>
      <c r="P218" s="17"/>
      <c r="Q218" s="17"/>
      <c r="R218" s="16"/>
      <c r="S218" s="14">
        <f t="shared" si="13"/>
        <v>6.476352888</v>
      </c>
      <c r="U218" s="21"/>
      <c r="V218" s="21"/>
      <c r="W218" s="21"/>
      <c r="X218" s="21"/>
      <c r="Y218" s="21"/>
      <c r="Z218" s="21"/>
    </row>
    <row r="219">
      <c r="A219" s="15">
        <v>207.0</v>
      </c>
      <c r="B219" s="15">
        <v>1.42029565217391E9</v>
      </c>
      <c r="C219" s="16">
        <v>-102.1334991</v>
      </c>
      <c r="D219" s="17">
        <f t="shared" si="1"/>
        <v>-104347.8261</v>
      </c>
      <c r="E219" s="18">
        <f t="shared" si="2"/>
        <v>21.12081104</v>
      </c>
      <c r="F219" s="17">
        <f t="shared" si="3"/>
        <v>0.0002024077725</v>
      </c>
      <c r="G219" s="17">
        <f t="shared" si="4"/>
        <v>0</v>
      </c>
      <c r="H219" s="16">
        <f t="shared" si="5"/>
        <v>0</v>
      </c>
      <c r="I219" s="17">
        <f t="shared" si="6"/>
        <v>0</v>
      </c>
      <c r="J219" s="17">
        <f t="shared" si="7"/>
        <v>0</v>
      </c>
      <c r="K219" s="17"/>
      <c r="L219" s="17">
        <f t="shared" si="8"/>
        <v>465.3248622</v>
      </c>
      <c r="M219" s="2">
        <f t="shared" si="9"/>
        <v>461.1498141</v>
      </c>
      <c r="N219" s="9">
        <f t="shared" si="10"/>
        <v>4.175048083</v>
      </c>
      <c r="O219" s="17"/>
      <c r="P219" s="17"/>
      <c r="Q219" s="17"/>
      <c r="R219" s="16"/>
      <c r="S219" s="14">
        <f t="shared" si="13"/>
        <v>3.8339305</v>
      </c>
      <c r="U219" s="21"/>
      <c r="V219" s="21"/>
      <c r="W219" s="21"/>
      <c r="X219" s="21"/>
      <c r="Y219" s="21"/>
      <c r="Z219" s="21"/>
    </row>
    <row r="220">
      <c r="A220" s="15">
        <v>208.0</v>
      </c>
      <c r="B220" s="15">
        <v>1.4203E9</v>
      </c>
      <c r="C220" s="16">
        <v>-102.1574326</v>
      </c>
      <c r="D220" s="17">
        <f t="shared" si="1"/>
        <v>-100000</v>
      </c>
      <c r="E220" s="18">
        <f t="shared" si="2"/>
        <v>20.20251491</v>
      </c>
      <c r="F220" s="17">
        <f t="shared" si="3"/>
        <v>0.0002020251491</v>
      </c>
      <c r="G220" s="17">
        <f t="shared" si="4"/>
        <v>0</v>
      </c>
      <c r="H220" s="16">
        <f t="shared" si="5"/>
        <v>0</v>
      </c>
      <c r="I220" s="17">
        <f t="shared" si="6"/>
        <v>0</v>
      </c>
      <c r="J220" s="17">
        <f t="shared" si="7"/>
        <v>0</v>
      </c>
      <c r="K220" s="17"/>
      <c r="L220" s="17">
        <f t="shared" si="8"/>
        <v>462.7675601</v>
      </c>
      <c r="M220" s="2">
        <f t="shared" si="9"/>
        <v>461.0758556</v>
      </c>
      <c r="N220" s="9">
        <f t="shared" si="10"/>
        <v>1.691704484</v>
      </c>
      <c r="O220" s="17"/>
      <c r="P220" s="17"/>
      <c r="Q220" s="17"/>
      <c r="R220" s="16"/>
      <c r="S220" s="14">
        <f t="shared" si="13"/>
        <v>1.553485686</v>
      </c>
      <c r="U220" s="21"/>
      <c r="V220" s="21"/>
      <c r="W220" s="21"/>
      <c r="X220" s="21"/>
      <c r="Y220" s="21"/>
      <c r="Z220" s="21"/>
    </row>
    <row r="221">
      <c r="A221" s="15">
        <v>209.0</v>
      </c>
      <c r="B221" s="15">
        <v>1.42030434782608E9</v>
      </c>
      <c r="C221" s="16">
        <v>-102.1444168</v>
      </c>
      <c r="D221" s="17">
        <f t="shared" si="1"/>
        <v>-95652.17392</v>
      </c>
      <c r="E221" s="18">
        <f t="shared" si="2"/>
        <v>19.28421878</v>
      </c>
      <c r="F221" s="17">
        <f t="shared" si="3"/>
        <v>0.0002016077417</v>
      </c>
      <c r="G221" s="17">
        <f t="shared" si="4"/>
        <v>0</v>
      </c>
      <c r="H221" s="16">
        <f t="shared" si="5"/>
        <v>0</v>
      </c>
      <c r="I221" s="17">
        <f t="shared" si="6"/>
        <v>0</v>
      </c>
      <c r="J221" s="17">
        <f t="shared" si="7"/>
        <v>0</v>
      </c>
      <c r="K221" s="17"/>
      <c r="L221" s="17">
        <f t="shared" si="8"/>
        <v>464.1565542</v>
      </c>
      <c r="M221" s="2">
        <f t="shared" si="9"/>
        <v>461.0017263</v>
      </c>
      <c r="N221" s="9">
        <f t="shared" si="10"/>
        <v>3.154827925</v>
      </c>
      <c r="O221" s="17"/>
      <c r="P221" s="17"/>
      <c r="Q221" s="17"/>
      <c r="R221" s="16"/>
      <c r="S221" s="14">
        <f t="shared" si="13"/>
        <v>2.897066283</v>
      </c>
      <c r="U221" s="21"/>
      <c r="V221" s="21"/>
      <c r="W221" s="21"/>
      <c r="X221" s="21"/>
      <c r="Y221" s="21"/>
      <c r="Z221" s="21"/>
    </row>
    <row r="222">
      <c r="A222" s="15">
        <v>210.0</v>
      </c>
      <c r="B222" s="15">
        <v>1.42030869565217E9</v>
      </c>
      <c r="C222" s="16">
        <v>-102.0733795</v>
      </c>
      <c r="D222" s="17">
        <f t="shared" si="1"/>
        <v>-91304.34783</v>
      </c>
      <c r="E222" s="18">
        <f t="shared" si="2"/>
        <v>18.36592264</v>
      </c>
      <c r="F222" s="17">
        <f t="shared" si="3"/>
        <v>0.0002011505813</v>
      </c>
      <c r="G222" s="17">
        <f t="shared" si="4"/>
        <v>0</v>
      </c>
      <c r="H222" s="16">
        <f t="shared" si="5"/>
        <v>0</v>
      </c>
      <c r="I222" s="17">
        <f t="shared" si="6"/>
        <v>0</v>
      </c>
      <c r="J222" s="17">
        <f t="shared" si="7"/>
        <v>0</v>
      </c>
      <c r="K222" s="17"/>
      <c r="L222" s="17">
        <f t="shared" si="8"/>
        <v>471.8111688</v>
      </c>
      <c r="M222" s="2">
        <f t="shared" si="9"/>
        <v>460.9274231</v>
      </c>
      <c r="N222" s="9">
        <f t="shared" si="10"/>
        <v>10.88374575</v>
      </c>
      <c r="O222" s="17"/>
      <c r="P222" s="17"/>
      <c r="Q222" s="17"/>
      <c r="R222" s="16"/>
      <c r="S222" s="14">
        <f t="shared" si="13"/>
        <v>9.994501606</v>
      </c>
      <c r="U222" s="21"/>
      <c r="V222" s="21"/>
      <c r="W222" s="21"/>
      <c r="X222" s="21"/>
      <c r="Y222" s="21"/>
      <c r="Z222" s="21"/>
    </row>
    <row r="223">
      <c r="A223" s="15">
        <v>211.0</v>
      </c>
      <c r="B223" s="15">
        <v>1.42031304347826E9</v>
      </c>
      <c r="C223" s="16">
        <v>-102.1217499</v>
      </c>
      <c r="D223" s="17">
        <f t="shared" si="1"/>
        <v>-86956.52174</v>
      </c>
      <c r="E223" s="18">
        <f t="shared" si="2"/>
        <v>17.44762651</v>
      </c>
      <c r="F223" s="17">
        <f t="shared" si="3"/>
        <v>0.0002006477049</v>
      </c>
      <c r="G223" s="17">
        <f t="shared" si="4"/>
        <v>0</v>
      </c>
      <c r="H223" s="16">
        <f t="shared" si="5"/>
        <v>0</v>
      </c>
      <c r="I223" s="17">
        <f t="shared" si="6"/>
        <v>0</v>
      </c>
      <c r="J223" s="17">
        <f t="shared" si="7"/>
        <v>0</v>
      </c>
      <c r="K223" s="17"/>
      <c r="L223" s="17">
        <f t="shared" si="8"/>
        <v>466.5854347</v>
      </c>
      <c r="M223" s="2">
        <f t="shared" si="9"/>
        <v>460.8529428</v>
      </c>
      <c r="N223" s="9">
        <f t="shared" si="10"/>
        <v>5.73249193</v>
      </c>
      <c r="O223" s="17"/>
      <c r="P223" s="17"/>
      <c r="Q223" s="17"/>
      <c r="R223" s="16"/>
      <c r="S223" s="14">
        <f t="shared" si="13"/>
        <v>5.264125171</v>
      </c>
      <c r="U223" s="21"/>
      <c r="V223" s="21"/>
      <c r="W223" s="21"/>
      <c r="X223" s="21"/>
      <c r="Y223" s="21"/>
      <c r="Z223" s="21"/>
    </row>
    <row r="224">
      <c r="A224" s="15">
        <v>212.0</v>
      </c>
      <c r="B224" s="15">
        <v>1.42031739130434E9</v>
      </c>
      <c r="C224" s="16">
        <v>-102.1158218</v>
      </c>
      <c r="D224" s="17">
        <f t="shared" si="1"/>
        <v>-82608.69566</v>
      </c>
      <c r="E224" s="18">
        <f t="shared" si="2"/>
        <v>16.52933038</v>
      </c>
      <c r="F224" s="17">
        <f t="shared" si="3"/>
        <v>0.000200091894</v>
      </c>
      <c r="G224" s="17">
        <f t="shared" si="4"/>
        <v>0</v>
      </c>
      <c r="H224" s="16">
        <f t="shared" si="5"/>
        <v>0</v>
      </c>
      <c r="I224" s="17">
        <f t="shared" si="6"/>
        <v>0</v>
      </c>
      <c r="J224" s="17">
        <f t="shared" si="7"/>
        <v>0</v>
      </c>
      <c r="K224" s="17"/>
      <c r="L224" s="17">
        <f t="shared" si="8"/>
        <v>467.2227566</v>
      </c>
      <c r="M224" s="2">
        <f t="shared" si="9"/>
        <v>460.7782822</v>
      </c>
      <c r="N224" s="9">
        <f t="shared" si="10"/>
        <v>6.444474322</v>
      </c>
      <c r="O224" s="17"/>
      <c r="P224" s="17"/>
      <c r="Q224" s="17"/>
      <c r="R224" s="16"/>
      <c r="S224" s="14">
        <f t="shared" si="13"/>
        <v>5.917935848</v>
      </c>
      <c r="U224" s="21"/>
      <c r="V224" s="21"/>
      <c r="W224" s="21"/>
      <c r="X224" s="21"/>
      <c r="Y224" s="21"/>
      <c r="Z224" s="21"/>
    </row>
    <row r="225">
      <c r="A225" s="15">
        <v>213.0</v>
      </c>
      <c r="B225" s="15">
        <v>1.42032173913043E9</v>
      </c>
      <c r="C225" s="16">
        <v>-102.1442032</v>
      </c>
      <c r="D225" s="17">
        <f t="shared" si="1"/>
        <v>-78260.86957</v>
      </c>
      <c r="E225" s="18">
        <f t="shared" si="2"/>
        <v>15.61103425</v>
      </c>
      <c r="F225" s="17">
        <f t="shared" si="3"/>
        <v>0.0001994743265</v>
      </c>
      <c r="G225" s="17">
        <f t="shared" si="4"/>
        <v>0</v>
      </c>
      <c r="H225" s="16">
        <f t="shared" si="5"/>
        <v>0</v>
      </c>
      <c r="I225" s="17">
        <f t="shared" si="6"/>
        <v>0</v>
      </c>
      <c r="J225" s="17">
        <f t="shared" si="7"/>
        <v>0</v>
      </c>
      <c r="K225" s="17"/>
      <c r="L225" s="17">
        <f t="shared" si="8"/>
        <v>464.1793835</v>
      </c>
      <c r="M225" s="2">
        <f t="shared" si="9"/>
        <v>460.7034384</v>
      </c>
      <c r="N225" s="9">
        <f t="shared" si="10"/>
        <v>3.475945116</v>
      </c>
      <c r="O225" s="17"/>
      <c r="P225" s="17"/>
      <c r="Q225" s="17"/>
      <c r="R225" s="16"/>
      <c r="S225" s="14">
        <f t="shared" si="13"/>
        <v>3.19194695</v>
      </c>
      <c r="U225" s="21"/>
      <c r="V225" s="21"/>
      <c r="W225" s="21"/>
      <c r="X225" s="21"/>
      <c r="Y225" s="21"/>
      <c r="Z225" s="21"/>
    </row>
    <row r="226">
      <c r="A226" s="15">
        <v>214.0</v>
      </c>
      <c r="B226" s="15">
        <v>1.42032608695652E9</v>
      </c>
      <c r="C226" s="16">
        <v>-102.1063385</v>
      </c>
      <c r="D226" s="17">
        <f t="shared" si="1"/>
        <v>-73913.04348</v>
      </c>
      <c r="E226" s="18">
        <f t="shared" si="2"/>
        <v>14.69273812</v>
      </c>
      <c r="F226" s="17">
        <f t="shared" si="3"/>
        <v>0.0001987841039</v>
      </c>
      <c r="G226" s="17">
        <f t="shared" si="4"/>
        <v>0</v>
      </c>
      <c r="H226" s="16">
        <f t="shared" si="5"/>
        <v>0</v>
      </c>
      <c r="I226" s="17">
        <f t="shared" si="6"/>
        <v>0</v>
      </c>
      <c r="J226" s="17">
        <f t="shared" si="7"/>
        <v>0</v>
      </c>
      <c r="K226" s="17"/>
      <c r="L226" s="17">
        <f t="shared" si="8"/>
        <v>468.2441038</v>
      </c>
      <c r="M226" s="2">
        <f t="shared" si="9"/>
        <v>460.628408</v>
      </c>
      <c r="N226" s="9">
        <f t="shared" si="10"/>
        <v>7.615695771</v>
      </c>
      <c r="O226" s="17"/>
      <c r="P226" s="17"/>
      <c r="Q226" s="17"/>
      <c r="R226" s="16"/>
      <c r="S226" s="14">
        <f t="shared" si="13"/>
        <v>6.993463975</v>
      </c>
      <c r="U226" s="21"/>
      <c r="V226" s="21"/>
      <c r="W226" s="21"/>
      <c r="X226" s="21"/>
      <c r="Y226" s="21"/>
      <c r="Z226" s="21"/>
    </row>
    <row r="227">
      <c r="A227" s="15">
        <v>215.0</v>
      </c>
      <c r="B227" s="15">
        <v>1.4203304347826E9</v>
      </c>
      <c r="C227" s="16">
        <v>-102.1319122</v>
      </c>
      <c r="D227" s="17">
        <f t="shared" si="1"/>
        <v>-69565.2174</v>
      </c>
      <c r="E227" s="18">
        <f t="shared" si="2"/>
        <v>13.77444198</v>
      </c>
      <c r="F227" s="17">
        <f t="shared" si="3"/>
        <v>0.0001980076035</v>
      </c>
      <c r="G227" s="17">
        <f t="shared" si="4"/>
        <v>0</v>
      </c>
      <c r="H227" s="16">
        <f t="shared" si="5"/>
        <v>0</v>
      </c>
      <c r="I227" s="17">
        <f t="shared" si="6"/>
        <v>0</v>
      </c>
      <c r="J227" s="17">
        <f t="shared" si="7"/>
        <v>0</v>
      </c>
      <c r="K227" s="17"/>
      <c r="L227" s="17">
        <f t="shared" si="8"/>
        <v>465.4949217</v>
      </c>
      <c r="M227" s="2">
        <f t="shared" si="9"/>
        <v>460.5531881</v>
      </c>
      <c r="N227" s="9">
        <f t="shared" si="10"/>
        <v>4.9417336</v>
      </c>
      <c r="O227" s="17"/>
      <c r="P227" s="17"/>
      <c r="Q227" s="17"/>
      <c r="R227" s="16"/>
      <c r="S227" s="14">
        <f t="shared" si="13"/>
        <v>4.537974854</v>
      </c>
      <c r="U227" s="21"/>
      <c r="V227" s="21"/>
      <c r="W227" s="21"/>
      <c r="X227" s="21"/>
      <c r="Y227" s="21"/>
      <c r="Z227" s="21"/>
    </row>
    <row r="228">
      <c r="A228" s="15">
        <v>216.0</v>
      </c>
      <c r="B228" s="15">
        <v>1.42033478260869E9</v>
      </c>
      <c r="C228" s="16">
        <v>-102.146019</v>
      </c>
      <c r="D228" s="17">
        <f t="shared" si="1"/>
        <v>-65217.39131</v>
      </c>
      <c r="E228" s="18">
        <f t="shared" si="2"/>
        <v>12.85614585</v>
      </c>
      <c r="F228" s="17">
        <f t="shared" si="3"/>
        <v>0.0001971275697</v>
      </c>
      <c r="G228" s="17">
        <f t="shared" si="4"/>
        <v>0</v>
      </c>
      <c r="H228" s="16">
        <f t="shared" si="5"/>
        <v>0</v>
      </c>
      <c r="I228" s="17">
        <f t="shared" si="6"/>
        <v>0</v>
      </c>
      <c r="J228" s="17">
        <f t="shared" si="7"/>
        <v>0</v>
      </c>
      <c r="K228" s="17"/>
      <c r="L228" s="17">
        <f t="shared" si="8"/>
        <v>463.9853491</v>
      </c>
      <c r="M228" s="2">
        <f t="shared" si="9"/>
        <v>460.4777753</v>
      </c>
      <c r="N228" s="9">
        <f t="shared" si="10"/>
        <v>3.507573765</v>
      </c>
      <c r="O228" s="17"/>
      <c r="P228" s="17"/>
      <c r="Q228" s="17"/>
      <c r="R228" s="16"/>
      <c r="S228" s="14">
        <f t="shared" si="13"/>
        <v>3.220991424</v>
      </c>
      <c r="U228" s="21"/>
      <c r="V228" s="21"/>
      <c r="W228" s="21"/>
      <c r="X228" s="21"/>
      <c r="Y228" s="21"/>
      <c r="Z228" s="21"/>
    </row>
    <row r="229">
      <c r="A229" s="15">
        <v>217.0</v>
      </c>
      <c r="B229" s="15">
        <v>1.42033913043478E9</v>
      </c>
      <c r="C229" s="16">
        <v>-102.1491318</v>
      </c>
      <c r="D229" s="17">
        <f t="shared" si="1"/>
        <v>-60869.56522</v>
      </c>
      <c r="E229" s="18">
        <f t="shared" si="2"/>
        <v>11.93784972</v>
      </c>
      <c r="F229" s="17">
        <f t="shared" si="3"/>
        <v>0.0001961218168</v>
      </c>
      <c r="G229" s="17">
        <f t="shared" si="4"/>
        <v>0</v>
      </c>
      <c r="H229" s="16">
        <f t="shared" si="5"/>
        <v>0</v>
      </c>
      <c r="I229" s="17">
        <f t="shared" si="6"/>
        <v>0</v>
      </c>
      <c r="J229" s="17">
        <f t="shared" si="7"/>
        <v>0</v>
      </c>
      <c r="K229" s="17"/>
      <c r="L229" s="17">
        <f t="shared" si="8"/>
        <v>463.6529073</v>
      </c>
      <c r="M229" s="2">
        <f t="shared" si="9"/>
        <v>460.4021667</v>
      </c>
      <c r="N229" s="9">
        <f t="shared" si="10"/>
        <v>3.250740663</v>
      </c>
      <c r="O229" s="17"/>
      <c r="P229" s="17"/>
      <c r="Q229" s="17"/>
      <c r="R229" s="16"/>
      <c r="S229" s="14">
        <f t="shared" si="13"/>
        <v>2.985142573</v>
      </c>
      <c r="U229" s="21"/>
      <c r="V229" s="21"/>
      <c r="W229" s="21"/>
      <c r="X229" s="21"/>
      <c r="Y229" s="21"/>
      <c r="Z229" s="21"/>
    </row>
    <row r="230">
      <c r="A230" s="15">
        <v>218.0</v>
      </c>
      <c r="B230" s="15">
        <v>1.42034347826087E9</v>
      </c>
      <c r="C230" s="16">
        <v>-102.1033554</v>
      </c>
      <c r="D230" s="17">
        <f t="shared" si="1"/>
        <v>-56521.73913</v>
      </c>
      <c r="E230" s="18">
        <f t="shared" si="2"/>
        <v>11.01955359</v>
      </c>
      <c r="F230" s="17">
        <f t="shared" si="3"/>
        <v>0.0001949613327</v>
      </c>
      <c r="G230" s="17">
        <f t="shared" si="4"/>
        <v>0</v>
      </c>
      <c r="H230" s="16">
        <f t="shared" si="5"/>
        <v>0</v>
      </c>
      <c r="I230" s="17">
        <f t="shared" si="6"/>
        <v>0</v>
      </c>
      <c r="J230" s="17">
        <f t="shared" si="7"/>
        <v>0</v>
      </c>
      <c r="K230" s="17"/>
      <c r="L230" s="17">
        <f t="shared" si="8"/>
        <v>468.5658437</v>
      </c>
      <c r="M230" s="2">
        <f t="shared" si="9"/>
        <v>460.326359</v>
      </c>
      <c r="N230" s="9">
        <f t="shared" si="10"/>
        <v>8.239484733</v>
      </c>
      <c r="O230" s="17"/>
      <c r="P230" s="17"/>
      <c r="Q230" s="17"/>
      <c r="R230" s="16"/>
      <c r="S230" s="14">
        <f t="shared" si="13"/>
        <v>7.566286967</v>
      </c>
      <c r="U230" s="21"/>
      <c r="V230" s="21"/>
      <c r="W230" s="21"/>
      <c r="X230" s="21"/>
      <c r="Y230" s="21"/>
      <c r="Z230" s="21"/>
    </row>
    <row r="231">
      <c r="A231" s="15">
        <v>219.0</v>
      </c>
      <c r="B231" s="15">
        <v>1.42034782608695E9</v>
      </c>
      <c r="C231" s="16">
        <v>-102.1206436</v>
      </c>
      <c r="D231" s="17">
        <f t="shared" si="1"/>
        <v>-52173.91305</v>
      </c>
      <c r="E231" s="18">
        <f t="shared" si="2"/>
        <v>10.10125745</v>
      </c>
      <c r="F231" s="17">
        <f t="shared" si="3"/>
        <v>0.0001936074345</v>
      </c>
      <c r="G231" s="17">
        <f t="shared" si="4"/>
        <v>0</v>
      </c>
      <c r="H231" s="16">
        <f t="shared" si="5"/>
        <v>0</v>
      </c>
      <c r="I231" s="17">
        <f t="shared" si="6"/>
        <v>0</v>
      </c>
      <c r="J231" s="17">
        <f t="shared" si="7"/>
        <v>0</v>
      </c>
      <c r="K231" s="17"/>
      <c r="L231" s="17">
        <f t="shared" si="8"/>
        <v>466.7043055</v>
      </c>
      <c r="M231" s="2">
        <f t="shared" si="9"/>
        <v>460.2503492</v>
      </c>
      <c r="N231" s="9">
        <f t="shared" si="10"/>
        <v>6.453956302</v>
      </c>
      <c r="O231" s="17"/>
      <c r="P231" s="17"/>
      <c r="Q231" s="17"/>
      <c r="R231" s="16"/>
      <c r="S231" s="14">
        <f t="shared" si="13"/>
        <v>5.926643113</v>
      </c>
      <c r="U231" s="21"/>
      <c r="V231" s="21"/>
      <c r="W231" s="21"/>
      <c r="X231" s="21"/>
      <c r="Y231" s="21"/>
      <c r="Z231" s="21"/>
    </row>
    <row r="232">
      <c r="A232" s="15">
        <v>220.0</v>
      </c>
      <c r="B232" s="15">
        <v>1.42035217391304E9</v>
      </c>
      <c r="C232" s="16">
        <v>-102.1135025</v>
      </c>
      <c r="D232" s="17">
        <f t="shared" si="1"/>
        <v>-47826.08696</v>
      </c>
      <c r="E232" s="18">
        <f t="shared" si="2"/>
        <v>9.182961321</v>
      </c>
      <c r="F232" s="17">
        <f t="shared" si="3"/>
        <v>0.0001920073731</v>
      </c>
      <c r="G232" s="17">
        <f t="shared" si="4"/>
        <v>0</v>
      </c>
      <c r="H232" s="16">
        <f t="shared" si="5"/>
        <v>0</v>
      </c>
      <c r="I232" s="17">
        <f t="shared" si="6"/>
        <v>0</v>
      </c>
      <c r="J232" s="17">
        <f t="shared" si="7"/>
        <v>0</v>
      </c>
      <c r="K232" s="17"/>
      <c r="L232" s="17">
        <f t="shared" si="8"/>
        <v>467.4723382</v>
      </c>
      <c r="M232" s="2">
        <f t="shared" si="9"/>
        <v>460.174134</v>
      </c>
      <c r="N232" s="9">
        <f t="shared" si="10"/>
        <v>7.298204166</v>
      </c>
      <c r="O232" s="17"/>
      <c r="P232" s="17"/>
      <c r="Q232" s="17"/>
      <c r="R232" s="16"/>
      <c r="S232" s="14">
        <f t="shared" si="13"/>
        <v>6.701912647</v>
      </c>
      <c r="U232" s="21"/>
      <c r="V232" s="21"/>
      <c r="W232" s="21"/>
      <c r="X232" s="21"/>
      <c r="Y232" s="21"/>
      <c r="Z232" s="21"/>
    </row>
    <row r="233">
      <c r="A233" s="15">
        <v>221.0</v>
      </c>
      <c r="B233" s="15">
        <v>1.42035652173913E9</v>
      </c>
      <c r="C233" s="16">
        <v>-102.1067581</v>
      </c>
      <c r="D233" s="17">
        <f t="shared" si="1"/>
        <v>-43478.26087</v>
      </c>
      <c r="E233" s="18">
        <f t="shared" si="2"/>
        <v>8.264665191</v>
      </c>
      <c r="F233" s="17">
        <f t="shared" si="3"/>
        <v>0.0001900872994</v>
      </c>
      <c r="G233" s="17">
        <f t="shared" si="4"/>
        <v>0</v>
      </c>
      <c r="H233" s="16">
        <f t="shared" si="5"/>
        <v>0</v>
      </c>
      <c r="I233" s="17">
        <f t="shared" si="6"/>
        <v>0</v>
      </c>
      <c r="J233" s="17">
        <f t="shared" si="7"/>
        <v>0</v>
      </c>
      <c r="K233" s="17"/>
      <c r="L233" s="17">
        <f t="shared" si="8"/>
        <v>468.1988659</v>
      </c>
      <c r="M233" s="2">
        <f t="shared" si="9"/>
        <v>460.0977104</v>
      </c>
      <c r="N233" s="9">
        <f t="shared" si="10"/>
        <v>8.101155495</v>
      </c>
      <c r="O233" s="17"/>
      <c r="P233" s="17"/>
      <c r="Q233" s="17"/>
      <c r="R233" s="16"/>
      <c r="S233" s="14">
        <f t="shared" si="13"/>
        <v>7.439259762</v>
      </c>
      <c r="U233" s="21"/>
      <c r="V233" s="21"/>
      <c r="W233" s="21"/>
      <c r="X233" s="21"/>
      <c r="Y233" s="21"/>
      <c r="Z233" s="21"/>
    </row>
    <row r="234">
      <c r="A234" s="15">
        <v>222.0</v>
      </c>
      <c r="B234" s="15">
        <v>1.42036086956521E9</v>
      </c>
      <c r="C234" s="16">
        <v>-102.1070786</v>
      </c>
      <c r="D234" s="17">
        <f t="shared" si="1"/>
        <v>-39130.43479</v>
      </c>
      <c r="E234" s="18">
        <f t="shared" si="2"/>
        <v>7.346369058</v>
      </c>
      <c r="F234" s="17">
        <f t="shared" si="3"/>
        <v>0.0001877405426</v>
      </c>
      <c r="G234" s="17">
        <f t="shared" si="4"/>
        <v>0</v>
      </c>
      <c r="H234" s="16">
        <f t="shared" si="5"/>
        <v>0</v>
      </c>
      <c r="I234" s="17">
        <f t="shared" si="6"/>
        <v>0</v>
      </c>
      <c r="J234" s="17">
        <f t="shared" si="7"/>
        <v>0</v>
      </c>
      <c r="K234" s="17"/>
      <c r="L234" s="17">
        <f t="shared" si="8"/>
        <v>468.1643151</v>
      </c>
      <c r="M234" s="2">
        <f t="shared" si="9"/>
        <v>460.0210752</v>
      </c>
      <c r="N234" s="9">
        <f t="shared" si="10"/>
        <v>8.143239894</v>
      </c>
      <c r="O234" s="17"/>
      <c r="P234" s="17"/>
      <c r="Q234" s="17"/>
      <c r="R234" s="16"/>
      <c r="S234" s="14">
        <f t="shared" si="13"/>
        <v>7.477905703</v>
      </c>
      <c r="U234" s="21"/>
      <c r="V234" s="21"/>
      <c r="W234" s="21"/>
      <c r="X234" s="21"/>
      <c r="Y234" s="21"/>
      <c r="Z234" s="21"/>
    </row>
    <row r="235">
      <c r="A235" s="15">
        <v>223.0</v>
      </c>
      <c r="B235" s="15">
        <v>1.4203652173913E9</v>
      </c>
      <c r="C235" s="16">
        <v>-102.101059</v>
      </c>
      <c r="D235" s="17">
        <f t="shared" si="1"/>
        <v>-34782.6087</v>
      </c>
      <c r="E235" s="18">
        <f t="shared" si="2"/>
        <v>6.428072925</v>
      </c>
      <c r="F235" s="17">
        <f t="shared" si="3"/>
        <v>0.0001848070966</v>
      </c>
      <c r="G235" s="17">
        <f t="shared" si="4"/>
        <v>0</v>
      </c>
      <c r="H235" s="16">
        <f t="shared" si="5"/>
        <v>0</v>
      </c>
      <c r="I235" s="17">
        <f t="shared" si="6"/>
        <v>0</v>
      </c>
      <c r="J235" s="17">
        <f t="shared" si="7"/>
        <v>0</v>
      </c>
      <c r="K235" s="17"/>
      <c r="L235" s="17">
        <f t="shared" si="8"/>
        <v>468.8136708</v>
      </c>
      <c r="M235" s="2">
        <f t="shared" si="9"/>
        <v>459.9442253</v>
      </c>
      <c r="N235" s="9">
        <f t="shared" si="10"/>
        <v>8.869445494</v>
      </c>
      <c r="O235" s="17"/>
      <c r="P235" s="17"/>
      <c r="Q235" s="17"/>
      <c r="R235" s="16"/>
      <c r="S235" s="14">
        <f t="shared" si="13"/>
        <v>8.144777478</v>
      </c>
      <c r="U235" s="21"/>
      <c r="V235" s="21"/>
      <c r="W235" s="21"/>
      <c r="X235" s="21"/>
      <c r="Y235" s="21"/>
      <c r="Z235" s="21"/>
    </row>
    <row r="236">
      <c r="A236" s="15">
        <v>224.0</v>
      </c>
      <c r="B236" s="15">
        <v>1.42036956521739E9</v>
      </c>
      <c r="C236" s="16">
        <v>-102.1201096</v>
      </c>
      <c r="D236" s="17">
        <f t="shared" si="1"/>
        <v>-30434.78261</v>
      </c>
      <c r="E236" s="18">
        <f t="shared" si="2"/>
        <v>5.509776795</v>
      </c>
      <c r="F236" s="17">
        <f t="shared" si="3"/>
        <v>0.0001810355232</v>
      </c>
      <c r="G236" s="17">
        <f t="shared" si="4"/>
        <v>0</v>
      </c>
      <c r="H236" s="16">
        <f t="shared" si="5"/>
        <v>0</v>
      </c>
      <c r="I236" s="17">
        <f t="shared" si="6"/>
        <v>0</v>
      </c>
      <c r="J236" s="17">
        <f t="shared" si="7"/>
        <v>0</v>
      </c>
      <c r="K236" s="17"/>
      <c r="L236" s="17">
        <f t="shared" si="8"/>
        <v>466.761694</v>
      </c>
      <c r="M236" s="2">
        <f t="shared" si="9"/>
        <v>459.8671575</v>
      </c>
      <c r="N236" s="9">
        <f t="shared" si="10"/>
        <v>6.89453654</v>
      </c>
      <c r="O236" s="17"/>
      <c r="P236" s="17"/>
      <c r="Q236" s="17"/>
      <c r="R236" s="16"/>
      <c r="S236" s="14">
        <f t="shared" si="13"/>
        <v>6.331226242</v>
      </c>
      <c r="U236" s="21"/>
      <c r="V236" s="21"/>
      <c r="W236" s="21"/>
      <c r="X236" s="21"/>
      <c r="Y236" s="21"/>
      <c r="Z236" s="21"/>
    </row>
    <row r="237">
      <c r="A237" s="15">
        <v>225.0</v>
      </c>
      <c r="B237" s="15">
        <v>1.42037391304347E9</v>
      </c>
      <c r="C237" s="16">
        <v>-102.0935593</v>
      </c>
      <c r="D237" s="17">
        <f t="shared" si="1"/>
        <v>-26086.95653</v>
      </c>
      <c r="E237" s="18">
        <f t="shared" si="2"/>
        <v>4.591480662</v>
      </c>
      <c r="F237" s="17">
        <f t="shared" si="3"/>
        <v>0.0001760067586</v>
      </c>
      <c r="G237" s="17">
        <f t="shared" si="4"/>
        <v>0</v>
      </c>
      <c r="H237" s="16">
        <f t="shared" si="5"/>
        <v>0</v>
      </c>
      <c r="I237" s="17">
        <f t="shared" si="6"/>
        <v>0</v>
      </c>
      <c r="J237" s="17">
        <f t="shared" si="7"/>
        <v>0</v>
      </c>
      <c r="K237" s="17"/>
      <c r="L237" s="17">
        <f t="shared" si="8"/>
        <v>469.6239503</v>
      </c>
      <c r="M237" s="2">
        <f t="shared" si="9"/>
        <v>459.7898687</v>
      </c>
      <c r="N237" s="9">
        <f t="shared" si="10"/>
        <v>9.834081622</v>
      </c>
      <c r="O237" s="17"/>
      <c r="P237" s="17"/>
      <c r="Q237" s="17"/>
      <c r="R237" s="16"/>
      <c r="S237" s="14">
        <f t="shared" si="13"/>
        <v>9.030599123</v>
      </c>
      <c r="U237" s="21"/>
      <c r="V237" s="21"/>
      <c r="W237" s="21"/>
      <c r="X237" s="21"/>
      <c r="Y237" s="21"/>
      <c r="Z237" s="21"/>
    </row>
    <row r="238">
      <c r="A238" s="15">
        <v>226.0</v>
      </c>
      <c r="B238" s="15">
        <v>1.42037826086956E9</v>
      </c>
      <c r="C238" s="16">
        <v>-102.0586014</v>
      </c>
      <c r="D238" s="17">
        <f t="shared" si="1"/>
        <v>-21739.13044</v>
      </c>
      <c r="E238" s="18">
        <f t="shared" si="2"/>
        <v>3.673184529</v>
      </c>
      <c r="F238" s="17">
        <f t="shared" si="3"/>
        <v>0.0001689664883</v>
      </c>
      <c r="G238" s="17">
        <f t="shared" si="4"/>
        <v>0</v>
      </c>
      <c r="H238" s="16">
        <f t="shared" si="5"/>
        <v>0</v>
      </c>
      <c r="I238" s="17">
        <f t="shared" si="6"/>
        <v>0</v>
      </c>
      <c r="J238" s="17">
        <f t="shared" si="7"/>
        <v>0</v>
      </c>
      <c r="K238" s="17"/>
      <c r="L238" s="17">
        <f t="shared" si="8"/>
        <v>473.4193746</v>
      </c>
      <c r="M238" s="2">
        <f t="shared" si="9"/>
        <v>459.7123558</v>
      </c>
      <c r="N238" s="9">
        <f t="shared" si="10"/>
        <v>13.7070188</v>
      </c>
      <c r="O238" s="17"/>
      <c r="P238" s="17"/>
      <c r="Q238" s="17"/>
      <c r="R238" s="16"/>
      <c r="S238" s="14">
        <f t="shared" si="13"/>
        <v>12.58710233</v>
      </c>
      <c r="U238" s="21"/>
      <c r="V238" s="21"/>
      <c r="W238" s="21"/>
      <c r="X238" s="21"/>
      <c r="Y238" s="21"/>
      <c r="Z238" s="21"/>
    </row>
    <row r="239">
      <c r="A239" s="15">
        <v>227.0</v>
      </c>
      <c r="B239" s="15">
        <v>1.42038260869565E9</v>
      </c>
      <c r="C239" s="16">
        <v>-102.0663834</v>
      </c>
      <c r="D239" s="17">
        <f t="shared" si="1"/>
        <v>-17391.30435</v>
      </c>
      <c r="E239" s="18">
        <f t="shared" si="2"/>
        <v>2.754888398</v>
      </c>
      <c r="F239" s="17">
        <f t="shared" si="3"/>
        <v>0.0001584060829</v>
      </c>
      <c r="G239" s="17">
        <f t="shared" si="4"/>
        <v>0</v>
      </c>
      <c r="H239" s="16">
        <f t="shared" si="5"/>
        <v>0</v>
      </c>
      <c r="I239" s="17">
        <f t="shared" si="6"/>
        <v>0</v>
      </c>
      <c r="J239" s="17">
        <f t="shared" si="7"/>
        <v>0</v>
      </c>
      <c r="K239" s="17"/>
      <c r="L239" s="17">
        <f t="shared" si="8"/>
        <v>472.5718274</v>
      </c>
      <c r="M239" s="2">
        <f t="shared" si="9"/>
        <v>459.6346156</v>
      </c>
      <c r="N239" s="9">
        <f t="shared" si="10"/>
        <v>12.93721178</v>
      </c>
      <c r="O239" s="17"/>
      <c r="P239" s="17"/>
      <c r="Q239" s="17"/>
      <c r="R239" s="16"/>
      <c r="S239" s="14">
        <f t="shared" si="13"/>
        <v>11.88019155</v>
      </c>
      <c r="U239" s="21"/>
      <c r="V239" s="21"/>
      <c r="W239" s="21"/>
      <c r="X239" s="21"/>
      <c r="Y239" s="21"/>
      <c r="Z239" s="21"/>
    </row>
    <row r="240">
      <c r="A240" s="15">
        <v>228.0</v>
      </c>
      <c r="B240" s="15">
        <v>1.42038695652173E9</v>
      </c>
      <c r="C240" s="16">
        <v>-102.0937805</v>
      </c>
      <c r="D240" s="17">
        <f t="shared" si="1"/>
        <v>-13043.47827</v>
      </c>
      <c r="E240" s="18">
        <f t="shared" si="2"/>
        <v>1.836592266</v>
      </c>
      <c r="F240" s="17">
        <f t="shared" si="3"/>
        <v>0.0001408054069</v>
      </c>
      <c r="G240" s="17">
        <f t="shared" si="4"/>
        <v>0</v>
      </c>
      <c r="H240" s="16">
        <f t="shared" si="5"/>
        <v>0</v>
      </c>
      <c r="I240" s="17">
        <f t="shared" si="6"/>
        <v>0</v>
      </c>
      <c r="J240" s="17">
        <f t="shared" si="7"/>
        <v>0</v>
      </c>
      <c r="K240" s="17"/>
      <c r="L240" s="17">
        <f t="shared" si="8"/>
        <v>469.6000315</v>
      </c>
      <c r="M240" s="2">
        <f t="shared" si="9"/>
        <v>459.556645</v>
      </c>
      <c r="N240" s="9">
        <f t="shared" si="10"/>
        <v>10.04338651</v>
      </c>
      <c r="O240" s="17"/>
      <c r="P240" s="17"/>
      <c r="Q240" s="17"/>
      <c r="R240" s="16"/>
      <c r="S240" s="14">
        <f t="shared" si="13"/>
        <v>9.22280299</v>
      </c>
      <c r="U240" s="21"/>
      <c r="V240" s="21"/>
      <c r="W240" s="21"/>
      <c r="X240" s="21"/>
      <c r="Y240" s="21"/>
      <c r="Z240" s="21"/>
    </row>
    <row r="241">
      <c r="A241" s="15">
        <v>229.0</v>
      </c>
      <c r="B241" s="15">
        <v>1.42039130434782E9</v>
      </c>
      <c r="C241" s="16">
        <v>-102.0777512</v>
      </c>
      <c r="D241" s="17">
        <f t="shared" si="1"/>
        <v>-8695.65218</v>
      </c>
      <c r="E241" s="18">
        <f t="shared" si="2"/>
        <v>0.9182961328</v>
      </c>
      <c r="F241" s="17">
        <f t="shared" si="3"/>
        <v>0.0001056040552</v>
      </c>
      <c r="G241" s="17">
        <f t="shared" si="4"/>
        <v>0</v>
      </c>
      <c r="H241" s="16">
        <f t="shared" si="5"/>
        <v>0</v>
      </c>
      <c r="I241" s="17">
        <f t="shared" si="6"/>
        <v>0</v>
      </c>
      <c r="J241" s="17">
        <f t="shared" si="7"/>
        <v>0</v>
      </c>
      <c r="K241" s="17"/>
      <c r="L241" s="17">
        <f t="shared" si="8"/>
        <v>471.3364727</v>
      </c>
      <c r="M241" s="2">
        <f t="shared" si="9"/>
        <v>459.4784408</v>
      </c>
      <c r="N241" s="9">
        <f t="shared" si="10"/>
        <v>11.85803184</v>
      </c>
      <c r="O241" s="17"/>
      <c r="P241" s="17"/>
      <c r="Q241" s="17"/>
      <c r="R241" s="16"/>
      <c r="S241" s="14">
        <f t="shared" si="13"/>
        <v>10.88918478</v>
      </c>
      <c r="U241" s="21"/>
      <c r="V241" s="21"/>
      <c r="W241" s="21"/>
      <c r="X241" s="21"/>
      <c r="Y241" s="21"/>
      <c r="Z241" s="21"/>
    </row>
    <row r="242">
      <c r="A242" s="15">
        <v>230.0</v>
      </c>
      <c r="B242" s="15">
        <v>1.42039565217391E9</v>
      </c>
      <c r="C242" s="16">
        <v>-102.0060349</v>
      </c>
      <c r="D242" s="17">
        <f t="shared" si="1"/>
        <v>-4347.82609</v>
      </c>
      <c r="E242" s="18">
        <f t="shared" si="2"/>
        <v>0</v>
      </c>
      <c r="F242" s="17">
        <f t="shared" si="3"/>
        <v>0</v>
      </c>
      <c r="G242" s="17">
        <f t="shared" si="4"/>
        <v>0</v>
      </c>
      <c r="H242" s="16">
        <f t="shared" si="5"/>
        <v>0</v>
      </c>
      <c r="I242" s="17">
        <f t="shared" si="6"/>
        <v>0</v>
      </c>
      <c r="J242" s="17" t="str">
        <f t="shared" si="7"/>
        <v>#DIV/0!</v>
      </c>
      <c r="K242" s="17"/>
      <c r="L242" s="17">
        <f t="shared" si="8"/>
        <v>479.184407</v>
      </c>
      <c r="M242" s="2">
        <f t="shared" si="9"/>
        <v>459.4</v>
      </c>
      <c r="N242" s="9">
        <f t="shared" si="10"/>
        <v>19.78440702</v>
      </c>
      <c r="O242" s="17"/>
      <c r="P242" s="17"/>
      <c r="Q242" s="17"/>
      <c r="R242" s="16"/>
      <c r="S242" s="14">
        <f t="shared" si="13"/>
        <v>18.16794441</v>
      </c>
      <c r="U242" s="21"/>
      <c r="V242" s="21"/>
      <c r="W242" s="21"/>
      <c r="X242" s="21"/>
      <c r="Y242" s="21"/>
      <c r="Z242" s="21"/>
    </row>
    <row r="243">
      <c r="A243" s="15">
        <v>231.0</v>
      </c>
      <c r="B243" s="15">
        <v>1.4204E9</v>
      </c>
      <c r="C243" s="16">
        <v>-101.9959183</v>
      </c>
      <c r="D243" s="17">
        <f t="shared" si="1"/>
        <v>0</v>
      </c>
      <c r="E243" s="18">
        <f t="shared" si="2"/>
        <v>-0.9182961307</v>
      </c>
      <c r="F243" s="17"/>
      <c r="G243" s="17">
        <f t="shared" si="4"/>
        <v>0</v>
      </c>
      <c r="H243" s="16">
        <f t="shared" si="5"/>
        <v>0</v>
      </c>
      <c r="I243" s="17">
        <f t="shared" si="6"/>
        <v>0</v>
      </c>
      <c r="J243" s="17" t="str">
        <f t="shared" si="7"/>
        <v>#DIV/0!</v>
      </c>
      <c r="K243" s="17"/>
      <c r="L243" s="17">
        <f t="shared" si="8"/>
        <v>480.3019362</v>
      </c>
      <c r="M243" s="2">
        <f t="shared" si="9"/>
        <v>459.3213193</v>
      </c>
      <c r="N243" s="9">
        <f t="shared" si="10"/>
        <v>20.98061687</v>
      </c>
      <c r="O243" s="17"/>
      <c r="P243" s="17"/>
      <c r="Q243" s="17"/>
      <c r="R243" s="16"/>
      <c r="S243" s="14">
        <f t="shared" si="13"/>
        <v>19.26641934</v>
      </c>
      <c r="U243" s="21"/>
      <c r="V243" s="21"/>
      <c r="W243" s="21"/>
      <c r="X243" s="21"/>
      <c r="Y243" s="21"/>
      <c r="Z243" s="21"/>
    </row>
    <row r="244">
      <c r="A244" s="15">
        <v>232.0</v>
      </c>
      <c r="B244" s="15">
        <v>1.42040434782608E9</v>
      </c>
      <c r="C244" s="16">
        <v>-102.0264359</v>
      </c>
      <c r="D244" s="17">
        <f t="shared" si="1"/>
        <v>4347.82608</v>
      </c>
      <c r="E244" s="18">
        <f t="shared" si="2"/>
        <v>-1.836592263</v>
      </c>
      <c r="F244" s="17">
        <f t="shared" ref="F244:F473" si="16">-E244/D244</f>
        <v>0.0004224162213</v>
      </c>
      <c r="G244" s="17">
        <f t="shared" si="4"/>
        <v>0</v>
      </c>
      <c r="H244" s="16">
        <f t="shared" si="5"/>
        <v>0</v>
      </c>
      <c r="I244" s="17">
        <f t="shared" si="6"/>
        <v>0</v>
      </c>
      <c r="J244" s="17">
        <f t="shared" si="7"/>
        <v>0</v>
      </c>
      <c r="K244" s="17"/>
      <c r="L244" s="17">
        <f t="shared" si="8"/>
        <v>476.9387151</v>
      </c>
      <c r="M244" s="2">
        <f t="shared" si="9"/>
        <v>459.2423957</v>
      </c>
      <c r="N244" s="9">
        <f t="shared" si="10"/>
        <v>17.69631943</v>
      </c>
      <c r="O244" s="17"/>
      <c r="P244" s="17"/>
      <c r="Q244" s="17"/>
      <c r="R244" s="16"/>
      <c r="S244" s="14">
        <f t="shared" si="13"/>
        <v>16.2504617</v>
      </c>
      <c r="U244" s="21"/>
      <c r="V244" s="21"/>
      <c r="W244" s="21"/>
      <c r="X244" s="21"/>
      <c r="Y244" s="21"/>
      <c r="Z244" s="21"/>
    </row>
    <row r="245">
      <c r="A245" s="15">
        <v>233.0</v>
      </c>
      <c r="B245" s="15">
        <v>1.42040869565217E9</v>
      </c>
      <c r="C245" s="16">
        <v>-102.0283737</v>
      </c>
      <c r="D245" s="17">
        <f t="shared" si="1"/>
        <v>8695.65217</v>
      </c>
      <c r="E245" s="18">
        <f t="shared" si="2"/>
        <v>-2.754888396</v>
      </c>
      <c r="F245" s="17">
        <f t="shared" si="16"/>
        <v>0.0003168121657</v>
      </c>
      <c r="G245" s="17">
        <f t="shared" si="4"/>
        <v>0</v>
      </c>
      <c r="H245" s="16">
        <f t="shared" si="5"/>
        <v>0</v>
      </c>
      <c r="I245" s="17">
        <f t="shared" si="6"/>
        <v>0</v>
      </c>
      <c r="J245" s="17">
        <f t="shared" si="7"/>
        <v>0</v>
      </c>
      <c r="K245" s="17"/>
      <c r="L245" s="17">
        <f t="shared" si="8"/>
        <v>476.725955</v>
      </c>
      <c r="M245" s="2">
        <f t="shared" si="9"/>
        <v>459.163226</v>
      </c>
      <c r="N245" s="9">
        <f t="shared" si="10"/>
        <v>17.56272899</v>
      </c>
      <c r="O245" s="17"/>
      <c r="P245" s="17"/>
      <c r="Q245" s="17"/>
      <c r="R245" s="16"/>
      <c r="S245" s="14">
        <f t="shared" si="13"/>
        <v>16.12778608</v>
      </c>
      <c r="U245" s="21"/>
      <c r="V245" s="21"/>
      <c r="W245" s="21"/>
      <c r="X245" s="21"/>
      <c r="Y245" s="21"/>
      <c r="Z245" s="21"/>
    </row>
    <row r="246">
      <c r="A246" s="15">
        <v>234.0</v>
      </c>
      <c r="B246" s="15">
        <v>1.42041304347826E9</v>
      </c>
      <c r="C246" s="16">
        <v>-101.9830322</v>
      </c>
      <c r="D246" s="17">
        <f t="shared" si="1"/>
        <v>13043.47826</v>
      </c>
      <c r="E246" s="18">
        <f t="shared" si="2"/>
        <v>-3.673184527</v>
      </c>
      <c r="F246" s="17">
        <f t="shared" si="16"/>
        <v>0.0002816108137</v>
      </c>
      <c r="G246" s="17">
        <f t="shared" si="4"/>
        <v>0</v>
      </c>
      <c r="H246" s="16">
        <f t="shared" si="5"/>
        <v>0</v>
      </c>
      <c r="I246" s="17">
        <f t="shared" si="6"/>
        <v>0</v>
      </c>
      <c r="J246" s="17">
        <f t="shared" si="7"/>
        <v>0</v>
      </c>
      <c r="K246" s="17"/>
      <c r="L246" s="17">
        <f t="shared" si="8"/>
        <v>481.7291728</v>
      </c>
      <c r="M246" s="2">
        <f t="shared" si="9"/>
        <v>459.083807</v>
      </c>
      <c r="N246" s="9">
        <f t="shared" si="10"/>
        <v>22.64536585</v>
      </c>
      <c r="O246" s="17"/>
      <c r="P246" s="17"/>
      <c r="Q246" s="17"/>
      <c r="R246" s="16"/>
      <c r="S246" s="14">
        <f t="shared" si="13"/>
        <v>20.79515189</v>
      </c>
      <c r="U246" s="21"/>
      <c r="V246" s="21"/>
      <c r="W246" s="21"/>
      <c r="X246" s="21"/>
      <c r="Y246" s="21"/>
      <c r="Z246" s="21"/>
    </row>
    <row r="247">
      <c r="A247" s="15">
        <v>235.0</v>
      </c>
      <c r="B247" s="15">
        <v>1.42041739130434E9</v>
      </c>
      <c r="C247" s="16">
        <v>-101.9680557</v>
      </c>
      <c r="D247" s="17">
        <f t="shared" si="1"/>
        <v>17391.30434</v>
      </c>
      <c r="E247" s="18">
        <f t="shared" si="2"/>
        <v>-4.59148066</v>
      </c>
      <c r="F247" s="17">
        <f t="shared" si="16"/>
        <v>0.0002640101381</v>
      </c>
      <c r="G247" s="17">
        <f t="shared" si="4"/>
        <v>0</v>
      </c>
      <c r="H247" s="16">
        <f t="shared" si="5"/>
        <v>0</v>
      </c>
      <c r="I247" s="17">
        <f t="shared" si="6"/>
        <v>0</v>
      </c>
      <c r="J247" s="17">
        <f t="shared" si="7"/>
        <v>0</v>
      </c>
      <c r="K247" s="17"/>
      <c r="L247" s="17">
        <f t="shared" si="8"/>
        <v>483.3932674</v>
      </c>
      <c r="M247" s="2">
        <f t="shared" si="9"/>
        <v>459.0041356</v>
      </c>
      <c r="N247" s="9">
        <f t="shared" si="10"/>
        <v>24.38913179</v>
      </c>
      <c r="O247" s="17"/>
      <c r="P247" s="17"/>
      <c r="Q247" s="17"/>
      <c r="R247" s="16"/>
      <c r="S247" s="14">
        <f t="shared" si="13"/>
        <v>22.3964454</v>
      </c>
      <c r="U247" s="21"/>
      <c r="V247" s="21"/>
      <c r="W247" s="21"/>
      <c r="X247" s="21"/>
      <c r="Y247" s="21"/>
      <c r="Z247" s="21"/>
    </row>
    <row r="248">
      <c r="A248" s="15">
        <v>236.0</v>
      </c>
      <c r="B248" s="15">
        <v>1.42042173913043E9</v>
      </c>
      <c r="C248" s="16">
        <v>-101.9676132</v>
      </c>
      <c r="D248" s="17">
        <f t="shared" si="1"/>
        <v>21739.13043</v>
      </c>
      <c r="E248" s="18">
        <f t="shared" si="2"/>
        <v>-5.509776792</v>
      </c>
      <c r="F248" s="17">
        <f t="shared" si="16"/>
        <v>0.0002534497325</v>
      </c>
      <c r="G248" s="17">
        <f t="shared" si="4"/>
        <v>0</v>
      </c>
      <c r="H248" s="16">
        <f t="shared" si="5"/>
        <v>0</v>
      </c>
      <c r="I248" s="17">
        <f t="shared" si="6"/>
        <v>0</v>
      </c>
      <c r="J248" s="17">
        <f t="shared" si="7"/>
        <v>0</v>
      </c>
      <c r="K248" s="17"/>
      <c r="L248" s="17">
        <f t="shared" si="8"/>
        <v>483.4425226</v>
      </c>
      <c r="M248" s="2">
        <f t="shared" si="9"/>
        <v>458.9242088</v>
      </c>
      <c r="N248" s="9">
        <f t="shared" si="10"/>
        <v>24.5183138</v>
      </c>
      <c r="O248" s="17"/>
      <c r="P248" s="17"/>
      <c r="Q248" s="17"/>
      <c r="R248" s="16"/>
      <c r="S248" s="14">
        <f t="shared" si="13"/>
        <v>22.51507269</v>
      </c>
      <c r="U248" s="21"/>
      <c r="V248" s="21"/>
      <c r="W248" s="21"/>
      <c r="X248" s="21"/>
      <c r="Y248" s="21"/>
      <c r="Z248" s="21"/>
    </row>
    <row r="249">
      <c r="A249" s="15">
        <v>237.0</v>
      </c>
      <c r="B249" s="15">
        <v>1.42042608695652E9</v>
      </c>
      <c r="C249" s="16">
        <v>-102.0142899</v>
      </c>
      <c r="D249" s="17">
        <f t="shared" si="1"/>
        <v>26086.95652</v>
      </c>
      <c r="E249" s="18">
        <f t="shared" si="2"/>
        <v>-6.428072923</v>
      </c>
      <c r="F249" s="17">
        <f t="shared" si="16"/>
        <v>0.0002464094621</v>
      </c>
      <c r="G249" s="17">
        <f t="shared" si="4"/>
        <v>0</v>
      </c>
      <c r="H249" s="16">
        <f t="shared" si="5"/>
        <v>0</v>
      </c>
      <c r="I249" s="17">
        <f t="shared" si="6"/>
        <v>0</v>
      </c>
      <c r="J249" s="17">
        <f t="shared" si="7"/>
        <v>0</v>
      </c>
      <c r="K249" s="17"/>
      <c r="L249" s="17">
        <f t="shared" si="8"/>
        <v>478.2744461</v>
      </c>
      <c r="M249" s="2">
        <f t="shared" si="9"/>
        <v>458.8440233</v>
      </c>
      <c r="N249" s="9">
        <f t="shared" si="10"/>
        <v>19.43042279</v>
      </c>
      <c r="O249" s="17"/>
      <c r="P249" s="17"/>
      <c r="Q249" s="17"/>
      <c r="R249" s="16"/>
      <c r="S249" s="14">
        <f t="shared" si="13"/>
        <v>17.84288211</v>
      </c>
      <c r="U249" s="21"/>
      <c r="V249" s="21"/>
      <c r="W249" s="21"/>
      <c r="X249" s="21"/>
      <c r="Y249" s="21"/>
      <c r="Z249" s="21"/>
    </row>
    <row r="250">
      <c r="A250" s="15">
        <v>238.0</v>
      </c>
      <c r="B250" s="15">
        <v>1.4204304347826E9</v>
      </c>
      <c r="C250" s="16">
        <v>-101.9762878</v>
      </c>
      <c r="D250" s="17">
        <f t="shared" si="1"/>
        <v>30434.7826</v>
      </c>
      <c r="E250" s="18">
        <f t="shared" si="2"/>
        <v>-7.346369056</v>
      </c>
      <c r="F250" s="17">
        <f t="shared" si="16"/>
        <v>0.0002413806976</v>
      </c>
      <c r="G250" s="17">
        <f t="shared" si="4"/>
        <v>0</v>
      </c>
      <c r="H250" s="16">
        <f t="shared" si="5"/>
        <v>0</v>
      </c>
      <c r="I250" s="17">
        <f t="shared" si="6"/>
        <v>0</v>
      </c>
      <c r="J250" s="17">
        <f t="shared" si="7"/>
        <v>0</v>
      </c>
      <c r="K250" s="17"/>
      <c r="L250" s="17">
        <f t="shared" si="8"/>
        <v>482.477858</v>
      </c>
      <c r="M250" s="2">
        <f t="shared" si="9"/>
        <v>458.763576</v>
      </c>
      <c r="N250" s="9">
        <f t="shared" si="10"/>
        <v>23.71428202</v>
      </c>
      <c r="O250" s="17"/>
      <c r="P250" s="17"/>
      <c r="Q250" s="17"/>
      <c r="R250" s="16"/>
      <c r="S250" s="14">
        <f t="shared" si="13"/>
        <v>21.77673347</v>
      </c>
      <c r="U250" s="21"/>
      <c r="V250" s="21"/>
      <c r="W250" s="21"/>
      <c r="X250" s="21"/>
      <c r="Y250" s="21"/>
      <c r="Z250" s="21"/>
    </row>
    <row r="251">
      <c r="A251" s="15">
        <v>239.0</v>
      </c>
      <c r="B251" s="15">
        <v>1.42043478260869E9</v>
      </c>
      <c r="C251" s="16">
        <v>-101.9156876</v>
      </c>
      <c r="D251" s="17">
        <f t="shared" si="1"/>
        <v>34782.60869</v>
      </c>
      <c r="E251" s="18">
        <f t="shared" si="2"/>
        <v>-8.264665189</v>
      </c>
      <c r="F251" s="17">
        <f t="shared" si="16"/>
        <v>0.0002376091242</v>
      </c>
      <c r="G251" s="17">
        <f t="shared" si="4"/>
        <v>0</v>
      </c>
      <c r="H251" s="16">
        <f t="shared" si="5"/>
        <v>0</v>
      </c>
      <c r="I251" s="17">
        <f t="shared" si="6"/>
        <v>0</v>
      </c>
      <c r="J251" s="17">
        <f t="shared" si="7"/>
        <v>0</v>
      </c>
      <c r="K251" s="17"/>
      <c r="L251" s="17">
        <f t="shared" si="8"/>
        <v>489.2574049</v>
      </c>
      <c r="M251" s="2">
        <f t="shared" si="9"/>
        <v>458.6828637</v>
      </c>
      <c r="N251" s="9">
        <f t="shared" si="10"/>
        <v>30.57454111</v>
      </c>
      <c r="O251" s="17"/>
      <c r="P251" s="17"/>
      <c r="Q251" s="17"/>
      <c r="R251" s="16"/>
      <c r="S251" s="14">
        <f t="shared" si="13"/>
        <v>28.07648286</v>
      </c>
      <c r="U251" s="21"/>
      <c r="V251" s="21"/>
      <c r="W251" s="21"/>
      <c r="X251" s="21"/>
      <c r="Y251" s="21"/>
      <c r="Z251" s="21"/>
    </row>
    <row r="252">
      <c r="A252" s="15">
        <v>240.0</v>
      </c>
      <c r="B252" s="15">
        <v>1.42043913043478E9</v>
      </c>
      <c r="C252" s="16">
        <v>-101.8728485</v>
      </c>
      <c r="D252" s="17">
        <f t="shared" si="1"/>
        <v>39130.43478</v>
      </c>
      <c r="E252" s="18">
        <f t="shared" si="2"/>
        <v>-9.182961321</v>
      </c>
      <c r="F252" s="17">
        <f t="shared" si="16"/>
        <v>0.0002346756782</v>
      </c>
      <c r="G252" s="17">
        <f t="shared" si="4"/>
        <v>0</v>
      </c>
      <c r="H252" s="16">
        <f t="shared" si="5"/>
        <v>0</v>
      </c>
      <c r="I252" s="17">
        <f t="shared" si="6"/>
        <v>0</v>
      </c>
      <c r="J252" s="17">
        <f t="shared" si="7"/>
        <v>0</v>
      </c>
      <c r="K252" s="17"/>
      <c r="L252" s="17">
        <f t="shared" si="8"/>
        <v>494.1073536</v>
      </c>
      <c r="M252" s="2">
        <f t="shared" si="9"/>
        <v>458.6018835</v>
      </c>
      <c r="N252" s="9">
        <f t="shared" si="10"/>
        <v>35.50547016</v>
      </c>
      <c r="O252" s="17"/>
      <c r="P252" s="17"/>
      <c r="Q252" s="17"/>
      <c r="R252" s="16"/>
      <c r="S252" s="14">
        <f t="shared" si="13"/>
        <v>32.60453586</v>
      </c>
      <c r="U252" s="21"/>
      <c r="V252" s="21"/>
      <c r="W252" s="21"/>
      <c r="X252" s="21"/>
      <c r="Y252" s="21"/>
      <c r="Z252" s="21"/>
    </row>
    <row r="253">
      <c r="A253" s="15">
        <v>241.0</v>
      </c>
      <c r="B253" s="15">
        <v>1.42044347826087E9</v>
      </c>
      <c r="C253" s="16">
        <v>-101.9157867</v>
      </c>
      <c r="D253" s="17">
        <f t="shared" si="1"/>
        <v>43478.26087</v>
      </c>
      <c r="E253" s="18">
        <f t="shared" si="2"/>
        <v>-10.10125745</v>
      </c>
      <c r="F253" s="17">
        <f t="shared" si="16"/>
        <v>0.0002323289214</v>
      </c>
      <c r="G253" s="17">
        <f t="shared" si="4"/>
        <v>0</v>
      </c>
      <c r="H253" s="16">
        <f t="shared" si="5"/>
        <v>0</v>
      </c>
      <c r="I253" s="17">
        <f t="shared" si="6"/>
        <v>0</v>
      </c>
      <c r="J253" s="17">
        <f t="shared" si="7"/>
        <v>0</v>
      </c>
      <c r="K253" s="17"/>
      <c r="L253" s="17">
        <f t="shared" si="8"/>
        <v>489.2462408</v>
      </c>
      <c r="M253" s="2">
        <f t="shared" si="9"/>
        <v>458.520632</v>
      </c>
      <c r="N253" s="9">
        <f t="shared" si="10"/>
        <v>30.72560884</v>
      </c>
      <c r="O253" s="17"/>
      <c r="P253" s="17"/>
      <c r="Q253" s="17"/>
      <c r="R253" s="16"/>
      <c r="S253" s="14">
        <f t="shared" si="13"/>
        <v>28.21520777</v>
      </c>
      <c r="U253" s="21"/>
      <c r="V253" s="21"/>
      <c r="W253" s="21"/>
      <c r="X253" s="21"/>
      <c r="Y253" s="21"/>
      <c r="Z253" s="21"/>
    </row>
    <row r="254">
      <c r="A254" s="15">
        <v>242.0</v>
      </c>
      <c r="B254" s="15">
        <v>1.42044782608695E9</v>
      </c>
      <c r="C254" s="16">
        <v>-101.8401031</v>
      </c>
      <c r="D254" s="17">
        <f t="shared" si="1"/>
        <v>47826.08695</v>
      </c>
      <c r="E254" s="18">
        <f t="shared" si="2"/>
        <v>-11.01955358</v>
      </c>
      <c r="F254" s="17">
        <f t="shared" si="16"/>
        <v>0.0002304088477</v>
      </c>
      <c r="G254" s="17">
        <f t="shared" si="4"/>
        <v>0</v>
      </c>
      <c r="H254" s="16">
        <f t="shared" si="5"/>
        <v>0</v>
      </c>
      <c r="I254" s="17">
        <f t="shared" si="6"/>
        <v>0</v>
      </c>
      <c r="J254" s="17">
        <f t="shared" si="7"/>
        <v>0</v>
      </c>
      <c r="K254" s="17"/>
      <c r="L254" s="17">
        <f t="shared" si="8"/>
        <v>497.8469575</v>
      </c>
      <c r="M254" s="2">
        <f t="shared" si="9"/>
        <v>458.4391061</v>
      </c>
      <c r="N254" s="9">
        <f t="shared" si="10"/>
        <v>39.40785138</v>
      </c>
      <c r="O254" s="17"/>
      <c r="P254" s="17"/>
      <c r="Q254" s="17"/>
      <c r="R254" s="16"/>
      <c r="S254" s="14">
        <f t="shared" si="13"/>
        <v>36.18807753</v>
      </c>
      <c r="U254" s="21"/>
      <c r="V254" s="21"/>
      <c r="W254" s="21"/>
      <c r="X254" s="21"/>
      <c r="Y254" s="21"/>
      <c r="Z254" s="21"/>
    </row>
    <row r="255">
      <c r="A255" s="15">
        <v>243.0</v>
      </c>
      <c r="B255" s="15">
        <v>1.42045217391304E9</v>
      </c>
      <c r="C255" s="16">
        <v>-101.8177643</v>
      </c>
      <c r="D255" s="17">
        <f t="shared" si="1"/>
        <v>52173.91304</v>
      </c>
      <c r="E255" s="18">
        <f t="shared" si="2"/>
        <v>-11.93784972</v>
      </c>
      <c r="F255" s="17">
        <f t="shared" si="16"/>
        <v>0.0002288087863</v>
      </c>
      <c r="G255" s="17">
        <f t="shared" si="4"/>
        <v>0</v>
      </c>
      <c r="H255" s="16">
        <f t="shared" si="5"/>
        <v>0</v>
      </c>
      <c r="I255" s="17">
        <f t="shared" si="6"/>
        <v>0</v>
      </c>
      <c r="J255" s="17">
        <f t="shared" si="7"/>
        <v>0</v>
      </c>
      <c r="K255" s="17"/>
      <c r="L255" s="17">
        <f t="shared" si="8"/>
        <v>500.4143295</v>
      </c>
      <c r="M255" s="2">
        <f t="shared" si="9"/>
        <v>458.3573028</v>
      </c>
      <c r="N255" s="9">
        <f t="shared" si="10"/>
        <v>42.05702671</v>
      </c>
      <c r="O255" s="17"/>
      <c r="P255" s="17"/>
      <c r="Q255" s="17"/>
      <c r="R255" s="16"/>
      <c r="S255" s="14">
        <f t="shared" si="13"/>
        <v>38.6208049</v>
      </c>
      <c r="U255" s="21"/>
      <c r="V255" s="21"/>
      <c r="W255" s="21"/>
      <c r="X255" s="21"/>
      <c r="Y255" s="21"/>
      <c r="Z255" s="21"/>
    </row>
    <row r="256">
      <c r="A256" s="15">
        <v>244.0</v>
      </c>
      <c r="B256" s="15">
        <v>1.42045652173913E9</v>
      </c>
      <c r="C256" s="16">
        <v>-101.8352127</v>
      </c>
      <c r="D256" s="17">
        <f t="shared" si="1"/>
        <v>56521.73913</v>
      </c>
      <c r="E256" s="18">
        <f t="shared" si="2"/>
        <v>-12.85614585</v>
      </c>
      <c r="F256" s="17">
        <f t="shared" si="16"/>
        <v>0.0002274548881</v>
      </c>
      <c r="G256" s="17">
        <f t="shared" si="4"/>
        <v>0</v>
      </c>
      <c r="H256" s="16">
        <f t="shared" si="5"/>
        <v>0</v>
      </c>
      <c r="I256" s="17">
        <f t="shared" si="6"/>
        <v>0</v>
      </c>
      <c r="J256" s="17">
        <f t="shared" si="7"/>
        <v>0</v>
      </c>
      <c r="K256" s="17"/>
      <c r="L256" s="17">
        <f t="shared" si="8"/>
        <v>498.4078769</v>
      </c>
      <c r="M256" s="2">
        <f t="shared" si="9"/>
        <v>458.2752189</v>
      </c>
      <c r="N256" s="9">
        <f t="shared" si="10"/>
        <v>40.13265802</v>
      </c>
      <c r="O256" s="17"/>
      <c r="P256" s="17"/>
      <c r="Q256" s="17"/>
      <c r="R256" s="16"/>
      <c r="S256" s="14">
        <f t="shared" si="13"/>
        <v>36.85366466</v>
      </c>
      <c r="U256" s="21"/>
      <c r="V256" s="21"/>
      <c r="W256" s="21"/>
      <c r="X256" s="21"/>
      <c r="Y256" s="21"/>
      <c r="Z256" s="21"/>
    </row>
    <row r="257">
      <c r="A257" s="15">
        <v>245.0</v>
      </c>
      <c r="B257" s="15">
        <v>1.42046086956521E9</v>
      </c>
      <c r="C257" s="16">
        <v>-101.8252106</v>
      </c>
      <c r="D257" s="17">
        <f t="shared" si="1"/>
        <v>60869.56521</v>
      </c>
      <c r="E257" s="18">
        <f t="shared" si="2"/>
        <v>-13.77444198</v>
      </c>
      <c r="F257" s="17">
        <f t="shared" si="16"/>
        <v>0.000226294404</v>
      </c>
      <c r="G257" s="17">
        <f t="shared" si="4"/>
        <v>0</v>
      </c>
      <c r="H257" s="16">
        <f t="shared" si="5"/>
        <v>0</v>
      </c>
      <c r="I257" s="17">
        <f t="shared" si="6"/>
        <v>0</v>
      </c>
      <c r="J257" s="17">
        <f t="shared" si="7"/>
        <v>0</v>
      </c>
      <c r="K257" s="17"/>
      <c r="L257" s="17">
        <f t="shared" si="8"/>
        <v>499.5570673</v>
      </c>
      <c r="M257" s="2">
        <f t="shared" si="9"/>
        <v>458.1928512</v>
      </c>
      <c r="N257" s="9">
        <f t="shared" si="10"/>
        <v>41.36421607</v>
      </c>
      <c r="O257" s="17"/>
      <c r="P257" s="17"/>
      <c r="Q257" s="17"/>
      <c r="R257" s="16"/>
      <c r="S257" s="14">
        <f t="shared" si="13"/>
        <v>37.98459965</v>
      </c>
      <c r="U257" s="21"/>
      <c r="V257" s="21"/>
      <c r="W257" s="21"/>
      <c r="X257" s="21"/>
      <c r="Y257" s="21"/>
      <c r="Z257" s="21"/>
    </row>
    <row r="258">
      <c r="A258" s="15">
        <v>246.0</v>
      </c>
      <c r="B258" s="15">
        <v>1.4204652173913E9</v>
      </c>
      <c r="C258" s="16">
        <v>-101.8178253</v>
      </c>
      <c r="D258" s="17">
        <f t="shared" si="1"/>
        <v>65217.3913</v>
      </c>
      <c r="E258" s="18">
        <f t="shared" si="2"/>
        <v>-14.69273811</v>
      </c>
      <c r="F258" s="17">
        <f t="shared" si="16"/>
        <v>0.0002252886511</v>
      </c>
      <c r="G258" s="17">
        <f t="shared" si="4"/>
        <v>0</v>
      </c>
      <c r="H258" s="16">
        <f t="shared" si="5"/>
        <v>0</v>
      </c>
      <c r="I258" s="17">
        <f t="shared" si="6"/>
        <v>0</v>
      </c>
      <c r="J258" s="17">
        <f t="shared" si="7"/>
        <v>0</v>
      </c>
      <c r="K258" s="17"/>
      <c r="L258" s="17">
        <f t="shared" si="8"/>
        <v>500.4073009</v>
      </c>
      <c r="M258" s="2">
        <f t="shared" si="9"/>
        <v>458.1101967</v>
      </c>
      <c r="N258" s="9">
        <f t="shared" si="10"/>
        <v>42.29710421</v>
      </c>
      <c r="O258" s="17"/>
      <c r="P258" s="17"/>
      <c r="Q258" s="17"/>
      <c r="R258" s="16"/>
      <c r="S258" s="14">
        <f t="shared" si="13"/>
        <v>38.84126713</v>
      </c>
      <c r="U258" s="21"/>
      <c r="V258" s="21"/>
      <c r="W258" s="21"/>
      <c r="X258" s="21"/>
      <c r="Y258" s="21"/>
      <c r="Z258" s="21"/>
    </row>
    <row r="259">
      <c r="A259" s="15">
        <v>247.0</v>
      </c>
      <c r="B259" s="15">
        <v>1.42046956521739E9</v>
      </c>
      <c r="C259" s="16">
        <v>-101.8350906</v>
      </c>
      <c r="D259" s="17">
        <f t="shared" si="1"/>
        <v>69565.21739</v>
      </c>
      <c r="E259" s="18">
        <f t="shared" si="2"/>
        <v>-15.61103424</v>
      </c>
      <c r="F259" s="17">
        <f t="shared" si="16"/>
        <v>0.0002244086173</v>
      </c>
      <c r="G259" s="17">
        <f t="shared" si="4"/>
        <v>0</v>
      </c>
      <c r="H259" s="16">
        <f t="shared" si="5"/>
        <v>0</v>
      </c>
      <c r="I259" s="17">
        <f t="shared" si="6"/>
        <v>0</v>
      </c>
      <c r="J259" s="17">
        <f t="shared" si="7"/>
        <v>0</v>
      </c>
      <c r="K259" s="17"/>
      <c r="L259" s="17">
        <f t="shared" si="8"/>
        <v>498.4218897</v>
      </c>
      <c r="M259" s="2">
        <f t="shared" si="9"/>
        <v>458.0272521</v>
      </c>
      <c r="N259" s="9">
        <f t="shared" si="10"/>
        <v>40.39463756</v>
      </c>
      <c r="O259" s="17"/>
      <c r="P259" s="17"/>
      <c r="Q259" s="17"/>
      <c r="R259" s="16"/>
      <c r="S259" s="14">
        <f t="shared" si="13"/>
        <v>37.09423946</v>
      </c>
      <c r="U259" s="21"/>
      <c r="V259" s="21"/>
      <c r="W259" s="21"/>
      <c r="X259" s="21"/>
      <c r="Y259" s="21"/>
      <c r="Z259" s="21"/>
    </row>
    <row r="260">
      <c r="A260" s="15">
        <v>248.0</v>
      </c>
      <c r="B260" s="15">
        <v>1.42047391304347E9</v>
      </c>
      <c r="C260" s="16">
        <v>-101.8159637</v>
      </c>
      <c r="D260" s="17">
        <f t="shared" si="1"/>
        <v>73913.04347</v>
      </c>
      <c r="E260" s="18">
        <f t="shared" si="2"/>
        <v>-16.52933038</v>
      </c>
      <c r="F260" s="17">
        <f t="shared" si="16"/>
        <v>0.0002236321169</v>
      </c>
      <c r="G260" s="17">
        <f t="shared" si="4"/>
        <v>0</v>
      </c>
      <c r="H260" s="16">
        <f t="shared" si="5"/>
        <v>0</v>
      </c>
      <c r="I260" s="17">
        <f t="shared" si="6"/>
        <v>0</v>
      </c>
      <c r="J260" s="17">
        <f t="shared" si="7"/>
        <v>0</v>
      </c>
      <c r="K260" s="17"/>
      <c r="L260" s="17">
        <f t="shared" si="8"/>
        <v>500.6218461</v>
      </c>
      <c r="M260" s="2">
        <f t="shared" si="9"/>
        <v>457.9440143</v>
      </c>
      <c r="N260" s="9">
        <f t="shared" si="10"/>
        <v>42.67783174</v>
      </c>
      <c r="O260" s="17"/>
      <c r="P260" s="17"/>
      <c r="Q260" s="17"/>
      <c r="R260" s="16"/>
      <c r="S260" s="14">
        <f t="shared" si="13"/>
        <v>39.19088784</v>
      </c>
      <c r="U260" s="21"/>
      <c r="V260" s="21"/>
      <c r="W260" s="21"/>
      <c r="X260" s="21"/>
      <c r="Y260" s="21"/>
      <c r="Z260" s="21"/>
    </row>
    <row r="261">
      <c r="A261" s="15">
        <v>249.0</v>
      </c>
      <c r="B261" s="15">
        <v>1.42047826086956E9</v>
      </c>
      <c r="C261" s="16">
        <v>-101.7894135</v>
      </c>
      <c r="D261" s="17">
        <f t="shared" si="1"/>
        <v>78260.86956</v>
      </c>
      <c r="E261" s="18">
        <f t="shared" si="2"/>
        <v>-17.44762651</v>
      </c>
      <c r="F261" s="17">
        <f t="shared" si="16"/>
        <v>0.0002229418943</v>
      </c>
      <c r="G261" s="17">
        <f t="shared" si="4"/>
        <v>0</v>
      </c>
      <c r="H261" s="16">
        <f t="shared" si="5"/>
        <v>0</v>
      </c>
      <c r="I261" s="17">
        <f t="shared" si="6"/>
        <v>0</v>
      </c>
      <c r="J261" s="17">
        <f t="shared" si="7"/>
        <v>0</v>
      </c>
      <c r="K261" s="17"/>
      <c r="L261" s="17">
        <f t="shared" si="8"/>
        <v>503.6917266</v>
      </c>
      <c r="M261" s="2">
        <f t="shared" si="9"/>
        <v>457.8604803</v>
      </c>
      <c r="N261" s="9">
        <f t="shared" si="10"/>
        <v>45.83124629</v>
      </c>
      <c r="O261" s="17"/>
      <c r="P261" s="17"/>
      <c r="Q261" s="17"/>
      <c r="R261" s="16"/>
      <c r="S261" s="14">
        <f t="shared" si="13"/>
        <v>42.08665613</v>
      </c>
      <c r="U261" s="21"/>
      <c r="V261" s="21"/>
      <c r="W261" s="21"/>
      <c r="X261" s="21"/>
      <c r="Y261" s="21"/>
      <c r="Z261" s="21"/>
    </row>
    <row r="262">
      <c r="A262" s="15">
        <v>250.0</v>
      </c>
      <c r="B262" s="15">
        <v>1.42048260869565E9</v>
      </c>
      <c r="C262" s="16">
        <v>-101.6841507</v>
      </c>
      <c r="D262" s="17">
        <f t="shared" si="1"/>
        <v>82608.69565</v>
      </c>
      <c r="E262" s="18">
        <f t="shared" si="2"/>
        <v>-18.36592264</v>
      </c>
      <c r="F262" s="17">
        <f t="shared" si="16"/>
        <v>0.0002223243267</v>
      </c>
      <c r="G262" s="17">
        <f t="shared" si="4"/>
        <v>0</v>
      </c>
      <c r="H262" s="16">
        <f t="shared" si="5"/>
        <v>0</v>
      </c>
      <c r="I262" s="17">
        <f t="shared" si="6"/>
        <v>0</v>
      </c>
      <c r="J262" s="17">
        <f t="shared" si="7"/>
        <v>0</v>
      </c>
      <c r="K262" s="17"/>
      <c r="L262" s="17">
        <f t="shared" si="8"/>
        <v>516.049186</v>
      </c>
      <c r="M262" s="2">
        <f t="shared" si="9"/>
        <v>457.7766468</v>
      </c>
      <c r="N262" s="9">
        <f t="shared" si="10"/>
        <v>58.27253925</v>
      </c>
      <c r="O262" s="17"/>
      <c r="P262" s="17"/>
      <c r="Q262" s="17"/>
      <c r="R262" s="16"/>
      <c r="S262" s="14">
        <f t="shared" si="13"/>
        <v>53.51144744</v>
      </c>
      <c r="U262" s="21"/>
      <c r="V262" s="21"/>
      <c r="W262" s="21"/>
      <c r="X262" s="21"/>
      <c r="Y262" s="21"/>
      <c r="Z262" s="21"/>
    </row>
    <row r="263">
      <c r="A263" s="15">
        <v>251.0</v>
      </c>
      <c r="B263" s="15">
        <v>1.42048695652173E9</v>
      </c>
      <c r="C263" s="16">
        <v>-101.7095108</v>
      </c>
      <c r="D263" s="17">
        <f t="shared" si="1"/>
        <v>86956.52173</v>
      </c>
      <c r="E263" s="18">
        <f t="shared" si="2"/>
        <v>-19.28421877</v>
      </c>
      <c r="F263" s="17">
        <f t="shared" si="16"/>
        <v>0.0002217685159</v>
      </c>
      <c r="G263" s="17">
        <f t="shared" si="4"/>
        <v>0</v>
      </c>
      <c r="H263" s="16">
        <f t="shared" si="5"/>
        <v>0</v>
      </c>
      <c r="I263" s="17">
        <f t="shared" si="6"/>
        <v>0</v>
      </c>
      <c r="J263" s="17">
        <f t="shared" si="7"/>
        <v>0</v>
      </c>
      <c r="K263" s="17"/>
      <c r="L263" s="17">
        <f t="shared" si="8"/>
        <v>513.0445605</v>
      </c>
      <c r="M263" s="2">
        <f t="shared" si="9"/>
        <v>457.6925107</v>
      </c>
      <c r="N263" s="9">
        <f t="shared" si="10"/>
        <v>55.35204974</v>
      </c>
      <c r="O263" s="17"/>
      <c r="P263" s="17"/>
      <c r="Q263" s="17"/>
      <c r="R263" s="16"/>
      <c r="S263" s="14">
        <f t="shared" si="13"/>
        <v>50.82957322</v>
      </c>
      <c r="U263" s="21"/>
      <c r="V263" s="21"/>
      <c r="W263" s="21"/>
      <c r="X263" s="21"/>
      <c r="Y263" s="21"/>
      <c r="Z263" s="21"/>
    </row>
    <row r="264">
      <c r="A264" s="15">
        <v>252.0</v>
      </c>
      <c r="B264" s="15">
        <v>1.42049130434782E9</v>
      </c>
      <c r="C264" s="16">
        <v>-101.689621</v>
      </c>
      <c r="D264" s="17">
        <f t="shared" si="1"/>
        <v>91304.34782</v>
      </c>
      <c r="E264" s="18">
        <f t="shared" si="2"/>
        <v>-20.20251491</v>
      </c>
      <c r="F264" s="17">
        <f t="shared" si="16"/>
        <v>0.0002212656395</v>
      </c>
      <c r="G264" s="17">
        <f t="shared" si="4"/>
        <v>0</v>
      </c>
      <c r="H264" s="16">
        <f t="shared" si="5"/>
        <v>0</v>
      </c>
      <c r="I264" s="17">
        <f t="shared" si="6"/>
        <v>0</v>
      </c>
      <c r="J264" s="17">
        <f t="shared" si="7"/>
        <v>0</v>
      </c>
      <c r="K264" s="17"/>
      <c r="L264" s="17">
        <f t="shared" si="8"/>
        <v>515.3995884</v>
      </c>
      <c r="M264" s="2">
        <f t="shared" si="9"/>
        <v>457.6080689</v>
      </c>
      <c r="N264" s="9">
        <f t="shared" si="10"/>
        <v>57.79151946</v>
      </c>
      <c r="O264" s="17"/>
      <c r="P264" s="17"/>
      <c r="Q264" s="17"/>
      <c r="R264" s="16"/>
      <c r="S264" s="14">
        <f t="shared" si="13"/>
        <v>53.06972883</v>
      </c>
      <c r="U264" s="21"/>
      <c r="V264" s="21"/>
      <c r="W264" s="21"/>
      <c r="X264" s="21"/>
      <c r="Y264" s="21"/>
      <c r="Z264" s="21"/>
    </row>
    <row r="265">
      <c r="A265" s="15">
        <v>253.0</v>
      </c>
      <c r="B265" s="15">
        <v>1.42049565217391E9</v>
      </c>
      <c r="C265" s="16">
        <v>-101.6523666</v>
      </c>
      <c r="D265" s="17">
        <f t="shared" si="1"/>
        <v>95652.17391</v>
      </c>
      <c r="E265" s="18">
        <f t="shared" si="2"/>
        <v>-21.12081104</v>
      </c>
      <c r="F265" s="17">
        <f t="shared" si="16"/>
        <v>0.0002208084791</v>
      </c>
      <c r="G265" s="17">
        <f t="shared" si="4"/>
        <v>0</v>
      </c>
      <c r="H265" s="16">
        <f t="shared" si="5"/>
        <v>0</v>
      </c>
      <c r="I265" s="17">
        <f t="shared" si="6"/>
        <v>0</v>
      </c>
      <c r="J265" s="17">
        <f t="shared" si="7"/>
        <v>0</v>
      </c>
      <c r="K265" s="17"/>
      <c r="L265" s="17">
        <f t="shared" si="8"/>
        <v>519.8397766</v>
      </c>
      <c r="M265" s="2">
        <f t="shared" si="9"/>
        <v>457.5233183</v>
      </c>
      <c r="N265" s="9">
        <f t="shared" si="10"/>
        <v>62.31645832</v>
      </c>
      <c r="O265" s="17"/>
      <c r="P265" s="17"/>
      <c r="Q265" s="17"/>
      <c r="R265" s="16"/>
      <c r="S265" s="14">
        <f t="shared" si="13"/>
        <v>57.22496255</v>
      </c>
      <c r="U265" s="21"/>
      <c r="V265" s="21"/>
      <c r="W265" s="21"/>
      <c r="X265" s="21"/>
      <c r="Y265" s="21"/>
      <c r="Z265" s="21"/>
    </row>
    <row r="266">
      <c r="A266" s="15">
        <v>254.0</v>
      </c>
      <c r="B266" s="15">
        <v>1.4205E9</v>
      </c>
      <c r="C266" s="16">
        <v>-101.575737</v>
      </c>
      <c r="D266" s="17">
        <f t="shared" si="1"/>
        <v>100000</v>
      </c>
      <c r="E266" s="18">
        <f t="shared" si="2"/>
        <v>-22.03910717</v>
      </c>
      <c r="F266" s="17">
        <f t="shared" si="16"/>
        <v>0.0002203910717</v>
      </c>
      <c r="G266" s="17">
        <f t="shared" si="4"/>
        <v>0</v>
      </c>
      <c r="H266" s="16">
        <f t="shared" si="5"/>
        <v>0</v>
      </c>
      <c r="I266" s="17">
        <f t="shared" si="6"/>
        <v>0</v>
      </c>
      <c r="J266" s="17">
        <f t="shared" si="7"/>
        <v>0</v>
      </c>
      <c r="K266" s="17"/>
      <c r="L266" s="17">
        <f t="shared" si="8"/>
        <v>529.0935502</v>
      </c>
      <c r="M266" s="2">
        <f t="shared" si="9"/>
        <v>457.4382557</v>
      </c>
      <c r="N266" s="9">
        <f t="shared" si="10"/>
        <v>71.65529452</v>
      </c>
      <c r="O266" s="17"/>
      <c r="P266" s="17"/>
      <c r="Q266" s="17"/>
      <c r="R266" s="16"/>
      <c r="S266" s="14">
        <f t="shared" si="13"/>
        <v>65.80077984</v>
      </c>
      <c r="U266" s="21"/>
      <c r="V266" s="21"/>
      <c r="W266" s="21"/>
      <c r="X266" s="21"/>
      <c r="Y266" s="21"/>
      <c r="Z266" s="21"/>
    </row>
    <row r="267">
      <c r="A267" s="15">
        <v>255.0</v>
      </c>
      <c r="B267" s="15">
        <v>1.42050434782608E9</v>
      </c>
      <c r="C267" s="16">
        <v>-101.5810165</v>
      </c>
      <c r="D267" s="17">
        <f t="shared" si="1"/>
        <v>104347.8261</v>
      </c>
      <c r="E267" s="18">
        <f t="shared" si="2"/>
        <v>-22.9574033</v>
      </c>
      <c r="F267" s="17">
        <f t="shared" si="16"/>
        <v>0.0002200084483</v>
      </c>
      <c r="G267" s="17">
        <f t="shared" si="4"/>
        <v>0</v>
      </c>
      <c r="H267" s="16">
        <f t="shared" si="5"/>
        <v>0</v>
      </c>
      <c r="I267" s="17">
        <f t="shared" si="6"/>
        <v>0</v>
      </c>
      <c r="J267" s="17">
        <f t="shared" si="7"/>
        <v>0</v>
      </c>
      <c r="K267" s="17"/>
      <c r="L267" s="17">
        <f t="shared" si="8"/>
        <v>528.4507485</v>
      </c>
      <c r="M267" s="2">
        <f t="shared" si="9"/>
        <v>457.3528779</v>
      </c>
      <c r="N267" s="9">
        <f t="shared" si="10"/>
        <v>71.09787059</v>
      </c>
      <c r="O267" s="17"/>
      <c r="P267" s="17"/>
      <c r="Q267" s="17"/>
      <c r="R267" s="16"/>
      <c r="S267" s="14">
        <f t="shared" si="13"/>
        <v>65.28889962</v>
      </c>
      <c r="U267" s="21"/>
      <c r="V267" s="21"/>
      <c r="W267" s="21"/>
      <c r="X267" s="21"/>
      <c r="Y267" s="21"/>
      <c r="Z267" s="21"/>
    </row>
    <row r="268">
      <c r="A268" s="15">
        <v>256.0</v>
      </c>
      <c r="B268" s="15">
        <v>1.42050869565217E9</v>
      </c>
      <c r="C268" s="16">
        <v>-101.4921875</v>
      </c>
      <c r="D268" s="17">
        <f t="shared" si="1"/>
        <v>108695.6522</v>
      </c>
      <c r="E268" s="18">
        <f t="shared" si="2"/>
        <v>-23.87569944</v>
      </c>
      <c r="F268" s="17">
        <f t="shared" si="16"/>
        <v>0.0002196564348</v>
      </c>
      <c r="G268" s="17">
        <f t="shared" si="4"/>
        <v>0</v>
      </c>
      <c r="H268" s="16">
        <f t="shared" si="5"/>
        <v>0</v>
      </c>
      <c r="I268" s="17">
        <f t="shared" si="6"/>
        <v>0</v>
      </c>
      <c r="J268" s="17">
        <f t="shared" si="7"/>
        <v>0</v>
      </c>
      <c r="K268" s="17"/>
      <c r="L268" s="17">
        <f t="shared" si="8"/>
        <v>539.3707827</v>
      </c>
      <c r="M268" s="2">
        <f t="shared" si="9"/>
        <v>457.2671819</v>
      </c>
      <c r="N268" s="9">
        <f t="shared" si="10"/>
        <v>82.10360084</v>
      </c>
      <c r="O268" s="17"/>
      <c r="P268" s="17"/>
      <c r="Q268" s="17"/>
      <c r="R268" s="16"/>
      <c r="S268" s="14">
        <f t="shared" si="13"/>
        <v>75.39541896</v>
      </c>
      <c r="U268" s="21"/>
      <c r="V268" s="21"/>
      <c r="W268" s="21"/>
      <c r="X268" s="21"/>
      <c r="Y268" s="21"/>
      <c r="Z268" s="21"/>
    </row>
    <row r="269">
      <c r="A269" s="15">
        <v>257.0</v>
      </c>
      <c r="B269" s="15">
        <v>1.42051304347826E9</v>
      </c>
      <c r="C269" s="16">
        <v>-101.383194</v>
      </c>
      <c r="D269" s="17">
        <f t="shared" si="1"/>
        <v>113043.4783</v>
      </c>
      <c r="E269" s="18">
        <f t="shared" si="2"/>
        <v>-24.79399557</v>
      </c>
      <c r="F269" s="17">
        <f t="shared" si="16"/>
        <v>0.0002193314992</v>
      </c>
      <c r="G269" s="17">
        <f t="shared" si="4"/>
        <v>0</v>
      </c>
      <c r="H269" s="16">
        <f t="shared" si="5"/>
        <v>0</v>
      </c>
      <c r="I269" s="17">
        <f t="shared" si="6"/>
        <v>0</v>
      </c>
      <c r="J269" s="17">
        <f t="shared" si="7"/>
        <v>0</v>
      </c>
      <c r="K269" s="17"/>
      <c r="L269" s="17">
        <f t="shared" si="8"/>
        <v>553.0784886</v>
      </c>
      <c r="M269" s="2">
        <f t="shared" si="9"/>
        <v>457.1811645</v>
      </c>
      <c r="N269" s="9">
        <f t="shared" si="10"/>
        <v>95.89732414</v>
      </c>
      <c r="O269" s="17"/>
      <c r="P269" s="17"/>
      <c r="Q269" s="17"/>
      <c r="R269" s="16"/>
      <c r="S269" s="14">
        <f t="shared" si="13"/>
        <v>88.0621419</v>
      </c>
      <c r="U269" s="21"/>
      <c r="V269" s="21"/>
      <c r="W269" s="21"/>
      <c r="X269" s="21"/>
      <c r="Y269" s="21"/>
      <c r="Z269" s="21"/>
    </row>
    <row r="270">
      <c r="A270" s="15">
        <v>258.0</v>
      </c>
      <c r="B270" s="15">
        <v>1.42051739130434E9</v>
      </c>
      <c r="C270" s="16">
        <v>-101.2840881</v>
      </c>
      <c r="D270" s="17">
        <f t="shared" si="1"/>
        <v>117391.3043</v>
      </c>
      <c r="E270" s="18">
        <f t="shared" si="2"/>
        <v>-25.7122917</v>
      </c>
      <c r="F270" s="17">
        <f t="shared" si="16"/>
        <v>0.000219030633</v>
      </c>
      <c r="G270" s="17">
        <f t="shared" si="4"/>
        <v>0</v>
      </c>
      <c r="H270" s="16">
        <f t="shared" si="5"/>
        <v>0</v>
      </c>
      <c r="I270" s="17">
        <f t="shared" si="6"/>
        <v>0</v>
      </c>
      <c r="J270" s="17">
        <f t="shared" si="7"/>
        <v>0</v>
      </c>
      <c r="K270" s="17"/>
      <c r="L270" s="17">
        <f t="shared" si="8"/>
        <v>565.8448368</v>
      </c>
      <c r="M270" s="2">
        <f t="shared" si="9"/>
        <v>457.0948225</v>
      </c>
      <c r="N270" s="9">
        <f t="shared" si="10"/>
        <v>108.7500143</v>
      </c>
      <c r="O270" s="17"/>
      <c r="P270" s="17"/>
      <c r="Q270" s="17"/>
      <c r="R270" s="16"/>
      <c r="S270" s="14">
        <f t="shared" si="13"/>
        <v>99.86471753</v>
      </c>
      <c r="U270" s="21"/>
      <c r="V270" s="21"/>
      <c r="W270" s="21"/>
      <c r="X270" s="21"/>
      <c r="Y270" s="21"/>
      <c r="Z270" s="21"/>
    </row>
    <row r="271">
      <c r="A271" s="15">
        <v>259.0</v>
      </c>
      <c r="B271" s="15">
        <v>1.42052173913043E9</v>
      </c>
      <c r="C271" s="16">
        <v>-101.2035141</v>
      </c>
      <c r="D271" s="17">
        <f t="shared" si="1"/>
        <v>121739.1304</v>
      </c>
      <c r="E271" s="18">
        <f t="shared" si="2"/>
        <v>-26.63058783</v>
      </c>
      <c r="F271" s="17">
        <f t="shared" si="16"/>
        <v>0.0002187512572</v>
      </c>
      <c r="G271" s="17">
        <f t="shared" si="4"/>
        <v>0</v>
      </c>
      <c r="H271" s="16">
        <f t="shared" si="5"/>
        <v>0</v>
      </c>
      <c r="I271" s="17">
        <f t="shared" si="6"/>
        <v>0</v>
      </c>
      <c r="J271" s="17">
        <f t="shared" si="7"/>
        <v>0</v>
      </c>
      <c r="K271" s="17"/>
      <c r="L271" s="17">
        <f t="shared" si="8"/>
        <v>576.4408599</v>
      </c>
      <c r="M271" s="2">
        <f t="shared" si="9"/>
        <v>457.0081529</v>
      </c>
      <c r="N271" s="9">
        <f t="shared" si="10"/>
        <v>119.4327071</v>
      </c>
      <c r="O271" s="17"/>
      <c r="P271" s="17"/>
      <c r="Q271" s="17"/>
      <c r="R271" s="16"/>
      <c r="S271" s="14">
        <f t="shared" si="13"/>
        <v>109.6745928</v>
      </c>
      <c r="U271" s="21"/>
      <c r="V271" s="21"/>
      <c r="W271" s="21"/>
      <c r="X271" s="21"/>
      <c r="Y271" s="21"/>
      <c r="Z271" s="21"/>
    </row>
    <row r="272">
      <c r="A272" s="15">
        <v>260.0</v>
      </c>
      <c r="B272" s="15">
        <v>1.42052608695652E9</v>
      </c>
      <c r="C272" s="16">
        <v>-101.1010208</v>
      </c>
      <c r="D272" s="17">
        <f t="shared" si="1"/>
        <v>126086.9565</v>
      </c>
      <c r="E272" s="18">
        <f t="shared" si="2"/>
        <v>-27.54888396</v>
      </c>
      <c r="F272" s="17">
        <f t="shared" si="16"/>
        <v>0.0002184911487</v>
      </c>
      <c r="G272" s="17">
        <f t="shared" si="4"/>
        <v>0</v>
      </c>
      <c r="H272" s="16">
        <f t="shared" si="5"/>
        <v>0</v>
      </c>
      <c r="I272" s="17">
        <f t="shared" si="6"/>
        <v>0</v>
      </c>
      <c r="J272" s="17">
        <f t="shared" si="7"/>
        <v>0</v>
      </c>
      <c r="K272" s="17"/>
      <c r="L272" s="17">
        <f t="shared" si="8"/>
        <v>590.2066349</v>
      </c>
      <c r="M272" s="2">
        <f t="shared" si="9"/>
        <v>456.9211524</v>
      </c>
      <c r="N272" s="9">
        <f t="shared" si="10"/>
        <v>133.2854825</v>
      </c>
      <c r="O272" s="17"/>
      <c r="P272" s="17"/>
      <c r="Q272" s="17"/>
      <c r="R272" s="16"/>
      <c r="S272" s="14">
        <f t="shared" si="13"/>
        <v>122.3955431</v>
      </c>
      <c r="U272" s="21"/>
      <c r="V272" s="21"/>
      <c r="W272" s="21"/>
      <c r="X272" s="21"/>
      <c r="Y272" s="21"/>
      <c r="Z272" s="21"/>
    </row>
    <row r="273">
      <c r="A273" s="15">
        <v>261.0</v>
      </c>
      <c r="B273" s="15">
        <v>1.4205304347826E9</v>
      </c>
      <c r="C273" s="16">
        <v>-101.0158463</v>
      </c>
      <c r="D273" s="17">
        <f t="shared" si="1"/>
        <v>130434.7826</v>
      </c>
      <c r="E273" s="18">
        <f t="shared" si="2"/>
        <v>-28.4671801</v>
      </c>
      <c r="F273" s="17">
        <f t="shared" si="16"/>
        <v>0.0002182483807</v>
      </c>
      <c r="G273" s="17">
        <f t="shared" si="4"/>
        <v>0</v>
      </c>
      <c r="H273" s="16">
        <f t="shared" si="5"/>
        <v>0</v>
      </c>
      <c r="I273" s="17">
        <f t="shared" si="6"/>
        <v>0</v>
      </c>
      <c r="J273" s="17">
        <f t="shared" si="7"/>
        <v>0</v>
      </c>
      <c r="K273" s="17"/>
      <c r="L273" s="17">
        <f t="shared" si="8"/>
        <v>601.8961112</v>
      </c>
      <c r="M273" s="2">
        <f t="shared" si="9"/>
        <v>456.833818</v>
      </c>
      <c r="N273" s="9">
        <f t="shared" si="10"/>
        <v>145.0622932</v>
      </c>
      <c r="O273" s="17"/>
      <c r="P273" s="17"/>
      <c r="Q273" s="17"/>
      <c r="R273" s="16"/>
      <c r="S273" s="14">
        <f t="shared" si="13"/>
        <v>133.2101428</v>
      </c>
      <c r="U273" s="21"/>
      <c r="V273" s="21"/>
      <c r="W273" s="21"/>
      <c r="X273" s="21"/>
      <c r="Y273" s="21"/>
      <c r="Z273" s="21"/>
    </row>
    <row r="274">
      <c r="A274" s="15">
        <v>262.0</v>
      </c>
      <c r="B274" s="15">
        <v>1.42053478260869E9</v>
      </c>
      <c r="C274" s="16">
        <v>-100.9356155</v>
      </c>
      <c r="D274" s="17">
        <f t="shared" si="1"/>
        <v>134782.6087</v>
      </c>
      <c r="E274" s="18">
        <f t="shared" si="2"/>
        <v>-29.38547623</v>
      </c>
      <c r="F274" s="17">
        <f t="shared" si="16"/>
        <v>0.0002180212752</v>
      </c>
      <c r="G274" s="17">
        <f t="shared" si="4"/>
        <v>0</v>
      </c>
      <c r="H274" s="16">
        <f t="shared" si="5"/>
        <v>0</v>
      </c>
      <c r="I274" s="17">
        <f t="shared" si="6"/>
        <v>0</v>
      </c>
      <c r="J274" s="17">
        <f t="shared" si="7"/>
        <v>0</v>
      </c>
      <c r="K274" s="17"/>
      <c r="L274" s="17">
        <f t="shared" si="8"/>
        <v>613.1187779</v>
      </c>
      <c r="M274" s="2">
        <f t="shared" si="9"/>
        <v>456.7461465</v>
      </c>
      <c r="N274" s="9">
        <f t="shared" si="10"/>
        <v>156.3726314</v>
      </c>
      <c r="O274" s="17"/>
      <c r="P274" s="17"/>
      <c r="Q274" s="17"/>
      <c r="R274" s="16"/>
      <c r="S274" s="14">
        <f t="shared" si="13"/>
        <v>143.5963827</v>
      </c>
      <c r="U274" s="21"/>
      <c r="V274" s="21"/>
      <c r="W274" s="21"/>
      <c r="X274" s="21"/>
      <c r="Y274" s="21"/>
      <c r="Z274" s="21"/>
    </row>
    <row r="275">
      <c r="A275" s="15">
        <v>263.0</v>
      </c>
      <c r="B275" s="15">
        <v>1.42053913043478E9</v>
      </c>
      <c r="C275" s="16">
        <v>-100.8300629</v>
      </c>
      <c r="D275" s="17">
        <f t="shared" si="1"/>
        <v>139130.4348</v>
      </c>
      <c r="E275" s="18">
        <f t="shared" si="2"/>
        <v>-30.30377236</v>
      </c>
      <c r="F275" s="17">
        <f t="shared" si="16"/>
        <v>0.0002178083638</v>
      </c>
      <c r="G275" s="17">
        <f t="shared" si="4"/>
        <v>0</v>
      </c>
      <c r="H275" s="16">
        <f t="shared" si="5"/>
        <v>0</v>
      </c>
      <c r="I275" s="17">
        <f t="shared" si="6"/>
        <v>0</v>
      </c>
      <c r="J275" s="17">
        <f t="shared" si="7"/>
        <v>0</v>
      </c>
      <c r="K275" s="17"/>
      <c r="L275" s="17">
        <f t="shared" si="8"/>
        <v>628.2028139</v>
      </c>
      <c r="M275" s="2">
        <f t="shared" si="9"/>
        <v>456.6581348</v>
      </c>
      <c r="N275" s="9">
        <f t="shared" si="10"/>
        <v>171.5446791</v>
      </c>
      <c r="O275" s="17"/>
      <c r="P275" s="17"/>
      <c r="Q275" s="17"/>
      <c r="R275" s="16"/>
      <c r="S275" s="14">
        <f t="shared" si="13"/>
        <v>157.5288151</v>
      </c>
      <c r="U275" s="21"/>
      <c r="V275" s="21"/>
      <c r="W275" s="21"/>
      <c r="X275" s="21"/>
      <c r="Y275" s="21"/>
      <c r="Z275" s="21"/>
    </row>
    <row r="276">
      <c r="A276" s="15">
        <v>264.0</v>
      </c>
      <c r="B276" s="15">
        <v>1.42054347826087E9</v>
      </c>
      <c r="C276" s="16">
        <v>-100.7864761</v>
      </c>
      <c r="D276" s="17">
        <f t="shared" si="1"/>
        <v>143478.2609</v>
      </c>
      <c r="E276" s="18">
        <f t="shared" si="2"/>
        <v>-31.22206849</v>
      </c>
      <c r="F276" s="17">
        <f t="shared" si="16"/>
        <v>0.0002176083562</v>
      </c>
      <c r="G276" s="17">
        <f t="shared" si="4"/>
        <v>0</v>
      </c>
      <c r="H276" s="16">
        <f t="shared" si="5"/>
        <v>0</v>
      </c>
      <c r="I276" s="17">
        <f t="shared" si="6"/>
        <v>0</v>
      </c>
      <c r="J276" s="17">
        <f t="shared" si="7"/>
        <v>0</v>
      </c>
      <c r="K276" s="17"/>
      <c r="L276" s="17">
        <f t="shared" si="8"/>
        <v>634.5393471</v>
      </c>
      <c r="M276" s="2">
        <f t="shared" si="9"/>
        <v>456.5697797</v>
      </c>
      <c r="N276" s="9">
        <f t="shared" si="10"/>
        <v>177.9695674</v>
      </c>
      <c r="O276" s="17"/>
      <c r="P276" s="17"/>
      <c r="Q276" s="17"/>
      <c r="R276" s="16"/>
      <c r="S276" s="14">
        <f t="shared" si="13"/>
        <v>163.4287655</v>
      </c>
      <c r="U276" s="21"/>
      <c r="V276" s="21"/>
      <c r="W276" s="21"/>
      <c r="X276" s="21"/>
      <c r="Y276" s="21"/>
      <c r="Z276" s="21"/>
    </row>
    <row r="277">
      <c r="A277" s="15">
        <v>265.0</v>
      </c>
      <c r="B277" s="15">
        <v>1.42054782608695E9</v>
      </c>
      <c r="C277" s="16">
        <v>-100.7503052</v>
      </c>
      <c r="D277" s="17">
        <f t="shared" si="1"/>
        <v>147826.087</v>
      </c>
      <c r="E277" s="18">
        <f t="shared" si="2"/>
        <v>-32.14036462</v>
      </c>
      <c r="F277" s="17">
        <f t="shared" si="16"/>
        <v>0.0002174201136</v>
      </c>
      <c r="G277" s="17">
        <f t="shared" si="4"/>
        <v>0</v>
      </c>
      <c r="H277" s="16">
        <f t="shared" si="5"/>
        <v>0</v>
      </c>
      <c r="I277" s="17">
        <f t="shared" si="6"/>
        <v>0</v>
      </c>
      <c r="J277" s="17">
        <f t="shared" si="7"/>
        <v>0</v>
      </c>
      <c r="K277" s="17"/>
      <c r="L277" s="17">
        <f t="shared" si="8"/>
        <v>639.8462771</v>
      </c>
      <c r="M277" s="2">
        <f t="shared" si="9"/>
        <v>456.4810781</v>
      </c>
      <c r="N277" s="9">
        <f t="shared" si="10"/>
        <v>183.365199</v>
      </c>
      <c r="O277" s="17"/>
      <c r="P277" s="17"/>
      <c r="Q277" s="17"/>
      <c r="R277" s="16"/>
      <c r="S277" s="14">
        <f t="shared" si="13"/>
        <v>168.3835532</v>
      </c>
      <c r="U277" s="21"/>
      <c r="V277" s="21"/>
      <c r="W277" s="21"/>
      <c r="X277" s="21"/>
      <c r="Y277" s="21"/>
      <c r="Z277" s="21"/>
    </row>
    <row r="278">
      <c r="A278" s="15">
        <v>266.0</v>
      </c>
      <c r="B278" s="15">
        <v>1.42055217391304E9</v>
      </c>
      <c r="C278" s="16">
        <v>-100.7408142</v>
      </c>
      <c r="D278" s="17">
        <f t="shared" si="1"/>
        <v>152173.913</v>
      </c>
      <c r="E278" s="18">
        <f t="shared" si="2"/>
        <v>-33.05866076</v>
      </c>
      <c r="F278" s="17">
        <f t="shared" si="16"/>
        <v>0.0002172426278</v>
      </c>
      <c r="G278" s="17">
        <f t="shared" si="4"/>
        <v>0</v>
      </c>
      <c r="H278" s="16">
        <f t="shared" si="5"/>
        <v>0</v>
      </c>
      <c r="I278" s="17">
        <f t="shared" si="6"/>
        <v>0</v>
      </c>
      <c r="J278" s="17">
        <f t="shared" si="7"/>
        <v>0</v>
      </c>
      <c r="K278" s="17"/>
      <c r="L278" s="17">
        <f t="shared" si="8"/>
        <v>641.2461156</v>
      </c>
      <c r="M278" s="2">
        <f t="shared" si="9"/>
        <v>456.3920268</v>
      </c>
      <c r="N278" s="9">
        <f t="shared" si="10"/>
        <v>184.8540888</v>
      </c>
      <c r="O278" s="17"/>
      <c r="P278" s="17"/>
      <c r="Q278" s="17"/>
      <c r="R278" s="16"/>
      <c r="S278" s="14">
        <f t="shared" si="13"/>
        <v>169.7507945</v>
      </c>
      <c r="U278" s="21"/>
      <c r="V278" s="21"/>
      <c r="W278" s="21"/>
      <c r="X278" s="21"/>
      <c r="Y278" s="21"/>
      <c r="Z278" s="21"/>
    </row>
    <row r="279">
      <c r="A279" s="15">
        <v>267.0</v>
      </c>
      <c r="B279" s="15">
        <v>1.42055652173913E9</v>
      </c>
      <c r="C279" s="16">
        <v>-100.71772</v>
      </c>
      <c r="D279" s="17">
        <f t="shared" si="1"/>
        <v>156521.7391</v>
      </c>
      <c r="E279" s="18">
        <f t="shared" si="2"/>
        <v>-33.97695689</v>
      </c>
      <c r="F279" s="17">
        <f t="shared" si="16"/>
        <v>0.0002170750023</v>
      </c>
      <c r="G279" s="17">
        <f t="shared" si="4"/>
        <v>0</v>
      </c>
      <c r="H279" s="16">
        <f t="shared" si="5"/>
        <v>0</v>
      </c>
      <c r="I279" s="17">
        <f t="shared" si="6"/>
        <v>0</v>
      </c>
      <c r="J279" s="17">
        <f t="shared" si="7"/>
        <v>0</v>
      </c>
      <c r="K279" s="17"/>
      <c r="L279" s="17">
        <f t="shared" si="8"/>
        <v>644.6651115</v>
      </c>
      <c r="M279" s="2">
        <f t="shared" si="9"/>
        <v>456.3026228</v>
      </c>
      <c r="N279" s="9">
        <f t="shared" si="10"/>
        <v>188.3624887</v>
      </c>
      <c r="O279" s="17"/>
      <c r="P279" s="17"/>
      <c r="Q279" s="17"/>
      <c r="R279" s="16"/>
      <c r="S279" s="14">
        <f t="shared" si="13"/>
        <v>172.9725449</v>
      </c>
      <c r="U279" s="21"/>
      <c r="V279" s="21"/>
      <c r="W279" s="21"/>
      <c r="X279" s="21"/>
      <c r="Y279" s="21"/>
      <c r="Z279" s="21"/>
    </row>
    <row r="280">
      <c r="A280" s="15">
        <v>268.0</v>
      </c>
      <c r="B280" s="15">
        <v>1.42056086956521E9</v>
      </c>
      <c r="C280" s="16">
        <v>-100.8400345</v>
      </c>
      <c r="D280" s="17">
        <f t="shared" si="1"/>
        <v>160869.5652</v>
      </c>
      <c r="E280" s="18">
        <f t="shared" si="2"/>
        <v>-34.89525302</v>
      </c>
      <c r="F280" s="17">
        <f t="shared" si="16"/>
        <v>0.0002169164377</v>
      </c>
      <c r="G280" s="17">
        <f t="shared" si="4"/>
        <v>0</v>
      </c>
      <c r="H280" s="16">
        <f t="shared" si="5"/>
        <v>0</v>
      </c>
      <c r="I280" s="17">
        <f t="shared" si="6"/>
        <v>0</v>
      </c>
      <c r="J280" s="17">
        <f t="shared" si="7"/>
        <v>0</v>
      </c>
      <c r="K280" s="17"/>
      <c r="L280" s="17">
        <f t="shared" si="8"/>
        <v>626.7620861</v>
      </c>
      <c r="M280" s="2">
        <f t="shared" si="9"/>
        <v>456.2128629</v>
      </c>
      <c r="N280" s="9">
        <f t="shared" si="10"/>
        <v>170.5492232</v>
      </c>
      <c r="O280" s="17"/>
      <c r="P280" s="17"/>
      <c r="Q280" s="17"/>
      <c r="R280" s="16"/>
      <c r="S280" s="14">
        <f t="shared" si="13"/>
        <v>156.6146921</v>
      </c>
      <c r="U280" s="21"/>
      <c r="V280" s="21"/>
      <c r="W280" s="21"/>
      <c r="X280" s="21"/>
      <c r="Y280" s="21"/>
      <c r="Z280" s="21"/>
    </row>
    <row r="281">
      <c r="A281" s="15">
        <v>269.0</v>
      </c>
      <c r="B281" s="15">
        <v>1.4205652173913E9</v>
      </c>
      <c r="C281" s="16">
        <v>-101.0274811</v>
      </c>
      <c r="D281" s="17">
        <f t="shared" si="1"/>
        <v>165217.3913</v>
      </c>
      <c r="E281" s="18">
        <f t="shared" si="2"/>
        <v>-35.81354915</v>
      </c>
      <c r="F281" s="17">
        <f t="shared" si="16"/>
        <v>0.0002167662186</v>
      </c>
      <c r="G281" s="17">
        <f t="shared" si="4"/>
        <v>0</v>
      </c>
      <c r="H281" s="16">
        <f t="shared" si="5"/>
        <v>0</v>
      </c>
      <c r="I281" s="17">
        <f t="shared" si="6"/>
        <v>0</v>
      </c>
      <c r="J281" s="17">
        <f t="shared" si="7"/>
        <v>0</v>
      </c>
      <c r="K281" s="17"/>
      <c r="L281" s="17">
        <f t="shared" si="8"/>
        <v>600.2857825</v>
      </c>
      <c r="M281" s="2">
        <f t="shared" si="9"/>
        <v>456.1227439</v>
      </c>
      <c r="N281" s="9">
        <f t="shared" si="10"/>
        <v>144.1630386</v>
      </c>
      <c r="O281" s="17"/>
      <c r="P281" s="17"/>
      <c r="Q281" s="17"/>
      <c r="R281" s="16"/>
      <c r="S281" s="14">
        <f t="shared" si="13"/>
        <v>132.3843605</v>
      </c>
      <c r="U281" s="21"/>
      <c r="V281" s="21"/>
      <c r="W281" s="21"/>
      <c r="X281" s="21"/>
      <c r="Y281" s="21"/>
      <c r="Z281" s="21"/>
    </row>
    <row r="282">
      <c r="A282" s="15">
        <v>270.0</v>
      </c>
      <c r="B282" s="15">
        <v>1.42056956521739E9</v>
      </c>
      <c r="C282" s="16">
        <v>-101.1503296</v>
      </c>
      <c r="D282" s="17">
        <f t="shared" si="1"/>
        <v>169565.2174</v>
      </c>
      <c r="E282" s="18">
        <f t="shared" si="2"/>
        <v>-36.73184528</v>
      </c>
      <c r="F282" s="17">
        <f t="shared" si="16"/>
        <v>0.000216623703</v>
      </c>
      <c r="G282" s="17">
        <f t="shared" si="4"/>
        <v>0</v>
      </c>
      <c r="H282" s="16">
        <f t="shared" si="5"/>
        <v>0</v>
      </c>
      <c r="I282" s="17">
        <f t="shared" si="6"/>
        <v>0</v>
      </c>
      <c r="J282" s="17">
        <f t="shared" si="7"/>
        <v>0</v>
      </c>
      <c r="K282" s="17"/>
      <c r="L282" s="17">
        <f t="shared" si="8"/>
        <v>583.5434617</v>
      </c>
      <c r="M282" s="2">
        <f t="shared" si="9"/>
        <v>456.0322627</v>
      </c>
      <c r="N282" s="9">
        <f t="shared" si="10"/>
        <v>127.511199</v>
      </c>
      <c r="O282" s="17"/>
      <c r="P282" s="17"/>
      <c r="Q282" s="17"/>
      <c r="R282" s="16"/>
      <c r="S282" s="14">
        <f t="shared" si="13"/>
        <v>117.0930409</v>
      </c>
      <c r="U282" s="21"/>
      <c r="V282" s="21"/>
      <c r="W282" s="21"/>
      <c r="X282" s="21"/>
      <c r="Y282" s="21"/>
      <c r="Z282" s="21"/>
    </row>
    <row r="283">
      <c r="A283" s="15">
        <v>271.0</v>
      </c>
      <c r="B283" s="15">
        <v>1.42057391304347E9</v>
      </c>
      <c r="C283" s="16">
        <v>-101.2907333</v>
      </c>
      <c r="D283" s="17">
        <f t="shared" si="1"/>
        <v>173913.0435</v>
      </c>
      <c r="E283" s="18">
        <f t="shared" si="2"/>
        <v>-37.65014142</v>
      </c>
      <c r="F283" s="17">
        <f t="shared" si="16"/>
        <v>0.0002164883132</v>
      </c>
      <c r="G283" s="17">
        <f t="shared" si="4"/>
        <v>0</v>
      </c>
      <c r="H283" s="16">
        <f t="shared" si="5"/>
        <v>0</v>
      </c>
      <c r="I283" s="17">
        <f t="shared" si="6"/>
        <v>0</v>
      </c>
      <c r="J283" s="17">
        <f t="shared" si="7"/>
        <v>0</v>
      </c>
      <c r="K283" s="17"/>
      <c r="L283" s="17">
        <f t="shared" si="8"/>
        <v>564.9796918</v>
      </c>
      <c r="M283" s="2">
        <f t="shared" si="9"/>
        <v>455.9414162</v>
      </c>
      <c r="N283" s="9">
        <f t="shared" si="10"/>
        <v>109.0382756</v>
      </c>
      <c r="O283" s="17"/>
      <c r="P283" s="17"/>
      <c r="Q283" s="17"/>
      <c r="R283" s="16"/>
      <c r="S283" s="14">
        <f t="shared" si="13"/>
        <v>100.1294268</v>
      </c>
      <c r="U283" s="21"/>
      <c r="V283" s="21"/>
      <c r="W283" s="21"/>
      <c r="X283" s="21"/>
      <c r="Y283" s="21"/>
      <c r="Z283" s="21"/>
    </row>
    <row r="284">
      <c r="A284" s="15">
        <v>272.0</v>
      </c>
      <c r="B284" s="15">
        <v>1.42057826086956E9</v>
      </c>
      <c r="C284" s="16">
        <v>-101.4149551</v>
      </c>
      <c r="D284" s="17">
        <f t="shared" si="1"/>
        <v>178260.8696</v>
      </c>
      <c r="E284" s="18">
        <f t="shared" si="2"/>
        <v>-38.56843755</v>
      </c>
      <c r="F284" s="17">
        <f t="shared" si="16"/>
        <v>0.0002163595277</v>
      </c>
      <c r="G284" s="17">
        <f t="shared" si="4"/>
        <v>0</v>
      </c>
      <c r="H284" s="16">
        <f t="shared" si="5"/>
        <v>0</v>
      </c>
      <c r="I284" s="17">
        <f t="shared" si="6"/>
        <v>0</v>
      </c>
      <c r="J284" s="17">
        <f t="shared" si="7"/>
        <v>0</v>
      </c>
      <c r="K284" s="17"/>
      <c r="L284" s="17">
        <f t="shared" si="8"/>
        <v>549.0484342</v>
      </c>
      <c r="M284" s="2">
        <f t="shared" si="9"/>
        <v>455.8502012</v>
      </c>
      <c r="N284" s="9">
        <f t="shared" si="10"/>
        <v>93.19823301</v>
      </c>
      <c r="O284" s="17"/>
      <c r="P284" s="17"/>
      <c r="Q284" s="17"/>
      <c r="R284" s="16"/>
      <c r="S284" s="14">
        <f t="shared" si="13"/>
        <v>85.58357676</v>
      </c>
      <c r="U284" s="21"/>
      <c r="V284" s="21"/>
      <c r="W284" s="21"/>
      <c r="X284" s="21"/>
      <c r="Y284" s="21"/>
      <c r="Z284" s="21"/>
    </row>
    <row r="285">
      <c r="A285" s="15">
        <v>273.0</v>
      </c>
      <c r="B285" s="15">
        <v>1.42058260869565E9</v>
      </c>
      <c r="C285" s="16">
        <v>-101.5662689</v>
      </c>
      <c r="D285" s="17">
        <f t="shared" si="1"/>
        <v>182608.6957</v>
      </c>
      <c r="E285" s="18">
        <f t="shared" si="2"/>
        <v>-39.48673368</v>
      </c>
      <c r="F285" s="17">
        <f t="shared" si="16"/>
        <v>0.0002162368749</v>
      </c>
      <c r="G285" s="17">
        <f t="shared" si="4"/>
        <v>0</v>
      </c>
      <c r="H285" s="16">
        <f t="shared" si="5"/>
        <v>0</v>
      </c>
      <c r="I285" s="17">
        <f t="shared" si="6"/>
        <v>0</v>
      </c>
      <c r="J285" s="17">
        <f t="shared" si="7"/>
        <v>0</v>
      </c>
      <c r="K285" s="17"/>
      <c r="L285" s="17">
        <f t="shared" si="8"/>
        <v>530.2482909</v>
      </c>
      <c r="M285" s="2">
        <f t="shared" si="9"/>
        <v>455.7586147</v>
      </c>
      <c r="N285" s="9">
        <f t="shared" si="10"/>
        <v>74.48967626</v>
      </c>
      <c r="O285" s="17"/>
      <c r="P285" s="17"/>
      <c r="Q285" s="17"/>
      <c r="R285" s="16"/>
      <c r="S285" s="14">
        <f t="shared" si="13"/>
        <v>68.40358164</v>
      </c>
      <c r="U285" s="21"/>
      <c r="V285" s="21"/>
      <c r="W285" s="21"/>
      <c r="X285" s="21"/>
      <c r="Y285" s="21"/>
      <c r="Z285" s="21"/>
    </row>
    <row r="286">
      <c r="A286" s="15">
        <v>274.0</v>
      </c>
      <c r="B286" s="15">
        <v>1.42058695652173E9</v>
      </c>
      <c r="C286" s="16">
        <v>-101.6959763</v>
      </c>
      <c r="D286" s="17">
        <f t="shared" si="1"/>
        <v>186956.5217</v>
      </c>
      <c r="E286" s="18">
        <f t="shared" si="2"/>
        <v>-40.40502981</v>
      </c>
      <c r="F286" s="17">
        <f t="shared" si="16"/>
        <v>0.0002161199269</v>
      </c>
      <c r="G286" s="17">
        <f t="shared" si="4"/>
        <v>0</v>
      </c>
      <c r="H286" s="16">
        <f t="shared" si="5"/>
        <v>0</v>
      </c>
      <c r="I286" s="17">
        <f t="shared" si="6"/>
        <v>0</v>
      </c>
      <c r="J286" s="17">
        <f t="shared" si="7"/>
        <v>0</v>
      </c>
      <c r="K286" s="17"/>
      <c r="L286" s="17">
        <f t="shared" si="8"/>
        <v>514.6459238</v>
      </c>
      <c r="M286" s="2">
        <f t="shared" si="9"/>
        <v>455.6666533</v>
      </c>
      <c r="N286" s="9">
        <f t="shared" si="10"/>
        <v>58.97927051</v>
      </c>
      <c r="O286" s="17"/>
      <c r="P286" s="17"/>
      <c r="Q286" s="17"/>
      <c r="R286" s="16"/>
      <c r="S286" s="14">
        <f t="shared" si="13"/>
        <v>54.16043602</v>
      </c>
      <c r="U286" s="21"/>
      <c r="V286" s="21"/>
      <c r="W286" s="21"/>
      <c r="X286" s="21"/>
      <c r="Y286" s="21"/>
      <c r="Z286" s="21"/>
    </row>
    <row r="287">
      <c r="A287" s="15">
        <v>275.0</v>
      </c>
      <c r="B287" s="15">
        <v>1.42059130434782E9</v>
      </c>
      <c r="C287" s="16">
        <v>-101.8668518</v>
      </c>
      <c r="D287" s="17">
        <f t="shared" si="1"/>
        <v>191304.3478</v>
      </c>
      <c r="E287" s="18">
        <f t="shared" si="2"/>
        <v>-41.32332595</v>
      </c>
      <c r="F287" s="17">
        <f t="shared" si="16"/>
        <v>0.0002160082947</v>
      </c>
      <c r="G287" s="17">
        <f t="shared" si="4"/>
        <v>0</v>
      </c>
      <c r="H287" s="16">
        <f t="shared" si="5"/>
        <v>0</v>
      </c>
      <c r="I287" s="17">
        <f t="shared" si="6"/>
        <v>0</v>
      </c>
      <c r="J287" s="17">
        <f t="shared" si="7"/>
        <v>0</v>
      </c>
      <c r="K287" s="17"/>
      <c r="L287" s="17">
        <f t="shared" si="8"/>
        <v>494.7900839</v>
      </c>
      <c r="M287" s="2">
        <f t="shared" si="9"/>
        <v>455.5743141</v>
      </c>
      <c r="N287" s="9">
        <f t="shared" si="10"/>
        <v>39.21576981</v>
      </c>
      <c r="O287" s="17"/>
      <c r="P287" s="17"/>
      <c r="Q287" s="17"/>
      <c r="R287" s="16"/>
      <c r="S287" s="14">
        <f t="shared" si="13"/>
        <v>36.01168976</v>
      </c>
      <c r="U287" s="21"/>
      <c r="V287" s="21"/>
      <c r="W287" s="21"/>
      <c r="X287" s="21"/>
      <c r="Y287" s="21"/>
      <c r="Z287" s="21"/>
    </row>
    <row r="288">
      <c r="A288" s="15">
        <v>276.0</v>
      </c>
      <c r="B288" s="15">
        <v>1.42059565217391E9</v>
      </c>
      <c r="C288" s="16">
        <v>-101.8536453</v>
      </c>
      <c r="D288" s="17">
        <f t="shared" si="1"/>
        <v>195652.1739</v>
      </c>
      <c r="E288" s="18">
        <f t="shared" si="2"/>
        <v>-42.24162208</v>
      </c>
      <c r="F288" s="17">
        <f t="shared" si="16"/>
        <v>0.000215901624</v>
      </c>
      <c r="G288" s="17">
        <f t="shared" si="4"/>
        <v>0</v>
      </c>
      <c r="H288" s="16">
        <f t="shared" si="5"/>
        <v>0</v>
      </c>
      <c r="I288" s="17">
        <f t="shared" si="6"/>
        <v>0</v>
      </c>
      <c r="J288" s="17">
        <f t="shared" si="7"/>
        <v>0</v>
      </c>
      <c r="K288" s="17"/>
      <c r="L288" s="17">
        <f t="shared" si="8"/>
        <v>496.2969856</v>
      </c>
      <c r="M288" s="2">
        <f t="shared" si="9"/>
        <v>455.4815939</v>
      </c>
      <c r="N288" s="9">
        <f t="shared" si="10"/>
        <v>40.81539167</v>
      </c>
      <c r="O288" s="17"/>
      <c r="P288" s="17"/>
      <c r="Q288" s="17"/>
      <c r="R288" s="16"/>
      <c r="S288" s="14">
        <f t="shared" si="13"/>
        <v>37.48061624</v>
      </c>
      <c r="U288" s="21"/>
      <c r="V288" s="21"/>
      <c r="W288" s="21"/>
      <c r="X288" s="21"/>
      <c r="Y288" s="21"/>
      <c r="Z288" s="21"/>
    </row>
    <row r="289">
      <c r="A289" s="15">
        <v>277.0</v>
      </c>
      <c r="B289" s="15">
        <v>1.4206E9</v>
      </c>
      <c r="C289" s="16">
        <v>-101.9436111</v>
      </c>
      <c r="D289" s="17">
        <f t="shared" si="1"/>
        <v>200000</v>
      </c>
      <c r="E289" s="18">
        <f t="shared" si="2"/>
        <v>-43.15991821</v>
      </c>
      <c r="F289" s="17">
        <f t="shared" si="16"/>
        <v>0.000215799591</v>
      </c>
      <c r="G289" s="17">
        <f t="shared" si="4"/>
        <v>0</v>
      </c>
      <c r="H289" s="16">
        <f t="shared" si="5"/>
        <v>0</v>
      </c>
      <c r="I289" s="17">
        <f t="shared" si="6"/>
        <v>0</v>
      </c>
      <c r="J289" s="17">
        <f t="shared" si="7"/>
        <v>0</v>
      </c>
      <c r="K289" s="17"/>
      <c r="L289" s="17">
        <f t="shared" si="8"/>
        <v>486.1217553</v>
      </c>
      <c r="M289" s="2">
        <f t="shared" si="9"/>
        <v>455.3884895</v>
      </c>
      <c r="N289" s="9">
        <f t="shared" si="10"/>
        <v>30.73326574</v>
      </c>
      <c r="O289" s="17"/>
      <c r="P289" s="17"/>
      <c r="Q289" s="17"/>
      <c r="R289" s="16"/>
      <c r="S289" s="14">
        <f t="shared" si="13"/>
        <v>28.22223907</v>
      </c>
      <c r="U289" s="21"/>
      <c r="V289" s="21"/>
      <c r="W289" s="21"/>
      <c r="X289" s="21"/>
      <c r="Y289" s="21"/>
      <c r="Z289" s="21"/>
    </row>
    <row r="290">
      <c r="A290" s="15">
        <v>278.0</v>
      </c>
      <c r="B290" s="15">
        <v>1.42060434782608E9</v>
      </c>
      <c r="C290" s="16">
        <v>-102.0187988</v>
      </c>
      <c r="D290" s="17">
        <f t="shared" si="1"/>
        <v>204347.8261</v>
      </c>
      <c r="E290" s="18">
        <f t="shared" si="2"/>
        <v>-44.07821434</v>
      </c>
      <c r="F290" s="17">
        <f t="shared" si="16"/>
        <v>0.0002157019</v>
      </c>
      <c r="G290" s="17">
        <f t="shared" si="4"/>
        <v>0</v>
      </c>
      <c r="H290" s="16">
        <f t="shared" si="5"/>
        <v>0</v>
      </c>
      <c r="I290" s="17">
        <f t="shared" si="6"/>
        <v>0</v>
      </c>
      <c r="J290" s="17">
        <f t="shared" si="7"/>
        <v>0</v>
      </c>
      <c r="K290" s="17"/>
      <c r="L290" s="17">
        <f t="shared" si="8"/>
        <v>477.7781532</v>
      </c>
      <c r="M290" s="2">
        <f t="shared" si="9"/>
        <v>455.2949979</v>
      </c>
      <c r="N290" s="9">
        <f t="shared" si="10"/>
        <v>22.4831553</v>
      </c>
      <c r="O290" s="17"/>
      <c r="P290" s="17"/>
      <c r="Q290" s="17"/>
      <c r="R290" s="16"/>
      <c r="S290" s="14">
        <f t="shared" si="13"/>
        <v>20.64619457</v>
      </c>
      <c r="U290" s="21"/>
      <c r="V290" s="21"/>
      <c r="W290" s="21"/>
      <c r="X290" s="21"/>
      <c r="Y290" s="21"/>
      <c r="Z290" s="21"/>
    </row>
    <row r="291">
      <c r="A291" s="15">
        <v>279.0</v>
      </c>
      <c r="B291" s="15">
        <v>1.42060869565217E9</v>
      </c>
      <c r="C291" s="16">
        <v>-102.0104828</v>
      </c>
      <c r="D291" s="17">
        <f t="shared" si="1"/>
        <v>208695.6522</v>
      </c>
      <c r="E291" s="18">
        <f t="shared" si="2"/>
        <v>-44.99651047</v>
      </c>
      <c r="F291" s="17">
        <f t="shared" si="16"/>
        <v>0.0002156082794</v>
      </c>
      <c r="G291" s="17">
        <f t="shared" si="4"/>
        <v>0</v>
      </c>
      <c r="H291" s="16">
        <f t="shared" si="5"/>
        <v>0</v>
      </c>
      <c r="I291" s="17">
        <f t="shared" si="6"/>
        <v>0</v>
      </c>
      <c r="J291" s="17">
        <f t="shared" si="7"/>
        <v>0</v>
      </c>
      <c r="K291" s="17"/>
      <c r="L291" s="17">
        <f t="shared" si="8"/>
        <v>478.6938935</v>
      </c>
      <c r="M291" s="2">
        <f t="shared" si="9"/>
        <v>455.2011158</v>
      </c>
      <c r="N291" s="9">
        <f t="shared" si="10"/>
        <v>23.49277769</v>
      </c>
      <c r="O291" s="17"/>
      <c r="P291" s="17"/>
      <c r="Q291" s="17"/>
      <c r="R291" s="16"/>
      <c r="S291" s="14">
        <f t="shared" si="13"/>
        <v>21.57332685</v>
      </c>
      <c r="U291" s="21"/>
      <c r="V291" s="21"/>
      <c r="W291" s="21"/>
      <c r="X291" s="21"/>
      <c r="Y291" s="21"/>
      <c r="Z291" s="21"/>
    </row>
    <row r="292">
      <c r="A292" s="15">
        <v>280.0</v>
      </c>
      <c r="B292" s="15">
        <v>1.42061304347826E9</v>
      </c>
      <c r="C292" s="16">
        <v>-102.0226822</v>
      </c>
      <c r="D292" s="17">
        <f t="shared" si="1"/>
        <v>213043.4783</v>
      </c>
      <c r="E292" s="18">
        <f t="shared" si="2"/>
        <v>-45.91480661</v>
      </c>
      <c r="F292" s="17">
        <f t="shared" si="16"/>
        <v>0.00021551848</v>
      </c>
      <c r="G292" s="17">
        <f t="shared" si="4"/>
        <v>0</v>
      </c>
      <c r="H292" s="16">
        <f t="shared" si="5"/>
        <v>0</v>
      </c>
      <c r="I292" s="17">
        <f t="shared" si="6"/>
        <v>0</v>
      </c>
      <c r="J292" s="17">
        <f t="shared" si="7"/>
        <v>0</v>
      </c>
      <c r="K292" s="17"/>
      <c r="L292" s="17">
        <f t="shared" si="8"/>
        <v>477.3511216</v>
      </c>
      <c r="M292" s="2">
        <f t="shared" si="9"/>
        <v>455.1068401</v>
      </c>
      <c r="N292" s="9">
        <f t="shared" si="10"/>
        <v>22.24428152</v>
      </c>
      <c r="O292" s="17"/>
      <c r="P292" s="17"/>
      <c r="Q292" s="17"/>
      <c r="R292" s="16"/>
      <c r="S292" s="14">
        <f t="shared" si="13"/>
        <v>20.4268377</v>
      </c>
      <c r="U292" s="21"/>
      <c r="V292" s="21"/>
      <c r="W292" s="21"/>
      <c r="X292" s="21"/>
      <c r="Y292" s="21"/>
      <c r="Z292" s="21"/>
    </row>
    <row r="293">
      <c r="A293" s="15">
        <v>281.0</v>
      </c>
      <c r="B293" s="15">
        <v>1.42061739130434E9</v>
      </c>
      <c r="C293" s="16">
        <v>-102.0713348</v>
      </c>
      <c r="D293" s="17">
        <f t="shared" si="1"/>
        <v>217391.3043</v>
      </c>
      <c r="E293" s="18">
        <f t="shared" si="2"/>
        <v>-46.83310274</v>
      </c>
      <c r="F293" s="17">
        <f t="shared" si="16"/>
        <v>0.0002154322726</v>
      </c>
      <c r="G293" s="17">
        <f t="shared" si="4"/>
        <v>0</v>
      </c>
      <c r="H293" s="16">
        <f t="shared" si="5"/>
        <v>0</v>
      </c>
      <c r="I293" s="17">
        <f t="shared" si="6"/>
        <v>0</v>
      </c>
      <c r="J293" s="17">
        <f t="shared" si="7"/>
        <v>0</v>
      </c>
      <c r="K293" s="17"/>
      <c r="L293" s="17">
        <f t="shared" si="8"/>
        <v>472.0333543</v>
      </c>
      <c r="M293" s="2">
        <f t="shared" si="9"/>
        <v>455.0121678</v>
      </c>
      <c r="N293" s="9">
        <f t="shared" si="10"/>
        <v>17.02118656</v>
      </c>
      <c r="O293" s="17"/>
      <c r="P293" s="17"/>
      <c r="Q293" s="17"/>
      <c r="R293" s="16"/>
      <c r="S293" s="14">
        <f t="shared" si="13"/>
        <v>15.6304898</v>
      </c>
      <c r="U293" s="21"/>
      <c r="V293" s="21"/>
      <c r="W293" s="21"/>
      <c r="X293" s="21"/>
      <c r="Y293" s="21"/>
      <c r="Z293" s="21"/>
    </row>
    <row r="294">
      <c r="A294" s="15">
        <v>282.0</v>
      </c>
      <c r="B294" s="15">
        <v>1.42062173913043E9</v>
      </c>
      <c r="C294" s="16">
        <v>-102.1152954</v>
      </c>
      <c r="D294" s="17">
        <f t="shared" si="1"/>
        <v>221739.1304</v>
      </c>
      <c r="E294" s="18">
        <f t="shared" si="2"/>
        <v>-47.75139887</v>
      </c>
      <c r="F294" s="17">
        <f t="shared" si="16"/>
        <v>0.0002153494459</v>
      </c>
      <c r="G294" s="17">
        <f t="shared" si="4"/>
        <v>0</v>
      </c>
      <c r="H294" s="16">
        <f t="shared" si="5"/>
        <v>0</v>
      </c>
      <c r="I294" s="17">
        <f t="shared" si="6"/>
        <v>0</v>
      </c>
      <c r="J294" s="17">
        <f t="shared" si="7"/>
        <v>0</v>
      </c>
      <c r="K294" s="17"/>
      <c r="L294" s="17">
        <f t="shared" si="8"/>
        <v>467.2793912</v>
      </c>
      <c r="M294" s="2">
        <f t="shared" si="9"/>
        <v>454.9170956</v>
      </c>
      <c r="N294" s="9">
        <f t="shared" si="10"/>
        <v>12.36229562</v>
      </c>
      <c r="O294" s="17"/>
      <c r="P294" s="17"/>
      <c r="Q294" s="17"/>
      <c r="R294" s="16"/>
      <c r="S294" s="14">
        <f t="shared" si="13"/>
        <v>11.35224823</v>
      </c>
      <c r="U294" s="21"/>
      <c r="V294" s="21"/>
      <c r="W294" s="21"/>
      <c r="X294" s="21"/>
      <c r="Y294" s="21"/>
      <c r="Z294" s="21"/>
    </row>
    <row r="295">
      <c r="A295" s="15">
        <v>283.0</v>
      </c>
      <c r="B295" s="15">
        <v>1.42062608695652E9</v>
      </c>
      <c r="C295" s="16">
        <v>-102.1166763</v>
      </c>
      <c r="D295" s="17">
        <f t="shared" si="1"/>
        <v>226086.9565</v>
      </c>
      <c r="E295" s="18">
        <f t="shared" si="2"/>
        <v>-48.669695</v>
      </c>
      <c r="F295" s="17">
        <f t="shared" si="16"/>
        <v>0.0002152698048</v>
      </c>
      <c r="G295" s="17">
        <f t="shared" si="4"/>
        <v>0</v>
      </c>
      <c r="H295" s="16">
        <f t="shared" si="5"/>
        <v>0</v>
      </c>
      <c r="I295" s="17">
        <f t="shared" si="6"/>
        <v>0</v>
      </c>
      <c r="J295" s="17">
        <f t="shared" si="7"/>
        <v>0</v>
      </c>
      <c r="K295" s="17"/>
      <c r="L295" s="17">
        <f t="shared" si="8"/>
        <v>467.1308368</v>
      </c>
      <c r="M295" s="2">
        <f t="shared" si="9"/>
        <v>454.8216204</v>
      </c>
      <c r="N295" s="9">
        <f t="shared" si="10"/>
        <v>12.30921641</v>
      </c>
      <c r="O295" s="17"/>
      <c r="P295" s="17"/>
      <c r="Q295" s="17"/>
      <c r="R295" s="16"/>
      <c r="S295" s="14">
        <f t="shared" si="13"/>
        <v>11.30350583</v>
      </c>
      <c r="U295" s="21"/>
      <c r="V295" s="21"/>
      <c r="W295" s="21"/>
      <c r="X295" s="21"/>
      <c r="Y295" s="21"/>
      <c r="Z295" s="21"/>
    </row>
    <row r="296">
      <c r="A296" s="15">
        <v>284.0</v>
      </c>
      <c r="B296" s="15">
        <v>1.4206304347826E9</v>
      </c>
      <c r="C296" s="16">
        <v>-102.1023483</v>
      </c>
      <c r="D296" s="17">
        <f t="shared" si="1"/>
        <v>230434.7826</v>
      </c>
      <c r="E296" s="18">
        <f t="shared" si="2"/>
        <v>-49.58799113</v>
      </c>
      <c r="F296" s="17">
        <f t="shared" si="16"/>
        <v>0.0002151931691</v>
      </c>
      <c r="G296" s="17">
        <f t="shared" si="4"/>
        <v>0</v>
      </c>
      <c r="H296" s="16">
        <f t="shared" si="5"/>
        <v>0</v>
      </c>
      <c r="I296" s="17">
        <f t="shared" si="6"/>
        <v>0</v>
      </c>
      <c r="J296" s="17">
        <f t="shared" si="7"/>
        <v>0</v>
      </c>
      <c r="K296" s="17"/>
      <c r="L296" s="17">
        <f t="shared" si="8"/>
        <v>468.6745136</v>
      </c>
      <c r="M296" s="2">
        <f t="shared" si="9"/>
        <v>454.7257391</v>
      </c>
      <c r="N296" s="9">
        <f t="shared" si="10"/>
        <v>13.94877458</v>
      </c>
      <c r="O296" s="17"/>
      <c r="P296" s="17"/>
      <c r="Q296" s="17"/>
      <c r="R296" s="16"/>
      <c r="S296" s="14">
        <f t="shared" si="13"/>
        <v>12.80910576</v>
      </c>
      <c r="U296" s="21"/>
      <c r="V296" s="21"/>
      <c r="W296" s="21"/>
      <c r="X296" s="21"/>
      <c r="Y296" s="21"/>
      <c r="Z296" s="21"/>
    </row>
    <row r="297">
      <c r="A297" s="15">
        <v>285.0</v>
      </c>
      <c r="B297" s="15">
        <v>1.42063478260869E9</v>
      </c>
      <c r="C297" s="16">
        <v>-102.1385193</v>
      </c>
      <c r="D297" s="17">
        <f t="shared" si="1"/>
        <v>234782.6087</v>
      </c>
      <c r="E297" s="18">
        <f t="shared" si="2"/>
        <v>-50.50628727</v>
      </c>
      <c r="F297" s="17">
        <f t="shared" si="16"/>
        <v>0.0002151193717</v>
      </c>
      <c r="G297" s="17">
        <f t="shared" si="4"/>
        <v>0</v>
      </c>
      <c r="H297" s="16">
        <f t="shared" si="5"/>
        <v>0</v>
      </c>
      <c r="I297" s="17">
        <f t="shared" si="6"/>
        <v>0</v>
      </c>
      <c r="J297" s="17">
        <f t="shared" si="7"/>
        <v>0</v>
      </c>
      <c r="K297" s="17"/>
      <c r="L297" s="17">
        <f t="shared" si="8"/>
        <v>464.7872836</v>
      </c>
      <c r="M297" s="2">
        <f t="shared" si="9"/>
        <v>454.6294485</v>
      </c>
      <c r="N297" s="9">
        <f t="shared" si="10"/>
        <v>10.15783506</v>
      </c>
      <c r="O297" s="17"/>
      <c r="P297" s="17"/>
      <c r="Q297" s="17"/>
      <c r="R297" s="16"/>
      <c r="S297" s="14">
        <f t="shared" si="13"/>
        <v>9.327900655</v>
      </c>
      <c r="U297" s="21"/>
      <c r="V297" s="21"/>
      <c r="W297" s="21"/>
      <c r="X297" s="21"/>
      <c r="Y297" s="21"/>
      <c r="Z297" s="21"/>
    </row>
    <row r="298">
      <c r="A298" s="15">
        <v>286.0</v>
      </c>
      <c r="B298" s="15">
        <v>1.42063913043478E9</v>
      </c>
      <c r="C298" s="16">
        <v>-102.1883545</v>
      </c>
      <c r="D298" s="17">
        <f t="shared" si="1"/>
        <v>239130.4348</v>
      </c>
      <c r="E298" s="18">
        <f t="shared" si="2"/>
        <v>-51.4245834</v>
      </c>
      <c r="F298" s="17">
        <f t="shared" si="16"/>
        <v>0.0002150482579</v>
      </c>
      <c r="G298" s="17">
        <f t="shared" si="4"/>
        <v>0</v>
      </c>
      <c r="H298" s="16">
        <f t="shared" si="5"/>
        <v>0</v>
      </c>
      <c r="I298" s="17">
        <f t="shared" si="6"/>
        <v>0</v>
      </c>
      <c r="J298" s="17">
        <f t="shared" si="7"/>
        <v>0</v>
      </c>
      <c r="K298" s="17"/>
      <c r="L298" s="17">
        <f t="shared" si="8"/>
        <v>459.4843431</v>
      </c>
      <c r="M298" s="2">
        <f t="shared" si="9"/>
        <v>454.5327455</v>
      </c>
      <c r="N298" s="9">
        <f t="shared" si="10"/>
        <v>4.951597515</v>
      </c>
      <c r="O298" s="17"/>
      <c r="P298" s="17"/>
      <c r="Q298" s="17"/>
      <c r="R298" s="16"/>
      <c r="S298" s="14">
        <f t="shared" si="13"/>
        <v>4.547032839</v>
      </c>
      <c r="U298" s="21"/>
      <c r="V298" s="21"/>
      <c r="W298" s="21"/>
      <c r="X298" s="21"/>
      <c r="Y298" s="21"/>
      <c r="Z298" s="21"/>
    </row>
    <row r="299">
      <c r="A299" s="15">
        <v>287.0</v>
      </c>
      <c r="B299" s="15">
        <v>1.42064347826087E9</v>
      </c>
      <c r="C299" s="16">
        <v>-102.1455994</v>
      </c>
      <c r="D299" s="17">
        <f t="shared" si="1"/>
        <v>243478.2609</v>
      </c>
      <c r="E299" s="18">
        <f t="shared" si="2"/>
        <v>-52.34287953</v>
      </c>
      <c r="F299" s="17">
        <f t="shared" si="16"/>
        <v>0.0002149796838</v>
      </c>
      <c r="G299" s="17">
        <f t="shared" si="4"/>
        <v>0</v>
      </c>
      <c r="H299" s="16">
        <f t="shared" si="5"/>
        <v>0</v>
      </c>
      <c r="I299" s="17">
        <f t="shared" si="6"/>
        <v>0</v>
      </c>
      <c r="J299" s="17">
        <f t="shared" si="7"/>
        <v>0</v>
      </c>
      <c r="K299" s="17"/>
      <c r="L299" s="17">
        <f t="shared" si="8"/>
        <v>464.0301799</v>
      </c>
      <c r="M299" s="2">
        <f t="shared" si="9"/>
        <v>454.4356271</v>
      </c>
      <c r="N299" s="9">
        <f t="shared" si="10"/>
        <v>9.594552813</v>
      </c>
      <c r="O299" s="17"/>
      <c r="P299" s="17"/>
      <c r="Q299" s="17"/>
      <c r="R299" s="16"/>
      <c r="S299" s="14">
        <f t="shared" si="13"/>
        <v>8.810640744</v>
      </c>
      <c r="U299" s="21"/>
      <c r="V299" s="21"/>
      <c r="W299" s="21"/>
      <c r="X299" s="21"/>
      <c r="Y299" s="21"/>
      <c r="Z299" s="21"/>
    </row>
    <row r="300">
      <c r="A300" s="15">
        <v>288.0</v>
      </c>
      <c r="B300" s="15">
        <v>1.42064782608695E9</v>
      </c>
      <c r="C300" s="16">
        <v>-102.1472397</v>
      </c>
      <c r="D300" s="17">
        <f t="shared" si="1"/>
        <v>247826.087</v>
      </c>
      <c r="E300" s="18">
        <f t="shared" si="2"/>
        <v>-53.26117566</v>
      </c>
      <c r="F300" s="17">
        <f t="shared" si="16"/>
        <v>0.0002149135158</v>
      </c>
      <c r="G300" s="17">
        <f t="shared" si="4"/>
        <v>0</v>
      </c>
      <c r="H300" s="16">
        <f t="shared" si="5"/>
        <v>0</v>
      </c>
      <c r="I300" s="17">
        <f t="shared" si="6"/>
        <v>0</v>
      </c>
      <c r="J300" s="17">
        <f t="shared" si="7"/>
        <v>0</v>
      </c>
      <c r="K300" s="17"/>
      <c r="L300" s="17">
        <f t="shared" si="8"/>
        <v>463.854952</v>
      </c>
      <c r="M300" s="2">
        <f t="shared" si="9"/>
        <v>454.3380899</v>
      </c>
      <c r="N300" s="9">
        <f t="shared" si="10"/>
        <v>9.516862093</v>
      </c>
      <c r="O300" s="17"/>
      <c r="P300" s="17"/>
      <c r="Q300" s="17"/>
      <c r="R300" s="16"/>
      <c r="S300" s="14">
        <f t="shared" si="13"/>
        <v>8.739297657</v>
      </c>
      <c r="U300" s="21"/>
      <c r="V300" s="21"/>
      <c r="W300" s="21"/>
      <c r="X300" s="21"/>
      <c r="Y300" s="21"/>
      <c r="Z300" s="21"/>
    </row>
    <row r="301">
      <c r="A301" s="15">
        <v>289.0</v>
      </c>
      <c r="B301" s="15">
        <v>1.42065217391304E9</v>
      </c>
      <c r="C301" s="16">
        <v>-102.1514893</v>
      </c>
      <c r="D301" s="17">
        <f t="shared" si="1"/>
        <v>252173.913</v>
      </c>
      <c r="E301" s="18">
        <f t="shared" si="2"/>
        <v>-54.1794718</v>
      </c>
      <c r="F301" s="17">
        <f t="shared" si="16"/>
        <v>0.0002148496295</v>
      </c>
      <c r="G301" s="17">
        <f t="shared" si="4"/>
        <v>0</v>
      </c>
      <c r="H301" s="16">
        <f t="shared" si="5"/>
        <v>0</v>
      </c>
      <c r="I301" s="17">
        <f t="shared" si="6"/>
        <v>0</v>
      </c>
      <c r="J301" s="17">
        <f t="shared" si="7"/>
        <v>0</v>
      </c>
      <c r="K301" s="17"/>
      <c r="L301" s="17">
        <f t="shared" si="8"/>
        <v>463.4012889</v>
      </c>
      <c r="M301" s="2">
        <f t="shared" si="9"/>
        <v>454.240131</v>
      </c>
      <c r="N301" s="9">
        <f t="shared" si="10"/>
        <v>9.16115793</v>
      </c>
      <c r="O301" s="17"/>
      <c r="P301" s="17"/>
      <c r="Q301" s="17"/>
      <c r="R301" s="16"/>
      <c r="S301" s="14">
        <f t="shared" si="13"/>
        <v>8.412655879</v>
      </c>
      <c r="U301" s="21"/>
      <c r="V301" s="21"/>
      <c r="W301" s="21"/>
      <c r="X301" s="21"/>
      <c r="Y301" s="21"/>
      <c r="Z301" s="21"/>
    </row>
    <row r="302">
      <c r="A302" s="15">
        <v>290.0</v>
      </c>
      <c r="B302" s="15">
        <v>1.42065652173913E9</v>
      </c>
      <c r="C302" s="16">
        <v>-102.1853333</v>
      </c>
      <c r="D302" s="17">
        <f t="shared" si="1"/>
        <v>256521.7391</v>
      </c>
      <c r="E302" s="18">
        <f t="shared" si="2"/>
        <v>-55.09776793</v>
      </c>
      <c r="F302" s="17">
        <f t="shared" si="16"/>
        <v>0.0002147879089</v>
      </c>
      <c r="G302" s="17">
        <f t="shared" si="4"/>
        <v>0</v>
      </c>
      <c r="H302" s="16">
        <f t="shared" si="5"/>
        <v>0</v>
      </c>
      <c r="I302" s="17">
        <f t="shared" si="6"/>
        <v>0</v>
      </c>
      <c r="J302" s="17">
        <f t="shared" si="7"/>
        <v>0</v>
      </c>
      <c r="K302" s="17"/>
      <c r="L302" s="17">
        <f t="shared" si="8"/>
        <v>459.8040978</v>
      </c>
      <c r="M302" s="2">
        <f t="shared" si="9"/>
        <v>454.141747</v>
      </c>
      <c r="N302" s="9">
        <f t="shared" si="10"/>
        <v>5.662350721</v>
      </c>
      <c r="O302" s="17"/>
      <c r="P302" s="17"/>
      <c r="Q302" s="17"/>
      <c r="R302" s="16"/>
      <c r="S302" s="14">
        <f t="shared" si="13"/>
        <v>5.199714769</v>
      </c>
      <c r="U302" s="21"/>
      <c r="V302" s="21"/>
      <c r="W302" s="21"/>
      <c r="X302" s="21"/>
      <c r="Y302" s="21"/>
      <c r="Z302" s="21"/>
    </row>
    <row r="303">
      <c r="A303" s="15">
        <v>291.0</v>
      </c>
      <c r="B303" s="15">
        <v>1.42066086956521E9</v>
      </c>
      <c r="C303" s="16">
        <v>-102.1820679</v>
      </c>
      <c r="D303" s="17">
        <f t="shared" si="1"/>
        <v>260869.5652</v>
      </c>
      <c r="E303" s="18">
        <f t="shared" si="2"/>
        <v>-56.01606406</v>
      </c>
      <c r="F303" s="17">
        <f t="shared" si="16"/>
        <v>0.0002147282456</v>
      </c>
      <c r="G303" s="17">
        <f t="shared" si="4"/>
        <v>0</v>
      </c>
      <c r="H303" s="16">
        <f t="shared" si="5"/>
        <v>0</v>
      </c>
      <c r="I303" s="17">
        <f t="shared" si="6"/>
        <v>0</v>
      </c>
      <c r="J303" s="17">
        <f t="shared" si="7"/>
        <v>0</v>
      </c>
      <c r="K303" s="17"/>
      <c r="L303" s="17">
        <f t="shared" si="8"/>
        <v>460.1499481</v>
      </c>
      <c r="M303" s="2">
        <f t="shared" si="9"/>
        <v>454.0429351</v>
      </c>
      <c r="N303" s="9">
        <f t="shared" si="10"/>
        <v>6.107013033</v>
      </c>
      <c r="O303" s="17"/>
      <c r="P303" s="17"/>
      <c r="Q303" s="17"/>
      <c r="R303" s="16"/>
      <c r="S303" s="14">
        <f t="shared" si="13"/>
        <v>5.608046451</v>
      </c>
      <c r="U303" s="21"/>
      <c r="V303" s="21"/>
      <c r="W303" s="21"/>
      <c r="X303" s="21"/>
      <c r="Y303" s="21"/>
      <c r="Z303" s="21"/>
    </row>
    <row r="304">
      <c r="A304" s="15">
        <v>292.0</v>
      </c>
      <c r="B304" s="15">
        <v>1.4206652173913E9</v>
      </c>
      <c r="C304" s="16">
        <v>-102.2523651</v>
      </c>
      <c r="D304" s="17">
        <f t="shared" si="1"/>
        <v>265217.3913</v>
      </c>
      <c r="E304" s="18">
        <f t="shared" si="2"/>
        <v>-56.93436019</v>
      </c>
      <c r="F304" s="17">
        <f t="shared" si="16"/>
        <v>0.0002146705384</v>
      </c>
      <c r="G304" s="17">
        <f t="shared" si="4"/>
        <v>0</v>
      </c>
      <c r="H304" s="16">
        <f t="shared" si="5"/>
        <v>0</v>
      </c>
      <c r="I304" s="17">
        <f t="shared" si="6"/>
        <v>0</v>
      </c>
      <c r="J304" s="17">
        <f t="shared" si="7"/>
        <v>0</v>
      </c>
      <c r="K304" s="17"/>
      <c r="L304" s="17">
        <f t="shared" si="8"/>
        <v>452.7616744</v>
      </c>
      <c r="M304" s="2">
        <f t="shared" si="9"/>
        <v>453.9436919</v>
      </c>
      <c r="N304" s="9">
        <f t="shared" si="10"/>
        <v>-1.182017443</v>
      </c>
      <c r="O304" s="17"/>
      <c r="P304" s="17"/>
      <c r="Q304" s="17"/>
      <c r="R304" s="16"/>
      <c r="S304" s="14">
        <f t="shared" si="13"/>
        <v>-1.085442044</v>
      </c>
      <c r="U304" s="21"/>
      <c r="V304" s="21"/>
      <c r="W304" s="21"/>
      <c r="X304" s="21"/>
      <c r="Y304" s="21"/>
      <c r="Z304" s="21"/>
    </row>
    <row r="305">
      <c r="A305" s="15">
        <v>293.0</v>
      </c>
      <c r="B305" s="15">
        <v>1.42066956521739E9</v>
      </c>
      <c r="C305" s="16">
        <v>-102.2407227</v>
      </c>
      <c r="D305" s="17">
        <f t="shared" si="1"/>
        <v>269565.2174</v>
      </c>
      <c r="E305" s="18">
        <f t="shared" si="2"/>
        <v>-57.85265632</v>
      </c>
      <c r="F305" s="17">
        <f t="shared" si="16"/>
        <v>0.0002146146928</v>
      </c>
      <c r="G305" s="17">
        <f t="shared" si="4"/>
        <v>0</v>
      </c>
      <c r="H305" s="16">
        <f t="shared" si="5"/>
        <v>0</v>
      </c>
      <c r="I305" s="17">
        <f t="shared" si="6"/>
        <v>0</v>
      </c>
      <c r="J305" s="17">
        <f t="shared" si="7"/>
        <v>0</v>
      </c>
      <c r="K305" s="17"/>
      <c r="L305" s="17">
        <f t="shared" si="8"/>
        <v>453.9770489</v>
      </c>
      <c r="M305" s="2">
        <f t="shared" si="9"/>
        <v>453.8440143</v>
      </c>
      <c r="N305" s="9">
        <f t="shared" si="10"/>
        <v>0.1330345916</v>
      </c>
      <c r="O305" s="17"/>
      <c r="P305" s="17"/>
      <c r="Q305" s="17"/>
      <c r="R305" s="16"/>
      <c r="S305" s="14">
        <f t="shared" si="13"/>
        <v>0.122165151</v>
      </c>
      <c r="U305" s="21"/>
      <c r="V305" s="21"/>
      <c r="W305" s="21"/>
      <c r="X305" s="21"/>
      <c r="Y305" s="21"/>
      <c r="Z305" s="21"/>
    </row>
    <row r="306">
      <c r="A306" s="15">
        <v>294.0</v>
      </c>
      <c r="B306" s="15">
        <v>1.42067391304347E9</v>
      </c>
      <c r="C306" s="16">
        <v>-102.1998596</v>
      </c>
      <c r="D306" s="17">
        <f t="shared" si="1"/>
        <v>273913.0435</v>
      </c>
      <c r="E306" s="18">
        <f t="shared" si="2"/>
        <v>-58.77095246</v>
      </c>
      <c r="F306" s="17">
        <f t="shared" si="16"/>
        <v>0.0002145606201</v>
      </c>
      <c r="G306" s="17">
        <f t="shared" si="4"/>
        <v>0</v>
      </c>
      <c r="H306" s="16">
        <f t="shared" si="5"/>
        <v>0</v>
      </c>
      <c r="I306" s="17">
        <f t="shared" si="6"/>
        <v>0</v>
      </c>
      <c r="J306" s="17">
        <f t="shared" si="7"/>
        <v>0</v>
      </c>
      <c r="K306" s="17"/>
      <c r="L306" s="17">
        <f t="shared" si="8"/>
        <v>458.2687123</v>
      </c>
      <c r="M306" s="2">
        <f t="shared" si="9"/>
        <v>453.7438993</v>
      </c>
      <c r="N306" s="9">
        <f t="shared" si="10"/>
        <v>4.524813053</v>
      </c>
      <c r="O306" s="17"/>
      <c r="P306" s="17"/>
      <c r="Q306" s="17"/>
      <c r="R306" s="16"/>
      <c r="S306" s="14">
        <f t="shared" si="13"/>
        <v>4.155118328</v>
      </c>
      <c r="U306" s="21"/>
      <c r="V306" s="21"/>
      <c r="W306" s="21"/>
      <c r="X306" s="21"/>
      <c r="Y306" s="21"/>
      <c r="Z306" s="21"/>
    </row>
    <row r="307">
      <c r="A307" s="15">
        <v>295.0</v>
      </c>
      <c r="B307" s="15">
        <v>1.42067826086956E9</v>
      </c>
      <c r="C307" s="16">
        <v>-102.2511826</v>
      </c>
      <c r="D307" s="17">
        <f t="shared" si="1"/>
        <v>278260.8696</v>
      </c>
      <c r="E307" s="18">
        <f t="shared" si="2"/>
        <v>-59.68924859</v>
      </c>
      <c r="F307" s="17">
        <f t="shared" si="16"/>
        <v>0.0002145082371</v>
      </c>
      <c r="G307" s="17">
        <f t="shared" si="4"/>
        <v>0</v>
      </c>
      <c r="H307" s="16">
        <f t="shared" si="5"/>
        <v>0</v>
      </c>
      <c r="I307" s="17">
        <f t="shared" si="6"/>
        <v>0</v>
      </c>
      <c r="J307" s="17">
        <f t="shared" si="7"/>
        <v>0</v>
      </c>
      <c r="K307" s="17"/>
      <c r="L307" s="17">
        <f t="shared" si="8"/>
        <v>452.8849695</v>
      </c>
      <c r="M307" s="2">
        <f t="shared" si="9"/>
        <v>453.6433436</v>
      </c>
      <c r="N307" s="9">
        <f t="shared" si="10"/>
        <v>-0.7583741116</v>
      </c>
      <c r="O307" s="17"/>
      <c r="P307" s="17"/>
      <c r="Q307" s="17"/>
      <c r="R307" s="16"/>
      <c r="S307" s="14">
        <f t="shared" si="13"/>
        <v>-0.6964120123</v>
      </c>
      <c r="U307" s="21"/>
      <c r="V307" s="21"/>
      <c r="W307" s="21"/>
      <c r="X307" s="21"/>
      <c r="Y307" s="21"/>
      <c r="Z307" s="21"/>
    </row>
    <row r="308">
      <c r="A308" s="15">
        <v>296.0</v>
      </c>
      <c r="B308" s="15">
        <v>1.42068260869565E9</v>
      </c>
      <c r="C308" s="16">
        <v>-102.1858978</v>
      </c>
      <c r="D308" s="17">
        <f t="shared" si="1"/>
        <v>282608.6957</v>
      </c>
      <c r="E308" s="18">
        <f t="shared" si="2"/>
        <v>-60.60754472</v>
      </c>
      <c r="F308" s="17">
        <f t="shared" si="16"/>
        <v>0.0002144574659</v>
      </c>
      <c r="G308" s="17">
        <f t="shared" si="4"/>
        <v>0</v>
      </c>
      <c r="H308" s="16">
        <f t="shared" si="5"/>
        <v>0</v>
      </c>
      <c r="I308" s="17">
        <f t="shared" si="6"/>
        <v>0</v>
      </c>
      <c r="J308" s="17">
        <f t="shared" si="7"/>
        <v>0</v>
      </c>
      <c r="K308" s="17"/>
      <c r="L308" s="17">
        <f t="shared" si="8"/>
        <v>459.7443359</v>
      </c>
      <c r="M308" s="2">
        <f t="shared" si="9"/>
        <v>453.5423441</v>
      </c>
      <c r="N308" s="9">
        <f t="shared" si="10"/>
        <v>6.20199176</v>
      </c>
      <c r="O308" s="17"/>
      <c r="P308" s="17"/>
      <c r="Q308" s="17"/>
      <c r="R308" s="16"/>
      <c r="S308" s="14">
        <f t="shared" si="13"/>
        <v>5.695265049</v>
      </c>
      <c r="U308" s="21"/>
      <c r="V308" s="21"/>
      <c r="W308" s="21"/>
      <c r="X308" s="21"/>
      <c r="Y308" s="21"/>
      <c r="Z308" s="21"/>
    </row>
    <row r="309">
      <c r="A309" s="15">
        <v>297.0</v>
      </c>
      <c r="B309" s="15">
        <v>1.42068695652173E9</v>
      </c>
      <c r="C309" s="16">
        <v>-102.2380142</v>
      </c>
      <c r="D309" s="17">
        <f t="shared" si="1"/>
        <v>286956.5217</v>
      </c>
      <c r="E309" s="18">
        <f t="shared" si="2"/>
        <v>-61.52584085</v>
      </c>
      <c r="F309" s="17">
        <f t="shared" si="16"/>
        <v>0.0002144082333</v>
      </c>
      <c r="G309" s="17">
        <f t="shared" si="4"/>
        <v>0</v>
      </c>
      <c r="H309" s="16">
        <f t="shared" si="5"/>
        <v>0</v>
      </c>
      <c r="I309" s="17">
        <f t="shared" si="6"/>
        <v>0</v>
      </c>
      <c r="J309" s="17">
        <f t="shared" si="7"/>
        <v>0</v>
      </c>
      <c r="K309" s="17"/>
      <c r="L309" s="17">
        <f t="shared" si="8"/>
        <v>454.2602623</v>
      </c>
      <c r="M309" s="2">
        <f t="shared" si="9"/>
        <v>453.4408978</v>
      </c>
      <c r="N309" s="9">
        <f t="shared" si="10"/>
        <v>0.8193645674</v>
      </c>
      <c r="O309" s="17"/>
      <c r="P309" s="17"/>
      <c r="Q309" s="17"/>
      <c r="R309" s="16"/>
      <c r="S309" s="14">
        <f t="shared" si="13"/>
        <v>0.7524193136</v>
      </c>
      <c r="U309" s="21"/>
      <c r="V309" s="21"/>
      <c r="W309" s="21"/>
      <c r="X309" s="21"/>
      <c r="Y309" s="21"/>
      <c r="Z309" s="21"/>
    </row>
    <row r="310">
      <c r="A310" s="15">
        <v>298.0</v>
      </c>
      <c r="B310" s="15">
        <v>1.42069130434782E9</v>
      </c>
      <c r="C310" s="16">
        <v>-102.2567596</v>
      </c>
      <c r="D310" s="17">
        <f t="shared" si="1"/>
        <v>291304.3478</v>
      </c>
      <c r="E310" s="18">
        <f t="shared" si="2"/>
        <v>-62.44413698</v>
      </c>
      <c r="F310" s="17">
        <f t="shared" si="16"/>
        <v>0.0002143604703</v>
      </c>
      <c r="G310" s="17">
        <f t="shared" si="4"/>
        <v>0</v>
      </c>
      <c r="H310" s="16">
        <f t="shared" si="5"/>
        <v>0</v>
      </c>
      <c r="I310" s="17">
        <f t="shared" si="6"/>
        <v>0</v>
      </c>
      <c r="J310" s="17">
        <f t="shared" si="7"/>
        <v>0</v>
      </c>
      <c r="K310" s="17"/>
      <c r="L310" s="17">
        <f t="shared" si="8"/>
        <v>452.3037697</v>
      </c>
      <c r="M310" s="2">
        <f t="shared" si="9"/>
        <v>453.3390014</v>
      </c>
      <c r="N310" s="9">
        <f t="shared" si="10"/>
        <v>-1.035231658</v>
      </c>
      <c r="O310" s="17"/>
      <c r="P310" s="17"/>
      <c r="Q310" s="17"/>
      <c r="R310" s="16"/>
      <c r="S310" s="14">
        <f t="shared" si="13"/>
        <v>-0.9506492282</v>
      </c>
      <c r="U310" s="21"/>
      <c r="V310" s="21"/>
      <c r="W310" s="21"/>
      <c r="X310" s="21"/>
      <c r="Y310" s="21"/>
      <c r="Z310" s="21"/>
    </row>
    <row r="311">
      <c r="A311" s="15">
        <v>299.0</v>
      </c>
      <c r="B311" s="15">
        <v>1.42069565217391E9</v>
      </c>
      <c r="C311" s="16">
        <v>-102.2276459</v>
      </c>
      <c r="D311" s="17">
        <f t="shared" si="1"/>
        <v>295652.1739</v>
      </c>
      <c r="E311" s="18">
        <f t="shared" si="2"/>
        <v>-63.36243312</v>
      </c>
      <c r="F311" s="17">
        <f t="shared" si="16"/>
        <v>0.000214314112</v>
      </c>
      <c r="G311" s="17">
        <f t="shared" si="4"/>
        <v>0</v>
      </c>
      <c r="H311" s="16">
        <f t="shared" si="5"/>
        <v>0</v>
      </c>
      <c r="I311" s="17">
        <f t="shared" si="6"/>
        <v>0</v>
      </c>
      <c r="J311" s="17">
        <f t="shared" si="7"/>
        <v>0</v>
      </c>
      <c r="K311" s="17"/>
      <c r="L311" s="17">
        <f t="shared" si="8"/>
        <v>455.346054</v>
      </c>
      <c r="M311" s="2">
        <f t="shared" si="9"/>
        <v>453.2366518</v>
      </c>
      <c r="N311" s="9">
        <f t="shared" si="10"/>
        <v>2.109402228</v>
      </c>
      <c r="O311" s="17"/>
      <c r="P311" s="17"/>
      <c r="Q311" s="17"/>
      <c r="R311" s="16"/>
      <c r="S311" s="14">
        <f t="shared" si="13"/>
        <v>1.937055904</v>
      </c>
      <c r="U311" s="21"/>
      <c r="V311" s="21"/>
      <c r="W311" s="21"/>
      <c r="X311" s="21"/>
      <c r="Y311" s="21"/>
      <c r="Z311" s="21"/>
    </row>
    <row r="312">
      <c r="A312" s="15">
        <v>300.0</v>
      </c>
      <c r="B312" s="15">
        <v>1.4207E9</v>
      </c>
      <c r="C312" s="16">
        <v>-102.2369308</v>
      </c>
      <c r="D312" s="17">
        <f t="shared" si="1"/>
        <v>300000</v>
      </c>
      <c r="E312" s="18">
        <f t="shared" si="2"/>
        <v>-64.28072925</v>
      </c>
      <c r="F312" s="17">
        <f t="shared" si="16"/>
        <v>0.0002142690975</v>
      </c>
      <c r="G312" s="17">
        <f t="shared" si="4"/>
        <v>0</v>
      </c>
      <c r="H312" s="16">
        <f t="shared" si="5"/>
        <v>0</v>
      </c>
      <c r="I312" s="17">
        <f t="shared" si="6"/>
        <v>0</v>
      </c>
      <c r="J312" s="17">
        <f t="shared" si="7"/>
        <v>0</v>
      </c>
      <c r="K312" s="17"/>
      <c r="L312" s="17">
        <f t="shared" si="8"/>
        <v>454.3735972</v>
      </c>
      <c r="M312" s="2">
        <f t="shared" si="9"/>
        <v>453.1338459</v>
      </c>
      <c r="N312" s="9">
        <f t="shared" si="10"/>
        <v>1.23975129</v>
      </c>
      <c r="O312" s="17"/>
      <c r="P312" s="17"/>
      <c r="Q312" s="17"/>
      <c r="R312" s="16"/>
      <c r="S312" s="14">
        <f t="shared" si="13"/>
        <v>1.138458815</v>
      </c>
      <c r="U312" s="21"/>
      <c r="V312" s="21"/>
      <c r="W312" s="21"/>
      <c r="X312" s="21"/>
      <c r="Y312" s="21"/>
      <c r="Z312" s="21"/>
    </row>
    <row r="313">
      <c r="A313" s="15">
        <v>301.0</v>
      </c>
      <c r="B313" s="15">
        <v>1.42070434782608E9</v>
      </c>
      <c r="C313" s="16">
        <v>-102.2670746</v>
      </c>
      <c r="D313" s="17">
        <f t="shared" si="1"/>
        <v>304347.8261</v>
      </c>
      <c r="E313" s="18">
        <f t="shared" si="2"/>
        <v>-65.19902538</v>
      </c>
      <c r="F313" s="17">
        <f t="shared" si="16"/>
        <v>0.0002142253691</v>
      </c>
      <c r="G313" s="17">
        <f t="shared" si="4"/>
        <v>0</v>
      </c>
      <c r="H313" s="16">
        <f t="shared" si="5"/>
        <v>0</v>
      </c>
      <c r="I313" s="17">
        <f t="shared" si="6"/>
        <v>0</v>
      </c>
      <c r="J313" s="17">
        <f t="shared" si="7"/>
        <v>0</v>
      </c>
      <c r="K313" s="17"/>
      <c r="L313" s="17">
        <f t="shared" si="8"/>
        <v>451.2307703</v>
      </c>
      <c r="M313" s="2">
        <f t="shared" si="9"/>
        <v>453.0305805</v>
      </c>
      <c r="N313" s="9">
        <f t="shared" si="10"/>
        <v>-1.799810222</v>
      </c>
      <c r="O313" s="17"/>
      <c r="P313" s="17"/>
      <c r="Q313" s="17"/>
      <c r="R313" s="16"/>
      <c r="S313" s="14">
        <f t="shared" si="13"/>
        <v>-1.652758767</v>
      </c>
      <c r="U313" s="21"/>
      <c r="V313" s="21"/>
      <c r="W313" s="21"/>
      <c r="X313" s="21"/>
      <c r="Y313" s="21"/>
      <c r="Z313" s="21"/>
    </row>
    <row r="314">
      <c r="A314" s="15">
        <v>302.0</v>
      </c>
      <c r="B314" s="15">
        <v>1.42070869565217E9</v>
      </c>
      <c r="C314" s="16">
        <v>-102.2525177</v>
      </c>
      <c r="D314" s="17">
        <f t="shared" si="1"/>
        <v>308695.6522</v>
      </c>
      <c r="E314" s="18">
        <f t="shared" si="2"/>
        <v>-66.11732151</v>
      </c>
      <c r="F314" s="17">
        <f t="shared" si="16"/>
        <v>0.0002141828725</v>
      </c>
      <c r="G314" s="17">
        <f t="shared" si="4"/>
        <v>0</v>
      </c>
      <c r="H314" s="16">
        <f t="shared" si="5"/>
        <v>0</v>
      </c>
      <c r="I314" s="17">
        <f t="shared" si="6"/>
        <v>0</v>
      </c>
      <c r="J314" s="17">
        <f t="shared" si="7"/>
        <v>0</v>
      </c>
      <c r="K314" s="17"/>
      <c r="L314" s="17">
        <f t="shared" si="8"/>
        <v>452.7457658</v>
      </c>
      <c r="M314" s="2">
        <f t="shared" si="9"/>
        <v>452.9268526</v>
      </c>
      <c r="N314" s="9">
        <f t="shared" si="10"/>
        <v>-0.1810867701</v>
      </c>
      <c r="O314" s="17"/>
      <c r="P314" s="17"/>
      <c r="Q314" s="17"/>
      <c r="R314" s="16"/>
      <c r="S314" s="14">
        <f t="shared" si="13"/>
        <v>-0.1662912803</v>
      </c>
      <c r="U314" s="21"/>
      <c r="V314" s="21"/>
      <c r="W314" s="21"/>
      <c r="X314" s="21"/>
      <c r="Y314" s="21"/>
      <c r="Z314" s="21"/>
    </row>
    <row r="315">
      <c r="A315" s="15">
        <v>303.0</v>
      </c>
      <c r="B315" s="15">
        <v>1.42071304347826E9</v>
      </c>
      <c r="C315" s="16">
        <v>-102.2624664</v>
      </c>
      <c r="D315" s="17">
        <f t="shared" si="1"/>
        <v>313043.4783</v>
      </c>
      <c r="E315" s="18">
        <f t="shared" si="2"/>
        <v>-67.03561764</v>
      </c>
      <c r="F315" s="17">
        <f t="shared" si="16"/>
        <v>0.0002141415564</v>
      </c>
      <c r="G315" s="17">
        <f t="shared" si="4"/>
        <v>0</v>
      </c>
      <c r="H315" s="16">
        <f t="shared" si="5"/>
        <v>0</v>
      </c>
      <c r="I315" s="17">
        <f t="shared" si="6"/>
        <v>0</v>
      </c>
      <c r="J315" s="17">
        <f t="shared" si="7"/>
        <v>0</v>
      </c>
      <c r="K315" s="17"/>
      <c r="L315" s="17">
        <f t="shared" si="8"/>
        <v>451.7098151</v>
      </c>
      <c r="M315" s="2">
        <f t="shared" si="9"/>
        <v>452.8226589</v>
      </c>
      <c r="N315" s="9">
        <f t="shared" si="10"/>
        <v>-1.11284377</v>
      </c>
      <c r="O315" s="17"/>
      <c r="P315" s="17"/>
      <c r="Q315" s="17"/>
      <c r="R315" s="16"/>
      <c r="S315" s="14">
        <f t="shared" si="13"/>
        <v>-1.02192013</v>
      </c>
      <c r="U315" s="21"/>
      <c r="V315" s="21"/>
      <c r="W315" s="21"/>
      <c r="X315" s="21"/>
      <c r="Y315" s="21"/>
      <c r="Z315" s="21"/>
    </row>
    <row r="316">
      <c r="A316" s="15">
        <v>304.0</v>
      </c>
      <c r="B316" s="15">
        <v>1.42071739130434E9</v>
      </c>
      <c r="C316" s="16">
        <v>-102.1689758</v>
      </c>
      <c r="D316" s="17">
        <f t="shared" si="1"/>
        <v>317391.3043</v>
      </c>
      <c r="E316" s="18">
        <f t="shared" si="2"/>
        <v>-67.95391378</v>
      </c>
      <c r="F316" s="17">
        <f t="shared" si="16"/>
        <v>0.0002141013722</v>
      </c>
      <c r="G316" s="17">
        <f t="shared" si="4"/>
        <v>0</v>
      </c>
      <c r="H316" s="16">
        <f t="shared" si="5"/>
        <v>0</v>
      </c>
      <c r="I316" s="17">
        <f t="shared" si="6"/>
        <v>0</v>
      </c>
      <c r="J316" s="17">
        <f t="shared" si="7"/>
        <v>0</v>
      </c>
      <c r="K316" s="17"/>
      <c r="L316" s="17">
        <f t="shared" si="8"/>
        <v>461.5391941</v>
      </c>
      <c r="M316" s="2">
        <f t="shared" si="9"/>
        <v>452.7179963</v>
      </c>
      <c r="N316" s="9">
        <f t="shared" si="10"/>
        <v>8.821197735</v>
      </c>
      <c r="O316" s="17"/>
      <c r="P316" s="17"/>
      <c r="Q316" s="17"/>
      <c r="R316" s="16"/>
      <c r="S316" s="14">
        <f t="shared" si="13"/>
        <v>8.100471767</v>
      </c>
      <c r="U316" s="21"/>
      <c r="V316" s="21"/>
      <c r="W316" s="21"/>
      <c r="X316" s="21"/>
      <c r="Y316" s="21"/>
      <c r="Z316" s="21"/>
    </row>
    <row r="317">
      <c r="A317" s="15">
        <v>305.0</v>
      </c>
      <c r="B317" s="15">
        <v>1.42072173913043E9</v>
      </c>
      <c r="C317" s="16">
        <v>-102.2497864</v>
      </c>
      <c r="D317" s="17">
        <f t="shared" si="1"/>
        <v>321739.1304</v>
      </c>
      <c r="E317" s="18">
        <f t="shared" si="2"/>
        <v>-68.87220991</v>
      </c>
      <c r="F317" s="17">
        <f t="shared" si="16"/>
        <v>0.000214062274</v>
      </c>
      <c r="G317" s="17">
        <f t="shared" si="4"/>
        <v>0</v>
      </c>
      <c r="H317" s="16">
        <f t="shared" si="5"/>
        <v>0</v>
      </c>
      <c r="I317" s="17">
        <f t="shared" si="6"/>
        <v>0</v>
      </c>
      <c r="J317" s="17">
        <f t="shared" si="7"/>
        <v>0</v>
      </c>
      <c r="K317" s="17"/>
      <c r="L317" s="17">
        <f t="shared" si="8"/>
        <v>453.0305895</v>
      </c>
      <c r="M317" s="2">
        <f t="shared" si="9"/>
        <v>452.6128618</v>
      </c>
      <c r="N317" s="9">
        <f t="shared" si="10"/>
        <v>0.4177276862</v>
      </c>
      <c r="O317" s="17"/>
      <c r="P317" s="17"/>
      <c r="Q317" s="17"/>
      <c r="R317" s="16"/>
      <c r="S317" s="14">
        <f t="shared" si="13"/>
        <v>0.3835977179</v>
      </c>
      <c r="U317" s="21"/>
      <c r="V317" s="21"/>
      <c r="W317" s="21"/>
      <c r="X317" s="21"/>
      <c r="Y317" s="21"/>
      <c r="Z317" s="21"/>
    </row>
    <row r="318">
      <c r="A318" s="15">
        <v>306.0</v>
      </c>
      <c r="B318" s="15">
        <v>1.42072608695652E9</v>
      </c>
      <c r="C318" s="16">
        <v>-102.226059</v>
      </c>
      <c r="D318" s="17">
        <f t="shared" si="1"/>
        <v>326086.9565</v>
      </c>
      <c r="E318" s="18">
        <f t="shared" si="2"/>
        <v>-69.79050604</v>
      </c>
      <c r="F318" s="17">
        <f t="shared" si="16"/>
        <v>0.0002140242185</v>
      </c>
      <c r="G318" s="17">
        <f t="shared" si="4"/>
        <v>0</v>
      </c>
      <c r="H318" s="16">
        <f t="shared" si="5"/>
        <v>0</v>
      </c>
      <c r="I318" s="17">
        <f t="shared" si="6"/>
        <v>0</v>
      </c>
      <c r="J318" s="17">
        <f t="shared" si="7"/>
        <v>0</v>
      </c>
      <c r="K318" s="17"/>
      <c r="L318" s="17">
        <f t="shared" si="8"/>
        <v>455.5124666</v>
      </c>
      <c r="M318" s="2">
        <f t="shared" si="9"/>
        <v>452.5072521</v>
      </c>
      <c r="N318" s="9">
        <f t="shared" si="10"/>
        <v>3.005214525</v>
      </c>
      <c r="O318" s="17"/>
      <c r="P318" s="17"/>
      <c r="Q318" s="17"/>
      <c r="R318" s="16"/>
      <c r="S318" s="14">
        <f t="shared" si="13"/>
        <v>2.759676877</v>
      </c>
      <c r="U318" s="21"/>
      <c r="V318" s="21"/>
      <c r="W318" s="21"/>
      <c r="X318" s="21"/>
      <c r="Y318" s="21"/>
      <c r="Z318" s="21"/>
    </row>
    <row r="319">
      <c r="A319" s="15">
        <v>307.0</v>
      </c>
      <c r="B319" s="15">
        <v>1.4207304347826E9</v>
      </c>
      <c r="C319" s="16">
        <v>-102.1992264</v>
      </c>
      <c r="D319" s="17">
        <f t="shared" si="1"/>
        <v>330434.7826</v>
      </c>
      <c r="E319" s="18">
        <f t="shared" si="2"/>
        <v>-70.70880217</v>
      </c>
      <c r="F319" s="17">
        <f t="shared" si="16"/>
        <v>0.0002139871645</v>
      </c>
      <c r="G319" s="17">
        <f t="shared" si="4"/>
        <v>0</v>
      </c>
      <c r="H319" s="16">
        <f t="shared" si="5"/>
        <v>0</v>
      </c>
      <c r="I319" s="17">
        <f t="shared" si="6"/>
        <v>0</v>
      </c>
      <c r="J319" s="17">
        <f t="shared" si="7"/>
        <v>0</v>
      </c>
      <c r="K319" s="17"/>
      <c r="L319" s="17">
        <f t="shared" si="8"/>
        <v>458.3355326</v>
      </c>
      <c r="M319" s="2">
        <f t="shared" si="9"/>
        <v>452.4011641</v>
      </c>
      <c r="N319" s="9">
        <f t="shared" si="10"/>
        <v>5.934368524</v>
      </c>
      <c r="O319" s="17"/>
      <c r="P319" s="17"/>
      <c r="Q319" s="17"/>
      <c r="R319" s="16"/>
      <c r="S319" s="14">
        <f t="shared" si="13"/>
        <v>5.449507666</v>
      </c>
      <c r="U319" s="21"/>
      <c r="V319" s="21"/>
      <c r="W319" s="21"/>
      <c r="X319" s="21"/>
      <c r="Y319" s="21"/>
      <c r="Z319" s="21"/>
    </row>
    <row r="320">
      <c r="A320" s="15">
        <v>308.0</v>
      </c>
      <c r="B320" s="15">
        <v>1.42073478260869E9</v>
      </c>
      <c r="C320" s="16">
        <v>-102.2396851</v>
      </c>
      <c r="D320" s="17">
        <f t="shared" si="1"/>
        <v>334782.6087</v>
      </c>
      <c r="E320" s="18">
        <f t="shared" si="2"/>
        <v>-71.62709831</v>
      </c>
      <c r="F320" s="17">
        <f t="shared" si="16"/>
        <v>0.0002139510729</v>
      </c>
      <c r="G320" s="17">
        <f t="shared" si="4"/>
        <v>0</v>
      </c>
      <c r="H320" s="16">
        <f t="shared" si="5"/>
        <v>0</v>
      </c>
      <c r="I320" s="17">
        <f t="shared" si="6"/>
        <v>0</v>
      </c>
      <c r="J320" s="17">
        <f t="shared" si="7"/>
        <v>0</v>
      </c>
      <c r="K320" s="17"/>
      <c r="L320" s="17">
        <f t="shared" si="8"/>
        <v>454.0855243</v>
      </c>
      <c r="M320" s="2">
        <f t="shared" si="9"/>
        <v>452.2945947</v>
      </c>
      <c r="N320" s="9">
        <f t="shared" si="10"/>
        <v>1.790929656</v>
      </c>
      <c r="O320" s="17"/>
      <c r="P320" s="17"/>
      <c r="Q320" s="17"/>
      <c r="R320" s="16"/>
      <c r="S320" s="14">
        <f t="shared" si="13"/>
        <v>1.644603777</v>
      </c>
      <c r="U320" s="21"/>
      <c r="V320" s="21"/>
      <c r="W320" s="21"/>
      <c r="X320" s="21"/>
      <c r="Y320" s="21"/>
      <c r="Z320" s="21"/>
    </row>
    <row r="321">
      <c r="A321" s="15">
        <v>309.0</v>
      </c>
      <c r="B321" s="15">
        <v>1.42073913043478E9</v>
      </c>
      <c r="C321" s="16">
        <v>-102.2488098</v>
      </c>
      <c r="D321" s="17">
        <f t="shared" si="1"/>
        <v>339130.4348</v>
      </c>
      <c r="E321" s="18">
        <f t="shared" si="2"/>
        <v>-72.54539444</v>
      </c>
      <c r="F321" s="17">
        <f t="shared" si="16"/>
        <v>0.0002139159067</v>
      </c>
      <c r="G321" s="17">
        <f t="shared" si="4"/>
        <v>0</v>
      </c>
      <c r="H321" s="16">
        <f t="shared" si="5"/>
        <v>0</v>
      </c>
      <c r="I321" s="17">
        <f t="shared" si="6"/>
        <v>0</v>
      </c>
      <c r="J321" s="17">
        <f t="shared" si="7"/>
        <v>0</v>
      </c>
      <c r="K321" s="17"/>
      <c r="L321" s="17">
        <f t="shared" si="8"/>
        <v>453.1324741</v>
      </c>
      <c r="M321" s="2">
        <f t="shared" si="9"/>
        <v>452.1875407</v>
      </c>
      <c r="N321" s="9">
        <f t="shared" si="10"/>
        <v>0.9449334006</v>
      </c>
      <c r="O321" s="17"/>
      <c r="P321" s="17"/>
      <c r="Q321" s="17"/>
      <c r="R321" s="16"/>
      <c r="S321" s="14">
        <f t="shared" si="13"/>
        <v>0.8677286855</v>
      </c>
      <c r="U321" s="21"/>
      <c r="V321" s="21"/>
      <c r="W321" s="21"/>
      <c r="X321" s="21"/>
      <c r="Y321" s="21"/>
      <c r="Z321" s="21"/>
    </row>
    <row r="322">
      <c r="A322" s="15">
        <v>310.0</v>
      </c>
      <c r="B322" s="15">
        <v>1.42074347826087E9</v>
      </c>
      <c r="C322" s="16">
        <v>-102.2658463</v>
      </c>
      <c r="D322" s="17">
        <f t="shared" si="1"/>
        <v>343478.2609</v>
      </c>
      <c r="E322" s="18">
        <f t="shared" si="2"/>
        <v>-73.46369057</v>
      </c>
      <c r="F322" s="17">
        <f t="shared" si="16"/>
        <v>0.0002138816308</v>
      </c>
      <c r="G322" s="17">
        <f t="shared" si="4"/>
        <v>0</v>
      </c>
      <c r="H322" s="16">
        <f t="shared" si="5"/>
        <v>0</v>
      </c>
      <c r="I322" s="17">
        <f t="shared" si="6"/>
        <v>0</v>
      </c>
      <c r="J322" s="17">
        <f t="shared" si="7"/>
        <v>0</v>
      </c>
      <c r="K322" s="17"/>
      <c r="L322" s="17">
        <f t="shared" si="8"/>
        <v>451.3584084</v>
      </c>
      <c r="M322" s="2">
        <f t="shared" si="9"/>
        <v>452.0799991</v>
      </c>
      <c r="N322" s="9">
        <f t="shared" si="10"/>
        <v>-0.7215906726</v>
      </c>
      <c r="O322" s="17"/>
      <c r="P322" s="17"/>
      <c r="Q322" s="17"/>
      <c r="R322" s="16"/>
      <c r="S322" s="14">
        <f t="shared" si="13"/>
        <v>-0.662633924</v>
      </c>
      <c r="U322" s="21"/>
      <c r="V322" s="21"/>
      <c r="W322" s="21"/>
      <c r="X322" s="21"/>
      <c r="Y322" s="21"/>
      <c r="Z322" s="21"/>
    </row>
    <row r="323">
      <c r="A323" s="15">
        <v>311.0</v>
      </c>
      <c r="B323" s="15">
        <v>1.42074782608695E9</v>
      </c>
      <c r="C323" s="16">
        <v>-102.2786255</v>
      </c>
      <c r="D323" s="17">
        <f t="shared" si="1"/>
        <v>347826.087</v>
      </c>
      <c r="E323" s="18">
        <f t="shared" si="2"/>
        <v>-74.3819867</v>
      </c>
      <c r="F323" s="17">
        <f t="shared" si="16"/>
        <v>0.0002138482118</v>
      </c>
      <c r="G323" s="17">
        <f t="shared" si="4"/>
        <v>0</v>
      </c>
      <c r="H323" s="16">
        <f t="shared" si="5"/>
        <v>0</v>
      </c>
      <c r="I323" s="17">
        <f t="shared" si="6"/>
        <v>0</v>
      </c>
      <c r="J323" s="17">
        <f t="shared" si="7"/>
        <v>0</v>
      </c>
      <c r="K323" s="17"/>
      <c r="L323" s="17">
        <f t="shared" si="8"/>
        <v>450.0322296</v>
      </c>
      <c r="M323" s="2">
        <f t="shared" si="9"/>
        <v>451.9719666</v>
      </c>
      <c r="N323" s="9">
        <f t="shared" si="10"/>
        <v>-1.939737007</v>
      </c>
      <c r="O323" s="17"/>
      <c r="P323" s="17"/>
      <c r="Q323" s="17"/>
      <c r="R323" s="16"/>
      <c r="S323" s="14">
        <f t="shared" si="13"/>
        <v>-1.781252993</v>
      </c>
      <c r="U323" s="21"/>
      <c r="V323" s="21"/>
      <c r="W323" s="21"/>
      <c r="X323" s="21"/>
      <c r="Y323" s="21"/>
      <c r="Z323" s="21"/>
    </row>
    <row r="324">
      <c r="A324" s="15">
        <v>312.0</v>
      </c>
      <c r="B324" s="15">
        <v>1.42075217391304E9</v>
      </c>
      <c r="C324" s="16">
        <v>-102.2605896</v>
      </c>
      <c r="D324" s="17">
        <f t="shared" si="1"/>
        <v>352173.913</v>
      </c>
      <c r="E324" s="18">
        <f t="shared" si="2"/>
        <v>-75.30028284</v>
      </c>
      <c r="F324" s="17">
        <f t="shared" si="16"/>
        <v>0.0002138156179</v>
      </c>
      <c r="G324" s="17">
        <f t="shared" si="4"/>
        <v>0</v>
      </c>
      <c r="H324" s="16">
        <f t="shared" si="5"/>
        <v>0</v>
      </c>
      <c r="I324" s="17">
        <f t="shared" si="6"/>
        <v>0</v>
      </c>
      <c r="J324" s="17">
        <f t="shared" si="7"/>
        <v>0</v>
      </c>
      <c r="K324" s="17"/>
      <c r="L324" s="17">
        <f t="shared" si="8"/>
        <v>451.9050633</v>
      </c>
      <c r="M324" s="2">
        <f t="shared" si="9"/>
        <v>451.8634401</v>
      </c>
      <c r="N324" s="9">
        <f t="shared" si="10"/>
        <v>0.04162322502</v>
      </c>
      <c r="O324" s="17"/>
      <c r="P324" s="17"/>
      <c r="Q324" s="17"/>
      <c r="R324" s="16"/>
      <c r="S324" s="14">
        <f t="shared" si="13"/>
        <v>0.03822244648</v>
      </c>
      <c r="U324" s="21"/>
      <c r="V324" s="21"/>
      <c r="W324" s="21"/>
      <c r="X324" s="21"/>
      <c r="Y324" s="21"/>
      <c r="Z324" s="21"/>
    </row>
    <row r="325">
      <c r="A325" s="15">
        <v>313.0</v>
      </c>
      <c r="B325" s="15">
        <v>1.42075652173913E9</v>
      </c>
      <c r="C325" s="16">
        <v>-102.3163147</v>
      </c>
      <c r="D325" s="17">
        <f t="shared" si="1"/>
        <v>356521.7391</v>
      </c>
      <c r="E325" s="18">
        <f t="shared" si="2"/>
        <v>-76.21857897</v>
      </c>
      <c r="F325" s="17">
        <f t="shared" si="16"/>
        <v>0.0002137838191</v>
      </c>
      <c r="G325" s="17">
        <f t="shared" si="4"/>
        <v>0</v>
      </c>
      <c r="H325" s="16">
        <f t="shared" si="5"/>
        <v>0</v>
      </c>
      <c r="I325" s="17">
        <f t="shared" si="6"/>
        <v>0</v>
      </c>
      <c r="J325" s="17">
        <f t="shared" si="7"/>
        <v>0</v>
      </c>
      <c r="K325" s="17"/>
      <c r="L325" s="17">
        <f t="shared" si="8"/>
        <v>446.1436309</v>
      </c>
      <c r="M325" s="2">
        <f t="shared" si="9"/>
        <v>451.7544165</v>
      </c>
      <c r="N325" s="9">
        <f t="shared" si="10"/>
        <v>-5.610785688</v>
      </c>
      <c r="O325" s="17"/>
      <c r="P325" s="17"/>
      <c r="Q325" s="17"/>
      <c r="R325" s="16"/>
      <c r="S325" s="14">
        <f t="shared" si="13"/>
        <v>-5.152362799</v>
      </c>
      <c r="U325" s="21"/>
      <c r="V325" s="21"/>
      <c r="W325" s="21"/>
      <c r="X325" s="21"/>
      <c r="Y325" s="21"/>
      <c r="Z325" s="21"/>
    </row>
    <row r="326">
      <c r="A326" s="15">
        <v>314.0</v>
      </c>
      <c r="B326" s="15">
        <v>1.42076086956521E9</v>
      </c>
      <c r="C326" s="16">
        <v>-102.2674484</v>
      </c>
      <c r="D326" s="17">
        <f t="shared" si="1"/>
        <v>360869.5652</v>
      </c>
      <c r="E326" s="18">
        <f t="shared" si="2"/>
        <v>-77.1368751</v>
      </c>
      <c r="F326" s="17">
        <f t="shared" si="16"/>
        <v>0.0002137527864</v>
      </c>
      <c r="G326" s="17">
        <f t="shared" si="4"/>
        <v>0</v>
      </c>
      <c r="H326" s="16">
        <f t="shared" si="5"/>
        <v>0</v>
      </c>
      <c r="I326" s="17">
        <f t="shared" si="6"/>
        <v>0</v>
      </c>
      <c r="J326" s="17">
        <f t="shared" si="7"/>
        <v>0</v>
      </c>
      <c r="K326" s="17"/>
      <c r="L326" s="17">
        <f t="shared" si="8"/>
        <v>451.1919343</v>
      </c>
      <c r="M326" s="2">
        <f t="shared" si="9"/>
        <v>451.6448927</v>
      </c>
      <c r="N326" s="9">
        <f t="shared" si="10"/>
        <v>-0.4529584604</v>
      </c>
      <c r="O326" s="17"/>
      <c r="P326" s="17"/>
      <c r="Q326" s="17"/>
      <c r="R326" s="16"/>
      <c r="S326" s="14">
        <f t="shared" si="13"/>
        <v>-0.4159500025</v>
      </c>
      <c r="U326" s="21"/>
      <c r="V326" s="21"/>
      <c r="W326" s="21"/>
      <c r="X326" s="21"/>
      <c r="Y326" s="21"/>
      <c r="Z326" s="21"/>
    </row>
    <row r="327">
      <c r="A327" s="15">
        <v>315.0</v>
      </c>
      <c r="B327" s="15">
        <v>1.4207652173913E9</v>
      </c>
      <c r="C327" s="16">
        <v>-102.2674561</v>
      </c>
      <c r="D327" s="17">
        <f t="shared" si="1"/>
        <v>365217.3913</v>
      </c>
      <c r="E327" s="18">
        <f t="shared" si="2"/>
        <v>-78.05517123</v>
      </c>
      <c r="F327" s="17">
        <f t="shared" si="16"/>
        <v>0.0002137224927</v>
      </c>
      <c r="G327" s="17">
        <f t="shared" si="4"/>
        <v>0</v>
      </c>
      <c r="H327" s="16">
        <f t="shared" si="5"/>
        <v>0</v>
      </c>
      <c r="I327" s="17">
        <f t="shared" si="6"/>
        <v>0</v>
      </c>
      <c r="J327" s="17">
        <f t="shared" si="7"/>
        <v>0</v>
      </c>
      <c r="K327" s="17"/>
      <c r="L327" s="17">
        <f t="shared" si="8"/>
        <v>451.1911343</v>
      </c>
      <c r="M327" s="2">
        <f t="shared" si="9"/>
        <v>451.5348655</v>
      </c>
      <c r="N327" s="9">
        <f t="shared" si="10"/>
        <v>-0.3437312206</v>
      </c>
      <c r="O327" s="17"/>
      <c r="P327" s="17"/>
      <c r="Q327" s="17"/>
      <c r="R327" s="16"/>
      <c r="S327" s="14">
        <f t="shared" si="13"/>
        <v>-0.3156470498</v>
      </c>
      <c r="U327" s="21"/>
      <c r="V327" s="21"/>
      <c r="W327" s="21"/>
      <c r="X327" s="21"/>
      <c r="Y327" s="21"/>
      <c r="Z327" s="21"/>
    </row>
    <row r="328">
      <c r="A328" s="15">
        <v>316.0</v>
      </c>
      <c r="B328" s="15">
        <v>1.42076956521739E9</v>
      </c>
      <c r="C328" s="16">
        <v>-102.2754135</v>
      </c>
      <c r="D328" s="17">
        <f t="shared" si="1"/>
        <v>369565.2174</v>
      </c>
      <c r="E328" s="18">
        <f t="shared" si="2"/>
        <v>-78.97346736</v>
      </c>
      <c r="F328" s="17">
        <f t="shared" si="16"/>
        <v>0.0002136929117</v>
      </c>
      <c r="G328" s="17">
        <f t="shared" si="4"/>
        <v>0</v>
      </c>
      <c r="H328" s="16">
        <f t="shared" si="5"/>
        <v>0</v>
      </c>
      <c r="I328" s="17">
        <f t="shared" si="6"/>
        <v>0</v>
      </c>
      <c r="J328" s="17">
        <f t="shared" si="7"/>
        <v>0</v>
      </c>
      <c r="K328" s="17"/>
      <c r="L328" s="17">
        <f t="shared" si="8"/>
        <v>450.3651922</v>
      </c>
      <c r="M328" s="2">
        <f t="shared" si="9"/>
        <v>451.4243318</v>
      </c>
      <c r="N328" s="9">
        <f t="shared" si="10"/>
        <v>-1.059139646</v>
      </c>
      <c r="O328" s="17"/>
      <c r="P328" s="17"/>
      <c r="Q328" s="17"/>
      <c r="R328" s="16"/>
      <c r="S328" s="14">
        <f t="shared" si="13"/>
        <v>-0.9726038407</v>
      </c>
      <c r="U328" s="21"/>
      <c r="V328" s="21"/>
      <c r="W328" s="21"/>
      <c r="X328" s="21"/>
      <c r="Y328" s="21"/>
      <c r="Z328" s="21"/>
    </row>
    <row r="329">
      <c r="A329" s="15">
        <v>317.0</v>
      </c>
      <c r="B329" s="15">
        <v>1.42077391304347E9</v>
      </c>
      <c r="C329" s="16">
        <v>-102.285202</v>
      </c>
      <c r="D329" s="17">
        <f t="shared" si="1"/>
        <v>373913.0435</v>
      </c>
      <c r="E329" s="18">
        <f t="shared" si="2"/>
        <v>-79.89176349</v>
      </c>
      <c r="F329" s="17">
        <f t="shared" si="16"/>
        <v>0.0002136640187</v>
      </c>
      <c r="G329" s="17">
        <f t="shared" si="4"/>
        <v>0</v>
      </c>
      <c r="H329" s="16">
        <f t="shared" si="5"/>
        <v>0</v>
      </c>
      <c r="I329" s="17">
        <f t="shared" si="6"/>
        <v>0</v>
      </c>
      <c r="J329" s="17">
        <f t="shared" si="7"/>
        <v>0</v>
      </c>
      <c r="K329" s="17"/>
      <c r="L329" s="17">
        <f t="shared" si="8"/>
        <v>449.3512637</v>
      </c>
      <c r="M329" s="2">
        <f t="shared" si="9"/>
        <v>451.3132884</v>
      </c>
      <c r="N329" s="9">
        <f t="shared" si="10"/>
        <v>-1.96202474</v>
      </c>
      <c r="O329" s="17"/>
      <c r="P329" s="17"/>
      <c r="Q329" s="17"/>
      <c r="R329" s="16"/>
      <c r="S329" s="14">
        <f t="shared" si="13"/>
        <v>-1.801719731</v>
      </c>
      <c r="U329" s="21"/>
      <c r="V329" s="21"/>
      <c r="W329" s="21"/>
      <c r="X329" s="21"/>
      <c r="Y329" s="21"/>
      <c r="Z329" s="21"/>
    </row>
    <row r="330">
      <c r="A330" s="15">
        <v>318.0</v>
      </c>
      <c r="B330" s="15">
        <v>1.42077826086956E9</v>
      </c>
      <c r="C330" s="16">
        <v>-102.2050934</v>
      </c>
      <c r="D330" s="17">
        <f t="shared" si="1"/>
        <v>378260.8696</v>
      </c>
      <c r="E330" s="18">
        <f t="shared" si="2"/>
        <v>-80.81005963</v>
      </c>
      <c r="F330" s="17">
        <f t="shared" si="16"/>
        <v>0.0002136357898</v>
      </c>
      <c r="G330" s="17">
        <f t="shared" si="4"/>
        <v>0</v>
      </c>
      <c r="H330" s="16">
        <f t="shared" si="5"/>
        <v>0</v>
      </c>
      <c r="I330" s="17">
        <f t="shared" si="6"/>
        <v>0</v>
      </c>
      <c r="J330" s="17">
        <f t="shared" si="7"/>
        <v>0</v>
      </c>
      <c r="K330" s="17"/>
      <c r="L330" s="17">
        <f t="shared" si="8"/>
        <v>457.716773</v>
      </c>
      <c r="M330" s="2">
        <f t="shared" si="9"/>
        <v>451.2017323</v>
      </c>
      <c r="N330" s="9">
        <f t="shared" si="10"/>
        <v>6.515040705</v>
      </c>
      <c r="O330" s="17"/>
      <c r="P330" s="17"/>
      <c r="Q330" s="17"/>
      <c r="R330" s="16"/>
      <c r="S330" s="14">
        <f t="shared" si="13"/>
        <v>5.98273667</v>
      </c>
      <c r="U330" s="21"/>
      <c r="V330" s="21"/>
      <c r="W330" s="21"/>
      <c r="X330" s="21"/>
      <c r="Y330" s="21"/>
      <c r="Z330" s="21"/>
    </row>
    <row r="331">
      <c r="A331" s="15">
        <v>319.0</v>
      </c>
      <c r="B331" s="15">
        <v>1.42078260869565E9</v>
      </c>
      <c r="C331" s="16">
        <v>-102.2624817</v>
      </c>
      <c r="D331" s="17">
        <f t="shared" si="1"/>
        <v>382608.6957</v>
      </c>
      <c r="E331" s="18">
        <f t="shared" si="2"/>
        <v>-81.72835576</v>
      </c>
      <c r="F331" s="17">
        <f t="shared" si="16"/>
        <v>0.0002136082026</v>
      </c>
      <c r="G331" s="17">
        <f t="shared" si="4"/>
        <v>0</v>
      </c>
      <c r="H331" s="16">
        <f t="shared" si="5"/>
        <v>0</v>
      </c>
      <c r="I331" s="17">
        <f t="shared" si="6"/>
        <v>0</v>
      </c>
      <c r="J331" s="17">
        <f t="shared" si="7"/>
        <v>0</v>
      </c>
      <c r="K331" s="17"/>
      <c r="L331" s="17">
        <f t="shared" si="8"/>
        <v>451.7082238</v>
      </c>
      <c r="M331" s="2">
        <f t="shared" si="9"/>
        <v>451.0896602</v>
      </c>
      <c r="N331" s="9">
        <f t="shared" si="10"/>
        <v>0.6185636234</v>
      </c>
      <c r="O331" s="17"/>
      <c r="P331" s="17"/>
      <c r="Q331" s="17"/>
      <c r="R331" s="16"/>
      <c r="S331" s="14">
        <f t="shared" si="13"/>
        <v>0.5680245833</v>
      </c>
      <c r="U331" s="21"/>
      <c r="V331" s="21"/>
      <c r="W331" s="21"/>
      <c r="X331" s="21"/>
      <c r="Y331" s="21"/>
      <c r="Z331" s="21"/>
    </row>
    <row r="332">
      <c r="A332" s="15">
        <v>320.0</v>
      </c>
      <c r="B332" s="15">
        <v>1.42078695652173E9</v>
      </c>
      <c r="C332" s="16">
        <v>-102.2817841</v>
      </c>
      <c r="D332" s="17">
        <f t="shared" si="1"/>
        <v>386956.5217</v>
      </c>
      <c r="E332" s="18">
        <f t="shared" si="2"/>
        <v>-82.64665189</v>
      </c>
      <c r="F332" s="17">
        <f t="shared" si="16"/>
        <v>0.0002135812352</v>
      </c>
      <c r="G332" s="17">
        <f t="shared" si="4"/>
        <v>0</v>
      </c>
      <c r="H332" s="16">
        <f t="shared" si="5"/>
        <v>0</v>
      </c>
      <c r="I332" s="17">
        <f t="shared" si="6"/>
        <v>0</v>
      </c>
      <c r="J332" s="17">
        <f t="shared" si="7"/>
        <v>0</v>
      </c>
      <c r="K332" s="17"/>
      <c r="L332" s="17">
        <f t="shared" si="8"/>
        <v>449.7050426</v>
      </c>
      <c r="M332" s="2">
        <f t="shared" si="9"/>
        <v>450.977069</v>
      </c>
      <c r="N332" s="9">
        <f t="shared" si="10"/>
        <v>-1.272026395</v>
      </c>
      <c r="O332" s="17"/>
      <c r="P332" s="17"/>
      <c r="Q332" s="17"/>
      <c r="R332" s="16"/>
      <c r="S332" s="14">
        <f t="shared" si="13"/>
        <v>-1.16809692</v>
      </c>
      <c r="U332" s="21"/>
      <c r="V332" s="21"/>
      <c r="W332" s="21"/>
      <c r="X332" s="21"/>
      <c r="Y332" s="21"/>
      <c r="Z332" s="21"/>
    </row>
    <row r="333">
      <c r="A333" s="15">
        <v>321.0</v>
      </c>
      <c r="B333" s="15">
        <v>1.42079130434782E9</v>
      </c>
      <c r="C333" s="16">
        <v>-102.2744827</v>
      </c>
      <c r="D333" s="17">
        <f t="shared" si="1"/>
        <v>391304.3478</v>
      </c>
      <c r="E333" s="18">
        <f t="shared" si="2"/>
        <v>-83.56494802</v>
      </c>
      <c r="F333" s="17">
        <f t="shared" si="16"/>
        <v>0.0002135548672</v>
      </c>
      <c r="G333" s="17">
        <f t="shared" si="4"/>
        <v>0</v>
      </c>
      <c r="H333" s="16">
        <f t="shared" si="5"/>
        <v>0</v>
      </c>
      <c r="I333" s="17">
        <f t="shared" si="6"/>
        <v>0</v>
      </c>
      <c r="J333" s="17">
        <f t="shared" si="7"/>
        <v>0</v>
      </c>
      <c r="K333" s="17"/>
      <c r="L333" s="17">
        <f t="shared" si="8"/>
        <v>450.4617269</v>
      </c>
      <c r="M333" s="2">
        <f t="shared" si="9"/>
        <v>450.8639556</v>
      </c>
      <c r="N333" s="9">
        <f t="shared" si="10"/>
        <v>-0.4022287353</v>
      </c>
      <c r="O333" s="17"/>
      <c r="P333" s="17"/>
      <c r="Q333" s="17"/>
      <c r="R333" s="16"/>
      <c r="S333" s="14">
        <f t="shared" si="13"/>
        <v>-0.3693650922</v>
      </c>
      <c r="U333" s="21"/>
      <c r="V333" s="21"/>
      <c r="W333" s="21"/>
      <c r="X333" s="21"/>
      <c r="Y333" s="21"/>
      <c r="Z333" s="21"/>
    </row>
    <row r="334">
      <c r="A334" s="15">
        <v>322.0</v>
      </c>
      <c r="B334" s="15">
        <v>1.42079565217391E9</v>
      </c>
      <c r="C334" s="16">
        <v>-102.2665024</v>
      </c>
      <c r="D334" s="17">
        <f t="shared" si="1"/>
        <v>395652.1739</v>
      </c>
      <c r="E334" s="18">
        <f t="shared" si="2"/>
        <v>-84.48324416</v>
      </c>
      <c r="F334" s="17">
        <f t="shared" si="16"/>
        <v>0.0002135290786</v>
      </c>
      <c r="G334" s="17">
        <f t="shared" si="4"/>
        <v>0</v>
      </c>
      <c r="H334" s="16">
        <f t="shared" si="5"/>
        <v>0</v>
      </c>
      <c r="I334" s="17">
        <f t="shared" si="6"/>
        <v>0</v>
      </c>
      <c r="J334" s="17">
        <f t="shared" si="7"/>
        <v>0</v>
      </c>
      <c r="K334" s="17"/>
      <c r="L334" s="17">
        <f t="shared" si="8"/>
        <v>451.2902257</v>
      </c>
      <c r="M334" s="2">
        <f t="shared" si="9"/>
        <v>450.7503169</v>
      </c>
      <c r="N334" s="9">
        <f t="shared" si="10"/>
        <v>0.5399087891</v>
      </c>
      <c r="O334" s="17"/>
      <c r="P334" s="17"/>
      <c r="Q334" s="17"/>
      <c r="R334" s="16"/>
      <c r="S334" s="14">
        <f t="shared" si="13"/>
        <v>0.4957961519</v>
      </c>
      <c r="U334" s="21"/>
      <c r="V334" s="21"/>
      <c r="W334" s="21"/>
      <c r="X334" s="21"/>
      <c r="Y334" s="21"/>
      <c r="Z334" s="21"/>
    </row>
    <row r="335">
      <c r="A335" s="15">
        <v>323.0</v>
      </c>
      <c r="B335" s="15">
        <v>1.4208E9</v>
      </c>
      <c r="C335" s="16">
        <v>-102.2541122</v>
      </c>
      <c r="D335" s="17">
        <f t="shared" si="1"/>
        <v>400000</v>
      </c>
      <c r="E335" s="18">
        <f t="shared" si="2"/>
        <v>-85.40154029</v>
      </c>
      <c r="F335" s="17">
        <f t="shared" si="16"/>
        <v>0.0002135038507</v>
      </c>
      <c r="G335" s="17">
        <f t="shared" si="4"/>
        <v>0</v>
      </c>
      <c r="H335" s="16">
        <f t="shared" si="5"/>
        <v>0</v>
      </c>
      <c r="I335" s="17">
        <f t="shared" si="6"/>
        <v>0</v>
      </c>
      <c r="J335" s="17">
        <f t="shared" si="7"/>
        <v>0</v>
      </c>
      <c r="K335" s="17"/>
      <c r="L335" s="17">
        <f t="shared" si="8"/>
        <v>452.579572</v>
      </c>
      <c r="M335" s="2">
        <f t="shared" si="9"/>
        <v>450.6361496</v>
      </c>
      <c r="N335" s="9">
        <f t="shared" si="10"/>
        <v>1.943422339</v>
      </c>
      <c r="O335" s="17"/>
      <c r="P335" s="17"/>
      <c r="Q335" s="17"/>
      <c r="R335" s="16"/>
      <c r="S335" s="14">
        <f t="shared" si="13"/>
        <v>1.784637218</v>
      </c>
      <c r="U335" s="21"/>
      <c r="V335" s="21"/>
      <c r="W335" s="21"/>
      <c r="X335" s="21"/>
      <c r="Y335" s="21"/>
      <c r="Z335" s="21"/>
    </row>
    <row r="336">
      <c r="A336" s="15">
        <v>324.0</v>
      </c>
      <c r="B336" s="15">
        <v>1.42080434782608E9</v>
      </c>
      <c r="C336" s="16">
        <v>-102.2524643</v>
      </c>
      <c r="D336" s="17">
        <f t="shared" si="1"/>
        <v>404347.8261</v>
      </c>
      <c r="E336" s="18">
        <f t="shared" si="2"/>
        <v>-86.31983642</v>
      </c>
      <c r="F336" s="17">
        <f t="shared" si="16"/>
        <v>0.0002134791653</v>
      </c>
      <c r="G336" s="17">
        <f t="shared" si="4"/>
        <v>0</v>
      </c>
      <c r="H336" s="16">
        <f t="shared" si="5"/>
        <v>0</v>
      </c>
      <c r="I336" s="17">
        <f t="shared" si="6"/>
        <v>0</v>
      </c>
      <c r="J336" s="17">
        <f t="shared" si="7"/>
        <v>0</v>
      </c>
      <c r="K336" s="17"/>
      <c r="L336" s="17">
        <f t="shared" si="8"/>
        <v>452.7513327</v>
      </c>
      <c r="M336" s="2">
        <f t="shared" si="9"/>
        <v>450.5214508</v>
      </c>
      <c r="N336" s="9">
        <f t="shared" si="10"/>
        <v>2.229881909</v>
      </c>
      <c r="O336" s="17"/>
      <c r="P336" s="17"/>
      <c r="Q336" s="17"/>
      <c r="R336" s="16"/>
      <c r="S336" s="14">
        <f t="shared" si="13"/>
        <v>2.047691934</v>
      </c>
      <c r="U336" s="21"/>
      <c r="V336" s="21"/>
      <c r="W336" s="21"/>
      <c r="X336" s="21"/>
      <c r="Y336" s="21"/>
      <c r="Z336" s="21"/>
    </row>
    <row r="337">
      <c r="A337" s="15">
        <v>325.0</v>
      </c>
      <c r="B337" s="15">
        <v>1.42080869565217E9</v>
      </c>
      <c r="C337" s="16">
        <v>-102.3321152</v>
      </c>
      <c r="D337" s="17">
        <f t="shared" si="1"/>
        <v>408695.6522</v>
      </c>
      <c r="E337" s="18">
        <f t="shared" si="2"/>
        <v>-87.23813255</v>
      </c>
      <c r="F337" s="17">
        <f t="shared" si="16"/>
        <v>0.0002134550052</v>
      </c>
      <c r="G337" s="17">
        <f t="shared" si="4"/>
        <v>0</v>
      </c>
      <c r="H337" s="16">
        <f t="shared" si="5"/>
        <v>0</v>
      </c>
      <c r="I337" s="17">
        <f t="shared" si="6"/>
        <v>0</v>
      </c>
      <c r="J337" s="17">
        <f t="shared" si="7"/>
        <v>0</v>
      </c>
      <c r="K337" s="17"/>
      <c r="L337" s="17">
        <f t="shared" si="8"/>
        <v>444.5234204</v>
      </c>
      <c r="M337" s="2">
        <f t="shared" si="9"/>
        <v>450.4062172</v>
      </c>
      <c r="N337" s="9">
        <f t="shared" si="10"/>
        <v>-5.882796819</v>
      </c>
      <c r="O337" s="17"/>
      <c r="P337" s="17"/>
      <c r="Q337" s="17"/>
      <c r="R337" s="16"/>
      <c r="S337" s="14">
        <f t="shared" si="13"/>
        <v>-5.402149556</v>
      </c>
      <c r="U337" s="21"/>
      <c r="V337" s="21"/>
      <c r="W337" s="21"/>
      <c r="X337" s="21"/>
      <c r="Y337" s="21"/>
      <c r="Z337" s="21"/>
    </row>
    <row r="338">
      <c r="A338" s="15">
        <v>326.0</v>
      </c>
      <c r="B338" s="15">
        <v>1.42081304347826E9</v>
      </c>
      <c r="C338" s="16">
        <v>-102.2837524</v>
      </c>
      <c r="D338" s="17">
        <f t="shared" si="1"/>
        <v>413043.4783</v>
      </c>
      <c r="E338" s="18">
        <f t="shared" si="2"/>
        <v>-88.15642868</v>
      </c>
      <c r="F338" s="17">
        <f t="shared" si="16"/>
        <v>0.0002134313537</v>
      </c>
      <c r="G338" s="17">
        <f t="shared" si="4"/>
        <v>0</v>
      </c>
      <c r="H338" s="16">
        <f t="shared" si="5"/>
        <v>0</v>
      </c>
      <c r="I338" s="17">
        <f t="shared" si="6"/>
        <v>0</v>
      </c>
      <c r="J338" s="17">
        <f t="shared" si="7"/>
        <v>0</v>
      </c>
      <c r="K338" s="17"/>
      <c r="L338" s="17">
        <f t="shared" si="8"/>
        <v>449.5012744</v>
      </c>
      <c r="M338" s="2">
        <f t="shared" si="9"/>
        <v>450.2904457</v>
      </c>
      <c r="N338" s="9">
        <f t="shared" si="10"/>
        <v>-0.7891713027</v>
      </c>
      <c r="O338" s="17"/>
      <c r="P338" s="17"/>
      <c r="Q338" s="17"/>
      <c r="R338" s="16"/>
      <c r="S338" s="14">
        <f t="shared" si="13"/>
        <v>-0.7246929554</v>
      </c>
      <c r="U338" s="21"/>
      <c r="V338" s="21"/>
      <c r="W338" s="21"/>
      <c r="X338" s="21"/>
      <c r="Y338" s="21"/>
      <c r="Z338" s="21"/>
    </row>
    <row r="339">
      <c r="A339" s="15">
        <v>327.0</v>
      </c>
      <c r="B339" s="15">
        <v>1.42081739130434E9</v>
      </c>
      <c r="C339" s="16">
        <v>-102.231041</v>
      </c>
      <c r="D339" s="17">
        <f t="shared" si="1"/>
        <v>417391.3043</v>
      </c>
      <c r="E339" s="18">
        <f t="shared" si="2"/>
        <v>-89.07472482</v>
      </c>
      <c r="F339" s="17">
        <f t="shared" si="16"/>
        <v>0.0002134081949</v>
      </c>
      <c r="G339" s="17">
        <f t="shared" si="4"/>
        <v>0</v>
      </c>
      <c r="H339" s="16">
        <f t="shared" si="5"/>
        <v>0</v>
      </c>
      <c r="I339" s="17">
        <f t="shared" si="6"/>
        <v>0</v>
      </c>
      <c r="J339" s="17">
        <f t="shared" si="7"/>
        <v>0</v>
      </c>
      <c r="K339" s="17"/>
      <c r="L339" s="17">
        <f t="shared" si="8"/>
        <v>454.990226</v>
      </c>
      <c r="M339" s="2">
        <f t="shared" si="9"/>
        <v>450.1741332</v>
      </c>
      <c r="N339" s="9">
        <f t="shared" si="10"/>
        <v>4.816092843</v>
      </c>
      <c r="O339" s="17"/>
      <c r="P339" s="17"/>
      <c r="Q339" s="17"/>
      <c r="R339" s="16"/>
      <c r="S339" s="14">
        <f t="shared" si="13"/>
        <v>4.422599433</v>
      </c>
      <c r="U339" s="21"/>
      <c r="V339" s="21"/>
      <c r="W339" s="21"/>
      <c r="X339" s="21"/>
      <c r="Y339" s="21"/>
      <c r="Z339" s="21"/>
    </row>
    <row r="340">
      <c r="A340" s="15">
        <v>328.0</v>
      </c>
      <c r="B340" s="15">
        <v>1.42082173913043E9</v>
      </c>
      <c r="C340" s="16">
        <v>-102.2294083</v>
      </c>
      <c r="D340" s="17">
        <f t="shared" si="1"/>
        <v>421739.1304</v>
      </c>
      <c r="E340" s="18">
        <f t="shared" si="2"/>
        <v>-89.99302095</v>
      </c>
      <c r="F340" s="17">
        <f t="shared" si="16"/>
        <v>0.0002133855136</v>
      </c>
      <c r="G340" s="17">
        <f t="shared" si="4"/>
        <v>0</v>
      </c>
      <c r="H340" s="16">
        <f t="shared" si="5"/>
        <v>0</v>
      </c>
      <c r="I340" s="17">
        <f t="shared" si="6"/>
        <v>0</v>
      </c>
      <c r="J340" s="17">
        <f t="shared" si="7"/>
        <v>0</v>
      </c>
      <c r="K340" s="17"/>
      <c r="L340" s="17">
        <f t="shared" si="8"/>
        <v>455.1613086</v>
      </c>
      <c r="M340" s="2">
        <f t="shared" si="9"/>
        <v>450.0572765</v>
      </c>
      <c r="N340" s="9">
        <f t="shared" si="10"/>
        <v>5.104032119</v>
      </c>
      <c r="O340" s="17"/>
      <c r="P340" s="17"/>
      <c r="Q340" s="17"/>
      <c r="R340" s="16"/>
      <c r="S340" s="14">
        <f t="shared" si="13"/>
        <v>4.687012945</v>
      </c>
      <c r="U340" s="21"/>
      <c r="V340" s="21"/>
      <c r="W340" s="21"/>
      <c r="X340" s="21"/>
      <c r="Y340" s="21"/>
      <c r="Z340" s="21"/>
    </row>
    <row r="341">
      <c r="A341" s="15">
        <v>329.0</v>
      </c>
      <c r="B341" s="15">
        <v>1.42082608695652E9</v>
      </c>
      <c r="C341" s="16">
        <v>-102.2220306</v>
      </c>
      <c r="D341" s="17">
        <f t="shared" si="1"/>
        <v>426086.9565</v>
      </c>
      <c r="E341" s="18">
        <f t="shared" si="2"/>
        <v>-90.91131708</v>
      </c>
      <c r="F341" s="17">
        <f t="shared" si="16"/>
        <v>0.0002133632952</v>
      </c>
      <c r="G341" s="17">
        <f t="shared" si="4"/>
        <v>0</v>
      </c>
      <c r="H341" s="16">
        <f t="shared" si="5"/>
        <v>0</v>
      </c>
      <c r="I341" s="17">
        <f t="shared" si="6"/>
        <v>0</v>
      </c>
      <c r="J341" s="17">
        <f t="shared" si="7"/>
        <v>0</v>
      </c>
      <c r="K341" s="17"/>
      <c r="L341" s="17">
        <f t="shared" si="8"/>
        <v>455.9351839</v>
      </c>
      <c r="M341" s="2">
        <f t="shared" si="9"/>
        <v>449.9398725</v>
      </c>
      <c r="N341" s="9">
        <f t="shared" si="10"/>
        <v>5.99531137</v>
      </c>
      <c r="O341" s="17"/>
      <c r="P341" s="17"/>
      <c r="Q341" s="17"/>
      <c r="R341" s="16"/>
      <c r="S341" s="14">
        <f t="shared" si="13"/>
        <v>5.505471246</v>
      </c>
      <c r="U341" s="21"/>
      <c r="V341" s="21"/>
      <c r="W341" s="21"/>
      <c r="X341" s="21"/>
      <c r="Y341" s="21"/>
      <c r="Z341" s="21"/>
    </row>
    <row r="342">
      <c r="A342" s="15">
        <v>330.0</v>
      </c>
      <c r="B342" s="15">
        <v>1.4208304347826E9</v>
      </c>
      <c r="C342" s="16">
        <v>-102.3011551</v>
      </c>
      <c r="D342" s="17">
        <f t="shared" si="1"/>
        <v>430434.7826</v>
      </c>
      <c r="E342" s="18">
        <f t="shared" si="2"/>
        <v>-91.82961321</v>
      </c>
      <c r="F342" s="17">
        <f t="shared" si="16"/>
        <v>0.0002133415256</v>
      </c>
      <c r="G342" s="17">
        <f t="shared" si="4"/>
        <v>0</v>
      </c>
      <c r="H342" s="16">
        <f t="shared" si="5"/>
        <v>0</v>
      </c>
      <c r="I342" s="17">
        <f t="shared" si="6"/>
        <v>0</v>
      </c>
      <c r="J342" s="17">
        <f t="shared" si="7"/>
        <v>0</v>
      </c>
      <c r="K342" s="17"/>
      <c r="L342" s="17">
        <f t="shared" si="8"/>
        <v>447.703673</v>
      </c>
      <c r="M342" s="2">
        <f t="shared" si="9"/>
        <v>449.821918</v>
      </c>
      <c r="N342" s="9">
        <f t="shared" si="10"/>
        <v>-2.118245051</v>
      </c>
      <c r="O342" s="17"/>
      <c r="P342" s="17"/>
      <c r="Q342" s="17"/>
      <c r="R342" s="16"/>
      <c r="S342" s="14">
        <f t="shared" si="13"/>
        <v>-1.945176239</v>
      </c>
      <c r="U342" s="21"/>
      <c r="V342" s="21"/>
      <c r="W342" s="21"/>
      <c r="X342" s="21"/>
      <c r="Y342" s="21"/>
      <c r="Z342" s="21"/>
    </row>
    <row r="343">
      <c r="A343" s="15">
        <v>331.0</v>
      </c>
      <c r="B343" s="15">
        <v>1.42083478260869E9</v>
      </c>
      <c r="C343" s="16">
        <v>-102.2770081</v>
      </c>
      <c r="D343" s="17">
        <f t="shared" si="1"/>
        <v>434782.6087</v>
      </c>
      <c r="E343" s="18">
        <f t="shared" si="2"/>
        <v>-92.74790935</v>
      </c>
      <c r="F343" s="17">
        <f t="shared" si="16"/>
        <v>0.0002133201915</v>
      </c>
      <c r="G343" s="17">
        <f t="shared" si="4"/>
        <v>0</v>
      </c>
      <c r="H343" s="16">
        <f t="shared" si="5"/>
        <v>0</v>
      </c>
      <c r="I343" s="17">
        <f t="shared" si="6"/>
        <v>0</v>
      </c>
      <c r="J343" s="17">
        <f t="shared" si="7"/>
        <v>0</v>
      </c>
      <c r="K343" s="17"/>
      <c r="L343" s="17">
        <f t="shared" si="8"/>
        <v>450.1998618</v>
      </c>
      <c r="M343" s="2">
        <f t="shared" si="9"/>
        <v>449.70341</v>
      </c>
      <c r="N343" s="9">
        <f t="shared" si="10"/>
        <v>0.4964518288</v>
      </c>
      <c r="O343" s="17"/>
      <c r="P343" s="17"/>
      <c r="Q343" s="17"/>
      <c r="R343" s="16"/>
      <c r="S343" s="14">
        <f t="shared" si="13"/>
        <v>0.4558897945</v>
      </c>
      <c r="U343" s="21"/>
      <c r="V343" s="21"/>
      <c r="W343" s="21"/>
      <c r="X343" s="21"/>
      <c r="Y343" s="21"/>
      <c r="Z343" s="21"/>
    </row>
    <row r="344">
      <c r="A344" s="15">
        <v>332.0</v>
      </c>
      <c r="B344" s="15">
        <v>1.42083913043478E9</v>
      </c>
      <c r="C344" s="16">
        <v>-102.2863541</v>
      </c>
      <c r="D344" s="17">
        <f t="shared" si="1"/>
        <v>439130.4348</v>
      </c>
      <c r="E344" s="18">
        <f t="shared" si="2"/>
        <v>-93.66620548</v>
      </c>
      <c r="F344" s="17">
        <f t="shared" si="16"/>
        <v>0.0002132992798</v>
      </c>
      <c r="G344" s="17">
        <f t="shared" si="4"/>
        <v>0</v>
      </c>
      <c r="H344" s="16">
        <f t="shared" si="5"/>
        <v>0</v>
      </c>
      <c r="I344" s="17">
        <f t="shared" si="6"/>
        <v>0</v>
      </c>
      <c r="J344" s="17">
        <f t="shared" si="7"/>
        <v>0</v>
      </c>
      <c r="K344" s="17"/>
      <c r="L344" s="17">
        <f t="shared" si="8"/>
        <v>449.2320752</v>
      </c>
      <c r="M344" s="2">
        <f t="shared" si="9"/>
        <v>449.5843452</v>
      </c>
      <c r="N344" s="9">
        <f t="shared" si="10"/>
        <v>-0.3522700159</v>
      </c>
      <c r="O344" s="17"/>
      <c r="P344" s="17"/>
      <c r="Q344" s="17"/>
      <c r="R344" s="16"/>
      <c r="S344" s="14">
        <f t="shared" si="13"/>
        <v>-0.3234881926</v>
      </c>
      <c r="U344" s="21"/>
      <c r="V344" s="21"/>
      <c r="W344" s="21"/>
      <c r="X344" s="21"/>
      <c r="Y344" s="21"/>
      <c r="Z344" s="21"/>
    </row>
    <row r="345">
      <c r="A345" s="15">
        <v>333.0</v>
      </c>
      <c r="B345" s="15">
        <v>1.42084347826087E9</v>
      </c>
      <c r="C345" s="16">
        <v>-102.2001266</v>
      </c>
      <c r="D345" s="17">
        <f t="shared" si="1"/>
        <v>443478.2609</v>
      </c>
      <c r="E345" s="18">
        <f t="shared" si="2"/>
        <v>-94.58450161</v>
      </c>
      <c r="F345" s="17">
        <f t="shared" si="16"/>
        <v>0.0002132787781</v>
      </c>
      <c r="G345" s="17">
        <f t="shared" si="4"/>
        <v>0</v>
      </c>
      <c r="H345" s="16">
        <f t="shared" si="5"/>
        <v>0</v>
      </c>
      <c r="I345" s="17">
        <f t="shared" si="6"/>
        <v>0</v>
      </c>
      <c r="J345" s="17">
        <f t="shared" si="7"/>
        <v>0</v>
      </c>
      <c r="K345" s="17"/>
      <c r="L345" s="17">
        <f t="shared" si="8"/>
        <v>458.2405393</v>
      </c>
      <c r="M345" s="2">
        <f t="shared" si="9"/>
        <v>449.4647206</v>
      </c>
      <c r="N345" s="9">
        <f t="shared" si="10"/>
        <v>8.775818642</v>
      </c>
      <c r="O345" s="17"/>
      <c r="P345" s="17"/>
      <c r="Q345" s="17"/>
      <c r="R345" s="16"/>
      <c r="S345" s="14">
        <f t="shared" si="13"/>
        <v>8.05880032</v>
      </c>
      <c r="U345" s="21"/>
      <c r="V345" s="21"/>
      <c r="W345" s="21"/>
      <c r="X345" s="21"/>
      <c r="Y345" s="21"/>
      <c r="Z345" s="21"/>
    </row>
    <row r="346">
      <c r="A346" s="15">
        <v>334.0</v>
      </c>
      <c r="B346" s="15">
        <v>1.42084782608695E9</v>
      </c>
      <c r="C346" s="16">
        <v>-102.289772</v>
      </c>
      <c r="D346" s="17">
        <f t="shared" si="1"/>
        <v>447826.087</v>
      </c>
      <c r="E346" s="18">
        <f t="shared" si="2"/>
        <v>-95.50279774</v>
      </c>
      <c r="F346" s="17">
        <f t="shared" si="16"/>
        <v>0.0002132586746</v>
      </c>
      <c r="G346" s="17">
        <f t="shared" si="4"/>
        <v>0</v>
      </c>
      <c r="H346" s="16">
        <f t="shared" si="5"/>
        <v>0</v>
      </c>
      <c r="I346" s="17">
        <f t="shared" si="6"/>
        <v>0</v>
      </c>
      <c r="J346" s="17">
        <f t="shared" si="7"/>
        <v>0</v>
      </c>
      <c r="K346" s="17"/>
      <c r="L346" s="17">
        <f t="shared" si="8"/>
        <v>448.8786684</v>
      </c>
      <c r="M346" s="2">
        <f t="shared" si="9"/>
        <v>449.344533</v>
      </c>
      <c r="N346" s="9">
        <f t="shared" si="10"/>
        <v>-0.4658645906</v>
      </c>
      <c r="O346" s="17"/>
      <c r="P346" s="17"/>
      <c r="Q346" s="17"/>
      <c r="R346" s="16"/>
      <c r="S346" s="14">
        <f t="shared" si="13"/>
        <v>-0.4278016519</v>
      </c>
      <c r="U346" s="21"/>
      <c r="V346" s="21"/>
      <c r="W346" s="21"/>
      <c r="X346" s="21"/>
      <c r="Y346" s="21"/>
      <c r="Z346" s="21"/>
    </row>
    <row r="347">
      <c r="A347" s="15">
        <v>335.0</v>
      </c>
      <c r="B347" s="15">
        <v>1.42085217391304E9</v>
      </c>
      <c r="C347" s="16">
        <v>-102.3005829</v>
      </c>
      <c r="D347" s="17">
        <f t="shared" si="1"/>
        <v>452173.913</v>
      </c>
      <c r="E347" s="18">
        <f t="shared" si="2"/>
        <v>-96.42109387</v>
      </c>
      <c r="F347" s="17">
        <f t="shared" si="16"/>
        <v>0.0002132389576</v>
      </c>
      <c r="G347" s="17">
        <f t="shared" si="4"/>
        <v>0</v>
      </c>
      <c r="H347" s="16">
        <f t="shared" si="5"/>
        <v>0</v>
      </c>
      <c r="I347" s="17">
        <f t="shared" si="6"/>
        <v>0</v>
      </c>
      <c r="J347" s="17">
        <f t="shared" si="7"/>
        <v>0</v>
      </c>
      <c r="K347" s="17"/>
      <c r="L347" s="17">
        <f t="shared" si="8"/>
        <v>447.7626636</v>
      </c>
      <c r="M347" s="2">
        <f t="shared" si="9"/>
        <v>449.2237793</v>
      </c>
      <c r="N347" s="9">
        <f t="shared" si="10"/>
        <v>-1.461115667</v>
      </c>
      <c r="O347" s="17"/>
      <c r="P347" s="17"/>
      <c r="Q347" s="17"/>
      <c r="R347" s="16"/>
      <c r="S347" s="14">
        <f t="shared" si="13"/>
        <v>-1.341736864</v>
      </c>
      <c r="U347" s="21"/>
      <c r="V347" s="21"/>
      <c r="W347" s="21"/>
      <c r="X347" s="21"/>
      <c r="Y347" s="21"/>
      <c r="Z347" s="21"/>
    </row>
    <row r="348">
      <c r="A348" s="15">
        <v>336.0</v>
      </c>
      <c r="B348" s="15">
        <v>1.42085652173913E9</v>
      </c>
      <c r="C348" s="16">
        <v>-102.2890167</v>
      </c>
      <c r="D348" s="17">
        <f t="shared" si="1"/>
        <v>456521.7391</v>
      </c>
      <c r="E348" s="18">
        <f t="shared" si="2"/>
        <v>-97.33939</v>
      </c>
      <c r="F348" s="17">
        <f t="shared" si="16"/>
        <v>0.0002132196162</v>
      </c>
      <c r="G348" s="17">
        <f t="shared" si="4"/>
        <v>0</v>
      </c>
      <c r="H348" s="16">
        <f t="shared" si="5"/>
        <v>0</v>
      </c>
      <c r="I348" s="17">
        <f t="shared" si="6"/>
        <v>0</v>
      </c>
      <c r="J348" s="17">
        <f t="shared" si="7"/>
        <v>0</v>
      </c>
      <c r="K348" s="17"/>
      <c r="L348" s="17">
        <f t="shared" si="8"/>
        <v>448.9567416</v>
      </c>
      <c r="M348" s="2">
        <f t="shared" si="9"/>
        <v>449.1024562</v>
      </c>
      <c r="N348" s="9">
        <f t="shared" si="10"/>
        <v>-0.145714629</v>
      </c>
      <c r="O348" s="17"/>
      <c r="P348" s="17"/>
      <c r="Q348" s="17"/>
      <c r="R348" s="16"/>
      <c r="S348" s="14">
        <f t="shared" si="13"/>
        <v>-0.1338091803</v>
      </c>
      <c r="U348" s="21"/>
      <c r="V348" s="21"/>
      <c r="W348" s="21"/>
      <c r="X348" s="21"/>
      <c r="Y348" s="21"/>
      <c r="Z348" s="21"/>
    </row>
    <row r="349">
      <c r="A349" s="15">
        <v>337.0</v>
      </c>
      <c r="B349" s="15">
        <v>1.42086086956521E9</v>
      </c>
      <c r="C349" s="16">
        <v>-102.2555542</v>
      </c>
      <c r="D349" s="17">
        <f t="shared" si="1"/>
        <v>460869.5652</v>
      </c>
      <c r="E349" s="18">
        <f t="shared" si="2"/>
        <v>-98.25768614</v>
      </c>
      <c r="F349" s="17">
        <f t="shared" si="16"/>
        <v>0.0002132006397</v>
      </c>
      <c r="G349" s="17">
        <f t="shared" si="4"/>
        <v>0</v>
      </c>
      <c r="H349" s="16">
        <f t="shared" si="5"/>
        <v>0</v>
      </c>
      <c r="I349" s="17">
        <f t="shared" si="6"/>
        <v>0</v>
      </c>
      <c r="J349" s="17">
        <f t="shared" si="7"/>
        <v>0</v>
      </c>
      <c r="K349" s="17"/>
      <c r="L349" s="17">
        <f t="shared" si="8"/>
        <v>452.4293257</v>
      </c>
      <c r="M349" s="2">
        <f t="shared" si="9"/>
        <v>448.9805608</v>
      </c>
      <c r="N349" s="9">
        <f t="shared" si="10"/>
        <v>3.448764882</v>
      </c>
      <c r="O349" s="17"/>
      <c r="P349" s="17"/>
      <c r="Q349" s="17"/>
      <c r="R349" s="16"/>
      <c r="S349" s="14">
        <f t="shared" si="13"/>
        <v>3.166987454</v>
      </c>
      <c r="U349" s="21"/>
      <c r="V349" s="21"/>
      <c r="W349" s="21"/>
      <c r="X349" s="21"/>
      <c r="Y349" s="21"/>
      <c r="Z349" s="21"/>
    </row>
    <row r="350">
      <c r="A350" s="15">
        <v>338.0</v>
      </c>
      <c r="B350" s="15">
        <v>1.4208652173913E9</v>
      </c>
      <c r="C350" s="16">
        <v>-102.3178482</v>
      </c>
      <c r="D350" s="17">
        <f t="shared" si="1"/>
        <v>465217.3913</v>
      </c>
      <c r="E350" s="18">
        <f t="shared" si="2"/>
        <v>-99.17598227</v>
      </c>
      <c r="F350" s="17">
        <f t="shared" si="16"/>
        <v>0.000213182018</v>
      </c>
      <c r="G350" s="17">
        <f t="shared" si="4"/>
        <v>0</v>
      </c>
      <c r="H350" s="16">
        <f t="shared" si="5"/>
        <v>0</v>
      </c>
      <c r="I350" s="17">
        <f t="shared" si="6"/>
        <v>0</v>
      </c>
      <c r="J350" s="17">
        <f t="shared" si="7"/>
        <v>0</v>
      </c>
      <c r="K350" s="17"/>
      <c r="L350" s="17">
        <f t="shared" si="8"/>
        <v>445.9861247</v>
      </c>
      <c r="M350" s="2">
        <f t="shared" si="9"/>
        <v>448.8580898</v>
      </c>
      <c r="N350" s="9">
        <f t="shared" si="10"/>
        <v>-2.871965107</v>
      </c>
      <c r="O350" s="17"/>
      <c r="P350" s="17"/>
      <c r="Q350" s="17"/>
      <c r="R350" s="16"/>
      <c r="S350" s="14">
        <f t="shared" si="13"/>
        <v>-2.637314445</v>
      </c>
      <c r="U350" s="21"/>
      <c r="V350" s="21"/>
      <c r="W350" s="21"/>
      <c r="X350" s="21"/>
      <c r="Y350" s="21"/>
      <c r="Z350" s="21"/>
    </row>
    <row r="351">
      <c r="A351" s="15">
        <v>339.0</v>
      </c>
      <c r="B351" s="15">
        <v>1.42086956521739E9</v>
      </c>
      <c r="C351" s="16">
        <v>-102.2844849</v>
      </c>
      <c r="D351" s="17">
        <f t="shared" si="1"/>
        <v>469565.2174</v>
      </c>
      <c r="E351" s="18">
        <f t="shared" si="2"/>
        <v>-100.0942784</v>
      </c>
      <c r="F351" s="17">
        <f t="shared" si="16"/>
        <v>0.000213163741</v>
      </c>
      <c r="G351" s="17">
        <f t="shared" si="4"/>
        <v>0</v>
      </c>
      <c r="H351" s="16">
        <f t="shared" si="5"/>
        <v>0</v>
      </c>
      <c r="I351" s="17">
        <f t="shared" si="6"/>
        <v>0</v>
      </c>
      <c r="J351" s="17">
        <f t="shared" si="7"/>
        <v>0</v>
      </c>
      <c r="K351" s="17"/>
      <c r="L351" s="17">
        <f t="shared" si="8"/>
        <v>449.425466</v>
      </c>
      <c r="M351" s="2">
        <f t="shared" si="9"/>
        <v>448.7350402</v>
      </c>
      <c r="N351" s="9">
        <f t="shared" si="10"/>
        <v>0.6904258185</v>
      </c>
      <c r="O351" s="17"/>
      <c r="P351" s="17"/>
      <c r="Q351" s="17"/>
      <c r="R351" s="16"/>
      <c r="S351" s="14">
        <f t="shared" si="13"/>
        <v>0.6340153591</v>
      </c>
      <c r="U351" s="21"/>
      <c r="V351" s="21"/>
      <c r="W351" s="21"/>
      <c r="X351" s="21"/>
      <c r="Y351" s="21"/>
      <c r="Z351" s="21"/>
    </row>
    <row r="352">
      <c r="A352" s="15">
        <v>340.0</v>
      </c>
      <c r="B352" s="15">
        <v>1.42087391304347E9</v>
      </c>
      <c r="C352" s="16">
        <v>-102.3205185</v>
      </c>
      <c r="D352" s="17">
        <f t="shared" si="1"/>
        <v>473913.0435</v>
      </c>
      <c r="E352" s="18">
        <f t="shared" si="2"/>
        <v>-101.0125745</v>
      </c>
      <c r="F352" s="17">
        <f t="shared" si="16"/>
        <v>0.0002131457995</v>
      </c>
      <c r="G352" s="17">
        <f t="shared" si="4"/>
        <v>0</v>
      </c>
      <c r="H352" s="16">
        <f t="shared" si="5"/>
        <v>0</v>
      </c>
      <c r="I352" s="17">
        <f t="shared" si="6"/>
        <v>0</v>
      </c>
      <c r="J352" s="17">
        <f t="shared" si="7"/>
        <v>0</v>
      </c>
      <c r="K352" s="17"/>
      <c r="L352" s="17">
        <f t="shared" si="8"/>
        <v>445.7119903</v>
      </c>
      <c r="M352" s="2">
        <f t="shared" si="9"/>
        <v>448.6114087</v>
      </c>
      <c r="N352" s="9">
        <f t="shared" si="10"/>
        <v>-2.899418381</v>
      </c>
      <c r="O352" s="17"/>
      <c r="P352" s="17"/>
      <c r="Q352" s="17"/>
      <c r="R352" s="16"/>
      <c r="S352" s="14">
        <f t="shared" si="13"/>
        <v>-2.662524687</v>
      </c>
      <c r="U352" s="21"/>
      <c r="V352" s="21"/>
      <c r="W352" s="21"/>
      <c r="X352" s="21"/>
      <c r="Y352" s="21"/>
      <c r="Z352" s="21"/>
    </row>
    <row r="353">
      <c r="A353" s="15">
        <v>341.0</v>
      </c>
      <c r="B353" s="15">
        <v>1.42087826086956E9</v>
      </c>
      <c r="C353" s="16">
        <v>-102.3070908</v>
      </c>
      <c r="D353" s="17">
        <f t="shared" si="1"/>
        <v>478260.8696</v>
      </c>
      <c r="E353" s="18">
        <f t="shared" si="2"/>
        <v>-101.9308707</v>
      </c>
      <c r="F353" s="17">
        <f t="shared" si="16"/>
        <v>0.0002131281841</v>
      </c>
      <c r="G353" s="17">
        <f t="shared" si="4"/>
        <v>0</v>
      </c>
      <c r="H353" s="16">
        <f t="shared" si="5"/>
        <v>0</v>
      </c>
      <c r="I353" s="17">
        <f t="shared" si="6"/>
        <v>0</v>
      </c>
      <c r="J353" s="17">
        <f t="shared" si="7"/>
        <v>0</v>
      </c>
      <c r="K353" s="17"/>
      <c r="L353" s="17">
        <f t="shared" si="8"/>
        <v>447.092194</v>
      </c>
      <c r="M353" s="2">
        <f t="shared" si="9"/>
        <v>448.4871922</v>
      </c>
      <c r="N353" s="9">
        <f t="shared" si="10"/>
        <v>-1.394998211</v>
      </c>
      <c r="O353" s="17"/>
      <c r="P353" s="17"/>
      <c r="Q353" s="17"/>
      <c r="R353" s="16"/>
      <c r="S353" s="14">
        <f t="shared" si="13"/>
        <v>-1.28102146</v>
      </c>
      <c r="U353" s="21"/>
      <c r="V353" s="21"/>
      <c r="W353" s="21"/>
      <c r="X353" s="21"/>
      <c r="Y353" s="21"/>
      <c r="Z353" s="21"/>
    </row>
    <row r="354">
      <c r="A354" s="15">
        <v>342.0</v>
      </c>
      <c r="B354" s="15">
        <v>1.42088260869565E9</v>
      </c>
      <c r="C354" s="16">
        <v>-102.2876892</v>
      </c>
      <c r="D354" s="17">
        <f t="shared" si="1"/>
        <v>482608.6957</v>
      </c>
      <c r="E354" s="18">
        <f t="shared" si="2"/>
        <v>-102.8491668</v>
      </c>
      <c r="F354" s="17">
        <f t="shared" si="16"/>
        <v>0.0002131108862</v>
      </c>
      <c r="G354" s="17">
        <f t="shared" si="4"/>
        <v>0</v>
      </c>
      <c r="H354" s="16">
        <f t="shared" si="5"/>
        <v>0</v>
      </c>
      <c r="I354" s="17">
        <f t="shared" si="6"/>
        <v>0</v>
      </c>
      <c r="J354" s="17">
        <f t="shared" si="7"/>
        <v>0</v>
      </c>
      <c r="K354" s="17"/>
      <c r="L354" s="17">
        <f t="shared" si="8"/>
        <v>449.0939944</v>
      </c>
      <c r="M354" s="2">
        <f t="shared" si="9"/>
        <v>448.3623877</v>
      </c>
      <c r="N354" s="9">
        <f t="shared" si="10"/>
        <v>0.7316066994</v>
      </c>
      <c r="O354" s="17"/>
      <c r="P354" s="17"/>
      <c r="Q354" s="17"/>
      <c r="R354" s="16"/>
      <c r="S354" s="14">
        <f t="shared" si="13"/>
        <v>0.6718316028</v>
      </c>
      <c r="U354" s="21"/>
      <c r="V354" s="21"/>
      <c r="W354" s="21"/>
      <c r="X354" s="21"/>
      <c r="Y354" s="21"/>
      <c r="Z354" s="21"/>
    </row>
    <row r="355">
      <c r="A355" s="15">
        <v>343.0</v>
      </c>
      <c r="B355" s="15">
        <v>1.42088695652173E9</v>
      </c>
      <c r="C355" s="16">
        <v>-102.2872925</v>
      </c>
      <c r="D355" s="17">
        <f t="shared" si="1"/>
        <v>486956.5217</v>
      </c>
      <c r="E355" s="18">
        <f t="shared" si="2"/>
        <v>-103.7674629</v>
      </c>
      <c r="F355" s="17">
        <f t="shared" si="16"/>
        <v>0.0002130938971</v>
      </c>
      <c r="G355" s="17">
        <f t="shared" si="4"/>
        <v>0</v>
      </c>
      <c r="H355" s="16">
        <f t="shared" si="5"/>
        <v>0</v>
      </c>
      <c r="I355" s="17">
        <f t="shared" si="6"/>
        <v>0</v>
      </c>
      <c r="J355" s="17">
        <f t="shared" si="7"/>
        <v>0</v>
      </c>
      <c r="K355" s="17"/>
      <c r="L355" s="17">
        <f t="shared" si="8"/>
        <v>449.1350181</v>
      </c>
      <c r="M355" s="2">
        <f t="shared" si="9"/>
        <v>448.2369919</v>
      </c>
      <c r="N355" s="9">
        <f t="shared" si="10"/>
        <v>0.8980261958</v>
      </c>
      <c r="O355" s="17"/>
      <c r="P355" s="17"/>
      <c r="Q355" s="17"/>
      <c r="R355" s="16"/>
      <c r="S355" s="14">
        <f t="shared" si="13"/>
        <v>0.8246539827</v>
      </c>
      <c r="U355" s="21"/>
      <c r="V355" s="21"/>
      <c r="W355" s="21"/>
      <c r="X355" s="21"/>
      <c r="Y355" s="21"/>
      <c r="Z355" s="21"/>
    </row>
    <row r="356">
      <c r="A356" s="15">
        <v>344.0</v>
      </c>
      <c r="B356" s="15">
        <v>1.42089130434782E9</v>
      </c>
      <c r="C356" s="16">
        <v>-102.2948074</v>
      </c>
      <c r="D356" s="17">
        <f t="shared" si="1"/>
        <v>491304.3478</v>
      </c>
      <c r="E356" s="18">
        <f t="shared" si="2"/>
        <v>-104.6857591</v>
      </c>
      <c r="F356" s="17">
        <f t="shared" si="16"/>
        <v>0.0002130772087</v>
      </c>
      <c r="G356" s="17">
        <f t="shared" si="4"/>
        <v>0</v>
      </c>
      <c r="H356" s="16">
        <f t="shared" si="5"/>
        <v>0</v>
      </c>
      <c r="I356" s="17">
        <f t="shared" si="6"/>
        <v>0</v>
      </c>
      <c r="J356" s="17">
        <f t="shared" si="7"/>
        <v>0</v>
      </c>
      <c r="K356" s="17"/>
      <c r="L356" s="17">
        <f t="shared" si="8"/>
        <v>448.3585205</v>
      </c>
      <c r="M356" s="2">
        <f t="shared" si="9"/>
        <v>448.1110017</v>
      </c>
      <c r="N356" s="9">
        <f t="shared" si="10"/>
        <v>0.2475187457</v>
      </c>
      <c r="O356" s="17"/>
      <c r="P356" s="17"/>
      <c r="Q356" s="17"/>
      <c r="R356" s="16"/>
      <c r="S356" s="14">
        <f t="shared" si="13"/>
        <v>0.227295507</v>
      </c>
      <c r="U356" s="21"/>
      <c r="V356" s="21"/>
      <c r="W356" s="21"/>
      <c r="X356" s="21"/>
      <c r="Y356" s="21"/>
      <c r="Z356" s="21"/>
    </row>
    <row r="357">
      <c r="A357" s="15">
        <v>345.0</v>
      </c>
      <c r="B357" s="15">
        <v>1.42089565217391E9</v>
      </c>
      <c r="C357" s="16">
        <v>-102.2405853</v>
      </c>
      <c r="D357" s="17">
        <f t="shared" si="1"/>
        <v>495652.1739</v>
      </c>
      <c r="E357" s="18">
        <f t="shared" si="2"/>
        <v>-105.6040552</v>
      </c>
      <c r="F357" s="17">
        <f t="shared" si="16"/>
        <v>0.0002130608131</v>
      </c>
      <c r="G357" s="17">
        <f t="shared" si="4"/>
        <v>0</v>
      </c>
      <c r="H357" s="16">
        <f t="shared" si="5"/>
        <v>0</v>
      </c>
      <c r="I357" s="17">
        <f t="shared" si="6"/>
        <v>0</v>
      </c>
      <c r="J357" s="17">
        <f t="shared" si="7"/>
        <v>0</v>
      </c>
      <c r="K357" s="17"/>
      <c r="L357" s="17">
        <f t="shared" si="8"/>
        <v>453.9914118</v>
      </c>
      <c r="M357" s="2">
        <f t="shared" si="9"/>
        <v>447.9844141</v>
      </c>
      <c r="N357" s="9">
        <f t="shared" si="10"/>
        <v>6.006997775</v>
      </c>
      <c r="O357" s="17"/>
      <c r="P357" s="17"/>
      <c r="Q357" s="17"/>
      <c r="R357" s="16"/>
      <c r="S357" s="14">
        <f t="shared" si="13"/>
        <v>5.516202814</v>
      </c>
      <c r="U357" s="21"/>
      <c r="V357" s="21"/>
      <c r="W357" s="21"/>
      <c r="X357" s="21"/>
      <c r="Y357" s="21"/>
      <c r="Z357" s="21"/>
    </row>
    <row r="358">
      <c r="A358" s="15">
        <v>346.0</v>
      </c>
      <c r="B358" s="15">
        <v>1.4209E9</v>
      </c>
      <c r="C358" s="16">
        <v>-102.3154984</v>
      </c>
      <c r="D358" s="17">
        <f t="shared" si="1"/>
        <v>500000</v>
      </c>
      <c r="E358" s="18">
        <f t="shared" si="2"/>
        <v>-106.5223513</v>
      </c>
      <c r="F358" s="17">
        <f t="shared" si="16"/>
        <v>0.0002130447027</v>
      </c>
      <c r="G358" s="17">
        <f t="shared" si="4"/>
        <v>0</v>
      </c>
      <c r="H358" s="16">
        <f t="shared" si="5"/>
        <v>0</v>
      </c>
      <c r="I358" s="17">
        <f t="shared" si="6"/>
        <v>0</v>
      </c>
      <c r="J358" s="17">
        <f t="shared" si="7"/>
        <v>0</v>
      </c>
      <c r="K358" s="17"/>
      <c r="L358" s="17">
        <f t="shared" si="8"/>
        <v>446.2274959</v>
      </c>
      <c r="M358" s="2">
        <f t="shared" si="9"/>
        <v>447.8572257</v>
      </c>
      <c r="N358" s="9">
        <f t="shared" si="10"/>
        <v>-1.629729846</v>
      </c>
      <c r="O358" s="17"/>
      <c r="P358" s="17"/>
      <c r="Q358" s="17"/>
      <c r="R358" s="16"/>
      <c r="S358" s="14">
        <f t="shared" si="13"/>
        <v>-1.496574615</v>
      </c>
      <c r="U358" s="21"/>
      <c r="V358" s="21"/>
      <c r="W358" s="21"/>
      <c r="X358" s="21"/>
      <c r="Y358" s="21"/>
      <c r="Z358" s="21"/>
    </row>
    <row r="359">
      <c r="A359" s="15">
        <v>347.0</v>
      </c>
      <c r="B359" s="15">
        <v>1.42090434782608E9</v>
      </c>
      <c r="C359" s="16">
        <v>-102.3502274</v>
      </c>
      <c r="D359" s="17">
        <f t="shared" si="1"/>
        <v>504347.8261</v>
      </c>
      <c r="E359" s="18">
        <f t="shared" si="2"/>
        <v>-107.4406475</v>
      </c>
      <c r="F359" s="17">
        <f t="shared" si="16"/>
        <v>0.00021302887</v>
      </c>
      <c r="G359" s="17">
        <f t="shared" si="4"/>
        <v>0</v>
      </c>
      <c r="H359" s="16">
        <f t="shared" si="5"/>
        <v>0</v>
      </c>
      <c r="I359" s="17">
        <f t="shared" si="6"/>
        <v>0</v>
      </c>
      <c r="J359" s="17">
        <f t="shared" si="7"/>
        <v>0</v>
      </c>
      <c r="K359" s="17"/>
      <c r="L359" s="17">
        <f t="shared" si="8"/>
        <v>442.6734012</v>
      </c>
      <c r="M359" s="2">
        <f t="shared" si="9"/>
        <v>447.7294336</v>
      </c>
      <c r="N359" s="9">
        <f t="shared" si="10"/>
        <v>-5.056032494</v>
      </c>
      <c r="O359" s="17"/>
      <c r="P359" s="17"/>
      <c r="Q359" s="17"/>
      <c r="R359" s="16"/>
      <c r="S359" s="14">
        <f t="shared" si="13"/>
        <v>-4.642935086</v>
      </c>
      <c r="U359" s="21"/>
      <c r="V359" s="21"/>
      <c r="W359" s="21"/>
      <c r="X359" s="21"/>
      <c r="Y359" s="21"/>
      <c r="Z359" s="21"/>
    </row>
    <row r="360">
      <c r="A360" s="15">
        <v>348.0</v>
      </c>
      <c r="B360" s="15">
        <v>1.42090869565217E9</v>
      </c>
      <c r="C360" s="16">
        <v>-102.3122177</v>
      </c>
      <c r="D360" s="17">
        <f t="shared" si="1"/>
        <v>508695.6522</v>
      </c>
      <c r="E360" s="18">
        <f t="shared" si="2"/>
        <v>-108.3589436</v>
      </c>
      <c r="F360" s="17">
        <f t="shared" si="16"/>
        <v>0.0002130133079</v>
      </c>
      <c r="G360" s="17">
        <f t="shared" si="4"/>
        <v>0</v>
      </c>
      <c r="H360" s="16">
        <f t="shared" si="5"/>
        <v>0</v>
      </c>
      <c r="I360" s="17">
        <f t="shared" si="6"/>
        <v>0</v>
      </c>
      <c r="J360" s="17">
        <f t="shared" si="7"/>
        <v>0</v>
      </c>
      <c r="K360" s="17"/>
      <c r="L360" s="17">
        <f t="shared" si="8"/>
        <v>446.5647076</v>
      </c>
      <c r="M360" s="2">
        <f t="shared" si="9"/>
        <v>447.6010346</v>
      </c>
      <c r="N360" s="9">
        <f t="shared" si="10"/>
        <v>-1.036327063</v>
      </c>
      <c r="O360" s="17"/>
      <c r="P360" s="17"/>
      <c r="Q360" s="17"/>
      <c r="R360" s="16"/>
      <c r="S360" s="14">
        <f t="shared" si="13"/>
        <v>-0.9516551322</v>
      </c>
      <c r="U360" s="21"/>
      <c r="V360" s="21"/>
      <c r="W360" s="21"/>
      <c r="X360" s="21"/>
      <c r="Y360" s="21"/>
      <c r="Z360" s="21"/>
    </row>
    <row r="361">
      <c r="A361" s="15">
        <v>349.0</v>
      </c>
      <c r="B361" s="15">
        <v>1.42091304347826E9</v>
      </c>
      <c r="C361" s="16">
        <v>-102.2806702</v>
      </c>
      <c r="D361" s="17">
        <f t="shared" si="1"/>
        <v>513043.4783</v>
      </c>
      <c r="E361" s="18">
        <f t="shared" si="2"/>
        <v>-109.2772397</v>
      </c>
      <c r="F361" s="17">
        <f t="shared" si="16"/>
        <v>0.0002129980096</v>
      </c>
      <c r="G361" s="17">
        <f t="shared" si="4"/>
        <v>0</v>
      </c>
      <c r="H361" s="16">
        <f t="shared" si="5"/>
        <v>0</v>
      </c>
      <c r="I361" s="17">
        <f t="shared" si="6"/>
        <v>0</v>
      </c>
      <c r="J361" s="17">
        <f t="shared" si="7"/>
        <v>0</v>
      </c>
      <c r="K361" s="17"/>
      <c r="L361" s="17">
        <f t="shared" si="8"/>
        <v>449.8204</v>
      </c>
      <c r="M361" s="2">
        <f t="shared" si="9"/>
        <v>447.4720255</v>
      </c>
      <c r="N361" s="9">
        <f t="shared" si="10"/>
        <v>2.348374416</v>
      </c>
      <c r="O361" s="17"/>
      <c r="P361" s="17"/>
      <c r="Q361" s="17"/>
      <c r="R361" s="16"/>
      <c r="S361" s="14">
        <f t="shared" si="13"/>
        <v>2.156503144</v>
      </c>
      <c r="U361" s="21"/>
      <c r="V361" s="21"/>
      <c r="W361" s="21"/>
      <c r="X361" s="21"/>
      <c r="Y361" s="21"/>
      <c r="Z361" s="21"/>
    </row>
    <row r="362">
      <c r="A362" s="15">
        <v>350.0</v>
      </c>
      <c r="B362" s="15">
        <v>1.42091739130434E9</v>
      </c>
      <c r="C362" s="16">
        <v>-102.2997131</v>
      </c>
      <c r="D362" s="17">
        <f t="shared" si="1"/>
        <v>517391.3043</v>
      </c>
      <c r="E362" s="18">
        <f t="shared" si="2"/>
        <v>-110.1955359</v>
      </c>
      <c r="F362" s="17">
        <f t="shared" si="16"/>
        <v>0.0002129829685</v>
      </c>
      <c r="G362" s="17">
        <f t="shared" si="4"/>
        <v>0</v>
      </c>
      <c r="H362" s="16">
        <f t="shared" si="5"/>
        <v>0</v>
      </c>
      <c r="I362" s="17">
        <f t="shared" si="6"/>
        <v>0</v>
      </c>
      <c r="J362" s="17">
        <f t="shared" si="7"/>
        <v>0</v>
      </c>
      <c r="K362" s="17"/>
      <c r="L362" s="17">
        <f t="shared" si="8"/>
        <v>447.85235</v>
      </c>
      <c r="M362" s="2">
        <f t="shared" si="9"/>
        <v>447.3424033</v>
      </c>
      <c r="N362" s="9">
        <f t="shared" si="10"/>
        <v>0.5099467091</v>
      </c>
      <c r="O362" s="17"/>
      <c r="P362" s="17"/>
      <c r="Q362" s="17"/>
      <c r="R362" s="16"/>
      <c r="S362" s="14">
        <f t="shared" si="13"/>
        <v>0.4682820909</v>
      </c>
      <c r="U362" s="21"/>
      <c r="V362" s="21"/>
      <c r="W362" s="21"/>
      <c r="X362" s="21"/>
      <c r="Y362" s="21"/>
      <c r="Z362" s="21"/>
    </row>
    <row r="363">
      <c r="A363" s="15">
        <v>351.0</v>
      </c>
      <c r="B363" s="15">
        <v>1.42092173913043E9</v>
      </c>
      <c r="C363" s="16">
        <v>-102.2818909</v>
      </c>
      <c r="D363" s="17">
        <f t="shared" si="1"/>
        <v>521739.1304</v>
      </c>
      <c r="E363" s="18">
        <f t="shared" si="2"/>
        <v>-111.113832</v>
      </c>
      <c r="F363" s="17">
        <f t="shared" si="16"/>
        <v>0.000212968178</v>
      </c>
      <c r="G363" s="17">
        <f t="shared" si="4"/>
        <v>0</v>
      </c>
      <c r="H363" s="16">
        <f t="shared" si="5"/>
        <v>0</v>
      </c>
      <c r="I363" s="17">
        <f t="shared" si="6"/>
        <v>0</v>
      </c>
      <c r="J363" s="17">
        <f t="shared" si="7"/>
        <v>0</v>
      </c>
      <c r="K363" s="17"/>
      <c r="L363" s="17">
        <f t="shared" si="8"/>
        <v>449.6939837</v>
      </c>
      <c r="M363" s="2">
        <f t="shared" si="9"/>
        <v>447.2121646</v>
      </c>
      <c r="N363" s="9">
        <f t="shared" si="10"/>
        <v>2.481819115</v>
      </c>
      <c r="O363" s="17"/>
      <c r="P363" s="17"/>
      <c r="Q363" s="17"/>
      <c r="R363" s="16"/>
      <c r="S363" s="14">
        <f t="shared" si="13"/>
        <v>2.27904489</v>
      </c>
      <c r="U363" s="21"/>
      <c r="V363" s="21"/>
      <c r="W363" s="21"/>
      <c r="X363" s="21"/>
      <c r="Y363" s="21"/>
      <c r="Z363" s="21"/>
    </row>
    <row r="364">
      <c r="A364" s="15">
        <v>352.0</v>
      </c>
      <c r="B364" s="15">
        <v>1.42092608695652E9</v>
      </c>
      <c r="C364" s="16">
        <v>-102.3406525</v>
      </c>
      <c r="D364" s="17">
        <f t="shared" si="1"/>
        <v>526086.9565</v>
      </c>
      <c r="E364" s="18">
        <f t="shared" si="2"/>
        <v>-112.0321281</v>
      </c>
      <c r="F364" s="17">
        <f t="shared" si="16"/>
        <v>0.000212953632</v>
      </c>
      <c r="G364" s="17">
        <f t="shared" si="4"/>
        <v>0</v>
      </c>
      <c r="H364" s="16">
        <f t="shared" si="5"/>
        <v>0</v>
      </c>
      <c r="I364" s="17">
        <f t="shared" si="6"/>
        <v>0</v>
      </c>
      <c r="J364" s="17">
        <f t="shared" si="7"/>
        <v>0</v>
      </c>
      <c r="K364" s="17"/>
      <c r="L364" s="17">
        <f t="shared" si="8"/>
        <v>443.6504408</v>
      </c>
      <c r="M364" s="2">
        <f t="shared" si="9"/>
        <v>447.0813065</v>
      </c>
      <c r="N364" s="9">
        <f t="shared" si="10"/>
        <v>-3.43086572</v>
      </c>
      <c r="O364" s="17"/>
      <c r="P364" s="17"/>
      <c r="Q364" s="17"/>
      <c r="R364" s="16"/>
      <c r="S364" s="14">
        <f t="shared" si="13"/>
        <v>-3.150550723</v>
      </c>
      <c r="U364" s="21"/>
      <c r="V364" s="21"/>
      <c r="W364" s="21"/>
      <c r="X364" s="21"/>
      <c r="Y364" s="21"/>
      <c r="Z364" s="21"/>
    </row>
    <row r="365">
      <c r="A365" s="15">
        <v>353.0</v>
      </c>
      <c r="B365" s="15">
        <v>1.4209304347826E9</v>
      </c>
      <c r="C365" s="16">
        <v>-102.3449402</v>
      </c>
      <c r="D365" s="17">
        <f t="shared" si="1"/>
        <v>530434.7826</v>
      </c>
      <c r="E365" s="18">
        <f t="shared" si="2"/>
        <v>-112.9504243</v>
      </c>
      <c r="F365" s="17">
        <f t="shared" si="16"/>
        <v>0.0002129393244</v>
      </c>
      <c r="G365" s="17">
        <f t="shared" si="4"/>
        <v>0</v>
      </c>
      <c r="H365" s="16">
        <f t="shared" si="5"/>
        <v>0</v>
      </c>
      <c r="I365" s="17">
        <f t="shared" si="6"/>
        <v>0</v>
      </c>
      <c r="J365" s="17">
        <f t="shared" si="7"/>
        <v>0</v>
      </c>
      <c r="K365" s="17"/>
      <c r="L365" s="17">
        <f t="shared" si="8"/>
        <v>443.21265</v>
      </c>
      <c r="M365" s="2">
        <f t="shared" si="9"/>
        <v>446.9498258</v>
      </c>
      <c r="N365" s="9">
        <f t="shared" si="10"/>
        <v>-3.737175814</v>
      </c>
      <c r="O365" s="17"/>
      <c r="P365" s="17"/>
      <c r="Q365" s="17"/>
      <c r="R365" s="16"/>
      <c r="S365" s="14">
        <f t="shared" si="13"/>
        <v>-3.431834098</v>
      </c>
      <c r="U365" s="21"/>
      <c r="V365" s="21"/>
      <c r="W365" s="21"/>
      <c r="X365" s="21"/>
      <c r="Y365" s="21"/>
      <c r="Z365" s="21"/>
    </row>
    <row r="366">
      <c r="A366" s="15">
        <v>354.0</v>
      </c>
      <c r="B366" s="15">
        <v>1.42093478260869E9</v>
      </c>
      <c r="C366" s="16">
        <v>-102.3286209</v>
      </c>
      <c r="D366" s="17">
        <f t="shared" si="1"/>
        <v>534782.6087</v>
      </c>
      <c r="E366" s="18">
        <f t="shared" si="2"/>
        <v>-113.8687204</v>
      </c>
      <c r="F366" s="17">
        <f t="shared" si="16"/>
        <v>0.0002129252495</v>
      </c>
      <c r="G366" s="17">
        <f t="shared" si="4"/>
        <v>0</v>
      </c>
      <c r="H366" s="16">
        <f t="shared" si="5"/>
        <v>0</v>
      </c>
      <c r="I366" s="17">
        <f t="shared" si="6"/>
        <v>0</v>
      </c>
      <c r="J366" s="17">
        <f t="shared" si="7"/>
        <v>0</v>
      </c>
      <c r="K366" s="17"/>
      <c r="L366" s="17">
        <f t="shared" si="8"/>
        <v>444.8812244</v>
      </c>
      <c r="M366" s="2">
        <f t="shared" si="9"/>
        <v>446.8177194</v>
      </c>
      <c r="N366" s="9">
        <f t="shared" si="10"/>
        <v>-1.936494935</v>
      </c>
      <c r="O366" s="17"/>
      <c r="P366" s="17"/>
      <c r="Q366" s="17"/>
      <c r="R366" s="16"/>
      <c r="S366" s="14">
        <f t="shared" si="13"/>
        <v>-1.77827581</v>
      </c>
      <c r="U366" s="21"/>
      <c r="V366" s="21"/>
      <c r="W366" s="21"/>
      <c r="X366" s="21"/>
      <c r="Y366" s="21"/>
      <c r="Z366" s="21"/>
    </row>
    <row r="367">
      <c r="A367" s="15">
        <v>355.0</v>
      </c>
      <c r="B367" s="15">
        <v>1.42093913043478E9</v>
      </c>
      <c r="C367" s="16">
        <v>-102.3330231</v>
      </c>
      <c r="D367" s="17">
        <f t="shared" si="1"/>
        <v>539130.4348</v>
      </c>
      <c r="E367" s="18">
        <f t="shared" si="2"/>
        <v>-114.7870165</v>
      </c>
      <c r="F367" s="17">
        <f t="shared" si="16"/>
        <v>0.0002129114016</v>
      </c>
      <c r="G367" s="17">
        <f t="shared" si="4"/>
        <v>0</v>
      </c>
      <c r="H367" s="16">
        <f t="shared" si="5"/>
        <v>0</v>
      </c>
      <c r="I367" s="17">
        <f t="shared" si="6"/>
        <v>0</v>
      </c>
      <c r="J367" s="17">
        <f t="shared" si="7"/>
        <v>0</v>
      </c>
      <c r="K367" s="17"/>
      <c r="L367" s="17">
        <f t="shared" si="8"/>
        <v>444.4305017</v>
      </c>
      <c r="M367" s="2">
        <f t="shared" si="9"/>
        <v>446.684984</v>
      </c>
      <c r="N367" s="9">
        <f t="shared" si="10"/>
        <v>-2.254482307</v>
      </c>
      <c r="O367" s="17"/>
      <c r="P367" s="17"/>
      <c r="Q367" s="17"/>
      <c r="R367" s="16"/>
      <c r="S367" s="14">
        <f t="shared" si="13"/>
        <v>-2.070282379</v>
      </c>
      <c r="U367" s="21"/>
      <c r="V367" s="21"/>
      <c r="W367" s="21"/>
      <c r="X367" s="21"/>
      <c r="Y367" s="21"/>
      <c r="Z367" s="21"/>
    </row>
    <row r="368">
      <c r="A368" s="15">
        <v>356.0</v>
      </c>
      <c r="B368" s="15">
        <v>1.42094347826087E9</v>
      </c>
      <c r="C368" s="16">
        <v>-102.3395004</v>
      </c>
      <c r="D368" s="17">
        <f t="shared" si="1"/>
        <v>543478.2609</v>
      </c>
      <c r="E368" s="18">
        <f t="shared" si="2"/>
        <v>-115.7053126</v>
      </c>
      <c r="F368" s="17">
        <f t="shared" si="16"/>
        <v>0.0002128977753</v>
      </c>
      <c r="G368" s="17">
        <f t="shared" si="4"/>
        <v>0</v>
      </c>
      <c r="H368" s="16">
        <f t="shared" si="5"/>
        <v>0</v>
      </c>
      <c r="I368" s="17">
        <f t="shared" si="6"/>
        <v>0</v>
      </c>
      <c r="J368" s="17">
        <f t="shared" si="7"/>
        <v>0</v>
      </c>
      <c r="K368" s="17"/>
      <c r="L368" s="17">
        <f t="shared" si="8"/>
        <v>443.7681484</v>
      </c>
      <c r="M368" s="2">
        <f t="shared" si="9"/>
        <v>446.5516167</v>
      </c>
      <c r="N368" s="9">
        <f t="shared" si="10"/>
        <v>-2.783468287</v>
      </c>
      <c r="O368" s="17"/>
      <c r="P368" s="17"/>
      <c r="Q368" s="17"/>
      <c r="R368" s="16"/>
      <c r="S368" s="14">
        <f t="shared" si="13"/>
        <v>-2.556048163</v>
      </c>
      <c r="U368" s="21"/>
      <c r="V368" s="21"/>
      <c r="W368" s="21"/>
      <c r="X368" s="21"/>
      <c r="Y368" s="21"/>
      <c r="Z368" s="21"/>
    </row>
    <row r="369">
      <c r="A369" s="15">
        <v>357.0</v>
      </c>
      <c r="B369" s="15">
        <v>1.42094782608695E9</v>
      </c>
      <c r="C369" s="16">
        <v>-102.287056</v>
      </c>
      <c r="D369" s="17">
        <f t="shared" si="1"/>
        <v>547826.087</v>
      </c>
      <c r="E369" s="18">
        <f t="shared" si="2"/>
        <v>-116.6236088</v>
      </c>
      <c r="F369" s="17">
        <f t="shared" si="16"/>
        <v>0.0002128843652</v>
      </c>
      <c r="G369" s="17">
        <f t="shared" si="4"/>
        <v>0</v>
      </c>
      <c r="H369" s="16">
        <f t="shared" si="5"/>
        <v>0</v>
      </c>
      <c r="I369" s="17">
        <f t="shared" si="6"/>
        <v>0</v>
      </c>
      <c r="J369" s="17">
        <f t="shared" si="7"/>
        <v>0</v>
      </c>
      <c r="K369" s="17"/>
      <c r="L369" s="17">
        <f t="shared" si="8"/>
        <v>449.1594769</v>
      </c>
      <c r="M369" s="2">
        <f t="shared" si="9"/>
        <v>446.4176141</v>
      </c>
      <c r="N369" s="9">
        <f t="shared" si="10"/>
        <v>2.741862756</v>
      </c>
      <c r="O369" s="17"/>
      <c r="P369" s="17"/>
      <c r="Q369" s="17"/>
      <c r="R369" s="16"/>
      <c r="S369" s="14">
        <f t="shared" si="13"/>
        <v>2.517841966</v>
      </c>
      <c r="U369" s="21"/>
      <c r="V369" s="21"/>
      <c r="W369" s="21"/>
      <c r="X369" s="21"/>
      <c r="Y369" s="21"/>
      <c r="Z369" s="21"/>
    </row>
    <row r="370">
      <c r="A370" s="15">
        <v>358.0</v>
      </c>
      <c r="B370" s="15">
        <v>1.42095217391304E9</v>
      </c>
      <c r="C370" s="16">
        <v>-102.3722229</v>
      </c>
      <c r="D370" s="17">
        <f t="shared" si="1"/>
        <v>552173.913</v>
      </c>
      <c r="E370" s="18">
        <f t="shared" si="2"/>
        <v>-117.5419049</v>
      </c>
      <c r="F370" s="17">
        <f t="shared" si="16"/>
        <v>0.0002128711664</v>
      </c>
      <c r="G370" s="17">
        <f t="shared" si="4"/>
        <v>0</v>
      </c>
      <c r="H370" s="16">
        <f t="shared" si="5"/>
        <v>0</v>
      </c>
      <c r="I370" s="17">
        <f t="shared" si="6"/>
        <v>0</v>
      </c>
      <c r="J370" s="17">
        <f t="shared" si="7"/>
        <v>0</v>
      </c>
      <c r="K370" s="17"/>
      <c r="L370" s="17">
        <f t="shared" si="8"/>
        <v>440.4370827</v>
      </c>
      <c r="M370" s="2">
        <f t="shared" si="9"/>
        <v>446.2829733</v>
      </c>
      <c r="N370" s="9">
        <f t="shared" si="10"/>
        <v>-5.845890605</v>
      </c>
      <c r="O370" s="17"/>
      <c r="P370" s="17"/>
      <c r="Q370" s="17"/>
      <c r="R370" s="16"/>
      <c r="S370" s="14">
        <f t="shared" si="13"/>
        <v>-5.368258723</v>
      </c>
      <c r="U370" s="21"/>
      <c r="V370" s="21"/>
      <c r="W370" s="21"/>
      <c r="X370" s="21"/>
      <c r="Y370" s="21"/>
      <c r="Z370" s="21"/>
    </row>
    <row r="371">
      <c r="A371" s="15">
        <v>359.0</v>
      </c>
      <c r="B371" s="15">
        <v>1.42095652173913E9</v>
      </c>
      <c r="C371" s="16">
        <v>-102.357193</v>
      </c>
      <c r="D371" s="17">
        <f t="shared" si="1"/>
        <v>556521.7391</v>
      </c>
      <c r="E371" s="18">
        <f t="shared" si="2"/>
        <v>-118.460201</v>
      </c>
      <c r="F371" s="17">
        <f t="shared" si="16"/>
        <v>0.0002128581738</v>
      </c>
      <c r="G371" s="17">
        <f t="shared" si="4"/>
        <v>0</v>
      </c>
      <c r="H371" s="16">
        <f t="shared" si="5"/>
        <v>0</v>
      </c>
      <c r="I371" s="17">
        <f t="shared" si="6"/>
        <v>0</v>
      </c>
      <c r="J371" s="17">
        <f t="shared" si="7"/>
        <v>0</v>
      </c>
      <c r="K371" s="17"/>
      <c r="L371" s="17">
        <f t="shared" si="8"/>
        <v>441.9639714</v>
      </c>
      <c r="M371" s="2">
        <f t="shared" si="9"/>
        <v>446.1476911</v>
      </c>
      <c r="N371" s="9">
        <f t="shared" si="10"/>
        <v>-4.183719685</v>
      </c>
      <c r="O371" s="17"/>
      <c r="P371" s="17"/>
      <c r="Q371" s="17"/>
      <c r="R371" s="16"/>
      <c r="S371" s="14">
        <f t="shared" si="13"/>
        <v>-3.841893607</v>
      </c>
      <c r="U371" s="21"/>
      <c r="V371" s="21"/>
      <c r="W371" s="21"/>
      <c r="X371" s="21"/>
      <c r="Y371" s="21"/>
      <c r="Z371" s="21"/>
    </row>
    <row r="372">
      <c r="A372" s="15">
        <v>360.0</v>
      </c>
      <c r="B372" s="15">
        <v>1.42096086956521E9</v>
      </c>
      <c r="C372" s="16">
        <v>-102.3083344</v>
      </c>
      <c r="D372" s="17">
        <f t="shared" si="1"/>
        <v>560869.5652</v>
      </c>
      <c r="E372" s="18">
        <f t="shared" si="2"/>
        <v>-119.3784972</v>
      </c>
      <c r="F372" s="17">
        <f t="shared" si="16"/>
        <v>0.0002128453826</v>
      </c>
      <c r="G372" s="17">
        <f t="shared" si="4"/>
        <v>0</v>
      </c>
      <c r="H372" s="16">
        <f t="shared" si="5"/>
        <v>0</v>
      </c>
      <c r="I372" s="17">
        <f t="shared" si="6"/>
        <v>0</v>
      </c>
      <c r="J372" s="17">
        <f t="shared" si="7"/>
        <v>0</v>
      </c>
      <c r="K372" s="17"/>
      <c r="L372" s="17">
        <f t="shared" si="8"/>
        <v>446.9641877</v>
      </c>
      <c r="M372" s="2">
        <f t="shared" si="9"/>
        <v>446.0117642</v>
      </c>
      <c r="N372" s="9">
        <f t="shared" si="10"/>
        <v>0.9524234913</v>
      </c>
      <c r="O372" s="17"/>
      <c r="P372" s="17"/>
      <c r="Q372" s="17"/>
      <c r="R372" s="16"/>
      <c r="S372" s="14">
        <f t="shared" si="13"/>
        <v>0.8746068088</v>
      </c>
      <c r="U372" s="21"/>
      <c r="V372" s="21"/>
      <c r="W372" s="21"/>
      <c r="X372" s="21"/>
      <c r="Y372" s="21"/>
      <c r="Z372" s="21"/>
    </row>
    <row r="373">
      <c r="A373" s="15">
        <v>361.0</v>
      </c>
      <c r="B373" s="15">
        <v>1.4209652173913E9</v>
      </c>
      <c r="C373" s="16">
        <v>-102.2714081</v>
      </c>
      <c r="D373" s="17">
        <f t="shared" si="1"/>
        <v>565217.3913</v>
      </c>
      <c r="E373" s="18">
        <f t="shared" si="2"/>
        <v>-120.2967933</v>
      </c>
      <c r="F373" s="17">
        <f t="shared" si="16"/>
        <v>0.0002128327882</v>
      </c>
      <c r="G373" s="17">
        <f t="shared" si="4"/>
        <v>0</v>
      </c>
      <c r="H373" s="16">
        <f t="shared" si="5"/>
        <v>0</v>
      </c>
      <c r="I373" s="17">
        <f t="shared" si="6"/>
        <v>0</v>
      </c>
      <c r="J373" s="17">
        <f t="shared" si="7"/>
        <v>0</v>
      </c>
      <c r="K373" s="17"/>
      <c r="L373" s="17">
        <f t="shared" si="8"/>
        <v>450.7807454</v>
      </c>
      <c r="M373" s="2">
        <f t="shared" si="9"/>
        <v>445.8751897</v>
      </c>
      <c r="N373" s="9">
        <f t="shared" si="10"/>
        <v>4.905555745</v>
      </c>
      <c r="O373" s="17"/>
      <c r="P373" s="17"/>
      <c r="Q373" s="17"/>
      <c r="R373" s="16"/>
      <c r="S373" s="14">
        <f t="shared" si="13"/>
        <v>4.504752859</v>
      </c>
      <c r="U373" s="21"/>
      <c r="V373" s="21"/>
      <c r="W373" s="21"/>
      <c r="X373" s="21"/>
      <c r="Y373" s="21"/>
      <c r="Z373" s="21"/>
    </row>
    <row r="374">
      <c r="A374" s="11">
        <v>362.0</v>
      </c>
      <c r="B374" s="11">
        <v>1.42096956521739E9</v>
      </c>
      <c r="C374" s="2">
        <v>-102.3957367</v>
      </c>
      <c r="D374" s="3">
        <f t="shared" si="1"/>
        <v>569565.2174</v>
      </c>
      <c r="E374" s="4">
        <f t="shared" si="2"/>
        <v>-121.2150894</v>
      </c>
      <c r="F374" s="3">
        <f t="shared" si="16"/>
        <v>0.000212820386</v>
      </c>
      <c r="G374" s="3">
        <f t="shared" si="4"/>
        <v>0</v>
      </c>
      <c r="H374" s="2">
        <f t="shared" si="5"/>
        <v>0</v>
      </c>
      <c r="I374" s="3">
        <f t="shared" si="6"/>
        <v>0</v>
      </c>
      <c r="J374" s="3">
        <f t="shared" si="7"/>
        <v>0</v>
      </c>
      <c r="K374" s="3"/>
      <c r="L374" s="3">
        <f t="shared" si="8"/>
        <v>438.058889</v>
      </c>
      <c r="M374" s="2">
        <f t="shared" si="9"/>
        <v>445.7379643</v>
      </c>
      <c r="N374" s="9">
        <f t="shared" si="10"/>
        <v>-7.679075267</v>
      </c>
      <c r="O374" s="3"/>
      <c r="P374" s="3"/>
      <c r="Q374" s="3"/>
      <c r="R374" s="2"/>
      <c r="S374" s="14">
        <f t="shared" si="13"/>
        <v>-7.051665121</v>
      </c>
    </row>
    <row r="375">
      <c r="A375" s="11">
        <v>363.0</v>
      </c>
      <c r="B375" s="11">
        <v>1.42097391304347E9</v>
      </c>
      <c r="C375" s="2">
        <v>-102.3675766</v>
      </c>
      <c r="D375" s="3">
        <f t="shared" si="1"/>
        <v>573913.0435</v>
      </c>
      <c r="E375" s="4">
        <f t="shared" si="2"/>
        <v>-122.1333856</v>
      </c>
      <c r="F375" s="3">
        <f t="shared" si="16"/>
        <v>0.0002128081718</v>
      </c>
      <c r="G375" s="3">
        <f t="shared" si="4"/>
        <v>0</v>
      </c>
      <c r="H375" s="2">
        <f t="shared" si="5"/>
        <v>0</v>
      </c>
      <c r="I375" s="3">
        <f t="shared" si="6"/>
        <v>0</v>
      </c>
      <c r="J375" s="3">
        <f t="shared" si="7"/>
        <v>0</v>
      </c>
      <c r="K375" s="3"/>
      <c r="L375" s="3">
        <f t="shared" si="8"/>
        <v>440.9085365</v>
      </c>
      <c r="M375" s="2">
        <f t="shared" si="9"/>
        <v>445.6000849</v>
      </c>
      <c r="N375" s="9">
        <f t="shared" si="10"/>
        <v>-4.691548359</v>
      </c>
      <c r="O375" s="3"/>
      <c r="P375" s="3"/>
      <c r="Q375" s="3"/>
      <c r="R375" s="2"/>
      <c r="S375" s="14">
        <f t="shared" si="13"/>
        <v>-4.308230715</v>
      </c>
    </row>
    <row r="376">
      <c r="A376" s="11">
        <v>364.0</v>
      </c>
      <c r="B376" s="11">
        <v>1.42097826086956E9</v>
      </c>
      <c r="C376" s="2">
        <v>-102.3118668</v>
      </c>
      <c r="D376" s="3">
        <f t="shared" si="1"/>
        <v>578260.8696</v>
      </c>
      <c r="E376" s="4">
        <f t="shared" si="2"/>
        <v>-123.0516817</v>
      </c>
      <c r="F376" s="3">
        <f t="shared" si="16"/>
        <v>0.0002127961413</v>
      </c>
      <c r="G376" s="3">
        <f t="shared" si="4"/>
        <v>0</v>
      </c>
      <c r="H376" s="2">
        <f t="shared" si="5"/>
        <v>0</v>
      </c>
      <c r="I376" s="3">
        <f t="shared" si="6"/>
        <v>0</v>
      </c>
      <c r="J376" s="3">
        <f t="shared" si="7"/>
        <v>0</v>
      </c>
      <c r="K376" s="3"/>
      <c r="L376" s="3">
        <f t="shared" si="8"/>
        <v>446.6007904</v>
      </c>
      <c r="M376" s="2">
        <f t="shared" si="9"/>
        <v>445.4615484</v>
      </c>
      <c r="N376" s="9">
        <f t="shared" si="10"/>
        <v>1.139242049</v>
      </c>
      <c r="O376" s="3"/>
      <c r="P376" s="3"/>
      <c r="Q376" s="3"/>
      <c r="R376" s="2"/>
      <c r="S376" s="14">
        <f t="shared" si="13"/>
        <v>1.046161565</v>
      </c>
    </row>
    <row r="377">
      <c r="A377" s="11">
        <v>365.0</v>
      </c>
      <c r="B377" s="11">
        <v>1.42098260869565E9</v>
      </c>
      <c r="C377" s="2">
        <v>-102.3490753</v>
      </c>
      <c r="D377" s="3">
        <f t="shared" si="1"/>
        <v>582608.6957</v>
      </c>
      <c r="E377" s="4">
        <f t="shared" si="2"/>
        <v>-123.9699778</v>
      </c>
      <c r="F377" s="3">
        <f t="shared" si="16"/>
        <v>0.0002127842903</v>
      </c>
      <c r="G377" s="3">
        <f t="shared" si="4"/>
        <v>0</v>
      </c>
      <c r="H377" s="2">
        <f t="shared" si="5"/>
        <v>0</v>
      </c>
      <c r="I377" s="3">
        <f t="shared" si="6"/>
        <v>0</v>
      </c>
      <c r="J377" s="3">
        <f t="shared" si="7"/>
        <v>0</v>
      </c>
      <c r="K377" s="3"/>
      <c r="L377" s="3">
        <f t="shared" si="8"/>
        <v>442.7908495</v>
      </c>
      <c r="M377" s="2">
        <f t="shared" si="9"/>
        <v>445.3223516</v>
      </c>
      <c r="N377" s="9">
        <f t="shared" si="10"/>
        <v>-2.531502103</v>
      </c>
      <c r="O377" s="3"/>
      <c r="P377" s="3"/>
      <c r="Q377" s="3"/>
      <c r="R377" s="2"/>
      <c r="S377" s="14">
        <f t="shared" si="13"/>
        <v>-2.324668591</v>
      </c>
    </row>
    <row r="378">
      <c r="A378" s="11">
        <v>366.0</v>
      </c>
      <c r="B378" s="11">
        <v>1.42098695652173E9</v>
      </c>
      <c r="C378" s="2">
        <v>-102.3236771</v>
      </c>
      <c r="D378" s="3">
        <f t="shared" si="1"/>
        <v>586956.5217</v>
      </c>
      <c r="E378" s="4">
        <f t="shared" si="2"/>
        <v>-124.888274</v>
      </c>
      <c r="F378" s="3">
        <f t="shared" si="16"/>
        <v>0.0002127726149</v>
      </c>
      <c r="G378" s="3">
        <f t="shared" si="4"/>
        <v>0</v>
      </c>
      <c r="H378" s="2">
        <f t="shared" si="5"/>
        <v>0</v>
      </c>
      <c r="I378" s="3">
        <f t="shared" si="6"/>
        <v>0</v>
      </c>
      <c r="J378" s="3">
        <f t="shared" si="7"/>
        <v>0</v>
      </c>
      <c r="K378" s="3"/>
      <c r="L378" s="3">
        <f t="shared" si="8"/>
        <v>445.3879442</v>
      </c>
      <c r="M378" s="2">
        <f t="shared" si="9"/>
        <v>445.1824914</v>
      </c>
      <c r="N378" s="9">
        <f t="shared" si="10"/>
        <v>0.2054528176</v>
      </c>
      <c r="O378" s="3"/>
      <c r="P378" s="3"/>
      <c r="Q378" s="3"/>
      <c r="R378" s="2"/>
      <c r="S378" s="14">
        <f t="shared" si="13"/>
        <v>0.1886665279</v>
      </c>
    </row>
    <row r="379">
      <c r="A379" s="11">
        <v>367.0</v>
      </c>
      <c r="B379" s="11">
        <v>1.42099130434782E9</v>
      </c>
      <c r="C379" s="2">
        <v>-102.2974014</v>
      </c>
      <c r="D379" s="3">
        <f t="shared" si="1"/>
        <v>591304.3478</v>
      </c>
      <c r="E379" s="4">
        <f t="shared" si="2"/>
        <v>-125.8065701</v>
      </c>
      <c r="F379" s="3">
        <f t="shared" si="16"/>
        <v>0.0002127611112</v>
      </c>
      <c r="G379" s="3">
        <f t="shared" si="4"/>
        <v>0</v>
      </c>
      <c r="H379" s="2">
        <f t="shared" si="5"/>
        <v>0</v>
      </c>
      <c r="I379" s="3">
        <f t="shared" si="6"/>
        <v>0</v>
      </c>
      <c r="J379" s="3">
        <f t="shared" si="7"/>
        <v>0</v>
      </c>
      <c r="K379" s="3"/>
      <c r="L379" s="3">
        <f t="shared" si="8"/>
        <v>448.0908001</v>
      </c>
      <c r="M379" s="2">
        <f t="shared" si="9"/>
        <v>445.0419647</v>
      </c>
      <c r="N379" s="9">
        <f t="shared" si="10"/>
        <v>3.048835404</v>
      </c>
      <c r="O379" s="3"/>
      <c r="P379" s="3"/>
      <c r="Q379" s="3"/>
      <c r="R379" s="2"/>
      <c r="S379" s="14">
        <f t="shared" si="13"/>
        <v>2.799733761</v>
      </c>
    </row>
    <row r="380">
      <c r="A380" s="11">
        <v>368.0</v>
      </c>
      <c r="B380" s="11">
        <v>1.42099565217391E9</v>
      </c>
      <c r="C380" s="2">
        <v>-102.3033066</v>
      </c>
      <c r="D380" s="3">
        <f t="shared" si="1"/>
        <v>595652.1739</v>
      </c>
      <c r="E380" s="4">
        <f t="shared" si="2"/>
        <v>-126.7248662</v>
      </c>
      <c r="F380" s="3">
        <f t="shared" si="16"/>
        <v>0.0002127497754</v>
      </c>
      <c r="G380" s="3">
        <f t="shared" si="4"/>
        <v>0</v>
      </c>
      <c r="H380" s="2">
        <f t="shared" si="5"/>
        <v>0</v>
      </c>
      <c r="I380" s="3">
        <f t="shared" si="6"/>
        <v>0</v>
      </c>
      <c r="J380" s="3">
        <f t="shared" si="7"/>
        <v>0</v>
      </c>
      <c r="K380" s="3"/>
      <c r="L380" s="3">
        <f t="shared" si="8"/>
        <v>447.481935</v>
      </c>
      <c r="M380" s="2">
        <f t="shared" si="9"/>
        <v>444.9007683</v>
      </c>
      <c r="N380" s="9">
        <f t="shared" si="10"/>
        <v>2.581166663</v>
      </c>
      <c r="O380" s="3"/>
      <c r="P380" s="3"/>
      <c r="Q380" s="3"/>
      <c r="R380" s="2"/>
      <c r="S380" s="14">
        <f t="shared" si="13"/>
        <v>2.37027536</v>
      </c>
    </row>
    <row r="381">
      <c r="A381" s="11">
        <v>369.0</v>
      </c>
      <c r="B381" s="11">
        <v>1.421E9</v>
      </c>
      <c r="C381" s="2">
        <v>-102.3781128</v>
      </c>
      <c r="D381" s="3">
        <f t="shared" si="1"/>
        <v>600000</v>
      </c>
      <c r="E381" s="4">
        <f t="shared" si="2"/>
        <v>-127.6431624</v>
      </c>
      <c r="F381" s="3">
        <f t="shared" si="16"/>
        <v>0.0002127386039</v>
      </c>
      <c r="G381" s="3">
        <f t="shared" si="4"/>
        <v>0</v>
      </c>
      <c r="H381" s="2">
        <f t="shared" si="5"/>
        <v>0</v>
      </c>
      <c r="I381" s="3">
        <f t="shared" si="6"/>
        <v>0</v>
      </c>
      <c r="J381" s="3">
        <f t="shared" si="7"/>
        <v>0</v>
      </c>
      <c r="K381" s="3"/>
      <c r="L381" s="3">
        <f t="shared" si="8"/>
        <v>439.840167</v>
      </c>
      <c r="M381" s="2">
        <f t="shared" si="9"/>
        <v>444.7588991</v>
      </c>
      <c r="N381" s="9">
        <f t="shared" si="10"/>
        <v>-4.918732143</v>
      </c>
      <c r="O381" s="3"/>
      <c r="P381" s="3"/>
      <c r="Q381" s="3"/>
      <c r="R381" s="2"/>
      <c r="S381" s="14">
        <f t="shared" si="13"/>
        <v>-4.516852705</v>
      </c>
    </row>
    <row r="382">
      <c r="A382" s="11">
        <v>370.0</v>
      </c>
      <c r="B382" s="11">
        <v>1.42100434782608E9</v>
      </c>
      <c r="C382" s="2">
        <v>-102.4071274</v>
      </c>
      <c r="D382" s="3">
        <f t="shared" si="1"/>
        <v>604347.8261</v>
      </c>
      <c r="E382" s="4">
        <f t="shared" si="2"/>
        <v>-128.5614585</v>
      </c>
      <c r="F382" s="3">
        <f t="shared" si="16"/>
        <v>0.0002127275932</v>
      </c>
      <c r="G382" s="3">
        <f t="shared" si="4"/>
        <v>0</v>
      </c>
      <c r="H382" s="2">
        <f t="shared" si="5"/>
        <v>0</v>
      </c>
      <c r="I382" s="3">
        <f t="shared" si="6"/>
        <v>0</v>
      </c>
      <c r="J382" s="3">
        <f t="shared" si="7"/>
        <v>0</v>
      </c>
      <c r="K382" s="3"/>
      <c r="L382" s="3">
        <f t="shared" si="8"/>
        <v>436.9114511</v>
      </c>
      <c r="M382" s="2">
        <f t="shared" si="9"/>
        <v>444.616354</v>
      </c>
      <c r="N382" s="9">
        <f t="shared" si="10"/>
        <v>-7.704902868</v>
      </c>
      <c r="O382" s="3"/>
      <c r="P382" s="3"/>
      <c r="Q382" s="3"/>
      <c r="R382" s="2"/>
      <c r="S382" s="14">
        <f t="shared" si="13"/>
        <v>-7.075382508</v>
      </c>
    </row>
    <row r="383">
      <c r="A383" s="11">
        <v>371.0</v>
      </c>
      <c r="B383" s="11">
        <v>1.42100869565217E9</v>
      </c>
      <c r="C383" s="2">
        <v>-102.3490295</v>
      </c>
      <c r="D383" s="3">
        <f t="shared" si="1"/>
        <v>608695.6522</v>
      </c>
      <c r="E383" s="4">
        <f t="shared" si="2"/>
        <v>-129.4797546</v>
      </c>
      <c r="F383" s="3">
        <f t="shared" si="16"/>
        <v>0.0002127167398</v>
      </c>
      <c r="G383" s="3">
        <f t="shared" si="4"/>
        <v>0</v>
      </c>
      <c r="H383" s="2">
        <f t="shared" si="5"/>
        <v>0</v>
      </c>
      <c r="I383" s="3">
        <f t="shared" si="6"/>
        <v>0</v>
      </c>
      <c r="J383" s="3">
        <f t="shared" si="7"/>
        <v>0</v>
      </c>
      <c r="K383" s="3"/>
      <c r="L383" s="3">
        <f t="shared" si="8"/>
        <v>442.7955191</v>
      </c>
      <c r="M383" s="2">
        <f t="shared" si="9"/>
        <v>444.4731297</v>
      </c>
      <c r="N383" s="9">
        <f t="shared" si="10"/>
        <v>-1.677610615</v>
      </c>
      <c r="O383" s="3"/>
      <c r="P383" s="3"/>
      <c r="Q383" s="3"/>
      <c r="R383" s="2"/>
      <c r="S383" s="14">
        <f t="shared" si="13"/>
        <v>-1.540543336</v>
      </c>
    </row>
    <row r="384">
      <c r="A384" s="11">
        <v>372.0</v>
      </c>
      <c r="B384" s="11">
        <v>1.42101304347826E9</v>
      </c>
      <c r="C384" s="2">
        <v>-102.3822937</v>
      </c>
      <c r="D384" s="3">
        <f t="shared" si="1"/>
        <v>613043.4783</v>
      </c>
      <c r="E384" s="4">
        <f t="shared" si="2"/>
        <v>-130.3980508</v>
      </c>
      <c r="F384" s="3">
        <f t="shared" si="16"/>
        <v>0.0002127060402</v>
      </c>
      <c r="G384" s="3">
        <f t="shared" si="4"/>
        <v>0</v>
      </c>
      <c r="H384" s="2">
        <f t="shared" si="5"/>
        <v>0</v>
      </c>
      <c r="I384" s="3">
        <f t="shared" si="6"/>
        <v>0</v>
      </c>
      <c r="J384" s="3">
        <f t="shared" si="7"/>
        <v>0</v>
      </c>
      <c r="K384" s="3"/>
      <c r="L384" s="3">
        <f t="shared" si="8"/>
        <v>439.416942</v>
      </c>
      <c r="M384" s="2">
        <f t="shared" si="9"/>
        <v>444.3292233</v>
      </c>
      <c r="N384" s="9">
        <f t="shared" si="10"/>
        <v>-4.912281304</v>
      </c>
      <c r="O384" s="3"/>
      <c r="P384" s="3"/>
      <c r="Q384" s="3"/>
      <c r="R384" s="2"/>
      <c r="S384" s="14">
        <f t="shared" si="13"/>
        <v>-4.510928925</v>
      </c>
    </row>
    <row r="385">
      <c r="A385" s="11">
        <v>373.0</v>
      </c>
      <c r="B385" s="11">
        <v>1.42101739130434E9</v>
      </c>
      <c r="C385" s="2">
        <v>-102.3778152</v>
      </c>
      <c r="D385" s="3">
        <f t="shared" si="1"/>
        <v>617391.3043</v>
      </c>
      <c r="E385" s="4">
        <f t="shared" si="2"/>
        <v>-131.3163469</v>
      </c>
      <c r="F385" s="3">
        <f t="shared" si="16"/>
        <v>0.0002126954915</v>
      </c>
      <c r="G385" s="3">
        <f t="shared" si="4"/>
        <v>0</v>
      </c>
      <c r="H385" s="2">
        <f t="shared" si="5"/>
        <v>0</v>
      </c>
      <c r="I385" s="3">
        <f t="shared" si="6"/>
        <v>0</v>
      </c>
      <c r="J385" s="3">
        <f t="shared" si="7"/>
        <v>0</v>
      </c>
      <c r="K385" s="3"/>
      <c r="L385" s="3">
        <f t="shared" si="8"/>
        <v>439.870308</v>
      </c>
      <c r="M385" s="2">
        <f t="shared" si="9"/>
        <v>444.1846314</v>
      </c>
      <c r="N385" s="9">
        <f t="shared" si="10"/>
        <v>-4.314323412</v>
      </c>
      <c r="O385" s="3"/>
      <c r="P385" s="3"/>
      <c r="Q385" s="3"/>
      <c r="R385" s="2"/>
      <c r="S385" s="14">
        <f t="shared" si="13"/>
        <v>-3.961826505</v>
      </c>
    </row>
    <row r="386">
      <c r="A386" s="11">
        <v>374.0</v>
      </c>
      <c r="B386" s="11">
        <v>1.42102173913043E9</v>
      </c>
      <c r="C386" s="2">
        <v>-102.3580551</v>
      </c>
      <c r="D386" s="3">
        <f t="shared" si="1"/>
        <v>621739.1304</v>
      </c>
      <c r="E386" s="4">
        <f t="shared" si="2"/>
        <v>-132.234643</v>
      </c>
      <c r="F386" s="3">
        <f t="shared" si="16"/>
        <v>0.0002126850902</v>
      </c>
      <c r="G386" s="3">
        <f t="shared" si="4"/>
        <v>0</v>
      </c>
      <c r="H386" s="2">
        <f t="shared" si="5"/>
        <v>0</v>
      </c>
      <c r="I386" s="3">
        <f t="shared" si="6"/>
        <v>0</v>
      </c>
      <c r="J386" s="3">
        <f t="shared" si="7"/>
        <v>0</v>
      </c>
      <c r="K386" s="3"/>
      <c r="L386" s="3">
        <f t="shared" si="8"/>
        <v>441.8762476</v>
      </c>
      <c r="M386" s="2">
        <f t="shared" si="9"/>
        <v>444.0393511</v>
      </c>
      <c r="N386" s="9">
        <f t="shared" si="10"/>
        <v>-2.163103476</v>
      </c>
      <c r="O386" s="3"/>
      <c r="P386" s="3"/>
      <c r="Q386" s="3"/>
      <c r="R386" s="2"/>
      <c r="S386" s="14">
        <f t="shared" si="13"/>
        <v>-1.986369552</v>
      </c>
    </row>
    <row r="387">
      <c r="A387" s="11">
        <v>375.0</v>
      </c>
      <c r="B387" s="11">
        <v>1.42102608695652E9</v>
      </c>
      <c r="C387" s="2">
        <v>-102.3401566</v>
      </c>
      <c r="D387" s="3">
        <f t="shared" si="1"/>
        <v>626086.9565</v>
      </c>
      <c r="E387" s="4">
        <f t="shared" si="2"/>
        <v>-133.1529392</v>
      </c>
      <c r="F387" s="3">
        <f t="shared" si="16"/>
        <v>0.0002126748334</v>
      </c>
      <c r="G387" s="3">
        <f t="shared" si="4"/>
        <v>0</v>
      </c>
      <c r="H387" s="2">
        <f t="shared" si="5"/>
        <v>0</v>
      </c>
      <c r="I387" s="3">
        <f t="shared" si="6"/>
        <v>0</v>
      </c>
      <c r="J387" s="3">
        <f t="shared" si="7"/>
        <v>0</v>
      </c>
      <c r="K387" s="3"/>
      <c r="L387" s="3">
        <f t="shared" si="8"/>
        <v>443.701102</v>
      </c>
      <c r="M387" s="2">
        <f t="shared" si="9"/>
        <v>443.8933792</v>
      </c>
      <c r="N387" s="9">
        <f t="shared" si="10"/>
        <v>-0.1922771288</v>
      </c>
      <c r="O387" s="3"/>
      <c r="P387" s="3"/>
      <c r="Q387" s="3"/>
      <c r="R387" s="2"/>
      <c r="S387" s="14">
        <f t="shared" si="13"/>
        <v>-0.1765673438</v>
      </c>
    </row>
    <row r="388">
      <c r="A388" s="11">
        <v>376.0</v>
      </c>
      <c r="B388" s="11">
        <v>1.4210304347826E9</v>
      </c>
      <c r="C388" s="2">
        <v>-102.3905945</v>
      </c>
      <c r="D388" s="3">
        <f t="shared" si="1"/>
        <v>630434.7826</v>
      </c>
      <c r="E388" s="4">
        <f t="shared" si="2"/>
        <v>-134.0712353</v>
      </c>
      <c r="F388" s="3">
        <f t="shared" si="16"/>
        <v>0.0002126647181</v>
      </c>
      <c r="G388" s="3">
        <f t="shared" si="4"/>
        <v>0</v>
      </c>
      <c r="H388" s="2">
        <f t="shared" si="5"/>
        <v>0</v>
      </c>
      <c r="I388" s="3">
        <f t="shared" si="6"/>
        <v>0</v>
      </c>
      <c r="J388" s="3">
        <f t="shared" si="7"/>
        <v>0</v>
      </c>
      <c r="K388" s="3"/>
      <c r="L388" s="3">
        <f t="shared" si="8"/>
        <v>438.5778734</v>
      </c>
      <c r="M388" s="2">
        <f t="shared" si="9"/>
        <v>443.7467124</v>
      </c>
      <c r="N388" s="9">
        <f t="shared" si="10"/>
        <v>-5.168839027</v>
      </c>
      <c r="O388" s="3"/>
      <c r="P388" s="3"/>
      <c r="Q388" s="3"/>
      <c r="R388" s="2"/>
      <c r="S388" s="14">
        <f t="shared" si="13"/>
        <v>-4.746524889</v>
      </c>
    </row>
    <row r="389">
      <c r="A389" s="11">
        <v>377.0</v>
      </c>
      <c r="B389" s="11">
        <v>1.42103478260869E9</v>
      </c>
      <c r="C389" s="2">
        <v>-102.3664932</v>
      </c>
      <c r="D389" s="3">
        <f t="shared" si="1"/>
        <v>634782.6087</v>
      </c>
      <c r="E389" s="4">
        <f t="shared" si="2"/>
        <v>-134.9895314</v>
      </c>
      <c r="F389" s="3">
        <f t="shared" si="16"/>
        <v>0.0002126547413</v>
      </c>
      <c r="G389" s="3">
        <f t="shared" si="4"/>
        <v>0</v>
      </c>
      <c r="H389" s="2">
        <f t="shared" si="5"/>
        <v>0</v>
      </c>
      <c r="I389" s="3">
        <f t="shared" si="6"/>
        <v>0</v>
      </c>
      <c r="J389" s="3">
        <f t="shared" si="7"/>
        <v>0</v>
      </c>
      <c r="K389" s="3"/>
      <c r="L389" s="3">
        <f t="shared" si="8"/>
        <v>441.0185402</v>
      </c>
      <c r="M389" s="2">
        <f t="shared" si="9"/>
        <v>443.5993478</v>
      </c>
      <c r="N389" s="9">
        <f t="shared" si="10"/>
        <v>-2.580807551</v>
      </c>
      <c r="O389" s="3"/>
      <c r="P389" s="3"/>
      <c r="Q389" s="3"/>
      <c r="R389" s="2"/>
      <c r="S389" s="14">
        <f t="shared" si="13"/>
        <v>-2.369945594</v>
      </c>
    </row>
    <row r="390">
      <c r="A390" s="11">
        <v>378.0</v>
      </c>
      <c r="B390" s="11">
        <v>1.42103913043478E9</v>
      </c>
      <c r="C390" s="2">
        <v>-102.2967072</v>
      </c>
      <c r="D390" s="3">
        <f t="shared" si="1"/>
        <v>639130.4348</v>
      </c>
      <c r="E390" s="4">
        <f t="shared" si="2"/>
        <v>-135.9078276</v>
      </c>
      <c r="F390" s="3">
        <f t="shared" si="16"/>
        <v>0.0002126449003</v>
      </c>
      <c r="G390" s="3">
        <f t="shared" si="4"/>
        <v>0</v>
      </c>
      <c r="H390" s="2">
        <f t="shared" si="5"/>
        <v>0</v>
      </c>
      <c r="I390" s="3">
        <f t="shared" si="6"/>
        <v>0</v>
      </c>
      <c r="J390" s="3">
        <f t="shared" si="7"/>
        <v>0</v>
      </c>
      <c r="K390" s="3"/>
      <c r="L390" s="3">
        <f t="shared" si="8"/>
        <v>448.1624311</v>
      </c>
      <c r="M390" s="2">
        <f t="shared" si="9"/>
        <v>443.451282</v>
      </c>
      <c r="N390" s="9">
        <f t="shared" si="10"/>
        <v>4.711149075</v>
      </c>
      <c r="O390" s="3"/>
      <c r="P390" s="3"/>
      <c r="Q390" s="3"/>
      <c r="R390" s="2"/>
      <c r="S390" s="14">
        <f t="shared" si="13"/>
        <v>4.326229966</v>
      </c>
    </row>
    <row r="391">
      <c r="A391" s="11">
        <v>379.0</v>
      </c>
      <c r="B391" s="11">
        <v>1.42104347826087E9</v>
      </c>
      <c r="C391" s="2">
        <v>-102.3824615</v>
      </c>
      <c r="D391" s="3">
        <f t="shared" si="1"/>
        <v>643478.2609</v>
      </c>
      <c r="E391" s="4">
        <f t="shared" si="2"/>
        <v>-136.8261237</v>
      </c>
      <c r="F391" s="3">
        <f t="shared" si="16"/>
        <v>0.0002126351922</v>
      </c>
      <c r="G391" s="3">
        <f t="shared" si="4"/>
        <v>0</v>
      </c>
      <c r="H391" s="2">
        <f t="shared" si="5"/>
        <v>0</v>
      </c>
      <c r="I391" s="3">
        <f t="shared" si="6"/>
        <v>0</v>
      </c>
      <c r="J391" s="3">
        <f t="shared" si="7"/>
        <v>0</v>
      </c>
      <c r="K391" s="3"/>
      <c r="L391" s="3">
        <f t="shared" si="8"/>
        <v>439.3999644</v>
      </c>
      <c r="M391" s="2">
        <f t="shared" si="9"/>
        <v>443.3025122</v>
      </c>
      <c r="N391" s="9">
        <f t="shared" si="10"/>
        <v>-3.902547771</v>
      </c>
      <c r="O391" s="3"/>
      <c r="P391" s="3"/>
      <c r="Q391" s="3"/>
      <c r="R391" s="2"/>
      <c r="S391" s="14">
        <f t="shared" si="13"/>
        <v>-3.583694526</v>
      </c>
    </row>
    <row r="392">
      <c r="A392" s="11">
        <v>380.0</v>
      </c>
      <c r="B392" s="11">
        <v>1.42104782608695E9</v>
      </c>
      <c r="C392" s="2">
        <v>-102.36586</v>
      </c>
      <c r="D392" s="3">
        <f t="shared" si="1"/>
        <v>647826.087</v>
      </c>
      <c r="E392" s="4">
        <f t="shared" si="2"/>
        <v>-137.7444198</v>
      </c>
      <c r="F392" s="3">
        <f t="shared" si="16"/>
        <v>0.0002126256145</v>
      </c>
      <c r="G392" s="3">
        <f t="shared" si="4"/>
        <v>0</v>
      </c>
      <c r="H392" s="2">
        <f t="shared" si="5"/>
        <v>0</v>
      </c>
      <c r="I392" s="3">
        <f t="shared" si="6"/>
        <v>0</v>
      </c>
      <c r="J392" s="3">
        <f t="shared" si="7"/>
        <v>0</v>
      </c>
      <c r="K392" s="3"/>
      <c r="L392" s="3">
        <f t="shared" si="8"/>
        <v>441.0828453</v>
      </c>
      <c r="M392" s="2">
        <f t="shared" si="9"/>
        <v>443.1530349</v>
      </c>
      <c r="N392" s="9">
        <f t="shared" si="10"/>
        <v>-2.070189672</v>
      </c>
      <c r="O392" s="3"/>
      <c r="P392" s="3"/>
      <c r="Q392" s="3"/>
      <c r="R392" s="2"/>
      <c r="S392" s="14">
        <f t="shared" si="13"/>
        <v>-1.90104717</v>
      </c>
    </row>
    <row r="393">
      <c r="A393" s="11">
        <v>381.0</v>
      </c>
      <c r="B393" s="11">
        <v>1.42105217391304E9</v>
      </c>
      <c r="C393" s="2">
        <v>-102.3278809</v>
      </c>
      <c r="D393" s="3">
        <f t="shared" si="1"/>
        <v>652173.913</v>
      </c>
      <c r="E393" s="4">
        <f t="shared" si="2"/>
        <v>-138.662716</v>
      </c>
      <c r="F393" s="3">
        <f t="shared" si="16"/>
        <v>0.0002126161645</v>
      </c>
      <c r="G393" s="3">
        <f t="shared" si="4"/>
        <v>0</v>
      </c>
      <c r="H393" s="2">
        <f t="shared" si="5"/>
        <v>0</v>
      </c>
      <c r="I393" s="3">
        <f t="shared" si="6"/>
        <v>0</v>
      </c>
      <c r="J393" s="3">
        <f t="shared" si="7"/>
        <v>0</v>
      </c>
      <c r="K393" s="3"/>
      <c r="L393" s="3">
        <f t="shared" si="8"/>
        <v>444.9570348</v>
      </c>
      <c r="M393" s="2">
        <f t="shared" si="9"/>
        <v>443.0028472</v>
      </c>
      <c r="N393" s="9">
        <f t="shared" si="10"/>
        <v>1.954187551</v>
      </c>
      <c r="O393" s="3"/>
      <c r="P393" s="3"/>
      <c r="Q393" s="3"/>
      <c r="R393" s="2"/>
      <c r="S393" s="14">
        <f t="shared" si="13"/>
        <v>1.794522867</v>
      </c>
    </row>
    <row r="394">
      <c r="A394" s="11">
        <v>382.0</v>
      </c>
      <c r="B394" s="11">
        <v>1.42105652173913E9</v>
      </c>
      <c r="C394" s="2">
        <v>-102.3445892</v>
      </c>
      <c r="D394" s="3">
        <f t="shared" si="1"/>
        <v>656521.7391</v>
      </c>
      <c r="E394" s="4">
        <f t="shared" si="2"/>
        <v>-139.5810121</v>
      </c>
      <c r="F394" s="3">
        <f t="shared" si="16"/>
        <v>0.0002126068396</v>
      </c>
      <c r="G394" s="3">
        <f t="shared" si="4"/>
        <v>0</v>
      </c>
      <c r="H394" s="2">
        <f t="shared" si="5"/>
        <v>0</v>
      </c>
      <c r="I394" s="3">
        <f t="shared" si="6"/>
        <v>0</v>
      </c>
      <c r="J394" s="3">
        <f t="shared" si="7"/>
        <v>0</v>
      </c>
      <c r="K394" s="3"/>
      <c r="L394" s="3">
        <f t="shared" si="8"/>
        <v>443.2484722</v>
      </c>
      <c r="M394" s="2">
        <f t="shared" si="9"/>
        <v>442.851946</v>
      </c>
      <c r="N394" s="9">
        <f t="shared" si="10"/>
        <v>0.3965262861</v>
      </c>
      <c r="O394" s="3"/>
      <c r="P394" s="3"/>
      <c r="Q394" s="3"/>
      <c r="R394" s="2"/>
      <c r="S394" s="14">
        <f t="shared" si="13"/>
        <v>0.364128555</v>
      </c>
    </row>
    <row r="395">
      <c r="A395" s="11">
        <v>383.0</v>
      </c>
      <c r="B395" s="11">
        <v>1.42106086956521E9</v>
      </c>
      <c r="C395" s="2">
        <v>-102.3477707</v>
      </c>
      <c r="D395" s="3">
        <f t="shared" si="1"/>
        <v>660869.5652</v>
      </c>
      <c r="E395" s="4">
        <f t="shared" si="2"/>
        <v>-140.4993082</v>
      </c>
      <c r="F395" s="3">
        <f t="shared" si="16"/>
        <v>0.0002125976374</v>
      </c>
      <c r="G395" s="3">
        <f t="shared" si="4"/>
        <v>0</v>
      </c>
      <c r="H395" s="2">
        <f t="shared" si="5"/>
        <v>0</v>
      </c>
      <c r="I395" s="3">
        <f t="shared" si="6"/>
        <v>0</v>
      </c>
      <c r="J395" s="3">
        <f t="shared" si="7"/>
        <v>0</v>
      </c>
      <c r="K395" s="3"/>
      <c r="L395" s="3">
        <f t="shared" si="8"/>
        <v>442.9238817</v>
      </c>
      <c r="M395" s="2">
        <f t="shared" si="9"/>
        <v>442.7003279</v>
      </c>
      <c r="N395" s="9">
        <f t="shared" si="10"/>
        <v>0.2235538179</v>
      </c>
      <c r="O395" s="3"/>
      <c r="P395" s="3"/>
      <c r="Q395" s="3"/>
      <c r="R395" s="2"/>
      <c r="S395" s="14">
        <f t="shared" si="13"/>
        <v>0.2052886065</v>
      </c>
    </row>
    <row r="396">
      <c r="A396" s="11">
        <v>384.0</v>
      </c>
      <c r="B396" s="11">
        <v>1.4210652173913E9</v>
      </c>
      <c r="C396" s="2">
        <v>-102.3434753</v>
      </c>
      <c r="D396" s="3">
        <f t="shared" si="1"/>
        <v>665217.3913</v>
      </c>
      <c r="E396" s="4">
        <f t="shared" si="2"/>
        <v>-141.4176043</v>
      </c>
      <c r="F396" s="3">
        <f t="shared" si="16"/>
        <v>0.0002125885556</v>
      </c>
      <c r="G396" s="3">
        <f t="shared" si="4"/>
        <v>0</v>
      </c>
      <c r="H396" s="2">
        <f t="shared" si="5"/>
        <v>0</v>
      </c>
      <c r="I396" s="3">
        <f t="shared" si="6"/>
        <v>0</v>
      </c>
      <c r="J396" s="3">
        <f t="shared" si="7"/>
        <v>0</v>
      </c>
      <c r="K396" s="3"/>
      <c r="L396" s="3">
        <f t="shared" si="8"/>
        <v>443.3621734</v>
      </c>
      <c r="M396" s="2">
        <f t="shared" si="9"/>
        <v>442.54799</v>
      </c>
      <c r="N396" s="9">
        <f t="shared" si="10"/>
        <v>0.8141833612</v>
      </c>
      <c r="O396" s="3"/>
      <c r="P396" s="3"/>
      <c r="Q396" s="3"/>
      <c r="R396" s="2"/>
      <c r="S396" s="14">
        <f t="shared" si="13"/>
        <v>0.7476614302</v>
      </c>
    </row>
    <row r="397">
      <c r="A397" s="11">
        <v>385.0</v>
      </c>
      <c r="B397" s="11">
        <v>1.42106956521739E9</v>
      </c>
      <c r="C397" s="2">
        <v>-102.3979034</v>
      </c>
      <c r="D397" s="3">
        <f t="shared" si="1"/>
        <v>669565.2174</v>
      </c>
      <c r="E397" s="4">
        <f t="shared" si="2"/>
        <v>-142.3359005</v>
      </c>
      <c r="F397" s="3">
        <f t="shared" si="16"/>
        <v>0.0002125795916</v>
      </c>
      <c r="G397" s="3">
        <f t="shared" si="4"/>
        <v>0</v>
      </c>
      <c r="H397" s="2">
        <f t="shared" si="5"/>
        <v>0</v>
      </c>
      <c r="I397" s="3">
        <f t="shared" si="6"/>
        <v>0</v>
      </c>
      <c r="J397" s="3">
        <f t="shared" si="7"/>
        <v>0</v>
      </c>
      <c r="K397" s="3"/>
      <c r="L397" s="3">
        <f t="shared" si="8"/>
        <v>437.8403954</v>
      </c>
      <c r="M397" s="2">
        <f t="shared" si="9"/>
        <v>442.3949291</v>
      </c>
      <c r="N397" s="9">
        <f t="shared" si="10"/>
        <v>-4.55453366</v>
      </c>
      <c r="O397" s="3"/>
      <c r="P397" s="3"/>
      <c r="Q397" s="3"/>
      <c r="R397" s="2"/>
      <c r="S397" s="14">
        <f t="shared" si="13"/>
        <v>-4.182410647</v>
      </c>
    </row>
    <row r="398">
      <c r="A398" s="11">
        <v>386.0</v>
      </c>
      <c r="B398" s="11">
        <v>1.42107391304347E9</v>
      </c>
      <c r="C398" s="2">
        <v>-102.3985138</v>
      </c>
      <c r="D398" s="3">
        <f t="shared" si="1"/>
        <v>673913.0435</v>
      </c>
      <c r="E398" s="4">
        <f t="shared" si="2"/>
        <v>-143.2541966</v>
      </c>
      <c r="F398" s="3">
        <f t="shared" si="16"/>
        <v>0.0002125707434</v>
      </c>
      <c r="G398" s="3">
        <f t="shared" si="4"/>
        <v>0</v>
      </c>
      <c r="H398" s="2">
        <f t="shared" si="5"/>
        <v>0</v>
      </c>
      <c r="I398" s="3">
        <f t="shared" si="6"/>
        <v>0</v>
      </c>
      <c r="J398" s="3">
        <f t="shared" si="7"/>
        <v>0</v>
      </c>
      <c r="K398" s="3"/>
      <c r="L398" s="3">
        <f t="shared" si="8"/>
        <v>437.7788614</v>
      </c>
      <c r="M398" s="2">
        <f t="shared" si="9"/>
        <v>442.241142</v>
      </c>
      <c r="N398" s="9">
        <f t="shared" si="10"/>
        <v>-4.462280643</v>
      </c>
      <c r="O398" s="3"/>
      <c r="P398" s="3"/>
      <c r="Q398" s="3"/>
      <c r="R398" s="2"/>
      <c r="S398" s="14">
        <f t="shared" si="13"/>
        <v>-4.097695058</v>
      </c>
    </row>
    <row r="399">
      <c r="A399" s="11">
        <v>387.0</v>
      </c>
      <c r="B399" s="11">
        <v>1.42107826086956E9</v>
      </c>
      <c r="C399" s="2">
        <v>-102.3232346</v>
      </c>
      <c r="D399" s="3">
        <f t="shared" si="1"/>
        <v>678260.8696</v>
      </c>
      <c r="E399" s="4">
        <f t="shared" si="2"/>
        <v>-144.1724927</v>
      </c>
      <c r="F399" s="3">
        <f t="shared" si="16"/>
        <v>0.0002125620085</v>
      </c>
      <c r="G399" s="3">
        <f t="shared" si="4"/>
        <v>0</v>
      </c>
      <c r="H399" s="2">
        <f t="shared" si="5"/>
        <v>0</v>
      </c>
      <c r="I399" s="3">
        <f t="shared" si="6"/>
        <v>0</v>
      </c>
      <c r="J399" s="3">
        <f t="shared" si="7"/>
        <v>0</v>
      </c>
      <c r="K399" s="3"/>
      <c r="L399" s="3">
        <f t="shared" si="8"/>
        <v>445.4333269</v>
      </c>
      <c r="M399" s="2">
        <f t="shared" si="9"/>
        <v>442.0866257</v>
      </c>
      <c r="N399" s="9">
        <f t="shared" si="10"/>
        <v>3.346701184</v>
      </c>
      <c r="O399" s="3"/>
      <c r="P399" s="3"/>
      <c r="Q399" s="3"/>
      <c r="R399" s="2"/>
      <c r="S399" s="14">
        <f t="shared" si="13"/>
        <v>3.073262748</v>
      </c>
    </row>
    <row r="400">
      <c r="A400" s="11">
        <v>388.0</v>
      </c>
      <c r="B400" s="11">
        <v>1.42108260869565E9</v>
      </c>
      <c r="C400" s="2">
        <v>-102.3409729</v>
      </c>
      <c r="D400" s="3">
        <f t="shared" si="1"/>
        <v>682608.6957</v>
      </c>
      <c r="E400" s="4">
        <f t="shared" si="2"/>
        <v>-145.0907889</v>
      </c>
      <c r="F400" s="3">
        <f t="shared" si="16"/>
        <v>0.000212553385</v>
      </c>
      <c r="G400" s="3">
        <f t="shared" si="4"/>
        <v>0</v>
      </c>
      <c r="H400" s="2">
        <f t="shared" si="5"/>
        <v>0</v>
      </c>
      <c r="I400" s="3">
        <f t="shared" si="6"/>
        <v>0</v>
      </c>
      <c r="J400" s="3">
        <f t="shared" si="7"/>
        <v>0</v>
      </c>
      <c r="K400" s="3"/>
      <c r="L400" s="3">
        <f t="shared" si="8"/>
        <v>443.6177118</v>
      </c>
      <c r="M400" s="2">
        <f t="shared" si="9"/>
        <v>441.9313769</v>
      </c>
      <c r="N400" s="9">
        <f t="shared" si="10"/>
        <v>1.686334901</v>
      </c>
      <c r="O400" s="3"/>
      <c r="P400" s="3"/>
      <c r="Q400" s="3"/>
      <c r="R400" s="2"/>
      <c r="S400" s="14">
        <f t="shared" si="13"/>
        <v>1.548554818</v>
      </c>
    </row>
    <row r="401">
      <c r="A401" s="11">
        <v>389.0</v>
      </c>
      <c r="B401" s="11">
        <v>1.42108695652173E9</v>
      </c>
      <c r="C401" s="2">
        <v>-102.3691635</v>
      </c>
      <c r="D401" s="3">
        <f t="shared" si="1"/>
        <v>686956.5217</v>
      </c>
      <c r="E401" s="4">
        <f t="shared" si="2"/>
        <v>-146.009085</v>
      </c>
      <c r="F401" s="3">
        <f t="shared" si="16"/>
        <v>0.0002125448706</v>
      </c>
      <c r="G401" s="3">
        <f t="shared" si="4"/>
        <v>0</v>
      </c>
      <c r="H401" s="2">
        <f t="shared" si="5"/>
        <v>0</v>
      </c>
      <c r="I401" s="3">
        <f t="shared" si="6"/>
        <v>0</v>
      </c>
      <c r="J401" s="3">
        <f t="shared" si="7"/>
        <v>0</v>
      </c>
      <c r="K401" s="3"/>
      <c r="L401" s="3">
        <f t="shared" si="8"/>
        <v>440.7474592</v>
      </c>
      <c r="M401" s="2">
        <f t="shared" si="9"/>
        <v>441.7753925</v>
      </c>
      <c r="N401" s="9">
        <f t="shared" si="10"/>
        <v>-1.02793334</v>
      </c>
      <c r="O401" s="3"/>
      <c r="P401" s="3"/>
      <c r="Q401" s="3"/>
      <c r="R401" s="2"/>
      <c r="S401" s="14">
        <f t="shared" si="13"/>
        <v>-0.943947211</v>
      </c>
    </row>
    <row r="402">
      <c r="A402" s="11">
        <v>390.0</v>
      </c>
      <c r="B402" s="11">
        <v>1.42109130434782E9</v>
      </c>
      <c r="C402" s="2">
        <v>-102.3540573</v>
      </c>
      <c r="D402" s="3">
        <f t="shared" si="1"/>
        <v>691304.3478</v>
      </c>
      <c r="E402" s="4">
        <f t="shared" si="2"/>
        <v>-146.9273811</v>
      </c>
      <c r="F402" s="3">
        <f t="shared" si="16"/>
        <v>0.0002125364633</v>
      </c>
      <c r="G402" s="3">
        <f t="shared" si="4"/>
        <v>0</v>
      </c>
      <c r="H402" s="2">
        <f t="shared" si="5"/>
        <v>0</v>
      </c>
      <c r="I402" s="3">
        <f t="shared" si="6"/>
        <v>0</v>
      </c>
      <c r="J402" s="3">
        <f t="shared" si="7"/>
        <v>0</v>
      </c>
      <c r="K402" s="3"/>
      <c r="L402" s="3">
        <f t="shared" si="8"/>
        <v>442.2831941</v>
      </c>
      <c r="M402" s="2">
        <f t="shared" si="9"/>
        <v>441.6186695</v>
      </c>
      <c r="N402" s="9">
        <f t="shared" si="10"/>
        <v>0.6645246537</v>
      </c>
      <c r="O402" s="3"/>
      <c r="P402" s="3"/>
      <c r="Q402" s="3"/>
      <c r="R402" s="2"/>
      <c r="S402" s="14">
        <f t="shared" si="13"/>
        <v>0.6102304196</v>
      </c>
    </row>
    <row r="403">
      <c r="A403" s="11">
        <v>391.0</v>
      </c>
      <c r="B403" s="11">
        <v>1.42109565217391E9</v>
      </c>
      <c r="C403" s="2">
        <v>-102.3735123</v>
      </c>
      <c r="D403" s="3">
        <f t="shared" si="1"/>
        <v>695652.1739</v>
      </c>
      <c r="E403" s="4">
        <f t="shared" si="2"/>
        <v>-147.8456773</v>
      </c>
      <c r="F403" s="3">
        <f t="shared" si="16"/>
        <v>0.0002125281611</v>
      </c>
      <c r="G403" s="3">
        <f t="shared" si="4"/>
        <v>0</v>
      </c>
      <c r="H403" s="2">
        <f t="shared" si="5"/>
        <v>0</v>
      </c>
      <c r="I403" s="3">
        <f t="shared" si="6"/>
        <v>0</v>
      </c>
      <c r="J403" s="3">
        <f t="shared" si="7"/>
        <v>0</v>
      </c>
      <c r="K403" s="3"/>
      <c r="L403" s="3">
        <f t="shared" si="8"/>
        <v>440.3063384</v>
      </c>
      <c r="M403" s="2">
        <f t="shared" si="9"/>
        <v>441.4612046</v>
      </c>
      <c r="N403" s="9">
        <f t="shared" si="10"/>
        <v>-1.154866176</v>
      </c>
      <c r="O403" s="3"/>
      <c r="P403" s="3"/>
      <c r="Q403" s="3"/>
      <c r="R403" s="2"/>
      <c r="S403" s="14">
        <f t="shared" si="13"/>
        <v>-1.060509141</v>
      </c>
    </row>
    <row r="404">
      <c r="A404" s="11">
        <v>392.0</v>
      </c>
      <c r="B404" s="11">
        <v>1.4211E9</v>
      </c>
      <c r="C404" s="2">
        <v>-102.3588715</v>
      </c>
      <c r="D404" s="3">
        <f t="shared" si="1"/>
        <v>700000</v>
      </c>
      <c r="E404" s="4">
        <f t="shared" si="2"/>
        <v>-148.7639734</v>
      </c>
      <c r="F404" s="3">
        <f t="shared" si="16"/>
        <v>0.000212519962</v>
      </c>
      <c r="G404" s="3">
        <f t="shared" si="4"/>
        <v>0</v>
      </c>
      <c r="H404" s="2">
        <f t="shared" si="5"/>
        <v>0</v>
      </c>
      <c r="I404" s="3">
        <f t="shared" si="6"/>
        <v>0</v>
      </c>
      <c r="J404" s="3">
        <f t="shared" si="7"/>
        <v>0</v>
      </c>
      <c r="K404" s="3"/>
      <c r="L404" s="3">
        <f t="shared" si="8"/>
        <v>441.7931902</v>
      </c>
      <c r="M404" s="2">
        <f t="shared" si="9"/>
        <v>441.3029947</v>
      </c>
      <c r="N404" s="9">
        <f t="shared" si="10"/>
        <v>0.490195483</v>
      </c>
      <c r="O404" s="3"/>
      <c r="P404" s="3"/>
      <c r="Q404" s="3"/>
      <c r="R404" s="2"/>
      <c r="S404" s="14">
        <f t="shared" si="13"/>
        <v>0.4501446164</v>
      </c>
    </row>
    <row r="405">
      <c r="A405" s="11">
        <v>393.0</v>
      </c>
      <c r="B405" s="11">
        <v>1.42110434782608E9</v>
      </c>
      <c r="C405" s="2">
        <v>-102.3403473</v>
      </c>
      <c r="D405" s="3">
        <f t="shared" si="1"/>
        <v>704347.8261</v>
      </c>
      <c r="E405" s="4">
        <f t="shared" si="2"/>
        <v>-149.6822695</v>
      </c>
      <c r="F405" s="3">
        <f t="shared" si="16"/>
        <v>0.0002125118642</v>
      </c>
      <c r="G405" s="3">
        <f t="shared" si="4"/>
        <v>0</v>
      </c>
      <c r="H405" s="2">
        <f t="shared" si="5"/>
        <v>0</v>
      </c>
      <c r="I405" s="3">
        <f t="shared" si="6"/>
        <v>0</v>
      </c>
      <c r="J405" s="3">
        <f t="shared" si="7"/>
        <v>0</v>
      </c>
      <c r="K405" s="3"/>
      <c r="L405" s="3">
        <f t="shared" si="8"/>
        <v>443.6816194</v>
      </c>
      <c r="M405" s="2">
        <f t="shared" si="9"/>
        <v>441.1440367</v>
      </c>
      <c r="N405" s="9">
        <f t="shared" si="10"/>
        <v>2.537582666</v>
      </c>
      <c r="O405" s="3"/>
      <c r="P405" s="3"/>
      <c r="Q405" s="3"/>
      <c r="R405" s="2"/>
      <c r="S405" s="14">
        <f t="shared" si="13"/>
        <v>2.330252349</v>
      </c>
    </row>
    <row r="406">
      <c r="A406" s="11">
        <v>394.0</v>
      </c>
      <c r="B406" s="11">
        <v>1.42110869565217E9</v>
      </c>
      <c r="C406" s="2">
        <v>-102.3994446</v>
      </c>
      <c r="D406" s="3">
        <f t="shared" si="1"/>
        <v>708695.6522</v>
      </c>
      <c r="E406" s="4">
        <f t="shared" si="2"/>
        <v>-150.6005657</v>
      </c>
      <c r="F406" s="3">
        <f t="shared" si="16"/>
        <v>0.0002125038657</v>
      </c>
      <c r="G406" s="3">
        <f t="shared" si="4"/>
        <v>0</v>
      </c>
      <c r="H406" s="2">
        <f t="shared" si="5"/>
        <v>0</v>
      </c>
      <c r="I406" s="3">
        <f t="shared" si="6"/>
        <v>0</v>
      </c>
      <c r="J406" s="3">
        <f t="shared" si="7"/>
        <v>0</v>
      </c>
      <c r="K406" s="3"/>
      <c r="L406" s="3">
        <f t="shared" si="8"/>
        <v>437.6850447</v>
      </c>
      <c r="M406" s="2">
        <f t="shared" si="9"/>
        <v>440.9843275</v>
      </c>
      <c r="N406" s="9">
        <f t="shared" si="10"/>
        <v>-3.299282841</v>
      </c>
      <c r="O406" s="3"/>
      <c r="P406" s="3"/>
      <c r="Q406" s="3"/>
      <c r="R406" s="2"/>
      <c r="S406" s="14">
        <f t="shared" si="13"/>
        <v>-3.029718666</v>
      </c>
    </row>
    <row r="407">
      <c r="A407" s="11">
        <v>395.0</v>
      </c>
      <c r="B407" s="11">
        <v>1.42111304347826E9</v>
      </c>
      <c r="C407" s="2">
        <v>-102.3381805</v>
      </c>
      <c r="D407" s="3">
        <f t="shared" si="1"/>
        <v>713043.4783</v>
      </c>
      <c r="E407" s="4">
        <f t="shared" si="2"/>
        <v>-151.5188618</v>
      </c>
      <c r="F407" s="3">
        <f t="shared" si="16"/>
        <v>0.0002124959647</v>
      </c>
      <c r="G407" s="3">
        <f t="shared" si="4"/>
        <v>0</v>
      </c>
      <c r="H407" s="2">
        <f t="shared" si="5"/>
        <v>0</v>
      </c>
      <c r="I407" s="3">
        <f t="shared" si="6"/>
        <v>0</v>
      </c>
      <c r="J407" s="3">
        <f t="shared" si="7"/>
        <v>0</v>
      </c>
      <c r="K407" s="3"/>
      <c r="L407" s="3">
        <f t="shared" si="8"/>
        <v>443.9030381</v>
      </c>
      <c r="M407" s="2">
        <f t="shared" si="9"/>
        <v>440.8238639</v>
      </c>
      <c r="N407" s="9">
        <f t="shared" si="10"/>
        <v>3.079174233</v>
      </c>
      <c r="O407" s="3"/>
      <c r="P407" s="3"/>
      <c r="Q407" s="3"/>
      <c r="R407" s="2"/>
      <c r="S407" s="14">
        <f t="shared" si="13"/>
        <v>2.82759379</v>
      </c>
    </row>
    <row r="408">
      <c r="A408" s="11">
        <v>396.0</v>
      </c>
      <c r="B408" s="11">
        <v>1.42111739130434E9</v>
      </c>
      <c r="C408" s="2">
        <v>-102.353447</v>
      </c>
      <c r="D408" s="3">
        <f t="shared" si="1"/>
        <v>717391.3043</v>
      </c>
      <c r="E408" s="4">
        <f t="shared" si="2"/>
        <v>-152.4371579</v>
      </c>
      <c r="F408" s="3">
        <f t="shared" si="16"/>
        <v>0.0002124881595</v>
      </c>
      <c r="G408" s="3">
        <f t="shared" si="4"/>
        <v>0</v>
      </c>
      <c r="H408" s="2">
        <f t="shared" si="5"/>
        <v>0</v>
      </c>
      <c r="I408" s="3">
        <f t="shared" si="6"/>
        <v>0</v>
      </c>
      <c r="J408" s="3">
        <f t="shared" si="7"/>
        <v>0</v>
      </c>
      <c r="K408" s="3"/>
      <c r="L408" s="3">
        <f t="shared" si="8"/>
        <v>442.3453511</v>
      </c>
      <c r="M408" s="2">
        <f t="shared" si="9"/>
        <v>440.6626427</v>
      </c>
      <c r="N408" s="9">
        <f t="shared" si="10"/>
        <v>1.682708421</v>
      </c>
      <c r="O408" s="3"/>
      <c r="P408" s="3"/>
      <c r="Q408" s="3"/>
      <c r="R408" s="2"/>
      <c r="S408" s="14">
        <f t="shared" si="13"/>
        <v>1.545224635</v>
      </c>
    </row>
    <row r="409">
      <c r="A409" s="11">
        <v>397.0</v>
      </c>
      <c r="B409" s="11">
        <v>1.42112173913043E9</v>
      </c>
      <c r="C409" s="2">
        <v>-102.3427582</v>
      </c>
      <c r="D409" s="3">
        <f t="shared" si="1"/>
        <v>721739.1304</v>
      </c>
      <c r="E409" s="4">
        <f t="shared" si="2"/>
        <v>-153.3554541</v>
      </c>
      <c r="F409" s="3">
        <f t="shared" si="16"/>
        <v>0.0002124804484</v>
      </c>
      <c r="G409" s="3">
        <f t="shared" si="4"/>
        <v>0</v>
      </c>
      <c r="H409" s="2">
        <f t="shared" si="5"/>
        <v>0</v>
      </c>
      <c r="I409" s="3">
        <f t="shared" si="6"/>
        <v>0</v>
      </c>
      <c r="J409" s="3">
        <f t="shared" si="7"/>
        <v>0</v>
      </c>
      <c r="K409" s="3"/>
      <c r="L409" s="3">
        <f t="shared" si="8"/>
        <v>443.4353867</v>
      </c>
      <c r="M409" s="2">
        <f t="shared" si="9"/>
        <v>440.5006609</v>
      </c>
      <c r="N409" s="9">
        <f t="shared" si="10"/>
        <v>2.934725779</v>
      </c>
      <c r="O409" s="3"/>
      <c r="P409" s="3"/>
      <c r="Q409" s="3"/>
      <c r="R409" s="2"/>
      <c r="S409" s="14">
        <f t="shared" si="13"/>
        <v>2.694947327</v>
      </c>
    </row>
    <row r="410">
      <c r="A410" s="11">
        <v>398.0</v>
      </c>
      <c r="B410" s="11">
        <v>1.42112608695652E9</v>
      </c>
      <c r="C410" s="2">
        <v>-102.3308411</v>
      </c>
      <c r="D410" s="3">
        <f t="shared" si="1"/>
        <v>726086.9565</v>
      </c>
      <c r="E410" s="4">
        <f t="shared" si="2"/>
        <v>-154.2737502</v>
      </c>
      <c r="F410" s="3">
        <f t="shared" si="16"/>
        <v>0.0002124728296</v>
      </c>
      <c r="G410" s="3">
        <f t="shared" si="4"/>
        <v>0</v>
      </c>
      <c r="H410" s="2">
        <f t="shared" si="5"/>
        <v>0</v>
      </c>
      <c r="I410" s="3">
        <f t="shared" si="6"/>
        <v>0</v>
      </c>
      <c r="J410" s="3">
        <f t="shared" si="7"/>
        <v>0</v>
      </c>
      <c r="K410" s="3"/>
      <c r="L410" s="3">
        <f t="shared" si="8"/>
        <v>444.6538504</v>
      </c>
      <c r="M410" s="2">
        <f t="shared" si="9"/>
        <v>440.3379153</v>
      </c>
      <c r="N410" s="9">
        <f t="shared" si="10"/>
        <v>4.315935147</v>
      </c>
      <c r="O410" s="3"/>
      <c r="P410" s="3"/>
      <c r="Q410" s="3"/>
      <c r="R410" s="2"/>
      <c r="S410" s="14">
        <f t="shared" si="13"/>
        <v>3.963306555</v>
      </c>
    </row>
    <row r="411">
      <c r="A411" s="11">
        <v>399.0</v>
      </c>
      <c r="B411" s="11">
        <v>1.4211304347826E9</v>
      </c>
      <c r="C411" s="2">
        <v>-102.3519363</v>
      </c>
      <c r="D411" s="3">
        <f t="shared" si="1"/>
        <v>730434.7826</v>
      </c>
      <c r="E411" s="4">
        <f t="shared" si="2"/>
        <v>-155.1920463</v>
      </c>
      <c r="F411" s="3">
        <f t="shared" si="16"/>
        <v>0.0002124653015</v>
      </c>
      <c r="G411" s="3">
        <f t="shared" si="4"/>
        <v>0</v>
      </c>
      <c r="H411" s="2">
        <f t="shared" si="5"/>
        <v>0</v>
      </c>
      <c r="I411" s="3">
        <f t="shared" si="6"/>
        <v>0</v>
      </c>
      <c r="J411" s="3">
        <f t="shared" si="7"/>
        <v>0</v>
      </c>
      <c r="K411" s="3"/>
      <c r="L411" s="3">
        <f t="shared" si="8"/>
        <v>442.4992484</v>
      </c>
      <c r="M411" s="2">
        <f t="shared" si="9"/>
        <v>440.1744027</v>
      </c>
      <c r="N411" s="9">
        <f t="shared" si="10"/>
        <v>2.324845704</v>
      </c>
      <c r="O411" s="3"/>
      <c r="P411" s="3"/>
      <c r="Q411" s="3"/>
      <c r="R411" s="2"/>
      <c r="S411" s="14">
        <f t="shared" si="13"/>
        <v>2.134896819</v>
      </c>
    </row>
    <row r="412">
      <c r="A412" s="11">
        <v>400.0</v>
      </c>
      <c r="B412" s="11">
        <v>1.42113478260869E9</v>
      </c>
      <c r="C412" s="2">
        <v>-102.3924942</v>
      </c>
      <c r="D412" s="3">
        <f t="shared" si="1"/>
        <v>734782.6087</v>
      </c>
      <c r="E412" s="4">
        <f t="shared" si="2"/>
        <v>-156.1103425</v>
      </c>
      <c r="F412" s="3">
        <f t="shared" si="16"/>
        <v>0.0002124578625</v>
      </c>
      <c r="G412" s="3">
        <f t="shared" si="4"/>
        <v>0</v>
      </c>
      <c r="H412" s="2">
        <f t="shared" si="5"/>
        <v>0</v>
      </c>
      <c r="I412" s="3">
        <f t="shared" si="6"/>
        <v>0</v>
      </c>
      <c r="J412" s="3">
        <f t="shared" si="7"/>
        <v>0</v>
      </c>
      <c r="K412" s="3"/>
      <c r="L412" s="3">
        <f t="shared" si="8"/>
        <v>438.3860717</v>
      </c>
      <c r="M412" s="2">
        <f t="shared" si="9"/>
        <v>440.0101201</v>
      </c>
      <c r="N412" s="9">
        <f t="shared" si="10"/>
        <v>-1.624048375</v>
      </c>
      <c r="O412" s="3"/>
      <c r="P412" s="3"/>
      <c r="Q412" s="3"/>
      <c r="R412" s="2"/>
      <c r="S412" s="14">
        <f t="shared" si="13"/>
        <v>-1.491357342</v>
      </c>
    </row>
    <row r="413">
      <c r="A413" s="11">
        <v>401.0</v>
      </c>
      <c r="B413" s="11">
        <v>1.42113913043478E9</v>
      </c>
      <c r="C413" s="2">
        <v>-102.3897629</v>
      </c>
      <c r="D413" s="3">
        <f t="shared" si="1"/>
        <v>739130.4348</v>
      </c>
      <c r="E413" s="4">
        <f t="shared" si="2"/>
        <v>-157.0286386</v>
      </c>
      <c r="F413" s="3">
        <f t="shared" si="16"/>
        <v>0.000212450511</v>
      </c>
      <c r="G413" s="3">
        <f t="shared" si="4"/>
        <v>0</v>
      </c>
      <c r="H413" s="2">
        <f t="shared" si="5"/>
        <v>0</v>
      </c>
      <c r="I413" s="3">
        <f t="shared" si="6"/>
        <v>0</v>
      </c>
      <c r="J413" s="3">
        <f t="shared" si="7"/>
        <v>0</v>
      </c>
      <c r="K413" s="3"/>
      <c r="L413" s="3">
        <f t="shared" si="8"/>
        <v>438.6618616</v>
      </c>
      <c r="M413" s="2">
        <f t="shared" si="9"/>
        <v>439.8450642</v>
      </c>
      <c r="N413" s="9">
        <f t="shared" si="10"/>
        <v>-1.183202581</v>
      </c>
      <c r="O413" s="3"/>
      <c r="P413" s="3"/>
      <c r="Q413" s="3"/>
      <c r="R413" s="2"/>
      <c r="S413" s="14">
        <f t="shared" si="13"/>
        <v>-1.086530352</v>
      </c>
    </row>
    <row r="414">
      <c r="A414" s="11">
        <v>402.0</v>
      </c>
      <c r="B414" s="11">
        <v>1.42114347826087E9</v>
      </c>
      <c r="C414" s="2">
        <v>-102.4130402</v>
      </c>
      <c r="D414" s="3">
        <f t="shared" si="1"/>
        <v>743478.2609</v>
      </c>
      <c r="E414" s="4">
        <f t="shared" si="2"/>
        <v>-157.9469347</v>
      </c>
      <c r="F414" s="3">
        <f t="shared" si="16"/>
        <v>0.0002124432455</v>
      </c>
      <c r="G414" s="3">
        <f t="shared" si="4"/>
        <v>0</v>
      </c>
      <c r="H414" s="2">
        <f t="shared" si="5"/>
        <v>0</v>
      </c>
      <c r="I414" s="3">
        <f t="shared" si="6"/>
        <v>0</v>
      </c>
      <c r="J414" s="3">
        <f t="shared" si="7"/>
        <v>0</v>
      </c>
      <c r="K414" s="3"/>
      <c r="L414" s="3">
        <f t="shared" si="8"/>
        <v>436.3170129</v>
      </c>
      <c r="M414" s="2">
        <f t="shared" si="9"/>
        <v>439.679232</v>
      </c>
      <c r="N414" s="9">
        <f t="shared" si="10"/>
        <v>-3.362219065</v>
      </c>
      <c r="O414" s="3"/>
      <c r="P414" s="3"/>
      <c r="Q414" s="3"/>
      <c r="R414" s="2"/>
      <c r="S414" s="14">
        <f t="shared" si="13"/>
        <v>-3.087512765</v>
      </c>
    </row>
    <row r="415">
      <c r="A415" s="11">
        <v>403.0</v>
      </c>
      <c r="B415" s="11">
        <v>1.42114782608695E9</v>
      </c>
      <c r="C415" s="2">
        <v>-102.4093704</v>
      </c>
      <c r="D415" s="3">
        <f t="shared" si="1"/>
        <v>747826.087</v>
      </c>
      <c r="E415" s="4">
        <f t="shared" si="2"/>
        <v>-158.8652309</v>
      </c>
      <c r="F415" s="3">
        <f t="shared" si="16"/>
        <v>0.0002124360645</v>
      </c>
      <c r="G415" s="3">
        <f t="shared" si="4"/>
        <v>0</v>
      </c>
      <c r="H415" s="2">
        <f t="shared" si="5"/>
        <v>0</v>
      </c>
      <c r="I415" s="3">
        <f t="shared" si="6"/>
        <v>0</v>
      </c>
      <c r="J415" s="3">
        <f t="shared" si="7"/>
        <v>0</v>
      </c>
      <c r="K415" s="3"/>
      <c r="L415" s="3">
        <f t="shared" si="8"/>
        <v>436.6858578</v>
      </c>
      <c r="M415" s="2">
        <f t="shared" si="9"/>
        <v>439.5126203</v>
      </c>
      <c r="N415" s="9">
        <f t="shared" si="10"/>
        <v>-2.826762502</v>
      </c>
      <c r="O415" s="3"/>
      <c r="P415" s="3"/>
      <c r="Q415" s="3"/>
      <c r="R415" s="2"/>
      <c r="S415" s="14">
        <f t="shared" si="13"/>
        <v>-2.595805074</v>
      </c>
    </row>
    <row r="416">
      <c r="A416" s="11">
        <v>404.0</v>
      </c>
      <c r="B416" s="11">
        <v>1.42115217391304E9</v>
      </c>
      <c r="C416" s="2">
        <v>-102.4056473</v>
      </c>
      <c r="D416" s="3">
        <f t="shared" si="1"/>
        <v>752173.913</v>
      </c>
      <c r="E416" s="4">
        <f t="shared" si="2"/>
        <v>-159.783527</v>
      </c>
      <c r="F416" s="3">
        <f t="shared" si="16"/>
        <v>0.0002124289665</v>
      </c>
      <c r="G416" s="3">
        <f t="shared" si="4"/>
        <v>0</v>
      </c>
      <c r="H416" s="2">
        <f t="shared" si="5"/>
        <v>0</v>
      </c>
      <c r="I416" s="3">
        <f t="shared" si="6"/>
        <v>0</v>
      </c>
      <c r="J416" s="3">
        <f t="shared" si="7"/>
        <v>0</v>
      </c>
      <c r="K416" s="3"/>
      <c r="L416" s="3">
        <f t="shared" si="8"/>
        <v>437.0603784</v>
      </c>
      <c r="M416" s="2">
        <f t="shared" si="9"/>
        <v>439.345226</v>
      </c>
      <c r="N416" s="9">
        <f t="shared" si="10"/>
        <v>-2.284847592</v>
      </c>
      <c r="O416" s="3"/>
      <c r="P416" s="3"/>
      <c r="Q416" s="3"/>
      <c r="R416" s="2"/>
      <c r="S416" s="14">
        <f t="shared" si="13"/>
        <v>-2.098166703</v>
      </c>
    </row>
    <row r="417">
      <c r="A417" s="11">
        <v>405.0</v>
      </c>
      <c r="B417" s="11">
        <v>1.42115652173913E9</v>
      </c>
      <c r="C417" s="2">
        <v>-102.4000549</v>
      </c>
      <c r="D417" s="3">
        <f t="shared" si="1"/>
        <v>756521.7391</v>
      </c>
      <c r="E417" s="4">
        <f t="shared" si="2"/>
        <v>-160.7018231</v>
      </c>
      <c r="F417" s="3">
        <f t="shared" si="16"/>
        <v>0.0002124219501</v>
      </c>
      <c r="G417" s="3">
        <f t="shared" si="4"/>
        <v>0</v>
      </c>
      <c r="H417" s="2">
        <f t="shared" si="5"/>
        <v>0</v>
      </c>
      <c r="I417" s="3">
        <f t="shared" si="6"/>
        <v>0</v>
      </c>
      <c r="J417" s="3">
        <f t="shared" si="7"/>
        <v>0</v>
      </c>
      <c r="K417" s="3"/>
      <c r="L417" s="3">
        <f t="shared" si="8"/>
        <v>437.6235425</v>
      </c>
      <c r="M417" s="2">
        <f t="shared" si="9"/>
        <v>439.1770459</v>
      </c>
      <c r="N417" s="9">
        <f t="shared" si="10"/>
        <v>-1.553503341</v>
      </c>
      <c r="O417" s="3"/>
      <c r="P417" s="3"/>
      <c r="Q417" s="3"/>
      <c r="R417" s="2"/>
      <c r="S417" s="14">
        <f t="shared" si="13"/>
        <v>-1.42657611</v>
      </c>
    </row>
    <row r="418">
      <c r="A418" s="11">
        <v>406.0</v>
      </c>
      <c r="B418" s="11">
        <v>1.42116086956521E9</v>
      </c>
      <c r="C418" s="2">
        <v>-102.3472214</v>
      </c>
      <c r="D418" s="3">
        <f t="shared" si="1"/>
        <v>760869.5652</v>
      </c>
      <c r="E418" s="4">
        <f t="shared" si="2"/>
        <v>-161.6201193</v>
      </c>
      <c r="F418" s="3">
        <f t="shared" si="16"/>
        <v>0.0002124150139</v>
      </c>
      <c r="G418" s="3">
        <f t="shared" si="4"/>
        <v>0</v>
      </c>
      <c r="H418" s="2">
        <f t="shared" si="5"/>
        <v>0</v>
      </c>
      <c r="I418" s="3">
        <f t="shared" si="6"/>
        <v>0</v>
      </c>
      <c r="J418" s="3">
        <f t="shared" si="7"/>
        <v>0</v>
      </c>
      <c r="K418" s="3"/>
      <c r="L418" s="3">
        <f t="shared" si="8"/>
        <v>442.9799067</v>
      </c>
      <c r="M418" s="2">
        <f t="shared" si="9"/>
        <v>439.0080769</v>
      </c>
      <c r="N418" s="9">
        <f t="shared" si="10"/>
        <v>3.971829889</v>
      </c>
      <c r="O418" s="3"/>
      <c r="P418" s="3"/>
      <c r="Q418" s="3"/>
      <c r="R418" s="2"/>
      <c r="S418" s="14">
        <f t="shared" si="13"/>
        <v>3.647316027</v>
      </c>
    </row>
    <row r="419">
      <c r="A419" s="11">
        <v>407.0</v>
      </c>
      <c r="B419" s="11">
        <v>1.4211652173913E9</v>
      </c>
      <c r="C419" s="2">
        <v>-102.3679047</v>
      </c>
      <c r="D419" s="3">
        <f t="shared" si="1"/>
        <v>765217.3913</v>
      </c>
      <c r="E419" s="4">
        <f t="shared" si="2"/>
        <v>-162.5384154</v>
      </c>
      <c r="F419" s="3">
        <f t="shared" si="16"/>
        <v>0.0002124081565</v>
      </c>
      <c r="G419" s="3">
        <f t="shared" si="4"/>
        <v>0</v>
      </c>
      <c r="H419" s="2">
        <f t="shared" si="5"/>
        <v>0</v>
      </c>
      <c r="I419" s="3">
        <f t="shared" si="6"/>
        <v>0</v>
      </c>
      <c r="J419" s="3">
        <f t="shared" si="7"/>
        <v>0</v>
      </c>
      <c r="K419" s="3"/>
      <c r="L419" s="3">
        <f t="shared" si="8"/>
        <v>440.8752281</v>
      </c>
      <c r="M419" s="2">
        <f t="shared" si="9"/>
        <v>438.8383158</v>
      </c>
      <c r="N419" s="9">
        <f t="shared" si="10"/>
        <v>2.036912296</v>
      </c>
      <c r="O419" s="3"/>
      <c r="P419" s="3"/>
      <c r="Q419" s="3"/>
      <c r="R419" s="2"/>
      <c r="S419" s="14">
        <f t="shared" si="13"/>
        <v>1.87048868</v>
      </c>
    </row>
    <row r="420">
      <c r="A420" s="11">
        <v>408.0</v>
      </c>
      <c r="B420" s="11">
        <v>1.42116956521739E9</v>
      </c>
      <c r="C420" s="2">
        <v>-102.4730072</v>
      </c>
      <c r="D420" s="3">
        <f t="shared" si="1"/>
        <v>769565.2174</v>
      </c>
      <c r="E420" s="4">
        <f t="shared" si="2"/>
        <v>-163.4567115</v>
      </c>
      <c r="F420" s="3">
        <f t="shared" si="16"/>
        <v>0.0002124013765</v>
      </c>
      <c r="G420" s="3">
        <f t="shared" si="4"/>
        <v>0</v>
      </c>
      <c r="H420" s="2">
        <f t="shared" si="5"/>
        <v>0</v>
      </c>
      <c r="I420" s="3">
        <f t="shared" si="6"/>
        <v>0</v>
      </c>
      <c r="J420" s="3">
        <f t="shared" si="7"/>
        <v>0</v>
      </c>
      <c r="K420" s="3"/>
      <c r="L420" s="3">
        <f t="shared" si="8"/>
        <v>430.333789</v>
      </c>
      <c r="M420" s="2">
        <f t="shared" si="9"/>
        <v>438.6677596</v>
      </c>
      <c r="N420" s="9">
        <f t="shared" si="10"/>
        <v>-8.333970619</v>
      </c>
      <c r="O420" s="3"/>
      <c r="P420" s="3"/>
      <c r="Q420" s="3"/>
      <c r="R420" s="2"/>
      <c r="S420" s="14">
        <f t="shared" si="13"/>
        <v>-7.653052991</v>
      </c>
    </row>
    <row r="421">
      <c r="A421" s="11">
        <v>409.0</v>
      </c>
      <c r="B421" s="11">
        <v>1.42117391304347E9</v>
      </c>
      <c r="C421" s="2">
        <v>-102.4255142</v>
      </c>
      <c r="D421" s="3">
        <f t="shared" si="1"/>
        <v>773913.0435</v>
      </c>
      <c r="E421" s="4">
        <f t="shared" si="2"/>
        <v>-164.3750077</v>
      </c>
      <c r="F421" s="3">
        <f t="shared" si="16"/>
        <v>0.0002123946728</v>
      </c>
      <c r="G421" s="3">
        <f t="shared" si="4"/>
        <v>0</v>
      </c>
      <c r="H421" s="2">
        <f t="shared" si="5"/>
        <v>0</v>
      </c>
      <c r="I421" s="3">
        <f t="shared" si="6"/>
        <v>0</v>
      </c>
      <c r="J421" s="3">
        <f t="shared" si="7"/>
        <v>0</v>
      </c>
      <c r="K421" s="3"/>
      <c r="L421" s="3">
        <f t="shared" si="8"/>
        <v>435.0656018</v>
      </c>
      <c r="M421" s="2">
        <f t="shared" si="9"/>
        <v>438.4964051</v>
      </c>
      <c r="N421" s="9">
        <f t="shared" si="10"/>
        <v>-3.430803292</v>
      </c>
      <c r="O421" s="3"/>
      <c r="P421" s="3"/>
      <c r="Q421" s="3"/>
      <c r="R421" s="2"/>
      <c r="S421" s="14">
        <f t="shared" si="13"/>
        <v>-3.150493396</v>
      </c>
    </row>
    <row r="422">
      <c r="A422" s="11">
        <v>410.0</v>
      </c>
      <c r="B422" s="11">
        <v>1.42117826086956E9</v>
      </c>
      <c r="C422" s="2">
        <v>-102.4201965</v>
      </c>
      <c r="D422" s="3">
        <f t="shared" si="1"/>
        <v>778260.8696</v>
      </c>
      <c r="E422" s="4">
        <f t="shared" si="2"/>
        <v>-165.2933038</v>
      </c>
      <c r="F422" s="3">
        <f t="shared" si="16"/>
        <v>0.000212388044</v>
      </c>
      <c r="G422" s="3">
        <f t="shared" si="4"/>
        <v>0</v>
      </c>
      <c r="H422" s="2">
        <f t="shared" si="5"/>
        <v>0</v>
      </c>
      <c r="I422" s="3">
        <f t="shared" si="6"/>
        <v>0</v>
      </c>
      <c r="J422" s="3">
        <f t="shared" si="7"/>
        <v>0</v>
      </c>
      <c r="K422" s="3"/>
      <c r="L422" s="3">
        <f t="shared" si="8"/>
        <v>435.5986422</v>
      </c>
      <c r="M422" s="2">
        <f t="shared" si="9"/>
        <v>438.3242491</v>
      </c>
      <c r="N422" s="9">
        <f t="shared" si="10"/>
        <v>-2.725606832</v>
      </c>
      <c r="O422" s="3"/>
      <c r="P422" s="3"/>
      <c r="Q422" s="3"/>
      <c r="R422" s="2"/>
      <c r="S422" s="14">
        <f t="shared" si="13"/>
        <v>-2.502914208</v>
      </c>
    </row>
    <row r="423">
      <c r="A423" s="11">
        <v>411.0</v>
      </c>
      <c r="B423" s="11">
        <v>1.42118260869565E9</v>
      </c>
      <c r="C423" s="2">
        <v>-102.4208984</v>
      </c>
      <c r="D423" s="3">
        <f t="shared" si="1"/>
        <v>782608.6957</v>
      </c>
      <c r="E423" s="4">
        <f t="shared" si="2"/>
        <v>-166.2115999</v>
      </c>
      <c r="F423" s="3">
        <f t="shared" si="16"/>
        <v>0.0002123814888</v>
      </c>
      <c r="G423" s="3">
        <f t="shared" si="4"/>
        <v>0</v>
      </c>
      <c r="H423" s="2">
        <f t="shared" si="5"/>
        <v>0</v>
      </c>
      <c r="I423" s="3">
        <f t="shared" si="6"/>
        <v>0</v>
      </c>
      <c r="J423" s="3">
        <f t="shared" si="7"/>
        <v>0</v>
      </c>
      <c r="K423" s="3"/>
      <c r="L423" s="3">
        <f t="shared" si="8"/>
        <v>435.5282471</v>
      </c>
      <c r="M423" s="2">
        <f t="shared" si="9"/>
        <v>438.1512885</v>
      </c>
      <c r="N423" s="9">
        <f t="shared" si="10"/>
        <v>-2.623041336</v>
      </c>
      <c r="O423" s="3"/>
      <c r="P423" s="3"/>
      <c r="Q423" s="3"/>
      <c r="R423" s="2"/>
      <c r="S423" s="14">
        <f t="shared" si="13"/>
        <v>-2.408728715</v>
      </c>
    </row>
    <row r="424">
      <c r="A424" s="11">
        <v>412.0</v>
      </c>
      <c r="B424" s="11">
        <v>1.42118695652173E9</v>
      </c>
      <c r="C424" s="2">
        <v>-102.3488464</v>
      </c>
      <c r="D424" s="3">
        <f t="shared" si="1"/>
        <v>786956.5217</v>
      </c>
      <c r="E424" s="4">
        <f t="shared" si="2"/>
        <v>-167.129896</v>
      </c>
      <c r="F424" s="3">
        <f t="shared" si="16"/>
        <v>0.000212375006</v>
      </c>
      <c r="G424" s="3">
        <f t="shared" si="4"/>
        <v>0</v>
      </c>
      <c r="H424" s="2">
        <f t="shared" si="5"/>
        <v>0</v>
      </c>
      <c r="I424" s="3">
        <f t="shared" si="6"/>
        <v>0</v>
      </c>
      <c r="J424" s="3">
        <f t="shared" si="7"/>
        <v>0</v>
      </c>
      <c r="K424" s="3"/>
      <c r="L424" s="3">
        <f t="shared" si="8"/>
        <v>442.8141879</v>
      </c>
      <c r="M424" s="2">
        <f t="shared" si="9"/>
        <v>437.9775202</v>
      </c>
      <c r="N424" s="9">
        <f t="shared" si="10"/>
        <v>4.83666776</v>
      </c>
      <c r="O424" s="3"/>
      <c r="P424" s="3"/>
      <c r="Q424" s="3"/>
      <c r="R424" s="2"/>
      <c r="S424" s="14">
        <f t="shared" si="13"/>
        <v>4.4414933</v>
      </c>
    </row>
    <row r="425">
      <c r="A425" s="11">
        <v>413.0</v>
      </c>
      <c r="B425" s="11">
        <v>1.42119130434782E9</v>
      </c>
      <c r="C425" s="2">
        <v>-102.3776627</v>
      </c>
      <c r="D425" s="3">
        <f t="shared" si="1"/>
        <v>791304.3478</v>
      </c>
      <c r="E425" s="4">
        <f t="shared" si="2"/>
        <v>-168.0481922</v>
      </c>
      <c r="F425" s="3">
        <f t="shared" si="16"/>
        <v>0.0002123685945</v>
      </c>
      <c r="G425" s="3">
        <f t="shared" si="4"/>
        <v>0</v>
      </c>
      <c r="H425" s="2">
        <f t="shared" si="5"/>
        <v>0</v>
      </c>
      <c r="I425" s="3">
        <f t="shared" si="6"/>
        <v>0</v>
      </c>
      <c r="J425" s="3">
        <f t="shared" si="7"/>
        <v>0</v>
      </c>
      <c r="K425" s="3"/>
      <c r="L425" s="3">
        <f t="shared" si="8"/>
        <v>439.8857541</v>
      </c>
      <c r="M425" s="2">
        <f t="shared" si="9"/>
        <v>437.802941</v>
      </c>
      <c r="N425" s="9">
        <f t="shared" si="10"/>
        <v>2.082813115</v>
      </c>
      <c r="O425" s="3"/>
      <c r="P425" s="3"/>
      <c r="Q425" s="3"/>
      <c r="R425" s="2"/>
      <c r="S425" s="14">
        <f t="shared" si="13"/>
        <v>1.912639229</v>
      </c>
    </row>
    <row r="426">
      <c r="A426" s="11">
        <v>414.0</v>
      </c>
      <c r="B426" s="11">
        <v>1.42119565217391E9</v>
      </c>
      <c r="C426" s="2">
        <v>-102.4312286</v>
      </c>
      <c r="D426" s="3">
        <f t="shared" si="1"/>
        <v>795652.1739</v>
      </c>
      <c r="E426" s="4">
        <f t="shared" si="2"/>
        <v>-168.9664883</v>
      </c>
      <c r="F426" s="3">
        <f t="shared" si="16"/>
        <v>0.0002123622531</v>
      </c>
      <c r="G426" s="3">
        <f t="shared" si="4"/>
        <v>0</v>
      </c>
      <c r="H426" s="2">
        <f t="shared" si="5"/>
        <v>0</v>
      </c>
      <c r="I426" s="3">
        <f t="shared" si="6"/>
        <v>0</v>
      </c>
      <c r="J426" s="3">
        <f t="shared" si="7"/>
        <v>0</v>
      </c>
      <c r="K426" s="3"/>
      <c r="L426" s="3">
        <f t="shared" si="8"/>
        <v>434.4935236</v>
      </c>
      <c r="M426" s="2">
        <f t="shared" si="9"/>
        <v>437.6275478</v>
      </c>
      <c r="N426" s="9">
        <f t="shared" si="10"/>
        <v>-3.13402422</v>
      </c>
      <c r="O426" s="3"/>
      <c r="P426" s="3"/>
      <c r="Q426" s="3"/>
      <c r="R426" s="2"/>
      <c r="S426" s="14">
        <f t="shared" si="13"/>
        <v>-2.877962314</v>
      </c>
    </row>
    <row r="427">
      <c r="A427" s="11">
        <v>415.0</v>
      </c>
      <c r="B427" s="11">
        <v>1.4212E9</v>
      </c>
      <c r="C427" s="2">
        <v>-102.4535904</v>
      </c>
      <c r="D427" s="3">
        <f t="shared" si="1"/>
        <v>800000</v>
      </c>
      <c r="E427" s="4">
        <f t="shared" si="2"/>
        <v>-169.8847844</v>
      </c>
      <c r="F427" s="3">
        <f t="shared" si="16"/>
        <v>0.0002123559806</v>
      </c>
      <c r="G427" s="3">
        <f t="shared" si="4"/>
        <v>0</v>
      </c>
      <c r="H427" s="2">
        <f t="shared" si="5"/>
        <v>0</v>
      </c>
      <c r="I427" s="3">
        <f t="shared" si="6"/>
        <v>0</v>
      </c>
      <c r="J427" s="3">
        <f t="shared" si="7"/>
        <v>0</v>
      </c>
      <c r="K427" s="3"/>
      <c r="L427" s="3">
        <f t="shared" si="8"/>
        <v>432.2620685</v>
      </c>
      <c r="M427" s="2">
        <f t="shared" si="9"/>
        <v>437.4513375</v>
      </c>
      <c r="N427" s="9">
        <f t="shared" si="10"/>
        <v>-5.189268953</v>
      </c>
      <c r="O427" s="3"/>
      <c r="P427" s="3"/>
      <c r="Q427" s="3"/>
      <c r="R427" s="2"/>
      <c r="S427" s="14">
        <f t="shared" si="13"/>
        <v>-4.765285611</v>
      </c>
    </row>
    <row r="428">
      <c r="A428" s="11">
        <v>416.0</v>
      </c>
      <c r="B428" s="11">
        <v>1.42120434782608E9</v>
      </c>
      <c r="C428" s="2">
        <v>-102.3970184</v>
      </c>
      <c r="D428" s="3">
        <f t="shared" si="1"/>
        <v>804347.8261</v>
      </c>
      <c r="E428" s="4">
        <f t="shared" si="2"/>
        <v>-170.8030806</v>
      </c>
      <c r="F428" s="3">
        <f t="shared" si="16"/>
        <v>0.0002123497759</v>
      </c>
      <c r="G428" s="3">
        <f t="shared" si="4"/>
        <v>0</v>
      </c>
      <c r="H428" s="2">
        <f t="shared" si="5"/>
        <v>0</v>
      </c>
      <c r="I428" s="3">
        <f t="shared" si="6"/>
        <v>0</v>
      </c>
      <c r="J428" s="3">
        <f t="shared" si="7"/>
        <v>0</v>
      </c>
      <c r="K428" s="3"/>
      <c r="L428" s="3">
        <f t="shared" si="8"/>
        <v>437.9296271</v>
      </c>
      <c r="M428" s="2">
        <f t="shared" si="9"/>
        <v>437.2743069</v>
      </c>
      <c r="N428" s="9">
        <f t="shared" si="10"/>
        <v>0.655320254</v>
      </c>
      <c r="O428" s="3"/>
      <c r="P428" s="3"/>
      <c r="Q428" s="3"/>
      <c r="R428" s="2"/>
      <c r="S428" s="14">
        <f t="shared" si="13"/>
        <v>0.601778055</v>
      </c>
    </row>
    <row r="429">
      <c r="A429" s="11">
        <v>417.0</v>
      </c>
      <c r="B429" s="11">
        <v>1.42120869565217E9</v>
      </c>
      <c r="C429" s="2">
        <v>-102.4302063</v>
      </c>
      <c r="D429" s="3">
        <f t="shared" si="1"/>
        <v>808695.6522</v>
      </c>
      <c r="E429" s="4">
        <f t="shared" si="2"/>
        <v>-171.7213767</v>
      </c>
      <c r="F429" s="3">
        <f t="shared" si="16"/>
        <v>0.0002123436379</v>
      </c>
      <c r="G429" s="3">
        <f t="shared" si="4"/>
        <v>0</v>
      </c>
      <c r="H429" s="2">
        <f t="shared" si="5"/>
        <v>0</v>
      </c>
      <c r="I429" s="3">
        <f t="shared" si="6"/>
        <v>0</v>
      </c>
      <c r="J429" s="3">
        <f t="shared" si="7"/>
        <v>0</v>
      </c>
      <c r="K429" s="3"/>
      <c r="L429" s="3">
        <f t="shared" si="8"/>
        <v>434.5958125</v>
      </c>
      <c r="M429" s="2">
        <f t="shared" si="9"/>
        <v>437.0964528</v>
      </c>
      <c r="N429" s="9">
        <f t="shared" si="10"/>
        <v>-2.500640372</v>
      </c>
      <c r="O429" s="3"/>
      <c r="P429" s="3"/>
      <c r="Q429" s="3"/>
      <c r="R429" s="2"/>
      <c r="S429" s="14">
        <f t="shared" si="13"/>
        <v>-2.296328378</v>
      </c>
    </row>
    <row r="430">
      <c r="A430" s="11">
        <v>418.0</v>
      </c>
      <c r="B430" s="11">
        <v>1.42121304347826E9</v>
      </c>
      <c r="C430" s="2">
        <v>-102.4742889</v>
      </c>
      <c r="D430" s="3">
        <f t="shared" si="1"/>
        <v>813043.4783</v>
      </c>
      <c r="E430" s="4">
        <f t="shared" si="2"/>
        <v>-172.6396728</v>
      </c>
      <c r="F430" s="3">
        <f t="shared" si="16"/>
        <v>0.0002123375655</v>
      </c>
      <c r="G430" s="3">
        <f t="shared" si="4"/>
        <v>0</v>
      </c>
      <c r="H430" s="2">
        <f t="shared" si="5"/>
        <v>0</v>
      </c>
      <c r="I430" s="3">
        <f t="shared" si="6"/>
        <v>0</v>
      </c>
      <c r="J430" s="3">
        <f t="shared" si="7"/>
        <v>0</v>
      </c>
      <c r="K430" s="3"/>
      <c r="L430" s="3">
        <f t="shared" si="8"/>
        <v>430.2068066</v>
      </c>
      <c r="M430" s="2">
        <f t="shared" si="9"/>
        <v>436.9177723</v>
      </c>
      <c r="N430" s="9">
        <f t="shared" si="10"/>
        <v>-6.710965666</v>
      </c>
      <c r="O430" s="3"/>
      <c r="P430" s="3"/>
      <c r="Q430" s="3"/>
      <c r="R430" s="2"/>
      <c r="S430" s="14">
        <f t="shared" si="13"/>
        <v>-6.162653818</v>
      </c>
    </row>
    <row r="431">
      <c r="A431" s="11">
        <v>419.0</v>
      </c>
      <c r="B431" s="11">
        <v>1.42121739130434E9</v>
      </c>
      <c r="C431" s="2">
        <v>-102.4262848</v>
      </c>
      <c r="D431" s="3">
        <f t="shared" si="1"/>
        <v>817391.3043</v>
      </c>
      <c r="E431" s="4">
        <f t="shared" si="2"/>
        <v>-173.557969</v>
      </c>
      <c r="F431" s="3">
        <f t="shared" si="16"/>
        <v>0.0002123315578</v>
      </c>
      <c r="G431" s="3">
        <f t="shared" si="4"/>
        <v>0</v>
      </c>
      <c r="H431" s="2">
        <f t="shared" si="5"/>
        <v>0</v>
      </c>
      <c r="I431" s="3">
        <f t="shared" si="6"/>
        <v>0</v>
      </c>
      <c r="J431" s="3">
        <f t="shared" si="7"/>
        <v>0</v>
      </c>
      <c r="K431" s="3"/>
      <c r="L431" s="3">
        <f t="shared" si="8"/>
        <v>434.9884118</v>
      </c>
      <c r="M431" s="2">
        <f t="shared" si="9"/>
        <v>436.738262</v>
      </c>
      <c r="N431" s="9">
        <f t="shared" si="10"/>
        <v>-1.749850211</v>
      </c>
      <c r="O431" s="3"/>
      <c r="P431" s="3"/>
      <c r="Q431" s="3"/>
      <c r="R431" s="2"/>
      <c r="S431" s="14">
        <f t="shared" si="13"/>
        <v>-1.606880682</v>
      </c>
    </row>
    <row r="432">
      <c r="A432" s="11">
        <v>420.0</v>
      </c>
      <c r="B432" s="11">
        <v>1.42122173913043E9</v>
      </c>
      <c r="C432" s="2">
        <v>-102.4090652</v>
      </c>
      <c r="D432" s="3">
        <f t="shared" si="1"/>
        <v>821739.1304</v>
      </c>
      <c r="E432" s="4">
        <f t="shared" si="2"/>
        <v>-174.4762651</v>
      </c>
      <c r="F432" s="3">
        <f t="shared" si="16"/>
        <v>0.0002123256136</v>
      </c>
      <c r="G432" s="3">
        <f t="shared" si="4"/>
        <v>0</v>
      </c>
      <c r="H432" s="2">
        <f t="shared" si="5"/>
        <v>0</v>
      </c>
      <c r="I432" s="3">
        <f t="shared" si="6"/>
        <v>0</v>
      </c>
      <c r="J432" s="3">
        <f t="shared" si="7"/>
        <v>0</v>
      </c>
      <c r="K432" s="3"/>
      <c r="L432" s="3">
        <f t="shared" si="8"/>
        <v>436.7165469</v>
      </c>
      <c r="M432" s="2">
        <f t="shared" si="9"/>
        <v>436.5579189</v>
      </c>
      <c r="N432" s="9">
        <f t="shared" si="10"/>
        <v>0.1586280223</v>
      </c>
      <c r="O432" s="3"/>
      <c r="P432" s="3"/>
      <c r="Q432" s="3"/>
      <c r="R432" s="2"/>
      <c r="S432" s="14">
        <f t="shared" si="13"/>
        <v>0.1456674991</v>
      </c>
    </row>
    <row r="433">
      <c r="A433" s="11">
        <v>421.0</v>
      </c>
      <c r="B433" s="11">
        <v>1.42122608695652E9</v>
      </c>
      <c r="C433" s="2">
        <v>-102.3916092</v>
      </c>
      <c r="D433" s="3">
        <f t="shared" si="1"/>
        <v>826086.9565</v>
      </c>
      <c r="E433" s="4">
        <f t="shared" si="2"/>
        <v>-175.3945612</v>
      </c>
      <c r="F433" s="3">
        <f t="shared" si="16"/>
        <v>0.000212319732</v>
      </c>
      <c r="G433" s="3">
        <f t="shared" si="4"/>
        <v>0</v>
      </c>
      <c r="H433" s="2">
        <f t="shared" si="5"/>
        <v>0</v>
      </c>
      <c r="I433" s="3">
        <f t="shared" si="6"/>
        <v>0</v>
      </c>
      <c r="J433" s="3">
        <f t="shared" si="7"/>
        <v>0</v>
      </c>
      <c r="K433" s="3"/>
      <c r="L433" s="3">
        <f t="shared" si="8"/>
        <v>438.4754146</v>
      </c>
      <c r="M433" s="2">
        <f t="shared" si="9"/>
        <v>436.3767398</v>
      </c>
      <c r="N433" s="9">
        <f t="shared" si="10"/>
        <v>2.098674742</v>
      </c>
      <c r="O433" s="3"/>
      <c r="P433" s="3"/>
      <c r="Q433" s="3"/>
      <c r="R433" s="2"/>
      <c r="S433" s="14">
        <f t="shared" si="13"/>
        <v>1.927204899</v>
      </c>
    </row>
    <row r="434">
      <c r="A434" s="11">
        <v>422.0</v>
      </c>
      <c r="B434" s="11">
        <v>1.4212304347826E9</v>
      </c>
      <c r="C434" s="2">
        <v>-102.434021</v>
      </c>
      <c r="D434" s="3">
        <f t="shared" si="1"/>
        <v>830434.7826</v>
      </c>
      <c r="E434" s="4">
        <f t="shared" si="2"/>
        <v>-176.3128574</v>
      </c>
      <c r="F434" s="3">
        <f t="shared" si="16"/>
        <v>0.000212313912</v>
      </c>
      <c r="G434" s="3">
        <f t="shared" si="4"/>
        <v>0</v>
      </c>
      <c r="H434" s="2">
        <f t="shared" si="5"/>
        <v>0</v>
      </c>
      <c r="I434" s="3">
        <f t="shared" si="6"/>
        <v>0</v>
      </c>
      <c r="J434" s="3">
        <f t="shared" si="7"/>
        <v>0</v>
      </c>
      <c r="K434" s="3"/>
      <c r="L434" s="3">
        <f t="shared" si="8"/>
        <v>434.2142454</v>
      </c>
      <c r="M434" s="2">
        <f t="shared" si="9"/>
        <v>436.1947217</v>
      </c>
      <c r="N434" s="9">
        <f t="shared" si="10"/>
        <v>-1.980476259</v>
      </c>
      <c r="O434" s="3"/>
      <c r="P434" s="3"/>
      <c r="Q434" s="3"/>
      <c r="R434" s="2"/>
      <c r="S434" s="14">
        <f t="shared" si="13"/>
        <v>-1.818663689</v>
      </c>
    </row>
    <row r="435">
      <c r="A435" s="11">
        <v>423.0</v>
      </c>
      <c r="B435" s="11">
        <v>1.42123478260869E9</v>
      </c>
      <c r="C435" s="2">
        <v>-102.4432831</v>
      </c>
      <c r="D435" s="3">
        <f t="shared" si="1"/>
        <v>834782.6087</v>
      </c>
      <c r="E435" s="4">
        <f t="shared" si="2"/>
        <v>-177.2311535</v>
      </c>
      <c r="F435" s="3">
        <f t="shared" si="16"/>
        <v>0.0002123081526</v>
      </c>
      <c r="G435" s="3">
        <f t="shared" si="4"/>
        <v>0</v>
      </c>
      <c r="H435" s="2">
        <f t="shared" si="5"/>
        <v>0</v>
      </c>
      <c r="I435" s="3">
        <f t="shared" si="6"/>
        <v>0</v>
      </c>
      <c r="J435" s="3">
        <f t="shared" si="7"/>
        <v>0</v>
      </c>
      <c r="K435" s="3"/>
      <c r="L435" s="3">
        <f t="shared" si="8"/>
        <v>433.2891933</v>
      </c>
      <c r="M435" s="2">
        <f t="shared" si="9"/>
        <v>436.0118612</v>
      </c>
      <c r="N435" s="9">
        <f t="shared" si="10"/>
        <v>-2.722667955</v>
      </c>
      <c r="O435" s="3"/>
      <c r="P435" s="3"/>
      <c r="Q435" s="3"/>
      <c r="R435" s="2"/>
      <c r="S435" s="14">
        <f t="shared" si="13"/>
        <v>-2.500215454</v>
      </c>
    </row>
    <row r="436">
      <c r="A436" s="11">
        <v>424.0</v>
      </c>
      <c r="B436" s="11">
        <v>1.42123913043478E9</v>
      </c>
      <c r="C436" s="2">
        <v>-102.4285583</v>
      </c>
      <c r="D436" s="3">
        <f t="shared" si="1"/>
        <v>839130.4348</v>
      </c>
      <c r="E436" s="4">
        <f t="shared" si="2"/>
        <v>-178.1494496</v>
      </c>
      <c r="F436" s="3">
        <f t="shared" si="16"/>
        <v>0.0002123024529</v>
      </c>
      <c r="G436" s="3">
        <f t="shared" si="4"/>
        <v>0</v>
      </c>
      <c r="H436" s="2">
        <f t="shared" si="5"/>
        <v>0</v>
      </c>
      <c r="I436" s="3">
        <f t="shared" si="6"/>
        <v>0</v>
      </c>
      <c r="J436" s="3">
        <f t="shared" si="7"/>
        <v>0</v>
      </c>
      <c r="K436" s="3"/>
      <c r="L436" s="3">
        <f t="shared" si="8"/>
        <v>434.7607581</v>
      </c>
      <c r="M436" s="2">
        <f t="shared" si="9"/>
        <v>435.8281554</v>
      </c>
      <c r="N436" s="9">
        <f t="shared" si="10"/>
        <v>-1.067397332</v>
      </c>
      <c r="O436" s="3"/>
      <c r="P436" s="3"/>
      <c r="Q436" s="3"/>
      <c r="R436" s="2"/>
      <c r="S436" s="14">
        <f t="shared" si="13"/>
        <v>-0.9801868396</v>
      </c>
    </row>
    <row r="437">
      <c r="A437" s="11">
        <v>425.0</v>
      </c>
      <c r="B437" s="11">
        <v>1.42124347826087E9</v>
      </c>
      <c r="C437" s="2">
        <v>-102.3907928</v>
      </c>
      <c r="D437" s="3">
        <f t="shared" si="1"/>
        <v>843478.2609</v>
      </c>
      <c r="E437" s="4">
        <f t="shared" si="2"/>
        <v>-179.0677458</v>
      </c>
      <c r="F437" s="3">
        <f t="shared" si="16"/>
        <v>0.000212296812</v>
      </c>
      <c r="G437" s="3">
        <f t="shared" si="4"/>
        <v>0</v>
      </c>
      <c r="H437" s="2">
        <f t="shared" si="5"/>
        <v>0</v>
      </c>
      <c r="I437" s="3">
        <f t="shared" si="6"/>
        <v>0</v>
      </c>
      <c r="J437" s="3">
        <f t="shared" si="7"/>
        <v>0</v>
      </c>
      <c r="K437" s="3"/>
      <c r="L437" s="3">
        <f t="shared" si="8"/>
        <v>438.5578483</v>
      </c>
      <c r="M437" s="2">
        <f t="shared" si="9"/>
        <v>435.6436011</v>
      </c>
      <c r="N437" s="9">
        <f t="shared" si="10"/>
        <v>2.914247133</v>
      </c>
      <c r="O437" s="3"/>
      <c r="P437" s="3"/>
      <c r="Q437" s="3"/>
      <c r="R437" s="2"/>
      <c r="S437" s="14">
        <f t="shared" si="13"/>
        <v>2.676141872</v>
      </c>
    </row>
    <row r="438">
      <c r="A438" s="11">
        <v>426.0</v>
      </c>
      <c r="B438" s="11">
        <v>1.42124782608695E9</v>
      </c>
      <c r="C438" s="2">
        <v>-102.4926682</v>
      </c>
      <c r="D438" s="3">
        <f t="shared" si="1"/>
        <v>847826.087</v>
      </c>
      <c r="E438" s="4">
        <f t="shared" si="2"/>
        <v>-179.9860419</v>
      </c>
      <c r="F438" s="3">
        <f t="shared" si="16"/>
        <v>0.0002122912289</v>
      </c>
      <c r="G438" s="3">
        <f t="shared" si="4"/>
        <v>0</v>
      </c>
      <c r="H438" s="2">
        <f t="shared" si="5"/>
        <v>0</v>
      </c>
      <c r="I438" s="3">
        <f t="shared" si="6"/>
        <v>0</v>
      </c>
      <c r="J438" s="3">
        <f t="shared" si="7"/>
        <v>0</v>
      </c>
      <c r="K438" s="3"/>
      <c r="L438" s="3">
        <f t="shared" si="8"/>
        <v>428.3900226</v>
      </c>
      <c r="M438" s="2">
        <f t="shared" si="9"/>
        <v>435.4581952</v>
      </c>
      <c r="N438" s="9">
        <f t="shared" si="10"/>
        <v>-7.068172539</v>
      </c>
      <c r="O438" s="3"/>
      <c r="P438" s="3"/>
      <c r="Q438" s="3"/>
      <c r="R438" s="2"/>
      <c r="S438" s="14">
        <f t="shared" si="13"/>
        <v>-6.490675508</v>
      </c>
    </row>
    <row r="439">
      <c r="A439" s="11">
        <v>427.0</v>
      </c>
      <c r="B439" s="11">
        <v>1.42125217391304E9</v>
      </c>
      <c r="C439" s="2">
        <v>-102.4333191</v>
      </c>
      <c r="D439" s="3">
        <f t="shared" si="1"/>
        <v>852173.913</v>
      </c>
      <c r="E439" s="4">
        <f t="shared" si="2"/>
        <v>-180.904338</v>
      </c>
      <c r="F439" s="3">
        <f t="shared" si="16"/>
        <v>0.0002122857028</v>
      </c>
      <c r="G439" s="3">
        <f t="shared" si="4"/>
        <v>0</v>
      </c>
      <c r="H439" s="2">
        <f t="shared" si="5"/>
        <v>0</v>
      </c>
      <c r="I439" s="3">
        <f t="shared" si="6"/>
        <v>0</v>
      </c>
      <c r="J439" s="3">
        <f t="shared" si="7"/>
        <v>0</v>
      </c>
      <c r="K439" s="3"/>
      <c r="L439" s="3">
        <f t="shared" si="8"/>
        <v>434.2844281</v>
      </c>
      <c r="M439" s="2">
        <f t="shared" si="9"/>
        <v>435.2719344</v>
      </c>
      <c r="N439" s="9">
        <f t="shared" si="10"/>
        <v>-0.9875062965</v>
      </c>
      <c r="O439" s="3"/>
      <c r="P439" s="3"/>
      <c r="Q439" s="3"/>
      <c r="R439" s="2"/>
      <c r="S439" s="14">
        <f t="shared" si="13"/>
        <v>-0.9068232111</v>
      </c>
    </row>
    <row r="440">
      <c r="A440" s="11">
        <v>428.0</v>
      </c>
      <c r="B440" s="11">
        <v>1.42125652173913E9</v>
      </c>
      <c r="C440" s="2">
        <v>-102.4447937</v>
      </c>
      <c r="D440" s="3">
        <f t="shared" si="1"/>
        <v>856521.7391</v>
      </c>
      <c r="E440" s="4">
        <f t="shared" si="2"/>
        <v>-181.8226342</v>
      </c>
      <c r="F440" s="3">
        <f t="shared" si="16"/>
        <v>0.0002122802328</v>
      </c>
      <c r="G440" s="3">
        <f t="shared" si="4"/>
        <v>0</v>
      </c>
      <c r="H440" s="2">
        <f t="shared" si="5"/>
        <v>0</v>
      </c>
      <c r="I440" s="3">
        <f t="shared" si="6"/>
        <v>0</v>
      </c>
      <c r="J440" s="3">
        <f t="shared" si="7"/>
        <v>0</v>
      </c>
      <c r="K440" s="3"/>
      <c r="L440" s="3">
        <f t="shared" si="8"/>
        <v>433.1385092</v>
      </c>
      <c r="M440" s="2">
        <f t="shared" si="9"/>
        <v>435.0848157</v>
      </c>
      <c r="N440" s="9">
        <f t="shared" si="10"/>
        <v>-1.946306543</v>
      </c>
      <c r="O440" s="3"/>
      <c r="P440" s="3"/>
      <c r="Q440" s="3"/>
      <c r="R440" s="2"/>
      <c r="S440" s="14">
        <f t="shared" si="13"/>
        <v>-1.787285772</v>
      </c>
    </row>
    <row r="441">
      <c r="A441" s="11">
        <v>429.0</v>
      </c>
      <c r="B441" s="11">
        <v>1.42126086956521E9</v>
      </c>
      <c r="C441" s="2">
        <v>-102.4220428</v>
      </c>
      <c r="D441" s="3">
        <f t="shared" si="1"/>
        <v>860869.5652</v>
      </c>
      <c r="E441" s="4">
        <f t="shared" si="2"/>
        <v>-182.7409303</v>
      </c>
      <c r="F441" s="3">
        <f t="shared" si="16"/>
        <v>0.000212274818</v>
      </c>
      <c r="G441" s="3">
        <f t="shared" si="4"/>
        <v>0</v>
      </c>
      <c r="H441" s="2">
        <f t="shared" si="5"/>
        <v>0</v>
      </c>
      <c r="I441" s="3">
        <f t="shared" si="6"/>
        <v>0</v>
      </c>
      <c r="J441" s="3">
        <f t="shared" si="7"/>
        <v>0</v>
      </c>
      <c r="K441" s="3"/>
      <c r="L441" s="3">
        <f t="shared" si="8"/>
        <v>435.4134972</v>
      </c>
      <c r="M441" s="2">
        <f t="shared" si="9"/>
        <v>434.8968359</v>
      </c>
      <c r="N441" s="9">
        <f t="shared" si="10"/>
        <v>0.5166612133</v>
      </c>
      <c r="O441" s="3"/>
      <c r="P441" s="3"/>
      <c r="Q441" s="3"/>
      <c r="R441" s="2"/>
      <c r="S441" s="14">
        <f t="shared" si="13"/>
        <v>0.4744479942</v>
      </c>
    </row>
    <row r="442">
      <c r="A442" s="11">
        <v>430.0</v>
      </c>
      <c r="B442" s="11">
        <v>1.4212652173913E9</v>
      </c>
      <c r="C442" s="2">
        <v>-102.4214859</v>
      </c>
      <c r="D442" s="3">
        <f t="shared" si="1"/>
        <v>865217.3913</v>
      </c>
      <c r="E442" s="4">
        <f t="shared" si="2"/>
        <v>-183.6592264</v>
      </c>
      <c r="F442" s="3">
        <f t="shared" si="16"/>
        <v>0.0002122694577</v>
      </c>
      <c r="G442" s="3">
        <f t="shared" si="4"/>
        <v>0</v>
      </c>
      <c r="H442" s="2">
        <f t="shared" si="5"/>
        <v>0</v>
      </c>
      <c r="I442" s="3">
        <f t="shared" si="6"/>
        <v>0</v>
      </c>
      <c r="J442" s="3">
        <f t="shared" si="7"/>
        <v>0</v>
      </c>
      <c r="K442" s="3"/>
      <c r="L442" s="3">
        <f t="shared" si="8"/>
        <v>435.4693342</v>
      </c>
      <c r="M442" s="2">
        <f t="shared" si="9"/>
        <v>434.707992</v>
      </c>
      <c r="N442" s="9">
        <f t="shared" si="10"/>
        <v>0.7613422534</v>
      </c>
      <c r="O442" s="3"/>
      <c r="P442" s="3"/>
      <c r="Q442" s="3"/>
      <c r="R442" s="2"/>
      <c r="S442" s="14">
        <f t="shared" si="13"/>
        <v>0.6991376454</v>
      </c>
    </row>
    <row r="443">
      <c r="A443" s="11">
        <v>431.0</v>
      </c>
      <c r="B443" s="11">
        <v>1.42126956521739E9</v>
      </c>
      <c r="C443" s="2">
        <v>-102.4228439</v>
      </c>
      <c r="D443" s="3">
        <f t="shared" si="1"/>
        <v>869565.2174</v>
      </c>
      <c r="E443" s="4">
        <f t="shared" si="2"/>
        <v>-184.5775226</v>
      </c>
      <c r="F443" s="3">
        <f t="shared" si="16"/>
        <v>0.0002122641509</v>
      </c>
      <c r="G443" s="3">
        <f t="shared" si="4"/>
        <v>0</v>
      </c>
      <c r="H443" s="2">
        <f t="shared" si="5"/>
        <v>0</v>
      </c>
      <c r="I443" s="3">
        <f t="shared" si="6"/>
        <v>0</v>
      </c>
      <c r="J443" s="3">
        <f t="shared" si="7"/>
        <v>0</v>
      </c>
      <c r="K443" s="3"/>
      <c r="L443" s="3">
        <f t="shared" si="8"/>
        <v>435.3331881</v>
      </c>
      <c r="M443" s="2">
        <f t="shared" si="9"/>
        <v>434.5182807</v>
      </c>
      <c r="N443" s="9">
        <f t="shared" si="10"/>
        <v>0.8149074852</v>
      </c>
      <c r="O443" s="3"/>
      <c r="P443" s="3"/>
      <c r="Q443" s="3"/>
      <c r="R443" s="2"/>
      <c r="S443" s="14">
        <f t="shared" si="13"/>
        <v>0.7483263923</v>
      </c>
    </row>
    <row r="444">
      <c r="A444" s="11">
        <v>432.0</v>
      </c>
      <c r="B444" s="11">
        <v>1.42127391304347E9</v>
      </c>
      <c r="C444" s="2">
        <v>-102.437233</v>
      </c>
      <c r="D444" s="3">
        <f t="shared" si="1"/>
        <v>873913.0435</v>
      </c>
      <c r="E444" s="4">
        <f t="shared" si="2"/>
        <v>-185.4958187</v>
      </c>
      <c r="F444" s="3">
        <f t="shared" si="16"/>
        <v>0.000212258897</v>
      </c>
      <c r="G444" s="3">
        <f t="shared" si="4"/>
        <v>0</v>
      </c>
      <c r="H444" s="2">
        <f t="shared" si="5"/>
        <v>0</v>
      </c>
      <c r="I444" s="3">
        <f t="shared" si="6"/>
        <v>0</v>
      </c>
      <c r="J444" s="3">
        <f t="shared" si="7"/>
        <v>0</v>
      </c>
      <c r="K444" s="3"/>
      <c r="L444" s="3">
        <f t="shared" si="8"/>
        <v>433.8932235</v>
      </c>
      <c r="M444" s="2">
        <f t="shared" si="9"/>
        <v>434.3276989</v>
      </c>
      <c r="N444" s="9">
        <f t="shared" si="10"/>
        <v>-0.4344754054</v>
      </c>
      <c r="O444" s="3"/>
      <c r="P444" s="3"/>
      <c r="Q444" s="3"/>
      <c r="R444" s="2"/>
      <c r="S444" s="14">
        <f t="shared" si="13"/>
        <v>-0.3989770846</v>
      </c>
    </row>
    <row r="445">
      <c r="A445" s="11">
        <v>433.0</v>
      </c>
      <c r="B445" s="11">
        <v>1.42127826086956E9</v>
      </c>
      <c r="C445" s="2">
        <v>-102.4994888</v>
      </c>
      <c r="D445" s="3">
        <f t="shared" si="1"/>
        <v>878260.8696</v>
      </c>
      <c r="E445" s="4">
        <f t="shared" si="2"/>
        <v>-186.4141148</v>
      </c>
      <c r="F445" s="3">
        <f t="shared" si="16"/>
        <v>0.0002122536951</v>
      </c>
      <c r="G445" s="3">
        <f t="shared" si="4"/>
        <v>0</v>
      </c>
      <c r="H445" s="2">
        <f t="shared" si="5"/>
        <v>0</v>
      </c>
      <c r="I445" s="3">
        <f t="shared" si="6"/>
        <v>0</v>
      </c>
      <c r="J445" s="3">
        <f t="shared" si="7"/>
        <v>0</v>
      </c>
      <c r="K445" s="3"/>
      <c r="L445" s="3">
        <f t="shared" si="8"/>
        <v>427.7177636</v>
      </c>
      <c r="M445" s="2">
        <f t="shared" si="9"/>
        <v>434.1362435</v>
      </c>
      <c r="N445" s="9">
        <f t="shared" si="10"/>
        <v>-6.418479849</v>
      </c>
      <c r="O445" s="3"/>
      <c r="P445" s="3"/>
      <c r="Q445" s="3"/>
      <c r="R445" s="2"/>
      <c r="S445" s="14">
        <f t="shared" si="13"/>
        <v>-5.89406521</v>
      </c>
    </row>
    <row r="446">
      <c r="A446" s="11">
        <v>434.0</v>
      </c>
      <c r="B446" s="11">
        <v>1.42128260869565E9</v>
      </c>
      <c r="C446" s="2">
        <v>-102.4755249</v>
      </c>
      <c r="D446" s="3">
        <f t="shared" si="1"/>
        <v>882608.6957</v>
      </c>
      <c r="E446" s="4">
        <f t="shared" si="2"/>
        <v>-187.332411</v>
      </c>
      <c r="F446" s="3">
        <f t="shared" si="16"/>
        <v>0.0002122485444</v>
      </c>
      <c r="G446" s="3">
        <f t="shared" si="4"/>
        <v>0</v>
      </c>
      <c r="H446" s="2">
        <f t="shared" si="5"/>
        <v>0</v>
      </c>
      <c r="I446" s="3">
        <f t="shared" si="6"/>
        <v>0</v>
      </c>
      <c r="J446" s="3">
        <f t="shared" si="7"/>
        <v>0</v>
      </c>
      <c r="K446" s="3"/>
      <c r="L446" s="3">
        <f t="shared" si="8"/>
        <v>430.0843874</v>
      </c>
      <c r="M446" s="2">
        <f t="shared" si="9"/>
        <v>433.9439113</v>
      </c>
      <c r="N446" s="9">
        <f t="shared" si="10"/>
        <v>-3.859523921</v>
      </c>
      <c r="O446" s="3"/>
      <c r="P446" s="3"/>
      <c r="Q446" s="3"/>
      <c r="R446" s="2"/>
      <c r="S446" s="14">
        <f t="shared" si="13"/>
        <v>-3.544185891</v>
      </c>
    </row>
    <row r="447">
      <c r="A447" s="11">
        <v>435.0</v>
      </c>
      <c r="B447" s="11">
        <v>1.42128695652173E9</v>
      </c>
      <c r="C447" s="2">
        <v>-102.4297791</v>
      </c>
      <c r="D447" s="3">
        <f t="shared" si="1"/>
        <v>886956.5217</v>
      </c>
      <c r="E447" s="4">
        <f t="shared" si="2"/>
        <v>-188.2507071</v>
      </c>
      <c r="F447" s="3">
        <f t="shared" si="16"/>
        <v>0.0002122434443</v>
      </c>
      <c r="G447" s="3">
        <f t="shared" si="4"/>
        <v>0</v>
      </c>
      <c r="H447" s="2">
        <f t="shared" si="5"/>
        <v>0</v>
      </c>
      <c r="I447" s="3">
        <f t="shared" si="6"/>
        <v>0</v>
      </c>
      <c r="J447" s="3">
        <f t="shared" si="7"/>
        <v>0</v>
      </c>
      <c r="K447" s="3"/>
      <c r="L447" s="3">
        <f t="shared" si="8"/>
        <v>434.6385642</v>
      </c>
      <c r="M447" s="2">
        <f t="shared" si="9"/>
        <v>433.7506992</v>
      </c>
      <c r="N447" s="9">
        <f t="shared" si="10"/>
        <v>0.8878649837</v>
      </c>
      <c r="O447" s="3"/>
      <c r="P447" s="3"/>
      <c r="Q447" s="3"/>
      <c r="R447" s="2"/>
      <c r="S447" s="14">
        <f t="shared" si="13"/>
        <v>0.8153229809</v>
      </c>
    </row>
    <row r="448">
      <c r="A448" s="11">
        <v>436.0</v>
      </c>
      <c r="B448" s="11">
        <v>1.42129130434782E9</v>
      </c>
      <c r="C448" s="2">
        <v>-102.4687271</v>
      </c>
      <c r="D448" s="3">
        <f t="shared" si="1"/>
        <v>891304.3478</v>
      </c>
      <c r="E448" s="4">
        <f t="shared" si="2"/>
        <v>-189.1690032</v>
      </c>
      <c r="F448" s="3">
        <f t="shared" si="16"/>
        <v>0.0002122383939</v>
      </c>
      <c r="G448" s="3">
        <f t="shared" si="4"/>
        <v>0</v>
      </c>
      <c r="H448" s="2">
        <f t="shared" si="5"/>
        <v>0</v>
      </c>
      <c r="I448" s="3">
        <f t="shared" si="6"/>
        <v>0</v>
      </c>
      <c r="J448" s="3">
        <f t="shared" si="7"/>
        <v>0</v>
      </c>
      <c r="K448" s="3"/>
      <c r="L448" s="3">
        <f t="shared" si="8"/>
        <v>430.7581046</v>
      </c>
      <c r="M448" s="2">
        <f t="shared" si="9"/>
        <v>433.5566041</v>
      </c>
      <c r="N448" s="9">
        <f t="shared" si="10"/>
        <v>-2.798499493</v>
      </c>
      <c r="O448" s="3"/>
      <c r="P448" s="3"/>
      <c r="Q448" s="3"/>
      <c r="R448" s="2"/>
      <c r="S448" s="14">
        <f t="shared" si="13"/>
        <v>-2.569851262</v>
      </c>
    </row>
    <row r="449">
      <c r="A449" s="11">
        <v>437.0</v>
      </c>
      <c r="B449" s="11">
        <v>1.42129565217391E9</v>
      </c>
      <c r="C449" s="2">
        <v>-102.436554</v>
      </c>
      <c r="D449" s="3">
        <f t="shared" si="1"/>
        <v>895652.1739</v>
      </c>
      <c r="E449" s="4">
        <f t="shared" si="2"/>
        <v>-190.0872994</v>
      </c>
      <c r="F449" s="3">
        <f t="shared" si="16"/>
        <v>0.0002122333925</v>
      </c>
      <c r="G449" s="3">
        <f t="shared" si="4"/>
        <v>0</v>
      </c>
      <c r="H449" s="2">
        <f t="shared" si="5"/>
        <v>0</v>
      </c>
      <c r="I449" s="3">
        <f t="shared" si="6"/>
        <v>0</v>
      </c>
      <c r="J449" s="3">
        <f t="shared" si="7"/>
        <v>0</v>
      </c>
      <c r="K449" s="3"/>
      <c r="L449" s="3">
        <f t="shared" si="8"/>
        <v>433.961066</v>
      </c>
      <c r="M449" s="2">
        <f t="shared" si="9"/>
        <v>433.3616229</v>
      </c>
      <c r="N449" s="9">
        <f t="shared" si="10"/>
        <v>0.5994431551</v>
      </c>
      <c r="O449" s="3"/>
      <c r="P449" s="3"/>
      <c r="Q449" s="3"/>
      <c r="R449" s="2"/>
      <c r="S449" s="14">
        <f t="shared" si="13"/>
        <v>0.5504663299</v>
      </c>
    </row>
    <row r="450">
      <c r="A450" s="11">
        <v>438.0</v>
      </c>
      <c r="B450" s="11">
        <v>1.4213E9</v>
      </c>
      <c r="C450" s="2">
        <v>-102.4203186</v>
      </c>
      <c r="D450" s="3">
        <f t="shared" si="1"/>
        <v>900000</v>
      </c>
      <c r="E450" s="4">
        <f t="shared" si="2"/>
        <v>-191.0055955</v>
      </c>
      <c r="F450" s="3">
        <f t="shared" si="16"/>
        <v>0.0002122284394</v>
      </c>
      <c r="G450" s="3">
        <f t="shared" si="4"/>
        <v>0</v>
      </c>
      <c r="H450" s="2">
        <f t="shared" si="5"/>
        <v>0</v>
      </c>
      <c r="I450" s="3">
        <f t="shared" si="6"/>
        <v>0</v>
      </c>
      <c r="J450" s="3">
        <f t="shared" si="7"/>
        <v>0</v>
      </c>
      <c r="K450" s="3"/>
      <c r="L450" s="3">
        <f t="shared" si="8"/>
        <v>435.5863957</v>
      </c>
      <c r="M450" s="2">
        <f t="shared" si="9"/>
        <v>433.1657523</v>
      </c>
      <c r="N450" s="9">
        <f t="shared" si="10"/>
        <v>2.420643425</v>
      </c>
      <c r="O450" s="3"/>
      <c r="P450" s="3"/>
      <c r="Q450" s="3"/>
      <c r="R450" s="2"/>
      <c r="S450" s="14">
        <f t="shared" si="13"/>
        <v>2.222867496</v>
      </c>
    </row>
    <row r="451">
      <c r="A451" s="11">
        <v>439.0</v>
      </c>
      <c r="B451" s="11">
        <v>1.42130434782608E9</v>
      </c>
      <c r="C451" s="2">
        <v>-102.4129715</v>
      </c>
      <c r="D451" s="3">
        <f t="shared" si="1"/>
        <v>904347.8261</v>
      </c>
      <c r="E451" s="4">
        <f t="shared" si="2"/>
        <v>-191.9238916</v>
      </c>
      <c r="F451" s="3">
        <f t="shared" si="16"/>
        <v>0.000212223534</v>
      </c>
      <c r="G451" s="3">
        <f t="shared" si="4"/>
        <v>0</v>
      </c>
      <c r="H451" s="2">
        <f t="shared" si="5"/>
        <v>0</v>
      </c>
      <c r="I451" s="3">
        <f t="shared" si="6"/>
        <v>0</v>
      </c>
      <c r="J451" s="3">
        <f t="shared" si="7"/>
        <v>0</v>
      </c>
      <c r="K451" s="3"/>
      <c r="L451" s="3">
        <f t="shared" si="8"/>
        <v>436.323915</v>
      </c>
      <c r="M451" s="2">
        <f t="shared" si="9"/>
        <v>432.9689893</v>
      </c>
      <c r="N451" s="9">
        <f t="shared" si="10"/>
        <v>3.354925676</v>
      </c>
      <c r="O451" s="3"/>
      <c r="P451" s="3"/>
      <c r="Q451" s="3"/>
      <c r="R451" s="2"/>
      <c r="S451" s="14">
        <f t="shared" si="13"/>
        <v>3.080815274</v>
      </c>
    </row>
    <row r="452">
      <c r="A452" s="11">
        <v>440.0</v>
      </c>
      <c r="B452" s="11">
        <v>1.42130869565217E9</v>
      </c>
      <c r="C452" s="2">
        <v>-102.3552475</v>
      </c>
      <c r="D452" s="3">
        <f t="shared" si="1"/>
        <v>908695.6522</v>
      </c>
      <c r="E452" s="4">
        <f t="shared" si="2"/>
        <v>-192.8421877</v>
      </c>
      <c r="F452" s="3">
        <f t="shared" si="16"/>
        <v>0.0002122186755</v>
      </c>
      <c r="G452" s="3">
        <f t="shared" si="4"/>
        <v>0</v>
      </c>
      <c r="H452" s="2">
        <f t="shared" si="5"/>
        <v>0</v>
      </c>
      <c r="I452" s="3">
        <f t="shared" si="6"/>
        <v>0</v>
      </c>
      <c r="J452" s="3">
        <f t="shared" si="7"/>
        <v>0</v>
      </c>
      <c r="K452" s="3"/>
      <c r="L452" s="3">
        <f t="shared" si="8"/>
        <v>442.1620014</v>
      </c>
      <c r="M452" s="2">
        <f t="shared" si="9"/>
        <v>432.7713307</v>
      </c>
      <c r="N452" s="9">
        <f t="shared" si="10"/>
        <v>9.390670709</v>
      </c>
      <c r="O452" s="3"/>
      <c r="P452" s="3"/>
      <c r="Q452" s="3"/>
      <c r="R452" s="2"/>
      <c r="S452" s="14">
        <f t="shared" si="13"/>
        <v>8.623416576</v>
      </c>
    </row>
    <row r="453">
      <c r="A453" s="11">
        <v>441.0</v>
      </c>
      <c r="B453" s="11">
        <v>1.42131304347826E9</v>
      </c>
      <c r="C453" s="2">
        <v>-102.3789063</v>
      </c>
      <c r="D453" s="3">
        <f t="shared" si="1"/>
        <v>913043.4783</v>
      </c>
      <c r="E453" s="4">
        <f t="shared" si="2"/>
        <v>-193.7604839</v>
      </c>
      <c r="F453" s="3">
        <f t="shared" si="16"/>
        <v>0.0002122138633</v>
      </c>
      <c r="G453" s="3">
        <f t="shared" si="4"/>
        <v>0</v>
      </c>
      <c r="H453" s="2">
        <f t="shared" si="5"/>
        <v>0</v>
      </c>
      <c r="I453" s="3">
        <f t="shared" si="6"/>
        <v>0</v>
      </c>
      <c r="J453" s="3">
        <f t="shared" si="7"/>
        <v>0</v>
      </c>
      <c r="K453" s="3"/>
      <c r="L453" s="3">
        <f t="shared" si="8"/>
        <v>439.7598111</v>
      </c>
      <c r="M453" s="2">
        <f t="shared" si="9"/>
        <v>432.5727734</v>
      </c>
      <c r="N453" s="9">
        <f t="shared" si="10"/>
        <v>7.187037683</v>
      </c>
      <c r="O453" s="3"/>
      <c r="P453" s="3"/>
      <c r="Q453" s="3"/>
      <c r="R453" s="2"/>
      <c r="S453" s="14">
        <f t="shared" si="13"/>
        <v>6.59982891</v>
      </c>
    </row>
    <row r="454">
      <c r="A454" s="11">
        <v>442.0</v>
      </c>
      <c r="B454" s="11">
        <v>1.42131739130434E9</v>
      </c>
      <c r="C454" s="2">
        <v>-102.4786377</v>
      </c>
      <c r="D454" s="3">
        <f t="shared" si="1"/>
        <v>917391.3043</v>
      </c>
      <c r="E454" s="4">
        <f t="shared" si="2"/>
        <v>-194.67878</v>
      </c>
      <c r="F454" s="3">
        <f t="shared" si="16"/>
        <v>0.0002122090967</v>
      </c>
      <c r="G454" s="3">
        <f t="shared" si="4"/>
        <v>0</v>
      </c>
      <c r="H454" s="2">
        <f t="shared" si="5"/>
        <v>0</v>
      </c>
      <c r="I454" s="3">
        <f t="shared" si="6"/>
        <v>0</v>
      </c>
      <c r="J454" s="3">
        <f t="shared" si="7"/>
        <v>0</v>
      </c>
      <c r="K454" s="3"/>
      <c r="L454" s="3">
        <f t="shared" si="8"/>
        <v>429.7762354</v>
      </c>
      <c r="M454" s="2">
        <f t="shared" si="9"/>
        <v>432.3733142</v>
      </c>
      <c r="N454" s="9">
        <f t="shared" si="10"/>
        <v>-2.597078823</v>
      </c>
      <c r="O454" s="3"/>
      <c r="P454" s="3"/>
      <c r="Q454" s="3"/>
      <c r="R454" s="2"/>
      <c r="S454" s="14">
        <f t="shared" si="13"/>
        <v>-2.38488744</v>
      </c>
    </row>
    <row r="455">
      <c r="A455" s="11">
        <v>443.0</v>
      </c>
      <c r="B455" s="11">
        <v>1.42132173913043E9</v>
      </c>
      <c r="C455" s="2">
        <v>-102.4558182</v>
      </c>
      <c r="D455" s="3">
        <f t="shared" si="1"/>
        <v>921739.1304</v>
      </c>
      <c r="E455" s="4">
        <f t="shared" si="2"/>
        <v>-195.5970761</v>
      </c>
      <c r="F455" s="3">
        <f t="shared" si="16"/>
        <v>0.0002122043751</v>
      </c>
      <c r="G455" s="3">
        <f t="shared" si="4"/>
        <v>0</v>
      </c>
      <c r="H455" s="2">
        <f t="shared" si="5"/>
        <v>0</v>
      </c>
      <c r="I455" s="3">
        <f t="shared" si="6"/>
        <v>0</v>
      </c>
      <c r="J455" s="3">
        <f t="shared" si="7"/>
        <v>0</v>
      </c>
      <c r="K455" s="3"/>
      <c r="L455" s="3">
        <f t="shared" si="8"/>
        <v>432.040388</v>
      </c>
      <c r="M455" s="2">
        <f t="shared" si="9"/>
        <v>432.1729501</v>
      </c>
      <c r="N455" s="9">
        <f t="shared" si="10"/>
        <v>-0.1325621061</v>
      </c>
      <c r="O455" s="3"/>
      <c r="P455" s="3"/>
      <c r="Q455" s="3"/>
      <c r="R455" s="2"/>
      <c r="S455" s="14">
        <f t="shared" si="13"/>
        <v>-0.1217312691</v>
      </c>
    </row>
    <row r="456">
      <c r="A456" s="11">
        <v>444.0</v>
      </c>
      <c r="B456" s="11">
        <v>1.42132608695652E9</v>
      </c>
      <c r="C456" s="2">
        <v>-102.4919586</v>
      </c>
      <c r="D456" s="3">
        <f t="shared" si="1"/>
        <v>926086.9565</v>
      </c>
      <c r="E456" s="4">
        <f t="shared" si="2"/>
        <v>-196.5153723</v>
      </c>
      <c r="F456" s="3">
        <f t="shared" si="16"/>
        <v>0.0002121996978</v>
      </c>
      <c r="G456" s="3">
        <f t="shared" si="4"/>
        <v>0</v>
      </c>
      <c r="H456" s="2">
        <f t="shared" si="5"/>
        <v>0</v>
      </c>
      <c r="I456" s="3">
        <f t="shared" si="6"/>
        <v>0</v>
      </c>
      <c r="J456" s="3">
        <f t="shared" si="7"/>
        <v>0</v>
      </c>
      <c r="K456" s="3"/>
      <c r="L456" s="3">
        <f t="shared" si="8"/>
        <v>428.4600236</v>
      </c>
      <c r="M456" s="2">
        <f t="shared" si="9"/>
        <v>431.9716778</v>
      </c>
      <c r="N456" s="9">
        <f t="shared" si="10"/>
        <v>-3.51165416</v>
      </c>
      <c r="O456" s="3"/>
      <c r="P456" s="3"/>
      <c r="Q456" s="3"/>
      <c r="R456" s="2"/>
      <c r="S456" s="14">
        <f t="shared" si="13"/>
        <v>-3.224738435</v>
      </c>
    </row>
    <row r="457">
      <c r="A457" s="11">
        <v>445.0</v>
      </c>
      <c r="B457" s="11">
        <v>1.4213304347826E9</v>
      </c>
      <c r="C457" s="2">
        <v>-102.4687729</v>
      </c>
      <c r="D457" s="3">
        <f t="shared" si="1"/>
        <v>930434.7826</v>
      </c>
      <c r="E457" s="4">
        <f t="shared" si="2"/>
        <v>-197.4336684</v>
      </c>
      <c r="F457" s="3">
        <f t="shared" si="16"/>
        <v>0.0002121950642</v>
      </c>
      <c r="G457" s="3">
        <f t="shared" si="4"/>
        <v>0</v>
      </c>
      <c r="H457" s="2">
        <f t="shared" si="5"/>
        <v>0</v>
      </c>
      <c r="I457" s="3">
        <f t="shared" si="6"/>
        <v>0</v>
      </c>
      <c r="J457" s="3">
        <f t="shared" si="7"/>
        <v>0</v>
      </c>
      <c r="K457" s="3"/>
      <c r="L457" s="3">
        <f t="shared" si="8"/>
        <v>430.753562</v>
      </c>
      <c r="M457" s="2">
        <f t="shared" si="9"/>
        <v>431.7694942</v>
      </c>
      <c r="N457" s="9">
        <f t="shared" si="10"/>
        <v>-1.015932229</v>
      </c>
      <c r="O457" s="3"/>
      <c r="P457" s="3"/>
      <c r="Q457" s="3"/>
      <c r="R457" s="2"/>
      <c r="S457" s="14">
        <f t="shared" si="13"/>
        <v>-0.9329266368</v>
      </c>
    </row>
    <row r="458">
      <c r="A458" s="11">
        <v>446.0</v>
      </c>
      <c r="B458" s="11">
        <v>1.42133478260869E9</v>
      </c>
      <c r="C458" s="2">
        <v>-102.4710236</v>
      </c>
      <c r="D458" s="3">
        <f t="shared" si="1"/>
        <v>934782.6087</v>
      </c>
      <c r="E458" s="4">
        <f t="shared" si="2"/>
        <v>-198.3519645</v>
      </c>
      <c r="F458" s="3">
        <f t="shared" si="16"/>
        <v>0.0002121904737</v>
      </c>
      <c r="G458" s="3">
        <f t="shared" si="4"/>
        <v>0</v>
      </c>
      <c r="H458" s="2">
        <f t="shared" si="5"/>
        <v>0</v>
      </c>
      <c r="I458" s="3">
        <f t="shared" si="6"/>
        <v>0</v>
      </c>
      <c r="J458" s="3">
        <f t="shared" si="7"/>
        <v>0</v>
      </c>
      <c r="K458" s="3"/>
      <c r="L458" s="3">
        <f t="shared" si="8"/>
        <v>430.5303849</v>
      </c>
      <c r="M458" s="2">
        <f t="shared" si="9"/>
        <v>431.5663962</v>
      </c>
      <c r="N458" s="9">
        <f t="shared" si="10"/>
        <v>-1.036011363</v>
      </c>
      <c r="O458" s="3"/>
      <c r="P458" s="3"/>
      <c r="Q458" s="3"/>
      <c r="R458" s="2"/>
      <c r="S458" s="14">
        <f t="shared" si="13"/>
        <v>-0.9513652285</v>
      </c>
    </row>
    <row r="459">
      <c r="A459" s="11">
        <v>447.0</v>
      </c>
      <c r="B459" s="11">
        <v>1.42133913043478E9</v>
      </c>
      <c r="C459" s="2">
        <v>-102.4706879</v>
      </c>
      <c r="D459" s="3">
        <f t="shared" si="1"/>
        <v>939130.4348</v>
      </c>
      <c r="E459" s="4">
        <f t="shared" si="2"/>
        <v>-199.2702607</v>
      </c>
      <c r="F459" s="3">
        <f t="shared" si="16"/>
        <v>0.0002121859257</v>
      </c>
      <c r="G459" s="3">
        <f t="shared" si="4"/>
        <v>0</v>
      </c>
      <c r="H459" s="2">
        <f t="shared" si="5"/>
        <v>0</v>
      </c>
      <c r="I459" s="3">
        <f t="shared" si="6"/>
        <v>0</v>
      </c>
      <c r="J459" s="3">
        <f t="shared" si="7"/>
        <v>0</v>
      </c>
      <c r="K459" s="3"/>
      <c r="L459" s="3">
        <f t="shared" si="8"/>
        <v>430.5636652</v>
      </c>
      <c r="M459" s="2">
        <f t="shared" si="9"/>
        <v>431.3623807</v>
      </c>
      <c r="N459" s="9">
        <f t="shared" si="10"/>
        <v>-0.7987155146</v>
      </c>
      <c r="O459" s="3"/>
      <c r="P459" s="3"/>
      <c r="Q459" s="3"/>
      <c r="R459" s="2"/>
      <c r="S459" s="14">
        <f t="shared" si="13"/>
        <v>-0.7334573666</v>
      </c>
    </row>
    <row r="460">
      <c r="A460" s="11">
        <v>448.0</v>
      </c>
      <c r="B460" s="11">
        <v>1.42134347826087E9</v>
      </c>
      <c r="C460" s="2">
        <v>-102.4640656</v>
      </c>
      <c r="D460" s="3">
        <f t="shared" si="1"/>
        <v>943478.2609</v>
      </c>
      <c r="E460" s="4">
        <f t="shared" si="2"/>
        <v>-200.1885568</v>
      </c>
      <c r="F460" s="3">
        <f t="shared" si="16"/>
        <v>0.0002121814197</v>
      </c>
      <c r="G460" s="3">
        <f t="shared" si="4"/>
        <v>0</v>
      </c>
      <c r="H460" s="2">
        <f t="shared" si="5"/>
        <v>0</v>
      </c>
      <c r="I460" s="3">
        <f t="shared" si="6"/>
        <v>0</v>
      </c>
      <c r="J460" s="3">
        <f t="shared" si="7"/>
        <v>0</v>
      </c>
      <c r="K460" s="3"/>
      <c r="L460" s="3">
        <f t="shared" si="8"/>
        <v>431.2207071</v>
      </c>
      <c r="M460" s="2">
        <f t="shared" si="9"/>
        <v>431.1574445</v>
      </c>
      <c r="N460" s="9">
        <f t="shared" si="10"/>
        <v>0.0632625992</v>
      </c>
      <c r="O460" s="3"/>
      <c r="P460" s="3"/>
      <c r="Q460" s="3"/>
      <c r="R460" s="2"/>
      <c r="S460" s="14">
        <f t="shared" si="13"/>
        <v>0.05809380019</v>
      </c>
    </row>
    <row r="461">
      <c r="A461" s="11">
        <v>449.0</v>
      </c>
      <c r="B461" s="11">
        <v>1.42134782608695E9</v>
      </c>
      <c r="C461" s="2">
        <v>-102.4401321</v>
      </c>
      <c r="D461" s="3">
        <f t="shared" si="1"/>
        <v>947826.087</v>
      </c>
      <c r="E461" s="4">
        <f t="shared" si="2"/>
        <v>-201.1068529</v>
      </c>
      <c r="F461" s="3">
        <f t="shared" si="16"/>
        <v>0.0002121769549</v>
      </c>
      <c r="G461" s="3">
        <f t="shared" si="4"/>
        <v>0</v>
      </c>
      <c r="H461" s="2">
        <f t="shared" si="5"/>
        <v>0</v>
      </c>
      <c r="I461" s="3">
        <f t="shared" si="6"/>
        <v>0</v>
      </c>
      <c r="J461" s="3">
        <f t="shared" si="7"/>
        <v>0</v>
      </c>
      <c r="K461" s="3"/>
      <c r="L461" s="3">
        <f t="shared" si="8"/>
        <v>433.603678</v>
      </c>
      <c r="M461" s="2">
        <f t="shared" si="9"/>
        <v>430.9515845</v>
      </c>
      <c r="N461" s="9">
        <f t="shared" si="10"/>
        <v>2.652093496</v>
      </c>
      <c r="O461" s="3"/>
      <c r="P461" s="3"/>
      <c r="Q461" s="3"/>
      <c r="R461" s="2"/>
      <c r="S461" s="14">
        <f t="shared" si="13"/>
        <v>2.435407202</v>
      </c>
    </row>
    <row r="462">
      <c r="A462" s="11">
        <v>450.0</v>
      </c>
      <c r="B462" s="11">
        <v>1.42135217391304E9</v>
      </c>
      <c r="C462" s="2">
        <v>-102.4504852</v>
      </c>
      <c r="D462" s="3">
        <f t="shared" si="1"/>
        <v>952173.913</v>
      </c>
      <c r="E462" s="4">
        <f t="shared" si="2"/>
        <v>-202.0251491</v>
      </c>
      <c r="F462" s="3">
        <f t="shared" si="16"/>
        <v>0.000212172531</v>
      </c>
      <c r="G462" s="3">
        <f t="shared" si="4"/>
        <v>0</v>
      </c>
      <c r="H462" s="2">
        <f t="shared" si="5"/>
        <v>0</v>
      </c>
      <c r="I462" s="3">
        <f t="shared" si="6"/>
        <v>0</v>
      </c>
      <c r="J462" s="3">
        <f t="shared" si="7"/>
        <v>0</v>
      </c>
      <c r="K462" s="3"/>
      <c r="L462" s="3">
        <f t="shared" si="8"/>
        <v>432.5712459</v>
      </c>
      <c r="M462" s="2">
        <f t="shared" si="9"/>
        <v>430.7447975</v>
      </c>
      <c r="N462" s="9">
        <f t="shared" si="10"/>
        <v>1.826448367</v>
      </c>
      <c r="O462" s="3"/>
      <c r="P462" s="3"/>
      <c r="Q462" s="3"/>
      <c r="R462" s="2"/>
      <c r="S462" s="14">
        <f t="shared" si="13"/>
        <v>1.677220468</v>
      </c>
    </row>
    <row r="463">
      <c r="A463" s="11">
        <v>451.0</v>
      </c>
      <c r="B463" s="11">
        <v>1.42135652173913E9</v>
      </c>
      <c r="C463" s="2">
        <v>-102.4723969</v>
      </c>
      <c r="D463" s="3">
        <f t="shared" si="1"/>
        <v>956521.7391</v>
      </c>
      <c r="E463" s="4">
        <f t="shared" si="2"/>
        <v>-202.9434452</v>
      </c>
      <c r="F463" s="3">
        <f t="shared" si="16"/>
        <v>0.0002121681473</v>
      </c>
      <c r="G463" s="3">
        <f t="shared" si="4"/>
        <v>0</v>
      </c>
      <c r="H463" s="2">
        <f t="shared" si="5"/>
        <v>0</v>
      </c>
      <c r="I463" s="3">
        <f t="shared" si="6"/>
        <v>0</v>
      </c>
      <c r="J463" s="3">
        <f t="shared" si="7"/>
        <v>0</v>
      </c>
      <c r="K463" s="3"/>
      <c r="L463" s="3">
        <f t="shared" si="8"/>
        <v>430.3942666</v>
      </c>
      <c r="M463" s="2">
        <f t="shared" si="9"/>
        <v>430.5370804</v>
      </c>
      <c r="N463" s="9">
        <f t="shared" si="10"/>
        <v>-0.1428137863</v>
      </c>
      <c r="O463" s="3"/>
      <c r="P463" s="3"/>
      <c r="Q463" s="3"/>
      <c r="R463" s="2"/>
      <c r="S463" s="14">
        <f t="shared" si="13"/>
        <v>-0.1311453476</v>
      </c>
    </row>
    <row r="464">
      <c r="A464" s="11">
        <v>452.0</v>
      </c>
      <c r="B464" s="11">
        <v>1.42136086956521E9</v>
      </c>
      <c r="C464" s="2">
        <v>-102.4098587</v>
      </c>
      <c r="D464" s="3">
        <f t="shared" si="1"/>
        <v>960869.5652</v>
      </c>
      <c r="E464" s="4">
        <f t="shared" si="2"/>
        <v>-203.8617413</v>
      </c>
      <c r="F464" s="3">
        <f t="shared" si="16"/>
        <v>0.0002121638032</v>
      </c>
      <c r="G464" s="3">
        <f t="shared" si="4"/>
        <v>0</v>
      </c>
      <c r="H464" s="2">
        <f t="shared" si="5"/>
        <v>0</v>
      </c>
      <c r="I464" s="3">
        <f t="shared" si="6"/>
        <v>0</v>
      </c>
      <c r="J464" s="3">
        <f t="shared" si="7"/>
        <v>0</v>
      </c>
      <c r="K464" s="3"/>
      <c r="L464" s="3">
        <f t="shared" si="8"/>
        <v>436.6367617</v>
      </c>
      <c r="M464" s="2">
        <f t="shared" si="9"/>
        <v>430.3284301</v>
      </c>
      <c r="N464" s="9">
        <f t="shared" si="10"/>
        <v>6.308331553</v>
      </c>
      <c r="O464" s="3"/>
      <c r="P464" s="3"/>
      <c r="Q464" s="3"/>
      <c r="R464" s="2"/>
      <c r="S464" s="14">
        <f t="shared" si="13"/>
        <v>5.79291647</v>
      </c>
    </row>
    <row r="465">
      <c r="A465" s="11">
        <v>453.0</v>
      </c>
      <c r="B465" s="11">
        <v>1.4213652173913E9</v>
      </c>
      <c r="C465" s="2">
        <v>-102.499855</v>
      </c>
      <c r="D465" s="3">
        <f t="shared" si="1"/>
        <v>965217.3913</v>
      </c>
      <c r="E465" s="4">
        <f t="shared" si="2"/>
        <v>-204.7800375</v>
      </c>
      <c r="F465" s="3">
        <f t="shared" si="16"/>
        <v>0.0002121594983</v>
      </c>
      <c r="G465" s="3">
        <f t="shared" si="4"/>
        <v>0</v>
      </c>
      <c r="H465" s="2">
        <f t="shared" si="5"/>
        <v>0</v>
      </c>
      <c r="I465" s="3">
        <f t="shared" si="6"/>
        <v>0</v>
      </c>
      <c r="J465" s="3">
        <f t="shared" si="7"/>
        <v>0</v>
      </c>
      <c r="K465" s="3"/>
      <c r="L465" s="3">
        <f t="shared" si="8"/>
        <v>427.6816997</v>
      </c>
      <c r="M465" s="2">
        <f t="shared" si="9"/>
        <v>430.1188434</v>
      </c>
      <c r="N465" s="9">
        <f t="shared" si="10"/>
        <v>-2.437143756</v>
      </c>
      <c r="O465" s="3"/>
      <c r="P465" s="3"/>
      <c r="Q465" s="3"/>
      <c r="R465" s="2"/>
      <c r="S465" s="14">
        <f t="shared" si="13"/>
        <v>-2.238019681</v>
      </c>
    </row>
    <row r="466">
      <c r="A466" s="11">
        <v>454.0</v>
      </c>
      <c r="B466" s="11">
        <v>1.42136956521739E9</v>
      </c>
      <c r="C466" s="2">
        <v>-102.4315414</v>
      </c>
      <c r="D466" s="3">
        <f t="shared" si="1"/>
        <v>969565.2174</v>
      </c>
      <c r="E466" s="4">
        <f t="shared" si="2"/>
        <v>-205.6983336</v>
      </c>
      <c r="F466" s="3">
        <f t="shared" si="16"/>
        <v>0.000212155232</v>
      </c>
      <c r="G466" s="3">
        <f t="shared" si="4"/>
        <v>0</v>
      </c>
      <c r="H466" s="2">
        <f t="shared" si="5"/>
        <v>0</v>
      </c>
      <c r="I466" s="3">
        <f t="shared" si="6"/>
        <v>0</v>
      </c>
      <c r="J466" s="3">
        <f t="shared" si="7"/>
        <v>0</v>
      </c>
      <c r="K466" s="3"/>
      <c r="L466" s="3">
        <f t="shared" si="8"/>
        <v>434.4622304</v>
      </c>
      <c r="M466" s="2">
        <f t="shared" si="9"/>
        <v>429.9083173</v>
      </c>
      <c r="N466" s="9">
        <f t="shared" si="10"/>
        <v>4.553913117</v>
      </c>
      <c r="O466" s="3"/>
      <c r="P466" s="3"/>
      <c r="Q466" s="3"/>
      <c r="R466" s="2"/>
      <c r="S466" s="14">
        <f t="shared" si="13"/>
        <v>4.181840804</v>
      </c>
    </row>
    <row r="467">
      <c r="A467" s="11">
        <v>455.0</v>
      </c>
      <c r="B467" s="11">
        <v>1.42137391304347E9</v>
      </c>
      <c r="C467" s="2">
        <v>-102.4192734</v>
      </c>
      <c r="D467" s="3">
        <f t="shared" si="1"/>
        <v>973913.0435</v>
      </c>
      <c r="E467" s="4">
        <f t="shared" si="2"/>
        <v>-206.6166297</v>
      </c>
      <c r="F467" s="3">
        <f t="shared" si="16"/>
        <v>0.0002121510037</v>
      </c>
      <c r="G467" s="3">
        <f t="shared" si="4"/>
        <v>0</v>
      </c>
      <c r="H467" s="2">
        <f t="shared" si="5"/>
        <v>0</v>
      </c>
      <c r="I467" s="3">
        <f t="shared" si="6"/>
        <v>0</v>
      </c>
      <c r="J467" s="3">
        <f t="shared" si="7"/>
        <v>0</v>
      </c>
      <c r="K467" s="3"/>
      <c r="L467" s="3">
        <f t="shared" si="8"/>
        <v>435.6912393</v>
      </c>
      <c r="M467" s="2">
        <f t="shared" si="9"/>
        <v>429.6968484</v>
      </c>
      <c r="N467" s="9">
        <f t="shared" si="10"/>
        <v>5.994390848</v>
      </c>
      <c r="O467" s="3"/>
      <c r="P467" s="3"/>
      <c r="Q467" s="3"/>
      <c r="R467" s="2"/>
      <c r="S467" s="14">
        <f t="shared" si="13"/>
        <v>5.504625934</v>
      </c>
    </row>
    <row r="468">
      <c r="A468" s="11">
        <v>456.0</v>
      </c>
      <c r="B468" s="11">
        <v>1.42137826086956E9</v>
      </c>
      <c r="C468" s="2">
        <v>-102.4804916</v>
      </c>
      <c r="D468" s="3">
        <f t="shared" si="1"/>
        <v>978260.8696</v>
      </c>
      <c r="E468" s="4">
        <f t="shared" si="2"/>
        <v>-207.5349259</v>
      </c>
      <c r="F468" s="3">
        <f t="shared" si="16"/>
        <v>0.0002121468131</v>
      </c>
      <c r="G468" s="3">
        <f t="shared" si="4"/>
        <v>0</v>
      </c>
      <c r="H468" s="2">
        <f t="shared" si="5"/>
        <v>0</v>
      </c>
      <c r="I468" s="3">
        <f t="shared" si="6"/>
        <v>0</v>
      </c>
      <c r="J468" s="3">
        <f t="shared" si="7"/>
        <v>0</v>
      </c>
      <c r="K468" s="3"/>
      <c r="L468" s="3">
        <f t="shared" si="8"/>
        <v>429.5928133</v>
      </c>
      <c r="M468" s="2">
        <f t="shared" si="9"/>
        <v>429.4844338</v>
      </c>
      <c r="N468" s="9">
        <f t="shared" si="10"/>
        <v>0.1083794743</v>
      </c>
      <c r="O468" s="3"/>
      <c r="P468" s="3"/>
      <c r="Q468" s="3"/>
      <c r="R468" s="2"/>
      <c r="S468" s="14">
        <f t="shared" si="13"/>
        <v>0.09952445191</v>
      </c>
    </row>
    <row r="469">
      <c r="A469" s="11">
        <v>457.0</v>
      </c>
      <c r="B469" s="11">
        <v>1.42138260869565E9</v>
      </c>
      <c r="C469" s="2">
        <v>-102.5154648</v>
      </c>
      <c r="D469" s="3">
        <f t="shared" si="1"/>
        <v>982608.6957</v>
      </c>
      <c r="E469" s="4">
        <f t="shared" si="2"/>
        <v>-208.453222</v>
      </c>
      <c r="F469" s="3">
        <f t="shared" si="16"/>
        <v>0.0002121426596</v>
      </c>
      <c r="G469" s="3">
        <f t="shared" si="4"/>
        <v>0</v>
      </c>
      <c r="H469" s="2">
        <f t="shared" si="5"/>
        <v>0</v>
      </c>
      <c r="I469" s="3">
        <f t="shared" si="6"/>
        <v>0</v>
      </c>
      <c r="J469" s="3">
        <f t="shared" si="7"/>
        <v>0</v>
      </c>
      <c r="K469" s="3"/>
      <c r="L469" s="3">
        <f t="shared" si="8"/>
        <v>426.1472472</v>
      </c>
      <c r="M469" s="2">
        <f t="shared" si="9"/>
        <v>429.2710703</v>
      </c>
      <c r="N469" s="9">
        <f t="shared" si="10"/>
        <v>-3.123823052</v>
      </c>
      <c r="O469" s="3"/>
      <c r="P469" s="3"/>
      <c r="Q469" s="3"/>
      <c r="R469" s="2"/>
      <c r="S469" s="14">
        <f t="shared" si="13"/>
        <v>-2.868594628</v>
      </c>
    </row>
    <row r="470">
      <c r="A470" s="11">
        <v>458.0</v>
      </c>
      <c r="B470" s="11">
        <v>1.42138695652173E9</v>
      </c>
      <c r="C470" s="2">
        <v>-102.4460144</v>
      </c>
      <c r="D470" s="3">
        <f t="shared" si="1"/>
        <v>986956.5217</v>
      </c>
      <c r="E470" s="4">
        <f t="shared" si="2"/>
        <v>-209.3715181</v>
      </c>
      <c r="F470" s="3">
        <f t="shared" si="16"/>
        <v>0.0002121385426</v>
      </c>
      <c r="G470" s="3">
        <f t="shared" si="4"/>
        <v>0</v>
      </c>
      <c r="H470" s="2">
        <f t="shared" si="5"/>
        <v>0</v>
      </c>
      <c r="I470" s="3">
        <f t="shared" si="6"/>
        <v>0</v>
      </c>
      <c r="J470" s="3">
        <f t="shared" si="7"/>
        <v>0</v>
      </c>
      <c r="K470" s="3"/>
      <c r="L470" s="3">
        <f t="shared" si="8"/>
        <v>433.0167812</v>
      </c>
      <c r="M470" s="2">
        <f t="shared" si="9"/>
        <v>429.0567547</v>
      </c>
      <c r="N470" s="9">
        <f t="shared" si="10"/>
        <v>3.960026505</v>
      </c>
      <c r="O470" s="3"/>
      <c r="P470" s="3"/>
      <c r="Q470" s="3"/>
      <c r="R470" s="2"/>
      <c r="S470" s="14">
        <f t="shared" si="13"/>
        <v>3.636477025</v>
      </c>
    </row>
    <row r="471">
      <c r="A471" s="11">
        <v>459.0</v>
      </c>
      <c r="B471" s="11">
        <v>1.42139130434782E9</v>
      </c>
      <c r="C471" s="2">
        <v>-102.4456863</v>
      </c>
      <c r="D471" s="3">
        <f t="shared" si="1"/>
        <v>991304.3478</v>
      </c>
      <c r="E471" s="4">
        <f t="shared" si="2"/>
        <v>-210.2898143</v>
      </c>
      <c r="F471" s="3">
        <f t="shared" si="16"/>
        <v>0.0002121344618</v>
      </c>
      <c r="G471" s="3">
        <f t="shared" si="4"/>
        <v>0</v>
      </c>
      <c r="H471" s="2">
        <f t="shared" si="5"/>
        <v>0</v>
      </c>
      <c r="I471" s="3">
        <f t="shared" si="6"/>
        <v>0</v>
      </c>
      <c r="J471" s="3">
        <f t="shared" si="7"/>
        <v>0</v>
      </c>
      <c r="K471" s="3"/>
      <c r="L471" s="3">
        <f t="shared" si="8"/>
        <v>433.0494959</v>
      </c>
      <c r="M471" s="2">
        <f t="shared" si="9"/>
        <v>428.8414839</v>
      </c>
      <c r="N471" s="9">
        <f t="shared" si="10"/>
        <v>4.208012003</v>
      </c>
      <c r="O471" s="3"/>
      <c r="P471" s="3"/>
      <c r="Q471" s="3"/>
      <c r="R471" s="2"/>
      <c r="S471" s="14">
        <f t="shared" si="13"/>
        <v>3.864201149</v>
      </c>
    </row>
    <row r="472">
      <c r="A472" s="11">
        <v>460.0</v>
      </c>
      <c r="B472" s="11">
        <v>1.42139565217391E9</v>
      </c>
      <c r="C472" s="2">
        <v>-102.458847</v>
      </c>
      <c r="D472" s="3">
        <f t="shared" si="1"/>
        <v>995652.1739</v>
      </c>
      <c r="E472" s="4">
        <f t="shared" si="2"/>
        <v>-211.2081104</v>
      </c>
      <c r="F472" s="3">
        <f t="shared" si="16"/>
        <v>0.0002121304166</v>
      </c>
      <c r="G472" s="3">
        <f t="shared" si="4"/>
        <v>0</v>
      </c>
      <c r="H472" s="2">
        <f t="shared" si="5"/>
        <v>0</v>
      </c>
      <c r="I472" s="3">
        <f t="shared" si="6"/>
        <v>0</v>
      </c>
      <c r="J472" s="3">
        <f t="shared" si="7"/>
        <v>0</v>
      </c>
      <c r="K472" s="3"/>
      <c r="L472" s="3">
        <f t="shared" si="8"/>
        <v>431.739185</v>
      </c>
      <c r="M472" s="2">
        <f t="shared" si="9"/>
        <v>428.6252548</v>
      </c>
      <c r="N472" s="9">
        <f t="shared" si="10"/>
        <v>3.113930248</v>
      </c>
      <c r="O472" s="3"/>
      <c r="P472" s="3"/>
      <c r="Q472" s="3"/>
      <c r="R472" s="2"/>
      <c r="S472" s="14">
        <f t="shared" si="13"/>
        <v>2.465889005</v>
      </c>
    </row>
    <row r="473">
      <c r="A473" s="11">
        <v>461.0</v>
      </c>
      <c r="B473" s="11">
        <v>1.4214E9</v>
      </c>
      <c r="C473" s="2">
        <v>-102.4863129</v>
      </c>
      <c r="D473" s="3">
        <f t="shared" si="1"/>
        <v>1000000</v>
      </c>
      <c r="E473" s="12">
        <f>-0.000212*D473</f>
        <v>-212</v>
      </c>
      <c r="F473" s="3">
        <f t="shared" si="16"/>
        <v>0.000212</v>
      </c>
      <c r="G473" s="3">
        <f t="shared" si="4"/>
        <v>0</v>
      </c>
      <c r="H473" s="2">
        <f t="shared" si="5"/>
        <v>0</v>
      </c>
      <c r="I473" s="3">
        <f t="shared" si="6"/>
        <v>0</v>
      </c>
      <c r="J473" s="3">
        <f t="shared" si="7"/>
        <v>0</v>
      </c>
      <c r="K473" s="3"/>
      <c r="L473" s="3">
        <f t="shared" si="8"/>
        <v>429.0173712</v>
      </c>
      <c r="M473" s="2">
        <f t="shared" si="9"/>
        <v>428.4380184</v>
      </c>
      <c r="N473" s="9">
        <f t="shared" si="10"/>
        <v>0.579352804</v>
      </c>
      <c r="O473" s="3"/>
      <c r="P473" s="3"/>
      <c r="Q473" s="3"/>
      <c r="R473" s="2"/>
      <c r="S473" s="14"/>
    </row>
    <row r="474">
      <c r="D474" s="3"/>
      <c r="E474" s="4"/>
      <c r="F474" s="3"/>
      <c r="G474" s="3"/>
      <c r="H474" s="3"/>
      <c r="I474" s="3"/>
      <c r="J474" s="3"/>
      <c r="K474" s="3"/>
      <c r="L474" s="3"/>
      <c r="M474" s="2"/>
      <c r="N474" s="3"/>
      <c r="O474" s="3"/>
      <c r="P474" s="3"/>
      <c r="Q474" s="3"/>
      <c r="R474" s="3"/>
    </row>
    <row r="475">
      <c r="F475" s="2" t="s">
        <v>39</v>
      </c>
    </row>
    <row r="476">
      <c r="F476" s="3">
        <f>AVERAGE(F13:F473)</f>
        <v>0.0002112078356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0</v>
      </c>
      <c r="B1" s="11" t="s">
        <v>1</v>
      </c>
    </row>
    <row r="2">
      <c r="A2" s="11" t="s">
        <v>2</v>
      </c>
      <c r="B2" s="11" t="s">
        <v>3</v>
      </c>
    </row>
    <row r="3">
      <c r="A3" s="11" t="s">
        <v>5</v>
      </c>
      <c r="B3" s="11" t="s">
        <v>6</v>
      </c>
    </row>
    <row r="4">
      <c r="A4" s="11" t="s">
        <v>7</v>
      </c>
      <c r="B4" s="11">
        <v>1.4204E9</v>
      </c>
      <c r="C4" s="11" t="s">
        <v>8</v>
      </c>
    </row>
    <row r="5">
      <c r="A5" s="11" t="s">
        <v>9</v>
      </c>
      <c r="B5" s="11">
        <v>2000000.0</v>
      </c>
      <c r="C5" s="11" t="s">
        <v>8</v>
      </c>
    </row>
    <row r="6">
      <c r="A6" s="11" t="s">
        <v>10</v>
      </c>
      <c r="B6" s="11">
        <v>30000.0</v>
      </c>
      <c r="C6" s="11" t="s">
        <v>8</v>
      </c>
    </row>
    <row r="7">
      <c r="A7" s="11" t="s">
        <v>11</v>
      </c>
      <c r="B7" s="11">
        <v>30000.0</v>
      </c>
      <c r="C7" s="11" t="s">
        <v>8</v>
      </c>
    </row>
    <row r="8">
      <c r="A8" s="11" t="s">
        <v>12</v>
      </c>
      <c r="B8" s="11">
        <v>-97.0</v>
      </c>
      <c r="C8" s="11" t="s">
        <v>13</v>
      </c>
    </row>
    <row r="9">
      <c r="A9" s="11" t="s">
        <v>14</v>
      </c>
      <c r="B9" s="11">
        <v>1.0</v>
      </c>
      <c r="C9" s="11" t="s">
        <v>15</v>
      </c>
    </row>
    <row r="10">
      <c r="A10" s="11" t="s">
        <v>16</v>
      </c>
      <c r="B10" s="11">
        <v>461.0</v>
      </c>
    </row>
    <row r="11">
      <c r="A11" s="11" t="s">
        <v>17</v>
      </c>
      <c r="B11" s="11" t="s">
        <v>8</v>
      </c>
      <c r="C11" s="11" t="s">
        <v>13</v>
      </c>
      <c r="D11" s="2" t="s">
        <v>18</v>
      </c>
      <c r="E11" s="1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26</v>
      </c>
      <c r="M11" s="6" t="s">
        <v>27</v>
      </c>
      <c r="N11" s="2" t="s">
        <v>28</v>
      </c>
      <c r="O11" s="3"/>
      <c r="P11" s="2" t="s">
        <v>29</v>
      </c>
      <c r="Q11" s="2" t="s">
        <v>30</v>
      </c>
      <c r="R11" s="2"/>
      <c r="S11" s="2" t="s">
        <v>31</v>
      </c>
      <c r="V11" s="13" t="s">
        <v>32</v>
      </c>
    </row>
    <row r="12">
      <c r="A12" s="11" t="s">
        <v>33</v>
      </c>
      <c r="B12" s="11" t="s">
        <v>34</v>
      </c>
      <c r="C12" s="11" t="s">
        <v>35</v>
      </c>
      <c r="D12" s="3"/>
      <c r="E12" s="4"/>
      <c r="F12" s="3"/>
      <c r="G12" s="2" t="s">
        <v>36</v>
      </c>
      <c r="H12" s="2" t="s">
        <v>37</v>
      </c>
      <c r="I12" s="3"/>
      <c r="J12" s="3"/>
      <c r="K12" s="3"/>
      <c r="L12" s="3"/>
      <c r="M12" s="5"/>
      <c r="N12" s="3"/>
      <c r="O12" s="3"/>
      <c r="P12" s="3"/>
      <c r="Q12" s="3"/>
      <c r="R12" s="3"/>
      <c r="S12" s="3"/>
    </row>
    <row r="13">
      <c r="A13" s="11">
        <v>1.0</v>
      </c>
      <c r="B13" s="11">
        <v>1.4194E9</v>
      </c>
      <c r="C13" s="2">
        <v>-102.0826035</v>
      </c>
      <c r="D13" s="3">
        <f t="shared" ref="D13:D473" si="1">B13-$B$4</f>
        <v>-1000000</v>
      </c>
      <c r="E13" s="4">
        <f t="shared" ref="E13:E472" si="2">-((B14-$B$4)/$B$4)*(3*10^5)</f>
        <v>210.2898143</v>
      </c>
      <c r="F13" s="3">
        <f t="shared" ref="F13:F473" si="3">-E13/D13</f>
        <v>0.0002102898143</v>
      </c>
      <c r="G13" s="3">
        <f t="shared" ref="G13:G473" si="4">(10^(C13/10))/1000</f>
        <v>0</v>
      </c>
      <c r="H13" s="2">
        <f t="shared" ref="H13:H473" si="5">G13/30000</f>
        <v>0</v>
      </c>
      <c r="I13" s="3">
        <f t="shared" ref="I13:I473" si="6">0.0063*H13</f>
        <v>0</v>
      </c>
      <c r="J13" s="3">
        <f t="shared" ref="J13:J473" si="7">(1/F13^2)*I13</f>
        <v>0</v>
      </c>
      <c r="K13" s="22">
        <f>1.38064852E-23</f>
        <v>0</v>
      </c>
      <c r="L13" s="3">
        <f t="shared" ref="L13:L473" si="8">(1/(2*$K$13))*(I13)</f>
        <v>470.8101504</v>
      </c>
      <c r="M13" s="14">
        <f t="shared" ref="M13:M473" si="9">-0.0000005655*E13^3 - 0.000119876*E13^2 + 0.117803125*E13 + 453.5173720836
</f>
        <v>467.7302281</v>
      </c>
      <c r="N13" s="14">
        <f t="shared" ref="N13:N473" si="10">L13-(M13)</f>
        <v>3.079922296</v>
      </c>
      <c r="O13" s="3"/>
      <c r="P13" s="23">
        <f t="shared" ref="P13:P67" si="11">-((B14-$B$4)/$B$4)*(3*10^5)</f>
        <v>210.2898143</v>
      </c>
      <c r="Q13" s="14">
        <f t="shared" ref="Q13:Q67" si="12">(1/(2*$K$13))*(I13)</f>
        <v>470.8101504</v>
      </c>
      <c r="R13" s="2"/>
      <c r="S13" s="14">
        <f t="shared" ref="S13:S472" si="13">(N13 * ABS(E14-E13))</f>
        <v>2.828280733</v>
      </c>
      <c r="V13" s="3">
        <f>1822400000000000000 * SUM(S13:S473)</f>
        <v>7.69316E+21</v>
      </c>
    </row>
    <row r="14">
      <c r="A14" s="11">
        <v>2.0</v>
      </c>
      <c r="B14" s="11">
        <v>1.41940434782608E9</v>
      </c>
      <c r="C14" s="2">
        <v>-102.1357193</v>
      </c>
      <c r="D14" s="3">
        <f t="shared" si="1"/>
        <v>-995652.1739</v>
      </c>
      <c r="E14" s="4">
        <f t="shared" si="2"/>
        <v>209.3715181</v>
      </c>
      <c r="F14" s="3">
        <f t="shared" si="3"/>
        <v>0.0002102858042</v>
      </c>
      <c r="G14" s="3">
        <f t="shared" si="4"/>
        <v>0</v>
      </c>
      <c r="H14" s="2">
        <f t="shared" si="5"/>
        <v>0</v>
      </c>
      <c r="I14" s="3">
        <f t="shared" si="6"/>
        <v>0</v>
      </c>
      <c r="J14" s="3">
        <f t="shared" si="7"/>
        <v>0</v>
      </c>
      <c r="K14" s="3"/>
      <c r="L14" s="3">
        <f t="shared" si="8"/>
        <v>465.0870396</v>
      </c>
      <c r="M14" s="14">
        <f t="shared" si="9"/>
        <v>467.7368392</v>
      </c>
      <c r="N14" s="14">
        <f t="shared" si="10"/>
        <v>-2.649799593</v>
      </c>
      <c r="O14" s="3"/>
      <c r="P14" s="23">
        <f t="shared" si="11"/>
        <v>209.3715181</v>
      </c>
      <c r="Q14" s="14">
        <f t="shared" si="12"/>
        <v>465.0870396</v>
      </c>
      <c r="R14" s="2"/>
      <c r="S14" s="14">
        <f t="shared" si="13"/>
        <v>-2.433300719</v>
      </c>
    </row>
    <row r="15">
      <c r="A15" s="11">
        <v>3.0</v>
      </c>
      <c r="B15" s="11">
        <v>1.41940869565217E9</v>
      </c>
      <c r="C15" s="2">
        <v>-102.1330414</v>
      </c>
      <c r="D15" s="3">
        <f t="shared" si="1"/>
        <v>-991304.3478</v>
      </c>
      <c r="E15" s="4">
        <f t="shared" si="2"/>
        <v>208.453222</v>
      </c>
      <c r="F15" s="3">
        <f t="shared" si="3"/>
        <v>0.000210281759</v>
      </c>
      <c r="G15" s="3">
        <f t="shared" si="4"/>
        <v>0</v>
      </c>
      <c r="H15" s="2">
        <f t="shared" si="5"/>
        <v>0</v>
      </c>
      <c r="I15" s="3">
        <f t="shared" si="6"/>
        <v>0</v>
      </c>
      <c r="J15" s="3">
        <f t="shared" si="7"/>
        <v>0</v>
      </c>
      <c r="K15" s="3"/>
      <c r="L15" s="3">
        <f t="shared" si="8"/>
        <v>465.373905</v>
      </c>
      <c r="M15" s="14">
        <f t="shared" si="9"/>
        <v>467.7426491</v>
      </c>
      <c r="N15" s="14">
        <f t="shared" si="10"/>
        <v>-2.368744097</v>
      </c>
      <c r="O15" s="3"/>
      <c r="P15" s="23">
        <f t="shared" si="11"/>
        <v>208.453222</v>
      </c>
      <c r="Q15" s="14">
        <f t="shared" si="12"/>
        <v>465.373905</v>
      </c>
      <c r="R15" s="2"/>
      <c r="S15" s="14">
        <f t="shared" si="13"/>
        <v>-2.175208539</v>
      </c>
    </row>
    <row r="16">
      <c r="A16" s="11">
        <v>4.0</v>
      </c>
      <c r="B16" s="11">
        <v>1.41941304347826E9</v>
      </c>
      <c r="C16" s="2">
        <v>-102.0861282</v>
      </c>
      <c r="D16" s="3">
        <f t="shared" si="1"/>
        <v>-986956.5217</v>
      </c>
      <c r="E16" s="4">
        <f t="shared" si="2"/>
        <v>207.5349259</v>
      </c>
      <c r="F16" s="3">
        <f t="shared" si="3"/>
        <v>0.0002102776782</v>
      </c>
      <c r="G16" s="3">
        <f t="shared" si="4"/>
        <v>0</v>
      </c>
      <c r="H16" s="2">
        <f t="shared" si="5"/>
        <v>0</v>
      </c>
      <c r="I16" s="3">
        <f t="shared" si="6"/>
        <v>0</v>
      </c>
      <c r="J16" s="3">
        <f t="shared" si="7"/>
        <v>0</v>
      </c>
      <c r="K16" s="3"/>
      <c r="L16" s="3">
        <f t="shared" si="8"/>
        <v>470.4281995</v>
      </c>
      <c r="M16" s="14">
        <f t="shared" si="9"/>
        <v>467.7476604</v>
      </c>
      <c r="N16" s="14">
        <f t="shared" si="10"/>
        <v>2.680539113</v>
      </c>
      <c r="O16" s="3"/>
      <c r="P16" s="23">
        <f t="shared" si="11"/>
        <v>207.5349259</v>
      </c>
      <c r="Q16" s="14">
        <f t="shared" si="12"/>
        <v>470.4281995</v>
      </c>
      <c r="R16" s="2"/>
      <c r="S16" s="14">
        <f t="shared" si="13"/>
        <v>2.461528701</v>
      </c>
    </row>
    <row r="17">
      <c r="A17" s="11">
        <v>5.0</v>
      </c>
      <c r="B17" s="11">
        <v>1.41941739130434E9</v>
      </c>
      <c r="C17" s="2">
        <v>-102.1184311</v>
      </c>
      <c r="D17" s="3">
        <f t="shared" si="1"/>
        <v>-982608.6957</v>
      </c>
      <c r="E17" s="4">
        <f t="shared" si="2"/>
        <v>206.6166297</v>
      </c>
      <c r="F17" s="3">
        <f t="shared" si="3"/>
        <v>0.0002102735612</v>
      </c>
      <c r="G17" s="3">
        <f t="shared" si="4"/>
        <v>0</v>
      </c>
      <c r="H17" s="2">
        <f t="shared" si="5"/>
        <v>0</v>
      </c>
      <c r="I17" s="3">
        <f t="shared" si="6"/>
        <v>0</v>
      </c>
      <c r="J17" s="3">
        <f t="shared" si="7"/>
        <v>0</v>
      </c>
      <c r="K17" s="3"/>
      <c r="L17" s="3">
        <f t="shared" si="8"/>
        <v>466.9421271</v>
      </c>
      <c r="M17" s="14">
        <f t="shared" si="9"/>
        <v>467.7518758</v>
      </c>
      <c r="N17" s="14">
        <f t="shared" si="10"/>
        <v>-0.8097486434</v>
      </c>
      <c r="O17" s="3"/>
      <c r="P17" s="23">
        <f t="shared" si="11"/>
        <v>206.6166297</v>
      </c>
      <c r="Q17" s="14">
        <f t="shared" si="12"/>
        <v>466.9421271</v>
      </c>
      <c r="R17" s="2"/>
      <c r="S17" s="14">
        <f t="shared" si="13"/>
        <v>-0.7435890478</v>
      </c>
    </row>
    <row r="18">
      <c r="A18" s="11">
        <v>6.0</v>
      </c>
      <c r="B18" s="11">
        <v>1.41942173913043E9</v>
      </c>
      <c r="C18" s="2">
        <v>-102.0868073</v>
      </c>
      <c r="D18" s="3">
        <f t="shared" si="1"/>
        <v>-978260.8696</v>
      </c>
      <c r="E18" s="4">
        <f t="shared" si="2"/>
        <v>205.6983336</v>
      </c>
      <c r="F18" s="3">
        <f t="shared" si="3"/>
        <v>0.0002102694077</v>
      </c>
      <c r="G18" s="3">
        <f t="shared" si="4"/>
        <v>0</v>
      </c>
      <c r="H18" s="2">
        <f t="shared" si="5"/>
        <v>0</v>
      </c>
      <c r="I18" s="3">
        <f t="shared" si="6"/>
        <v>0</v>
      </c>
      <c r="J18" s="3">
        <f t="shared" si="7"/>
        <v>0</v>
      </c>
      <c r="K18" s="3"/>
      <c r="L18" s="3">
        <f t="shared" si="8"/>
        <v>470.3546451</v>
      </c>
      <c r="M18" s="14">
        <f t="shared" si="9"/>
        <v>467.7552978</v>
      </c>
      <c r="N18" s="14">
        <f t="shared" si="10"/>
        <v>2.599347366</v>
      </c>
      <c r="O18" s="3"/>
      <c r="P18" s="23">
        <f t="shared" si="11"/>
        <v>205.6983336</v>
      </c>
      <c r="Q18" s="14">
        <f t="shared" si="12"/>
        <v>470.3546451</v>
      </c>
      <c r="R18" s="2"/>
      <c r="S18" s="14">
        <f t="shared" si="13"/>
        <v>2.386970628</v>
      </c>
    </row>
    <row r="19">
      <c r="A19" s="11">
        <v>7.0</v>
      </c>
      <c r="B19" s="11">
        <v>1.41942608695652E9</v>
      </c>
      <c r="C19" s="2">
        <v>-102.0639648</v>
      </c>
      <c r="D19" s="3">
        <f t="shared" si="1"/>
        <v>-973913.0435</v>
      </c>
      <c r="E19" s="4">
        <f t="shared" si="2"/>
        <v>204.7800375</v>
      </c>
      <c r="F19" s="3">
        <f t="shared" si="3"/>
        <v>0.000210265217</v>
      </c>
      <c r="G19" s="3">
        <f t="shared" si="4"/>
        <v>0</v>
      </c>
      <c r="H19" s="2">
        <f t="shared" si="5"/>
        <v>0</v>
      </c>
      <c r="I19" s="3">
        <f t="shared" si="6"/>
        <v>0</v>
      </c>
      <c r="J19" s="3">
        <f t="shared" si="7"/>
        <v>0</v>
      </c>
      <c r="K19" s="3"/>
      <c r="L19" s="3">
        <f t="shared" si="8"/>
        <v>472.8350775</v>
      </c>
      <c r="M19" s="14">
        <f t="shared" si="9"/>
        <v>467.757929</v>
      </c>
      <c r="N19" s="14">
        <f t="shared" si="10"/>
        <v>5.077148441</v>
      </c>
      <c r="O19" s="3"/>
      <c r="P19" s="23">
        <f t="shared" si="11"/>
        <v>204.7800375</v>
      </c>
      <c r="Q19" s="14">
        <f t="shared" si="12"/>
        <v>472.8350775</v>
      </c>
      <c r="R19" s="2"/>
      <c r="S19" s="14">
        <f t="shared" si="13"/>
        <v>4.662325779</v>
      </c>
    </row>
    <row r="20">
      <c r="A20" s="11">
        <v>8.0</v>
      </c>
      <c r="B20" s="11">
        <v>1.4194304347826E9</v>
      </c>
      <c r="C20" s="2">
        <v>-102.0948944</v>
      </c>
      <c r="D20" s="3">
        <f t="shared" si="1"/>
        <v>-969565.2174</v>
      </c>
      <c r="E20" s="4">
        <f t="shared" si="2"/>
        <v>203.8617413</v>
      </c>
      <c r="F20" s="3">
        <f t="shared" si="3"/>
        <v>0.0002102609888</v>
      </c>
      <c r="G20" s="3">
        <f t="shared" si="4"/>
        <v>0</v>
      </c>
      <c r="H20" s="2">
        <f t="shared" si="5"/>
        <v>0</v>
      </c>
      <c r="I20" s="3">
        <f t="shared" si="6"/>
        <v>0</v>
      </c>
      <c r="J20" s="3">
        <f t="shared" si="7"/>
        <v>0</v>
      </c>
      <c r="K20" s="3"/>
      <c r="L20" s="3">
        <f t="shared" si="8"/>
        <v>469.4796016</v>
      </c>
      <c r="M20" s="14">
        <f t="shared" si="9"/>
        <v>467.7597722</v>
      </c>
      <c r="N20" s="14">
        <f t="shared" si="10"/>
        <v>1.71982942</v>
      </c>
      <c r="O20" s="3"/>
      <c r="P20" s="23">
        <f t="shared" si="11"/>
        <v>203.8617413</v>
      </c>
      <c r="Q20" s="14">
        <f t="shared" si="12"/>
        <v>469.4796016</v>
      </c>
      <c r="R20" s="2"/>
      <c r="S20" s="14">
        <f t="shared" si="13"/>
        <v>1.579312705</v>
      </c>
    </row>
    <row r="21">
      <c r="A21" s="11">
        <v>9.0</v>
      </c>
      <c r="B21" s="11">
        <v>1.41943478260869E9</v>
      </c>
      <c r="C21" s="2">
        <v>-102.1146469</v>
      </c>
      <c r="D21" s="3">
        <f t="shared" si="1"/>
        <v>-965217.3913</v>
      </c>
      <c r="E21" s="4">
        <f t="shared" si="2"/>
        <v>202.9434452</v>
      </c>
      <c r="F21" s="3">
        <f t="shared" si="3"/>
        <v>0.0002102567225</v>
      </c>
      <c r="G21" s="3">
        <f t="shared" si="4"/>
        <v>0</v>
      </c>
      <c r="H21" s="2">
        <f t="shared" si="5"/>
        <v>0</v>
      </c>
      <c r="I21" s="3">
        <f t="shared" si="6"/>
        <v>0</v>
      </c>
      <c r="J21" s="3">
        <f t="shared" si="7"/>
        <v>0</v>
      </c>
      <c r="K21" s="3"/>
      <c r="L21" s="3">
        <f t="shared" si="8"/>
        <v>467.3491718</v>
      </c>
      <c r="M21" s="14">
        <f t="shared" si="9"/>
        <v>467.7608299</v>
      </c>
      <c r="N21" s="14">
        <f t="shared" si="10"/>
        <v>-0.4116581238</v>
      </c>
      <c r="O21" s="3"/>
      <c r="P21" s="23">
        <f t="shared" si="11"/>
        <v>202.9434452</v>
      </c>
      <c r="Q21" s="14">
        <f t="shared" si="12"/>
        <v>467.3491718</v>
      </c>
      <c r="R21" s="2"/>
      <c r="S21" s="14">
        <f t="shared" si="13"/>
        <v>-0.3780240631</v>
      </c>
    </row>
    <row r="22">
      <c r="A22" s="11">
        <v>10.0</v>
      </c>
      <c r="B22" s="11">
        <v>1.41943913043478E9</v>
      </c>
      <c r="C22" s="2">
        <v>-102.1058884</v>
      </c>
      <c r="D22" s="3">
        <f t="shared" si="1"/>
        <v>-960869.5652</v>
      </c>
      <c r="E22" s="4">
        <f t="shared" si="2"/>
        <v>202.0251491</v>
      </c>
      <c r="F22" s="3">
        <f t="shared" si="3"/>
        <v>0.0002102524176</v>
      </c>
      <c r="G22" s="3">
        <f t="shared" si="4"/>
        <v>0</v>
      </c>
      <c r="H22" s="2">
        <f t="shared" si="5"/>
        <v>0</v>
      </c>
      <c r="I22" s="3">
        <f t="shared" si="6"/>
        <v>0</v>
      </c>
      <c r="J22" s="3">
        <f t="shared" si="7"/>
        <v>0</v>
      </c>
      <c r="K22" s="3"/>
      <c r="L22" s="3">
        <f t="shared" si="8"/>
        <v>468.2926348</v>
      </c>
      <c r="M22" s="14">
        <f t="shared" si="9"/>
        <v>467.7611048</v>
      </c>
      <c r="N22" s="14">
        <f t="shared" si="10"/>
        <v>0.5315300648</v>
      </c>
      <c r="O22" s="3"/>
      <c r="P22" s="23">
        <f t="shared" si="11"/>
        <v>202.0251491</v>
      </c>
      <c r="Q22" s="14">
        <f t="shared" si="12"/>
        <v>468.2926348</v>
      </c>
      <c r="R22" s="2"/>
      <c r="S22" s="14">
        <f t="shared" si="13"/>
        <v>0.4881020018</v>
      </c>
      <c r="U22" s="11">
        <v>1.0</v>
      </c>
    </row>
    <row r="23">
      <c r="A23" s="11">
        <v>11.0</v>
      </c>
      <c r="B23" s="11">
        <v>1.41944347826087E9</v>
      </c>
      <c r="C23" s="2">
        <v>-102.0798798</v>
      </c>
      <c r="D23" s="3">
        <f t="shared" si="1"/>
        <v>-956521.7391</v>
      </c>
      <c r="E23" s="4">
        <f t="shared" si="2"/>
        <v>201.1068529</v>
      </c>
      <c r="F23" s="3">
        <f t="shared" si="3"/>
        <v>0.0002102480735</v>
      </c>
      <c r="G23" s="3">
        <f t="shared" si="4"/>
        <v>0</v>
      </c>
      <c r="H23" s="2">
        <f t="shared" si="5"/>
        <v>0</v>
      </c>
      <c r="I23" s="3">
        <f t="shared" si="6"/>
        <v>0</v>
      </c>
      <c r="J23" s="3">
        <f t="shared" si="7"/>
        <v>0</v>
      </c>
      <c r="K23" s="3"/>
      <c r="L23" s="3">
        <f t="shared" si="8"/>
        <v>471.105514</v>
      </c>
      <c r="M23" s="14">
        <f t="shared" si="9"/>
        <v>467.7605994</v>
      </c>
      <c r="N23" s="14">
        <f t="shared" si="10"/>
        <v>3.344914536</v>
      </c>
      <c r="O23" s="3"/>
      <c r="P23" s="23">
        <f t="shared" si="11"/>
        <v>201.1068529</v>
      </c>
      <c r="Q23" s="14">
        <f t="shared" si="12"/>
        <v>471.105514</v>
      </c>
      <c r="R23" s="2"/>
      <c r="S23" s="14">
        <f t="shared" si="13"/>
        <v>3.071622083</v>
      </c>
    </row>
    <row r="24">
      <c r="A24" s="11">
        <v>12.0</v>
      </c>
      <c r="B24" s="11">
        <v>1.41944782608695E9</v>
      </c>
      <c r="C24" s="2">
        <v>-102.1207733</v>
      </c>
      <c r="D24" s="3">
        <f t="shared" si="1"/>
        <v>-952173.913</v>
      </c>
      <c r="E24" s="4">
        <f t="shared" si="2"/>
        <v>200.1885568</v>
      </c>
      <c r="F24" s="3">
        <f t="shared" si="3"/>
        <v>0.0002102436898</v>
      </c>
      <c r="G24" s="3">
        <f t="shared" si="4"/>
        <v>0</v>
      </c>
      <c r="H24" s="2">
        <f t="shared" si="5"/>
        <v>0</v>
      </c>
      <c r="I24" s="3">
        <f t="shared" si="6"/>
        <v>0</v>
      </c>
      <c r="J24" s="3">
        <f t="shared" si="7"/>
        <v>0</v>
      </c>
      <c r="K24" s="3"/>
      <c r="L24" s="3">
        <f t="shared" si="8"/>
        <v>466.6903678</v>
      </c>
      <c r="M24" s="14">
        <f t="shared" si="9"/>
        <v>467.7593165</v>
      </c>
      <c r="N24" s="14">
        <f t="shared" si="10"/>
        <v>-1.068948727</v>
      </c>
      <c r="O24" s="3"/>
      <c r="P24" s="23">
        <f t="shared" si="11"/>
        <v>200.1885568</v>
      </c>
      <c r="Q24" s="14">
        <f t="shared" si="12"/>
        <v>466.6903678</v>
      </c>
      <c r="R24" s="2"/>
      <c r="S24" s="14">
        <f t="shared" si="13"/>
        <v>-0.9816114826</v>
      </c>
    </row>
    <row r="25">
      <c r="A25" s="11">
        <v>13.0</v>
      </c>
      <c r="B25" s="11">
        <v>1.41945217391304E9</v>
      </c>
      <c r="C25" s="2">
        <v>-102.0957489</v>
      </c>
      <c r="D25" s="3">
        <f t="shared" si="1"/>
        <v>-947826.087</v>
      </c>
      <c r="E25" s="4">
        <f t="shared" si="2"/>
        <v>199.2702607</v>
      </c>
      <c r="F25" s="3">
        <f t="shared" si="3"/>
        <v>0.0002102392658</v>
      </c>
      <c r="G25" s="3">
        <f t="shared" si="4"/>
        <v>0</v>
      </c>
      <c r="H25" s="2">
        <f t="shared" si="5"/>
        <v>0</v>
      </c>
      <c r="I25" s="3">
        <f t="shared" si="6"/>
        <v>0</v>
      </c>
      <c r="J25" s="3">
        <f t="shared" si="7"/>
        <v>0</v>
      </c>
      <c r="K25" s="3"/>
      <c r="L25" s="3">
        <f t="shared" si="8"/>
        <v>469.3872378</v>
      </c>
      <c r="M25" s="14">
        <f t="shared" si="9"/>
        <v>467.7572586</v>
      </c>
      <c r="N25" s="14">
        <f t="shared" si="10"/>
        <v>1.629979205</v>
      </c>
      <c r="O25" s="3"/>
      <c r="P25" s="23">
        <f t="shared" si="11"/>
        <v>199.2702607</v>
      </c>
      <c r="Q25" s="14">
        <f t="shared" si="12"/>
        <v>469.3872378</v>
      </c>
      <c r="R25" s="2"/>
      <c r="S25" s="14">
        <f t="shared" si="13"/>
        <v>1.496803597</v>
      </c>
    </row>
    <row r="26">
      <c r="A26" s="11">
        <v>14.0</v>
      </c>
      <c r="B26" s="11">
        <v>1.41945652173913E9</v>
      </c>
      <c r="C26" s="2">
        <v>-102.1390228</v>
      </c>
      <c r="D26" s="3">
        <f t="shared" si="1"/>
        <v>-943478.2609</v>
      </c>
      <c r="E26" s="4">
        <f t="shared" si="2"/>
        <v>198.3519645</v>
      </c>
      <c r="F26" s="3">
        <f t="shared" si="3"/>
        <v>0.0002102348011</v>
      </c>
      <c r="G26" s="3">
        <f t="shared" si="4"/>
        <v>0</v>
      </c>
      <c r="H26" s="2">
        <f t="shared" si="5"/>
        <v>0</v>
      </c>
      <c r="I26" s="3">
        <f t="shared" si="6"/>
        <v>0</v>
      </c>
      <c r="J26" s="3">
        <f t="shared" si="7"/>
        <v>0</v>
      </c>
      <c r="K26" s="3"/>
      <c r="L26" s="3">
        <f t="shared" si="8"/>
        <v>464.7334015</v>
      </c>
      <c r="M26" s="14">
        <f t="shared" si="9"/>
        <v>467.7544284</v>
      </c>
      <c r="N26" s="14">
        <f t="shared" si="10"/>
        <v>-3.021026905</v>
      </c>
      <c r="O26" s="3"/>
      <c r="P26" s="23">
        <f t="shared" si="11"/>
        <v>198.3519645</v>
      </c>
      <c r="Q26" s="14">
        <f t="shared" si="12"/>
        <v>464.7334015</v>
      </c>
      <c r="R26" s="2"/>
      <c r="S26" s="14">
        <f t="shared" si="13"/>
        <v>-2.774197324</v>
      </c>
    </row>
    <row r="27">
      <c r="A27" s="11">
        <v>15.0</v>
      </c>
      <c r="B27" s="11">
        <v>1.41946086956521E9</v>
      </c>
      <c r="C27" s="2">
        <v>-102.1780243</v>
      </c>
      <c r="D27" s="3">
        <f t="shared" si="1"/>
        <v>-939130.4348</v>
      </c>
      <c r="E27" s="4">
        <f t="shared" si="2"/>
        <v>197.4336684</v>
      </c>
      <c r="F27" s="3">
        <f t="shared" si="3"/>
        <v>0.0002102302951</v>
      </c>
      <c r="G27" s="3">
        <f t="shared" si="4"/>
        <v>0</v>
      </c>
      <c r="H27" s="2">
        <f t="shared" si="5"/>
        <v>0</v>
      </c>
      <c r="I27" s="3">
        <f t="shared" si="6"/>
        <v>0</v>
      </c>
      <c r="J27" s="3">
        <f t="shared" si="7"/>
        <v>0</v>
      </c>
      <c r="K27" s="3"/>
      <c r="L27" s="3">
        <f t="shared" si="8"/>
        <v>460.5785809</v>
      </c>
      <c r="M27" s="14">
        <f t="shared" si="9"/>
        <v>467.7508285</v>
      </c>
      <c r="N27" s="14">
        <f t="shared" si="10"/>
        <v>-7.17224754</v>
      </c>
      <c r="O27" s="3"/>
      <c r="P27" s="23">
        <f t="shared" si="11"/>
        <v>197.4336684</v>
      </c>
      <c r="Q27" s="14">
        <f t="shared" si="12"/>
        <v>460.5785809</v>
      </c>
      <c r="R27" s="2"/>
      <c r="S27" s="14">
        <f t="shared" si="13"/>
        <v>-6.58624718</v>
      </c>
    </row>
    <row r="28">
      <c r="A28" s="11">
        <v>16.0</v>
      </c>
      <c r="B28" s="11">
        <v>1.4194652173913E9</v>
      </c>
      <c r="C28" s="2">
        <v>-102.1083984</v>
      </c>
      <c r="D28" s="3">
        <f t="shared" si="1"/>
        <v>-934782.6087</v>
      </c>
      <c r="E28" s="4">
        <f t="shared" si="2"/>
        <v>196.5153723</v>
      </c>
      <c r="F28" s="3">
        <f t="shared" si="3"/>
        <v>0.0002102257471</v>
      </c>
      <c r="G28" s="3">
        <f t="shared" si="4"/>
        <v>0</v>
      </c>
      <c r="H28" s="2">
        <f t="shared" si="5"/>
        <v>0</v>
      </c>
      <c r="I28" s="3">
        <f t="shared" si="6"/>
        <v>0</v>
      </c>
      <c r="J28" s="3">
        <f t="shared" si="7"/>
        <v>0</v>
      </c>
      <c r="K28" s="3"/>
      <c r="L28" s="3">
        <f t="shared" si="8"/>
        <v>468.0220638</v>
      </c>
      <c r="M28" s="14">
        <f t="shared" si="9"/>
        <v>467.7464615</v>
      </c>
      <c r="N28" s="14">
        <f t="shared" si="10"/>
        <v>0.2756023307</v>
      </c>
      <c r="O28" s="3"/>
      <c r="P28" s="23">
        <f t="shared" si="11"/>
        <v>196.5153723</v>
      </c>
      <c r="Q28" s="14">
        <f t="shared" si="12"/>
        <v>468.0220638</v>
      </c>
      <c r="R28" s="2"/>
      <c r="S28" s="14">
        <f t="shared" si="13"/>
        <v>0.2530845539</v>
      </c>
    </row>
    <row r="29">
      <c r="A29" s="11">
        <v>17.0</v>
      </c>
      <c r="B29" s="11">
        <v>1.41946956521739E9</v>
      </c>
      <c r="C29" s="2">
        <v>-102.1301422</v>
      </c>
      <c r="D29" s="3">
        <f t="shared" si="1"/>
        <v>-930434.7826</v>
      </c>
      <c r="E29" s="4">
        <f t="shared" si="2"/>
        <v>195.5970761</v>
      </c>
      <c r="F29" s="3">
        <f t="shared" si="3"/>
        <v>0.0002102211566</v>
      </c>
      <c r="G29" s="3">
        <f t="shared" si="4"/>
        <v>0</v>
      </c>
      <c r="H29" s="2">
        <f t="shared" si="5"/>
        <v>0</v>
      </c>
      <c r="I29" s="3">
        <f t="shared" si="6"/>
        <v>0</v>
      </c>
      <c r="J29" s="3">
        <f t="shared" si="7"/>
        <v>0</v>
      </c>
      <c r="K29" s="3"/>
      <c r="L29" s="3">
        <f t="shared" si="8"/>
        <v>465.6846763</v>
      </c>
      <c r="M29" s="14">
        <f t="shared" si="9"/>
        <v>467.7413301</v>
      </c>
      <c r="N29" s="14">
        <f t="shared" si="10"/>
        <v>-2.056653775</v>
      </c>
      <c r="O29" s="3"/>
      <c r="P29" s="23">
        <f t="shared" si="11"/>
        <v>195.5970761</v>
      </c>
      <c r="Q29" s="14">
        <f t="shared" si="12"/>
        <v>465.6846763</v>
      </c>
      <c r="R29" s="2"/>
      <c r="S29" s="14">
        <f t="shared" si="13"/>
        <v>-1.888617208</v>
      </c>
    </row>
    <row r="30">
      <c r="A30" s="11">
        <v>18.0</v>
      </c>
      <c r="B30" s="11">
        <v>1.41947391304347E9</v>
      </c>
      <c r="C30" s="2">
        <v>-102.1361923</v>
      </c>
      <c r="D30" s="3">
        <f t="shared" si="1"/>
        <v>-926086.9565</v>
      </c>
      <c r="E30" s="4">
        <f t="shared" si="2"/>
        <v>194.67878</v>
      </c>
      <c r="F30" s="3">
        <f t="shared" si="3"/>
        <v>0.000210216523</v>
      </c>
      <c r="G30" s="3">
        <f t="shared" si="4"/>
        <v>0</v>
      </c>
      <c r="H30" s="2">
        <f t="shared" si="5"/>
        <v>0</v>
      </c>
      <c r="I30" s="3">
        <f t="shared" si="6"/>
        <v>0</v>
      </c>
      <c r="J30" s="3">
        <f t="shared" si="7"/>
        <v>0</v>
      </c>
      <c r="K30" s="3"/>
      <c r="L30" s="3">
        <f t="shared" si="8"/>
        <v>465.0363887</v>
      </c>
      <c r="M30" s="14">
        <f t="shared" si="9"/>
        <v>467.7354368</v>
      </c>
      <c r="N30" s="14">
        <f t="shared" si="10"/>
        <v>-2.69904813</v>
      </c>
      <c r="O30" s="3"/>
      <c r="P30" s="23">
        <f t="shared" si="11"/>
        <v>194.67878</v>
      </c>
      <c r="Q30" s="14">
        <f t="shared" si="12"/>
        <v>465.0363887</v>
      </c>
      <c r="R30" s="2"/>
      <c r="S30" s="14">
        <f t="shared" si="13"/>
        <v>-2.47852546</v>
      </c>
    </row>
    <row r="31">
      <c r="A31" s="11">
        <v>19.0</v>
      </c>
      <c r="B31" s="11">
        <v>1.41947826086956E9</v>
      </c>
      <c r="C31" s="2">
        <v>-102.1316986</v>
      </c>
      <c r="D31" s="3">
        <f t="shared" si="1"/>
        <v>-921739.1304</v>
      </c>
      <c r="E31" s="4">
        <f t="shared" si="2"/>
        <v>193.7604839</v>
      </c>
      <c r="F31" s="3">
        <f t="shared" si="3"/>
        <v>0.0002102118457</v>
      </c>
      <c r="G31" s="3">
        <f t="shared" si="4"/>
        <v>0</v>
      </c>
      <c r="H31" s="2">
        <f t="shared" si="5"/>
        <v>0</v>
      </c>
      <c r="I31" s="3">
        <f t="shared" si="6"/>
        <v>0</v>
      </c>
      <c r="J31" s="3">
        <f t="shared" si="7"/>
        <v>0</v>
      </c>
      <c r="K31" s="3"/>
      <c r="L31" s="3">
        <f t="shared" si="8"/>
        <v>465.5178168</v>
      </c>
      <c r="M31" s="14">
        <f t="shared" si="9"/>
        <v>467.7287844</v>
      </c>
      <c r="N31" s="14">
        <f t="shared" si="10"/>
        <v>-2.210967619</v>
      </c>
      <c r="O31" s="3"/>
      <c r="P31" s="23">
        <f t="shared" si="11"/>
        <v>193.7604839</v>
      </c>
      <c r="Q31" s="14">
        <f t="shared" si="12"/>
        <v>465.5178168</v>
      </c>
      <c r="R31" s="2"/>
      <c r="S31" s="14">
        <f t="shared" si="13"/>
        <v>-2.030323009</v>
      </c>
    </row>
    <row r="32">
      <c r="A32" s="11">
        <v>20.0</v>
      </c>
      <c r="B32" s="11">
        <v>1.41948260869565E9</v>
      </c>
      <c r="C32" s="2">
        <v>-102.0823517</v>
      </c>
      <c r="D32" s="3">
        <f t="shared" si="1"/>
        <v>-917391.3043</v>
      </c>
      <c r="E32" s="4">
        <f t="shared" si="2"/>
        <v>192.8421878</v>
      </c>
      <c r="F32" s="3">
        <f t="shared" si="3"/>
        <v>0.0002102071241</v>
      </c>
      <c r="G32" s="3">
        <f t="shared" si="4"/>
        <v>0</v>
      </c>
      <c r="H32" s="2">
        <f t="shared" si="5"/>
        <v>0</v>
      </c>
      <c r="I32" s="3">
        <f t="shared" si="6"/>
        <v>0</v>
      </c>
      <c r="J32" s="3">
        <f t="shared" si="7"/>
        <v>0</v>
      </c>
      <c r="K32" s="3"/>
      <c r="L32" s="3">
        <f t="shared" si="8"/>
        <v>470.8374483</v>
      </c>
      <c r="M32" s="14">
        <f t="shared" si="9"/>
        <v>467.7213754</v>
      </c>
      <c r="N32" s="14">
        <f t="shared" si="10"/>
        <v>3.116072933</v>
      </c>
      <c r="O32" s="3"/>
      <c r="P32" s="23">
        <f t="shared" si="11"/>
        <v>192.8421878</v>
      </c>
      <c r="Q32" s="14">
        <f t="shared" si="12"/>
        <v>470.8374483</v>
      </c>
      <c r="R32" s="2"/>
      <c r="S32" s="14">
        <f t="shared" si="13"/>
        <v>2.861477724</v>
      </c>
    </row>
    <row r="33">
      <c r="A33" s="11">
        <v>21.0</v>
      </c>
      <c r="B33" s="11">
        <v>1.41948695652173E9</v>
      </c>
      <c r="C33" s="2">
        <v>-102.0718613</v>
      </c>
      <c r="D33" s="3">
        <f t="shared" si="1"/>
        <v>-913043.4783</v>
      </c>
      <c r="E33" s="4">
        <f t="shared" si="2"/>
        <v>191.9238916</v>
      </c>
      <c r="F33" s="3">
        <f t="shared" si="3"/>
        <v>0.0002102023575</v>
      </c>
      <c r="G33" s="3">
        <f t="shared" si="4"/>
        <v>0</v>
      </c>
      <c r="H33" s="2">
        <f t="shared" si="5"/>
        <v>0</v>
      </c>
      <c r="I33" s="3">
        <f t="shared" si="6"/>
        <v>0</v>
      </c>
      <c r="J33" s="3">
        <f t="shared" si="7"/>
        <v>0</v>
      </c>
      <c r="K33" s="3"/>
      <c r="L33" s="3">
        <f t="shared" si="8"/>
        <v>471.9761327</v>
      </c>
      <c r="M33" s="14">
        <f t="shared" si="9"/>
        <v>467.7132124</v>
      </c>
      <c r="N33" s="14">
        <f t="shared" si="10"/>
        <v>4.262920248</v>
      </c>
      <c r="O33" s="3"/>
      <c r="P33" s="23">
        <f t="shared" si="11"/>
        <v>191.9238916</v>
      </c>
      <c r="Q33" s="14">
        <f t="shared" si="12"/>
        <v>471.9761327</v>
      </c>
      <c r="R33" s="2"/>
      <c r="S33" s="14">
        <f t="shared" si="13"/>
        <v>3.914623178</v>
      </c>
    </row>
    <row r="34">
      <c r="A34" s="11">
        <v>22.0</v>
      </c>
      <c r="B34" s="11">
        <v>1.41949130434782E9</v>
      </c>
      <c r="C34" s="2">
        <v>-102.1120071</v>
      </c>
      <c r="D34" s="3">
        <f t="shared" si="1"/>
        <v>-908695.6522</v>
      </c>
      <c r="E34" s="4">
        <f t="shared" si="2"/>
        <v>191.0055955</v>
      </c>
      <c r="F34" s="3">
        <f t="shared" si="3"/>
        <v>0.0002101975453</v>
      </c>
      <c r="G34" s="3">
        <f t="shared" si="4"/>
        <v>0</v>
      </c>
      <c r="H34" s="2">
        <f t="shared" si="5"/>
        <v>0</v>
      </c>
      <c r="I34" s="3">
        <f t="shared" si="6"/>
        <v>0</v>
      </c>
      <c r="J34" s="3">
        <f t="shared" si="7"/>
        <v>0</v>
      </c>
      <c r="K34" s="3"/>
      <c r="L34" s="3">
        <f t="shared" si="8"/>
        <v>467.63333</v>
      </c>
      <c r="M34" s="14">
        <f t="shared" si="9"/>
        <v>467.7042982</v>
      </c>
      <c r="N34" s="14">
        <f t="shared" si="10"/>
        <v>-0.07096819647</v>
      </c>
      <c r="O34" s="3"/>
      <c r="P34" s="23">
        <f t="shared" si="11"/>
        <v>191.0055955</v>
      </c>
      <c r="Q34" s="14">
        <f t="shared" si="12"/>
        <v>467.63333</v>
      </c>
      <c r="R34" s="2"/>
      <c r="S34" s="14">
        <f t="shared" si="13"/>
        <v>-0.06516982037</v>
      </c>
    </row>
    <row r="35">
      <c r="A35" s="11">
        <v>23.0</v>
      </c>
      <c r="B35" s="11">
        <v>1.41949565217391E9</v>
      </c>
      <c r="C35" s="2">
        <v>-102.1274338</v>
      </c>
      <c r="D35" s="3">
        <f t="shared" si="1"/>
        <v>-904347.8261</v>
      </c>
      <c r="E35" s="4">
        <f t="shared" si="2"/>
        <v>190.0872994</v>
      </c>
      <c r="F35" s="3">
        <f t="shared" si="3"/>
        <v>0.0002101926868</v>
      </c>
      <c r="G35" s="3">
        <f t="shared" si="4"/>
        <v>0</v>
      </c>
      <c r="H35" s="2">
        <f t="shared" si="5"/>
        <v>0</v>
      </c>
      <c r="I35" s="3">
        <f t="shared" si="6"/>
        <v>0</v>
      </c>
      <c r="J35" s="3">
        <f t="shared" si="7"/>
        <v>0</v>
      </c>
      <c r="K35" s="3"/>
      <c r="L35" s="3">
        <f t="shared" si="8"/>
        <v>465.9751828</v>
      </c>
      <c r="M35" s="14">
        <f t="shared" si="9"/>
        <v>467.6946352</v>
      </c>
      <c r="N35" s="14">
        <f t="shared" si="10"/>
        <v>-1.719452428</v>
      </c>
      <c r="O35" s="3"/>
      <c r="P35" s="23">
        <f t="shared" si="11"/>
        <v>190.0872994</v>
      </c>
      <c r="Q35" s="14">
        <f t="shared" si="12"/>
        <v>465.9751828</v>
      </c>
      <c r="R35" s="2"/>
      <c r="S35" s="14">
        <f t="shared" si="13"/>
        <v>-1.578966512</v>
      </c>
    </row>
    <row r="36">
      <c r="A36" s="11">
        <v>24.0</v>
      </c>
      <c r="B36" s="11">
        <v>1.4195E9</v>
      </c>
      <c r="C36" s="2">
        <v>-102.0826416</v>
      </c>
      <c r="D36" s="3">
        <f t="shared" si="1"/>
        <v>-900000</v>
      </c>
      <c r="E36" s="4">
        <f t="shared" si="2"/>
        <v>189.1690032</v>
      </c>
      <c r="F36" s="3">
        <f t="shared" si="3"/>
        <v>0.0002101877814</v>
      </c>
      <c r="G36" s="3">
        <f t="shared" si="4"/>
        <v>0</v>
      </c>
      <c r="H36" s="2">
        <f t="shared" si="5"/>
        <v>0</v>
      </c>
      <c r="I36" s="3">
        <f t="shared" si="6"/>
        <v>0</v>
      </c>
      <c r="J36" s="3">
        <f t="shared" si="7"/>
        <v>0</v>
      </c>
      <c r="K36" s="3"/>
      <c r="L36" s="3">
        <f t="shared" si="8"/>
        <v>470.80602</v>
      </c>
      <c r="M36" s="14">
        <f t="shared" si="9"/>
        <v>467.6842262</v>
      </c>
      <c r="N36" s="14">
        <f t="shared" si="10"/>
        <v>3.121793791</v>
      </c>
      <c r="O36" s="3"/>
      <c r="P36" s="23">
        <f t="shared" si="11"/>
        <v>189.1690032</v>
      </c>
      <c r="Q36" s="14">
        <f t="shared" si="12"/>
        <v>470.80602</v>
      </c>
      <c r="R36" s="2"/>
      <c r="S36" s="14">
        <f t="shared" si="13"/>
        <v>2.866731166</v>
      </c>
    </row>
    <row r="37">
      <c r="A37" s="11">
        <v>25.0</v>
      </c>
      <c r="B37" s="11">
        <v>1.41950434782608E9</v>
      </c>
      <c r="C37" s="2">
        <v>-102.0698776</v>
      </c>
      <c r="D37" s="3">
        <f t="shared" si="1"/>
        <v>-895652.1739</v>
      </c>
      <c r="E37" s="4">
        <f t="shared" si="2"/>
        <v>188.2507071</v>
      </c>
      <c r="F37" s="3">
        <f t="shared" si="3"/>
        <v>0.0002101828283</v>
      </c>
      <c r="G37" s="3">
        <f t="shared" si="4"/>
        <v>0</v>
      </c>
      <c r="H37" s="2">
        <f t="shared" si="5"/>
        <v>0</v>
      </c>
      <c r="I37" s="3">
        <f t="shared" si="6"/>
        <v>0</v>
      </c>
      <c r="J37" s="3">
        <f t="shared" si="7"/>
        <v>0</v>
      </c>
      <c r="K37" s="3"/>
      <c r="L37" s="3">
        <f t="shared" si="8"/>
        <v>472.1917635</v>
      </c>
      <c r="M37" s="14">
        <f t="shared" si="9"/>
        <v>467.6730738</v>
      </c>
      <c r="N37" s="14">
        <f t="shared" si="10"/>
        <v>4.518689701</v>
      </c>
      <c r="O37" s="3"/>
      <c r="P37" s="23">
        <f t="shared" si="11"/>
        <v>188.2507071</v>
      </c>
      <c r="Q37" s="14">
        <f t="shared" si="12"/>
        <v>472.1917635</v>
      </c>
      <c r="R37" s="2"/>
      <c r="S37" s="14">
        <f t="shared" si="13"/>
        <v>4.149495278</v>
      </c>
    </row>
    <row r="38">
      <c r="A38" s="11">
        <v>26.0</v>
      </c>
      <c r="B38" s="11">
        <v>1.41950869565217E9</v>
      </c>
      <c r="C38" s="2">
        <v>-102.107666</v>
      </c>
      <c r="D38" s="3">
        <f t="shared" si="1"/>
        <v>-891304.3478</v>
      </c>
      <c r="E38" s="4">
        <f t="shared" si="2"/>
        <v>187.332411</v>
      </c>
      <c r="F38" s="3">
        <f t="shared" si="3"/>
        <v>0.0002101778269</v>
      </c>
      <c r="G38" s="3">
        <f t="shared" si="4"/>
        <v>0</v>
      </c>
      <c r="H38" s="2">
        <f t="shared" si="5"/>
        <v>0</v>
      </c>
      <c r="I38" s="3">
        <f t="shared" si="6"/>
        <v>0</v>
      </c>
      <c r="J38" s="3">
        <f t="shared" si="7"/>
        <v>0</v>
      </c>
      <c r="K38" s="3"/>
      <c r="L38" s="3">
        <f t="shared" si="8"/>
        <v>468.1009984</v>
      </c>
      <c r="M38" s="14">
        <f t="shared" si="9"/>
        <v>467.6611806</v>
      </c>
      <c r="N38" s="14">
        <f t="shared" si="10"/>
        <v>0.4398177441</v>
      </c>
      <c r="O38" s="3"/>
      <c r="P38" s="23">
        <f t="shared" si="11"/>
        <v>187.332411</v>
      </c>
      <c r="Q38" s="14">
        <f t="shared" si="12"/>
        <v>468.1009984</v>
      </c>
      <c r="R38" s="2"/>
      <c r="S38" s="14">
        <f t="shared" si="13"/>
        <v>0.4038829326</v>
      </c>
    </row>
    <row r="39">
      <c r="A39" s="11">
        <v>27.0</v>
      </c>
      <c r="B39" s="11">
        <v>1.41951304347826E9</v>
      </c>
      <c r="C39" s="2">
        <v>-102.0924149</v>
      </c>
      <c r="D39" s="3">
        <f t="shared" si="1"/>
        <v>-886956.5217</v>
      </c>
      <c r="E39" s="4">
        <f t="shared" si="2"/>
        <v>186.4141148</v>
      </c>
      <c r="F39" s="3">
        <f t="shared" si="3"/>
        <v>0.0002101727765</v>
      </c>
      <c r="G39" s="3">
        <f t="shared" si="4"/>
        <v>0</v>
      </c>
      <c r="H39" s="2">
        <f t="shared" si="5"/>
        <v>0</v>
      </c>
      <c r="I39" s="3">
        <f t="shared" si="6"/>
        <v>0</v>
      </c>
      <c r="J39" s="3">
        <f t="shared" si="7"/>
        <v>0</v>
      </c>
      <c r="K39" s="3"/>
      <c r="L39" s="3">
        <f t="shared" si="8"/>
        <v>469.7477162</v>
      </c>
      <c r="M39" s="14">
        <f t="shared" si="9"/>
        <v>467.6485492</v>
      </c>
      <c r="N39" s="14">
        <f t="shared" si="10"/>
        <v>2.09916702</v>
      </c>
      <c r="O39" s="3"/>
      <c r="P39" s="23">
        <f t="shared" si="11"/>
        <v>186.4141148</v>
      </c>
      <c r="Q39" s="14">
        <f t="shared" si="12"/>
        <v>469.7477162</v>
      </c>
      <c r="R39" s="2"/>
      <c r="S39" s="14">
        <f t="shared" si="13"/>
        <v>1.927656956</v>
      </c>
    </row>
    <row r="40">
      <c r="A40" s="11">
        <v>28.0</v>
      </c>
      <c r="B40" s="11">
        <v>1.41951739130434E9</v>
      </c>
      <c r="C40" s="2">
        <v>-102.1223373</v>
      </c>
      <c r="D40" s="3">
        <f t="shared" si="1"/>
        <v>-882608.6957</v>
      </c>
      <c r="E40" s="4">
        <f t="shared" si="2"/>
        <v>185.4958187</v>
      </c>
      <c r="F40" s="3">
        <f t="shared" si="3"/>
        <v>0.0002101676763</v>
      </c>
      <c r="G40" s="3">
        <f t="shared" si="4"/>
        <v>0</v>
      </c>
      <c r="H40" s="2">
        <f t="shared" si="5"/>
        <v>0</v>
      </c>
      <c r="I40" s="3">
        <f t="shared" si="6"/>
        <v>0</v>
      </c>
      <c r="J40" s="3">
        <f t="shared" si="7"/>
        <v>0</v>
      </c>
      <c r="K40" s="3"/>
      <c r="L40" s="3">
        <f t="shared" si="8"/>
        <v>466.5223315</v>
      </c>
      <c r="M40" s="14">
        <f t="shared" si="9"/>
        <v>467.6351823</v>
      </c>
      <c r="N40" s="14">
        <f t="shared" si="10"/>
        <v>-1.112850806</v>
      </c>
      <c r="O40" s="3"/>
      <c r="P40" s="23">
        <f t="shared" si="11"/>
        <v>185.4958187</v>
      </c>
      <c r="Q40" s="14">
        <f t="shared" si="12"/>
        <v>466.5223315</v>
      </c>
      <c r="R40" s="2"/>
      <c r="S40" s="14">
        <f t="shared" si="13"/>
        <v>-1.021926591</v>
      </c>
    </row>
    <row r="41">
      <c r="A41" s="11">
        <v>29.0</v>
      </c>
      <c r="B41" s="11">
        <v>1.41952173913043E9</v>
      </c>
      <c r="C41" s="2">
        <v>-102.1151199</v>
      </c>
      <c r="D41" s="3">
        <f t="shared" si="1"/>
        <v>-878260.8696</v>
      </c>
      <c r="E41" s="4">
        <f t="shared" si="2"/>
        <v>184.5775226</v>
      </c>
      <c r="F41" s="3">
        <f t="shared" si="3"/>
        <v>0.0002101625257</v>
      </c>
      <c r="G41" s="3">
        <f t="shared" si="4"/>
        <v>0</v>
      </c>
      <c r="H41" s="2">
        <f t="shared" si="5"/>
        <v>0</v>
      </c>
      <c r="I41" s="3">
        <f t="shared" si="6"/>
        <v>0</v>
      </c>
      <c r="J41" s="3">
        <f t="shared" si="7"/>
        <v>0</v>
      </c>
      <c r="K41" s="3"/>
      <c r="L41" s="3">
        <f t="shared" si="8"/>
        <v>467.2982745</v>
      </c>
      <c r="M41" s="14">
        <f t="shared" si="9"/>
        <v>467.6210824</v>
      </c>
      <c r="N41" s="14">
        <f t="shared" si="10"/>
        <v>-0.3228079526</v>
      </c>
      <c r="O41" s="3"/>
      <c r="P41" s="23">
        <f t="shared" si="11"/>
        <v>184.5775226</v>
      </c>
      <c r="Q41" s="14">
        <f t="shared" si="12"/>
        <v>467.2982745</v>
      </c>
      <c r="R41" s="2"/>
      <c r="S41" s="14">
        <f t="shared" si="13"/>
        <v>-0.2964332938</v>
      </c>
    </row>
    <row r="42">
      <c r="A42" s="11">
        <v>30.0</v>
      </c>
      <c r="B42" s="11">
        <v>1.41952608695652E9</v>
      </c>
      <c r="C42" s="2">
        <v>-102.1111908</v>
      </c>
      <c r="D42" s="3">
        <f t="shared" si="1"/>
        <v>-873913.0435</v>
      </c>
      <c r="E42" s="4">
        <f t="shared" si="2"/>
        <v>183.6592264</v>
      </c>
      <c r="F42" s="3">
        <f t="shared" si="3"/>
        <v>0.0002101573238</v>
      </c>
      <c r="G42" s="3">
        <f t="shared" si="4"/>
        <v>0</v>
      </c>
      <c r="H42" s="2">
        <f t="shared" si="5"/>
        <v>0</v>
      </c>
      <c r="I42" s="3">
        <f t="shared" si="6"/>
        <v>0</v>
      </c>
      <c r="J42" s="3">
        <f t="shared" si="7"/>
        <v>0</v>
      </c>
      <c r="K42" s="3"/>
      <c r="L42" s="3">
        <f t="shared" si="8"/>
        <v>467.7212346</v>
      </c>
      <c r="M42" s="14">
        <f t="shared" si="9"/>
        <v>467.6062523</v>
      </c>
      <c r="N42" s="14">
        <f t="shared" si="10"/>
        <v>0.1149823049</v>
      </c>
      <c r="O42" s="3"/>
      <c r="P42" s="23">
        <f t="shared" si="11"/>
        <v>183.6592264</v>
      </c>
      <c r="Q42" s="14">
        <f t="shared" si="12"/>
        <v>467.7212346</v>
      </c>
      <c r="R42" s="2"/>
      <c r="S42" s="14">
        <f t="shared" si="13"/>
        <v>0.1055878059</v>
      </c>
    </row>
    <row r="43">
      <c r="A43" s="11">
        <v>31.0</v>
      </c>
      <c r="B43" s="11">
        <v>1.4195304347826E9</v>
      </c>
      <c r="C43" s="2">
        <v>-102.112114</v>
      </c>
      <c r="D43" s="3">
        <f t="shared" si="1"/>
        <v>-869565.2174</v>
      </c>
      <c r="E43" s="4">
        <f t="shared" si="2"/>
        <v>182.7409303</v>
      </c>
      <c r="F43" s="3">
        <f t="shared" si="3"/>
        <v>0.0002101520698</v>
      </c>
      <c r="G43" s="3">
        <f t="shared" si="4"/>
        <v>0</v>
      </c>
      <c r="H43" s="2">
        <f t="shared" si="5"/>
        <v>0</v>
      </c>
      <c r="I43" s="3">
        <f t="shared" si="6"/>
        <v>0</v>
      </c>
      <c r="J43" s="3">
        <f t="shared" si="7"/>
        <v>0</v>
      </c>
      <c r="K43" s="3"/>
      <c r="L43" s="3">
        <f t="shared" si="8"/>
        <v>467.6218195</v>
      </c>
      <c r="M43" s="14">
        <f t="shared" si="9"/>
        <v>467.5906945</v>
      </c>
      <c r="N43" s="14">
        <f t="shared" si="10"/>
        <v>0.0311249936</v>
      </c>
      <c r="O43" s="3"/>
      <c r="P43" s="23">
        <f t="shared" si="11"/>
        <v>182.7409303</v>
      </c>
      <c r="Q43" s="14">
        <f t="shared" si="12"/>
        <v>467.6218195</v>
      </c>
      <c r="R43" s="2"/>
      <c r="S43" s="14">
        <f t="shared" si="13"/>
        <v>0.02858196125</v>
      </c>
    </row>
    <row r="44">
      <c r="A44" s="11">
        <v>32.0</v>
      </c>
      <c r="B44" s="11">
        <v>1.41953478260869E9</v>
      </c>
      <c r="C44" s="2">
        <v>-102.1028366</v>
      </c>
      <c r="D44" s="3">
        <f t="shared" si="1"/>
        <v>-865217.3913</v>
      </c>
      <c r="E44" s="4">
        <f t="shared" si="2"/>
        <v>181.8226342</v>
      </c>
      <c r="F44" s="3">
        <f t="shared" si="3"/>
        <v>0.0002101467631</v>
      </c>
      <c r="G44" s="3">
        <f t="shared" si="4"/>
        <v>0</v>
      </c>
      <c r="H44" s="2">
        <f t="shared" si="5"/>
        <v>0</v>
      </c>
      <c r="I44" s="3">
        <f t="shared" si="6"/>
        <v>0</v>
      </c>
      <c r="J44" s="3">
        <f t="shared" si="7"/>
        <v>0</v>
      </c>
      <c r="K44" s="3"/>
      <c r="L44" s="3">
        <f t="shared" si="8"/>
        <v>468.6218211</v>
      </c>
      <c r="M44" s="14">
        <f t="shared" si="9"/>
        <v>467.5744117</v>
      </c>
      <c r="N44" s="14">
        <f t="shared" si="10"/>
        <v>1.047409421</v>
      </c>
      <c r="O44" s="3"/>
      <c r="P44" s="23">
        <f t="shared" si="11"/>
        <v>181.8226342</v>
      </c>
      <c r="Q44" s="14">
        <f t="shared" si="12"/>
        <v>468.6218211</v>
      </c>
      <c r="R44" s="2"/>
      <c r="S44" s="14">
        <f t="shared" si="13"/>
        <v>0.9618320204</v>
      </c>
    </row>
    <row r="45">
      <c r="A45" s="11">
        <v>33.0</v>
      </c>
      <c r="B45" s="11">
        <v>1.41953913043478E9</v>
      </c>
      <c r="C45" s="2">
        <v>-102.1432877</v>
      </c>
      <c r="D45" s="3">
        <f t="shared" si="1"/>
        <v>-860869.5652</v>
      </c>
      <c r="E45" s="4">
        <f t="shared" si="2"/>
        <v>180.904338</v>
      </c>
      <c r="F45" s="3">
        <f t="shared" si="3"/>
        <v>0.0002101414028</v>
      </c>
      <c r="G45" s="3">
        <f t="shared" si="4"/>
        <v>0</v>
      </c>
      <c r="H45" s="2">
        <f t="shared" si="5"/>
        <v>0</v>
      </c>
      <c r="I45" s="3">
        <f t="shared" si="6"/>
        <v>0</v>
      </c>
      <c r="J45" s="3">
        <f t="shared" si="7"/>
        <v>0</v>
      </c>
      <c r="K45" s="3"/>
      <c r="L45" s="3">
        <f t="shared" si="8"/>
        <v>464.2772436</v>
      </c>
      <c r="M45" s="14">
        <f t="shared" si="9"/>
        <v>467.5574064</v>
      </c>
      <c r="N45" s="14">
        <f t="shared" si="10"/>
        <v>-3.280162817</v>
      </c>
      <c r="O45" s="3"/>
      <c r="P45" s="23">
        <f t="shared" si="11"/>
        <v>180.904338</v>
      </c>
      <c r="Q45" s="14">
        <f t="shared" si="12"/>
        <v>464.2772436</v>
      </c>
      <c r="R45" s="2"/>
      <c r="S45" s="14">
        <f t="shared" si="13"/>
        <v>-3.012160823</v>
      </c>
    </row>
    <row r="46">
      <c r="A46" s="11">
        <v>34.0</v>
      </c>
      <c r="B46" s="11">
        <v>1.41954347826087E9</v>
      </c>
      <c r="C46" s="2">
        <v>-102.1315918</v>
      </c>
      <c r="D46" s="3">
        <f t="shared" si="1"/>
        <v>-856521.7391</v>
      </c>
      <c r="E46" s="4">
        <f t="shared" si="2"/>
        <v>179.9860419</v>
      </c>
      <c r="F46" s="3">
        <f t="shared" si="3"/>
        <v>0.000210135988</v>
      </c>
      <c r="G46" s="3">
        <f t="shared" si="4"/>
        <v>0</v>
      </c>
      <c r="H46" s="2">
        <f t="shared" si="5"/>
        <v>0</v>
      </c>
      <c r="I46" s="3">
        <f t="shared" si="6"/>
        <v>0</v>
      </c>
      <c r="J46" s="3">
        <f t="shared" si="7"/>
        <v>0</v>
      </c>
      <c r="K46" s="3"/>
      <c r="L46" s="3">
        <f t="shared" si="8"/>
        <v>465.5292647</v>
      </c>
      <c r="M46" s="14">
        <f t="shared" si="9"/>
        <v>467.5396814</v>
      </c>
      <c r="N46" s="14">
        <f t="shared" si="10"/>
        <v>-2.010416662</v>
      </c>
      <c r="O46" s="3"/>
      <c r="P46" s="23">
        <f t="shared" si="11"/>
        <v>179.9860419</v>
      </c>
      <c r="Q46" s="14">
        <f t="shared" si="12"/>
        <v>465.5292647</v>
      </c>
      <c r="R46" s="2"/>
      <c r="S46" s="14">
        <f t="shared" si="13"/>
        <v>-1.846157846</v>
      </c>
    </row>
    <row r="47">
      <c r="A47" s="11">
        <v>35.0</v>
      </c>
      <c r="B47" s="11">
        <v>1.41954782608695E9</v>
      </c>
      <c r="C47" s="2">
        <v>-102.1522064</v>
      </c>
      <c r="D47" s="3">
        <f t="shared" si="1"/>
        <v>-852173.913</v>
      </c>
      <c r="E47" s="4">
        <f t="shared" si="2"/>
        <v>179.0677458</v>
      </c>
      <c r="F47" s="3">
        <f t="shared" si="3"/>
        <v>0.000210130518</v>
      </c>
      <c r="G47" s="3">
        <f t="shared" si="4"/>
        <v>0</v>
      </c>
      <c r="H47" s="2">
        <f t="shared" si="5"/>
        <v>0</v>
      </c>
      <c r="I47" s="3">
        <f t="shared" si="6"/>
        <v>0</v>
      </c>
      <c r="J47" s="3">
        <f t="shared" si="7"/>
        <v>0</v>
      </c>
      <c r="K47" s="3"/>
      <c r="L47" s="3">
        <f t="shared" si="8"/>
        <v>463.3247791</v>
      </c>
      <c r="M47" s="14">
        <f t="shared" si="9"/>
        <v>467.5212392</v>
      </c>
      <c r="N47" s="14">
        <f t="shared" si="10"/>
        <v>-4.196460084</v>
      </c>
      <c r="O47" s="3"/>
      <c r="P47" s="23">
        <f t="shared" si="11"/>
        <v>179.0677458</v>
      </c>
      <c r="Q47" s="14">
        <f t="shared" si="12"/>
        <v>463.3247791</v>
      </c>
      <c r="R47" s="2"/>
      <c r="S47" s="14">
        <f t="shared" si="13"/>
        <v>-3.853593066</v>
      </c>
    </row>
    <row r="48">
      <c r="A48" s="11">
        <v>36.0</v>
      </c>
      <c r="B48" s="11">
        <v>1.41955217391304E9</v>
      </c>
      <c r="C48" s="2">
        <v>-102.1726761</v>
      </c>
      <c r="D48" s="3">
        <f t="shared" si="1"/>
        <v>-847826.087</v>
      </c>
      <c r="E48" s="4">
        <f t="shared" si="2"/>
        <v>178.1494496</v>
      </c>
      <c r="F48" s="3">
        <f t="shared" si="3"/>
        <v>0.0002101249919</v>
      </c>
      <c r="G48" s="3">
        <f t="shared" si="4"/>
        <v>0</v>
      </c>
      <c r="H48" s="2">
        <f t="shared" si="5"/>
        <v>0</v>
      </c>
      <c r="I48" s="3">
        <f t="shared" si="6"/>
        <v>0</v>
      </c>
      <c r="J48" s="3">
        <f t="shared" si="7"/>
        <v>0</v>
      </c>
      <c r="K48" s="3"/>
      <c r="L48" s="3">
        <f t="shared" si="8"/>
        <v>461.1461184</v>
      </c>
      <c r="M48" s="14">
        <f t="shared" si="9"/>
        <v>467.5020825</v>
      </c>
      <c r="N48" s="14">
        <f t="shared" si="10"/>
        <v>-6.355964139</v>
      </c>
      <c r="O48" s="3"/>
      <c r="P48" s="23">
        <f t="shared" si="11"/>
        <v>178.1494496</v>
      </c>
      <c r="Q48" s="14">
        <f t="shared" si="12"/>
        <v>461.1461184</v>
      </c>
      <c r="R48" s="2"/>
      <c r="S48" s="14">
        <f t="shared" si="13"/>
        <v>-5.836657276</v>
      </c>
    </row>
    <row r="49">
      <c r="A49" s="11">
        <v>37.0</v>
      </c>
      <c r="B49" s="11">
        <v>1.41955652173913E9</v>
      </c>
      <c r="C49" s="2">
        <v>-102.1283417</v>
      </c>
      <c r="D49" s="3">
        <f t="shared" si="1"/>
        <v>-843478.2609</v>
      </c>
      <c r="E49" s="4">
        <f t="shared" si="2"/>
        <v>177.2311535</v>
      </c>
      <c r="F49" s="3">
        <f t="shared" si="3"/>
        <v>0.0002101194088</v>
      </c>
      <c r="G49" s="3">
        <f t="shared" si="4"/>
        <v>0</v>
      </c>
      <c r="H49" s="2">
        <f t="shared" si="5"/>
        <v>0</v>
      </c>
      <c r="I49" s="3">
        <f t="shared" si="6"/>
        <v>0</v>
      </c>
      <c r="J49" s="3">
        <f t="shared" si="7"/>
        <v>0</v>
      </c>
      <c r="K49" s="3"/>
      <c r="L49" s="3">
        <f t="shared" si="8"/>
        <v>465.8777801</v>
      </c>
      <c r="M49" s="14">
        <f t="shared" si="9"/>
        <v>467.4822139</v>
      </c>
      <c r="N49" s="14">
        <f t="shared" si="10"/>
        <v>-1.60443383</v>
      </c>
      <c r="O49" s="3"/>
      <c r="P49" s="23">
        <f t="shared" si="11"/>
        <v>177.2311535</v>
      </c>
      <c r="Q49" s="14">
        <f t="shared" si="12"/>
        <v>465.8777801</v>
      </c>
      <c r="R49" s="2"/>
      <c r="S49" s="14">
        <f t="shared" si="13"/>
        <v>-1.473345381</v>
      </c>
    </row>
    <row r="50">
      <c r="A50" s="11">
        <v>38.0</v>
      </c>
      <c r="B50" s="11">
        <v>1.41956086956521E9</v>
      </c>
      <c r="C50" s="2">
        <v>-102.114212</v>
      </c>
      <c r="D50" s="3">
        <f t="shared" si="1"/>
        <v>-839130.4348</v>
      </c>
      <c r="E50" s="4">
        <f t="shared" si="2"/>
        <v>176.3128574</v>
      </c>
      <c r="F50" s="3">
        <f t="shared" si="3"/>
        <v>0.0002101137678</v>
      </c>
      <c r="G50" s="3">
        <f t="shared" si="4"/>
        <v>0</v>
      </c>
      <c r="H50" s="2">
        <f t="shared" si="5"/>
        <v>0</v>
      </c>
      <c r="I50" s="3">
        <f t="shared" si="6"/>
        <v>0</v>
      </c>
      <c r="J50" s="3">
        <f t="shared" si="7"/>
        <v>0</v>
      </c>
      <c r="K50" s="3"/>
      <c r="L50" s="3">
        <f t="shared" si="8"/>
        <v>467.3959742</v>
      </c>
      <c r="M50" s="14">
        <f t="shared" si="9"/>
        <v>467.461636</v>
      </c>
      <c r="N50" s="14">
        <f t="shared" si="10"/>
        <v>-0.06566184415</v>
      </c>
      <c r="O50" s="3"/>
      <c r="P50" s="23">
        <f t="shared" si="11"/>
        <v>176.3128574</v>
      </c>
      <c r="Q50" s="14">
        <f t="shared" si="12"/>
        <v>467.3959742</v>
      </c>
      <c r="R50" s="2"/>
      <c r="S50" s="14">
        <f t="shared" si="13"/>
        <v>-0.06029701755</v>
      </c>
    </row>
    <row r="51">
      <c r="A51" s="11">
        <v>39.0</v>
      </c>
      <c r="B51" s="11">
        <v>1.4195652173913E9</v>
      </c>
      <c r="C51" s="2">
        <v>-102.1386414</v>
      </c>
      <c r="D51" s="3">
        <f t="shared" si="1"/>
        <v>-834782.6087</v>
      </c>
      <c r="E51" s="4">
        <f t="shared" si="2"/>
        <v>175.3945612</v>
      </c>
      <c r="F51" s="3">
        <f t="shared" si="3"/>
        <v>0.0002101080681</v>
      </c>
      <c r="G51" s="3">
        <f t="shared" si="4"/>
        <v>0</v>
      </c>
      <c r="H51" s="2">
        <f t="shared" si="5"/>
        <v>0</v>
      </c>
      <c r="I51" s="3">
        <f t="shared" si="6"/>
        <v>0</v>
      </c>
      <c r="J51" s="3">
        <f t="shared" si="7"/>
        <v>0</v>
      </c>
      <c r="K51" s="3"/>
      <c r="L51" s="3">
        <f t="shared" si="8"/>
        <v>464.7742165</v>
      </c>
      <c r="M51" s="14">
        <f t="shared" si="9"/>
        <v>467.4403515</v>
      </c>
      <c r="N51" s="14">
        <f t="shared" si="10"/>
        <v>-2.666135074</v>
      </c>
      <c r="O51" s="3"/>
      <c r="P51" s="23">
        <f t="shared" si="11"/>
        <v>175.3945612</v>
      </c>
      <c r="Q51" s="14">
        <f t="shared" si="12"/>
        <v>464.7742165</v>
      </c>
      <c r="R51" s="2"/>
      <c r="S51" s="14">
        <f t="shared" si="13"/>
        <v>-2.448301522</v>
      </c>
    </row>
    <row r="52">
      <c r="A52" s="11">
        <v>40.0</v>
      </c>
      <c r="B52" s="11">
        <v>1.41956956521739E9</v>
      </c>
      <c r="C52" s="2">
        <v>-102.137764</v>
      </c>
      <c r="D52" s="3">
        <f t="shared" si="1"/>
        <v>-830434.7826</v>
      </c>
      <c r="E52" s="4">
        <f t="shared" si="2"/>
        <v>174.4762651</v>
      </c>
      <c r="F52" s="3">
        <f t="shared" si="3"/>
        <v>0.0002101023088</v>
      </c>
      <c r="G52" s="3">
        <f t="shared" si="4"/>
        <v>0</v>
      </c>
      <c r="H52" s="2">
        <f t="shared" si="5"/>
        <v>0</v>
      </c>
      <c r="I52" s="3">
        <f t="shared" si="6"/>
        <v>0</v>
      </c>
      <c r="J52" s="3">
        <f t="shared" si="7"/>
        <v>0</v>
      </c>
      <c r="K52" s="3"/>
      <c r="L52" s="3">
        <f t="shared" si="8"/>
        <v>464.8681237</v>
      </c>
      <c r="M52" s="14">
        <f t="shared" si="9"/>
        <v>467.418363</v>
      </c>
      <c r="N52" s="14">
        <f t="shared" si="10"/>
        <v>-2.550239275</v>
      </c>
      <c r="O52" s="3"/>
      <c r="P52" s="23">
        <f t="shared" si="11"/>
        <v>174.4762651</v>
      </c>
      <c r="Q52" s="14">
        <f t="shared" si="12"/>
        <v>464.8681237</v>
      </c>
      <c r="R52" s="2"/>
      <c r="S52" s="14">
        <f t="shared" si="13"/>
        <v>-2.341874864</v>
      </c>
    </row>
    <row r="53">
      <c r="A53" s="11">
        <v>41.0</v>
      </c>
      <c r="B53" s="11">
        <v>1.41957391304347E9</v>
      </c>
      <c r="C53" s="2">
        <v>-102.1330643</v>
      </c>
      <c r="D53" s="3">
        <f t="shared" si="1"/>
        <v>-826086.9565</v>
      </c>
      <c r="E53" s="4">
        <f t="shared" si="2"/>
        <v>173.557969</v>
      </c>
      <c r="F53" s="3">
        <f t="shared" si="3"/>
        <v>0.0002100964888</v>
      </c>
      <c r="G53" s="3">
        <f t="shared" si="4"/>
        <v>0</v>
      </c>
      <c r="H53" s="2">
        <f t="shared" si="5"/>
        <v>0</v>
      </c>
      <c r="I53" s="3">
        <f t="shared" si="6"/>
        <v>0</v>
      </c>
      <c r="J53" s="3">
        <f t="shared" si="7"/>
        <v>0</v>
      </c>
      <c r="K53" s="3"/>
      <c r="L53" s="3">
        <f t="shared" si="8"/>
        <v>465.3714512</v>
      </c>
      <c r="M53" s="14">
        <f t="shared" si="9"/>
        <v>467.3956731</v>
      </c>
      <c r="N53" s="14">
        <f t="shared" si="10"/>
        <v>-2.024221929</v>
      </c>
      <c r="O53" s="3"/>
      <c r="P53" s="23">
        <f t="shared" si="11"/>
        <v>173.557969</v>
      </c>
      <c r="Q53" s="14">
        <f t="shared" si="12"/>
        <v>465.3714512</v>
      </c>
      <c r="R53" s="2"/>
      <c r="S53" s="14">
        <f t="shared" si="13"/>
        <v>-1.85883517</v>
      </c>
    </row>
    <row r="54">
      <c r="A54" s="11">
        <v>42.0</v>
      </c>
      <c r="B54" s="11">
        <v>1.41957826086956E9</v>
      </c>
      <c r="C54" s="2">
        <v>-102.1651917</v>
      </c>
      <c r="D54" s="3">
        <f t="shared" si="1"/>
        <v>-821739.1304</v>
      </c>
      <c r="E54" s="4">
        <f t="shared" si="2"/>
        <v>172.6396728</v>
      </c>
      <c r="F54" s="3">
        <f t="shared" si="3"/>
        <v>0.0002100906072</v>
      </c>
      <c r="G54" s="3">
        <f t="shared" si="4"/>
        <v>0</v>
      </c>
      <c r="H54" s="2">
        <f t="shared" si="5"/>
        <v>0</v>
      </c>
      <c r="I54" s="3">
        <f t="shared" si="6"/>
        <v>0</v>
      </c>
      <c r="J54" s="3">
        <f t="shared" si="7"/>
        <v>0</v>
      </c>
      <c r="K54" s="3"/>
      <c r="L54" s="3">
        <f t="shared" si="8"/>
        <v>461.9415182</v>
      </c>
      <c r="M54" s="14">
        <f t="shared" si="9"/>
        <v>467.3722844</v>
      </c>
      <c r="N54" s="14">
        <f t="shared" si="10"/>
        <v>-5.430766175</v>
      </c>
      <c r="O54" s="3"/>
      <c r="P54" s="23">
        <f t="shared" si="11"/>
        <v>172.6396728</v>
      </c>
      <c r="Q54" s="14">
        <f t="shared" si="12"/>
        <v>461.9415182</v>
      </c>
      <c r="R54" s="2"/>
      <c r="S54" s="14">
        <f t="shared" si="13"/>
        <v>-4.987051565</v>
      </c>
    </row>
    <row r="55">
      <c r="A55" s="11">
        <v>43.0</v>
      </c>
      <c r="B55" s="11">
        <v>1.41958260869565E9</v>
      </c>
      <c r="C55" s="2">
        <v>-102.0884552</v>
      </c>
      <c r="D55" s="3">
        <f t="shared" si="1"/>
        <v>-817391.3043</v>
      </c>
      <c r="E55" s="4">
        <f t="shared" si="2"/>
        <v>171.7213767</v>
      </c>
      <c r="F55" s="3">
        <f t="shared" si="3"/>
        <v>0.000210084663</v>
      </c>
      <c r="G55" s="3">
        <f t="shared" si="4"/>
        <v>0</v>
      </c>
      <c r="H55" s="2">
        <f t="shared" si="5"/>
        <v>0</v>
      </c>
      <c r="I55" s="3">
        <f t="shared" si="6"/>
        <v>0</v>
      </c>
      <c r="J55" s="3">
        <f t="shared" si="7"/>
        <v>0</v>
      </c>
      <c r="K55" s="3"/>
      <c r="L55" s="3">
        <f t="shared" si="8"/>
        <v>470.1762062</v>
      </c>
      <c r="M55" s="14">
        <f t="shared" si="9"/>
        <v>467.3481996</v>
      </c>
      <c r="N55" s="14">
        <f t="shared" si="10"/>
        <v>2.828006604</v>
      </c>
      <c r="O55" s="3"/>
      <c r="P55" s="23">
        <f t="shared" si="11"/>
        <v>171.7213767</v>
      </c>
      <c r="Q55" s="14">
        <f t="shared" si="12"/>
        <v>470.1762062</v>
      </c>
      <c r="R55" s="2"/>
      <c r="S55" s="14">
        <f t="shared" si="13"/>
        <v>2.596947528</v>
      </c>
    </row>
    <row r="56">
      <c r="A56" s="11">
        <v>44.0</v>
      </c>
      <c r="B56" s="11">
        <v>1.41958695652173E9</v>
      </c>
      <c r="C56" s="2">
        <v>-102.045784</v>
      </c>
      <c r="D56" s="3">
        <f t="shared" si="1"/>
        <v>-813043.4783</v>
      </c>
      <c r="E56" s="4">
        <f t="shared" si="2"/>
        <v>170.8030806</v>
      </c>
      <c r="F56" s="3">
        <f t="shared" si="3"/>
        <v>0.0002100786553</v>
      </c>
      <c r="G56" s="3">
        <f t="shared" si="4"/>
        <v>0</v>
      </c>
      <c r="H56" s="2">
        <f t="shared" si="5"/>
        <v>0</v>
      </c>
      <c r="I56" s="3">
        <f t="shared" si="6"/>
        <v>0</v>
      </c>
      <c r="J56" s="3">
        <f t="shared" si="7"/>
        <v>0</v>
      </c>
      <c r="K56" s="3"/>
      <c r="L56" s="3">
        <f t="shared" si="8"/>
        <v>474.8186483</v>
      </c>
      <c r="M56" s="14">
        <f t="shared" si="9"/>
        <v>467.3234213</v>
      </c>
      <c r="N56" s="14">
        <f t="shared" si="10"/>
        <v>7.495227055</v>
      </c>
      <c r="O56" s="3"/>
      <c r="P56" s="23">
        <f t="shared" si="11"/>
        <v>170.8030806</v>
      </c>
      <c r="Q56" s="14">
        <f t="shared" si="12"/>
        <v>474.8186483</v>
      </c>
      <c r="R56" s="2"/>
      <c r="S56" s="14">
        <f t="shared" si="13"/>
        <v>6.882838019</v>
      </c>
    </row>
    <row r="57">
      <c r="A57" s="11">
        <v>45.0</v>
      </c>
      <c r="B57" s="11">
        <v>1.41959130434782E9</v>
      </c>
      <c r="C57" s="2">
        <v>-102.1697083</v>
      </c>
      <c r="D57" s="3">
        <f t="shared" si="1"/>
        <v>-808695.6522</v>
      </c>
      <c r="E57" s="4">
        <f t="shared" si="2"/>
        <v>169.8847844</v>
      </c>
      <c r="F57" s="3">
        <f t="shared" si="3"/>
        <v>0.0002100725829</v>
      </c>
      <c r="G57" s="3">
        <f t="shared" si="4"/>
        <v>0</v>
      </c>
      <c r="H57" s="2">
        <f t="shared" si="5"/>
        <v>0</v>
      </c>
      <c r="I57" s="3">
        <f t="shared" si="6"/>
        <v>0</v>
      </c>
      <c r="J57" s="3">
        <f t="shared" si="7"/>
        <v>0</v>
      </c>
      <c r="K57" s="3"/>
      <c r="L57" s="3">
        <f t="shared" si="8"/>
        <v>461.4613554</v>
      </c>
      <c r="M57" s="14">
        <f t="shared" si="9"/>
        <v>467.2979521</v>
      </c>
      <c r="N57" s="14">
        <f t="shared" si="10"/>
        <v>-5.83659665</v>
      </c>
      <c r="O57" s="3"/>
      <c r="P57" s="23">
        <f t="shared" si="11"/>
        <v>169.8847844</v>
      </c>
      <c r="Q57" s="14">
        <f t="shared" si="12"/>
        <v>461.4613554</v>
      </c>
      <c r="R57" s="2"/>
      <c r="S57" s="14">
        <f t="shared" si="13"/>
        <v>-5.359724132</v>
      </c>
    </row>
    <row r="58">
      <c r="A58" s="11">
        <v>46.0</v>
      </c>
      <c r="B58" s="11">
        <v>1.41959565217391E9</v>
      </c>
      <c r="C58" s="2">
        <v>-102.0900497</v>
      </c>
      <c r="D58" s="3">
        <f t="shared" si="1"/>
        <v>-804347.8261</v>
      </c>
      <c r="E58" s="4">
        <f t="shared" si="2"/>
        <v>168.9664883</v>
      </c>
      <c r="F58" s="3">
        <f t="shared" si="3"/>
        <v>0.0002100664449</v>
      </c>
      <c r="G58" s="3">
        <f t="shared" si="4"/>
        <v>0</v>
      </c>
      <c r="H58" s="2">
        <f t="shared" si="5"/>
        <v>0</v>
      </c>
      <c r="I58" s="3">
        <f t="shared" si="6"/>
        <v>0</v>
      </c>
      <c r="J58" s="3">
        <f t="shared" si="7"/>
        <v>0</v>
      </c>
      <c r="K58" s="3"/>
      <c r="L58" s="3">
        <f t="shared" si="8"/>
        <v>470.003614</v>
      </c>
      <c r="M58" s="14">
        <f t="shared" si="9"/>
        <v>467.2717946</v>
      </c>
      <c r="N58" s="14">
        <f t="shared" si="10"/>
        <v>2.731819369</v>
      </c>
      <c r="O58" s="3"/>
      <c r="P58" s="23">
        <f t="shared" si="11"/>
        <v>168.9664883</v>
      </c>
      <c r="Q58" s="14">
        <f t="shared" si="12"/>
        <v>470.003614</v>
      </c>
      <c r="R58" s="2"/>
      <c r="S58" s="14">
        <f t="shared" si="13"/>
        <v>2.508619156</v>
      </c>
    </row>
    <row r="59">
      <c r="A59" s="11">
        <v>47.0</v>
      </c>
      <c r="B59" s="11">
        <v>1.4196E9</v>
      </c>
      <c r="C59" s="2">
        <v>-102.1547852</v>
      </c>
      <c r="D59" s="3">
        <f t="shared" si="1"/>
        <v>-800000</v>
      </c>
      <c r="E59" s="4">
        <f t="shared" si="2"/>
        <v>168.0481922</v>
      </c>
      <c r="F59" s="3">
        <f t="shared" si="3"/>
        <v>0.0002100602402</v>
      </c>
      <c r="G59" s="3">
        <f t="shared" si="4"/>
        <v>0</v>
      </c>
      <c r="H59" s="2">
        <f t="shared" si="5"/>
        <v>0</v>
      </c>
      <c r="I59" s="3">
        <f t="shared" si="6"/>
        <v>0</v>
      </c>
      <c r="J59" s="3">
        <f t="shared" si="7"/>
        <v>0</v>
      </c>
      <c r="K59" s="3"/>
      <c r="L59" s="3">
        <f t="shared" si="8"/>
        <v>463.0497429</v>
      </c>
      <c r="M59" s="14">
        <f t="shared" si="9"/>
        <v>467.2449516</v>
      </c>
      <c r="N59" s="14">
        <f t="shared" si="10"/>
        <v>-4.195208699</v>
      </c>
      <c r="O59" s="3"/>
      <c r="P59" s="23">
        <f t="shared" si="11"/>
        <v>168.0481922</v>
      </c>
      <c r="Q59" s="14">
        <f t="shared" si="12"/>
        <v>463.0497429</v>
      </c>
      <c r="R59" s="2"/>
      <c r="S59" s="14">
        <f t="shared" si="13"/>
        <v>-3.852443924</v>
      </c>
    </row>
    <row r="60">
      <c r="A60" s="11">
        <v>48.0</v>
      </c>
      <c r="B60" s="11">
        <v>1.41960434782608E9</v>
      </c>
      <c r="C60" s="2">
        <v>-102.1365509</v>
      </c>
      <c r="D60" s="3">
        <f t="shared" si="1"/>
        <v>-795652.1739</v>
      </c>
      <c r="E60" s="4">
        <f t="shared" si="2"/>
        <v>167.129896</v>
      </c>
      <c r="F60" s="3">
        <f t="shared" si="3"/>
        <v>0.0002100539677</v>
      </c>
      <c r="G60" s="3">
        <f t="shared" si="4"/>
        <v>0</v>
      </c>
      <c r="H60" s="2">
        <f t="shared" si="5"/>
        <v>0</v>
      </c>
      <c r="I60" s="3">
        <f t="shared" si="6"/>
        <v>0</v>
      </c>
      <c r="J60" s="3">
        <f t="shared" si="7"/>
        <v>0</v>
      </c>
      <c r="K60" s="3"/>
      <c r="L60" s="3">
        <f t="shared" si="8"/>
        <v>464.9979919</v>
      </c>
      <c r="M60" s="14">
        <f t="shared" si="9"/>
        <v>467.2174255</v>
      </c>
      <c r="N60" s="14">
        <f t="shared" si="10"/>
        <v>-2.219433618</v>
      </c>
      <c r="O60" s="3"/>
      <c r="P60" s="23">
        <f t="shared" si="11"/>
        <v>167.129896</v>
      </c>
      <c r="Q60" s="14">
        <f t="shared" si="12"/>
        <v>464.9979919</v>
      </c>
      <c r="R60" s="2"/>
      <c r="S60" s="14">
        <f t="shared" si="13"/>
        <v>-2.038097308</v>
      </c>
    </row>
    <row r="61">
      <c r="A61" s="11">
        <v>49.0</v>
      </c>
      <c r="B61" s="11">
        <v>1.41960869565217E9</v>
      </c>
      <c r="C61" s="2">
        <v>-102.1751709</v>
      </c>
      <c r="D61" s="3">
        <f t="shared" si="1"/>
        <v>-791304.3478</v>
      </c>
      <c r="E61" s="4">
        <f t="shared" si="2"/>
        <v>166.2115999</v>
      </c>
      <c r="F61" s="3">
        <f t="shared" si="3"/>
        <v>0.0002100476263</v>
      </c>
      <c r="G61" s="3">
        <f t="shared" si="4"/>
        <v>0</v>
      </c>
      <c r="H61" s="2">
        <f t="shared" si="5"/>
        <v>0</v>
      </c>
      <c r="I61" s="3">
        <f t="shared" si="6"/>
        <v>0</v>
      </c>
      <c r="J61" s="3">
        <f t="shared" si="7"/>
        <v>0</v>
      </c>
      <c r="K61" s="3"/>
      <c r="L61" s="3">
        <f t="shared" si="8"/>
        <v>460.8812895</v>
      </c>
      <c r="M61" s="14">
        <f t="shared" si="9"/>
        <v>467.1892191</v>
      </c>
      <c r="N61" s="14">
        <f t="shared" si="10"/>
        <v>-6.307929527</v>
      </c>
      <c r="O61" s="3"/>
      <c r="P61" s="23">
        <f t="shared" si="11"/>
        <v>166.2115999</v>
      </c>
      <c r="Q61" s="14">
        <f t="shared" si="12"/>
        <v>460.8812895</v>
      </c>
      <c r="R61" s="2"/>
      <c r="S61" s="14">
        <f t="shared" si="13"/>
        <v>-5.792547277</v>
      </c>
    </row>
    <row r="62">
      <c r="A62" s="11">
        <v>50.0</v>
      </c>
      <c r="B62" s="11">
        <v>1.41961304347826E9</v>
      </c>
      <c r="C62" s="2">
        <v>-102.1503983</v>
      </c>
      <c r="D62" s="3">
        <f t="shared" si="1"/>
        <v>-786956.5217</v>
      </c>
      <c r="E62" s="4">
        <f t="shared" si="2"/>
        <v>165.2933038</v>
      </c>
      <c r="F62" s="3">
        <f t="shared" si="3"/>
        <v>0.0002100412148</v>
      </c>
      <c r="G62" s="3">
        <f t="shared" si="4"/>
        <v>0</v>
      </c>
      <c r="H62" s="2">
        <f t="shared" si="5"/>
        <v>0</v>
      </c>
      <c r="I62" s="3">
        <f t="shared" si="6"/>
        <v>0</v>
      </c>
      <c r="J62" s="3">
        <f t="shared" si="7"/>
        <v>0</v>
      </c>
      <c r="K62" s="3"/>
      <c r="L62" s="3">
        <f t="shared" si="8"/>
        <v>463.5177155</v>
      </c>
      <c r="M62" s="14">
        <f t="shared" si="9"/>
        <v>467.1603349</v>
      </c>
      <c r="N62" s="14">
        <f t="shared" si="10"/>
        <v>-3.64261942</v>
      </c>
      <c r="O62" s="3"/>
      <c r="P62" s="23">
        <f t="shared" si="11"/>
        <v>165.2933038</v>
      </c>
      <c r="Q62" s="14">
        <f t="shared" si="12"/>
        <v>463.5177155</v>
      </c>
      <c r="R62" s="2"/>
      <c r="S62" s="14">
        <f t="shared" si="13"/>
        <v>-3.345003327</v>
      </c>
    </row>
    <row r="63">
      <c r="A63" s="11">
        <v>51.0</v>
      </c>
      <c r="B63" s="11">
        <v>1.41961739130434E9</v>
      </c>
      <c r="C63" s="2">
        <v>-102.0788345</v>
      </c>
      <c r="D63" s="3">
        <f t="shared" si="1"/>
        <v>-782608.6957</v>
      </c>
      <c r="E63" s="4">
        <f t="shared" si="2"/>
        <v>164.3750077</v>
      </c>
      <c r="F63" s="3">
        <f t="shared" si="3"/>
        <v>0.000210034732</v>
      </c>
      <c r="G63" s="3">
        <f t="shared" si="4"/>
        <v>0</v>
      </c>
      <c r="H63" s="2">
        <f t="shared" si="5"/>
        <v>0</v>
      </c>
      <c r="I63" s="3">
        <f t="shared" si="6"/>
        <v>0</v>
      </c>
      <c r="J63" s="3">
        <f t="shared" si="7"/>
        <v>0</v>
      </c>
      <c r="K63" s="3"/>
      <c r="L63" s="3">
        <f t="shared" si="8"/>
        <v>471.2189176</v>
      </c>
      <c r="M63" s="14">
        <f t="shared" si="9"/>
        <v>467.1307756</v>
      </c>
      <c r="N63" s="14">
        <f t="shared" si="10"/>
        <v>4.088142008</v>
      </c>
      <c r="O63" s="3"/>
      <c r="P63" s="23">
        <f t="shared" si="11"/>
        <v>164.3750077</v>
      </c>
      <c r="Q63" s="14">
        <f t="shared" si="12"/>
        <v>471.2189176</v>
      </c>
      <c r="R63" s="2"/>
      <c r="S63" s="14">
        <f t="shared" si="13"/>
        <v>3.754124996</v>
      </c>
    </row>
    <row r="64">
      <c r="A64" s="11">
        <v>52.0</v>
      </c>
      <c r="B64" s="11">
        <v>1.41962173913043E9</v>
      </c>
      <c r="C64" s="2">
        <v>-102.0691528</v>
      </c>
      <c r="D64" s="3">
        <f t="shared" si="1"/>
        <v>-778260.8696</v>
      </c>
      <c r="E64" s="4">
        <f t="shared" si="2"/>
        <v>163.4567115</v>
      </c>
      <c r="F64" s="3">
        <f t="shared" si="3"/>
        <v>0.0002100281768</v>
      </c>
      <c r="G64" s="3">
        <f t="shared" si="4"/>
        <v>0</v>
      </c>
      <c r="H64" s="2">
        <f t="shared" si="5"/>
        <v>0</v>
      </c>
      <c r="I64" s="3">
        <f t="shared" si="6"/>
        <v>0</v>
      </c>
      <c r="J64" s="3">
        <f t="shared" si="7"/>
        <v>0</v>
      </c>
      <c r="K64" s="3"/>
      <c r="L64" s="3">
        <f t="shared" si="8"/>
        <v>472.2705748</v>
      </c>
      <c r="M64" s="14">
        <f t="shared" si="9"/>
        <v>467.1005438</v>
      </c>
      <c r="N64" s="14">
        <f t="shared" si="10"/>
        <v>5.170030988</v>
      </c>
      <c r="O64" s="3"/>
      <c r="P64" s="23">
        <f t="shared" si="11"/>
        <v>163.4567115</v>
      </c>
      <c r="Q64" s="14">
        <f t="shared" si="12"/>
        <v>472.2705748</v>
      </c>
      <c r="R64" s="2"/>
      <c r="S64" s="14">
        <f t="shared" si="13"/>
        <v>4.747619451</v>
      </c>
    </row>
    <row r="65">
      <c r="A65" s="11">
        <v>53.0</v>
      </c>
      <c r="B65" s="11">
        <v>1.41962608695652E9</v>
      </c>
      <c r="C65" s="2">
        <v>-102.0351257</v>
      </c>
      <c r="D65" s="3">
        <f t="shared" si="1"/>
        <v>-773913.0435</v>
      </c>
      <c r="E65" s="4">
        <f t="shared" si="2"/>
        <v>162.5384154</v>
      </c>
      <c r="F65" s="3">
        <f t="shared" si="3"/>
        <v>0.000210021548</v>
      </c>
      <c r="G65" s="3">
        <f t="shared" si="4"/>
        <v>0</v>
      </c>
      <c r="H65" s="2">
        <f t="shared" si="5"/>
        <v>0</v>
      </c>
      <c r="I65" s="3">
        <f t="shared" si="6"/>
        <v>0</v>
      </c>
      <c r="J65" s="3">
        <f t="shared" si="7"/>
        <v>0</v>
      </c>
      <c r="K65" s="3"/>
      <c r="L65" s="3">
        <f t="shared" si="8"/>
        <v>475.9853624</v>
      </c>
      <c r="M65" s="14">
        <f t="shared" si="9"/>
        <v>467.0696422</v>
      </c>
      <c r="N65" s="14">
        <f t="shared" si="10"/>
        <v>8.915720152</v>
      </c>
      <c r="O65" s="3"/>
      <c r="P65" s="23">
        <f t="shared" si="11"/>
        <v>162.5384154</v>
      </c>
      <c r="Q65" s="14">
        <f t="shared" si="12"/>
        <v>475.9853624</v>
      </c>
      <c r="R65" s="2"/>
      <c r="S65" s="14">
        <f t="shared" si="13"/>
        <v>8.187271337</v>
      </c>
    </row>
    <row r="66">
      <c r="A66" s="11">
        <v>54.0</v>
      </c>
      <c r="B66" s="11">
        <v>1.4196304347826E9</v>
      </c>
      <c r="C66" s="2">
        <v>-102.0663147</v>
      </c>
      <c r="D66" s="3">
        <f t="shared" si="1"/>
        <v>-769565.2174</v>
      </c>
      <c r="E66" s="4">
        <f t="shared" si="2"/>
        <v>161.6201193</v>
      </c>
      <c r="F66" s="3">
        <f t="shared" si="3"/>
        <v>0.0002100148442</v>
      </c>
      <c r="G66" s="3">
        <f t="shared" si="4"/>
        <v>0</v>
      </c>
      <c r="H66" s="2">
        <f t="shared" si="5"/>
        <v>0</v>
      </c>
      <c r="I66" s="3">
        <f t="shared" si="6"/>
        <v>0</v>
      </c>
      <c r="J66" s="3">
        <f t="shared" si="7"/>
        <v>0</v>
      </c>
      <c r="K66" s="3"/>
      <c r="L66" s="3">
        <f t="shared" si="8"/>
        <v>472.5793029</v>
      </c>
      <c r="M66" s="14">
        <f t="shared" si="9"/>
        <v>467.0380733</v>
      </c>
      <c r="N66" s="14">
        <f t="shared" si="10"/>
        <v>5.541229599</v>
      </c>
      <c r="O66" s="3"/>
      <c r="P66" s="23">
        <f t="shared" si="11"/>
        <v>161.6201193</v>
      </c>
      <c r="Q66" s="14">
        <f t="shared" si="12"/>
        <v>472.5793029</v>
      </c>
      <c r="R66" s="2"/>
      <c r="S66" s="14">
        <f t="shared" si="13"/>
        <v>5.088489711</v>
      </c>
    </row>
    <row r="67">
      <c r="A67" s="11">
        <v>55.0</v>
      </c>
      <c r="B67" s="11">
        <v>1.41963478260869E9</v>
      </c>
      <c r="C67" s="2">
        <v>-102.0924454</v>
      </c>
      <c r="D67" s="3">
        <f t="shared" si="1"/>
        <v>-765217.3913</v>
      </c>
      <c r="E67" s="4">
        <f t="shared" si="2"/>
        <v>160.7018231</v>
      </c>
      <c r="F67" s="3">
        <f t="shared" si="3"/>
        <v>0.0002100080643</v>
      </c>
      <c r="G67" s="3">
        <f t="shared" si="4"/>
        <v>0</v>
      </c>
      <c r="H67" s="2">
        <f t="shared" si="5"/>
        <v>0</v>
      </c>
      <c r="I67" s="3">
        <f t="shared" si="6"/>
        <v>0</v>
      </c>
      <c r="J67" s="3">
        <f t="shared" si="7"/>
        <v>0</v>
      </c>
      <c r="K67" s="3"/>
      <c r="L67" s="3">
        <f t="shared" si="8"/>
        <v>469.7444173</v>
      </c>
      <c r="M67" s="14">
        <f t="shared" si="9"/>
        <v>467.0058399</v>
      </c>
      <c r="N67" s="14">
        <f t="shared" si="10"/>
        <v>2.738577386</v>
      </c>
      <c r="O67" s="3"/>
      <c r="P67" s="23">
        <f t="shared" si="11"/>
        <v>160.7018231</v>
      </c>
      <c r="Q67" s="14">
        <f t="shared" si="12"/>
        <v>469.7444173</v>
      </c>
      <c r="R67" s="2"/>
      <c r="S67" s="14">
        <f t="shared" si="13"/>
        <v>2.514825023</v>
      </c>
    </row>
    <row r="68">
      <c r="A68" s="11">
        <v>56.0</v>
      </c>
      <c r="B68" s="11">
        <v>1.41963913043478E9</v>
      </c>
      <c r="C68" s="2">
        <v>-102.1415787</v>
      </c>
      <c r="D68" s="24">
        <f t="shared" si="1"/>
        <v>-760869.5652</v>
      </c>
      <c r="E68" s="25">
        <f t="shared" si="2"/>
        <v>159.783527</v>
      </c>
      <c r="F68" s="24">
        <f t="shared" si="3"/>
        <v>0.0002100012069</v>
      </c>
      <c r="G68" s="24">
        <f t="shared" si="4"/>
        <v>0</v>
      </c>
      <c r="H68" s="26">
        <f t="shared" si="5"/>
        <v>0</v>
      </c>
      <c r="I68" s="24">
        <f t="shared" si="6"/>
        <v>0</v>
      </c>
      <c r="J68" s="24">
        <f t="shared" si="7"/>
        <v>0</v>
      </c>
      <c r="K68" s="24"/>
      <c r="L68" s="24">
        <f t="shared" si="8"/>
        <v>464.4599781</v>
      </c>
      <c r="M68" s="14">
        <f t="shared" si="9"/>
        <v>466.9729444</v>
      </c>
      <c r="N68" s="27">
        <f t="shared" si="10"/>
        <v>-2.51296632</v>
      </c>
      <c r="O68" s="24"/>
      <c r="P68" s="28">
        <f t="shared" ref="P68:P123" si="14">-((B418-$B$4)/$B$4)*(3*10^5)</f>
        <v>-160.7018231</v>
      </c>
      <c r="Q68" s="27">
        <f t="shared" ref="Q68:Q123" si="15">(1/(2*$K$13))*(I417)</f>
        <v>434.613375</v>
      </c>
      <c r="R68" s="26"/>
      <c r="S68" s="14">
        <f t="shared" si="13"/>
        <v>-2.307647248</v>
      </c>
    </row>
    <row r="69">
      <c r="A69" s="11">
        <v>57.0</v>
      </c>
      <c r="B69" s="11">
        <v>1.41964347826087E9</v>
      </c>
      <c r="C69" s="2">
        <v>-102.1014175</v>
      </c>
      <c r="D69" s="24">
        <f t="shared" si="1"/>
        <v>-756521.7391</v>
      </c>
      <c r="E69" s="25">
        <f t="shared" si="2"/>
        <v>158.8652309</v>
      </c>
      <c r="F69" s="24">
        <f t="shared" si="3"/>
        <v>0.0002099942707</v>
      </c>
      <c r="G69" s="24">
        <f t="shared" si="4"/>
        <v>0</v>
      </c>
      <c r="H69" s="26">
        <f t="shared" si="5"/>
        <v>0</v>
      </c>
      <c r="I69" s="24">
        <f t="shared" si="6"/>
        <v>0</v>
      </c>
      <c r="J69" s="24">
        <f t="shared" si="7"/>
        <v>0</v>
      </c>
      <c r="K69" s="24"/>
      <c r="L69" s="24">
        <f t="shared" si="8"/>
        <v>468.7749729</v>
      </c>
      <c r="M69" s="14">
        <f t="shared" si="9"/>
        <v>466.9393896</v>
      </c>
      <c r="N69" s="27">
        <f t="shared" si="10"/>
        <v>1.835583249</v>
      </c>
      <c r="O69" s="24"/>
      <c r="P69" s="28">
        <f t="shared" si="14"/>
        <v>-161.6201193</v>
      </c>
      <c r="Q69" s="27">
        <f t="shared" si="15"/>
        <v>430.4245136</v>
      </c>
      <c r="R69" s="26"/>
      <c r="S69" s="14">
        <f t="shared" si="13"/>
        <v>1.685608999</v>
      </c>
    </row>
    <row r="70">
      <c r="A70" s="11">
        <v>58.0</v>
      </c>
      <c r="B70" s="11">
        <v>1.41964782608695E9</v>
      </c>
      <c r="C70" s="2">
        <v>-102.1215668</v>
      </c>
      <c r="D70" s="24">
        <f t="shared" si="1"/>
        <v>-752173.913</v>
      </c>
      <c r="E70" s="25">
        <f t="shared" si="2"/>
        <v>157.9469347</v>
      </c>
      <c r="F70" s="24">
        <f t="shared" si="3"/>
        <v>0.0002099872543</v>
      </c>
      <c r="G70" s="24">
        <f t="shared" si="4"/>
        <v>0</v>
      </c>
      <c r="H70" s="26">
        <f t="shared" si="5"/>
        <v>0</v>
      </c>
      <c r="I70" s="24">
        <f t="shared" si="6"/>
        <v>0</v>
      </c>
      <c r="J70" s="24">
        <f t="shared" si="7"/>
        <v>0</v>
      </c>
      <c r="K70" s="24"/>
      <c r="L70" s="24">
        <f t="shared" si="8"/>
        <v>466.6051065</v>
      </c>
      <c r="M70" s="14">
        <f t="shared" si="9"/>
        <v>466.9051781</v>
      </c>
      <c r="N70" s="27">
        <f t="shared" si="10"/>
        <v>-0.3000716305</v>
      </c>
      <c r="O70" s="24"/>
      <c r="P70" s="28">
        <f t="shared" si="14"/>
        <v>-162.5384154</v>
      </c>
      <c r="Q70" s="27">
        <f t="shared" si="15"/>
        <v>434.7829024</v>
      </c>
      <c r="R70" s="26"/>
      <c r="S70" s="14">
        <f t="shared" si="13"/>
        <v>-0.2755546179</v>
      </c>
    </row>
    <row r="71">
      <c r="A71" s="11">
        <v>59.0</v>
      </c>
      <c r="B71" s="11">
        <v>1.41965217391304E9</v>
      </c>
      <c r="C71" s="2">
        <v>-102.1396484</v>
      </c>
      <c r="D71" s="24">
        <f t="shared" si="1"/>
        <v>-747826.087</v>
      </c>
      <c r="E71" s="25">
        <f t="shared" si="2"/>
        <v>157.0286386</v>
      </c>
      <c r="F71" s="24">
        <f t="shared" si="3"/>
        <v>0.0002099801563</v>
      </c>
      <c r="G71" s="24">
        <f t="shared" si="4"/>
        <v>0</v>
      </c>
      <c r="H71" s="26">
        <f t="shared" si="5"/>
        <v>0</v>
      </c>
      <c r="I71" s="24">
        <f t="shared" si="6"/>
        <v>0</v>
      </c>
      <c r="J71" s="24">
        <f t="shared" si="7"/>
        <v>0</v>
      </c>
      <c r="K71" s="24"/>
      <c r="L71" s="24">
        <f t="shared" si="8"/>
        <v>464.6664616</v>
      </c>
      <c r="M71" s="14">
        <f t="shared" si="9"/>
        <v>466.8703125</v>
      </c>
      <c r="N71" s="27">
        <f t="shared" si="10"/>
        <v>-2.203850924</v>
      </c>
      <c r="O71" s="24"/>
      <c r="P71" s="28">
        <f t="shared" si="14"/>
        <v>-163.4567115</v>
      </c>
      <c r="Q71" s="27">
        <f t="shared" si="15"/>
        <v>434.7378441</v>
      </c>
      <c r="R71" s="26"/>
      <c r="S71" s="14">
        <f t="shared" si="13"/>
        <v>-2.023787776</v>
      </c>
    </row>
    <row r="72">
      <c r="A72" s="11">
        <v>60.0</v>
      </c>
      <c r="B72" s="11">
        <v>1.41965652173913E9</v>
      </c>
      <c r="C72" s="2">
        <v>-102.1796188</v>
      </c>
      <c r="D72" s="24">
        <f t="shared" si="1"/>
        <v>-743478.2609</v>
      </c>
      <c r="E72" s="25">
        <f t="shared" si="2"/>
        <v>156.1103425</v>
      </c>
      <c r="F72" s="24">
        <f t="shared" si="3"/>
        <v>0.0002099729752</v>
      </c>
      <c r="G72" s="24">
        <f t="shared" si="4"/>
        <v>0</v>
      </c>
      <c r="H72" s="26">
        <f t="shared" si="5"/>
        <v>0</v>
      </c>
      <c r="I72" s="24">
        <f t="shared" si="6"/>
        <v>0</v>
      </c>
      <c r="J72" s="24">
        <f t="shared" si="7"/>
        <v>0</v>
      </c>
      <c r="K72" s="24"/>
      <c r="L72" s="24">
        <f t="shared" si="8"/>
        <v>460.4095119</v>
      </c>
      <c r="M72" s="14">
        <f t="shared" si="9"/>
        <v>466.8347954</v>
      </c>
      <c r="N72" s="27">
        <f t="shared" si="10"/>
        <v>-6.425283596</v>
      </c>
      <c r="O72" s="24"/>
      <c r="P72" s="28">
        <f t="shared" si="14"/>
        <v>-164.3750077</v>
      </c>
      <c r="Q72" s="27">
        <f t="shared" si="15"/>
        <v>435.2100718</v>
      </c>
      <c r="R72" s="26"/>
      <c r="S72" s="14">
        <f t="shared" si="13"/>
        <v>-5.900313078</v>
      </c>
    </row>
    <row r="73">
      <c r="A73" s="11">
        <v>61.0</v>
      </c>
      <c r="B73" s="11">
        <v>1.41966086956521E9</v>
      </c>
      <c r="C73" s="2">
        <v>-102.1346664</v>
      </c>
      <c r="D73" s="24">
        <f t="shared" si="1"/>
        <v>-739130.4348</v>
      </c>
      <c r="E73" s="25">
        <f t="shared" si="2"/>
        <v>155.1920463</v>
      </c>
      <c r="F73" s="24">
        <f t="shared" si="3"/>
        <v>0.0002099657097</v>
      </c>
      <c r="G73" s="24">
        <f t="shared" si="4"/>
        <v>0</v>
      </c>
      <c r="H73" s="26">
        <f t="shared" si="5"/>
        <v>0</v>
      </c>
      <c r="I73" s="24">
        <f t="shared" si="6"/>
        <v>0</v>
      </c>
      <c r="J73" s="24">
        <f t="shared" si="7"/>
        <v>0</v>
      </c>
      <c r="K73" s="24"/>
      <c r="L73" s="24">
        <f t="shared" si="8"/>
        <v>465.1998086</v>
      </c>
      <c r="M73" s="14">
        <f t="shared" si="9"/>
        <v>466.7986295</v>
      </c>
      <c r="N73" s="27">
        <f t="shared" si="10"/>
        <v>-1.598820927</v>
      </c>
      <c r="O73" s="24"/>
      <c r="P73" s="28">
        <f t="shared" si="14"/>
        <v>-165.2933038</v>
      </c>
      <c r="Q73" s="27">
        <f t="shared" si="15"/>
        <v>430.9223478</v>
      </c>
      <c r="R73" s="26"/>
      <c r="S73" s="14">
        <f t="shared" si="13"/>
        <v>-1.468191075</v>
      </c>
    </row>
    <row r="74">
      <c r="A74" s="11">
        <v>62.0</v>
      </c>
      <c r="B74" s="11">
        <v>1.4196652173913E9</v>
      </c>
      <c r="C74" s="2">
        <v>-102.0936813</v>
      </c>
      <c r="D74" s="24">
        <f t="shared" si="1"/>
        <v>-734782.6087</v>
      </c>
      <c r="E74" s="25">
        <f t="shared" si="2"/>
        <v>154.2737502</v>
      </c>
      <c r="F74" s="24">
        <f t="shared" si="3"/>
        <v>0.0002099583583</v>
      </c>
      <c r="G74" s="24">
        <f t="shared" si="4"/>
        <v>0</v>
      </c>
      <c r="H74" s="26">
        <f t="shared" si="5"/>
        <v>0</v>
      </c>
      <c r="I74" s="24">
        <f t="shared" si="6"/>
        <v>0</v>
      </c>
      <c r="J74" s="24">
        <f t="shared" si="7"/>
        <v>0</v>
      </c>
      <c r="K74" s="24"/>
      <c r="L74" s="24">
        <f t="shared" si="8"/>
        <v>469.6107581</v>
      </c>
      <c r="M74" s="14">
        <f t="shared" si="9"/>
        <v>466.7618174</v>
      </c>
      <c r="N74" s="27">
        <f t="shared" si="10"/>
        <v>2.848940658</v>
      </c>
      <c r="O74" s="24"/>
      <c r="P74" s="28">
        <f t="shared" si="14"/>
        <v>-166.2115999</v>
      </c>
      <c r="Q74" s="27">
        <f t="shared" si="15"/>
        <v>436.7832922</v>
      </c>
      <c r="R74" s="26"/>
      <c r="S74" s="14">
        <f t="shared" si="13"/>
        <v>2.616171183</v>
      </c>
    </row>
    <row r="75">
      <c r="A75" s="11">
        <v>63.0</v>
      </c>
      <c r="B75" s="11">
        <v>1.41966956521739E9</v>
      </c>
      <c r="C75" s="2">
        <v>-102.1509628</v>
      </c>
      <c r="D75" s="24">
        <f t="shared" si="1"/>
        <v>-730434.7826</v>
      </c>
      <c r="E75" s="25">
        <f t="shared" si="2"/>
        <v>153.3554541</v>
      </c>
      <c r="F75" s="24">
        <f t="shared" si="3"/>
        <v>0.0002099509193</v>
      </c>
      <c r="G75" s="24">
        <f t="shared" si="4"/>
        <v>0</v>
      </c>
      <c r="H75" s="26">
        <f t="shared" si="5"/>
        <v>0</v>
      </c>
      <c r="I75" s="24">
        <f t="shared" si="6"/>
        <v>0</v>
      </c>
      <c r="J75" s="24">
        <f t="shared" si="7"/>
        <v>0</v>
      </c>
      <c r="K75" s="24"/>
      <c r="L75" s="24">
        <f t="shared" si="8"/>
        <v>463.4574709</v>
      </c>
      <c r="M75" s="14">
        <f t="shared" si="9"/>
        <v>466.7243617</v>
      </c>
      <c r="N75" s="27">
        <f t="shared" si="10"/>
        <v>-3.266890764</v>
      </c>
      <c r="O75" s="24"/>
      <c r="P75" s="28">
        <f t="shared" si="14"/>
        <v>-167.129896</v>
      </c>
      <c r="Q75" s="27">
        <f t="shared" si="15"/>
        <v>431.8878608</v>
      </c>
      <c r="R75" s="26"/>
      <c r="S75" s="14">
        <f t="shared" si="13"/>
        <v>-2.999973155</v>
      </c>
    </row>
    <row r="76">
      <c r="A76" s="11">
        <v>64.0</v>
      </c>
      <c r="B76" s="11">
        <v>1.41967391304347E9</v>
      </c>
      <c r="C76" s="2">
        <v>-102.1188202</v>
      </c>
      <c r="D76" s="24">
        <f t="shared" si="1"/>
        <v>-726086.9565</v>
      </c>
      <c r="E76" s="25">
        <f t="shared" si="2"/>
        <v>152.4371579</v>
      </c>
      <c r="F76" s="24">
        <f t="shared" si="3"/>
        <v>0.0002099433912</v>
      </c>
      <c r="G76" s="24">
        <f t="shared" si="4"/>
        <v>0</v>
      </c>
      <c r="H76" s="26">
        <f t="shared" si="5"/>
        <v>0</v>
      </c>
      <c r="I76" s="24">
        <f t="shared" si="6"/>
        <v>0</v>
      </c>
      <c r="J76" s="24">
        <f t="shared" si="7"/>
        <v>0</v>
      </c>
      <c r="K76" s="24"/>
      <c r="L76" s="24">
        <f t="shared" si="8"/>
        <v>466.900294</v>
      </c>
      <c r="M76" s="14">
        <f t="shared" si="9"/>
        <v>466.686265</v>
      </c>
      <c r="N76" s="27">
        <f t="shared" si="10"/>
        <v>0.2140289458</v>
      </c>
      <c r="O76" s="24"/>
      <c r="P76" s="28">
        <f t="shared" si="14"/>
        <v>-168.0481922</v>
      </c>
      <c r="Q76" s="27">
        <f t="shared" si="15"/>
        <v>428.8802303</v>
      </c>
      <c r="R76" s="26"/>
      <c r="S76" s="14">
        <f t="shared" si="13"/>
        <v>0.1965419532</v>
      </c>
    </row>
    <row r="77">
      <c r="A77" s="11">
        <v>65.0</v>
      </c>
      <c r="B77" s="11">
        <v>1.41967826086956E9</v>
      </c>
      <c r="C77" s="2">
        <v>-102.1441116</v>
      </c>
      <c r="D77" s="24">
        <f t="shared" si="1"/>
        <v>-721739.1304</v>
      </c>
      <c r="E77" s="25">
        <f t="shared" si="2"/>
        <v>151.5188618</v>
      </c>
      <c r="F77" s="24">
        <f t="shared" si="3"/>
        <v>0.0002099357724</v>
      </c>
      <c r="G77" s="24">
        <f t="shared" si="4"/>
        <v>0</v>
      </c>
      <c r="H77" s="26">
        <f t="shared" si="5"/>
        <v>0</v>
      </c>
      <c r="I77" s="24">
        <f t="shared" si="6"/>
        <v>0</v>
      </c>
      <c r="J77" s="24">
        <f t="shared" si="7"/>
        <v>0</v>
      </c>
      <c r="K77" s="24"/>
      <c r="L77" s="24">
        <f t="shared" si="8"/>
        <v>464.1891739</v>
      </c>
      <c r="M77" s="14">
        <f t="shared" si="9"/>
        <v>466.64753</v>
      </c>
      <c r="N77" s="27">
        <f t="shared" si="10"/>
        <v>-2.458356115</v>
      </c>
      <c r="O77" s="24"/>
      <c r="P77" s="28">
        <f t="shared" si="14"/>
        <v>-168.9664883</v>
      </c>
      <c r="Q77" s="27">
        <f t="shared" si="15"/>
        <v>431.0995181</v>
      </c>
      <c r="R77" s="26"/>
      <c r="S77" s="14">
        <f t="shared" si="13"/>
        <v>-2.257498909</v>
      </c>
    </row>
    <row r="78">
      <c r="A78" s="11">
        <v>66.0</v>
      </c>
      <c r="B78" s="11">
        <v>1.41968260869565E9</v>
      </c>
      <c r="C78" s="2">
        <v>-102.0529709</v>
      </c>
      <c r="D78" s="24">
        <f t="shared" si="1"/>
        <v>-717391.3043</v>
      </c>
      <c r="E78" s="25">
        <f t="shared" si="2"/>
        <v>150.6005657</v>
      </c>
      <c r="F78" s="24">
        <f t="shared" si="3"/>
        <v>0.0002099280612</v>
      </c>
      <c r="G78" s="24">
        <f t="shared" si="4"/>
        <v>0</v>
      </c>
      <c r="H78" s="26">
        <f t="shared" si="5"/>
        <v>0</v>
      </c>
      <c r="I78" s="24">
        <f t="shared" si="6"/>
        <v>0</v>
      </c>
      <c r="J78" s="24">
        <f t="shared" si="7"/>
        <v>0</v>
      </c>
      <c r="K78" s="24"/>
      <c r="L78" s="24">
        <f t="shared" si="8"/>
        <v>474.0335469</v>
      </c>
      <c r="M78" s="14">
        <f t="shared" si="9"/>
        <v>466.6081593</v>
      </c>
      <c r="N78" s="27">
        <f t="shared" si="10"/>
        <v>7.425387577</v>
      </c>
      <c r="O78" s="24"/>
      <c r="P78" s="28">
        <f t="shared" si="14"/>
        <v>-169.8847844</v>
      </c>
      <c r="Q78" s="27">
        <f t="shared" si="15"/>
        <v>435.0296796</v>
      </c>
      <c r="R78" s="26"/>
      <c r="S78" s="14">
        <f t="shared" si="13"/>
        <v>6.818704696</v>
      </c>
    </row>
    <row r="79">
      <c r="A79" s="11">
        <v>67.0</v>
      </c>
      <c r="B79" s="11">
        <v>1.41968695652173E9</v>
      </c>
      <c r="C79" s="2">
        <v>-102.1541519</v>
      </c>
      <c r="D79" s="24">
        <f t="shared" si="1"/>
        <v>-713043.4783</v>
      </c>
      <c r="E79" s="25">
        <f t="shared" si="2"/>
        <v>149.6822695</v>
      </c>
      <c r="F79" s="24">
        <f t="shared" si="3"/>
        <v>0.0002099202561</v>
      </c>
      <c r="G79" s="24">
        <f t="shared" si="4"/>
        <v>0</v>
      </c>
      <c r="H79" s="26">
        <f t="shared" si="5"/>
        <v>0</v>
      </c>
      <c r="I79" s="24">
        <f t="shared" si="6"/>
        <v>0</v>
      </c>
      <c r="J79" s="24">
        <f t="shared" si="7"/>
        <v>0</v>
      </c>
      <c r="K79" s="24"/>
      <c r="L79" s="24">
        <f t="shared" si="8"/>
        <v>463.117271</v>
      </c>
      <c r="M79" s="14">
        <f t="shared" si="9"/>
        <v>466.5681556</v>
      </c>
      <c r="N79" s="27">
        <f t="shared" si="10"/>
        <v>-3.450884597</v>
      </c>
      <c r="O79" s="24"/>
      <c r="P79" s="28">
        <f t="shared" si="14"/>
        <v>-170.8030806</v>
      </c>
      <c r="Q79" s="27">
        <f t="shared" si="15"/>
        <v>432.6533167</v>
      </c>
      <c r="R79" s="26"/>
      <c r="S79" s="14">
        <f t="shared" si="13"/>
        <v>-3.16893398</v>
      </c>
    </row>
    <row r="80">
      <c r="A80" s="11">
        <v>68.0</v>
      </c>
      <c r="B80" s="11">
        <v>1.41969130434782E9</v>
      </c>
      <c r="C80" s="2">
        <v>-102.1197662</v>
      </c>
      <c r="D80" s="24">
        <f t="shared" si="1"/>
        <v>-708695.6522</v>
      </c>
      <c r="E80" s="25">
        <f t="shared" si="2"/>
        <v>148.7639734</v>
      </c>
      <c r="F80" s="24">
        <f t="shared" si="3"/>
        <v>0.0002099123551</v>
      </c>
      <c r="G80" s="24">
        <f t="shared" si="4"/>
        <v>0</v>
      </c>
      <c r="H80" s="26">
        <f t="shared" si="5"/>
        <v>0</v>
      </c>
      <c r="I80" s="24">
        <f t="shared" si="6"/>
        <v>0</v>
      </c>
      <c r="J80" s="24">
        <f t="shared" si="7"/>
        <v>0</v>
      </c>
      <c r="K80" s="24"/>
      <c r="L80" s="24">
        <f t="shared" si="8"/>
        <v>466.7986027</v>
      </c>
      <c r="M80" s="14">
        <f t="shared" si="9"/>
        <v>466.5275213</v>
      </c>
      <c r="N80" s="27">
        <f t="shared" si="10"/>
        <v>0.2710813638</v>
      </c>
      <c r="O80" s="24"/>
      <c r="P80" s="28">
        <f t="shared" si="14"/>
        <v>-171.7213767</v>
      </c>
      <c r="Q80" s="27">
        <f t="shared" si="15"/>
        <v>427.5945463</v>
      </c>
      <c r="R80" s="26"/>
      <c r="S80" s="14">
        <f t="shared" si="13"/>
        <v>0.2489329681</v>
      </c>
    </row>
    <row r="81">
      <c r="A81" s="11">
        <v>69.0</v>
      </c>
      <c r="B81" s="11">
        <v>1.41969565217391E9</v>
      </c>
      <c r="C81" s="2">
        <v>-102.1974716</v>
      </c>
      <c r="D81" s="24">
        <f t="shared" si="1"/>
        <v>-704347.8261</v>
      </c>
      <c r="E81" s="25">
        <f t="shared" si="2"/>
        <v>147.8456773</v>
      </c>
      <c r="F81" s="24">
        <f t="shared" si="3"/>
        <v>0.0002099043566</v>
      </c>
      <c r="G81" s="24">
        <f t="shared" si="4"/>
        <v>0</v>
      </c>
      <c r="H81" s="26">
        <f t="shared" si="5"/>
        <v>0</v>
      </c>
      <c r="I81" s="24">
        <f t="shared" si="6"/>
        <v>0</v>
      </c>
      <c r="J81" s="24">
        <f t="shared" si="7"/>
        <v>0</v>
      </c>
      <c r="K81" s="24"/>
      <c r="L81" s="24">
        <f t="shared" si="8"/>
        <v>458.520764</v>
      </c>
      <c r="M81" s="14">
        <f t="shared" si="9"/>
        <v>466.4862593</v>
      </c>
      <c r="N81" s="27">
        <f t="shared" si="10"/>
        <v>-7.965495294</v>
      </c>
      <c r="O81" s="24"/>
      <c r="P81" s="28">
        <f t="shared" si="14"/>
        <v>-172.6396728</v>
      </c>
      <c r="Q81" s="27">
        <f t="shared" si="15"/>
        <v>438.2274497</v>
      </c>
      <c r="R81" s="26"/>
      <c r="S81" s="14">
        <f t="shared" si="13"/>
        <v>-7.314683508</v>
      </c>
    </row>
    <row r="82">
      <c r="A82" s="11">
        <v>70.0</v>
      </c>
      <c r="B82" s="11">
        <v>1.4197E9</v>
      </c>
      <c r="C82" s="2">
        <v>-102.0859146</v>
      </c>
      <c r="D82" s="24">
        <f t="shared" si="1"/>
        <v>-700000</v>
      </c>
      <c r="E82" s="25">
        <f t="shared" si="2"/>
        <v>146.9273811</v>
      </c>
      <c r="F82" s="24">
        <f t="shared" si="3"/>
        <v>0.0002098962588</v>
      </c>
      <c r="G82" s="24">
        <f t="shared" si="4"/>
        <v>0</v>
      </c>
      <c r="H82" s="26">
        <f t="shared" si="5"/>
        <v>0</v>
      </c>
      <c r="I82" s="24">
        <f t="shared" si="6"/>
        <v>0</v>
      </c>
      <c r="J82" s="24">
        <f t="shared" si="7"/>
        <v>0</v>
      </c>
      <c r="K82" s="24"/>
      <c r="L82" s="24">
        <f t="shared" si="8"/>
        <v>470.4513373</v>
      </c>
      <c r="M82" s="14">
        <f t="shared" si="9"/>
        <v>466.4443721</v>
      </c>
      <c r="N82" s="27">
        <f t="shared" si="10"/>
        <v>4.006965216</v>
      </c>
      <c r="O82" s="24"/>
      <c r="P82" s="28">
        <f t="shared" si="14"/>
        <v>-173.557969</v>
      </c>
      <c r="Q82" s="27">
        <f t="shared" si="15"/>
        <v>435.4601495</v>
      </c>
      <c r="R82" s="26"/>
      <c r="S82" s="14">
        <f t="shared" si="13"/>
        <v>3.679580662</v>
      </c>
    </row>
    <row r="83">
      <c r="A83" s="11">
        <v>71.0</v>
      </c>
      <c r="B83" s="11">
        <v>1.41970434782608E9</v>
      </c>
      <c r="C83" s="2">
        <v>-102.0590515</v>
      </c>
      <c r="D83" s="24">
        <f t="shared" si="1"/>
        <v>-695652.1739</v>
      </c>
      <c r="E83" s="25">
        <f t="shared" si="2"/>
        <v>146.009085</v>
      </c>
      <c r="F83" s="24">
        <f t="shared" si="3"/>
        <v>0.0002098880597</v>
      </c>
      <c r="G83" s="24">
        <f t="shared" si="4"/>
        <v>0</v>
      </c>
      <c r="H83" s="26">
        <f t="shared" si="5"/>
        <v>0</v>
      </c>
      <c r="I83" s="24">
        <f t="shared" si="6"/>
        <v>0</v>
      </c>
      <c r="J83" s="24">
        <f t="shared" si="7"/>
        <v>0</v>
      </c>
      <c r="K83" s="24"/>
      <c r="L83" s="24">
        <f t="shared" si="8"/>
        <v>473.3703123</v>
      </c>
      <c r="M83" s="14">
        <f t="shared" si="9"/>
        <v>466.4018623</v>
      </c>
      <c r="N83" s="27">
        <f t="shared" si="10"/>
        <v>6.968449991</v>
      </c>
      <c r="O83" s="24"/>
      <c r="P83" s="28">
        <f t="shared" si="14"/>
        <v>-174.4762651</v>
      </c>
      <c r="Q83" s="27">
        <f t="shared" si="15"/>
        <v>433.9908042</v>
      </c>
      <c r="R83" s="26"/>
      <c r="S83" s="14">
        <f t="shared" si="13"/>
        <v>6.399100679</v>
      </c>
    </row>
    <row r="84">
      <c r="A84" s="11">
        <v>72.0</v>
      </c>
      <c r="B84" s="11">
        <v>1.41970869565217E9</v>
      </c>
      <c r="C84" s="2">
        <v>-102.1080399</v>
      </c>
      <c r="D84" s="24">
        <f t="shared" si="1"/>
        <v>-691304.3478</v>
      </c>
      <c r="E84" s="25">
        <f t="shared" si="2"/>
        <v>145.0907889</v>
      </c>
      <c r="F84" s="24">
        <f t="shared" si="3"/>
        <v>0.0002098797575</v>
      </c>
      <c r="G84" s="24">
        <f t="shared" si="4"/>
        <v>0</v>
      </c>
      <c r="H84" s="26">
        <f t="shared" si="5"/>
        <v>0</v>
      </c>
      <c r="I84" s="24">
        <f t="shared" si="6"/>
        <v>0</v>
      </c>
      <c r="J84" s="24">
        <f t="shared" si="7"/>
        <v>0</v>
      </c>
      <c r="K84" s="24"/>
      <c r="L84" s="24">
        <f t="shared" si="8"/>
        <v>468.0606996</v>
      </c>
      <c r="M84" s="14">
        <f t="shared" si="9"/>
        <v>466.3587325</v>
      </c>
      <c r="N84" s="27">
        <f t="shared" si="10"/>
        <v>1.701967021</v>
      </c>
      <c r="O84" s="24"/>
      <c r="P84" s="28">
        <f t="shared" si="14"/>
        <v>-175.3945612</v>
      </c>
      <c r="Q84" s="27">
        <f t="shared" si="15"/>
        <v>430.6370457</v>
      </c>
      <c r="R84" s="26"/>
      <c r="S84" s="14">
        <f t="shared" si="13"/>
        <v>1.56290973</v>
      </c>
    </row>
    <row r="85">
      <c r="A85" s="11">
        <v>73.0</v>
      </c>
      <c r="B85" s="11">
        <v>1.41971304347826E9</v>
      </c>
      <c r="C85" s="2">
        <v>-102.1221466</v>
      </c>
      <c r="D85" s="24">
        <f t="shared" si="1"/>
        <v>-686956.5217</v>
      </c>
      <c r="E85" s="25">
        <f t="shared" si="2"/>
        <v>144.1724927</v>
      </c>
      <c r="F85" s="24">
        <f t="shared" si="3"/>
        <v>0.0002098713502</v>
      </c>
      <c r="G85" s="24">
        <f t="shared" si="4"/>
        <v>0</v>
      </c>
      <c r="H85" s="26">
        <f t="shared" si="5"/>
        <v>0</v>
      </c>
      <c r="I85" s="24">
        <f t="shared" si="6"/>
        <v>0</v>
      </c>
      <c r="J85" s="24">
        <f t="shared" si="7"/>
        <v>0</v>
      </c>
      <c r="K85" s="24"/>
      <c r="L85" s="24">
        <f t="shared" si="8"/>
        <v>466.5428171</v>
      </c>
      <c r="M85" s="14">
        <f t="shared" si="9"/>
        <v>466.3149855</v>
      </c>
      <c r="N85" s="27">
        <f t="shared" si="10"/>
        <v>0.2278315708</v>
      </c>
      <c r="O85" s="24"/>
      <c r="P85" s="28">
        <f t="shared" si="14"/>
        <v>-176.3128574</v>
      </c>
      <c r="Q85" s="27">
        <f t="shared" si="15"/>
        <v>429.3883403</v>
      </c>
      <c r="R85" s="26"/>
      <c r="S85" s="14">
        <f t="shared" si="13"/>
        <v>0.2092168504</v>
      </c>
    </row>
    <row r="86">
      <c r="A86" s="11">
        <v>74.0</v>
      </c>
      <c r="B86" s="11">
        <v>1.41971739130434E9</v>
      </c>
      <c r="C86" s="2">
        <v>-102.1170349</v>
      </c>
      <c r="D86" s="24">
        <f t="shared" si="1"/>
        <v>-682608.6957</v>
      </c>
      <c r="E86" s="25">
        <f t="shared" si="2"/>
        <v>143.2541966</v>
      </c>
      <c r="F86" s="24">
        <f t="shared" si="3"/>
        <v>0.0002098628358</v>
      </c>
      <c r="G86" s="24">
        <f t="shared" si="4"/>
        <v>0</v>
      </c>
      <c r="H86" s="26">
        <f t="shared" si="5"/>
        <v>0</v>
      </c>
      <c r="I86" s="24">
        <f t="shared" si="6"/>
        <v>0</v>
      </c>
      <c r="J86" s="24">
        <f t="shared" si="7"/>
        <v>0</v>
      </c>
      <c r="K86" s="24"/>
      <c r="L86" s="24">
        <f t="shared" si="8"/>
        <v>467.092267</v>
      </c>
      <c r="M86" s="14">
        <f t="shared" si="9"/>
        <v>466.2706238</v>
      </c>
      <c r="N86" s="27">
        <f t="shared" si="10"/>
        <v>0.8216432805</v>
      </c>
      <c r="O86" s="24"/>
      <c r="P86" s="28">
        <f t="shared" si="14"/>
        <v>-177.2311535</v>
      </c>
      <c r="Q86" s="27">
        <f t="shared" si="15"/>
        <v>432.0062375</v>
      </c>
      <c r="R86" s="26"/>
      <c r="S86" s="14">
        <f t="shared" si="13"/>
        <v>0.754511847</v>
      </c>
    </row>
    <row r="87">
      <c r="A87" s="11">
        <v>75.0</v>
      </c>
      <c r="B87" s="11">
        <v>1.41972173913043E9</v>
      </c>
      <c r="C87" s="2">
        <v>-102.0939789</v>
      </c>
      <c r="D87" s="24">
        <f t="shared" si="1"/>
        <v>-678260.8696</v>
      </c>
      <c r="E87" s="25">
        <f t="shared" si="2"/>
        <v>142.3359005</v>
      </c>
      <c r="F87" s="24">
        <f t="shared" si="3"/>
        <v>0.0002098542122</v>
      </c>
      <c r="G87" s="24">
        <f t="shared" si="4"/>
        <v>0</v>
      </c>
      <c r="H87" s="26">
        <f t="shared" si="5"/>
        <v>0</v>
      </c>
      <c r="I87" s="24">
        <f t="shared" si="6"/>
        <v>0</v>
      </c>
      <c r="J87" s="24">
        <f t="shared" si="7"/>
        <v>0</v>
      </c>
      <c r="K87" s="24"/>
      <c r="L87" s="24">
        <f t="shared" si="8"/>
        <v>469.5785791</v>
      </c>
      <c r="M87" s="14">
        <f t="shared" si="9"/>
        <v>466.22565</v>
      </c>
      <c r="N87" s="27">
        <f t="shared" si="10"/>
        <v>3.35292914</v>
      </c>
      <c r="O87" s="24"/>
      <c r="P87" s="28">
        <f t="shared" si="14"/>
        <v>-178.1494496</v>
      </c>
      <c r="Q87" s="27">
        <f t="shared" si="15"/>
        <v>434.0266406</v>
      </c>
      <c r="R87" s="26"/>
      <c r="S87" s="14">
        <f t="shared" si="13"/>
        <v>3.078981856</v>
      </c>
    </row>
    <row r="88">
      <c r="A88" s="11">
        <v>76.0</v>
      </c>
      <c r="B88" s="11">
        <v>1.41972608695652E9</v>
      </c>
      <c r="C88" s="2">
        <v>-102.0995712</v>
      </c>
      <c r="D88" s="24">
        <f t="shared" si="1"/>
        <v>-673913.0435</v>
      </c>
      <c r="E88" s="25">
        <f t="shared" si="2"/>
        <v>141.4176044</v>
      </c>
      <c r="F88" s="24">
        <f t="shared" si="3"/>
        <v>0.0002098454774</v>
      </c>
      <c r="G88" s="24">
        <f t="shared" si="4"/>
        <v>0</v>
      </c>
      <c r="H88" s="26">
        <f t="shared" si="5"/>
        <v>0</v>
      </c>
      <c r="I88" s="24">
        <f t="shared" si="6"/>
        <v>0</v>
      </c>
      <c r="J88" s="24">
        <f t="shared" si="7"/>
        <v>0</v>
      </c>
      <c r="K88" s="24"/>
      <c r="L88" s="24">
        <f t="shared" si="8"/>
        <v>468.9743038</v>
      </c>
      <c r="M88" s="14">
        <f t="shared" si="9"/>
        <v>466.1800668</v>
      </c>
      <c r="N88" s="27">
        <f t="shared" si="10"/>
        <v>2.794237051</v>
      </c>
      <c r="O88" s="24"/>
      <c r="P88" s="28">
        <f t="shared" si="14"/>
        <v>-179.0677458</v>
      </c>
      <c r="Q88" s="27">
        <f t="shared" si="15"/>
        <v>433.0700373</v>
      </c>
      <c r="R88" s="26"/>
      <c r="S88" s="14">
        <f t="shared" si="13"/>
        <v>2.565937078</v>
      </c>
    </row>
    <row r="89">
      <c r="A89" s="11">
        <v>77.0</v>
      </c>
      <c r="B89" s="11">
        <v>1.4197304347826E9</v>
      </c>
      <c r="C89" s="2">
        <v>-102.1076965</v>
      </c>
      <c r="D89" s="24">
        <f t="shared" si="1"/>
        <v>-669565.2174</v>
      </c>
      <c r="E89" s="25">
        <f t="shared" si="2"/>
        <v>140.4993082</v>
      </c>
      <c r="F89" s="24">
        <f t="shared" si="3"/>
        <v>0.0002098366292</v>
      </c>
      <c r="G89" s="24">
        <f t="shared" si="4"/>
        <v>0</v>
      </c>
      <c r="H89" s="26">
        <f t="shared" si="5"/>
        <v>0</v>
      </c>
      <c r="I89" s="24">
        <f t="shared" si="6"/>
        <v>0</v>
      </c>
      <c r="J89" s="24">
        <f t="shared" si="7"/>
        <v>0</v>
      </c>
      <c r="K89" s="24"/>
      <c r="L89" s="24">
        <f t="shared" si="8"/>
        <v>468.0977109</v>
      </c>
      <c r="M89" s="14">
        <f t="shared" si="9"/>
        <v>466.1338768</v>
      </c>
      <c r="N89" s="27">
        <f t="shared" si="10"/>
        <v>1.96383418</v>
      </c>
      <c r="O89" s="24"/>
      <c r="P89" s="28">
        <f t="shared" si="14"/>
        <v>-179.9860419</v>
      </c>
      <c r="Q89" s="27">
        <f t="shared" si="15"/>
        <v>431.7763467</v>
      </c>
      <c r="R89" s="26"/>
      <c r="S89" s="14">
        <f t="shared" si="13"/>
        <v>1.803381333</v>
      </c>
    </row>
    <row r="90">
      <c r="A90" s="11">
        <v>78.0</v>
      </c>
      <c r="B90" s="11">
        <v>1.41973478260869E9</v>
      </c>
      <c r="C90" s="2">
        <v>-102.1772919</v>
      </c>
      <c r="D90" s="24">
        <f t="shared" si="1"/>
        <v>-665217.3913</v>
      </c>
      <c r="E90" s="25">
        <f t="shared" si="2"/>
        <v>139.5810121</v>
      </c>
      <c r="F90" s="24">
        <f t="shared" si="3"/>
        <v>0.0002098276652</v>
      </c>
      <c r="G90" s="24">
        <f t="shared" si="4"/>
        <v>0</v>
      </c>
      <c r="H90" s="26">
        <f t="shared" si="5"/>
        <v>0</v>
      </c>
      <c r="I90" s="24">
        <f t="shared" si="6"/>
        <v>0</v>
      </c>
      <c r="J90" s="24">
        <f t="shared" si="7"/>
        <v>0</v>
      </c>
      <c r="K90" s="24"/>
      <c r="L90" s="24">
        <f t="shared" si="8"/>
        <v>460.6562601</v>
      </c>
      <c r="M90" s="14">
        <f t="shared" si="9"/>
        <v>466.0870826</v>
      </c>
      <c r="N90" s="27">
        <f t="shared" si="10"/>
        <v>-5.430822498</v>
      </c>
      <c r="O90" s="24"/>
      <c r="P90" s="28">
        <f t="shared" si="14"/>
        <v>-180.904338</v>
      </c>
      <c r="Q90" s="27">
        <f t="shared" si="15"/>
        <v>431.5056408</v>
      </c>
      <c r="R90" s="26"/>
      <c r="S90" s="14">
        <f t="shared" si="13"/>
        <v>-4.987103297</v>
      </c>
    </row>
    <row r="91">
      <c r="A91" s="11">
        <v>79.0</v>
      </c>
      <c r="B91" s="11">
        <v>1.41973913043478E9</v>
      </c>
      <c r="C91" s="2">
        <v>-102.1295776</v>
      </c>
      <c r="D91" s="24">
        <f t="shared" si="1"/>
        <v>-660869.5652</v>
      </c>
      <c r="E91" s="25">
        <f t="shared" si="2"/>
        <v>138.662716</v>
      </c>
      <c r="F91" s="24">
        <f t="shared" si="3"/>
        <v>0.0002098185833</v>
      </c>
      <c r="G91" s="24">
        <f t="shared" si="4"/>
        <v>0</v>
      </c>
      <c r="H91" s="26">
        <f t="shared" si="5"/>
        <v>0</v>
      </c>
      <c r="I91" s="24">
        <f t="shared" si="6"/>
        <v>0</v>
      </c>
      <c r="J91" s="24">
        <f t="shared" si="7"/>
        <v>0</v>
      </c>
      <c r="K91" s="24"/>
      <c r="L91" s="24">
        <f t="shared" si="8"/>
        <v>465.7452211</v>
      </c>
      <c r="M91" s="14">
        <f t="shared" si="9"/>
        <v>466.0396869</v>
      </c>
      <c r="N91" s="27">
        <f t="shared" si="10"/>
        <v>-0.2944657743</v>
      </c>
      <c r="O91" s="24"/>
      <c r="P91" s="28">
        <f t="shared" si="14"/>
        <v>-181.8226342</v>
      </c>
      <c r="Q91" s="27">
        <f t="shared" si="15"/>
        <v>433.4117663</v>
      </c>
      <c r="R91" s="26"/>
      <c r="S91" s="14">
        <f t="shared" si="13"/>
        <v>-0.2704067811</v>
      </c>
    </row>
    <row r="92">
      <c r="A92" s="11">
        <v>80.0</v>
      </c>
      <c r="B92" s="11">
        <v>1.41974347826087E9</v>
      </c>
      <c r="C92" s="2">
        <v>-102.1348267</v>
      </c>
      <c r="D92" s="24">
        <f t="shared" si="1"/>
        <v>-656521.7391</v>
      </c>
      <c r="E92" s="25">
        <f t="shared" si="2"/>
        <v>137.7444198</v>
      </c>
      <c r="F92" s="24">
        <f t="shared" si="3"/>
        <v>0.0002098093812</v>
      </c>
      <c r="G92" s="24">
        <f t="shared" si="4"/>
        <v>0</v>
      </c>
      <c r="H92" s="26">
        <f t="shared" si="5"/>
        <v>0</v>
      </c>
      <c r="I92" s="24">
        <f t="shared" si="6"/>
        <v>0</v>
      </c>
      <c r="J92" s="24">
        <f t="shared" si="7"/>
        <v>0</v>
      </c>
      <c r="K92" s="24"/>
      <c r="L92" s="24">
        <f t="shared" si="8"/>
        <v>465.1826382</v>
      </c>
      <c r="M92" s="14">
        <f t="shared" si="9"/>
        <v>465.9916922</v>
      </c>
      <c r="N92" s="27">
        <f t="shared" si="10"/>
        <v>-0.8090540104</v>
      </c>
      <c r="O92" s="24"/>
      <c r="P92" s="28">
        <f t="shared" si="14"/>
        <v>-182.7409303</v>
      </c>
      <c r="Q92" s="27">
        <f t="shared" si="15"/>
        <v>429.6071467</v>
      </c>
      <c r="R92" s="26"/>
      <c r="S92" s="14">
        <f t="shared" si="13"/>
        <v>-0.742951169</v>
      </c>
    </row>
    <row r="93">
      <c r="A93" s="11">
        <v>81.0</v>
      </c>
      <c r="B93" s="11">
        <v>1.41974782608695E9</v>
      </c>
      <c r="C93" s="2">
        <v>-102.1181946</v>
      </c>
      <c r="D93" s="24">
        <f t="shared" si="1"/>
        <v>-652173.913</v>
      </c>
      <c r="E93" s="25">
        <f t="shared" si="2"/>
        <v>136.8261237</v>
      </c>
      <c r="F93" s="24">
        <f t="shared" si="3"/>
        <v>0.0002098000563</v>
      </c>
      <c r="G93" s="24">
        <f t="shared" si="4"/>
        <v>0</v>
      </c>
      <c r="H93" s="26">
        <f t="shared" si="5"/>
        <v>0</v>
      </c>
      <c r="I93" s="24">
        <f t="shared" si="6"/>
        <v>0</v>
      </c>
      <c r="J93" s="24">
        <f t="shared" si="7"/>
        <v>0</v>
      </c>
      <c r="K93" s="24"/>
      <c r="L93" s="24">
        <f t="shared" si="8"/>
        <v>466.9675557</v>
      </c>
      <c r="M93" s="14">
        <f t="shared" si="9"/>
        <v>465.9431013</v>
      </c>
      <c r="N93" s="27">
        <f t="shared" si="10"/>
        <v>1.024454412</v>
      </c>
      <c r="O93" s="24"/>
      <c r="P93" s="28">
        <f t="shared" si="14"/>
        <v>-183.6592264</v>
      </c>
      <c r="Q93" s="27">
        <f t="shared" si="15"/>
        <v>428.8711845</v>
      </c>
      <c r="R93" s="26"/>
      <c r="S93" s="14">
        <f t="shared" si="13"/>
        <v>0.9407525248</v>
      </c>
    </row>
    <row r="94">
      <c r="A94" s="11">
        <v>82.0</v>
      </c>
      <c r="B94" s="11">
        <v>1.41975217391304E9</v>
      </c>
      <c r="C94" s="2">
        <v>-102.120491</v>
      </c>
      <c r="D94" s="24">
        <f t="shared" si="1"/>
        <v>-647826.087</v>
      </c>
      <c r="E94" s="25">
        <f t="shared" si="2"/>
        <v>135.9078276</v>
      </c>
      <c r="F94" s="24">
        <f t="shared" si="3"/>
        <v>0.0002097906063</v>
      </c>
      <c r="G94" s="24">
        <f t="shared" si="4"/>
        <v>0</v>
      </c>
      <c r="H94" s="26">
        <f t="shared" si="5"/>
        <v>0</v>
      </c>
      <c r="I94" s="24">
        <f t="shared" si="6"/>
        <v>0</v>
      </c>
      <c r="J94" s="24">
        <f t="shared" si="7"/>
        <v>0</v>
      </c>
      <c r="K94" s="24"/>
      <c r="L94" s="24">
        <f t="shared" si="8"/>
        <v>466.7207046</v>
      </c>
      <c r="M94" s="14">
        <f t="shared" si="9"/>
        <v>465.8939167</v>
      </c>
      <c r="N94" s="27">
        <f t="shared" si="10"/>
        <v>0.8267878824</v>
      </c>
      <c r="O94" s="24"/>
      <c r="P94" s="28">
        <f t="shared" si="14"/>
        <v>-184.5775226</v>
      </c>
      <c r="Q94" s="27">
        <f t="shared" si="15"/>
        <v>430.9102328</v>
      </c>
      <c r="R94" s="26"/>
      <c r="S94" s="14">
        <f t="shared" si="13"/>
        <v>0.7592361133</v>
      </c>
    </row>
    <row r="95">
      <c r="A95" s="11">
        <v>83.0</v>
      </c>
      <c r="B95" s="11">
        <v>1.41975652173913E9</v>
      </c>
      <c r="C95" s="2">
        <v>-102.0959167</v>
      </c>
      <c r="D95" s="24">
        <f t="shared" si="1"/>
        <v>-643478.2609</v>
      </c>
      <c r="E95" s="25">
        <f t="shared" si="2"/>
        <v>134.9895314</v>
      </c>
      <c r="F95" s="24">
        <f t="shared" si="3"/>
        <v>0.0002097810286</v>
      </c>
      <c r="G95" s="24">
        <f t="shared" si="4"/>
        <v>0</v>
      </c>
      <c r="H95" s="26">
        <f t="shared" si="5"/>
        <v>0</v>
      </c>
      <c r="I95" s="24">
        <f t="shared" si="6"/>
        <v>0</v>
      </c>
      <c r="J95" s="24">
        <f t="shared" si="7"/>
        <v>0</v>
      </c>
      <c r="K95" s="24"/>
      <c r="L95" s="24">
        <f t="shared" si="8"/>
        <v>469.3691023</v>
      </c>
      <c r="M95" s="14">
        <f t="shared" si="9"/>
        <v>465.844141</v>
      </c>
      <c r="N95" s="27">
        <f t="shared" si="10"/>
        <v>3.524961244</v>
      </c>
      <c r="O95" s="24"/>
      <c r="P95" s="28">
        <f t="shared" si="14"/>
        <v>-185.4958187</v>
      </c>
      <c r="Q95" s="27">
        <f t="shared" si="15"/>
        <v>432.0107934</v>
      </c>
      <c r="R95" s="26"/>
      <c r="S95" s="14">
        <f t="shared" si="13"/>
        <v>3.236958278</v>
      </c>
    </row>
    <row r="96">
      <c r="A96" s="11">
        <v>84.0</v>
      </c>
      <c r="B96" s="11">
        <v>1.41976086956521E9</v>
      </c>
      <c r="C96" s="2">
        <v>-102.1793594</v>
      </c>
      <c r="D96" s="24">
        <f t="shared" si="1"/>
        <v>-639130.4348</v>
      </c>
      <c r="E96" s="25">
        <f t="shared" si="2"/>
        <v>134.0712353</v>
      </c>
      <c r="F96" s="24">
        <f t="shared" si="3"/>
        <v>0.0002097713205</v>
      </c>
      <c r="G96" s="24">
        <f t="shared" si="4"/>
        <v>0</v>
      </c>
      <c r="H96" s="26">
        <f t="shared" si="5"/>
        <v>0</v>
      </c>
      <c r="I96" s="24">
        <f t="shared" si="6"/>
        <v>0</v>
      </c>
      <c r="J96" s="24">
        <f t="shared" si="7"/>
        <v>0</v>
      </c>
      <c r="K96" s="24"/>
      <c r="L96" s="24">
        <f t="shared" si="8"/>
        <v>460.4370125</v>
      </c>
      <c r="M96" s="14">
        <f t="shared" si="9"/>
        <v>465.793777</v>
      </c>
      <c r="N96" s="27">
        <f t="shared" si="10"/>
        <v>-5.356764488</v>
      </c>
      <c r="O96" s="24"/>
      <c r="P96" s="28">
        <f t="shared" si="14"/>
        <v>-186.4141148</v>
      </c>
      <c r="Q96" s="27">
        <f t="shared" si="15"/>
        <v>435.2681879</v>
      </c>
      <c r="R96" s="26"/>
      <c r="S96" s="14">
        <f t="shared" si="13"/>
        <v>-4.919096113</v>
      </c>
    </row>
    <row r="97">
      <c r="A97" s="11">
        <v>85.0</v>
      </c>
      <c r="B97" s="11">
        <v>1.4197652173913E9</v>
      </c>
      <c r="C97" s="2">
        <v>-102.1709518</v>
      </c>
      <c r="D97" s="24">
        <f t="shared" si="1"/>
        <v>-634782.6087</v>
      </c>
      <c r="E97" s="25">
        <f t="shared" si="2"/>
        <v>133.1529392</v>
      </c>
      <c r="F97" s="24">
        <f t="shared" si="3"/>
        <v>0.0002097614795</v>
      </c>
      <c r="G97" s="24">
        <f t="shared" si="4"/>
        <v>0</v>
      </c>
      <c r="H97" s="26">
        <f t="shared" si="5"/>
        <v>0</v>
      </c>
      <c r="I97" s="24">
        <f t="shared" si="6"/>
        <v>0</v>
      </c>
      <c r="J97" s="24">
        <f t="shared" si="7"/>
        <v>0</v>
      </c>
      <c r="K97" s="24"/>
      <c r="L97" s="24">
        <f t="shared" si="8"/>
        <v>461.3292458</v>
      </c>
      <c r="M97" s="14">
        <f t="shared" si="9"/>
        <v>465.7428272</v>
      </c>
      <c r="N97" s="27">
        <f t="shared" si="10"/>
        <v>-4.413581409</v>
      </c>
      <c r="O97" s="24"/>
      <c r="P97" s="28">
        <f t="shared" si="14"/>
        <v>-187.332411</v>
      </c>
      <c r="Q97" s="27">
        <f t="shared" si="15"/>
        <v>431.2767711</v>
      </c>
      <c r="R97" s="26"/>
      <c r="S97" s="14">
        <f t="shared" si="13"/>
        <v>-4.05297473</v>
      </c>
    </row>
    <row r="98">
      <c r="A98" s="11">
        <v>86.0</v>
      </c>
      <c r="B98" s="11">
        <v>1.41976956521739E9</v>
      </c>
      <c r="C98" s="2">
        <v>-102.1407089</v>
      </c>
      <c r="D98" s="24">
        <f t="shared" si="1"/>
        <v>-630434.7826</v>
      </c>
      <c r="E98" s="25">
        <f t="shared" si="2"/>
        <v>132.234643</v>
      </c>
      <c r="F98" s="24">
        <f t="shared" si="3"/>
        <v>0.0002097515027</v>
      </c>
      <c r="G98" s="24">
        <f t="shared" si="4"/>
        <v>0</v>
      </c>
      <c r="H98" s="26">
        <f t="shared" si="5"/>
        <v>0</v>
      </c>
      <c r="I98" s="24">
        <f t="shared" si="6"/>
        <v>0</v>
      </c>
      <c r="J98" s="24">
        <f t="shared" si="7"/>
        <v>0</v>
      </c>
      <c r="K98" s="24"/>
      <c r="L98" s="24">
        <f t="shared" si="8"/>
        <v>464.5530089</v>
      </c>
      <c r="M98" s="14">
        <f t="shared" si="9"/>
        <v>465.6912942</v>
      </c>
      <c r="N98" s="27">
        <f t="shared" si="10"/>
        <v>-1.138285241</v>
      </c>
      <c r="O98" s="24"/>
      <c r="P98" s="28">
        <f t="shared" si="14"/>
        <v>-188.2507071</v>
      </c>
      <c r="Q98" s="27">
        <f t="shared" si="15"/>
        <v>431.8491682</v>
      </c>
      <c r="R98" s="26"/>
      <c r="S98" s="14">
        <f t="shared" si="13"/>
        <v>-1.045282935</v>
      </c>
    </row>
    <row r="99">
      <c r="A99" s="11">
        <v>87.0</v>
      </c>
      <c r="B99" s="11">
        <v>1.41977391304347E9</v>
      </c>
      <c r="C99" s="2">
        <v>-102.1222153</v>
      </c>
      <c r="D99" s="24">
        <f t="shared" si="1"/>
        <v>-626086.9565</v>
      </c>
      <c r="E99" s="25">
        <f t="shared" si="2"/>
        <v>131.3163469</v>
      </c>
      <c r="F99" s="24">
        <f t="shared" si="3"/>
        <v>0.0002097413874</v>
      </c>
      <c r="G99" s="24">
        <f t="shared" si="4"/>
        <v>0</v>
      </c>
      <c r="H99" s="26">
        <f t="shared" si="5"/>
        <v>0</v>
      </c>
      <c r="I99" s="24">
        <f t="shared" si="6"/>
        <v>0</v>
      </c>
      <c r="J99" s="24">
        <f t="shared" si="7"/>
        <v>0</v>
      </c>
      <c r="K99" s="24"/>
      <c r="L99" s="24">
        <f t="shared" si="8"/>
        <v>466.535437</v>
      </c>
      <c r="M99" s="14">
        <f t="shared" si="9"/>
        <v>465.6391807</v>
      </c>
      <c r="N99" s="27">
        <f t="shared" si="10"/>
        <v>0.8962563134</v>
      </c>
      <c r="O99" s="24"/>
      <c r="P99" s="28">
        <f t="shared" si="14"/>
        <v>-189.1690032</v>
      </c>
      <c r="Q99" s="27">
        <f t="shared" si="15"/>
        <v>430.1591917</v>
      </c>
      <c r="R99" s="26"/>
      <c r="S99" s="14">
        <f t="shared" si="13"/>
        <v>0.8230287066</v>
      </c>
    </row>
    <row r="100">
      <c r="A100" s="11">
        <v>88.0</v>
      </c>
      <c r="B100" s="11">
        <v>1.41977826086956E9</v>
      </c>
      <c r="C100" s="2">
        <v>-102.0996704</v>
      </c>
      <c r="D100" s="24">
        <f t="shared" si="1"/>
        <v>-621739.1304</v>
      </c>
      <c r="E100" s="25">
        <f t="shared" si="2"/>
        <v>130.3980508</v>
      </c>
      <c r="F100" s="24">
        <f t="shared" si="3"/>
        <v>0.0002097311306</v>
      </c>
      <c r="G100" s="24">
        <f t="shared" si="4"/>
        <v>0</v>
      </c>
      <c r="H100" s="26">
        <f t="shared" si="5"/>
        <v>0</v>
      </c>
      <c r="I100" s="24">
        <f t="shared" si="6"/>
        <v>0</v>
      </c>
      <c r="J100" s="24">
        <f t="shared" si="7"/>
        <v>0</v>
      </c>
      <c r="K100" s="24"/>
      <c r="L100" s="24">
        <f t="shared" si="8"/>
        <v>468.9635918</v>
      </c>
      <c r="M100" s="14">
        <f t="shared" si="9"/>
        <v>465.5864893</v>
      </c>
      <c r="N100" s="27">
        <f t="shared" si="10"/>
        <v>3.377102525</v>
      </c>
      <c r="O100" s="24"/>
      <c r="P100" s="28">
        <f t="shared" si="14"/>
        <v>-190.0872994</v>
      </c>
      <c r="Q100" s="27">
        <f t="shared" si="15"/>
        <v>430.1486135</v>
      </c>
      <c r="R100" s="26"/>
      <c r="S100" s="14">
        <f t="shared" si="13"/>
        <v>3.101180181</v>
      </c>
    </row>
    <row r="101">
      <c r="A101" s="11">
        <v>89.0</v>
      </c>
      <c r="B101" s="11">
        <v>1.41978260869565E9</v>
      </c>
      <c r="C101" s="2">
        <v>-102.1011505</v>
      </c>
      <c r="D101" s="24">
        <f t="shared" si="1"/>
        <v>-617391.3043</v>
      </c>
      <c r="E101" s="25">
        <f t="shared" si="2"/>
        <v>129.4797546</v>
      </c>
      <c r="F101" s="24">
        <f t="shared" si="3"/>
        <v>0.0002097207293</v>
      </c>
      <c r="G101" s="24">
        <f t="shared" si="4"/>
        <v>0</v>
      </c>
      <c r="H101" s="26">
        <f t="shared" si="5"/>
        <v>0</v>
      </c>
      <c r="I101" s="24">
        <f t="shared" si="6"/>
        <v>0</v>
      </c>
      <c r="J101" s="24">
        <f t="shared" si="7"/>
        <v>0</v>
      </c>
      <c r="K101" s="24"/>
      <c r="L101" s="24">
        <f t="shared" si="8"/>
        <v>468.8037936</v>
      </c>
      <c r="M101" s="14">
        <f t="shared" si="9"/>
        <v>465.5332226</v>
      </c>
      <c r="N101" s="27">
        <f t="shared" si="10"/>
        <v>3.270571002</v>
      </c>
      <c r="O101" s="24"/>
      <c r="P101" s="28">
        <f t="shared" si="14"/>
        <v>-191.0055955</v>
      </c>
      <c r="Q101" s="27">
        <f t="shared" si="15"/>
        <v>430.1289633</v>
      </c>
      <c r="R101" s="26"/>
      <c r="S101" s="14">
        <f t="shared" si="13"/>
        <v>3.003352703</v>
      </c>
    </row>
    <row r="102">
      <c r="A102" s="11">
        <v>90.0</v>
      </c>
      <c r="B102" s="11">
        <v>1.41978695652173E9</v>
      </c>
      <c r="C102" s="2">
        <v>-102.1395645</v>
      </c>
      <c r="D102" s="24">
        <f t="shared" si="1"/>
        <v>-613043.4783</v>
      </c>
      <c r="E102" s="25">
        <f t="shared" si="2"/>
        <v>128.5614585</v>
      </c>
      <c r="F102" s="24">
        <f t="shared" si="3"/>
        <v>0.0002097101805</v>
      </c>
      <c r="G102" s="24">
        <f t="shared" si="4"/>
        <v>0</v>
      </c>
      <c r="H102" s="26">
        <f t="shared" si="5"/>
        <v>0</v>
      </c>
      <c r="I102" s="24">
        <f t="shared" si="6"/>
        <v>0</v>
      </c>
      <c r="J102" s="24">
        <f t="shared" si="7"/>
        <v>0</v>
      </c>
      <c r="K102" s="24"/>
      <c r="L102" s="24">
        <f t="shared" si="8"/>
        <v>464.6754384</v>
      </c>
      <c r="M102" s="14">
        <f t="shared" si="9"/>
        <v>465.4793833</v>
      </c>
      <c r="N102" s="27">
        <f t="shared" si="10"/>
        <v>-0.8039448552</v>
      </c>
      <c r="O102" s="24"/>
      <c r="P102" s="28">
        <f t="shared" si="14"/>
        <v>-191.9238916</v>
      </c>
      <c r="Q102" s="27">
        <f t="shared" si="15"/>
        <v>429.1002893</v>
      </c>
      <c r="R102" s="26"/>
      <c r="S102" s="14">
        <f t="shared" si="13"/>
        <v>-0.7382594515</v>
      </c>
    </row>
    <row r="103">
      <c r="A103" s="11">
        <v>91.0</v>
      </c>
      <c r="B103" s="11">
        <v>1.41979130434782E9</v>
      </c>
      <c r="C103" s="2">
        <v>-102.1067429</v>
      </c>
      <c r="D103" s="24">
        <f t="shared" si="1"/>
        <v>-608695.6522</v>
      </c>
      <c r="E103" s="25">
        <f t="shared" si="2"/>
        <v>127.6431624</v>
      </c>
      <c r="F103" s="24">
        <f t="shared" si="3"/>
        <v>0.000209699481</v>
      </c>
      <c r="G103" s="24">
        <f t="shared" si="4"/>
        <v>0</v>
      </c>
      <c r="H103" s="26">
        <f t="shared" si="5"/>
        <v>0</v>
      </c>
      <c r="I103" s="24">
        <f t="shared" si="6"/>
        <v>0</v>
      </c>
      <c r="J103" s="24">
        <f t="shared" si="7"/>
        <v>0</v>
      </c>
      <c r="K103" s="24"/>
      <c r="L103" s="24">
        <f t="shared" si="8"/>
        <v>468.2005046</v>
      </c>
      <c r="M103" s="14">
        <f t="shared" si="9"/>
        <v>465.424974</v>
      </c>
      <c r="N103" s="27">
        <f t="shared" si="10"/>
        <v>2.775530602</v>
      </c>
      <c r="O103" s="24"/>
      <c r="P103" s="28">
        <f t="shared" si="14"/>
        <v>-192.8421877</v>
      </c>
      <c r="Q103" s="27">
        <f t="shared" si="15"/>
        <v>425.9533982</v>
      </c>
      <c r="R103" s="26"/>
      <c r="S103" s="14">
        <f t="shared" si="13"/>
        <v>2.548759018</v>
      </c>
    </row>
    <row r="104">
      <c r="A104" s="11">
        <v>92.0</v>
      </c>
      <c r="B104" s="11">
        <v>1.41979565217391E9</v>
      </c>
      <c r="C104" s="2">
        <v>-102.1960449</v>
      </c>
      <c r="D104" s="24">
        <f t="shared" si="1"/>
        <v>-604347.8261</v>
      </c>
      <c r="E104" s="25">
        <f t="shared" si="2"/>
        <v>126.7248662</v>
      </c>
      <c r="F104" s="24">
        <f t="shared" si="3"/>
        <v>0.0002096886276</v>
      </c>
      <c r="G104" s="24">
        <f t="shared" si="4"/>
        <v>0</v>
      </c>
      <c r="H104" s="26">
        <f t="shared" si="5"/>
        <v>0</v>
      </c>
      <c r="I104" s="24">
        <f t="shared" si="6"/>
        <v>0</v>
      </c>
      <c r="J104" s="24">
        <f t="shared" si="7"/>
        <v>0</v>
      </c>
      <c r="K104" s="24"/>
      <c r="L104" s="24">
        <f t="shared" si="8"/>
        <v>458.6714173</v>
      </c>
      <c r="M104" s="14">
        <f t="shared" si="9"/>
        <v>465.3699972</v>
      </c>
      <c r="N104" s="27">
        <f t="shared" si="10"/>
        <v>-6.698579908</v>
      </c>
      <c r="O104" s="24"/>
      <c r="P104" s="28">
        <f t="shared" si="14"/>
        <v>-193.7604839</v>
      </c>
      <c r="Q104" s="27">
        <f t="shared" si="15"/>
        <v>433.2039495</v>
      </c>
      <c r="R104" s="26"/>
      <c r="S104" s="14">
        <f t="shared" si="13"/>
        <v>-6.15128001</v>
      </c>
    </row>
    <row r="105">
      <c r="A105" s="11">
        <v>93.0</v>
      </c>
      <c r="B105" s="11">
        <v>1.4198E9</v>
      </c>
      <c r="C105" s="2">
        <v>-102.1813812</v>
      </c>
      <c r="D105" s="24">
        <f t="shared" si="1"/>
        <v>-600000</v>
      </c>
      <c r="E105" s="25">
        <f t="shared" si="2"/>
        <v>125.8065701</v>
      </c>
      <c r="F105" s="24">
        <f t="shared" si="3"/>
        <v>0.0002096776168</v>
      </c>
      <c r="G105" s="24">
        <f t="shared" si="4"/>
        <v>0</v>
      </c>
      <c r="H105" s="26">
        <f t="shared" si="5"/>
        <v>0</v>
      </c>
      <c r="I105" s="24">
        <f t="shared" si="6"/>
        <v>0</v>
      </c>
      <c r="J105" s="24">
        <f t="shared" si="7"/>
        <v>0</v>
      </c>
      <c r="K105" s="24"/>
      <c r="L105" s="24">
        <f t="shared" si="8"/>
        <v>460.2227121</v>
      </c>
      <c r="M105" s="14">
        <f t="shared" si="9"/>
        <v>465.3144558</v>
      </c>
      <c r="N105" s="27">
        <f t="shared" si="10"/>
        <v>-5.091743669</v>
      </c>
      <c r="O105" s="24"/>
      <c r="P105" s="28">
        <f t="shared" si="14"/>
        <v>-194.67878</v>
      </c>
      <c r="Q105" s="27">
        <f t="shared" si="15"/>
        <v>428.7250477</v>
      </c>
      <c r="R105" s="26"/>
      <c r="S105" s="14">
        <f t="shared" si="13"/>
        <v>-4.67572852</v>
      </c>
    </row>
    <row r="106">
      <c r="A106" s="11">
        <v>94.0</v>
      </c>
      <c r="B106" s="11">
        <v>1.41980434782608E9</v>
      </c>
      <c r="C106" s="2">
        <v>-102.1179962</v>
      </c>
      <c r="D106" s="24">
        <f t="shared" si="1"/>
        <v>-595652.1739</v>
      </c>
      <c r="E106" s="25">
        <f t="shared" si="2"/>
        <v>124.888274</v>
      </c>
      <c r="F106" s="24">
        <f t="shared" si="3"/>
        <v>0.0002096664454</v>
      </c>
      <c r="G106" s="24">
        <f t="shared" si="4"/>
        <v>0</v>
      </c>
      <c r="H106" s="26">
        <f t="shared" si="5"/>
        <v>0</v>
      </c>
      <c r="I106" s="24">
        <f t="shared" si="6"/>
        <v>0</v>
      </c>
      <c r="J106" s="24">
        <f t="shared" si="7"/>
        <v>0</v>
      </c>
      <c r="K106" s="24"/>
      <c r="L106" s="24">
        <f t="shared" si="8"/>
        <v>466.9888888</v>
      </c>
      <c r="M106" s="14">
        <f t="shared" si="9"/>
        <v>465.2583521</v>
      </c>
      <c r="N106" s="27">
        <f t="shared" si="10"/>
        <v>1.730536649</v>
      </c>
      <c r="O106" s="24"/>
      <c r="P106" s="28">
        <f t="shared" si="14"/>
        <v>-195.5970761</v>
      </c>
      <c r="Q106" s="27">
        <f t="shared" si="15"/>
        <v>430.1879066</v>
      </c>
      <c r="R106" s="26"/>
      <c r="S106" s="14">
        <f t="shared" si="13"/>
        <v>1.589145112</v>
      </c>
    </row>
    <row r="107">
      <c r="A107" s="11">
        <v>95.0</v>
      </c>
      <c r="B107" s="11">
        <v>1.41980869565217E9</v>
      </c>
      <c r="C107" s="2">
        <v>-102.1587219</v>
      </c>
      <c r="D107" s="24">
        <f t="shared" si="1"/>
        <v>-591304.3478</v>
      </c>
      <c r="E107" s="25">
        <f t="shared" si="2"/>
        <v>123.9699778</v>
      </c>
      <c r="F107" s="24">
        <f t="shared" si="3"/>
        <v>0.0002096551096</v>
      </c>
      <c r="G107" s="24">
        <f t="shared" si="4"/>
        <v>0</v>
      </c>
      <c r="H107" s="26">
        <f t="shared" si="5"/>
        <v>0</v>
      </c>
      <c r="I107" s="24">
        <f t="shared" si="6"/>
        <v>0</v>
      </c>
      <c r="J107" s="24">
        <f t="shared" si="7"/>
        <v>0</v>
      </c>
      <c r="K107" s="24"/>
      <c r="L107" s="24">
        <f t="shared" si="8"/>
        <v>462.6301976</v>
      </c>
      <c r="M107" s="14">
        <f t="shared" si="9"/>
        <v>465.201689</v>
      </c>
      <c r="N107" s="27">
        <f t="shared" si="10"/>
        <v>-2.571491412</v>
      </c>
      <c r="O107" s="24"/>
      <c r="P107" s="28">
        <f t="shared" si="14"/>
        <v>-196.5153723</v>
      </c>
      <c r="Q107" s="27">
        <f t="shared" si="15"/>
        <v>427.9094104</v>
      </c>
      <c r="R107" s="26"/>
      <c r="S107" s="14">
        <f t="shared" si="13"/>
        <v>-2.361390613</v>
      </c>
    </row>
    <row r="108">
      <c r="A108" s="11">
        <v>96.0</v>
      </c>
      <c r="B108" s="11">
        <v>1.41981304347826E9</v>
      </c>
      <c r="C108" s="2">
        <v>-102.1334152</v>
      </c>
      <c r="D108" s="24">
        <f t="shared" si="1"/>
        <v>-586956.5217</v>
      </c>
      <c r="E108" s="25">
        <f t="shared" si="2"/>
        <v>123.0516817</v>
      </c>
      <c r="F108" s="24">
        <f t="shared" si="3"/>
        <v>0.0002096436059</v>
      </c>
      <c r="G108" s="24">
        <f t="shared" si="4"/>
        <v>0</v>
      </c>
      <c r="H108" s="26">
        <f t="shared" si="5"/>
        <v>0</v>
      </c>
      <c r="I108" s="24">
        <f t="shared" si="6"/>
        <v>0</v>
      </c>
      <c r="J108" s="24">
        <f t="shared" si="7"/>
        <v>0</v>
      </c>
      <c r="K108" s="24"/>
      <c r="L108" s="24">
        <f t="shared" si="8"/>
        <v>465.3338517</v>
      </c>
      <c r="M108" s="14">
        <f t="shared" si="9"/>
        <v>465.144469</v>
      </c>
      <c r="N108" s="27">
        <f t="shared" si="10"/>
        <v>0.1893827167</v>
      </c>
      <c r="O108" s="24"/>
      <c r="P108" s="28">
        <f t="shared" si="14"/>
        <v>-197.4336684</v>
      </c>
      <c r="Q108" s="27">
        <f t="shared" si="15"/>
        <v>427.7996721</v>
      </c>
      <c r="R108" s="26"/>
      <c r="S108" s="14">
        <f t="shared" si="13"/>
        <v>0.1739094164</v>
      </c>
    </row>
    <row r="109">
      <c r="A109" s="11">
        <v>97.0</v>
      </c>
      <c r="B109" s="11">
        <v>1.41981739130434E9</v>
      </c>
      <c r="C109" s="2">
        <v>-102.1898041</v>
      </c>
      <c r="D109" s="24">
        <f t="shared" si="1"/>
        <v>-582608.6957</v>
      </c>
      <c r="E109" s="25">
        <f t="shared" si="2"/>
        <v>122.1333856</v>
      </c>
      <c r="F109" s="24">
        <f t="shared" si="3"/>
        <v>0.0002096319305</v>
      </c>
      <c r="G109" s="24">
        <f t="shared" si="4"/>
        <v>0</v>
      </c>
      <c r="H109" s="26">
        <f t="shared" si="5"/>
        <v>0</v>
      </c>
      <c r="I109" s="24">
        <f t="shared" si="6"/>
        <v>0</v>
      </c>
      <c r="J109" s="24">
        <f t="shared" si="7"/>
        <v>0</v>
      </c>
      <c r="K109" s="24"/>
      <c r="L109" s="24">
        <f t="shared" si="8"/>
        <v>459.3310007</v>
      </c>
      <c r="M109" s="14">
        <f t="shared" si="9"/>
        <v>465.0866948</v>
      </c>
      <c r="N109" s="27">
        <f t="shared" si="10"/>
        <v>-5.75569404</v>
      </c>
      <c r="O109" s="24"/>
      <c r="P109" s="28">
        <f t="shared" si="14"/>
        <v>-198.3519645</v>
      </c>
      <c r="Q109" s="27">
        <f t="shared" si="15"/>
        <v>427.6028168</v>
      </c>
      <c r="R109" s="26"/>
      <c r="S109" s="14">
        <f t="shared" si="13"/>
        <v>-5.285431579</v>
      </c>
    </row>
    <row r="110">
      <c r="A110" s="11">
        <v>98.0</v>
      </c>
      <c r="B110" s="11">
        <v>1.41982173913043E9</v>
      </c>
      <c r="C110" s="2">
        <v>-102.1254578</v>
      </c>
      <c r="D110" s="24">
        <f t="shared" si="1"/>
        <v>-578260.8696</v>
      </c>
      <c r="E110" s="25">
        <f t="shared" si="2"/>
        <v>121.2150894</v>
      </c>
      <c r="F110" s="24">
        <f t="shared" si="3"/>
        <v>0.0002096200795</v>
      </c>
      <c r="G110" s="24">
        <f t="shared" si="4"/>
        <v>0</v>
      </c>
      <c r="H110" s="26">
        <f t="shared" si="5"/>
        <v>0</v>
      </c>
      <c r="I110" s="24">
        <f t="shared" si="6"/>
        <v>0</v>
      </c>
      <c r="J110" s="24">
        <f t="shared" si="7"/>
        <v>0</v>
      </c>
      <c r="K110" s="24"/>
      <c r="L110" s="24">
        <f t="shared" si="8"/>
        <v>466.1872455</v>
      </c>
      <c r="M110" s="14">
        <f t="shared" si="9"/>
        <v>465.0283689</v>
      </c>
      <c r="N110" s="27">
        <f t="shared" si="10"/>
        <v>1.158876596</v>
      </c>
      <c r="O110" s="24"/>
      <c r="P110" s="28">
        <f t="shared" si="14"/>
        <v>-199.2702607</v>
      </c>
      <c r="Q110" s="27">
        <f t="shared" si="15"/>
        <v>427.1493378</v>
      </c>
      <c r="R110" s="26"/>
      <c r="S110" s="14">
        <f t="shared" si="13"/>
        <v>1.064191894</v>
      </c>
    </row>
    <row r="111">
      <c r="A111" s="11">
        <v>99.0</v>
      </c>
      <c r="B111" s="11">
        <v>1.41982608695652E9</v>
      </c>
      <c r="C111" s="2">
        <v>-102.1629333</v>
      </c>
      <c r="D111" s="24">
        <f t="shared" si="1"/>
        <v>-573913.0435</v>
      </c>
      <c r="E111" s="25">
        <f t="shared" si="2"/>
        <v>120.2967933</v>
      </c>
      <c r="F111" s="24">
        <f t="shared" si="3"/>
        <v>0.000209608049</v>
      </c>
      <c r="G111" s="24">
        <f t="shared" si="4"/>
        <v>0</v>
      </c>
      <c r="H111" s="26">
        <f t="shared" si="5"/>
        <v>0</v>
      </c>
      <c r="I111" s="24">
        <f t="shared" si="6"/>
        <v>0</v>
      </c>
      <c r="J111" s="24">
        <f t="shared" si="7"/>
        <v>0</v>
      </c>
      <c r="K111" s="24"/>
      <c r="L111" s="24">
        <f t="shared" si="8"/>
        <v>462.1817976</v>
      </c>
      <c r="M111" s="14">
        <f t="shared" si="9"/>
        <v>464.969494</v>
      </c>
      <c r="N111" s="27">
        <f t="shared" si="10"/>
        <v>-2.787696404</v>
      </c>
      <c r="O111" s="24"/>
      <c r="P111" s="28">
        <f t="shared" si="14"/>
        <v>-200.1885568</v>
      </c>
      <c r="Q111" s="27">
        <f t="shared" si="15"/>
        <v>431.0025974</v>
      </c>
      <c r="R111" s="26"/>
      <c r="S111" s="14">
        <f t="shared" si="13"/>
        <v>-2.559930827</v>
      </c>
    </row>
    <row r="112">
      <c r="A112" s="11">
        <v>100.0</v>
      </c>
      <c r="B112" s="11">
        <v>1.4198304347826E9</v>
      </c>
      <c r="C112" s="2">
        <v>-102.0967255</v>
      </c>
      <c r="D112" s="24">
        <f t="shared" si="1"/>
        <v>-569565.2174</v>
      </c>
      <c r="E112" s="25">
        <f t="shared" si="2"/>
        <v>119.3784972</v>
      </c>
      <c r="F112" s="24">
        <f t="shared" si="3"/>
        <v>0.0002095958347</v>
      </c>
      <c r="G112" s="24">
        <f t="shared" si="4"/>
        <v>0</v>
      </c>
      <c r="H112" s="26">
        <f t="shared" si="5"/>
        <v>0</v>
      </c>
      <c r="I112" s="24">
        <f t="shared" si="6"/>
        <v>0</v>
      </c>
      <c r="J112" s="24">
        <f t="shared" si="7"/>
        <v>0</v>
      </c>
      <c r="K112" s="24"/>
      <c r="L112" s="24">
        <f t="shared" si="8"/>
        <v>469.2816984</v>
      </c>
      <c r="M112" s="14">
        <f t="shared" si="9"/>
        <v>464.9100728</v>
      </c>
      <c r="N112" s="27">
        <f t="shared" si="10"/>
        <v>4.371625606</v>
      </c>
      <c r="O112" s="24"/>
      <c r="P112" s="28">
        <f t="shared" si="14"/>
        <v>-201.1068529</v>
      </c>
      <c r="Q112" s="27">
        <f t="shared" si="15"/>
        <v>434.5637514</v>
      </c>
      <c r="R112" s="26"/>
      <c r="S112" s="14">
        <f t="shared" si="13"/>
        <v>4.014446888</v>
      </c>
      <c r="U112" s="21"/>
      <c r="V112" s="21"/>
    </row>
    <row r="113">
      <c r="A113" s="11">
        <v>101.0</v>
      </c>
      <c r="B113" s="11">
        <v>1.41983478260869E9</v>
      </c>
      <c r="C113" s="2">
        <v>-102.2082596</v>
      </c>
      <c r="D113" s="24">
        <f t="shared" si="1"/>
        <v>-565217.3913</v>
      </c>
      <c r="E113" s="25">
        <f t="shared" si="2"/>
        <v>118.460201</v>
      </c>
      <c r="F113" s="24">
        <f t="shared" si="3"/>
        <v>0.0002095834326</v>
      </c>
      <c r="G113" s="24">
        <f t="shared" si="4"/>
        <v>0</v>
      </c>
      <c r="H113" s="26">
        <f t="shared" si="5"/>
        <v>0</v>
      </c>
      <c r="I113" s="24">
        <f t="shared" si="6"/>
        <v>0</v>
      </c>
      <c r="J113" s="24">
        <f t="shared" si="7"/>
        <v>0</v>
      </c>
      <c r="K113" s="24"/>
      <c r="L113" s="24">
        <f t="shared" si="8"/>
        <v>457.3831987</v>
      </c>
      <c r="M113" s="14">
        <f t="shared" si="9"/>
        <v>464.8501078</v>
      </c>
      <c r="N113" s="27">
        <f t="shared" si="10"/>
        <v>-7.466909084</v>
      </c>
      <c r="O113" s="24"/>
      <c r="P113" s="28">
        <f t="shared" si="14"/>
        <v>-202.0251491</v>
      </c>
      <c r="Q113" s="27">
        <f t="shared" si="15"/>
        <v>424.8466297</v>
      </c>
      <c r="R113" s="26"/>
      <c r="S113" s="14">
        <f t="shared" si="13"/>
        <v>-6.856833736</v>
      </c>
      <c r="U113" s="21"/>
      <c r="V113" s="21"/>
    </row>
    <row r="114">
      <c r="A114" s="11">
        <v>102.0</v>
      </c>
      <c r="B114" s="11">
        <v>1.41983913043478E9</v>
      </c>
      <c r="C114" s="2">
        <v>-102.2491379</v>
      </c>
      <c r="D114" s="24">
        <f t="shared" si="1"/>
        <v>-560869.5652</v>
      </c>
      <c r="E114" s="25">
        <f t="shared" si="2"/>
        <v>117.5419049</v>
      </c>
      <c r="F114" s="24">
        <f t="shared" si="3"/>
        <v>0.0002095708382</v>
      </c>
      <c r="G114" s="24">
        <f t="shared" si="4"/>
        <v>0</v>
      </c>
      <c r="H114" s="26">
        <f t="shared" si="5"/>
        <v>0</v>
      </c>
      <c r="I114" s="24">
        <f t="shared" si="6"/>
        <v>0</v>
      </c>
      <c r="J114" s="24">
        <f t="shared" si="7"/>
        <v>0</v>
      </c>
      <c r="K114" s="24"/>
      <c r="L114" s="24">
        <f t="shared" si="8"/>
        <v>453.0982422</v>
      </c>
      <c r="M114" s="14">
        <f t="shared" si="9"/>
        <v>464.7896017</v>
      </c>
      <c r="N114" s="27">
        <f t="shared" si="10"/>
        <v>-11.69135942</v>
      </c>
      <c r="O114" s="24"/>
      <c r="P114" s="28">
        <f t="shared" si="14"/>
        <v>-202.9434452</v>
      </c>
      <c r="Q114" s="27">
        <f t="shared" si="15"/>
        <v>430.3307668</v>
      </c>
      <c r="R114" s="26"/>
      <c r="S114" s="14">
        <f t="shared" si="13"/>
        <v>-10.73613012</v>
      </c>
      <c r="U114" s="21"/>
      <c r="V114" s="21"/>
    </row>
    <row r="115">
      <c r="A115" s="11">
        <v>103.0</v>
      </c>
      <c r="B115" s="11">
        <v>1.41984347826087E9</v>
      </c>
      <c r="C115" s="2">
        <v>-102.1673889</v>
      </c>
      <c r="D115" s="24">
        <f t="shared" si="1"/>
        <v>-556521.7391</v>
      </c>
      <c r="E115" s="25">
        <f t="shared" si="2"/>
        <v>116.6236088</v>
      </c>
      <c r="F115" s="24">
        <f t="shared" si="3"/>
        <v>0.000209558047</v>
      </c>
      <c r="G115" s="24">
        <f t="shared" si="4"/>
        <v>0</v>
      </c>
      <c r="H115" s="26">
        <f t="shared" si="5"/>
        <v>0</v>
      </c>
      <c r="I115" s="24">
        <f t="shared" si="6"/>
        <v>0</v>
      </c>
      <c r="J115" s="24">
        <f t="shared" si="7"/>
        <v>0</v>
      </c>
      <c r="K115" s="24"/>
      <c r="L115" s="24">
        <f t="shared" si="8"/>
        <v>461.70787</v>
      </c>
      <c r="M115" s="14">
        <f t="shared" si="9"/>
        <v>464.7285571</v>
      </c>
      <c r="N115" s="27">
        <f t="shared" si="10"/>
        <v>-3.020687042</v>
      </c>
      <c r="O115" s="24"/>
      <c r="P115" s="28">
        <f t="shared" si="14"/>
        <v>-203.8617413</v>
      </c>
      <c r="Q115" s="27">
        <f t="shared" si="15"/>
        <v>431.2502575</v>
      </c>
      <c r="R115" s="26"/>
      <c r="S115" s="14">
        <f t="shared" si="13"/>
        <v>-2.773885229</v>
      </c>
      <c r="U115" s="21"/>
      <c r="V115" s="21"/>
    </row>
    <row r="116">
      <c r="A116" s="11">
        <v>104.0</v>
      </c>
      <c r="B116" s="11">
        <v>1.41984782608695E9</v>
      </c>
      <c r="C116" s="2">
        <v>-102.1446152</v>
      </c>
      <c r="D116" s="24">
        <f t="shared" si="1"/>
        <v>-552173.913</v>
      </c>
      <c r="E116" s="25">
        <f t="shared" si="2"/>
        <v>115.7053126</v>
      </c>
      <c r="F116" s="24">
        <f t="shared" si="3"/>
        <v>0.0002095450544</v>
      </c>
      <c r="G116" s="24">
        <f t="shared" si="4"/>
        <v>0</v>
      </c>
      <c r="H116" s="26">
        <f t="shared" si="5"/>
        <v>0</v>
      </c>
      <c r="I116" s="24">
        <f t="shared" si="6"/>
        <v>0</v>
      </c>
      <c r="J116" s="24">
        <f t="shared" si="7"/>
        <v>0</v>
      </c>
      <c r="K116" s="24"/>
      <c r="L116" s="24">
        <f t="shared" si="8"/>
        <v>464.1353505</v>
      </c>
      <c r="M116" s="14">
        <f t="shared" si="9"/>
        <v>464.6669766</v>
      </c>
      <c r="N116" s="27">
        <f t="shared" si="10"/>
        <v>-0.5316261278</v>
      </c>
      <c r="O116" s="24"/>
      <c r="P116" s="28">
        <f t="shared" si="14"/>
        <v>-204.7800375</v>
      </c>
      <c r="Q116" s="27">
        <f t="shared" si="15"/>
        <v>428.6361914</v>
      </c>
      <c r="R116" s="26"/>
      <c r="S116" s="14">
        <f t="shared" si="13"/>
        <v>-0.4881902173</v>
      </c>
      <c r="U116" s="21"/>
      <c r="V116" s="21"/>
    </row>
    <row r="117">
      <c r="A117" s="11">
        <v>105.0</v>
      </c>
      <c r="B117" s="11">
        <v>1.41985217391304E9</v>
      </c>
      <c r="C117" s="2">
        <v>-102.1459732</v>
      </c>
      <c r="D117" s="24">
        <f t="shared" si="1"/>
        <v>-547826.087</v>
      </c>
      <c r="E117" s="25">
        <f t="shared" si="2"/>
        <v>114.7870165</v>
      </c>
      <c r="F117" s="24">
        <f t="shared" si="3"/>
        <v>0.0002095318555</v>
      </c>
      <c r="G117" s="24">
        <f t="shared" si="4"/>
        <v>0</v>
      </c>
      <c r="H117" s="26">
        <f t="shared" si="5"/>
        <v>0</v>
      </c>
      <c r="I117" s="24">
        <f t="shared" si="6"/>
        <v>0</v>
      </c>
      <c r="J117" s="24">
        <f t="shared" si="7"/>
        <v>0</v>
      </c>
      <c r="K117" s="24"/>
      <c r="L117" s="24">
        <f t="shared" si="8"/>
        <v>463.9902422</v>
      </c>
      <c r="M117" s="14">
        <f t="shared" si="9"/>
        <v>464.604863</v>
      </c>
      <c r="N117" s="27">
        <f t="shared" si="10"/>
        <v>-0.6146207335</v>
      </c>
      <c r="O117" s="24"/>
      <c r="P117" s="28">
        <f t="shared" si="14"/>
        <v>-205.6983336</v>
      </c>
      <c r="Q117" s="27">
        <f t="shared" si="15"/>
        <v>429.2676663</v>
      </c>
      <c r="R117" s="26"/>
      <c r="S117" s="14">
        <f t="shared" si="13"/>
        <v>-0.5644038414</v>
      </c>
      <c r="U117" s="21"/>
      <c r="V117" s="21"/>
    </row>
    <row r="118">
      <c r="A118" s="11">
        <v>106.0</v>
      </c>
      <c r="B118" s="11">
        <v>1.41985652173913E9</v>
      </c>
      <c r="C118" s="2">
        <v>-102.1408157</v>
      </c>
      <c r="D118" s="24">
        <f t="shared" si="1"/>
        <v>-543478.2609</v>
      </c>
      <c r="E118" s="25">
        <f t="shared" si="2"/>
        <v>113.8687204</v>
      </c>
      <c r="F118" s="24">
        <f t="shared" si="3"/>
        <v>0.0002095184455</v>
      </c>
      <c r="G118" s="24">
        <f t="shared" si="4"/>
        <v>0</v>
      </c>
      <c r="H118" s="26">
        <f t="shared" si="5"/>
        <v>0</v>
      </c>
      <c r="I118" s="24">
        <f t="shared" si="6"/>
        <v>0</v>
      </c>
      <c r="J118" s="24">
        <f t="shared" si="7"/>
        <v>0</v>
      </c>
      <c r="K118" s="24"/>
      <c r="L118" s="24">
        <f t="shared" si="8"/>
        <v>464.541585</v>
      </c>
      <c r="M118" s="14">
        <f t="shared" si="9"/>
        <v>464.5422187</v>
      </c>
      <c r="N118" s="27">
        <f t="shared" si="10"/>
        <v>-0.0006336936367</v>
      </c>
      <c r="O118" s="24"/>
      <c r="P118" s="28">
        <f t="shared" si="14"/>
        <v>-206.6166297</v>
      </c>
      <c r="Q118" s="27">
        <f t="shared" si="15"/>
        <v>425.5278385</v>
      </c>
      <c r="R118" s="26"/>
      <c r="S118" s="14">
        <f t="shared" si="13"/>
        <v>-0.0005819184159</v>
      </c>
      <c r="U118" s="21"/>
      <c r="V118" s="21"/>
    </row>
    <row r="119">
      <c r="A119" s="11">
        <v>107.0</v>
      </c>
      <c r="B119" s="11">
        <v>1.41986086956521E9</v>
      </c>
      <c r="C119" s="2">
        <v>-102.14534</v>
      </c>
      <c r="D119" s="24">
        <f t="shared" si="1"/>
        <v>-539130.4348</v>
      </c>
      <c r="E119" s="25">
        <f t="shared" si="2"/>
        <v>112.9504243</v>
      </c>
      <c r="F119" s="24">
        <f t="shared" si="3"/>
        <v>0.0002095048192</v>
      </c>
      <c r="G119" s="24">
        <f t="shared" si="4"/>
        <v>0</v>
      </c>
      <c r="H119" s="26">
        <f t="shared" si="5"/>
        <v>0</v>
      </c>
      <c r="I119" s="24">
        <f t="shared" si="6"/>
        <v>0</v>
      </c>
      <c r="J119" s="24">
        <f t="shared" si="7"/>
        <v>0</v>
      </c>
      <c r="K119" s="24"/>
      <c r="L119" s="24">
        <f t="shared" si="8"/>
        <v>464.0578968</v>
      </c>
      <c r="M119" s="14">
        <f t="shared" si="9"/>
        <v>464.4790464</v>
      </c>
      <c r="N119" s="27">
        <f t="shared" si="10"/>
        <v>-0.421149625</v>
      </c>
      <c r="O119" s="24"/>
      <c r="P119" s="28">
        <f t="shared" si="14"/>
        <v>-207.5349259</v>
      </c>
      <c r="Q119" s="27">
        <f t="shared" si="15"/>
        <v>425.5988614</v>
      </c>
      <c r="R119" s="26"/>
      <c r="S119" s="14">
        <f t="shared" si="13"/>
        <v>-0.386740072</v>
      </c>
      <c r="U119" s="21"/>
      <c r="V119" s="21"/>
    </row>
    <row r="120">
      <c r="A120" s="11">
        <v>108.0</v>
      </c>
      <c r="B120" s="11">
        <v>1.4198652173913E9</v>
      </c>
      <c r="C120" s="2">
        <v>-102.183075</v>
      </c>
      <c r="D120" s="24">
        <f t="shared" si="1"/>
        <v>-534782.6087</v>
      </c>
      <c r="E120" s="25">
        <f t="shared" si="2"/>
        <v>112.0321281</v>
      </c>
      <c r="F120" s="24">
        <f t="shared" si="3"/>
        <v>0.0002094909713</v>
      </c>
      <c r="G120" s="24">
        <f t="shared" si="4"/>
        <v>0</v>
      </c>
      <c r="H120" s="26">
        <f t="shared" si="5"/>
        <v>0</v>
      </c>
      <c r="I120" s="24">
        <f t="shared" si="6"/>
        <v>0</v>
      </c>
      <c r="J120" s="24">
        <f t="shared" si="7"/>
        <v>0</v>
      </c>
      <c r="K120" s="24"/>
      <c r="L120" s="24">
        <f t="shared" si="8"/>
        <v>460.0432548</v>
      </c>
      <c r="M120" s="14">
        <f t="shared" si="9"/>
        <v>464.4153488</v>
      </c>
      <c r="N120" s="27">
        <f t="shared" si="10"/>
        <v>-4.37209404</v>
      </c>
      <c r="O120" s="24"/>
      <c r="P120" s="28">
        <f t="shared" si="14"/>
        <v>-208.453222</v>
      </c>
      <c r="Q120" s="27">
        <f t="shared" si="15"/>
        <v>431.9865025</v>
      </c>
      <c r="R120" s="26"/>
      <c r="S120" s="14">
        <f t="shared" si="13"/>
        <v>-4.01487704</v>
      </c>
      <c r="U120" s="21"/>
      <c r="V120" s="21"/>
    </row>
    <row r="121">
      <c r="A121" s="11">
        <v>109.0</v>
      </c>
      <c r="B121" s="11">
        <v>1.41986956521739E9</v>
      </c>
      <c r="C121" s="2">
        <v>-102.1701355</v>
      </c>
      <c r="D121" s="24">
        <f t="shared" si="1"/>
        <v>-530434.7826</v>
      </c>
      <c r="E121" s="25">
        <f t="shared" si="2"/>
        <v>111.113832</v>
      </c>
      <c r="F121" s="24">
        <f t="shared" si="3"/>
        <v>0.0002094768964</v>
      </c>
      <c r="G121" s="24">
        <f t="shared" si="4"/>
        <v>0</v>
      </c>
      <c r="H121" s="26">
        <f t="shared" si="5"/>
        <v>0</v>
      </c>
      <c r="I121" s="24">
        <f t="shared" si="6"/>
        <v>0</v>
      </c>
      <c r="J121" s="24">
        <f t="shared" si="7"/>
        <v>0</v>
      </c>
      <c r="K121" s="24"/>
      <c r="L121" s="24">
        <f t="shared" si="8"/>
        <v>461.4159654</v>
      </c>
      <c r="M121" s="14">
        <f t="shared" si="9"/>
        <v>464.3511285</v>
      </c>
      <c r="N121" s="27">
        <f t="shared" si="10"/>
        <v>-2.93516311</v>
      </c>
      <c r="O121" s="24"/>
      <c r="P121" s="28">
        <f t="shared" si="14"/>
        <v>-209.3715181</v>
      </c>
      <c r="Q121" s="27">
        <f t="shared" si="15"/>
        <v>435.5580827</v>
      </c>
      <c r="R121" s="26"/>
      <c r="S121" s="14">
        <f t="shared" si="13"/>
        <v>-2.695348933</v>
      </c>
      <c r="U121" s="21"/>
      <c r="V121" s="21"/>
    </row>
    <row r="122">
      <c r="A122" s="11">
        <v>110.0</v>
      </c>
      <c r="B122" s="11">
        <v>1.41987391304347E9</v>
      </c>
      <c r="C122" s="2">
        <v>-102.126915</v>
      </c>
      <c r="D122" s="24">
        <f t="shared" si="1"/>
        <v>-526086.9565</v>
      </c>
      <c r="E122" s="25">
        <f t="shared" si="2"/>
        <v>110.1955359</v>
      </c>
      <c r="F122" s="24">
        <f t="shared" si="3"/>
        <v>0.0002094625888</v>
      </c>
      <c r="G122" s="24">
        <f t="shared" si="4"/>
        <v>0</v>
      </c>
      <c r="H122" s="26">
        <f t="shared" si="5"/>
        <v>0</v>
      </c>
      <c r="I122" s="24">
        <f t="shared" si="6"/>
        <v>0</v>
      </c>
      <c r="J122" s="24">
        <f t="shared" si="7"/>
        <v>0</v>
      </c>
      <c r="K122" s="24"/>
      <c r="L122" s="24">
        <f t="shared" si="8"/>
        <v>466.0308506</v>
      </c>
      <c r="M122" s="14">
        <f t="shared" si="9"/>
        <v>464.286388</v>
      </c>
      <c r="N122" s="27">
        <f t="shared" si="10"/>
        <v>1.744462603</v>
      </c>
      <c r="O122" s="24"/>
      <c r="P122" s="28">
        <f t="shared" si="14"/>
        <v>-210.2898143</v>
      </c>
      <c r="Q122" s="27">
        <f t="shared" si="15"/>
        <v>428.8041377</v>
      </c>
      <c r="R122" s="26"/>
      <c r="S122" s="14">
        <f t="shared" si="13"/>
        <v>1.601933262</v>
      </c>
      <c r="U122" s="21"/>
      <c r="V122" s="21"/>
    </row>
    <row r="123">
      <c r="A123" s="11">
        <v>111.0</v>
      </c>
      <c r="B123" s="11">
        <v>1.41987826086956E9</v>
      </c>
      <c r="C123" s="2">
        <v>-102.180542</v>
      </c>
      <c r="D123" s="24">
        <f t="shared" si="1"/>
        <v>-521739.1304</v>
      </c>
      <c r="E123" s="25">
        <f t="shared" si="2"/>
        <v>109.2772397</v>
      </c>
      <c r="F123" s="24">
        <f t="shared" si="3"/>
        <v>0.0002094480428</v>
      </c>
      <c r="G123" s="24">
        <f t="shared" si="4"/>
        <v>0</v>
      </c>
      <c r="H123" s="26">
        <f t="shared" si="5"/>
        <v>0</v>
      </c>
      <c r="I123" s="24">
        <f t="shared" si="6"/>
        <v>0</v>
      </c>
      <c r="J123" s="24">
        <f t="shared" si="7"/>
        <v>0</v>
      </c>
      <c r="K123" s="24"/>
      <c r="L123" s="24">
        <f t="shared" si="8"/>
        <v>460.3116509</v>
      </c>
      <c r="M123" s="14">
        <f t="shared" si="9"/>
        <v>464.2211301</v>
      </c>
      <c r="N123" s="27">
        <f t="shared" si="10"/>
        <v>-3.909479285</v>
      </c>
      <c r="O123" s="24"/>
      <c r="P123" s="28">
        <f t="shared" si="14"/>
        <v>-211.2081104</v>
      </c>
      <c r="Q123" s="27">
        <f t="shared" si="15"/>
        <v>427.9094104</v>
      </c>
      <c r="R123" s="26"/>
      <c r="S123" s="14">
        <f t="shared" si="13"/>
        <v>-3.5900597</v>
      </c>
      <c r="U123" s="21"/>
      <c r="V123" s="21"/>
    </row>
    <row r="124">
      <c r="A124" s="11">
        <v>112.0</v>
      </c>
      <c r="B124" s="11">
        <v>1.41988260869565E9</v>
      </c>
      <c r="C124" s="2">
        <v>-102.1791763</v>
      </c>
      <c r="D124" s="24">
        <f t="shared" si="1"/>
        <v>-517391.3043</v>
      </c>
      <c r="E124" s="25">
        <f t="shared" si="2"/>
        <v>108.3589436</v>
      </c>
      <c r="F124" s="24">
        <f t="shared" si="3"/>
        <v>0.0002094332523</v>
      </c>
      <c r="G124" s="24">
        <f t="shared" si="4"/>
        <v>0</v>
      </c>
      <c r="H124" s="26">
        <f t="shared" si="5"/>
        <v>0</v>
      </c>
      <c r="I124" s="24">
        <f t="shared" si="6"/>
        <v>0</v>
      </c>
      <c r="J124" s="24">
        <f t="shared" si="7"/>
        <v>0</v>
      </c>
      <c r="K124" s="24"/>
      <c r="L124" s="24">
        <f t="shared" si="8"/>
        <v>460.4564251</v>
      </c>
      <c r="M124" s="14">
        <f t="shared" si="9"/>
        <v>464.1553574</v>
      </c>
      <c r="N124" s="27">
        <f t="shared" si="10"/>
        <v>-3.698932324</v>
      </c>
      <c r="O124" s="24"/>
      <c r="P124" s="28"/>
      <c r="Q124" s="27"/>
      <c r="R124" s="26"/>
      <c r="S124" s="14">
        <f t="shared" si="13"/>
        <v>-3.396715248</v>
      </c>
      <c r="U124" s="21"/>
      <c r="V124" s="21"/>
    </row>
    <row r="125">
      <c r="A125" s="11">
        <v>113.0</v>
      </c>
      <c r="B125" s="11">
        <v>1.41988695652173E9</v>
      </c>
      <c r="C125" s="2">
        <v>-102.1546402</v>
      </c>
      <c r="D125" s="24">
        <f t="shared" si="1"/>
        <v>-513043.4783</v>
      </c>
      <c r="E125" s="25">
        <f t="shared" si="2"/>
        <v>107.4406475</v>
      </c>
      <c r="F125" s="24">
        <f t="shared" si="3"/>
        <v>0.0002094182111</v>
      </c>
      <c r="G125" s="24">
        <f t="shared" si="4"/>
        <v>0</v>
      </c>
      <c r="H125" s="26">
        <f t="shared" si="5"/>
        <v>0</v>
      </c>
      <c r="I125" s="24">
        <f t="shared" si="6"/>
        <v>0</v>
      </c>
      <c r="J125" s="24">
        <f t="shared" si="7"/>
        <v>0</v>
      </c>
      <c r="K125" s="24"/>
      <c r="L125" s="24">
        <f t="shared" si="8"/>
        <v>463.0652032</v>
      </c>
      <c r="M125" s="14">
        <f t="shared" si="9"/>
        <v>464.0890725</v>
      </c>
      <c r="N125" s="27">
        <f t="shared" si="10"/>
        <v>-1.023869266</v>
      </c>
      <c r="O125" s="24"/>
      <c r="P125" s="24"/>
      <c r="Q125" s="24"/>
      <c r="R125" s="26"/>
      <c r="S125" s="14">
        <f t="shared" si="13"/>
        <v>-0.9402151875</v>
      </c>
      <c r="U125" s="21"/>
      <c r="V125" s="21"/>
    </row>
    <row r="126">
      <c r="A126" s="11">
        <v>114.0</v>
      </c>
      <c r="B126" s="11">
        <v>1.41989130434782E9</v>
      </c>
      <c r="C126" s="2">
        <v>-102.1233902</v>
      </c>
      <c r="D126" s="24">
        <f t="shared" si="1"/>
        <v>-508695.6522</v>
      </c>
      <c r="E126" s="25">
        <f t="shared" si="2"/>
        <v>106.5223513</v>
      </c>
      <c r="F126" s="24">
        <f t="shared" si="3"/>
        <v>0.0002094029129</v>
      </c>
      <c r="G126" s="24">
        <f t="shared" si="4"/>
        <v>0</v>
      </c>
      <c r="H126" s="26">
        <f t="shared" si="5"/>
        <v>0</v>
      </c>
      <c r="I126" s="24">
        <f t="shared" si="6"/>
        <v>0</v>
      </c>
      <c r="J126" s="24">
        <f t="shared" si="7"/>
        <v>0</v>
      </c>
      <c r="K126" s="24"/>
      <c r="L126" s="24">
        <f t="shared" si="8"/>
        <v>466.4092419</v>
      </c>
      <c r="M126" s="14">
        <f t="shared" si="9"/>
        <v>464.0222779</v>
      </c>
      <c r="N126" s="27">
        <f t="shared" si="10"/>
        <v>2.386963966</v>
      </c>
      <c r="O126" s="24"/>
      <c r="P126" s="24"/>
      <c r="Q126" s="24"/>
      <c r="R126" s="26"/>
      <c r="S126" s="14">
        <f t="shared" si="13"/>
        <v>2.191939779</v>
      </c>
      <c r="U126" s="21"/>
      <c r="V126" s="21"/>
    </row>
    <row r="127">
      <c r="A127" s="11">
        <v>115.0</v>
      </c>
      <c r="B127" s="11">
        <v>1.41989565217391E9</v>
      </c>
      <c r="C127" s="2">
        <v>-102.2063828</v>
      </c>
      <c r="D127" s="24">
        <f t="shared" si="1"/>
        <v>-504347.8261</v>
      </c>
      <c r="E127" s="25">
        <f t="shared" si="2"/>
        <v>105.6040552</v>
      </c>
      <c r="F127" s="24">
        <f t="shared" si="3"/>
        <v>0.0002093873508</v>
      </c>
      <c r="G127" s="24">
        <f t="shared" si="4"/>
        <v>0</v>
      </c>
      <c r="H127" s="26">
        <f t="shared" si="5"/>
        <v>0</v>
      </c>
      <c r="I127" s="24">
        <f t="shared" si="6"/>
        <v>0</v>
      </c>
      <c r="J127" s="24">
        <f t="shared" si="7"/>
        <v>0</v>
      </c>
      <c r="K127" s="24"/>
      <c r="L127" s="24">
        <f t="shared" si="8"/>
        <v>457.5808992</v>
      </c>
      <c r="M127" s="14">
        <f t="shared" si="9"/>
        <v>463.9549764</v>
      </c>
      <c r="N127" s="27">
        <f t="shared" si="10"/>
        <v>-6.374077271</v>
      </c>
      <c r="O127" s="24"/>
      <c r="P127" s="24"/>
      <c r="Q127" s="24"/>
      <c r="R127" s="26"/>
      <c r="S127" s="14">
        <f t="shared" si="13"/>
        <v>-5.853290495</v>
      </c>
      <c r="U127" s="21"/>
      <c r="V127" s="21"/>
    </row>
    <row r="128">
      <c r="A128" s="11">
        <v>116.0</v>
      </c>
      <c r="B128" s="11">
        <v>1.4199E9</v>
      </c>
      <c r="C128" s="2">
        <v>-102.1696014</v>
      </c>
      <c r="D128" s="24">
        <f t="shared" si="1"/>
        <v>-500000</v>
      </c>
      <c r="E128" s="25">
        <f t="shared" si="2"/>
        <v>104.6857591</v>
      </c>
      <c r="F128" s="24">
        <f t="shared" si="3"/>
        <v>0.0002093715181</v>
      </c>
      <c r="G128" s="24">
        <f t="shared" si="4"/>
        <v>0</v>
      </c>
      <c r="H128" s="26">
        <f t="shared" si="5"/>
        <v>0</v>
      </c>
      <c r="I128" s="24">
        <f t="shared" si="6"/>
        <v>0</v>
      </c>
      <c r="J128" s="24">
        <f t="shared" si="7"/>
        <v>0</v>
      </c>
      <c r="K128" s="24"/>
      <c r="L128" s="24">
        <f t="shared" si="8"/>
        <v>461.4727143</v>
      </c>
      <c r="M128" s="14">
        <f t="shared" si="9"/>
        <v>463.8871706</v>
      </c>
      <c r="N128" s="27">
        <f t="shared" si="10"/>
        <v>-2.414456343</v>
      </c>
      <c r="O128" s="24"/>
      <c r="P128" s="24"/>
      <c r="Q128" s="24"/>
      <c r="R128" s="26"/>
      <c r="S128" s="14">
        <f t="shared" si="13"/>
        <v>-2.217185922</v>
      </c>
      <c r="U128" s="21"/>
      <c r="V128" s="21"/>
    </row>
    <row r="129">
      <c r="A129" s="11">
        <v>117.0</v>
      </c>
      <c r="B129" s="11">
        <v>1.41990434782608E9</v>
      </c>
      <c r="C129" s="2">
        <v>-102.1815491</v>
      </c>
      <c r="D129" s="24">
        <f t="shared" si="1"/>
        <v>-495652.1739</v>
      </c>
      <c r="E129" s="25">
        <f t="shared" si="2"/>
        <v>103.7674629</v>
      </c>
      <c r="F129" s="24">
        <f t="shared" si="3"/>
        <v>0.0002093554077</v>
      </c>
      <c r="G129" s="24">
        <f t="shared" si="4"/>
        <v>0</v>
      </c>
      <c r="H129" s="26">
        <f t="shared" si="5"/>
        <v>0</v>
      </c>
      <c r="I129" s="24">
        <f t="shared" si="6"/>
        <v>0</v>
      </c>
      <c r="J129" s="24">
        <f t="shared" si="7"/>
        <v>0</v>
      </c>
      <c r="K129" s="24"/>
      <c r="L129" s="24">
        <f t="shared" si="8"/>
        <v>460.20492</v>
      </c>
      <c r="M129" s="14">
        <f t="shared" si="9"/>
        <v>463.8188631</v>
      </c>
      <c r="N129" s="27">
        <f t="shared" si="10"/>
        <v>-3.613943068</v>
      </c>
      <c r="O129" s="24"/>
      <c r="P129" s="24"/>
      <c r="Q129" s="24"/>
      <c r="R129" s="26"/>
      <c r="S129" s="14">
        <f t="shared" si="13"/>
        <v>-3.318669943</v>
      </c>
      <c r="U129" s="21"/>
      <c r="V129" s="21"/>
    </row>
    <row r="130">
      <c r="A130" s="11">
        <v>118.0</v>
      </c>
      <c r="B130" s="11">
        <v>1.41990869565217E9</v>
      </c>
      <c r="C130" s="2">
        <v>-102.1646805</v>
      </c>
      <c r="D130" s="24">
        <f t="shared" si="1"/>
        <v>-491304.3478</v>
      </c>
      <c r="E130" s="25">
        <f t="shared" si="2"/>
        <v>102.8491668</v>
      </c>
      <c r="F130" s="24">
        <f t="shared" si="3"/>
        <v>0.0002093390121</v>
      </c>
      <c r="G130" s="24">
        <f t="shared" si="4"/>
        <v>0</v>
      </c>
      <c r="H130" s="26">
        <f t="shared" si="5"/>
        <v>0</v>
      </c>
      <c r="I130" s="24">
        <f t="shared" si="6"/>
        <v>0</v>
      </c>
      <c r="J130" s="24">
        <f t="shared" si="7"/>
        <v>0</v>
      </c>
      <c r="K130" s="24"/>
      <c r="L130" s="24">
        <f t="shared" si="8"/>
        <v>461.9958957</v>
      </c>
      <c r="M130" s="14">
        <f t="shared" si="9"/>
        <v>463.7500565</v>
      </c>
      <c r="N130" s="27">
        <f t="shared" si="10"/>
        <v>-1.754160786</v>
      </c>
      <c r="O130" s="24"/>
      <c r="P130" s="24"/>
      <c r="Q130" s="24"/>
      <c r="R130" s="26"/>
      <c r="S130" s="14">
        <f t="shared" si="13"/>
        <v>-1.610839062</v>
      </c>
      <c r="U130" s="21"/>
      <c r="V130" s="21"/>
    </row>
    <row r="131">
      <c r="A131" s="11">
        <v>119.0</v>
      </c>
      <c r="B131" s="11">
        <v>1.41991304347826E9</v>
      </c>
      <c r="C131" s="2">
        <v>-102.1819</v>
      </c>
      <c r="D131" s="24">
        <f t="shared" si="1"/>
        <v>-486956.5217</v>
      </c>
      <c r="E131" s="25">
        <f t="shared" si="2"/>
        <v>101.9308707</v>
      </c>
      <c r="F131" s="24">
        <f t="shared" si="3"/>
        <v>0.0002093223237</v>
      </c>
      <c r="G131" s="24">
        <f t="shared" si="4"/>
        <v>0</v>
      </c>
      <c r="H131" s="26">
        <f t="shared" si="5"/>
        <v>0</v>
      </c>
      <c r="I131" s="24">
        <f t="shared" si="6"/>
        <v>0</v>
      </c>
      <c r="J131" s="24">
        <f t="shared" si="7"/>
        <v>0</v>
      </c>
      <c r="K131" s="24"/>
      <c r="L131" s="24">
        <f t="shared" si="8"/>
        <v>460.167738</v>
      </c>
      <c r="M131" s="14">
        <f t="shared" si="9"/>
        <v>463.6807535</v>
      </c>
      <c r="N131" s="27">
        <f t="shared" si="10"/>
        <v>-3.513015424</v>
      </c>
      <c r="O131" s="24"/>
      <c r="P131" s="24"/>
      <c r="Q131" s="24"/>
      <c r="R131" s="26"/>
      <c r="S131" s="14">
        <f t="shared" si="13"/>
        <v>-3.225988478</v>
      </c>
      <c r="U131" s="21"/>
      <c r="V131" s="21"/>
    </row>
    <row r="132">
      <c r="A132" s="11">
        <v>120.0</v>
      </c>
      <c r="B132" s="11">
        <v>1.41991739130434E9</v>
      </c>
      <c r="C132" s="2">
        <v>-102.1755447</v>
      </c>
      <c r="D132" s="24">
        <f t="shared" si="1"/>
        <v>-482608.6957</v>
      </c>
      <c r="E132" s="25">
        <f t="shared" si="2"/>
        <v>101.0125745</v>
      </c>
      <c r="F132" s="24">
        <f t="shared" si="3"/>
        <v>0.0002093053346</v>
      </c>
      <c r="G132" s="24">
        <f t="shared" si="4"/>
        <v>0</v>
      </c>
      <c r="H132" s="26">
        <f t="shared" si="5"/>
        <v>0</v>
      </c>
      <c r="I132" s="24">
        <f t="shared" si="6"/>
        <v>0</v>
      </c>
      <c r="J132" s="24">
        <f t="shared" si="7"/>
        <v>0</v>
      </c>
      <c r="K132" s="24"/>
      <c r="L132" s="24">
        <f t="shared" si="8"/>
        <v>460.8416229</v>
      </c>
      <c r="M132" s="14">
        <f t="shared" si="9"/>
        <v>463.6109566</v>
      </c>
      <c r="N132" s="27">
        <f t="shared" si="10"/>
        <v>-2.769333671</v>
      </c>
      <c r="O132" s="24"/>
      <c r="P132" s="24"/>
      <c r="Q132" s="24"/>
      <c r="R132" s="26"/>
      <c r="S132" s="14">
        <f t="shared" si="13"/>
        <v>-2.5430684</v>
      </c>
      <c r="U132" s="21"/>
      <c r="V132" s="21"/>
    </row>
    <row r="133">
      <c r="A133" s="11">
        <v>121.0</v>
      </c>
      <c r="B133" s="11">
        <v>1.41992173913043E9</v>
      </c>
      <c r="C133" s="2">
        <v>-102.1996613</v>
      </c>
      <c r="D133" s="24">
        <f t="shared" si="1"/>
        <v>-478260.8696</v>
      </c>
      <c r="E133" s="25">
        <f t="shared" si="2"/>
        <v>100.0942784</v>
      </c>
      <c r="F133" s="24">
        <f t="shared" si="3"/>
        <v>0.0002092880367</v>
      </c>
      <c r="G133" s="24">
        <f t="shared" si="4"/>
        <v>0</v>
      </c>
      <c r="H133" s="26">
        <f t="shared" si="5"/>
        <v>0</v>
      </c>
      <c r="I133" s="24">
        <f t="shared" si="6"/>
        <v>0</v>
      </c>
      <c r="J133" s="24">
        <f t="shared" si="7"/>
        <v>0</v>
      </c>
      <c r="K133" s="24"/>
      <c r="L133" s="24">
        <f t="shared" si="8"/>
        <v>458.2896375</v>
      </c>
      <c r="M133" s="14">
        <f t="shared" si="9"/>
        <v>463.5406685</v>
      </c>
      <c r="N133" s="27">
        <f t="shared" si="10"/>
        <v>-5.251031062</v>
      </c>
      <c r="O133" s="24"/>
      <c r="P133" s="24"/>
      <c r="Q133" s="24"/>
      <c r="R133" s="26"/>
      <c r="S133" s="14">
        <f t="shared" si="13"/>
        <v>-4.822001506</v>
      </c>
      <c r="U133" s="21"/>
      <c r="V133" s="21"/>
    </row>
    <row r="134">
      <c r="A134" s="11">
        <v>122.0</v>
      </c>
      <c r="B134" s="11">
        <v>1.41992608695652E9</v>
      </c>
      <c r="C134" s="2">
        <v>-102.1200867</v>
      </c>
      <c r="D134" s="24">
        <f t="shared" si="1"/>
        <v>-473913.0435</v>
      </c>
      <c r="E134" s="25">
        <f t="shared" si="2"/>
        <v>99.17598227</v>
      </c>
      <c r="F134" s="24">
        <f t="shared" si="3"/>
        <v>0.0002092704213</v>
      </c>
      <c r="G134" s="24">
        <f t="shared" si="4"/>
        <v>0</v>
      </c>
      <c r="H134" s="26">
        <f t="shared" si="5"/>
        <v>0</v>
      </c>
      <c r="I134" s="24">
        <f t="shared" si="6"/>
        <v>0</v>
      </c>
      <c r="J134" s="24">
        <f t="shared" si="7"/>
        <v>0</v>
      </c>
      <c r="K134" s="24"/>
      <c r="L134" s="24">
        <f t="shared" si="8"/>
        <v>466.7641552</v>
      </c>
      <c r="M134" s="14">
        <f t="shared" si="9"/>
        <v>463.4698919</v>
      </c>
      <c r="N134" s="27">
        <f t="shared" si="10"/>
        <v>3.294263347</v>
      </c>
      <c r="O134" s="24"/>
      <c r="P134" s="24"/>
      <c r="Q134" s="24"/>
      <c r="R134" s="26"/>
      <c r="S134" s="14">
        <f t="shared" si="13"/>
        <v>3.025109292</v>
      </c>
      <c r="U134" s="21"/>
      <c r="V134" s="21"/>
    </row>
    <row r="135">
      <c r="A135" s="11">
        <v>123.0</v>
      </c>
      <c r="B135" s="11">
        <v>1.4199304347826E9</v>
      </c>
      <c r="C135" s="2">
        <v>-102.1649323</v>
      </c>
      <c r="D135" s="24">
        <f t="shared" si="1"/>
        <v>-469565.2174</v>
      </c>
      <c r="E135" s="25">
        <f t="shared" si="2"/>
        <v>98.25768614</v>
      </c>
      <c r="F135" s="24">
        <f t="shared" si="3"/>
        <v>0.0002092524797</v>
      </c>
      <c r="G135" s="24">
        <f t="shared" si="4"/>
        <v>0</v>
      </c>
      <c r="H135" s="26">
        <f t="shared" si="5"/>
        <v>0</v>
      </c>
      <c r="I135" s="24">
        <f t="shared" si="6"/>
        <v>0</v>
      </c>
      <c r="J135" s="24">
        <f t="shared" si="7"/>
        <v>0</v>
      </c>
      <c r="K135" s="24"/>
      <c r="L135" s="24">
        <f t="shared" si="8"/>
        <v>461.9691104</v>
      </c>
      <c r="M135" s="14">
        <f t="shared" si="9"/>
        <v>463.3986293</v>
      </c>
      <c r="N135" s="27">
        <f t="shared" si="10"/>
        <v>-1.429518947</v>
      </c>
      <c r="O135" s="24"/>
      <c r="P135" s="24"/>
      <c r="Q135" s="24"/>
      <c r="R135" s="26"/>
      <c r="S135" s="14">
        <f t="shared" si="13"/>
        <v>-1.312721721</v>
      </c>
      <c r="U135" s="21"/>
      <c r="V135" s="21"/>
    </row>
    <row r="136">
      <c r="A136" s="11">
        <v>124.0</v>
      </c>
      <c r="B136" s="11">
        <v>1.41993478260869E9</v>
      </c>
      <c r="C136" s="2">
        <v>-102.2034073</v>
      </c>
      <c r="D136" s="24">
        <f t="shared" si="1"/>
        <v>-465217.3913</v>
      </c>
      <c r="E136" s="25">
        <f t="shared" si="2"/>
        <v>97.33939001</v>
      </c>
      <c r="F136" s="24">
        <f t="shared" si="3"/>
        <v>0.0002092342028</v>
      </c>
      <c r="G136" s="24">
        <f t="shared" si="4"/>
        <v>0</v>
      </c>
      <c r="H136" s="26">
        <f t="shared" si="5"/>
        <v>0</v>
      </c>
      <c r="I136" s="24">
        <f t="shared" si="6"/>
        <v>0</v>
      </c>
      <c r="J136" s="24">
        <f t="shared" si="7"/>
        <v>0</v>
      </c>
      <c r="K136" s="24"/>
      <c r="L136" s="24">
        <f t="shared" si="8"/>
        <v>457.8945109</v>
      </c>
      <c r="M136" s="14">
        <f t="shared" si="9"/>
        <v>463.3268835</v>
      </c>
      <c r="N136" s="27">
        <f t="shared" si="10"/>
        <v>-5.432372547</v>
      </c>
      <c r="O136" s="24"/>
      <c r="P136" s="24"/>
      <c r="Q136" s="24"/>
      <c r="R136" s="26"/>
      <c r="S136" s="14">
        <f t="shared" si="13"/>
        <v>-4.988526702</v>
      </c>
      <c r="U136" s="21"/>
      <c r="V136" s="21"/>
    </row>
    <row r="137">
      <c r="A137" s="11">
        <v>125.0</v>
      </c>
      <c r="B137" s="11">
        <v>1.41993913043478E9</v>
      </c>
      <c r="C137" s="2">
        <v>-102.1539078</v>
      </c>
      <c r="D137" s="24">
        <f t="shared" si="1"/>
        <v>-460869.5652</v>
      </c>
      <c r="E137" s="25">
        <f t="shared" si="2"/>
        <v>96.42109387</v>
      </c>
      <c r="F137" s="24">
        <f t="shared" si="3"/>
        <v>0.000209215581</v>
      </c>
      <c r="G137" s="24">
        <f t="shared" si="4"/>
        <v>0</v>
      </c>
      <c r="H137" s="26">
        <f t="shared" si="5"/>
        <v>0</v>
      </c>
      <c r="I137" s="24">
        <f t="shared" si="6"/>
        <v>0</v>
      </c>
      <c r="J137" s="24">
        <f t="shared" si="7"/>
        <v>0</v>
      </c>
      <c r="K137" s="24"/>
      <c r="L137" s="24">
        <f t="shared" si="8"/>
        <v>463.1433017</v>
      </c>
      <c r="M137" s="14">
        <f t="shared" si="9"/>
        <v>463.2546569</v>
      </c>
      <c r="N137" s="27">
        <f t="shared" si="10"/>
        <v>-0.1113551834</v>
      </c>
      <c r="O137" s="24"/>
      <c r="P137" s="24"/>
      <c r="Q137" s="24"/>
      <c r="R137" s="26"/>
      <c r="S137" s="14">
        <f t="shared" si="13"/>
        <v>-0.1022570341</v>
      </c>
      <c r="U137" s="21"/>
      <c r="V137" s="21"/>
    </row>
    <row r="138">
      <c r="A138" s="11">
        <v>126.0</v>
      </c>
      <c r="B138" s="11">
        <v>1.41994347826087E9</v>
      </c>
      <c r="C138" s="2">
        <v>-102.2016068</v>
      </c>
      <c r="D138" s="24">
        <f t="shared" si="1"/>
        <v>-456521.7391</v>
      </c>
      <c r="E138" s="25">
        <f t="shared" si="2"/>
        <v>95.50279774</v>
      </c>
      <c r="F138" s="24">
        <f t="shared" si="3"/>
        <v>0.0002091966046</v>
      </c>
      <c r="G138" s="24">
        <f t="shared" si="4"/>
        <v>0</v>
      </c>
      <c r="H138" s="26">
        <f t="shared" si="5"/>
        <v>0</v>
      </c>
      <c r="I138" s="24">
        <f t="shared" si="6"/>
        <v>0</v>
      </c>
      <c r="J138" s="24">
        <f t="shared" si="7"/>
        <v>0</v>
      </c>
      <c r="K138" s="24"/>
      <c r="L138" s="24">
        <f t="shared" si="8"/>
        <v>458.0843844</v>
      </c>
      <c r="M138" s="14">
        <f t="shared" si="9"/>
        <v>463.1819523</v>
      </c>
      <c r="N138" s="27">
        <f t="shared" si="10"/>
        <v>-5.097567907</v>
      </c>
      <c r="O138" s="24"/>
      <c r="P138" s="24"/>
      <c r="Q138" s="24"/>
      <c r="R138" s="26"/>
      <c r="S138" s="14">
        <f t="shared" si="13"/>
        <v>-4.681076896</v>
      </c>
      <c r="U138" s="21"/>
      <c r="V138" s="21"/>
    </row>
    <row r="139">
      <c r="A139" s="11">
        <v>127.0</v>
      </c>
      <c r="B139" s="11">
        <v>1.41994782608695E9</v>
      </c>
      <c r="C139" s="2">
        <v>-102.1579895</v>
      </c>
      <c r="D139" s="24">
        <f t="shared" si="1"/>
        <v>-452173.913</v>
      </c>
      <c r="E139" s="25">
        <f t="shared" si="2"/>
        <v>94.58450161</v>
      </c>
      <c r="F139" s="24">
        <f t="shared" si="3"/>
        <v>0.0002091772632</v>
      </c>
      <c r="G139" s="24">
        <f t="shared" si="4"/>
        <v>0</v>
      </c>
      <c r="H139" s="26">
        <f t="shared" si="5"/>
        <v>0</v>
      </c>
      <c r="I139" s="24">
        <f t="shared" si="6"/>
        <v>0</v>
      </c>
      <c r="J139" s="24">
        <f t="shared" si="7"/>
        <v>0</v>
      </c>
      <c r="K139" s="24"/>
      <c r="L139" s="24">
        <f t="shared" si="8"/>
        <v>462.7082227</v>
      </c>
      <c r="M139" s="14">
        <f t="shared" si="9"/>
        <v>463.1087722</v>
      </c>
      <c r="N139" s="27">
        <f t="shared" si="10"/>
        <v>-0.4005494931</v>
      </c>
      <c r="O139" s="24"/>
      <c r="P139" s="24"/>
      <c r="Q139" s="24"/>
      <c r="R139" s="26"/>
      <c r="S139" s="14">
        <f t="shared" si="13"/>
        <v>-0.3678230505</v>
      </c>
      <c r="U139" s="21"/>
      <c r="V139" s="21"/>
    </row>
    <row r="140">
      <c r="A140" s="11">
        <v>128.0</v>
      </c>
      <c r="B140" s="11">
        <v>1.41995217391304E9</v>
      </c>
      <c r="C140" s="2">
        <v>-102.1975937</v>
      </c>
      <c r="D140" s="24">
        <f t="shared" si="1"/>
        <v>-447826.087</v>
      </c>
      <c r="E140" s="25">
        <f t="shared" si="2"/>
        <v>93.66620548</v>
      </c>
      <c r="F140" s="24">
        <f t="shared" si="3"/>
        <v>0.0002091575462</v>
      </c>
      <c r="G140" s="24">
        <f t="shared" si="4"/>
        <v>0</v>
      </c>
      <c r="H140" s="26">
        <f t="shared" si="5"/>
        <v>0</v>
      </c>
      <c r="I140" s="24">
        <f t="shared" si="6"/>
        <v>0</v>
      </c>
      <c r="J140" s="24">
        <f t="shared" si="7"/>
        <v>0</v>
      </c>
      <c r="K140" s="24"/>
      <c r="L140" s="24">
        <f t="shared" si="8"/>
        <v>458.5078731</v>
      </c>
      <c r="M140" s="14">
        <f t="shared" si="9"/>
        <v>463.0351194</v>
      </c>
      <c r="N140" s="27">
        <f t="shared" si="10"/>
        <v>-4.527246319</v>
      </c>
      <c r="O140" s="24"/>
      <c r="P140" s="24"/>
      <c r="Q140" s="24"/>
      <c r="R140" s="26"/>
      <c r="S140" s="14">
        <f t="shared" si="13"/>
        <v>-4.157352777</v>
      </c>
      <c r="U140" s="21"/>
      <c r="V140" s="21"/>
    </row>
    <row r="141">
      <c r="A141" s="11">
        <v>129.0</v>
      </c>
      <c r="B141" s="11">
        <v>1.41995652173913E9</v>
      </c>
      <c r="C141" s="2">
        <v>-102.1584625</v>
      </c>
      <c r="D141" s="24">
        <f t="shared" si="1"/>
        <v>-443478.2609</v>
      </c>
      <c r="E141" s="25">
        <f t="shared" si="2"/>
        <v>92.74790935</v>
      </c>
      <c r="F141" s="24">
        <f t="shared" si="3"/>
        <v>0.0002091374426</v>
      </c>
      <c r="G141" s="24">
        <f t="shared" si="4"/>
        <v>0</v>
      </c>
      <c r="H141" s="26">
        <f t="shared" si="5"/>
        <v>0</v>
      </c>
      <c r="I141" s="24">
        <f t="shared" si="6"/>
        <v>0</v>
      </c>
      <c r="J141" s="24">
        <f t="shared" si="7"/>
        <v>0</v>
      </c>
      <c r="K141" s="24"/>
      <c r="L141" s="24">
        <f t="shared" si="8"/>
        <v>462.6578309</v>
      </c>
      <c r="M141" s="14">
        <f t="shared" si="9"/>
        <v>462.9609964</v>
      </c>
      <c r="N141" s="27">
        <f t="shared" si="10"/>
        <v>-0.3031654929</v>
      </c>
      <c r="O141" s="24"/>
      <c r="P141" s="24"/>
      <c r="Q141" s="24"/>
      <c r="R141" s="26"/>
      <c r="S141" s="14">
        <f t="shared" si="13"/>
        <v>-0.2783956997</v>
      </c>
      <c r="U141" s="21"/>
      <c r="V141" s="21"/>
    </row>
    <row r="142">
      <c r="A142" s="11">
        <v>130.0</v>
      </c>
      <c r="B142" s="11">
        <v>1.41996086956521E9</v>
      </c>
      <c r="C142" s="2">
        <v>-102.1640549</v>
      </c>
      <c r="D142" s="24">
        <f t="shared" si="1"/>
        <v>-439130.4348</v>
      </c>
      <c r="E142" s="25">
        <f t="shared" si="2"/>
        <v>91.82961321</v>
      </c>
      <c r="F142" s="24">
        <f t="shared" si="3"/>
        <v>0.000209116941</v>
      </c>
      <c r="G142" s="24">
        <f t="shared" si="4"/>
        <v>0</v>
      </c>
      <c r="H142" s="26">
        <f t="shared" si="5"/>
        <v>0</v>
      </c>
      <c r="I142" s="24">
        <f t="shared" si="6"/>
        <v>0</v>
      </c>
      <c r="J142" s="24">
        <f t="shared" si="7"/>
        <v>0</v>
      </c>
      <c r="K142" s="24"/>
      <c r="L142" s="24">
        <f t="shared" si="8"/>
        <v>462.0624509</v>
      </c>
      <c r="M142" s="14">
        <f t="shared" si="9"/>
        <v>462.8864058</v>
      </c>
      <c r="N142" s="27">
        <f t="shared" si="10"/>
        <v>-0.8239549312</v>
      </c>
      <c r="O142" s="24"/>
      <c r="P142" s="24"/>
      <c r="Q142" s="24"/>
      <c r="R142" s="26"/>
      <c r="S142" s="14">
        <f t="shared" si="13"/>
        <v>-0.7566346269</v>
      </c>
      <c r="U142" s="21"/>
      <c r="V142" s="21"/>
    </row>
    <row r="143">
      <c r="A143" s="11">
        <v>131.0</v>
      </c>
      <c r="B143" s="11">
        <v>1.4199652173913E9</v>
      </c>
      <c r="C143" s="2">
        <v>-102.2048874</v>
      </c>
      <c r="D143" s="24">
        <f t="shared" si="1"/>
        <v>-434782.6087</v>
      </c>
      <c r="E143" s="25">
        <f t="shared" si="2"/>
        <v>90.91131708</v>
      </c>
      <c r="F143" s="24">
        <f t="shared" si="3"/>
        <v>0.0002090960293</v>
      </c>
      <c r="G143" s="24">
        <f t="shared" si="4"/>
        <v>0</v>
      </c>
      <c r="H143" s="26">
        <f t="shared" si="5"/>
        <v>0</v>
      </c>
      <c r="I143" s="24">
        <f t="shared" si="6"/>
        <v>0</v>
      </c>
      <c r="J143" s="24">
        <f t="shared" si="7"/>
        <v>0</v>
      </c>
      <c r="K143" s="24"/>
      <c r="L143" s="24">
        <f t="shared" si="8"/>
        <v>457.7384845</v>
      </c>
      <c r="M143" s="14">
        <f t="shared" si="9"/>
        <v>462.8113503</v>
      </c>
      <c r="N143" s="27">
        <f t="shared" si="10"/>
        <v>-5.072865858</v>
      </c>
      <c r="O143" s="24"/>
      <c r="P143" s="24"/>
      <c r="Q143" s="24"/>
      <c r="R143" s="26"/>
      <c r="S143" s="14">
        <f t="shared" si="13"/>
        <v>-4.658393088</v>
      </c>
      <c r="U143" s="21"/>
      <c r="V143" s="21"/>
    </row>
    <row r="144">
      <c r="A144" s="11">
        <v>132.0</v>
      </c>
      <c r="B144" s="11">
        <v>1.41996956521739E9</v>
      </c>
      <c r="C144" s="2">
        <v>-102.0998611</v>
      </c>
      <c r="D144" s="24">
        <f t="shared" si="1"/>
        <v>-430434.7826</v>
      </c>
      <c r="E144" s="25">
        <f t="shared" si="2"/>
        <v>89.99302095</v>
      </c>
      <c r="F144" s="24">
        <f t="shared" si="3"/>
        <v>0.0002090746951</v>
      </c>
      <c r="G144" s="24">
        <f t="shared" si="4"/>
        <v>0</v>
      </c>
      <c r="H144" s="26">
        <f t="shared" si="5"/>
        <v>0</v>
      </c>
      <c r="I144" s="24">
        <f t="shared" si="6"/>
        <v>0</v>
      </c>
      <c r="J144" s="24">
        <f t="shared" si="7"/>
        <v>0</v>
      </c>
      <c r="K144" s="24"/>
      <c r="L144" s="24">
        <f t="shared" si="8"/>
        <v>468.9429999</v>
      </c>
      <c r="M144" s="14">
        <f t="shared" si="9"/>
        <v>462.7358326</v>
      </c>
      <c r="N144" s="27">
        <f t="shared" si="10"/>
        <v>6.207167363</v>
      </c>
      <c r="O144" s="24"/>
      <c r="P144" s="24"/>
      <c r="Q144" s="24"/>
      <c r="R144" s="26"/>
      <c r="S144" s="14">
        <f t="shared" si="13"/>
        <v>5.700017785</v>
      </c>
      <c r="U144" s="21"/>
      <c r="V144" s="21"/>
    </row>
    <row r="145">
      <c r="A145" s="11">
        <v>133.0</v>
      </c>
      <c r="B145" s="11">
        <v>1.41997391304347E9</v>
      </c>
      <c r="C145" s="2">
        <v>-102.1961594</v>
      </c>
      <c r="D145" s="24">
        <f t="shared" si="1"/>
        <v>-426086.9565</v>
      </c>
      <c r="E145" s="25">
        <f t="shared" si="2"/>
        <v>89.07472482</v>
      </c>
      <c r="F145" s="24">
        <f t="shared" si="3"/>
        <v>0.0002090529256</v>
      </c>
      <c r="G145" s="24">
        <f t="shared" si="4"/>
        <v>0</v>
      </c>
      <c r="H145" s="26">
        <f t="shared" si="5"/>
        <v>0</v>
      </c>
      <c r="I145" s="24">
        <f t="shared" si="6"/>
        <v>0</v>
      </c>
      <c r="J145" s="24">
        <f t="shared" si="7"/>
        <v>0</v>
      </c>
      <c r="K145" s="24"/>
      <c r="L145" s="24">
        <f t="shared" si="8"/>
        <v>458.6593248</v>
      </c>
      <c r="M145" s="14">
        <f t="shared" si="9"/>
        <v>462.6598551</v>
      </c>
      <c r="N145" s="27">
        <f t="shared" si="10"/>
        <v>-4.000530327</v>
      </c>
      <c r="O145" s="24"/>
      <c r="P145" s="24"/>
      <c r="Q145" s="24"/>
      <c r="R145" s="26"/>
      <c r="S145" s="14">
        <f t="shared" si="13"/>
        <v>-3.673671529</v>
      </c>
      <c r="U145" s="21"/>
      <c r="V145" s="21"/>
    </row>
    <row r="146">
      <c r="A146" s="11">
        <v>134.0</v>
      </c>
      <c r="B146" s="11">
        <v>1.41997826086956E9</v>
      </c>
      <c r="C146" s="2">
        <v>-102.146553</v>
      </c>
      <c r="D146" s="24">
        <f t="shared" si="1"/>
        <v>-421739.1304</v>
      </c>
      <c r="E146" s="25">
        <f t="shared" si="2"/>
        <v>88.15642869</v>
      </c>
      <c r="F146" s="24">
        <f t="shared" si="3"/>
        <v>0.0002090307072</v>
      </c>
      <c r="G146" s="24">
        <f t="shared" si="4"/>
        <v>0</v>
      </c>
      <c r="H146" s="26">
        <f t="shared" si="5"/>
        <v>0</v>
      </c>
      <c r="I146" s="24">
        <f t="shared" si="6"/>
        <v>0</v>
      </c>
      <c r="J146" s="24">
        <f t="shared" si="7"/>
        <v>0</v>
      </c>
      <c r="K146" s="24"/>
      <c r="L146" s="24">
        <f t="shared" si="8"/>
        <v>463.9283019</v>
      </c>
      <c r="M146" s="14">
        <f t="shared" si="9"/>
        <v>462.5834207</v>
      </c>
      <c r="N146" s="27">
        <f t="shared" si="10"/>
        <v>1.344881208</v>
      </c>
      <c r="O146" s="24"/>
      <c r="P146" s="24"/>
      <c r="Q146" s="24"/>
      <c r="R146" s="26"/>
      <c r="S146" s="14">
        <f t="shared" si="13"/>
        <v>1.234999209</v>
      </c>
      <c r="U146" s="21"/>
      <c r="V146" s="21"/>
    </row>
    <row r="147">
      <c r="A147" s="11">
        <v>135.0</v>
      </c>
      <c r="B147" s="11">
        <v>1.41998260869565E9</v>
      </c>
      <c r="C147" s="2">
        <v>-102.2425385</v>
      </c>
      <c r="D147" s="24">
        <f t="shared" si="1"/>
        <v>-417391.3043</v>
      </c>
      <c r="E147" s="25">
        <f t="shared" si="2"/>
        <v>87.23813255</v>
      </c>
      <c r="F147" s="24">
        <f t="shared" si="3"/>
        <v>0.0002090080259</v>
      </c>
      <c r="G147" s="24">
        <f t="shared" si="4"/>
        <v>0</v>
      </c>
      <c r="H147" s="26">
        <f t="shared" si="5"/>
        <v>0</v>
      </c>
      <c r="I147" s="24">
        <f t="shared" si="6"/>
        <v>0</v>
      </c>
      <c r="J147" s="24">
        <f t="shared" si="7"/>
        <v>0</v>
      </c>
      <c r="K147" s="24"/>
      <c r="L147" s="24">
        <f t="shared" si="8"/>
        <v>453.7872792</v>
      </c>
      <c r="M147" s="14">
        <f t="shared" si="9"/>
        <v>462.5065318</v>
      </c>
      <c r="N147" s="27">
        <f t="shared" si="10"/>
        <v>-8.719252539</v>
      </c>
      <c r="O147" s="24"/>
      <c r="P147" s="24"/>
      <c r="Q147" s="24"/>
      <c r="R147" s="26"/>
      <c r="S147" s="14">
        <f t="shared" si="13"/>
        <v>-8.006855887</v>
      </c>
      <c r="U147" s="21"/>
      <c r="V147" s="21"/>
    </row>
    <row r="148">
      <c r="A148" s="11">
        <v>136.0</v>
      </c>
      <c r="B148" s="11">
        <v>1.41998695652173E9</v>
      </c>
      <c r="C148" s="2">
        <v>-102.1641541</v>
      </c>
      <c r="D148" s="24">
        <f t="shared" si="1"/>
        <v>-413043.4783</v>
      </c>
      <c r="E148" s="25">
        <f t="shared" si="2"/>
        <v>86.31983642</v>
      </c>
      <c r="F148" s="24">
        <f t="shared" si="3"/>
        <v>0.0002089848671</v>
      </c>
      <c r="G148" s="24">
        <f t="shared" si="4"/>
        <v>0</v>
      </c>
      <c r="H148" s="26">
        <f t="shared" si="5"/>
        <v>0</v>
      </c>
      <c r="I148" s="24">
        <f t="shared" si="6"/>
        <v>0</v>
      </c>
      <c r="J148" s="24">
        <f t="shared" si="7"/>
        <v>0</v>
      </c>
      <c r="K148" s="24"/>
      <c r="L148" s="24">
        <f t="shared" si="8"/>
        <v>462.0518967</v>
      </c>
      <c r="M148" s="14">
        <f t="shared" si="9"/>
        <v>462.4291911</v>
      </c>
      <c r="N148" s="27">
        <f t="shared" si="10"/>
        <v>-0.3772943622</v>
      </c>
      <c r="O148" s="24"/>
      <c r="P148" s="24"/>
      <c r="Q148" s="24"/>
      <c r="R148" s="26"/>
      <c r="S148" s="14">
        <f t="shared" si="13"/>
        <v>-0.3464679537</v>
      </c>
      <c r="U148" s="21"/>
      <c r="V148" s="21"/>
    </row>
    <row r="149">
      <c r="A149" s="11">
        <v>137.0</v>
      </c>
      <c r="B149" s="11">
        <v>1.41999130434782E9</v>
      </c>
      <c r="C149" s="2">
        <v>-102.1181412</v>
      </c>
      <c r="D149" s="24">
        <f t="shared" si="1"/>
        <v>-408695.6522</v>
      </c>
      <c r="E149" s="25">
        <f t="shared" si="2"/>
        <v>85.40154029</v>
      </c>
      <c r="F149" s="24">
        <f t="shared" si="3"/>
        <v>0.0002089612156</v>
      </c>
      <c r="G149" s="24">
        <f t="shared" si="4"/>
        <v>0</v>
      </c>
      <c r="H149" s="26">
        <f t="shared" si="5"/>
        <v>0</v>
      </c>
      <c r="I149" s="24">
        <f t="shared" si="6"/>
        <v>0</v>
      </c>
      <c r="J149" s="24">
        <f t="shared" si="7"/>
        <v>0</v>
      </c>
      <c r="K149" s="24"/>
      <c r="L149" s="24">
        <f t="shared" si="8"/>
        <v>466.9732975</v>
      </c>
      <c r="M149" s="14">
        <f t="shared" si="9"/>
        <v>462.3514013</v>
      </c>
      <c r="N149" s="27">
        <f t="shared" si="10"/>
        <v>4.621896174</v>
      </c>
      <c r="O149" s="24"/>
      <c r="P149" s="24"/>
      <c r="Q149" s="24"/>
      <c r="R149" s="26"/>
      <c r="S149" s="14">
        <f t="shared" si="13"/>
        <v>4.244269382</v>
      </c>
      <c r="U149" s="21"/>
      <c r="V149" s="21"/>
    </row>
    <row r="150">
      <c r="A150" s="11">
        <v>138.0</v>
      </c>
      <c r="B150" s="11">
        <v>1.41999565217391E9</v>
      </c>
      <c r="C150" s="2">
        <v>-102.1643829</v>
      </c>
      <c r="D150" s="24">
        <f t="shared" si="1"/>
        <v>-404347.8261</v>
      </c>
      <c r="E150" s="25">
        <f t="shared" si="2"/>
        <v>84.48324416</v>
      </c>
      <c r="F150" s="24">
        <f t="shared" si="3"/>
        <v>0.0002089370554</v>
      </c>
      <c r="G150" s="24">
        <f t="shared" si="4"/>
        <v>0</v>
      </c>
      <c r="H150" s="26">
        <f t="shared" si="5"/>
        <v>0</v>
      </c>
      <c r="I150" s="24">
        <f t="shared" si="6"/>
        <v>0</v>
      </c>
      <c r="J150" s="24">
        <f t="shared" si="7"/>
        <v>0</v>
      </c>
      <c r="K150" s="24"/>
      <c r="L150" s="24">
        <f t="shared" si="8"/>
        <v>462.027555</v>
      </c>
      <c r="M150" s="14">
        <f t="shared" si="9"/>
        <v>462.2731649</v>
      </c>
      <c r="N150" s="27">
        <f t="shared" si="10"/>
        <v>-0.2456099052</v>
      </c>
      <c r="O150" s="24"/>
      <c r="P150" s="24"/>
      <c r="Q150" s="24"/>
      <c r="R150" s="26"/>
      <c r="S150" s="14">
        <f t="shared" si="13"/>
        <v>-0.2255426256</v>
      </c>
      <c r="U150" s="21"/>
      <c r="V150" s="21"/>
    </row>
    <row r="151">
      <c r="A151" s="11">
        <v>139.0</v>
      </c>
      <c r="B151" s="11">
        <v>1.42E9</v>
      </c>
      <c r="C151" s="2">
        <v>-102.25177</v>
      </c>
      <c r="D151" s="24">
        <f t="shared" si="1"/>
        <v>-400000</v>
      </c>
      <c r="E151" s="25">
        <f t="shared" si="2"/>
        <v>83.56494803</v>
      </c>
      <c r="F151" s="24">
        <f t="shared" si="3"/>
        <v>0.0002089123701</v>
      </c>
      <c r="G151" s="24">
        <f t="shared" si="4"/>
        <v>0</v>
      </c>
      <c r="H151" s="26">
        <f t="shared" si="5"/>
        <v>0</v>
      </c>
      <c r="I151" s="24">
        <f t="shared" si="6"/>
        <v>0</v>
      </c>
      <c r="J151" s="24">
        <f t="shared" si="7"/>
        <v>0</v>
      </c>
      <c r="K151" s="24"/>
      <c r="L151" s="24">
        <f t="shared" si="8"/>
        <v>452.8237192</v>
      </c>
      <c r="M151" s="14">
        <f t="shared" si="9"/>
        <v>462.1944847</v>
      </c>
      <c r="N151" s="27">
        <f t="shared" si="10"/>
        <v>-9.370765519</v>
      </c>
      <c r="O151" s="24"/>
      <c r="P151" s="24"/>
      <c r="Q151" s="24"/>
      <c r="R151" s="26"/>
      <c r="S151" s="14">
        <f t="shared" si="13"/>
        <v>-8.605137737</v>
      </c>
      <c r="U151" s="21"/>
      <c r="V151" s="21"/>
    </row>
    <row r="152">
      <c r="A152" s="11">
        <v>140.0</v>
      </c>
      <c r="B152" s="11">
        <v>1.42000434782608E9</v>
      </c>
      <c r="C152" s="2">
        <v>-102.2014999</v>
      </c>
      <c r="D152" s="24">
        <f t="shared" si="1"/>
        <v>-395652.1739</v>
      </c>
      <c r="E152" s="25">
        <f t="shared" si="2"/>
        <v>82.64665189</v>
      </c>
      <c r="F152" s="24">
        <f t="shared" si="3"/>
        <v>0.0002088871421</v>
      </c>
      <c r="G152" s="24">
        <f t="shared" si="4"/>
        <v>0</v>
      </c>
      <c r="H152" s="26">
        <f t="shared" si="5"/>
        <v>0</v>
      </c>
      <c r="I152" s="24">
        <f t="shared" si="6"/>
        <v>0</v>
      </c>
      <c r="J152" s="24">
        <f t="shared" si="7"/>
        <v>0</v>
      </c>
      <c r="K152" s="24"/>
      <c r="L152" s="24">
        <f t="shared" si="8"/>
        <v>458.0956601</v>
      </c>
      <c r="M152" s="14">
        <f t="shared" si="9"/>
        <v>462.1153632</v>
      </c>
      <c r="N152" s="27">
        <f t="shared" si="10"/>
        <v>-4.019703082</v>
      </c>
      <c r="O152" s="24"/>
      <c r="P152" s="24"/>
      <c r="Q152" s="24"/>
      <c r="R152" s="26"/>
      <c r="S152" s="14">
        <f t="shared" si="13"/>
        <v>-3.691277795</v>
      </c>
      <c r="U152" s="21"/>
      <c r="V152" s="21"/>
    </row>
    <row r="153">
      <c r="A153" s="11">
        <v>141.0</v>
      </c>
      <c r="B153" s="11">
        <v>1.42000869565217E9</v>
      </c>
      <c r="C153" s="2">
        <v>-102.192215</v>
      </c>
      <c r="D153" s="24">
        <f t="shared" si="1"/>
        <v>-391304.3478</v>
      </c>
      <c r="E153" s="25">
        <f t="shared" si="2"/>
        <v>81.72835576</v>
      </c>
      <c r="F153" s="24">
        <f t="shared" si="3"/>
        <v>0.0002088613536</v>
      </c>
      <c r="G153" s="24">
        <f t="shared" si="4"/>
        <v>0</v>
      </c>
      <c r="H153" s="26">
        <f t="shared" si="5"/>
        <v>0</v>
      </c>
      <c r="I153" s="24">
        <f t="shared" si="6"/>
        <v>0</v>
      </c>
      <c r="J153" s="24">
        <f t="shared" si="7"/>
        <v>0</v>
      </c>
      <c r="K153" s="24"/>
      <c r="L153" s="24">
        <f t="shared" si="8"/>
        <v>459.0760829</v>
      </c>
      <c r="M153" s="14">
        <f t="shared" si="9"/>
        <v>462.035803</v>
      </c>
      <c r="N153" s="27">
        <f t="shared" si="10"/>
        <v>-2.959720072</v>
      </c>
      <c r="O153" s="24"/>
      <c r="P153" s="24"/>
      <c r="Q153" s="24"/>
      <c r="R153" s="26"/>
      <c r="S153" s="14">
        <f t="shared" si="13"/>
        <v>-2.71789949</v>
      </c>
      <c r="U153" s="21"/>
      <c r="V153" s="21"/>
    </row>
    <row r="154">
      <c r="A154" s="11">
        <v>142.0</v>
      </c>
      <c r="B154" s="11">
        <v>1.42001304347826E9</v>
      </c>
      <c r="C154" s="2">
        <v>-102.1851044</v>
      </c>
      <c r="D154" s="24">
        <f t="shared" si="1"/>
        <v>-386956.5217</v>
      </c>
      <c r="E154" s="25">
        <f t="shared" si="2"/>
        <v>80.81005963</v>
      </c>
      <c r="F154" s="24">
        <f t="shared" si="3"/>
        <v>0.0002088349856</v>
      </c>
      <c r="G154" s="24">
        <f t="shared" si="4"/>
        <v>0</v>
      </c>
      <c r="H154" s="26">
        <f t="shared" si="5"/>
        <v>0</v>
      </c>
      <c r="I154" s="24">
        <f t="shared" si="6"/>
        <v>0</v>
      </c>
      <c r="J154" s="24">
        <f t="shared" si="7"/>
        <v>0</v>
      </c>
      <c r="K154" s="24"/>
      <c r="L154" s="24">
        <f t="shared" si="8"/>
        <v>459.8283329</v>
      </c>
      <c r="M154" s="14">
        <f t="shared" si="9"/>
        <v>461.9558068</v>
      </c>
      <c r="N154" s="27">
        <f t="shared" si="10"/>
        <v>-2.127473917</v>
      </c>
      <c r="O154" s="24"/>
      <c r="P154" s="24"/>
      <c r="Q154" s="24"/>
      <c r="R154" s="26"/>
      <c r="S154" s="14">
        <f t="shared" si="13"/>
        <v>-1.953651071</v>
      </c>
      <c r="U154" s="21"/>
      <c r="V154" s="21"/>
    </row>
    <row r="155">
      <c r="A155" s="11">
        <v>143.0</v>
      </c>
      <c r="B155" s="11">
        <v>1.42001739130434E9</v>
      </c>
      <c r="C155" s="2">
        <v>-102.1994781</v>
      </c>
      <c r="D155" s="24">
        <f t="shared" si="1"/>
        <v>-382608.6957</v>
      </c>
      <c r="E155" s="25">
        <f t="shared" si="2"/>
        <v>79.8917635</v>
      </c>
      <c r="F155" s="24">
        <f t="shared" si="3"/>
        <v>0.0002088080182</v>
      </c>
      <c r="G155" s="24">
        <f t="shared" si="4"/>
        <v>0</v>
      </c>
      <c r="H155" s="26">
        <f t="shared" si="5"/>
        <v>0</v>
      </c>
      <c r="I155" s="24">
        <f t="shared" si="6"/>
        <v>0</v>
      </c>
      <c r="J155" s="24">
        <f t="shared" si="7"/>
        <v>0</v>
      </c>
      <c r="K155" s="24"/>
      <c r="L155" s="24">
        <f t="shared" si="8"/>
        <v>458.3089701</v>
      </c>
      <c r="M155" s="14">
        <f t="shared" si="9"/>
        <v>461.8753773</v>
      </c>
      <c r="N155" s="27">
        <f t="shared" si="10"/>
        <v>-3.566407208</v>
      </c>
      <c r="O155" s="24"/>
      <c r="P155" s="24"/>
      <c r="Q155" s="24"/>
      <c r="R155" s="26"/>
      <c r="S155" s="14">
        <f t="shared" si="13"/>
        <v>-3.275017947</v>
      </c>
      <c r="U155" s="21"/>
      <c r="V155" s="21"/>
    </row>
    <row r="156">
      <c r="A156" s="11">
        <v>144.0</v>
      </c>
      <c r="B156" s="11">
        <v>1.42002173913043E9</v>
      </c>
      <c r="C156" s="2">
        <v>-102.1944046</v>
      </c>
      <c r="D156" s="24">
        <f t="shared" si="1"/>
        <v>-378260.8696</v>
      </c>
      <c r="E156" s="25">
        <f t="shared" si="2"/>
        <v>78.97346736</v>
      </c>
      <c r="F156" s="24">
        <f t="shared" si="3"/>
        <v>0.000208780431</v>
      </c>
      <c r="G156" s="24">
        <f t="shared" si="4"/>
        <v>0</v>
      </c>
      <c r="H156" s="26">
        <f t="shared" si="5"/>
        <v>0</v>
      </c>
      <c r="I156" s="24">
        <f t="shared" si="6"/>
        <v>0</v>
      </c>
      <c r="J156" s="24">
        <f t="shared" si="7"/>
        <v>0</v>
      </c>
      <c r="K156" s="24"/>
      <c r="L156" s="24">
        <f t="shared" si="8"/>
        <v>458.844687</v>
      </c>
      <c r="M156" s="14">
        <f t="shared" si="9"/>
        <v>461.7945169</v>
      </c>
      <c r="N156" s="27">
        <f t="shared" si="10"/>
        <v>-2.949829901</v>
      </c>
      <c r="O156" s="24"/>
      <c r="P156" s="24"/>
      <c r="Q156" s="24"/>
      <c r="R156" s="26"/>
      <c r="S156" s="14">
        <f t="shared" si="13"/>
        <v>-2.708817384</v>
      </c>
      <c r="U156" s="21"/>
      <c r="V156" s="21"/>
    </row>
    <row r="157">
      <c r="A157" s="11">
        <v>145.0</v>
      </c>
      <c r="B157" s="11">
        <v>1.42002608695652E9</v>
      </c>
      <c r="C157" s="2">
        <v>-102.177948</v>
      </c>
      <c r="D157" s="24">
        <f t="shared" si="1"/>
        <v>-373913.0435</v>
      </c>
      <c r="E157" s="25">
        <f t="shared" si="2"/>
        <v>78.05517123</v>
      </c>
      <c r="F157" s="24">
        <f t="shared" si="3"/>
        <v>0.0002087522021</v>
      </c>
      <c r="G157" s="24">
        <f t="shared" si="4"/>
        <v>0</v>
      </c>
      <c r="H157" s="26">
        <f t="shared" si="5"/>
        <v>0</v>
      </c>
      <c r="I157" s="24">
        <f t="shared" si="6"/>
        <v>0</v>
      </c>
      <c r="J157" s="24">
        <f t="shared" si="7"/>
        <v>0</v>
      </c>
      <c r="K157" s="24"/>
      <c r="L157" s="24">
        <f t="shared" si="8"/>
        <v>460.5866728</v>
      </c>
      <c r="M157" s="14">
        <f t="shared" si="9"/>
        <v>461.7132285</v>
      </c>
      <c r="N157" s="27">
        <f t="shared" si="10"/>
        <v>-1.126555683</v>
      </c>
      <c r="O157" s="24"/>
      <c r="P157" s="24"/>
      <c r="Q157" s="24"/>
      <c r="R157" s="26"/>
      <c r="S157" s="14">
        <f t="shared" si="13"/>
        <v>-1.034511727</v>
      </c>
      <c r="U157" s="21"/>
      <c r="V157" s="21"/>
    </row>
    <row r="158">
      <c r="A158" s="11">
        <v>146.0</v>
      </c>
      <c r="B158" s="11">
        <v>1.4200304347826E9</v>
      </c>
      <c r="C158" s="2">
        <v>-102.1762314</v>
      </c>
      <c r="D158" s="24">
        <f t="shared" si="1"/>
        <v>-369565.2174</v>
      </c>
      <c r="E158" s="25">
        <f t="shared" si="2"/>
        <v>77.1368751</v>
      </c>
      <c r="F158" s="24">
        <f t="shared" si="3"/>
        <v>0.0002087233091</v>
      </c>
      <c r="G158" s="24">
        <f t="shared" si="4"/>
        <v>0</v>
      </c>
      <c r="H158" s="26">
        <f t="shared" si="5"/>
        <v>0</v>
      </c>
      <c r="I158" s="24">
        <f t="shared" si="6"/>
        <v>0</v>
      </c>
      <c r="J158" s="24">
        <f t="shared" si="7"/>
        <v>0</v>
      </c>
      <c r="K158" s="24"/>
      <c r="L158" s="24">
        <f t="shared" si="8"/>
        <v>460.7687611</v>
      </c>
      <c r="M158" s="14">
        <f t="shared" si="9"/>
        <v>461.6315145</v>
      </c>
      <c r="N158" s="27">
        <f t="shared" si="10"/>
        <v>-0.8627534308</v>
      </c>
      <c r="O158" s="24"/>
      <c r="P158" s="24"/>
      <c r="Q158" s="24"/>
      <c r="R158" s="26"/>
      <c r="S158" s="14">
        <f t="shared" si="13"/>
        <v>-0.792263139</v>
      </c>
      <c r="U158" s="21"/>
      <c r="V158" s="21"/>
    </row>
    <row r="159">
      <c r="A159" s="11">
        <v>147.0</v>
      </c>
      <c r="B159" s="11">
        <v>1.42003478260869E9</v>
      </c>
      <c r="C159" s="2">
        <v>-102.168396</v>
      </c>
      <c r="D159" s="24">
        <f t="shared" si="1"/>
        <v>-365217.3913</v>
      </c>
      <c r="E159" s="25">
        <f t="shared" si="2"/>
        <v>76.21857897</v>
      </c>
      <c r="F159" s="24">
        <f t="shared" si="3"/>
        <v>0.0002086937281</v>
      </c>
      <c r="G159" s="24">
        <f t="shared" si="4"/>
        <v>0</v>
      </c>
      <c r="H159" s="26">
        <f t="shared" si="5"/>
        <v>0</v>
      </c>
      <c r="I159" s="24">
        <f t="shared" si="6"/>
        <v>0</v>
      </c>
      <c r="J159" s="24">
        <f t="shared" si="7"/>
        <v>0</v>
      </c>
      <c r="K159" s="24"/>
      <c r="L159" s="24">
        <f t="shared" si="8"/>
        <v>461.6008155</v>
      </c>
      <c r="M159" s="14">
        <f t="shared" si="9"/>
        <v>461.5493777</v>
      </c>
      <c r="N159" s="27">
        <f t="shared" si="10"/>
        <v>0.05143781168</v>
      </c>
      <c r="O159" s="24"/>
      <c r="P159" s="24"/>
      <c r="Q159" s="24"/>
      <c r="R159" s="26"/>
      <c r="S159" s="14">
        <f t="shared" si="13"/>
        <v>0.04723514355</v>
      </c>
      <c r="U159" s="21"/>
      <c r="V159" s="21"/>
    </row>
    <row r="160">
      <c r="A160" s="11">
        <v>148.0</v>
      </c>
      <c r="B160" s="11">
        <v>1.42003913043478E9</v>
      </c>
      <c r="C160" s="2">
        <v>-102.2163849</v>
      </c>
      <c r="D160" s="24">
        <f t="shared" si="1"/>
        <v>-360869.5652</v>
      </c>
      <c r="E160" s="25">
        <f t="shared" si="2"/>
        <v>75.30028284</v>
      </c>
      <c r="F160" s="24">
        <f t="shared" si="3"/>
        <v>0.0002086634344</v>
      </c>
      <c r="G160" s="24">
        <f t="shared" si="4"/>
        <v>0</v>
      </c>
      <c r="H160" s="26">
        <f t="shared" si="5"/>
        <v>0</v>
      </c>
      <c r="I160" s="24">
        <f t="shared" si="6"/>
        <v>0</v>
      </c>
      <c r="J160" s="24">
        <f t="shared" si="7"/>
        <v>0</v>
      </c>
      <c r="K160" s="24"/>
      <c r="L160" s="24">
        <f t="shared" si="8"/>
        <v>456.5282716</v>
      </c>
      <c r="M160" s="14">
        <f t="shared" si="9"/>
        <v>461.4668206</v>
      </c>
      <c r="N160" s="27">
        <f t="shared" si="10"/>
        <v>-4.938549002</v>
      </c>
      <c r="O160" s="24"/>
      <c r="P160" s="24"/>
      <c r="Q160" s="24"/>
      <c r="R160" s="26"/>
      <c r="S160" s="14">
        <f t="shared" si="13"/>
        <v>-4.535050439</v>
      </c>
      <c r="U160" s="21"/>
      <c r="V160" s="21"/>
    </row>
    <row r="161">
      <c r="A161" s="11">
        <v>149.0</v>
      </c>
      <c r="B161" s="11">
        <v>1.42004347826087E9</v>
      </c>
      <c r="C161" s="2">
        <v>-102.2285919</v>
      </c>
      <c r="D161" s="24">
        <f t="shared" si="1"/>
        <v>-356521.7391</v>
      </c>
      <c r="E161" s="25">
        <f t="shared" si="2"/>
        <v>74.3819867</v>
      </c>
      <c r="F161" s="24">
        <f t="shared" si="3"/>
        <v>0.0002086324017</v>
      </c>
      <c r="G161" s="24">
        <f t="shared" si="4"/>
        <v>0</v>
      </c>
      <c r="H161" s="26">
        <f t="shared" si="5"/>
        <v>0</v>
      </c>
      <c r="I161" s="24">
        <f t="shared" si="6"/>
        <v>0</v>
      </c>
      <c r="J161" s="24">
        <f t="shared" si="7"/>
        <v>0</v>
      </c>
      <c r="K161" s="24"/>
      <c r="L161" s="24">
        <f t="shared" si="8"/>
        <v>455.2468793</v>
      </c>
      <c r="M161" s="14">
        <f t="shared" si="9"/>
        <v>461.3838458</v>
      </c>
      <c r="N161" s="27">
        <f t="shared" si="10"/>
        <v>-6.136966555</v>
      </c>
      <c r="O161" s="24"/>
      <c r="P161" s="24"/>
      <c r="Q161" s="24"/>
      <c r="R161" s="26"/>
      <c r="S161" s="14">
        <f t="shared" si="13"/>
        <v>-5.635552655</v>
      </c>
      <c r="U161" s="21"/>
      <c r="V161" s="21"/>
    </row>
    <row r="162">
      <c r="A162" s="11">
        <v>150.0</v>
      </c>
      <c r="B162" s="11">
        <v>1.42004782608695E9</v>
      </c>
      <c r="C162" s="2">
        <v>-102.1846313</v>
      </c>
      <c r="D162" s="24">
        <f t="shared" si="1"/>
        <v>-352173.913</v>
      </c>
      <c r="E162" s="25">
        <f t="shared" si="2"/>
        <v>73.46369057</v>
      </c>
      <c r="F162" s="24">
        <f t="shared" si="3"/>
        <v>0.0002086006029</v>
      </c>
      <c r="G162" s="24">
        <f t="shared" si="4"/>
        <v>0</v>
      </c>
      <c r="H162" s="26">
        <f t="shared" si="5"/>
        <v>0</v>
      </c>
      <c r="I162" s="24">
        <f t="shared" si="6"/>
        <v>0</v>
      </c>
      <c r="J162" s="24">
        <f t="shared" si="7"/>
        <v>0</v>
      </c>
      <c r="K162" s="24"/>
      <c r="L162" s="24">
        <f t="shared" si="8"/>
        <v>459.8784272</v>
      </c>
      <c r="M162" s="14">
        <f t="shared" si="9"/>
        <v>461.3004561</v>
      </c>
      <c r="N162" s="27">
        <f t="shared" si="10"/>
        <v>-1.422028914</v>
      </c>
      <c r="O162" s="24"/>
      <c r="P162" s="24"/>
      <c r="Q162" s="24"/>
      <c r="R162" s="26"/>
      <c r="S162" s="14">
        <f t="shared" si="13"/>
        <v>-1.305843652</v>
      </c>
      <c r="U162" s="21"/>
      <c r="V162" s="21"/>
    </row>
    <row r="163">
      <c r="A163" s="11">
        <v>151.0</v>
      </c>
      <c r="B163" s="11">
        <v>1.42005217391304E9</v>
      </c>
      <c r="C163" s="2">
        <v>-102.1701584</v>
      </c>
      <c r="D163" s="24">
        <f t="shared" si="1"/>
        <v>-347826.087</v>
      </c>
      <c r="E163" s="25">
        <f t="shared" si="2"/>
        <v>72.54539444</v>
      </c>
      <c r="F163" s="24">
        <f t="shared" si="3"/>
        <v>0.000208568009</v>
      </c>
      <c r="G163" s="24">
        <f t="shared" si="4"/>
        <v>0</v>
      </c>
      <c r="H163" s="26">
        <f t="shared" si="5"/>
        <v>0</v>
      </c>
      <c r="I163" s="24">
        <f t="shared" si="6"/>
        <v>0</v>
      </c>
      <c r="J163" s="24">
        <f t="shared" si="7"/>
        <v>0</v>
      </c>
      <c r="K163" s="24"/>
      <c r="L163" s="24">
        <f t="shared" si="8"/>
        <v>461.4135324</v>
      </c>
      <c r="M163" s="14">
        <f t="shared" si="9"/>
        <v>461.216654</v>
      </c>
      <c r="N163" s="27">
        <f t="shared" si="10"/>
        <v>0.1968783485</v>
      </c>
      <c r="O163" s="24"/>
      <c r="P163" s="24"/>
      <c r="Q163" s="24"/>
      <c r="R163" s="26"/>
      <c r="S163" s="14">
        <f t="shared" si="13"/>
        <v>0.1807926256</v>
      </c>
      <c r="U163" s="21"/>
      <c r="V163" s="21"/>
    </row>
    <row r="164">
      <c r="A164" s="11">
        <v>152.0</v>
      </c>
      <c r="B164" s="11">
        <v>1.42005652173913E9</v>
      </c>
      <c r="C164" s="2">
        <v>-102.2058411</v>
      </c>
      <c r="D164" s="24">
        <f t="shared" si="1"/>
        <v>-343478.2609</v>
      </c>
      <c r="E164" s="25">
        <f t="shared" si="2"/>
        <v>71.62709831</v>
      </c>
      <c r="F164" s="24">
        <f t="shared" si="3"/>
        <v>0.00020853459</v>
      </c>
      <c r="G164" s="24">
        <f t="shared" si="4"/>
        <v>0</v>
      </c>
      <c r="H164" s="26">
        <f t="shared" si="5"/>
        <v>0</v>
      </c>
      <c r="I164" s="24">
        <f t="shared" si="6"/>
        <v>0</v>
      </c>
      <c r="J164" s="24">
        <f t="shared" si="7"/>
        <v>0</v>
      </c>
      <c r="K164" s="24"/>
      <c r="L164" s="24">
        <f t="shared" si="8"/>
        <v>457.6379773</v>
      </c>
      <c r="M164" s="14">
        <f t="shared" si="9"/>
        <v>461.1324422</v>
      </c>
      <c r="N164" s="27">
        <f t="shared" si="10"/>
        <v>-3.494464902</v>
      </c>
      <c r="O164" s="24"/>
      <c r="P164" s="24"/>
      <c r="Q164" s="24"/>
      <c r="R164" s="26"/>
      <c r="S164" s="14">
        <f t="shared" si="13"/>
        <v>-3.208953605</v>
      </c>
      <c r="U164" s="21"/>
      <c r="V164" s="21"/>
    </row>
    <row r="165">
      <c r="A165" s="11">
        <v>153.0</v>
      </c>
      <c r="B165" s="11">
        <v>1.42006086956521E9</v>
      </c>
      <c r="C165" s="2">
        <v>-102.1412354</v>
      </c>
      <c r="D165" s="24">
        <f t="shared" si="1"/>
        <v>-339130.4348</v>
      </c>
      <c r="E165" s="25">
        <f t="shared" si="2"/>
        <v>70.70880218</v>
      </c>
      <c r="F165" s="24">
        <f t="shared" si="3"/>
        <v>0.0002085003141</v>
      </c>
      <c r="G165" s="24">
        <f t="shared" si="4"/>
        <v>0</v>
      </c>
      <c r="H165" s="26">
        <f t="shared" si="5"/>
        <v>0</v>
      </c>
      <c r="I165" s="24">
        <f t="shared" si="6"/>
        <v>0</v>
      </c>
      <c r="J165" s="24">
        <f t="shared" si="7"/>
        <v>0</v>
      </c>
      <c r="K165" s="24"/>
      <c r="L165" s="24">
        <f t="shared" si="8"/>
        <v>464.4966941</v>
      </c>
      <c r="M165" s="14">
        <f t="shared" si="9"/>
        <v>461.0478232</v>
      </c>
      <c r="N165" s="27">
        <f t="shared" si="10"/>
        <v>3.448870867</v>
      </c>
      <c r="O165" s="24"/>
      <c r="P165" s="24"/>
      <c r="Q165" s="24"/>
      <c r="R165" s="26"/>
      <c r="S165" s="14">
        <f t="shared" si="13"/>
        <v>3.167084779</v>
      </c>
      <c r="U165" s="21"/>
      <c r="V165" s="21"/>
    </row>
    <row r="166">
      <c r="A166" s="11">
        <v>154.0</v>
      </c>
      <c r="B166" s="11">
        <v>1.4200652173913E9</v>
      </c>
      <c r="C166" s="2">
        <v>-102.1804581</v>
      </c>
      <c r="D166" s="24">
        <f t="shared" si="1"/>
        <v>-334782.6087</v>
      </c>
      <c r="E166" s="25">
        <f t="shared" si="2"/>
        <v>69.79050604</v>
      </c>
      <c r="F166" s="24">
        <f t="shared" si="3"/>
        <v>0.0002084651479</v>
      </c>
      <c r="G166" s="24">
        <f t="shared" si="4"/>
        <v>0</v>
      </c>
      <c r="H166" s="26">
        <f t="shared" si="5"/>
        <v>0</v>
      </c>
      <c r="I166" s="24">
        <f t="shared" si="6"/>
        <v>0</v>
      </c>
      <c r="J166" s="24">
        <f t="shared" si="7"/>
        <v>0</v>
      </c>
      <c r="K166" s="24"/>
      <c r="L166" s="24">
        <f t="shared" si="8"/>
        <v>460.3205436</v>
      </c>
      <c r="M166" s="14">
        <f t="shared" si="9"/>
        <v>460.9627998</v>
      </c>
      <c r="N166" s="27">
        <f t="shared" si="10"/>
        <v>-0.6422562107</v>
      </c>
      <c r="O166" s="24"/>
      <c r="P166" s="24"/>
      <c r="Q166" s="24"/>
      <c r="R166" s="26"/>
      <c r="S166" s="14">
        <f t="shared" si="13"/>
        <v>-0.5897813932</v>
      </c>
      <c r="U166" s="21"/>
      <c r="V166" s="21"/>
    </row>
    <row r="167">
      <c r="A167" s="11">
        <v>155.0</v>
      </c>
      <c r="B167" s="11">
        <v>1.42006956521739E9</v>
      </c>
      <c r="C167" s="2">
        <v>-102.225235</v>
      </c>
      <c r="D167" s="24">
        <f t="shared" si="1"/>
        <v>-330434.7826</v>
      </c>
      <c r="E167" s="25">
        <f t="shared" si="2"/>
        <v>68.87220991</v>
      </c>
      <c r="F167" s="24">
        <f t="shared" si="3"/>
        <v>0.0002084290563</v>
      </c>
      <c r="G167" s="24">
        <f t="shared" si="4"/>
        <v>0</v>
      </c>
      <c r="H167" s="26">
        <f t="shared" si="5"/>
        <v>0</v>
      </c>
      <c r="I167" s="24">
        <f t="shared" si="6"/>
        <v>0</v>
      </c>
      <c r="J167" s="24">
        <f t="shared" si="7"/>
        <v>0</v>
      </c>
      <c r="K167" s="24"/>
      <c r="L167" s="24">
        <f t="shared" si="8"/>
        <v>455.5989006</v>
      </c>
      <c r="M167" s="14">
        <f t="shared" si="9"/>
        <v>460.8773745</v>
      </c>
      <c r="N167" s="27">
        <f t="shared" si="10"/>
        <v>-5.278473916</v>
      </c>
      <c r="O167" s="24"/>
      <c r="P167" s="24"/>
      <c r="Q167" s="24"/>
      <c r="R167" s="26"/>
      <c r="S167" s="14">
        <f t="shared" si="13"/>
        <v>-4.847202184</v>
      </c>
      <c r="U167" s="21"/>
      <c r="V167" s="21"/>
    </row>
    <row r="168">
      <c r="A168" s="11">
        <v>156.0</v>
      </c>
      <c r="B168" s="11">
        <v>1.42007391304347E9</v>
      </c>
      <c r="C168" s="2">
        <v>-102.1700211</v>
      </c>
      <c r="D168" s="24">
        <f t="shared" si="1"/>
        <v>-326086.9565</v>
      </c>
      <c r="E168" s="25">
        <f t="shared" si="2"/>
        <v>67.95391378</v>
      </c>
      <c r="F168" s="24">
        <f t="shared" si="3"/>
        <v>0.0002083920023</v>
      </c>
      <c r="G168" s="24">
        <f t="shared" si="4"/>
        <v>0</v>
      </c>
      <c r="H168" s="26">
        <f t="shared" si="5"/>
        <v>0</v>
      </c>
      <c r="I168" s="24">
        <f t="shared" si="6"/>
        <v>0</v>
      </c>
      <c r="J168" s="24">
        <f t="shared" si="7"/>
        <v>0</v>
      </c>
      <c r="K168" s="24"/>
      <c r="L168" s="24">
        <f t="shared" si="8"/>
        <v>461.4281199</v>
      </c>
      <c r="M168" s="14">
        <f t="shared" si="9"/>
        <v>460.7915499</v>
      </c>
      <c r="N168" s="27">
        <f t="shared" si="10"/>
        <v>0.6365700003</v>
      </c>
      <c r="O168" s="24"/>
      <c r="P168" s="24"/>
      <c r="Q168" s="24"/>
      <c r="R168" s="26"/>
      <c r="S168" s="14">
        <f t="shared" si="13"/>
        <v>0.5845597696</v>
      </c>
      <c r="U168" s="21"/>
      <c r="V168" s="21"/>
    </row>
    <row r="169">
      <c r="A169" s="11">
        <v>157.0</v>
      </c>
      <c r="B169" s="11">
        <v>1.42007826086956E9</v>
      </c>
      <c r="C169" s="2">
        <v>-102.2180328</v>
      </c>
      <c r="D169" s="24">
        <f t="shared" si="1"/>
        <v>-321739.1304</v>
      </c>
      <c r="E169" s="25">
        <f t="shared" si="2"/>
        <v>67.03561765</v>
      </c>
      <c r="F169" s="24">
        <f t="shared" si="3"/>
        <v>0.0002083539467</v>
      </c>
      <c r="G169" s="24">
        <f t="shared" si="4"/>
        <v>0</v>
      </c>
      <c r="H169" s="26">
        <f t="shared" si="5"/>
        <v>0</v>
      </c>
      <c r="I169" s="24">
        <f t="shared" si="6"/>
        <v>0</v>
      </c>
      <c r="J169" s="24">
        <f t="shared" si="7"/>
        <v>0</v>
      </c>
      <c r="K169" s="24"/>
      <c r="L169" s="24">
        <f t="shared" si="8"/>
        <v>456.355078</v>
      </c>
      <c r="M169" s="14">
        <f t="shared" si="9"/>
        <v>460.7053288</v>
      </c>
      <c r="N169" s="27">
        <f t="shared" si="10"/>
        <v>-4.350250843</v>
      </c>
      <c r="O169" s="24"/>
      <c r="P169" s="24"/>
      <c r="Q169" s="24"/>
      <c r="R169" s="26"/>
      <c r="S169" s="14">
        <f t="shared" si="13"/>
        <v>-3.994818516</v>
      </c>
      <c r="U169" s="21"/>
      <c r="V169" s="21"/>
    </row>
    <row r="170">
      <c r="A170" s="11">
        <v>158.0</v>
      </c>
      <c r="B170" s="11">
        <v>1.42008260869565E9</v>
      </c>
      <c r="C170" s="2">
        <v>-102.2084732</v>
      </c>
      <c r="D170" s="24">
        <f t="shared" si="1"/>
        <v>-317391.3043</v>
      </c>
      <c r="E170" s="25">
        <f t="shared" si="2"/>
        <v>66.11732152</v>
      </c>
      <c r="F170" s="24">
        <f t="shared" si="3"/>
        <v>0.0002083148486</v>
      </c>
      <c r="G170" s="24">
        <f t="shared" si="4"/>
        <v>0</v>
      </c>
      <c r="H170" s="26">
        <f t="shared" si="5"/>
        <v>0</v>
      </c>
      <c r="I170" s="24">
        <f t="shared" si="6"/>
        <v>0</v>
      </c>
      <c r="J170" s="24">
        <f t="shared" si="7"/>
        <v>0</v>
      </c>
      <c r="K170" s="24"/>
      <c r="L170" s="24">
        <f t="shared" si="8"/>
        <v>457.3607037</v>
      </c>
      <c r="M170" s="14">
        <f t="shared" si="9"/>
        <v>460.6187137</v>
      </c>
      <c r="N170" s="27">
        <f t="shared" si="10"/>
        <v>-3.258010025</v>
      </c>
      <c r="O170" s="24"/>
      <c r="P170" s="24"/>
      <c r="Q170" s="24"/>
      <c r="R170" s="26"/>
      <c r="S170" s="14">
        <f t="shared" si="13"/>
        <v>-2.991818006</v>
      </c>
      <c r="U170" s="21"/>
      <c r="V170" s="21"/>
    </row>
    <row r="171">
      <c r="A171" s="11">
        <v>159.0</v>
      </c>
      <c r="B171" s="11">
        <v>1.42008695652173E9</v>
      </c>
      <c r="C171" s="2">
        <v>-102.2010269</v>
      </c>
      <c r="D171" s="24">
        <f t="shared" si="1"/>
        <v>-313043.4783</v>
      </c>
      <c r="E171" s="25">
        <f t="shared" si="2"/>
        <v>65.19902538</v>
      </c>
      <c r="F171" s="24">
        <f t="shared" si="3"/>
        <v>0.0002082746644</v>
      </c>
      <c r="G171" s="24">
        <f t="shared" si="4"/>
        <v>0</v>
      </c>
      <c r="H171" s="26">
        <f t="shared" si="5"/>
        <v>0</v>
      </c>
      <c r="I171" s="24">
        <f t="shared" si="6"/>
        <v>0</v>
      </c>
      <c r="J171" s="24">
        <f t="shared" si="7"/>
        <v>0</v>
      </c>
      <c r="K171" s="24"/>
      <c r="L171" s="24">
        <f t="shared" si="8"/>
        <v>458.1455551</v>
      </c>
      <c r="M171" s="14">
        <f t="shared" si="9"/>
        <v>460.5317072</v>
      </c>
      <c r="N171" s="27">
        <f t="shared" si="10"/>
        <v>-2.386152164</v>
      </c>
      <c r="O171" s="24"/>
      <c r="P171" s="24"/>
      <c r="Q171" s="24"/>
      <c r="R171" s="26"/>
      <c r="S171" s="14">
        <f t="shared" si="13"/>
        <v>-2.191194304</v>
      </c>
      <c r="U171" s="21"/>
      <c r="V171" s="21"/>
    </row>
    <row r="172">
      <c r="A172" s="11">
        <v>160.0</v>
      </c>
      <c r="B172" s="11">
        <v>1.42009130434782E9</v>
      </c>
      <c r="C172" s="2">
        <v>-102.1660461</v>
      </c>
      <c r="D172" s="24">
        <f t="shared" si="1"/>
        <v>-308695.6522</v>
      </c>
      <c r="E172" s="25">
        <f t="shared" si="2"/>
        <v>64.28072925</v>
      </c>
      <c r="F172" s="24">
        <f t="shared" si="3"/>
        <v>0.0002082333483</v>
      </c>
      <c r="G172" s="24">
        <f t="shared" si="4"/>
        <v>0</v>
      </c>
      <c r="H172" s="26">
        <f t="shared" si="5"/>
        <v>0</v>
      </c>
      <c r="I172" s="24">
        <f t="shared" si="6"/>
        <v>0</v>
      </c>
      <c r="J172" s="24">
        <f t="shared" si="7"/>
        <v>0</v>
      </c>
      <c r="K172" s="24"/>
      <c r="L172" s="24">
        <f t="shared" si="8"/>
        <v>461.8506481</v>
      </c>
      <c r="M172" s="14">
        <f t="shared" si="9"/>
        <v>460.444312</v>
      </c>
      <c r="N172" s="27">
        <f t="shared" si="10"/>
        <v>1.406336061</v>
      </c>
      <c r="O172" s="24"/>
      <c r="P172" s="24"/>
      <c r="Q172" s="24"/>
      <c r="R172" s="26"/>
      <c r="S172" s="14">
        <f t="shared" si="13"/>
        <v>1.291432966</v>
      </c>
      <c r="U172" s="21"/>
      <c r="V172" s="21"/>
    </row>
    <row r="173">
      <c r="A173" s="11">
        <v>161.0</v>
      </c>
      <c r="B173" s="11">
        <v>1.42009565217391E9</v>
      </c>
      <c r="C173" s="2">
        <v>-102.1963043</v>
      </c>
      <c r="D173" s="24">
        <f t="shared" si="1"/>
        <v>-304347.8261</v>
      </c>
      <c r="E173" s="25">
        <f t="shared" si="2"/>
        <v>63.36243312</v>
      </c>
      <c r="F173" s="24">
        <f t="shared" si="3"/>
        <v>0.0002081908517</v>
      </c>
      <c r="G173" s="24">
        <f t="shared" si="4"/>
        <v>0</v>
      </c>
      <c r="H173" s="26">
        <f t="shared" si="5"/>
        <v>0</v>
      </c>
      <c r="I173" s="24">
        <f t="shared" si="6"/>
        <v>0</v>
      </c>
      <c r="J173" s="24">
        <f t="shared" si="7"/>
        <v>0</v>
      </c>
      <c r="K173" s="24"/>
      <c r="L173" s="24">
        <f t="shared" si="8"/>
        <v>458.6440221</v>
      </c>
      <c r="M173" s="14">
        <f t="shared" si="9"/>
        <v>460.3565307</v>
      </c>
      <c r="N173" s="27">
        <f t="shared" si="10"/>
        <v>-1.712508608</v>
      </c>
      <c r="O173" s="24"/>
      <c r="P173" s="24"/>
      <c r="Q173" s="24"/>
      <c r="R173" s="26"/>
      <c r="S173" s="14">
        <f t="shared" si="13"/>
        <v>-1.572590029</v>
      </c>
      <c r="U173" s="21"/>
      <c r="V173" s="21"/>
    </row>
    <row r="174">
      <c r="A174" s="11">
        <v>162.0</v>
      </c>
      <c r="B174" s="11">
        <v>1.4201E9</v>
      </c>
      <c r="C174" s="2">
        <v>-102.2100296</v>
      </c>
      <c r="D174" s="24">
        <f t="shared" si="1"/>
        <v>-300000</v>
      </c>
      <c r="E174" s="25">
        <f t="shared" si="2"/>
        <v>62.44413699</v>
      </c>
      <c r="F174" s="24">
        <f t="shared" si="3"/>
        <v>0.0002081471233</v>
      </c>
      <c r="G174" s="24">
        <f t="shared" si="4"/>
        <v>0</v>
      </c>
      <c r="H174" s="26">
        <f t="shared" si="5"/>
        <v>0</v>
      </c>
      <c r="I174" s="24">
        <f t="shared" si="6"/>
        <v>0</v>
      </c>
      <c r="J174" s="24">
        <f t="shared" si="7"/>
        <v>0</v>
      </c>
      <c r="K174" s="24"/>
      <c r="L174" s="24">
        <f t="shared" si="8"/>
        <v>457.1968267</v>
      </c>
      <c r="M174" s="14">
        <f t="shared" si="9"/>
        <v>460.268366</v>
      </c>
      <c r="N174" s="27">
        <f t="shared" si="10"/>
        <v>-3.071539301</v>
      </c>
      <c r="O174" s="24"/>
      <c r="P174" s="24"/>
      <c r="Q174" s="24"/>
      <c r="R174" s="26"/>
      <c r="S174" s="14">
        <f t="shared" si="13"/>
        <v>-2.820582662</v>
      </c>
      <c r="U174" s="21"/>
      <c r="V174" s="21"/>
    </row>
    <row r="175">
      <c r="A175" s="11">
        <v>163.0</v>
      </c>
      <c r="B175" s="11">
        <v>1.42010434782608E9</v>
      </c>
      <c r="C175" s="2">
        <v>-102.1832809</v>
      </c>
      <c r="D175" s="24">
        <f t="shared" si="1"/>
        <v>-295652.1739</v>
      </c>
      <c r="E175" s="25">
        <f t="shared" si="2"/>
        <v>61.52584085</v>
      </c>
      <c r="F175" s="24">
        <f t="shared" si="3"/>
        <v>0.0002081021088</v>
      </c>
      <c r="G175" s="24">
        <f t="shared" si="4"/>
        <v>0</v>
      </c>
      <c r="H175" s="26">
        <f t="shared" si="5"/>
        <v>0</v>
      </c>
      <c r="I175" s="24">
        <f t="shared" si="6"/>
        <v>0</v>
      </c>
      <c r="J175" s="24">
        <f t="shared" si="7"/>
        <v>0</v>
      </c>
      <c r="K175" s="24"/>
      <c r="L175" s="24">
        <f t="shared" si="8"/>
        <v>460.0214445</v>
      </c>
      <c r="M175" s="14">
        <f t="shared" si="9"/>
        <v>460.1798204</v>
      </c>
      <c r="N175" s="27">
        <f t="shared" si="10"/>
        <v>-0.1583758672</v>
      </c>
      <c r="O175" s="24"/>
      <c r="P175" s="24"/>
      <c r="Q175" s="24"/>
      <c r="R175" s="26"/>
      <c r="S175" s="14">
        <f t="shared" si="13"/>
        <v>-0.1454359464</v>
      </c>
      <c r="U175" s="21"/>
      <c r="V175" s="21"/>
    </row>
    <row r="176">
      <c r="A176" s="11">
        <v>164.0</v>
      </c>
      <c r="B176" s="11">
        <v>1.42010869565217E9</v>
      </c>
      <c r="C176" s="2">
        <v>-102.1817398</v>
      </c>
      <c r="D176" s="24">
        <f t="shared" si="1"/>
        <v>-291304.3478</v>
      </c>
      <c r="E176" s="25">
        <f t="shared" si="2"/>
        <v>60.60754472</v>
      </c>
      <c r="F176" s="24">
        <f t="shared" si="3"/>
        <v>0.0002080557505</v>
      </c>
      <c r="G176" s="24">
        <f t="shared" si="4"/>
        <v>0</v>
      </c>
      <c r="H176" s="26">
        <f t="shared" si="5"/>
        <v>0</v>
      </c>
      <c r="I176" s="24">
        <f t="shared" si="6"/>
        <v>0</v>
      </c>
      <c r="J176" s="24">
        <f t="shared" si="7"/>
        <v>0</v>
      </c>
      <c r="K176" s="24"/>
      <c r="L176" s="24">
        <f t="shared" si="8"/>
        <v>460.1847127</v>
      </c>
      <c r="M176" s="14">
        <f t="shared" si="9"/>
        <v>460.0908966</v>
      </c>
      <c r="N176" s="27">
        <f t="shared" si="10"/>
        <v>0.09381615623</v>
      </c>
      <c r="O176" s="24"/>
      <c r="P176" s="24"/>
      <c r="Q176" s="24"/>
      <c r="R176" s="26"/>
      <c r="S176" s="14">
        <f t="shared" si="13"/>
        <v>0.08615101326</v>
      </c>
      <c r="U176" s="21"/>
      <c r="V176" s="21"/>
    </row>
    <row r="177">
      <c r="A177" s="11">
        <v>165.0</v>
      </c>
      <c r="B177" s="11">
        <v>1.42011304347826E9</v>
      </c>
      <c r="C177" s="2">
        <v>-102.2252426</v>
      </c>
      <c r="D177" s="24">
        <f t="shared" si="1"/>
        <v>-286956.5217</v>
      </c>
      <c r="E177" s="25">
        <f t="shared" si="2"/>
        <v>59.68924859</v>
      </c>
      <c r="F177" s="24">
        <f t="shared" si="3"/>
        <v>0.0002080079875</v>
      </c>
      <c r="G177" s="24">
        <f t="shared" si="4"/>
        <v>0</v>
      </c>
      <c r="H177" s="26">
        <f t="shared" si="5"/>
        <v>0</v>
      </c>
      <c r="I177" s="24">
        <f t="shared" si="6"/>
        <v>0</v>
      </c>
      <c r="J177" s="24">
        <f t="shared" si="7"/>
        <v>0</v>
      </c>
      <c r="K177" s="24"/>
      <c r="L177" s="24">
        <f t="shared" si="8"/>
        <v>455.5981033</v>
      </c>
      <c r="M177" s="14">
        <f t="shared" si="9"/>
        <v>460.0015972</v>
      </c>
      <c r="N177" s="27">
        <f t="shared" si="10"/>
        <v>-4.403493909</v>
      </c>
      <c r="O177" s="24"/>
      <c r="P177" s="24"/>
      <c r="Q177" s="24"/>
      <c r="R177" s="26"/>
      <c r="S177" s="14">
        <f t="shared" si="13"/>
        <v>-4.043711427</v>
      </c>
      <c r="U177" s="21"/>
      <c r="V177" s="21"/>
    </row>
    <row r="178">
      <c r="A178" s="11">
        <v>166.0</v>
      </c>
      <c r="B178" s="11">
        <v>1.42011739130434E9</v>
      </c>
      <c r="C178" s="2">
        <v>-102.2486572</v>
      </c>
      <c r="D178" s="24">
        <f t="shared" si="1"/>
        <v>-282608.6957</v>
      </c>
      <c r="E178" s="25">
        <f t="shared" si="2"/>
        <v>58.77095246</v>
      </c>
      <c r="F178" s="24">
        <f t="shared" si="3"/>
        <v>0.0002079587548</v>
      </c>
      <c r="G178" s="24">
        <f t="shared" si="4"/>
        <v>0</v>
      </c>
      <c r="H178" s="26">
        <f t="shared" si="5"/>
        <v>0</v>
      </c>
      <c r="I178" s="24">
        <f t="shared" si="6"/>
        <v>0</v>
      </c>
      <c r="J178" s="24">
        <f t="shared" si="7"/>
        <v>0</v>
      </c>
      <c r="K178" s="24"/>
      <c r="L178" s="24">
        <f t="shared" si="8"/>
        <v>453.1483963</v>
      </c>
      <c r="M178" s="14">
        <f t="shared" si="9"/>
        <v>459.9119248</v>
      </c>
      <c r="N178" s="27">
        <f t="shared" si="10"/>
        <v>-6.76352851</v>
      </c>
      <c r="O178" s="24"/>
      <c r="P178" s="24"/>
      <c r="Q178" s="24"/>
      <c r="R178" s="26"/>
      <c r="S178" s="14">
        <f t="shared" si="13"/>
        <v>-6.210922074</v>
      </c>
      <c r="U178" s="21"/>
      <c r="V178" s="21"/>
    </row>
    <row r="179">
      <c r="A179" s="11">
        <v>167.0</v>
      </c>
      <c r="B179" s="11">
        <v>1.42012173913043E9</v>
      </c>
      <c r="C179" s="2">
        <v>-102.2275391</v>
      </c>
      <c r="D179" s="24">
        <f t="shared" si="1"/>
        <v>-278260.8696</v>
      </c>
      <c r="E179" s="25">
        <f t="shared" si="2"/>
        <v>57.85265632</v>
      </c>
      <c r="F179" s="24">
        <f t="shared" si="3"/>
        <v>0.0002079079837</v>
      </c>
      <c r="G179" s="24">
        <f t="shared" si="4"/>
        <v>0</v>
      </c>
      <c r="H179" s="26">
        <f t="shared" si="5"/>
        <v>0</v>
      </c>
      <c r="I179" s="24">
        <f t="shared" si="6"/>
        <v>0</v>
      </c>
      <c r="J179" s="24">
        <f t="shared" si="7"/>
        <v>0</v>
      </c>
      <c r="K179" s="24"/>
      <c r="L179" s="24">
        <f t="shared" si="8"/>
        <v>455.3572519</v>
      </c>
      <c r="M179" s="14">
        <f t="shared" si="9"/>
        <v>459.8218822</v>
      </c>
      <c r="N179" s="27">
        <f t="shared" si="10"/>
        <v>-4.464630299</v>
      </c>
      <c r="O179" s="24"/>
      <c r="P179" s="24"/>
      <c r="Q179" s="24"/>
      <c r="R179" s="26"/>
      <c r="S179" s="14">
        <f t="shared" si="13"/>
        <v>-4.099852729</v>
      </c>
      <c r="U179" s="21"/>
      <c r="V179" s="21"/>
    </row>
    <row r="180">
      <c r="A180" s="11">
        <v>168.0</v>
      </c>
      <c r="B180" s="11">
        <v>1.42012608695652E9</v>
      </c>
      <c r="C180" s="2">
        <v>-102.2507324</v>
      </c>
      <c r="D180" s="24">
        <f t="shared" si="1"/>
        <v>-273913.0435</v>
      </c>
      <c r="E180" s="25">
        <f t="shared" si="2"/>
        <v>56.93436019</v>
      </c>
      <c r="F180" s="24">
        <f t="shared" si="3"/>
        <v>0.0002078556007</v>
      </c>
      <c r="G180" s="24">
        <f t="shared" si="4"/>
        <v>0</v>
      </c>
      <c r="H180" s="26">
        <f t="shared" si="5"/>
        <v>0</v>
      </c>
      <c r="I180" s="24">
        <f t="shared" si="6"/>
        <v>0</v>
      </c>
      <c r="J180" s="24">
        <f t="shared" si="7"/>
        <v>0</v>
      </c>
      <c r="K180" s="24"/>
      <c r="L180" s="24">
        <f t="shared" si="8"/>
        <v>452.931919</v>
      </c>
      <c r="M180" s="14">
        <f t="shared" si="9"/>
        <v>459.7314718</v>
      </c>
      <c r="N180" s="27">
        <f t="shared" si="10"/>
        <v>-6.799552726</v>
      </c>
      <c r="O180" s="24"/>
      <c r="P180" s="24"/>
      <c r="Q180" s="24"/>
      <c r="R180" s="26"/>
      <c r="S180" s="14">
        <f t="shared" si="13"/>
        <v>-6.244002973</v>
      </c>
      <c r="U180" s="21"/>
      <c r="V180" s="21"/>
    </row>
    <row r="181">
      <c r="A181" s="11">
        <v>169.0</v>
      </c>
      <c r="B181" s="11">
        <v>1.4201304347826E9</v>
      </c>
      <c r="C181" s="2">
        <v>-102.158989</v>
      </c>
      <c r="D181" s="24">
        <f t="shared" si="1"/>
        <v>-269565.2174</v>
      </c>
      <c r="E181" s="25">
        <f t="shared" si="2"/>
        <v>56.01606406</v>
      </c>
      <c r="F181" s="24">
        <f t="shared" si="3"/>
        <v>0.000207801528</v>
      </c>
      <c r="G181" s="24">
        <f t="shared" si="4"/>
        <v>0</v>
      </c>
      <c r="H181" s="26">
        <f t="shared" si="5"/>
        <v>0</v>
      </c>
      <c r="I181" s="24">
        <f t="shared" si="6"/>
        <v>0</v>
      </c>
      <c r="J181" s="24">
        <f t="shared" si="7"/>
        <v>0</v>
      </c>
      <c r="K181" s="24"/>
      <c r="L181" s="24">
        <f t="shared" si="8"/>
        <v>462.6017458</v>
      </c>
      <c r="M181" s="14">
        <f t="shared" si="9"/>
        <v>459.6406963</v>
      </c>
      <c r="N181" s="27">
        <f t="shared" si="10"/>
        <v>2.96104947</v>
      </c>
      <c r="O181" s="24"/>
      <c r="P181" s="24"/>
      <c r="Q181" s="24"/>
      <c r="R181" s="26"/>
      <c r="S181" s="14">
        <f t="shared" si="13"/>
        <v>2.719120277</v>
      </c>
      <c r="U181" s="21"/>
      <c r="V181" s="21"/>
    </row>
    <row r="182">
      <c r="A182" s="11">
        <v>170.0</v>
      </c>
      <c r="B182" s="11">
        <v>1.42013478260869E9</v>
      </c>
      <c r="C182" s="2">
        <v>-102.2471695</v>
      </c>
      <c r="D182" s="24">
        <f t="shared" si="1"/>
        <v>-265217.3913</v>
      </c>
      <c r="E182" s="25">
        <f t="shared" si="2"/>
        <v>55.09776793</v>
      </c>
      <c r="F182" s="24">
        <f t="shared" si="3"/>
        <v>0.0002077456823</v>
      </c>
      <c r="G182" s="24">
        <f t="shared" si="4"/>
        <v>0</v>
      </c>
      <c r="H182" s="26">
        <f t="shared" si="5"/>
        <v>0</v>
      </c>
      <c r="I182" s="24">
        <f t="shared" si="6"/>
        <v>0</v>
      </c>
      <c r="J182" s="24">
        <f t="shared" si="7"/>
        <v>0</v>
      </c>
      <c r="K182" s="24"/>
      <c r="L182" s="24">
        <f t="shared" si="8"/>
        <v>453.3036514</v>
      </c>
      <c r="M182" s="14">
        <f t="shared" si="9"/>
        <v>459.5495584</v>
      </c>
      <c r="N182" s="27">
        <f t="shared" si="10"/>
        <v>-6.245906957</v>
      </c>
      <c r="O182" s="24"/>
      <c r="P182" s="24"/>
      <c r="Q182" s="24"/>
      <c r="R182" s="26"/>
      <c r="S182" s="14">
        <f t="shared" si="13"/>
        <v>-5.735592205</v>
      </c>
      <c r="U182" s="21"/>
      <c r="V182" s="21"/>
    </row>
    <row r="183">
      <c r="A183" s="11">
        <v>171.0</v>
      </c>
      <c r="B183" s="11">
        <v>1.42013913043478E9</v>
      </c>
      <c r="C183" s="2">
        <v>-102.1904678</v>
      </c>
      <c r="D183" s="24">
        <f t="shared" si="1"/>
        <v>-260869.5652</v>
      </c>
      <c r="E183" s="25">
        <f t="shared" si="2"/>
        <v>54.1794718</v>
      </c>
      <c r="F183" s="24">
        <f t="shared" si="3"/>
        <v>0.0002076879752</v>
      </c>
      <c r="G183" s="24">
        <f t="shared" si="4"/>
        <v>0</v>
      </c>
      <c r="H183" s="26">
        <f t="shared" si="5"/>
        <v>0</v>
      </c>
      <c r="I183" s="24">
        <f t="shared" si="6"/>
        <v>0</v>
      </c>
      <c r="J183" s="24">
        <f t="shared" si="7"/>
        <v>0</v>
      </c>
      <c r="K183" s="24"/>
      <c r="L183" s="24">
        <f t="shared" si="8"/>
        <v>459.2608099</v>
      </c>
      <c r="M183" s="14">
        <f t="shared" si="9"/>
        <v>459.4580607</v>
      </c>
      <c r="N183" s="27">
        <f t="shared" si="10"/>
        <v>-0.197250721</v>
      </c>
      <c r="O183" s="24"/>
      <c r="P183" s="24"/>
      <c r="Q183" s="24"/>
      <c r="R183" s="26"/>
      <c r="S183" s="14">
        <f t="shared" si="13"/>
        <v>-0.1811345739</v>
      </c>
      <c r="U183" s="21"/>
      <c r="V183" s="21"/>
    </row>
    <row r="184">
      <c r="A184" s="11">
        <v>172.0</v>
      </c>
      <c r="B184" s="11">
        <v>1.42014347826087E9</v>
      </c>
      <c r="C184" s="2">
        <v>-102.248085</v>
      </c>
      <c r="D184" s="24">
        <f t="shared" si="1"/>
        <v>-256521.7391</v>
      </c>
      <c r="E184" s="25">
        <f t="shared" si="2"/>
        <v>53.26117567</v>
      </c>
      <c r="F184" s="24">
        <f t="shared" si="3"/>
        <v>0.0002076283119</v>
      </c>
      <c r="G184" s="24">
        <f t="shared" si="4"/>
        <v>0</v>
      </c>
      <c r="H184" s="26">
        <f t="shared" si="5"/>
        <v>0</v>
      </c>
      <c r="I184" s="24">
        <f t="shared" si="6"/>
        <v>0</v>
      </c>
      <c r="J184" s="24">
        <f t="shared" si="7"/>
        <v>0</v>
      </c>
      <c r="K184" s="24"/>
      <c r="L184" s="24">
        <f t="shared" si="8"/>
        <v>453.2081043</v>
      </c>
      <c r="M184" s="14">
        <f t="shared" si="9"/>
        <v>459.3662057</v>
      </c>
      <c r="N184" s="27">
        <f t="shared" si="10"/>
        <v>-6.158101389</v>
      </c>
      <c r="O184" s="24"/>
      <c r="P184" s="24"/>
      <c r="Q184" s="24"/>
      <c r="R184" s="26"/>
      <c r="S184" s="14">
        <f t="shared" si="13"/>
        <v>-5.654960691</v>
      </c>
      <c r="U184" s="21"/>
      <c r="V184" s="21"/>
    </row>
    <row r="185">
      <c r="A185" s="11">
        <v>173.0</v>
      </c>
      <c r="B185" s="11">
        <v>1.42014782608695E9</v>
      </c>
      <c r="C185" s="2">
        <v>-102.2078476</v>
      </c>
      <c r="D185" s="24">
        <f t="shared" si="1"/>
        <v>-252173.913</v>
      </c>
      <c r="E185" s="25">
        <f t="shared" si="2"/>
        <v>52.34287953</v>
      </c>
      <c r="F185" s="24">
        <f t="shared" si="3"/>
        <v>0.0002075665912</v>
      </c>
      <c r="G185" s="24">
        <f t="shared" si="4"/>
        <v>0</v>
      </c>
      <c r="H185" s="26">
        <f t="shared" si="5"/>
        <v>0</v>
      </c>
      <c r="I185" s="24">
        <f t="shared" si="6"/>
        <v>0</v>
      </c>
      <c r="J185" s="24">
        <f t="shared" si="7"/>
        <v>0</v>
      </c>
      <c r="K185" s="24"/>
      <c r="L185" s="24">
        <f t="shared" si="8"/>
        <v>457.4265911</v>
      </c>
      <c r="M185" s="14">
        <f t="shared" si="9"/>
        <v>459.2739962</v>
      </c>
      <c r="N185" s="27">
        <f t="shared" si="10"/>
        <v>-1.847405141</v>
      </c>
      <c r="O185" s="24"/>
      <c r="P185" s="24"/>
      <c r="Q185" s="24"/>
      <c r="R185" s="26"/>
      <c r="S185" s="14">
        <f t="shared" si="13"/>
        <v>-1.696464996</v>
      </c>
      <c r="U185" s="21"/>
      <c r="V185" s="21"/>
    </row>
    <row r="186">
      <c r="A186" s="11">
        <v>174.0</v>
      </c>
      <c r="B186" s="11">
        <v>1.42015217391304E9</v>
      </c>
      <c r="C186" s="2">
        <v>-102.2231369</v>
      </c>
      <c r="D186" s="24">
        <f t="shared" si="1"/>
        <v>-247826.087</v>
      </c>
      <c r="E186" s="25">
        <f t="shared" si="2"/>
        <v>51.4245834</v>
      </c>
      <c r="F186" s="24">
        <f t="shared" si="3"/>
        <v>0.0002075027049</v>
      </c>
      <c r="G186" s="24">
        <f t="shared" si="4"/>
        <v>0</v>
      </c>
      <c r="H186" s="26">
        <f t="shared" si="5"/>
        <v>0</v>
      </c>
      <c r="I186" s="24">
        <f t="shared" si="6"/>
        <v>0</v>
      </c>
      <c r="J186" s="24">
        <f t="shared" si="7"/>
        <v>0</v>
      </c>
      <c r="K186" s="24"/>
      <c r="L186" s="24">
        <f t="shared" si="8"/>
        <v>455.819056</v>
      </c>
      <c r="M186" s="14">
        <f t="shared" si="9"/>
        <v>459.1814348</v>
      </c>
      <c r="N186" s="27">
        <f t="shared" si="10"/>
        <v>-3.362378783</v>
      </c>
      <c r="O186" s="24"/>
      <c r="P186" s="24"/>
      <c r="Q186" s="24"/>
      <c r="R186" s="26"/>
      <c r="S186" s="14">
        <f t="shared" si="13"/>
        <v>-3.087659426</v>
      </c>
      <c r="U186" s="21"/>
      <c r="V186" s="21"/>
    </row>
    <row r="187">
      <c r="A187" s="11">
        <v>175.0</v>
      </c>
      <c r="B187" s="11">
        <v>1.42015652173913E9</v>
      </c>
      <c r="C187" s="2">
        <v>-102.1862183</v>
      </c>
      <c r="D187" s="24">
        <f t="shared" si="1"/>
        <v>-243478.2609</v>
      </c>
      <c r="E187" s="25">
        <f t="shared" si="2"/>
        <v>50.50628727</v>
      </c>
      <c r="F187" s="24">
        <f t="shared" si="3"/>
        <v>0.000207436537</v>
      </c>
      <c r="G187" s="24">
        <f t="shared" si="4"/>
        <v>0</v>
      </c>
      <c r="H187" s="26">
        <f t="shared" si="5"/>
        <v>0</v>
      </c>
      <c r="I187" s="24">
        <f t="shared" si="6"/>
        <v>0</v>
      </c>
      <c r="J187" s="24">
        <f t="shared" si="7"/>
        <v>0</v>
      </c>
      <c r="K187" s="24"/>
      <c r="L187" s="24">
        <f t="shared" si="8"/>
        <v>459.710409</v>
      </c>
      <c r="M187" s="14">
        <f t="shared" si="9"/>
        <v>459.0885241</v>
      </c>
      <c r="N187" s="27">
        <f t="shared" si="10"/>
        <v>0.6218849463</v>
      </c>
      <c r="O187" s="24"/>
      <c r="P187" s="24"/>
      <c r="Q187" s="24"/>
      <c r="R187" s="26"/>
      <c r="S187" s="14">
        <f t="shared" si="13"/>
        <v>0.5710745412</v>
      </c>
      <c r="U187" s="21"/>
      <c r="V187" s="21"/>
    </row>
    <row r="188">
      <c r="A188" s="11">
        <v>176.0</v>
      </c>
      <c r="B188" s="11">
        <v>1.42016086956521E9</v>
      </c>
      <c r="C188" s="2">
        <v>-102.2316513</v>
      </c>
      <c r="D188" s="24">
        <f t="shared" si="1"/>
        <v>-239130.4348</v>
      </c>
      <c r="E188" s="25">
        <f t="shared" si="2"/>
        <v>49.58799114</v>
      </c>
      <c r="F188" s="24">
        <f t="shared" si="3"/>
        <v>0.0002073679629</v>
      </c>
      <c r="G188" s="24">
        <f t="shared" si="4"/>
        <v>0</v>
      </c>
      <c r="H188" s="26">
        <f t="shared" si="5"/>
        <v>0</v>
      </c>
      <c r="I188" s="24">
        <f t="shared" si="6"/>
        <v>0</v>
      </c>
      <c r="J188" s="24">
        <f t="shared" si="7"/>
        <v>0</v>
      </c>
      <c r="K188" s="24"/>
      <c r="L188" s="24">
        <f t="shared" si="8"/>
        <v>454.9262922</v>
      </c>
      <c r="M188" s="14">
        <f t="shared" si="9"/>
        <v>458.9952666</v>
      </c>
      <c r="N188" s="27">
        <f t="shared" si="10"/>
        <v>-4.068974394</v>
      </c>
      <c r="O188" s="24"/>
      <c r="P188" s="24"/>
      <c r="Q188" s="24"/>
      <c r="R188" s="26"/>
      <c r="S188" s="14">
        <f t="shared" si="13"/>
        <v>-3.736523451</v>
      </c>
      <c r="U188" s="21"/>
      <c r="V188" s="21"/>
    </row>
    <row r="189">
      <c r="A189" s="11">
        <v>177.0</v>
      </c>
      <c r="B189" s="11">
        <v>1.4201652173913E9</v>
      </c>
      <c r="C189" s="2">
        <v>-102.1871567</v>
      </c>
      <c r="D189" s="24">
        <f t="shared" si="1"/>
        <v>-234782.6087</v>
      </c>
      <c r="E189" s="25">
        <f t="shared" si="2"/>
        <v>48.669695</v>
      </c>
      <c r="F189" s="24">
        <f t="shared" si="3"/>
        <v>0.0002072968491</v>
      </c>
      <c r="G189" s="24">
        <f t="shared" si="4"/>
        <v>0</v>
      </c>
      <c r="H189" s="26">
        <f t="shared" si="5"/>
        <v>0</v>
      </c>
      <c r="I189" s="24">
        <f t="shared" si="6"/>
        <v>0</v>
      </c>
      <c r="J189" s="24">
        <f t="shared" si="7"/>
        <v>0</v>
      </c>
      <c r="K189" s="24"/>
      <c r="L189" s="24">
        <f t="shared" si="8"/>
        <v>459.611088</v>
      </c>
      <c r="M189" s="14">
        <f t="shared" si="9"/>
        <v>458.9016651</v>
      </c>
      <c r="N189" s="27">
        <f t="shared" si="10"/>
        <v>0.7094228556</v>
      </c>
      <c r="O189" s="24"/>
      <c r="P189" s="24"/>
      <c r="Q189" s="24"/>
      <c r="R189" s="26"/>
      <c r="S189" s="14">
        <f t="shared" si="13"/>
        <v>0.6514602633</v>
      </c>
      <c r="U189" s="21"/>
      <c r="V189" s="21"/>
    </row>
    <row r="190">
      <c r="A190" s="11">
        <v>178.0</v>
      </c>
      <c r="B190" s="11">
        <v>1.42016956521739E9</v>
      </c>
      <c r="C190" s="2">
        <v>-102.1160812</v>
      </c>
      <c r="D190" s="24">
        <f t="shared" si="1"/>
        <v>-230434.7826</v>
      </c>
      <c r="E190" s="25">
        <f t="shared" si="2"/>
        <v>47.75139887</v>
      </c>
      <c r="F190" s="24">
        <f t="shared" si="3"/>
        <v>0.0002072230517</v>
      </c>
      <c r="G190" s="24">
        <f t="shared" si="4"/>
        <v>0</v>
      </c>
      <c r="H190" s="26">
        <f t="shared" si="5"/>
        <v>0</v>
      </c>
      <c r="I190" s="24">
        <f t="shared" si="6"/>
        <v>0</v>
      </c>
      <c r="J190" s="24">
        <f t="shared" si="7"/>
        <v>0</v>
      </c>
      <c r="K190" s="24"/>
      <c r="L190" s="24">
        <f t="shared" si="8"/>
        <v>467.1948506</v>
      </c>
      <c r="M190" s="14">
        <f t="shared" si="9"/>
        <v>458.8077222</v>
      </c>
      <c r="N190" s="27">
        <f t="shared" si="10"/>
        <v>8.387128401</v>
      </c>
      <c r="O190" s="24"/>
      <c r="P190" s="24"/>
      <c r="Q190" s="24"/>
      <c r="R190" s="26"/>
      <c r="S190" s="14">
        <f t="shared" si="13"/>
        <v>7.701867576</v>
      </c>
      <c r="U190" s="21"/>
      <c r="V190" s="21"/>
    </row>
    <row r="191">
      <c r="A191" s="11">
        <v>179.0</v>
      </c>
      <c r="B191" s="11">
        <v>1.42017391304347E9</v>
      </c>
      <c r="C191" s="2">
        <v>-102.2377167</v>
      </c>
      <c r="D191" s="24">
        <f t="shared" si="1"/>
        <v>-226086.9565</v>
      </c>
      <c r="E191" s="25">
        <f t="shared" si="2"/>
        <v>46.83310274</v>
      </c>
      <c r="F191" s="24">
        <f t="shared" si="3"/>
        <v>0.000207146416</v>
      </c>
      <c r="G191" s="24">
        <f t="shared" si="4"/>
        <v>0</v>
      </c>
      <c r="H191" s="26">
        <f t="shared" si="5"/>
        <v>0</v>
      </c>
      <c r="I191" s="24">
        <f t="shared" si="6"/>
        <v>0</v>
      </c>
      <c r="J191" s="24">
        <f t="shared" si="7"/>
        <v>0</v>
      </c>
      <c r="K191" s="24"/>
      <c r="L191" s="24">
        <f t="shared" si="8"/>
        <v>454.2913811</v>
      </c>
      <c r="M191" s="14">
        <f t="shared" si="9"/>
        <v>458.7134405</v>
      </c>
      <c r="N191" s="27">
        <f t="shared" si="10"/>
        <v>-4.422059404</v>
      </c>
      <c r="O191" s="24"/>
      <c r="P191" s="24"/>
      <c r="Q191" s="24"/>
      <c r="R191" s="26"/>
      <c r="S191" s="14">
        <f t="shared" si="13"/>
        <v>-4.06076005</v>
      </c>
      <c r="U191" s="21"/>
      <c r="V191" s="21"/>
    </row>
    <row r="192">
      <c r="A192" s="11">
        <v>180.0</v>
      </c>
      <c r="B192" s="11">
        <v>1.42017826086956E9</v>
      </c>
      <c r="C192" s="2">
        <v>-102.2228622</v>
      </c>
      <c r="D192" s="24">
        <f t="shared" si="1"/>
        <v>-221739.1304</v>
      </c>
      <c r="E192" s="25">
        <f t="shared" si="2"/>
        <v>45.91480661</v>
      </c>
      <c r="F192" s="24">
        <f t="shared" si="3"/>
        <v>0.0002070667749</v>
      </c>
      <c r="G192" s="24">
        <f t="shared" si="4"/>
        <v>0</v>
      </c>
      <c r="H192" s="26">
        <f t="shared" si="5"/>
        <v>0</v>
      </c>
      <c r="I192" s="24">
        <f t="shared" si="6"/>
        <v>0</v>
      </c>
      <c r="J192" s="24">
        <f t="shared" si="7"/>
        <v>0</v>
      </c>
      <c r="K192" s="24"/>
      <c r="L192" s="24">
        <f t="shared" si="8"/>
        <v>455.8478884</v>
      </c>
      <c r="M192" s="14">
        <f t="shared" si="9"/>
        <v>458.6188226</v>
      </c>
      <c r="N192" s="27">
        <f t="shared" si="10"/>
        <v>-2.770934217</v>
      </c>
      <c r="O192" s="24"/>
      <c r="P192" s="24"/>
      <c r="Q192" s="24"/>
      <c r="R192" s="26"/>
      <c r="S192" s="14">
        <f t="shared" si="13"/>
        <v>-2.54453817</v>
      </c>
      <c r="U192" s="21"/>
      <c r="V192" s="21"/>
    </row>
    <row r="193">
      <c r="A193" s="11">
        <v>181.0</v>
      </c>
      <c r="B193" s="11">
        <v>1.42018260869565E9</v>
      </c>
      <c r="C193" s="2">
        <v>-102.2057419</v>
      </c>
      <c r="D193" s="24">
        <f t="shared" si="1"/>
        <v>-217391.3043</v>
      </c>
      <c r="E193" s="25">
        <f t="shared" si="2"/>
        <v>44.99651048</v>
      </c>
      <c r="F193" s="24">
        <f t="shared" si="3"/>
        <v>0.0002069839482</v>
      </c>
      <c r="G193" s="24">
        <f t="shared" si="4"/>
        <v>0</v>
      </c>
      <c r="H193" s="26">
        <f t="shared" si="5"/>
        <v>0</v>
      </c>
      <c r="I193" s="24">
        <f t="shared" si="6"/>
        <v>0</v>
      </c>
      <c r="J193" s="24">
        <f t="shared" si="7"/>
        <v>0</v>
      </c>
      <c r="K193" s="24"/>
      <c r="L193" s="24">
        <f t="shared" si="8"/>
        <v>457.6484306</v>
      </c>
      <c r="M193" s="14">
        <f t="shared" si="9"/>
        <v>458.5238712</v>
      </c>
      <c r="N193" s="27">
        <f t="shared" si="10"/>
        <v>-0.8754405862</v>
      </c>
      <c r="O193" s="24"/>
      <c r="P193" s="24"/>
      <c r="Q193" s="24"/>
      <c r="R193" s="26"/>
      <c r="S193" s="14">
        <f t="shared" si="13"/>
        <v>-0.8039137048</v>
      </c>
      <c r="U193" s="21"/>
      <c r="V193" s="21"/>
    </row>
    <row r="194">
      <c r="A194" s="11">
        <v>182.0</v>
      </c>
      <c r="B194" s="11">
        <v>1.42018695652173E9</v>
      </c>
      <c r="C194" s="2">
        <v>-102.1627045</v>
      </c>
      <c r="D194" s="24">
        <f t="shared" si="1"/>
        <v>-213043.4783</v>
      </c>
      <c r="E194" s="25">
        <f t="shared" si="2"/>
        <v>44.07821434</v>
      </c>
      <c r="F194" s="24">
        <f t="shared" si="3"/>
        <v>0.0002068977408</v>
      </c>
      <c r="G194" s="24">
        <f t="shared" si="4"/>
        <v>0</v>
      </c>
      <c r="H194" s="26">
        <f t="shared" si="5"/>
        <v>0</v>
      </c>
      <c r="I194" s="24">
        <f t="shared" si="6"/>
        <v>0</v>
      </c>
      <c r="J194" s="24">
        <f t="shared" si="7"/>
        <v>0</v>
      </c>
      <c r="K194" s="24"/>
      <c r="L194" s="24">
        <f t="shared" si="8"/>
        <v>462.2061474</v>
      </c>
      <c r="M194" s="14">
        <f t="shared" si="9"/>
        <v>458.4285888</v>
      </c>
      <c r="N194" s="27">
        <f t="shared" si="10"/>
        <v>3.777558608</v>
      </c>
      <c r="O194" s="24"/>
      <c r="P194" s="24"/>
      <c r="Q194" s="24"/>
      <c r="R194" s="26"/>
      <c r="S194" s="14">
        <f t="shared" si="13"/>
        <v>3.468917461</v>
      </c>
      <c r="U194" s="21"/>
      <c r="V194" s="21"/>
    </row>
    <row r="195">
      <c r="A195" s="11">
        <v>183.0</v>
      </c>
      <c r="B195" s="11">
        <v>1.42019130434782E9</v>
      </c>
      <c r="C195" s="2">
        <v>-102.1461639</v>
      </c>
      <c r="D195" s="24">
        <f t="shared" si="1"/>
        <v>-208695.6522</v>
      </c>
      <c r="E195" s="25">
        <f t="shared" si="2"/>
        <v>43.15991821</v>
      </c>
      <c r="F195" s="24">
        <f t="shared" si="3"/>
        <v>0.0002068079414</v>
      </c>
      <c r="G195" s="24">
        <f t="shared" si="4"/>
        <v>0</v>
      </c>
      <c r="H195" s="26">
        <f t="shared" si="5"/>
        <v>0</v>
      </c>
      <c r="I195" s="24">
        <f t="shared" si="6"/>
        <v>0</v>
      </c>
      <c r="J195" s="24">
        <f t="shared" si="7"/>
        <v>0</v>
      </c>
      <c r="K195" s="24"/>
      <c r="L195" s="24">
        <f t="shared" si="8"/>
        <v>463.9698687</v>
      </c>
      <c r="M195" s="14">
        <f t="shared" si="9"/>
        <v>458.3329782</v>
      </c>
      <c r="N195" s="27">
        <f t="shared" si="10"/>
        <v>5.63689055</v>
      </c>
      <c r="O195" s="24"/>
      <c r="P195" s="24"/>
      <c r="Q195" s="24"/>
      <c r="R195" s="26"/>
      <c r="S195" s="14">
        <f t="shared" si="13"/>
        <v>5.176334793</v>
      </c>
      <c r="U195" s="21"/>
      <c r="V195" s="21"/>
    </row>
    <row r="196">
      <c r="A196" s="11">
        <v>184.0</v>
      </c>
      <c r="B196" s="11">
        <v>1.42019565217391E9</v>
      </c>
      <c r="C196" s="2">
        <v>-102.1415863</v>
      </c>
      <c r="D196" s="24">
        <f t="shared" si="1"/>
        <v>-204347.8261</v>
      </c>
      <c r="E196" s="25">
        <f t="shared" si="2"/>
        <v>42.24162208</v>
      </c>
      <c r="F196" s="24">
        <f t="shared" si="3"/>
        <v>0.0002067143208</v>
      </c>
      <c r="G196" s="24">
        <f t="shared" si="4"/>
        <v>0</v>
      </c>
      <c r="H196" s="26">
        <f t="shared" si="5"/>
        <v>0</v>
      </c>
      <c r="I196" s="24">
        <f t="shared" si="6"/>
        <v>0</v>
      </c>
      <c r="J196" s="24">
        <f t="shared" si="7"/>
        <v>0</v>
      </c>
      <c r="K196" s="24"/>
      <c r="L196" s="24">
        <f t="shared" si="8"/>
        <v>464.4591653</v>
      </c>
      <c r="M196" s="14">
        <f t="shared" si="9"/>
        <v>458.2370419</v>
      </c>
      <c r="N196" s="27">
        <f t="shared" si="10"/>
        <v>6.222123473</v>
      </c>
      <c r="O196" s="24"/>
      <c r="P196" s="24"/>
      <c r="Q196" s="24"/>
      <c r="R196" s="26"/>
      <c r="S196" s="14">
        <f t="shared" si="13"/>
        <v>5.71375191</v>
      </c>
      <c r="U196" s="21"/>
      <c r="V196" s="21"/>
    </row>
    <row r="197">
      <c r="A197" s="11">
        <v>185.0</v>
      </c>
      <c r="B197" s="11">
        <v>1.4202E9</v>
      </c>
      <c r="C197" s="2">
        <v>-102.2105408</v>
      </c>
      <c r="D197" s="24">
        <f t="shared" si="1"/>
        <v>-200000</v>
      </c>
      <c r="E197" s="25">
        <f t="shared" si="2"/>
        <v>41.32332595</v>
      </c>
      <c r="F197" s="24">
        <f t="shared" si="3"/>
        <v>0.0002066166297</v>
      </c>
      <c r="G197" s="24">
        <f t="shared" si="4"/>
        <v>0</v>
      </c>
      <c r="H197" s="26">
        <f t="shared" si="5"/>
        <v>0</v>
      </c>
      <c r="I197" s="24">
        <f t="shared" si="6"/>
        <v>0</v>
      </c>
      <c r="J197" s="24">
        <f t="shared" si="7"/>
        <v>0</v>
      </c>
      <c r="K197" s="24"/>
      <c r="L197" s="24">
        <f t="shared" si="8"/>
        <v>457.1430141</v>
      </c>
      <c r="M197" s="14">
        <f t="shared" si="9"/>
        <v>458.1407825</v>
      </c>
      <c r="N197" s="27">
        <f t="shared" si="10"/>
        <v>-0.997768446</v>
      </c>
      <c r="O197" s="24"/>
      <c r="P197" s="24"/>
      <c r="Q197" s="24"/>
      <c r="R197" s="26"/>
      <c r="S197" s="14">
        <f t="shared" si="13"/>
        <v>-0.9162469054</v>
      </c>
      <c r="U197" s="21"/>
      <c r="V197" s="21"/>
    </row>
    <row r="198">
      <c r="A198" s="11">
        <v>186.0</v>
      </c>
      <c r="B198" s="11">
        <v>1.42020434782608E9</v>
      </c>
      <c r="C198" s="2">
        <v>-102.1931534</v>
      </c>
      <c r="D198" s="24">
        <f t="shared" si="1"/>
        <v>-195652.1739</v>
      </c>
      <c r="E198" s="25">
        <f t="shared" si="2"/>
        <v>40.40502981</v>
      </c>
      <c r="F198" s="24">
        <f t="shared" si="3"/>
        <v>0.0002065145968</v>
      </c>
      <c r="G198" s="24">
        <f t="shared" si="4"/>
        <v>0</v>
      </c>
      <c r="H198" s="26">
        <f t="shared" si="5"/>
        <v>0</v>
      </c>
      <c r="I198" s="24">
        <f t="shared" si="6"/>
        <v>0</v>
      </c>
      <c r="J198" s="24">
        <f t="shared" si="7"/>
        <v>0</v>
      </c>
      <c r="K198" s="24"/>
      <c r="L198" s="24">
        <f t="shared" si="8"/>
        <v>458.976899</v>
      </c>
      <c r="M198" s="14">
        <f t="shared" si="9"/>
        <v>458.0442027</v>
      </c>
      <c r="N198" s="27">
        <f t="shared" si="10"/>
        <v>0.9326962437</v>
      </c>
      <c r="O198" s="24"/>
      <c r="P198" s="24"/>
      <c r="Q198" s="24"/>
      <c r="R198" s="26"/>
      <c r="S198" s="14">
        <f t="shared" si="13"/>
        <v>0.8564913536</v>
      </c>
      <c r="U198" s="21"/>
      <c r="V198" s="21"/>
    </row>
    <row r="199">
      <c r="A199" s="11">
        <v>187.0</v>
      </c>
      <c r="B199" s="11">
        <v>1.42020869565217E9</v>
      </c>
      <c r="C199" s="2">
        <v>-102.1490479</v>
      </c>
      <c r="D199" s="24">
        <f t="shared" si="1"/>
        <v>-191304.3478</v>
      </c>
      <c r="E199" s="25">
        <f t="shared" si="2"/>
        <v>39.48673368</v>
      </c>
      <c r="F199" s="24">
        <f t="shared" si="3"/>
        <v>0.0002064079261</v>
      </c>
      <c r="G199" s="24">
        <f t="shared" si="4"/>
        <v>0</v>
      </c>
      <c r="H199" s="26">
        <f t="shared" si="5"/>
        <v>0</v>
      </c>
      <c r="I199" s="24">
        <f t="shared" si="6"/>
        <v>0</v>
      </c>
      <c r="J199" s="24">
        <f t="shared" si="7"/>
        <v>0</v>
      </c>
      <c r="K199" s="24"/>
      <c r="L199" s="24">
        <f t="shared" si="8"/>
        <v>463.6618646</v>
      </c>
      <c r="M199" s="14">
        <f t="shared" si="9"/>
        <v>457.9473052</v>
      </c>
      <c r="N199" s="27">
        <f t="shared" si="10"/>
        <v>5.714559396</v>
      </c>
      <c r="O199" s="24"/>
      <c r="P199" s="24"/>
      <c r="Q199" s="24"/>
      <c r="R199" s="26"/>
      <c r="S199" s="14">
        <f t="shared" si="13"/>
        <v>5.247657782</v>
      </c>
      <c r="U199" s="21"/>
      <c r="V199" s="21"/>
    </row>
    <row r="200">
      <c r="A200" s="11">
        <v>188.0</v>
      </c>
      <c r="B200" s="11">
        <v>1.42021304347826E9</v>
      </c>
      <c r="C200" s="2">
        <v>-102.1980591</v>
      </c>
      <c r="D200" s="24">
        <f t="shared" si="1"/>
        <v>-186956.5217</v>
      </c>
      <c r="E200" s="25">
        <f t="shared" si="2"/>
        <v>38.56843755</v>
      </c>
      <c r="F200" s="24">
        <f t="shared" si="3"/>
        <v>0.0002062962939</v>
      </c>
      <c r="G200" s="24">
        <f t="shared" si="4"/>
        <v>0</v>
      </c>
      <c r="H200" s="26">
        <f t="shared" si="5"/>
        <v>0</v>
      </c>
      <c r="I200" s="24">
        <f t="shared" si="6"/>
        <v>0</v>
      </c>
      <c r="J200" s="24">
        <f t="shared" si="7"/>
        <v>0</v>
      </c>
      <c r="K200" s="24"/>
      <c r="L200" s="24">
        <f t="shared" si="8"/>
        <v>458.4587409</v>
      </c>
      <c r="M200" s="14">
        <f t="shared" si="9"/>
        <v>457.8500925</v>
      </c>
      <c r="N200" s="27">
        <f t="shared" si="10"/>
        <v>0.6086484462</v>
      </c>
      <c r="O200" s="24"/>
      <c r="P200" s="24"/>
      <c r="Q200" s="24"/>
      <c r="R200" s="26"/>
      <c r="S200" s="14">
        <f t="shared" si="13"/>
        <v>0.5589195144</v>
      </c>
      <c r="U200" s="21"/>
      <c r="V200" s="21"/>
    </row>
    <row r="201">
      <c r="A201" s="11">
        <v>189.0</v>
      </c>
      <c r="B201" s="11">
        <v>1.42021739130434E9</v>
      </c>
      <c r="C201" s="2">
        <v>-102.2563477</v>
      </c>
      <c r="D201" s="24">
        <f t="shared" si="1"/>
        <v>-182608.6957</v>
      </c>
      <c r="E201" s="25">
        <f t="shared" si="2"/>
        <v>37.65014142</v>
      </c>
      <c r="F201" s="24">
        <f t="shared" si="3"/>
        <v>0.0002061793459</v>
      </c>
      <c r="G201" s="24">
        <f t="shared" si="4"/>
        <v>0</v>
      </c>
      <c r="H201" s="26">
        <f t="shared" si="5"/>
        <v>0</v>
      </c>
      <c r="I201" s="24">
        <f t="shared" si="6"/>
        <v>0</v>
      </c>
      <c r="J201" s="24">
        <f t="shared" si="7"/>
        <v>0</v>
      </c>
      <c r="K201" s="24"/>
      <c r="L201" s="24">
        <f t="shared" si="8"/>
        <v>452.3466698</v>
      </c>
      <c r="M201" s="14">
        <f t="shared" si="9"/>
        <v>457.7525673</v>
      </c>
      <c r="N201" s="27">
        <f t="shared" si="10"/>
        <v>-5.405897463</v>
      </c>
      <c r="O201" s="24"/>
      <c r="P201" s="24"/>
      <c r="Q201" s="24"/>
      <c r="R201" s="26"/>
      <c r="S201" s="14">
        <f t="shared" si="13"/>
        <v>-4.964214735</v>
      </c>
      <c r="U201" s="21"/>
      <c r="V201" s="21"/>
    </row>
    <row r="202">
      <c r="A202" s="11">
        <v>190.0</v>
      </c>
      <c r="B202" s="11">
        <v>1.42022173913043E9</v>
      </c>
      <c r="C202" s="2">
        <v>-102.1788483</v>
      </c>
      <c r="D202" s="24">
        <f t="shared" si="1"/>
        <v>-178260.8696</v>
      </c>
      <c r="E202" s="25">
        <f t="shared" si="2"/>
        <v>36.73184529</v>
      </c>
      <c r="F202" s="24">
        <f t="shared" si="3"/>
        <v>0.0002060566931</v>
      </c>
      <c r="G202" s="24">
        <f t="shared" si="4"/>
        <v>0</v>
      </c>
      <c r="H202" s="26">
        <f t="shared" si="5"/>
        <v>0</v>
      </c>
      <c r="I202" s="24">
        <f t="shared" si="6"/>
        <v>0</v>
      </c>
      <c r="J202" s="24">
        <f t="shared" si="7"/>
        <v>0</v>
      </c>
      <c r="K202" s="24"/>
      <c r="L202" s="24">
        <f t="shared" si="8"/>
        <v>460.4912023</v>
      </c>
      <c r="M202" s="14">
        <f t="shared" si="9"/>
        <v>457.6547322</v>
      </c>
      <c r="N202" s="27">
        <f t="shared" si="10"/>
        <v>2.836470125</v>
      </c>
      <c r="O202" s="24"/>
      <c r="P202" s="24"/>
      <c r="Q202" s="24"/>
      <c r="R202" s="26"/>
      <c r="S202" s="14">
        <f t="shared" si="13"/>
        <v>2.60471954</v>
      </c>
      <c r="U202" s="21"/>
      <c r="V202" s="21"/>
    </row>
    <row r="203">
      <c r="A203" s="11">
        <v>191.0</v>
      </c>
      <c r="B203" s="11">
        <v>1.42022608695652E9</v>
      </c>
      <c r="C203" s="2">
        <v>-102.1766052</v>
      </c>
      <c r="D203" s="24">
        <f t="shared" si="1"/>
        <v>-173913.0435</v>
      </c>
      <c r="E203" s="25">
        <f t="shared" si="2"/>
        <v>35.81354916</v>
      </c>
      <c r="F203" s="24">
        <f t="shared" si="3"/>
        <v>0.0002059279076</v>
      </c>
      <c r="G203" s="24">
        <f t="shared" si="4"/>
        <v>0</v>
      </c>
      <c r="H203" s="26">
        <f t="shared" si="5"/>
        <v>0</v>
      </c>
      <c r="I203" s="24">
        <f t="shared" si="6"/>
        <v>0</v>
      </c>
      <c r="J203" s="24">
        <f t="shared" si="7"/>
        <v>0</v>
      </c>
      <c r="K203" s="24"/>
      <c r="L203" s="24">
        <f t="shared" si="8"/>
        <v>460.7291041</v>
      </c>
      <c r="M203" s="14">
        <f t="shared" si="9"/>
        <v>457.5565898</v>
      </c>
      <c r="N203" s="27">
        <f t="shared" si="10"/>
        <v>3.172514374</v>
      </c>
      <c r="O203" s="24"/>
      <c r="P203" s="24"/>
      <c r="Q203" s="24"/>
      <c r="R203" s="26"/>
      <c r="S203" s="14">
        <f t="shared" si="13"/>
        <v>2.913307681</v>
      </c>
      <c r="U203" s="21"/>
      <c r="V203" s="21"/>
    </row>
    <row r="204">
      <c r="A204" s="11">
        <v>192.0</v>
      </c>
      <c r="B204" s="11">
        <v>1.4202304347826E9</v>
      </c>
      <c r="C204" s="2">
        <v>-102.115593</v>
      </c>
      <c r="D204" s="24">
        <f t="shared" si="1"/>
        <v>-169565.2174</v>
      </c>
      <c r="E204" s="25">
        <f t="shared" si="2"/>
        <v>34.89525302</v>
      </c>
      <c r="F204" s="24">
        <f t="shared" si="3"/>
        <v>0.0002057925178</v>
      </c>
      <c r="G204" s="24">
        <f t="shared" si="4"/>
        <v>0</v>
      </c>
      <c r="H204" s="26">
        <f t="shared" si="5"/>
        <v>0</v>
      </c>
      <c r="I204" s="24">
        <f t="shared" si="6"/>
        <v>0</v>
      </c>
      <c r="J204" s="24">
        <f t="shared" si="7"/>
        <v>0</v>
      </c>
      <c r="K204" s="24"/>
      <c r="L204" s="24">
        <f t="shared" si="8"/>
        <v>467.247372</v>
      </c>
      <c r="M204" s="14">
        <f t="shared" si="9"/>
        <v>457.4581427</v>
      </c>
      <c r="N204" s="27">
        <f t="shared" si="10"/>
        <v>9.789229269</v>
      </c>
      <c r="O204" s="24"/>
      <c r="P204" s="24"/>
      <c r="Q204" s="24"/>
      <c r="R204" s="26"/>
      <c r="S204" s="14">
        <f t="shared" si="13"/>
        <v>8.98941138</v>
      </c>
      <c r="U204" s="21"/>
      <c r="V204" s="21"/>
    </row>
    <row r="205">
      <c r="A205" s="11">
        <v>193.0</v>
      </c>
      <c r="B205" s="11">
        <v>1.42023478260869E9</v>
      </c>
      <c r="C205" s="2">
        <v>-102.2079391</v>
      </c>
      <c r="D205" s="24">
        <f t="shared" si="1"/>
        <v>-165217.3913</v>
      </c>
      <c r="E205" s="25">
        <f t="shared" si="2"/>
        <v>33.97695689</v>
      </c>
      <c r="F205" s="24">
        <f t="shared" si="3"/>
        <v>0.0002056500022</v>
      </c>
      <c r="G205" s="24">
        <f t="shared" si="4"/>
        <v>0</v>
      </c>
      <c r="H205" s="26">
        <f t="shared" si="5"/>
        <v>0</v>
      </c>
      <c r="I205" s="24">
        <f t="shared" si="6"/>
        <v>0</v>
      </c>
      <c r="J205" s="24">
        <f t="shared" si="7"/>
        <v>0</v>
      </c>
      <c r="K205" s="24"/>
      <c r="L205" s="24">
        <f t="shared" si="8"/>
        <v>457.4169538</v>
      </c>
      <c r="M205" s="14">
        <f t="shared" si="9"/>
        <v>457.3593936</v>
      </c>
      <c r="N205" s="27">
        <f t="shared" si="10"/>
        <v>0.05756017883</v>
      </c>
      <c r="O205" s="24"/>
      <c r="P205" s="24"/>
      <c r="Q205" s="24"/>
      <c r="R205" s="26"/>
      <c r="S205" s="14">
        <f t="shared" si="13"/>
        <v>0.05285728962</v>
      </c>
      <c r="U205" s="21"/>
      <c r="V205" s="21"/>
    </row>
    <row r="206">
      <c r="A206" s="11">
        <v>194.0</v>
      </c>
      <c r="B206" s="11">
        <v>1.42023913043478E9</v>
      </c>
      <c r="C206" s="2">
        <v>-102.1961517</v>
      </c>
      <c r="D206" s="24">
        <f t="shared" si="1"/>
        <v>-160869.5652</v>
      </c>
      <c r="E206" s="25">
        <f t="shared" si="2"/>
        <v>33.05866076</v>
      </c>
      <c r="F206" s="24">
        <f t="shared" si="3"/>
        <v>0.0002054997831</v>
      </c>
      <c r="G206" s="24">
        <f t="shared" si="4"/>
        <v>0</v>
      </c>
      <c r="H206" s="26">
        <f t="shared" si="5"/>
        <v>0</v>
      </c>
      <c r="I206" s="24">
        <f t="shared" si="6"/>
        <v>0</v>
      </c>
      <c r="J206" s="24">
        <f t="shared" si="7"/>
        <v>0</v>
      </c>
      <c r="K206" s="24"/>
      <c r="L206" s="24">
        <f t="shared" si="8"/>
        <v>458.660138</v>
      </c>
      <c r="M206" s="14">
        <f t="shared" si="9"/>
        <v>457.2603452</v>
      </c>
      <c r="N206" s="27">
        <f t="shared" si="10"/>
        <v>1.399792798</v>
      </c>
      <c r="O206" s="24"/>
      <c r="P206" s="24"/>
      <c r="Q206" s="24"/>
      <c r="R206" s="26"/>
      <c r="S206" s="14">
        <f t="shared" si="13"/>
        <v>1.28542431</v>
      </c>
      <c r="U206" s="21"/>
      <c r="V206" s="21"/>
    </row>
    <row r="207">
      <c r="A207" s="11">
        <v>195.0</v>
      </c>
      <c r="B207" s="11">
        <v>1.42024347826087E9</v>
      </c>
      <c r="C207" s="2">
        <v>-102.2224274</v>
      </c>
      <c r="D207" s="24">
        <f t="shared" si="1"/>
        <v>-156521.7391</v>
      </c>
      <c r="E207" s="25">
        <f t="shared" si="2"/>
        <v>32.14036463</v>
      </c>
      <c r="F207" s="24">
        <f t="shared" si="3"/>
        <v>0.0002053412184</v>
      </c>
      <c r="G207" s="24">
        <f t="shared" si="4"/>
        <v>0</v>
      </c>
      <c r="H207" s="26">
        <f t="shared" si="5"/>
        <v>0</v>
      </c>
      <c r="I207" s="24">
        <f t="shared" si="6"/>
        <v>0</v>
      </c>
      <c r="J207" s="24">
        <f t="shared" si="7"/>
        <v>0</v>
      </c>
      <c r="K207" s="24"/>
      <c r="L207" s="24">
        <f t="shared" si="8"/>
        <v>455.8935285</v>
      </c>
      <c r="M207" s="14">
        <f t="shared" si="9"/>
        <v>457.161</v>
      </c>
      <c r="N207" s="27">
        <f t="shared" si="10"/>
        <v>-1.267471451</v>
      </c>
      <c r="O207" s="24"/>
      <c r="P207" s="24"/>
      <c r="Q207" s="24"/>
      <c r="R207" s="26"/>
      <c r="S207" s="14">
        <f t="shared" si="13"/>
        <v>-1.163914132</v>
      </c>
      <c r="U207" s="21"/>
      <c r="V207" s="21"/>
    </row>
    <row r="208">
      <c r="A208" s="11">
        <v>196.0</v>
      </c>
      <c r="B208" s="11">
        <v>1.42024782608695E9</v>
      </c>
      <c r="C208" s="2">
        <v>-102.2136307</v>
      </c>
      <c r="D208" s="24">
        <f t="shared" si="1"/>
        <v>-152173.913</v>
      </c>
      <c r="E208" s="25">
        <f t="shared" si="2"/>
        <v>31.22206849</v>
      </c>
      <c r="F208" s="24">
        <f t="shared" si="3"/>
        <v>0.0002051735929</v>
      </c>
      <c r="G208" s="24">
        <f t="shared" si="4"/>
        <v>0</v>
      </c>
      <c r="H208" s="26">
        <f t="shared" si="5"/>
        <v>0</v>
      </c>
      <c r="I208" s="24">
        <f t="shared" si="6"/>
        <v>0</v>
      </c>
      <c r="J208" s="24">
        <f t="shared" si="7"/>
        <v>0</v>
      </c>
      <c r="K208" s="24"/>
      <c r="L208" s="24">
        <f t="shared" si="8"/>
        <v>456.8178836</v>
      </c>
      <c r="M208" s="14">
        <f t="shared" si="9"/>
        <v>457.0613606</v>
      </c>
      <c r="N208" s="27">
        <f t="shared" si="10"/>
        <v>-0.2434770768</v>
      </c>
      <c r="O208" s="24"/>
      <c r="P208" s="24"/>
      <c r="Q208" s="24"/>
      <c r="R208" s="26"/>
      <c r="S208" s="14">
        <f t="shared" si="13"/>
        <v>-0.2235840581</v>
      </c>
      <c r="U208" s="21"/>
      <c r="V208" s="21"/>
    </row>
    <row r="209">
      <c r="A209" s="11">
        <v>197.0</v>
      </c>
      <c r="B209" s="11">
        <v>1.42025217391304E9</v>
      </c>
      <c r="C209" s="2">
        <v>-102.2053528</v>
      </c>
      <c r="D209" s="24">
        <f t="shared" si="1"/>
        <v>-147826.087</v>
      </c>
      <c r="E209" s="25">
        <f t="shared" si="2"/>
        <v>30.30377236</v>
      </c>
      <c r="F209" s="24">
        <f t="shared" si="3"/>
        <v>0.0002049961071</v>
      </c>
      <c r="G209" s="24">
        <f t="shared" si="4"/>
        <v>0</v>
      </c>
      <c r="H209" s="26">
        <f t="shared" si="5"/>
        <v>0</v>
      </c>
      <c r="I209" s="24">
        <f t="shared" si="6"/>
        <v>0</v>
      </c>
      <c r="J209" s="24">
        <f t="shared" si="7"/>
        <v>0</v>
      </c>
      <c r="K209" s="24"/>
      <c r="L209" s="24">
        <f t="shared" si="8"/>
        <v>457.6894348</v>
      </c>
      <c r="M209" s="14">
        <f t="shared" si="9"/>
        <v>456.9614298</v>
      </c>
      <c r="N209" s="27">
        <f t="shared" si="10"/>
        <v>0.7280050154</v>
      </c>
      <c r="O209" s="24"/>
      <c r="P209" s="24"/>
      <c r="Q209" s="24"/>
      <c r="R209" s="26"/>
      <c r="S209" s="14">
        <f t="shared" si="13"/>
        <v>0.6685241888</v>
      </c>
      <c r="U209" s="21"/>
      <c r="V209" s="21"/>
    </row>
    <row r="210">
      <c r="A210" s="11">
        <v>198.0</v>
      </c>
      <c r="B210" s="11">
        <v>1.42025652173913E9</v>
      </c>
      <c r="C210" s="2">
        <v>-102.2360535</v>
      </c>
      <c r="D210" s="24">
        <f t="shared" si="1"/>
        <v>-143478.2609</v>
      </c>
      <c r="E210" s="25">
        <f t="shared" si="2"/>
        <v>29.38547623</v>
      </c>
      <c r="F210" s="24">
        <f t="shared" si="3"/>
        <v>0.0002048078646</v>
      </c>
      <c r="G210" s="24">
        <f t="shared" si="4"/>
        <v>0</v>
      </c>
      <c r="H210" s="26">
        <f t="shared" si="5"/>
        <v>0</v>
      </c>
      <c r="I210" s="24">
        <f t="shared" si="6"/>
        <v>0</v>
      </c>
      <c r="J210" s="24">
        <f t="shared" si="7"/>
        <v>0</v>
      </c>
      <c r="K210" s="24"/>
      <c r="L210" s="24">
        <f t="shared" si="8"/>
        <v>454.4653926</v>
      </c>
      <c r="M210" s="14">
        <f t="shared" si="9"/>
        <v>456.86121</v>
      </c>
      <c r="N210" s="27">
        <f t="shared" si="10"/>
        <v>-2.395817487</v>
      </c>
      <c r="O210" s="24"/>
      <c r="P210" s="24"/>
      <c r="Q210" s="24"/>
      <c r="R210" s="26"/>
      <c r="S210" s="14">
        <f t="shared" si="13"/>
        <v>-2.200069933</v>
      </c>
      <c r="U210" s="21"/>
      <c r="V210" s="21"/>
    </row>
    <row r="211">
      <c r="A211" s="11">
        <v>199.0</v>
      </c>
      <c r="B211" s="11">
        <v>1.42026086956521E9</v>
      </c>
      <c r="C211" s="2">
        <v>-102.2276611</v>
      </c>
      <c r="D211" s="24">
        <f t="shared" si="1"/>
        <v>-139130.4348</v>
      </c>
      <c r="E211" s="25">
        <f t="shared" si="2"/>
        <v>28.4671801</v>
      </c>
      <c r="F211" s="24">
        <f t="shared" si="3"/>
        <v>0.0002046078569</v>
      </c>
      <c r="G211" s="24">
        <f t="shared" si="4"/>
        <v>0</v>
      </c>
      <c r="H211" s="26">
        <f t="shared" si="5"/>
        <v>0</v>
      </c>
      <c r="I211" s="24">
        <f t="shared" si="6"/>
        <v>0</v>
      </c>
      <c r="J211" s="24">
        <f t="shared" si="7"/>
        <v>0</v>
      </c>
      <c r="K211" s="24"/>
      <c r="L211" s="24">
        <f t="shared" si="8"/>
        <v>455.3444603</v>
      </c>
      <c r="M211" s="14">
        <f t="shared" si="9"/>
        <v>456.760704</v>
      </c>
      <c r="N211" s="27">
        <f t="shared" si="10"/>
        <v>-1.416243703</v>
      </c>
      <c r="O211" s="24"/>
      <c r="P211" s="24"/>
      <c r="Q211" s="24"/>
      <c r="R211" s="26"/>
      <c r="S211" s="14">
        <f t="shared" si="13"/>
        <v>-1.300531116</v>
      </c>
      <c r="U211" s="21"/>
      <c r="V211" s="21"/>
    </row>
    <row r="212">
      <c r="A212" s="11">
        <v>200.0</v>
      </c>
      <c r="B212" s="11">
        <v>1.4202652173913E9</v>
      </c>
      <c r="C212" s="2">
        <v>-102.1801071</v>
      </c>
      <c r="D212" s="24">
        <f t="shared" si="1"/>
        <v>-134782.6087</v>
      </c>
      <c r="E212" s="25">
        <f t="shared" si="2"/>
        <v>27.54888396</v>
      </c>
      <c r="F212" s="24">
        <f t="shared" si="3"/>
        <v>0.0002043949455</v>
      </c>
      <c r="G212" s="24">
        <f t="shared" si="4"/>
        <v>0</v>
      </c>
      <c r="H212" s="26">
        <f t="shared" si="5"/>
        <v>0</v>
      </c>
      <c r="I212" s="24">
        <f t="shared" si="6"/>
        <v>0</v>
      </c>
      <c r="J212" s="24">
        <f t="shared" si="7"/>
        <v>0</v>
      </c>
      <c r="K212" s="24"/>
      <c r="L212" s="24">
        <f t="shared" si="8"/>
        <v>460.3577485</v>
      </c>
      <c r="M212" s="14">
        <f t="shared" si="9"/>
        <v>456.6599144</v>
      </c>
      <c r="N212" s="27">
        <f t="shared" si="10"/>
        <v>3.697834084</v>
      </c>
      <c r="O212" s="24"/>
      <c r="P212" s="24"/>
      <c r="Q212" s="24"/>
      <c r="R212" s="26"/>
      <c r="S212" s="14">
        <f t="shared" si="13"/>
        <v>3.395706731</v>
      </c>
      <c r="U212" s="21"/>
      <c r="V212" s="21"/>
    </row>
    <row r="213">
      <c r="A213" s="11">
        <v>201.0</v>
      </c>
      <c r="B213" s="11">
        <v>1.42026956521739E9</v>
      </c>
      <c r="C213" s="2">
        <v>-102.1748276</v>
      </c>
      <c r="D213" s="24">
        <f t="shared" si="1"/>
        <v>-130434.7826</v>
      </c>
      <c r="E213" s="25">
        <f t="shared" si="2"/>
        <v>26.63058783</v>
      </c>
      <c r="F213" s="24">
        <f t="shared" si="3"/>
        <v>0.0002041678401</v>
      </c>
      <c r="G213" s="24">
        <f t="shared" si="4"/>
        <v>0</v>
      </c>
      <c r="H213" s="26">
        <f t="shared" si="5"/>
        <v>0</v>
      </c>
      <c r="I213" s="24">
        <f t="shared" si="6"/>
        <v>0</v>
      </c>
      <c r="J213" s="24">
        <f t="shared" si="7"/>
        <v>0</v>
      </c>
      <c r="K213" s="24"/>
      <c r="L213" s="24">
        <f t="shared" si="8"/>
        <v>460.9177226</v>
      </c>
      <c r="M213" s="14">
        <f t="shared" si="9"/>
        <v>456.5588438</v>
      </c>
      <c r="N213" s="27">
        <f t="shared" si="10"/>
        <v>4.3588788</v>
      </c>
      <c r="O213" s="24"/>
      <c r="P213" s="24"/>
      <c r="Q213" s="24"/>
      <c r="R213" s="26"/>
      <c r="S213" s="14">
        <f t="shared" si="13"/>
        <v>4.002741546</v>
      </c>
      <c r="U213" s="21"/>
      <c r="V213" s="21"/>
    </row>
    <row r="214">
      <c r="A214" s="11">
        <v>202.0</v>
      </c>
      <c r="B214" s="11">
        <v>1.42027391304347E9</v>
      </c>
      <c r="C214" s="2">
        <v>-102.1369247</v>
      </c>
      <c r="D214" s="24">
        <f t="shared" si="1"/>
        <v>-126086.9565</v>
      </c>
      <c r="E214" s="25">
        <f t="shared" si="2"/>
        <v>25.7122917</v>
      </c>
      <c r="F214" s="24">
        <f t="shared" si="3"/>
        <v>0.0002039250721</v>
      </c>
      <c r="G214" s="24">
        <f t="shared" si="4"/>
        <v>0</v>
      </c>
      <c r="H214" s="26">
        <f t="shared" si="5"/>
        <v>0</v>
      </c>
      <c r="I214" s="24">
        <f t="shared" si="6"/>
        <v>0</v>
      </c>
      <c r="J214" s="24">
        <f t="shared" si="7"/>
        <v>0</v>
      </c>
      <c r="K214" s="24"/>
      <c r="L214" s="24">
        <f t="shared" si="8"/>
        <v>464.9579709</v>
      </c>
      <c r="M214" s="14">
        <f t="shared" si="9"/>
        <v>456.4574948</v>
      </c>
      <c r="N214" s="27">
        <f t="shared" si="10"/>
        <v>8.500476113</v>
      </c>
      <c r="O214" s="24"/>
      <c r="P214" s="24"/>
      <c r="Q214" s="24"/>
      <c r="R214" s="26"/>
      <c r="S214" s="14">
        <f t="shared" si="13"/>
        <v>7.805954341</v>
      </c>
      <c r="U214" s="21"/>
      <c r="V214" s="21"/>
    </row>
    <row r="215">
      <c r="A215" s="11">
        <v>203.0</v>
      </c>
      <c r="B215" s="11">
        <v>1.42027826086956E9</v>
      </c>
      <c r="C215" s="2">
        <v>-102.2114563</v>
      </c>
      <c r="D215" s="24">
        <f t="shared" si="1"/>
        <v>-121739.1304</v>
      </c>
      <c r="E215" s="25">
        <f t="shared" si="2"/>
        <v>24.79399557</v>
      </c>
      <c r="F215" s="24">
        <f t="shared" si="3"/>
        <v>0.0002036649636</v>
      </c>
      <c r="G215" s="24">
        <f t="shared" si="4"/>
        <v>0</v>
      </c>
      <c r="H215" s="26">
        <f t="shared" si="5"/>
        <v>0</v>
      </c>
      <c r="I215" s="24">
        <f t="shared" si="6"/>
        <v>0</v>
      </c>
      <c r="J215" s="24">
        <f t="shared" si="7"/>
        <v>0</v>
      </c>
      <c r="K215" s="24"/>
      <c r="L215" s="24">
        <f t="shared" si="8"/>
        <v>457.0466577</v>
      </c>
      <c r="M215" s="14">
        <f t="shared" si="9"/>
        <v>456.3558701</v>
      </c>
      <c r="N215" s="27">
        <f t="shared" si="10"/>
        <v>0.690787606</v>
      </c>
      <c r="O215" s="24"/>
      <c r="P215" s="24"/>
      <c r="Q215" s="24"/>
      <c r="R215" s="26"/>
      <c r="S215" s="14">
        <f t="shared" si="13"/>
        <v>0.6343475857</v>
      </c>
      <c r="U215" s="21"/>
      <c r="V215" s="21"/>
    </row>
    <row r="216">
      <c r="A216" s="11">
        <v>204.0</v>
      </c>
      <c r="B216" s="11">
        <v>1.42028260869565E9</v>
      </c>
      <c r="C216" s="2">
        <v>-102.2509918</v>
      </c>
      <c r="D216" s="24">
        <f t="shared" si="1"/>
        <v>-117391.3043</v>
      </c>
      <c r="E216" s="25">
        <f t="shared" si="2"/>
        <v>23.87569944</v>
      </c>
      <c r="F216" s="24">
        <f t="shared" si="3"/>
        <v>0.0002033855878</v>
      </c>
      <c r="G216" s="24">
        <f t="shared" si="4"/>
        <v>0</v>
      </c>
      <c r="H216" s="26">
        <f t="shared" si="5"/>
        <v>0</v>
      </c>
      <c r="I216" s="24">
        <f t="shared" si="6"/>
        <v>0</v>
      </c>
      <c r="J216" s="24">
        <f t="shared" si="7"/>
        <v>0</v>
      </c>
      <c r="K216" s="24"/>
      <c r="L216" s="24">
        <f t="shared" si="8"/>
        <v>452.9048666</v>
      </c>
      <c r="M216" s="14">
        <f t="shared" si="9"/>
        <v>456.2539723</v>
      </c>
      <c r="N216" s="27">
        <f t="shared" si="10"/>
        <v>-3.349105609</v>
      </c>
      <c r="O216" s="24"/>
      <c r="P216" s="24"/>
      <c r="Q216" s="24"/>
      <c r="R216" s="26"/>
      <c r="S216" s="14">
        <f t="shared" si="13"/>
        <v>-3.075470729</v>
      </c>
      <c r="U216" s="21"/>
      <c r="V216" s="21"/>
    </row>
    <row r="217">
      <c r="A217" s="11">
        <v>205.0</v>
      </c>
      <c r="B217" s="11">
        <v>1.42028695652173E9</v>
      </c>
      <c r="C217" s="2">
        <v>-102.2036743</v>
      </c>
      <c r="D217" s="24">
        <f t="shared" si="1"/>
        <v>-113043.4783</v>
      </c>
      <c r="E217" s="25">
        <f t="shared" si="2"/>
        <v>22.9574033</v>
      </c>
      <c r="F217" s="24">
        <f t="shared" si="3"/>
        <v>0.0002030847215</v>
      </c>
      <c r="G217" s="24">
        <f t="shared" si="4"/>
        <v>0</v>
      </c>
      <c r="H217" s="26">
        <f t="shared" si="5"/>
        <v>0</v>
      </c>
      <c r="I217" s="24">
        <f t="shared" si="6"/>
        <v>0</v>
      </c>
      <c r="J217" s="24">
        <f t="shared" si="7"/>
        <v>0</v>
      </c>
      <c r="K217" s="24"/>
      <c r="L217" s="24">
        <f t="shared" si="8"/>
        <v>457.8663609</v>
      </c>
      <c r="M217" s="14">
        <f t="shared" si="9"/>
        <v>456.1518039</v>
      </c>
      <c r="N217" s="27">
        <f t="shared" si="10"/>
        <v>1.714556947</v>
      </c>
      <c r="O217" s="24"/>
      <c r="P217" s="24"/>
      <c r="Q217" s="24"/>
      <c r="R217" s="26"/>
      <c r="S217" s="14">
        <f t="shared" si="13"/>
        <v>1.574471014</v>
      </c>
      <c r="U217" s="21"/>
      <c r="V217" s="21"/>
    </row>
    <row r="218">
      <c r="A218" s="11">
        <v>206.0</v>
      </c>
      <c r="B218" s="11">
        <v>1.42029130434782E9</v>
      </c>
      <c r="C218" s="2">
        <v>-102.184967</v>
      </c>
      <c r="D218" s="24">
        <f t="shared" si="1"/>
        <v>-108695.6522</v>
      </c>
      <c r="E218" s="25">
        <f t="shared" si="2"/>
        <v>22.03910717</v>
      </c>
      <c r="F218" s="24">
        <f t="shared" si="3"/>
        <v>0.000202759786</v>
      </c>
      <c r="G218" s="24">
        <f t="shared" si="4"/>
        <v>0</v>
      </c>
      <c r="H218" s="26">
        <f t="shared" si="5"/>
        <v>0</v>
      </c>
      <c r="I218" s="24">
        <f t="shared" si="6"/>
        <v>0</v>
      </c>
      <c r="J218" s="24">
        <f t="shared" si="7"/>
        <v>0</v>
      </c>
      <c r="K218" s="24"/>
      <c r="L218" s="24">
        <f t="shared" si="8"/>
        <v>459.842881</v>
      </c>
      <c r="M218" s="14">
        <f t="shared" si="9"/>
        <v>456.0493677</v>
      </c>
      <c r="N218" s="27">
        <f t="shared" si="10"/>
        <v>3.793513253</v>
      </c>
      <c r="O218" s="24"/>
      <c r="P218" s="24"/>
      <c r="Q218" s="24"/>
      <c r="R218" s="26"/>
      <c r="S218" s="14">
        <f t="shared" si="13"/>
        <v>3.48356855</v>
      </c>
      <c r="U218" s="21"/>
      <c r="V218" s="21"/>
    </row>
    <row r="219">
      <c r="A219" s="11">
        <v>207.0</v>
      </c>
      <c r="B219" s="11">
        <v>1.42029565217391E9</v>
      </c>
      <c r="C219" s="2">
        <v>-102.172493</v>
      </c>
      <c r="D219" s="24">
        <f t="shared" si="1"/>
        <v>-104347.8261</v>
      </c>
      <c r="E219" s="25">
        <f t="shared" si="2"/>
        <v>21.12081104</v>
      </c>
      <c r="F219" s="24">
        <f t="shared" si="3"/>
        <v>0.0002024077725</v>
      </c>
      <c r="G219" s="24">
        <f t="shared" si="4"/>
        <v>0</v>
      </c>
      <c r="H219" s="26">
        <f t="shared" si="5"/>
        <v>0</v>
      </c>
      <c r="I219" s="24">
        <f t="shared" si="6"/>
        <v>0</v>
      </c>
      <c r="J219" s="24">
        <f t="shared" si="7"/>
        <v>0</v>
      </c>
      <c r="K219" s="24"/>
      <c r="L219" s="24">
        <f t="shared" si="8"/>
        <v>461.1655609</v>
      </c>
      <c r="M219" s="14">
        <f t="shared" si="9"/>
        <v>455.9466663</v>
      </c>
      <c r="N219" s="27">
        <f t="shared" si="10"/>
        <v>5.218894554</v>
      </c>
      <c r="O219" s="24"/>
      <c r="P219" s="24"/>
      <c r="Q219" s="24"/>
      <c r="R219" s="26"/>
      <c r="S219" s="14">
        <f t="shared" si="13"/>
        <v>4.792490676</v>
      </c>
      <c r="U219" s="21"/>
      <c r="V219" s="21"/>
    </row>
    <row r="220">
      <c r="A220" s="11">
        <v>208.0</v>
      </c>
      <c r="B220" s="11">
        <v>1.4203E9</v>
      </c>
      <c r="C220" s="2">
        <v>-102.2418594</v>
      </c>
      <c r="D220" s="24">
        <f t="shared" si="1"/>
        <v>-100000</v>
      </c>
      <c r="E220" s="25">
        <f t="shared" si="2"/>
        <v>20.20251491</v>
      </c>
      <c r="F220" s="24">
        <f t="shared" si="3"/>
        <v>0.0002020251491</v>
      </c>
      <c r="G220" s="24">
        <f t="shared" si="4"/>
        <v>0</v>
      </c>
      <c r="H220" s="26">
        <f t="shared" si="5"/>
        <v>0</v>
      </c>
      <c r="I220" s="24">
        <f t="shared" si="6"/>
        <v>0</v>
      </c>
      <c r="J220" s="24">
        <f t="shared" si="7"/>
        <v>0</v>
      </c>
      <c r="K220" s="24"/>
      <c r="L220" s="24">
        <f t="shared" si="8"/>
        <v>453.8582428</v>
      </c>
      <c r="M220" s="14">
        <f t="shared" si="9"/>
        <v>455.8437023</v>
      </c>
      <c r="N220" s="27">
        <f t="shared" si="10"/>
        <v>-1.985459429</v>
      </c>
      <c r="O220" s="24"/>
      <c r="P220" s="24"/>
      <c r="Q220" s="24"/>
      <c r="R220" s="26"/>
      <c r="S220" s="14">
        <f t="shared" si="13"/>
        <v>-1.823239715</v>
      </c>
      <c r="U220" s="21"/>
      <c r="V220" s="21"/>
    </row>
    <row r="221">
      <c r="A221" s="11">
        <v>209.0</v>
      </c>
      <c r="B221" s="11">
        <v>1.42030434782608E9</v>
      </c>
      <c r="C221" s="2">
        <v>-102.1614914</v>
      </c>
      <c r="D221" s="24">
        <f t="shared" si="1"/>
        <v>-95652.17392</v>
      </c>
      <c r="E221" s="25">
        <f t="shared" si="2"/>
        <v>19.28421878</v>
      </c>
      <c r="F221" s="24">
        <f t="shared" si="3"/>
        <v>0.0002016077417</v>
      </c>
      <c r="G221" s="24">
        <f t="shared" si="4"/>
        <v>0</v>
      </c>
      <c r="H221" s="26">
        <f t="shared" si="5"/>
        <v>0</v>
      </c>
      <c r="I221" s="24">
        <f t="shared" si="6"/>
        <v>0</v>
      </c>
      <c r="J221" s="24">
        <f t="shared" si="7"/>
        <v>0</v>
      </c>
      <c r="K221" s="24"/>
      <c r="L221" s="24">
        <f t="shared" si="8"/>
        <v>462.3352719</v>
      </c>
      <c r="M221" s="14">
        <f t="shared" si="9"/>
        <v>455.7404783</v>
      </c>
      <c r="N221" s="27">
        <f t="shared" si="10"/>
        <v>6.594793679</v>
      </c>
      <c r="O221" s="24"/>
      <c r="P221" s="24"/>
      <c r="Q221" s="24"/>
      <c r="R221" s="26"/>
      <c r="S221" s="14">
        <f t="shared" si="13"/>
        <v>6.055973532</v>
      </c>
      <c r="U221" s="21"/>
      <c r="V221" s="21"/>
    </row>
    <row r="222">
      <c r="A222" s="11">
        <v>210.0</v>
      </c>
      <c r="B222" s="11">
        <v>1.42030869565217E9</v>
      </c>
      <c r="C222" s="2">
        <v>-102.1842194</v>
      </c>
      <c r="D222" s="24">
        <f t="shared" si="1"/>
        <v>-91304.34783</v>
      </c>
      <c r="E222" s="25">
        <f t="shared" si="2"/>
        <v>18.36592264</v>
      </c>
      <c r="F222" s="24">
        <f t="shared" si="3"/>
        <v>0.0002011505813</v>
      </c>
      <c r="G222" s="24">
        <f t="shared" si="4"/>
        <v>0</v>
      </c>
      <c r="H222" s="26">
        <f t="shared" si="5"/>
        <v>0</v>
      </c>
      <c r="I222" s="24">
        <f t="shared" si="6"/>
        <v>0</v>
      </c>
      <c r="J222" s="24">
        <f t="shared" si="7"/>
        <v>0</v>
      </c>
      <c r="K222" s="24"/>
      <c r="L222" s="24">
        <f t="shared" si="8"/>
        <v>459.9220457</v>
      </c>
      <c r="M222" s="14">
        <f t="shared" si="9"/>
        <v>455.6369969</v>
      </c>
      <c r="N222" s="27">
        <f t="shared" si="10"/>
        <v>4.28504884</v>
      </c>
      <c r="O222" s="24"/>
      <c r="P222" s="24"/>
      <c r="Q222" s="24"/>
      <c r="R222" s="26"/>
      <c r="S222" s="14">
        <f t="shared" si="13"/>
        <v>3.934943769</v>
      </c>
      <c r="U222" s="21"/>
      <c r="V222" s="21"/>
    </row>
    <row r="223">
      <c r="A223" s="11">
        <v>211.0</v>
      </c>
      <c r="B223" s="11">
        <v>1.42031304347826E9</v>
      </c>
      <c r="C223" s="2">
        <v>-102.2355194</v>
      </c>
      <c r="D223" s="24">
        <f t="shared" si="1"/>
        <v>-86956.52174</v>
      </c>
      <c r="E223" s="25">
        <f t="shared" si="2"/>
        <v>17.44762651</v>
      </c>
      <c r="F223" s="24">
        <f t="shared" si="3"/>
        <v>0.0002006477049</v>
      </c>
      <c r="G223" s="24">
        <f t="shared" si="4"/>
        <v>0</v>
      </c>
      <c r="H223" s="26">
        <f t="shared" si="5"/>
        <v>0</v>
      </c>
      <c r="I223" s="24">
        <f t="shared" si="6"/>
        <v>0</v>
      </c>
      <c r="J223" s="24">
        <f t="shared" si="7"/>
        <v>0</v>
      </c>
      <c r="K223" s="24"/>
      <c r="L223" s="24">
        <f t="shared" si="8"/>
        <v>454.5212866</v>
      </c>
      <c r="M223" s="14">
        <f t="shared" si="9"/>
        <v>455.5332608</v>
      </c>
      <c r="N223" s="27">
        <f t="shared" si="10"/>
        <v>-1.011974172</v>
      </c>
      <c r="O223" s="24"/>
      <c r="P223" s="24"/>
      <c r="Q223" s="24"/>
      <c r="R223" s="26"/>
      <c r="S223" s="14">
        <f t="shared" si="13"/>
        <v>-0.9292919688</v>
      </c>
      <c r="U223" s="21"/>
      <c r="V223" s="21"/>
    </row>
    <row r="224">
      <c r="A224" s="11">
        <v>212.0</v>
      </c>
      <c r="B224" s="11">
        <v>1.42031739130434E9</v>
      </c>
      <c r="C224" s="2">
        <v>-102.1972733</v>
      </c>
      <c r="D224" s="24">
        <f t="shared" si="1"/>
        <v>-82608.69566</v>
      </c>
      <c r="E224" s="25">
        <f t="shared" si="2"/>
        <v>16.52933038</v>
      </c>
      <c r="F224" s="24">
        <f t="shared" si="3"/>
        <v>0.000200091894</v>
      </c>
      <c r="G224" s="24">
        <f t="shared" si="4"/>
        <v>0</v>
      </c>
      <c r="H224" s="26">
        <f t="shared" si="5"/>
        <v>0</v>
      </c>
      <c r="I224" s="24">
        <f t="shared" si="6"/>
        <v>0</v>
      </c>
      <c r="J224" s="24">
        <f t="shared" si="7"/>
        <v>0</v>
      </c>
      <c r="K224" s="24"/>
      <c r="L224" s="24">
        <f t="shared" si="8"/>
        <v>458.5417007</v>
      </c>
      <c r="M224" s="14">
        <f t="shared" si="9"/>
        <v>455.4292726</v>
      </c>
      <c r="N224" s="27">
        <f t="shared" si="10"/>
        <v>3.11242805</v>
      </c>
      <c r="O224" s="24"/>
      <c r="P224" s="24"/>
      <c r="Q224" s="24"/>
      <c r="R224" s="26"/>
      <c r="S224" s="14">
        <f t="shared" si="13"/>
        <v>2.858130642</v>
      </c>
      <c r="U224" s="21"/>
      <c r="V224" s="21"/>
    </row>
    <row r="225">
      <c r="A225" s="11">
        <v>213.0</v>
      </c>
      <c r="B225" s="11">
        <v>1.42032173913043E9</v>
      </c>
      <c r="C225" s="2">
        <v>-102.1751633</v>
      </c>
      <c r="D225" s="24">
        <f t="shared" si="1"/>
        <v>-78260.86957</v>
      </c>
      <c r="E225" s="25">
        <f t="shared" si="2"/>
        <v>15.61103425</v>
      </c>
      <c r="F225" s="24">
        <f t="shared" si="3"/>
        <v>0.0001994743265</v>
      </c>
      <c r="G225" s="24">
        <f t="shared" si="4"/>
        <v>0</v>
      </c>
      <c r="H225" s="26">
        <f t="shared" si="5"/>
        <v>0</v>
      </c>
      <c r="I225" s="24">
        <f t="shared" si="6"/>
        <v>0</v>
      </c>
      <c r="J225" s="24">
        <f t="shared" si="7"/>
        <v>0</v>
      </c>
      <c r="K225" s="24"/>
      <c r="L225" s="24">
        <f t="shared" si="8"/>
        <v>460.8820961</v>
      </c>
      <c r="M225" s="14">
        <f t="shared" si="9"/>
        <v>455.325035</v>
      </c>
      <c r="N225" s="27">
        <f t="shared" si="10"/>
        <v>5.557061114</v>
      </c>
      <c r="O225" s="24"/>
      <c r="P225" s="24"/>
      <c r="Q225" s="24"/>
      <c r="R225" s="26"/>
      <c r="S225" s="14">
        <f t="shared" si="13"/>
        <v>5.103027718</v>
      </c>
      <c r="U225" s="21"/>
      <c r="V225" s="21"/>
    </row>
    <row r="226">
      <c r="A226" s="11">
        <v>214.0</v>
      </c>
      <c r="B226" s="11">
        <v>1.42032608695652E9</v>
      </c>
      <c r="C226" s="2">
        <v>-102.2084808</v>
      </c>
      <c r="D226" s="24">
        <f t="shared" si="1"/>
        <v>-73913.04348</v>
      </c>
      <c r="E226" s="25">
        <f t="shared" si="2"/>
        <v>14.69273812</v>
      </c>
      <c r="F226" s="24">
        <f t="shared" si="3"/>
        <v>0.0001987841039</v>
      </c>
      <c r="G226" s="24">
        <f t="shared" si="4"/>
        <v>0</v>
      </c>
      <c r="H226" s="26">
        <f t="shared" si="5"/>
        <v>0</v>
      </c>
      <c r="I226" s="24">
        <f t="shared" si="6"/>
        <v>0</v>
      </c>
      <c r="J226" s="24">
        <f t="shared" si="7"/>
        <v>0</v>
      </c>
      <c r="K226" s="24"/>
      <c r="L226" s="24">
        <f t="shared" si="8"/>
        <v>457.3599033</v>
      </c>
      <c r="M226" s="14">
        <f t="shared" si="9"/>
        <v>455.2205505</v>
      </c>
      <c r="N226" s="27">
        <f t="shared" si="10"/>
        <v>2.139352829</v>
      </c>
      <c r="O226" s="24"/>
      <c r="P226" s="24"/>
      <c r="Q226" s="24"/>
      <c r="R226" s="26"/>
      <c r="S226" s="14">
        <f t="shared" si="13"/>
        <v>1.964559429</v>
      </c>
      <c r="U226" s="21"/>
      <c r="V226" s="21"/>
    </row>
    <row r="227">
      <c r="A227" s="11">
        <v>215.0</v>
      </c>
      <c r="B227" s="11">
        <v>1.4203304347826E9</v>
      </c>
      <c r="C227" s="2">
        <v>-102.1702576</v>
      </c>
      <c r="D227" s="24">
        <f t="shared" si="1"/>
        <v>-69565.2174</v>
      </c>
      <c r="E227" s="25">
        <f t="shared" si="2"/>
        <v>13.77444198</v>
      </c>
      <c r="F227" s="24">
        <f t="shared" si="3"/>
        <v>0.0001980076035</v>
      </c>
      <c r="G227" s="24">
        <f t="shared" si="4"/>
        <v>0</v>
      </c>
      <c r="H227" s="26">
        <f t="shared" si="5"/>
        <v>0</v>
      </c>
      <c r="I227" s="24">
        <f t="shared" si="6"/>
        <v>0</v>
      </c>
      <c r="J227" s="24">
        <f t="shared" si="7"/>
        <v>0</v>
      </c>
      <c r="K227" s="24"/>
      <c r="L227" s="24">
        <f t="shared" si="8"/>
        <v>461.402993</v>
      </c>
      <c r="M227" s="14">
        <f t="shared" si="9"/>
        <v>455.1158218</v>
      </c>
      <c r="N227" s="27">
        <f t="shared" si="10"/>
        <v>6.287171275</v>
      </c>
      <c r="O227" s="24"/>
      <c r="P227" s="24"/>
      <c r="Q227" s="24"/>
      <c r="R227" s="26"/>
      <c r="S227" s="14">
        <f t="shared" si="13"/>
        <v>5.773485067</v>
      </c>
      <c r="U227" s="21"/>
      <c r="V227" s="21"/>
    </row>
    <row r="228">
      <c r="A228" s="11">
        <v>216.0</v>
      </c>
      <c r="B228" s="11">
        <v>1.42033478260869E9</v>
      </c>
      <c r="C228" s="2">
        <v>-102.1608505</v>
      </c>
      <c r="D228" s="24">
        <f t="shared" si="1"/>
        <v>-65217.39131</v>
      </c>
      <c r="E228" s="25">
        <f t="shared" si="2"/>
        <v>12.85614585</v>
      </c>
      <c r="F228" s="24">
        <f t="shared" si="3"/>
        <v>0.0001971275697</v>
      </c>
      <c r="G228" s="24">
        <f t="shared" si="4"/>
        <v>0</v>
      </c>
      <c r="H228" s="26">
        <f t="shared" si="5"/>
        <v>0</v>
      </c>
      <c r="I228" s="24">
        <f t="shared" si="6"/>
        <v>0</v>
      </c>
      <c r="J228" s="24">
        <f t="shared" si="7"/>
        <v>0</v>
      </c>
      <c r="K228" s="24"/>
      <c r="L228" s="24">
        <f t="shared" si="8"/>
        <v>462.403505</v>
      </c>
      <c r="M228" s="14">
        <f t="shared" si="9"/>
        <v>455.0108515</v>
      </c>
      <c r="N228" s="27">
        <f t="shared" si="10"/>
        <v>7.392653559</v>
      </c>
      <c r="O228" s="24"/>
      <c r="P228" s="24"/>
      <c r="Q228" s="24"/>
      <c r="R228" s="26"/>
      <c r="S228" s="14">
        <f t="shared" si="13"/>
        <v>6.788645174</v>
      </c>
      <c r="U228" s="21"/>
      <c r="V228" s="21"/>
    </row>
    <row r="229">
      <c r="A229" s="11">
        <v>217.0</v>
      </c>
      <c r="B229" s="11">
        <v>1.42033913043478E9</v>
      </c>
      <c r="C229" s="2">
        <v>-102.199852</v>
      </c>
      <c r="D229" s="24">
        <f t="shared" si="1"/>
        <v>-60869.56522</v>
      </c>
      <c r="E229" s="25">
        <f t="shared" si="2"/>
        <v>11.93784972</v>
      </c>
      <c r="F229" s="24">
        <f t="shared" si="3"/>
        <v>0.0001961218168</v>
      </c>
      <c r="G229" s="24">
        <f t="shared" si="4"/>
        <v>0</v>
      </c>
      <c r="H229" s="26">
        <f t="shared" si="5"/>
        <v>0</v>
      </c>
      <c r="I229" s="24">
        <f t="shared" si="6"/>
        <v>0</v>
      </c>
      <c r="J229" s="24">
        <f t="shared" si="7"/>
        <v>0</v>
      </c>
      <c r="K229" s="24"/>
      <c r="L229" s="24">
        <f t="shared" si="8"/>
        <v>458.2695143</v>
      </c>
      <c r="M229" s="14">
        <f t="shared" si="9"/>
        <v>454.9056422</v>
      </c>
      <c r="N229" s="27">
        <f t="shared" si="10"/>
        <v>3.363872061</v>
      </c>
      <c r="O229" s="24"/>
      <c r="P229" s="24"/>
      <c r="Q229" s="24"/>
      <c r="R229" s="26"/>
      <c r="S229" s="14">
        <f t="shared" si="13"/>
        <v>3.089030698</v>
      </c>
      <c r="U229" s="21"/>
      <c r="V229" s="21"/>
    </row>
    <row r="230">
      <c r="A230" s="11">
        <v>218.0</v>
      </c>
      <c r="B230" s="11">
        <v>1.42034347826087E9</v>
      </c>
      <c r="C230" s="2">
        <v>-102.2061539</v>
      </c>
      <c r="D230" s="24">
        <f t="shared" si="1"/>
        <v>-56521.73913</v>
      </c>
      <c r="E230" s="25">
        <f t="shared" si="2"/>
        <v>11.01955359</v>
      </c>
      <c r="F230" s="24">
        <f t="shared" si="3"/>
        <v>0.0001949613327</v>
      </c>
      <c r="G230" s="24">
        <f t="shared" si="4"/>
        <v>0</v>
      </c>
      <c r="H230" s="26">
        <f t="shared" si="5"/>
        <v>0</v>
      </c>
      <c r="I230" s="24">
        <f t="shared" si="6"/>
        <v>0</v>
      </c>
      <c r="J230" s="24">
        <f t="shared" si="7"/>
        <v>0</v>
      </c>
      <c r="K230" s="24"/>
      <c r="L230" s="24">
        <f t="shared" si="8"/>
        <v>457.6050171</v>
      </c>
      <c r="M230" s="14">
        <f t="shared" si="9"/>
        <v>454.8001966</v>
      </c>
      <c r="N230" s="27">
        <f t="shared" si="10"/>
        <v>2.804820523</v>
      </c>
      <c r="O230" s="24"/>
      <c r="P230" s="24"/>
      <c r="Q230" s="24"/>
      <c r="R230" s="26"/>
      <c r="S230" s="14">
        <f t="shared" si="13"/>
        <v>2.575655839</v>
      </c>
      <c r="U230" s="21"/>
      <c r="V230" s="21"/>
    </row>
    <row r="231">
      <c r="A231" s="11">
        <v>219.0</v>
      </c>
      <c r="B231" s="11">
        <v>1.42034782608695E9</v>
      </c>
      <c r="C231" s="2">
        <v>-102.1525726</v>
      </c>
      <c r="D231" s="24">
        <f t="shared" si="1"/>
        <v>-52173.91305</v>
      </c>
      <c r="E231" s="25">
        <f t="shared" si="2"/>
        <v>10.10125745</v>
      </c>
      <c r="F231" s="24">
        <f t="shared" si="3"/>
        <v>0.0001936074345</v>
      </c>
      <c r="G231" s="24">
        <f t="shared" si="4"/>
        <v>0</v>
      </c>
      <c r="H231" s="26">
        <f t="shared" si="5"/>
        <v>0</v>
      </c>
      <c r="I231" s="24">
        <f t="shared" si="6"/>
        <v>0</v>
      </c>
      <c r="J231" s="24">
        <f t="shared" si="7"/>
        <v>0</v>
      </c>
      <c r="K231" s="24"/>
      <c r="L231" s="24">
        <f t="shared" si="8"/>
        <v>463.2857129</v>
      </c>
      <c r="M231" s="14">
        <f t="shared" si="9"/>
        <v>454.6945173</v>
      </c>
      <c r="N231" s="27">
        <f t="shared" si="10"/>
        <v>8.591195592</v>
      </c>
      <c r="O231" s="24"/>
      <c r="P231" s="24"/>
      <c r="Q231" s="24"/>
      <c r="R231" s="26"/>
      <c r="S231" s="14">
        <f t="shared" si="13"/>
        <v>7.889261688</v>
      </c>
      <c r="U231" s="21"/>
      <c r="V231" s="21"/>
    </row>
    <row r="232">
      <c r="A232" s="11">
        <v>220.0</v>
      </c>
      <c r="B232" s="11">
        <v>1.42035217391304E9</v>
      </c>
      <c r="C232" s="2">
        <v>-102.1495438</v>
      </c>
      <c r="D232" s="24">
        <f t="shared" si="1"/>
        <v>-47826.08696</v>
      </c>
      <c r="E232" s="25">
        <f t="shared" si="2"/>
        <v>9.182961321</v>
      </c>
      <c r="F232" s="24">
        <f t="shared" si="3"/>
        <v>0.0001920073731</v>
      </c>
      <c r="G232" s="24">
        <f t="shared" si="4"/>
        <v>0</v>
      </c>
      <c r="H232" s="26">
        <f t="shared" si="5"/>
        <v>0</v>
      </c>
      <c r="I232" s="24">
        <f t="shared" si="6"/>
        <v>0</v>
      </c>
      <c r="J232" s="24">
        <f t="shared" si="7"/>
        <v>0</v>
      </c>
      <c r="K232" s="24"/>
      <c r="L232" s="24">
        <f t="shared" si="8"/>
        <v>463.6089243</v>
      </c>
      <c r="M232" s="14">
        <f t="shared" si="9"/>
        <v>454.588607</v>
      </c>
      <c r="N232" s="27">
        <f t="shared" si="10"/>
        <v>9.020317339</v>
      </c>
      <c r="O232" s="24"/>
      <c r="P232" s="24"/>
      <c r="Q232" s="24"/>
      <c r="R232" s="26"/>
      <c r="S232" s="14">
        <f t="shared" si="13"/>
        <v>8.28332251</v>
      </c>
      <c r="U232" s="21"/>
      <c r="V232" s="21"/>
    </row>
    <row r="233">
      <c r="A233" s="11">
        <v>221.0</v>
      </c>
      <c r="B233" s="11">
        <v>1.42035652173913E9</v>
      </c>
      <c r="C233" s="2">
        <v>-102.0825806</v>
      </c>
      <c r="D233" s="24">
        <f t="shared" si="1"/>
        <v>-43478.26087</v>
      </c>
      <c r="E233" s="25">
        <f t="shared" si="2"/>
        <v>8.264665191</v>
      </c>
      <c r="F233" s="24">
        <f t="shared" si="3"/>
        <v>0.0001900872994</v>
      </c>
      <c r="G233" s="24">
        <f t="shared" si="4"/>
        <v>0</v>
      </c>
      <c r="H233" s="26">
        <f t="shared" si="5"/>
        <v>0</v>
      </c>
      <c r="I233" s="24">
        <f t="shared" si="6"/>
        <v>0</v>
      </c>
      <c r="J233" s="24">
        <f t="shared" si="7"/>
        <v>0</v>
      </c>
      <c r="K233" s="24"/>
      <c r="L233" s="24">
        <f t="shared" si="8"/>
        <v>470.8126329</v>
      </c>
      <c r="M233" s="14">
        <f t="shared" si="9"/>
        <v>454.4824681</v>
      </c>
      <c r="N233" s="27">
        <f t="shared" si="10"/>
        <v>16.33016477</v>
      </c>
      <c r="O233" s="24"/>
      <c r="P233" s="24"/>
      <c r="Q233" s="24"/>
      <c r="R233" s="26"/>
      <c r="S233" s="14">
        <f t="shared" si="13"/>
        <v>14.99592715</v>
      </c>
      <c r="U233" s="21"/>
      <c r="V233" s="21"/>
    </row>
    <row r="234">
      <c r="A234" s="11">
        <v>222.0</v>
      </c>
      <c r="B234" s="11">
        <v>1.42036086956521E9</v>
      </c>
      <c r="C234" s="2">
        <v>-102.1144638</v>
      </c>
      <c r="D234" s="24">
        <f t="shared" si="1"/>
        <v>-39130.43479</v>
      </c>
      <c r="E234" s="25">
        <f t="shared" si="2"/>
        <v>7.346369058</v>
      </c>
      <c r="F234" s="24">
        <f t="shared" si="3"/>
        <v>0.0001877405426</v>
      </c>
      <c r="G234" s="24">
        <f t="shared" si="4"/>
        <v>0</v>
      </c>
      <c r="H234" s="26">
        <f t="shared" si="5"/>
        <v>0</v>
      </c>
      <c r="I234" s="24">
        <f t="shared" si="6"/>
        <v>0</v>
      </c>
      <c r="J234" s="24">
        <f t="shared" si="7"/>
        <v>0</v>
      </c>
      <c r="K234" s="24"/>
      <c r="L234" s="24">
        <f t="shared" si="8"/>
        <v>467.3688758</v>
      </c>
      <c r="M234" s="14">
        <f t="shared" si="9"/>
        <v>454.3761035</v>
      </c>
      <c r="N234" s="27">
        <f t="shared" si="10"/>
        <v>12.99277228</v>
      </c>
      <c r="O234" s="24"/>
      <c r="P234" s="24"/>
      <c r="Q234" s="24"/>
      <c r="R234" s="26"/>
      <c r="S234" s="14">
        <f t="shared" si="13"/>
        <v>11.93121254</v>
      </c>
      <c r="U234" s="21"/>
      <c r="V234" s="21"/>
    </row>
    <row r="235">
      <c r="A235" s="11">
        <v>223.0</v>
      </c>
      <c r="B235" s="11">
        <v>1.4203652173913E9</v>
      </c>
      <c r="C235" s="2">
        <v>-102.1135101</v>
      </c>
      <c r="D235" s="24">
        <f t="shared" si="1"/>
        <v>-34782.6087</v>
      </c>
      <c r="E235" s="25">
        <f t="shared" si="2"/>
        <v>6.428072925</v>
      </c>
      <c r="F235" s="24">
        <f t="shared" si="3"/>
        <v>0.0001848070966</v>
      </c>
      <c r="G235" s="24">
        <f t="shared" si="4"/>
        <v>0</v>
      </c>
      <c r="H235" s="26">
        <f t="shared" si="5"/>
        <v>0</v>
      </c>
      <c r="I235" s="24">
        <f t="shared" si="6"/>
        <v>0</v>
      </c>
      <c r="J235" s="24">
        <f t="shared" si="7"/>
        <v>0</v>
      </c>
      <c r="K235" s="24"/>
      <c r="L235" s="24">
        <f t="shared" si="8"/>
        <v>467.4715201</v>
      </c>
      <c r="M235" s="14">
        <f t="shared" si="9"/>
        <v>454.2695157</v>
      </c>
      <c r="N235" s="27">
        <f t="shared" si="10"/>
        <v>13.20200444</v>
      </c>
      <c r="O235" s="24"/>
      <c r="P235" s="24"/>
      <c r="Q235" s="24"/>
      <c r="R235" s="26"/>
      <c r="S235" s="14">
        <f t="shared" si="13"/>
        <v>12.1233496</v>
      </c>
      <c r="U235" s="21"/>
      <c r="V235" s="21"/>
    </row>
    <row r="236">
      <c r="A236" s="11">
        <v>224.0</v>
      </c>
      <c r="B236" s="11">
        <v>1.42036956521739E9</v>
      </c>
      <c r="C236" s="2">
        <v>-102.0986176</v>
      </c>
      <c r="D236" s="24">
        <f t="shared" si="1"/>
        <v>-30434.78261</v>
      </c>
      <c r="E236" s="25">
        <f t="shared" si="2"/>
        <v>5.509776795</v>
      </c>
      <c r="F236" s="24">
        <f t="shared" si="3"/>
        <v>0.0001810355232</v>
      </c>
      <c r="G236" s="24">
        <f t="shared" si="4"/>
        <v>0</v>
      </c>
      <c r="H236" s="26">
        <f t="shared" si="5"/>
        <v>0</v>
      </c>
      <c r="I236" s="24">
        <f t="shared" si="6"/>
        <v>0</v>
      </c>
      <c r="J236" s="24">
        <f t="shared" si="7"/>
        <v>0</v>
      </c>
      <c r="K236" s="24"/>
      <c r="L236" s="24">
        <f t="shared" si="8"/>
        <v>469.0772899</v>
      </c>
      <c r="M236" s="14">
        <f t="shared" si="9"/>
        <v>454.1627073</v>
      </c>
      <c r="N236" s="27">
        <f t="shared" si="10"/>
        <v>14.91458267</v>
      </c>
      <c r="O236" s="24"/>
      <c r="P236" s="24"/>
      <c r="Q236" s="24"/>
      <c r="R236" s="26"/>
      <c r="S236" s="14">
        <f t="shared" si="13"/>
        <v>13.69600359</v>
      </c>
      <c r="U236" s="21"/>
      <c r="V236" s="21"/>
    </row>
    <row r="237">
      <c r="A237" s="11">
        <v>225.0</v>
      </c>
      <c r="B237" s="11">
        <v>1.42037391304347E9</v>
      </c>
      <c r="C237" s="2">
        <v>-102.0949249</v>
      </c>
      <c r="D237" s="24">
        <f t="shared" si="1"/>
        <v>-26086.95653</v>
      </c>
      <c r="E237" s="25">
        <f t="shared" si="2"/>
        <v>4.591480662</v>
      </c>
      <c r="F237" s="24">
        <f t="shared" si="3"/>
        <v>0.0001760067586</v>
      </c>
      <c r="G237" s="24">
        <f t="shared" si="4"/>
        <v>0</v>
      </c>
      <c r="H237" s="26">
        <f t="shared" si="5"/>
        <v>0</v>
      </c>
      <c r="I237" s="24">
        <f t="shared" si="6"/>
        <v>0</v>
      </c>
      <c r="J237" s="24">
        <f t="shared" si="7"/>
        <v>0</v>
      </c>
      <c r="K237" s="24"/>
      <c r="L237" s="24">
        <f t="shared" si="8"/>
        <v>469.4763045</v>
      </c>
      <c r="M237" s="14">
        <f t="shared" si="9"/>
        <v>454.0556809</v>
      </c>
      <c r="N237" s="27">
        <f t="shared" si="10"/>
        <v>15.4206236</v>
      </c>
      <c r="O237" s="24"/>
      <c r="P237" s="24"/>
      <c r="Q237" s="24"/>
      <c r="R237" s="26"/>
      <c r="S237" s="14">
        <f t="shared" si="13"/>
        <v>14.16069901</v>
      </c>
      <c r="U237" s="21"/>
      <c r="V237" s="21"/>
    </row>
    <row r="238">
      <c r="A238" s="11">
        <v>226.0</v>
      </c>
      <c r="B238" s="11">
        <v>1.42037826086956E9</v>
      </c>
      <c r="C238" s="2">
        <v>-102.1274872</v>
      </c>
      <c r="D238" s="24">
        <f t="shared" si="1"/>
        <v>-21739.13044</v>
      </c>
      <c r="E238" s="25">
        <f t="shared" si="2"/>
        <v>3.673184529</v>
      </c>
      <c r="F238" s="24">
        <f t="shared" si="3"/>
        <v>0.0001689664883</v>
      </c>
      <c r="G238" s="24">
        <f t="shared" si="4"/>
        <v>0</v>
      </c>
      <c r="H238" s="26">
        <f t="shared" si="5"/>
        <v>0</v>
      </c>
      <c r="I238" s="24">
        <f t="shared" si="6"/>
        <v>0</v>
      </c>
      <c r="J238" s="24">
        <f t="shared" si="7"/>
        <v>0</v>
      </c>
      <c r="K238" s="24"/>
      <c r="L238" s="24">
        <f t="shared" si="8"/>
        <v>465.9694533</v>
      </c>
      <c r="M238" s="14">
        <f t="shared" si="9"/>
        <v>453.9484393</v>
      </c>
      <c r="N238" s="27">
        <f t="shared" si="10"/>
        <v>12.02101403</v>
      </c>
      <c r="O238" s="24"/>
      <c r="P238" s="24"/>
      <c r="Q238" s="24"/>
      <c r="R238" s="26"/>
      <c r="S238" s="14">
        <f t="shared" si="13"/>
        <v>11.03885067</v>
      </c>
      <c r="U238" s="21"/>
      <c r="V238" s="21"/>
    </row>
    <row r="239">
      <c r="A239" s="11">
        <v>227.0</v>
      </c>
      <c r="B239" s="11">
        <v>1.42038260869565E9</v>
      </c>
      <c r="C239" s="2">
        <v>-102.0731277</v>
      </c>
      <c r="D239" s="24">
        <f t="shared" si="1"/>
        <v>-17391.30435</v>
      </c>
      <c r="E239" s="25">
        <f t="shared" si="2"/>
        <v>2.754888398</v>
      </c>
      <c r="F239" s="24">
        <f t="shared" si="3"/>
        <v>0.0001584060829</v>
      </c>
      <c r="G239" s="24">
        <f t="shared" si="4"/>
        <v>0</v>
      </c>
      <c r="H239" s="26">
        <f t="shared" si="5"/>
        <v>0</v>
      </c>
      <c r="I239" s="24">
        <f t="shared" si="6"/>
        <v>0</v>
      </c>
      <c r="J239" s="24">
        <f t="shared" si="7"/>
        <v>0</v>
      </c>
      <c r="K239" s="24"/>
      <c r="L239" s="24">
        <f t="shared" si="8"/>
        <v>471.8385248</v>
      </c>
      <c r="M239" s="14">
        <f t="shared" si="9"/>
        <v>453.8409849</v>
      </c>
      <c r="N239" s="27">
        <f t="shared" si="10"/>
        <v>17.99753985</v>
      </c>
      <c r="O239" s="24"/>
      <c r="P239" s="24"/>
      <c r="Q239" s="24"/>
      <c r="R239" s="26"/>
      <c r="S239" s="14">
        <f t="shared" si="13"/>
        <v>16.52707125</v>
      </c>
      <c r="U239" s="21"/>
      <c r="V239" s="21"/>
    </row>
    <row r="240">
      <c r="A240" s="11">
        <v>228.0</v>
      </c>
      <c r="B240" s="11">
        <v>1.42038695652173E9</v>
      </c>
      <c r="C240" s="2">
        <v>-102.0882111</v>
      </c>
      <c r="D240" s="24">
        <f t="shared" si="1"/>
        <v>-13043.47827</v>
      </c>
      <c r="E240" s="25">
        <f t="shared" si="2"/>
        <v>1.836592266</v>
      </c>
      <c r="F240" s="24">
        <f t="shared" si="3"/>
        <v>0.0001408054069</v>
      </c>
      <c r="G240" s="24">
        <f t="shared" si="4"/>
        <v>0</v>
      </c>
      <c r="H240" s="26">
        <f t="shared" si="5"/>
        <v>0</v>
      </c>
      <c r="I240" s="24">
        <f t="shared" si="6"/>
        <v>0</v>
      </c>
      <c r="J240" s="24">
        <f t="shared" si="7"/>
        <v>0</v>
      </c>
      <c r="K240" s="24"/>
      <c r="L240" s="24">
        <f t="shared" si="8"/>
        <v>470.2026337</v>
      </c>
      <c r="M240" s="14">
        <f t="shared" si="9"/>
        <v>453.7333205</v>
      </c>
      <c r="N240" s="27">
        <f t="shared" si="10"/>
        <v>16.46931318</v>
      </c>
      <c r="O240" s="24"/>
      <c r="P240" s="24"/>
      <c r="Q240" s="24"/>
      <c r="R240" s="26"/>
      <c r="S240" s="14">
        <f t="shared" si="13"/>
        <v>15.1237066</v>
      </c>
      <c r="U240" s="21"/>
      <c r="V240" s="21"/>
    </row>
    <row r="241">
      <c r="A241" s="11">
        <v>229.0</v>
      </c>
      <c r="B241" s="11">
        <v>1.42039130434782E9</v>
      </c>
      <c r="C241" s="2">
        <v>-102.0824356</v>
      </c>
      <c r="D241" s="24">
        <f t="shared" si="1"/>
        <v>-8695.65218</v>
      </c>
      <c r="E241" s="25">
        <f t="shared" si="2"/>
        <v>0.9182961328</v>
      </c>
      <c r="F241" s="24">
        <f t="shared" si="3"/>
        <v>0.0001056040552</v>
      </c>
      <c r="G241" s="24">
        <f t="shared" si="4"/>
        <v>0</v>
      </c>
      <c r="H241" s="26">
        <f t="shared" si="5"/>
        <v>0</v>
      </c>
      <c r="I241" s="24">
        <f t="shared" si="6"/>
        <v>0</v>
      </c>
      <c r="J241" s="24">
        <f t="shared" si="7"/>
        <v>0</v>
      </c>
      <c r="K241" s="24"/>
      <c r="L241" s="24">
        <f t="shared" si="8"/>
        <v>470.8283524</v>
      </c>
      <c r="M241" s="14">
        <f t="shared" si="9"/>
        <v>453.6254487</v>
      </c>
      <c r="N241" s="27">
        <f t="shared" si="10"/>
        <v>17.20290371</v>
      </c>
      <c r="O241" s="24"/>
      <c r="P241" s="24"/>
      <c r="Q241" s="24"/>
      <c r="R241" s="26"/>
      <c r="S241" s="14">
        <f t="shared" si="13"/>
        <v>15.79735995</v>
      </c>
      <c r="U241" s="21"/>
      <c r="V241" s="21"/>
    </row>
    <row r="242">
      <c r="A242" s="11">
        <v>230.0</v>
      </c>
      <c r="B242" s="11">
        <v>1.42039565217391E9</v>
      </c>
      <c r="C242" s="2">
        <v>-102.0242691</v>
      </c>
      <c r="D242" s="24">
        <f t="shared" si="1"/>
        <v>-4347.82609</v>
      </c>
      <c r="E242" s="25">
        <f t="shared" si="2"/>
        <v>0</v>
      </c>
      <c r="F242" s="24">
        <f t="shared" si="3"/>
        <v>0</v>
      </c>
      <c r="G242" s="24">
        <f t="shared" si="4"/>
        <v>0</v>
      </c>
      <c r="H242" s="26">
        <f t="shared" si="5"/>
        <v>0</v>
      </c>
      <c r="I242" s="24">
        <f t="shared" si="6"/>
        <v>0</v>
      </c>
      <c r="J242" s="24" t="str">
        <f t="shared" si="7"/>
        <v>#DIV/0!</v>
      </c>
      <c r="K242" s="24"/>
      <c r="L242" s="24">
        <f t="shared" si="8"/>
        <v>477.1767307</v>
      </c>
      <c r="M242" s="14">
        <f t="shared" si="9"/>
        <v>453.5173721</v>
      </c>
      <c r="N242" s="27">
        <f t="shared" si="10"/>
        <v>23.65935865</v>
      </c>
      <c r="O242" s="24"/>
      <c r="P242" s="24"/>
      <c r="Q242" s="24"/>
      <c r="R242" s="26"/>
      <c r="S242" s="14">
        <f t="shared" si="13"/>
        <v>21.7262975</v>
      </c>
      <c r="U242" s="21"/>
      <c r="V242" s="21"/>
    </row>
    <row r="243">
      <c r="A243" s="11">
        <v>231.0</v>
      </c>
      <c r="B243" s="11">
        <v>1.4204E9</v>
      </c>
      <c r="C243" s="2">
        <v>-102.0531464</v>
      </c>
      <c r="D243" s="24">
        <f t="shared" si="1"/>
        <v>0</v>
      </c>
      <c r="E243" s="25">
        <f t="shared" si="2"/>
        <v>-0.9182961307</v>
      </c>
      <c r="F243" s="24" t="str">
        <f t="shared" si="3"/>
        <v>#DIV/0!</v>
      </c>
      <c r="G243" s="24">
        <f t="shared" si="4"/>
        <v>0</v>
      </c>
      <c r="H243" s="26">
        <f t="shared" si="5"/>
        <v>0</v>
      </c>
      <c r="I243" s="24">
        <f t="shared" si="6"/>
        <v>0</v>
      </c>
      <c r="J243" s="24" t="str">
        <f t="shared" si="7"/>
        <v>#DIV/0!</v>
      </c>
      <c r="K243" s="24"/>
      <c r="L243" s="24">
        <f t="shared" si="8"/>
        <v>474.0143914</v>
      </c>
      <c r="M243" s="14">
        <f t="shared" si="9"/>
        <v>453.4090933</v>
      </c>
      <c r="N243" s="27">
        <f t="shared" si="10"/>
        <v>20.60529815</v>
      </c>
      <c r="O243" s="24"/>
      <c r="P243" s="24"/>
      <c r="Q243" s="24"/>
      <c r="R243" s="26"/>
      <c r="S243" s="14">
        <f t="shared" si="13"/>
        <v>18.92176561</v>
      </c>
      <c r="U243" s="21"/>
      <c r="V243" s="21"/>
    </row>
    <row r="244">
      <c r="A244" s="11">
        <v>232.0</v>
      </c>
      <c r="B244" s="11">
        <v>1.42040434782608E9</v>
      </c>
      <c r="C244" s="2">
        <v>-102.0539551</v>
      </c>
      <c r="D244" s="24">
        <f t="shared" si="1"/>
        <v>4347.82608</v>
      </c>
      <c r="E244" s="25">
        <f t="shared" si="2"/>
        <v>-1.836592263</v>
      </c>
      <c r="F244" s="24">
        <f t="shared" si="3"/>
        <v>0.0004224162213</v>
      </c>
      <c r="G244" s="24">
        <f t="shared" si="4"/>
        <v>0</v>
      </c>
      <c r="H244" s="26">
        <f t="shared" si="5"/>
        <v>0</v>
      </c>
      <c r="I244" s="24">
        <f t="shared" si="6"/>
        <v>0</v>
      </c>
      <c r="J244" s="24">
        <f t="shared" si="7"/>
        <v>0</v>
      </c>
      <c r="K244" s="24"/>
      <c r="L244" s="24">
        <f t="shared" si="8"/>
        <v>473.9261334</v>
      </c>
      <c r="M244" s="14">
        <f t="shared" si="9"/>
        <v>453.3006149</v>
      </c>
      <c r="N244" s="27">
        <f t="shared" si="10"/>
        <v>20.62551847</v>
      </c>
      <c r="O244" s="24"/>
      <c r="P244" s="24"/>
      <c r="Q244" s="24"/>
      <c r="R244" s="26"/>
      <c r="S244" s="14">
        <f t="shared" si="13"/>
        <v>18.94033385</v>
      </c>
      <c r="U244" s="21"/>
      <c r="V244" s="21"/>
    </row>
    <row r="245">
      <c r="A245" s="11">
        <v>233.0</v>
      </c>
      <c r="B245" s="11">
        <v>1.42040869565217E9</v>
      </c>
      <c r="C245" s="2">
        <v>-102.0108566</v>
      </c>
      <c r="D245" s="24">
        <f t="shared" si="1"/>
        <v>8695.65217</v>
      </c>
      <c r="E245" s="25">
        <f t="shared" si="2"/>
        <v>-2.754888396</v>
      </c>
      <c r="F245" s="24">
        <f t="shared" si="3"/>
        <v>0.0003168121657</v>
      </c>
      <c r="G245" s="24">
        <f t="shared" si="4"/>
        <v>0</v>
      </c>
      <c r="H245" s="26">
        <f t="shared" si="5"/>
        <v>0</v>
      </c>
      <c r="I245" s="24">
        <f t="shared" si="6"/>
        <v>0</v>
      </c>
      <c r="J245" s="24">
        <f t="shared" si="7"/>
        <v>0</v>
      </c>
      <c r="K245" s="24"/>
      <c r="L245" s="24">
        <f t="shared" si="8"/>
        <v>478.6526938</v>
      </c>
      <c r="M245" s="14">
        <f t="shared" si="9"/>
        <v>453.1919397</v>
      </c>
      <c r="N245" s="27">
        <f t="shared" si="10"/>
        <v>25.46075411</v>
      </c>
      <c r="O245" s="24"/>
      <c r="P245" s="24"/>
      <c r="Q245" s="24"/>
      <c r="R245" s="26"/>
      <c r="S245" s="14">
        <f t="shared" si="13"/>
        <v>23.38051198</v>
      </c>
      <c r="U245" s="21"/>
      <c r="V245" s="21"/>
    </row>
    <row r="246">
      <c r="A246" s="11">
        <v>234.0</v>
      </c>
      <c r="B246" s="11">
        <v>1.42041304347826E9</v>
      </c>
      <c r="C246" s="2">
        <v>-101.9381256</v>
      </c>
      <c r="D246" s="24">
        <f t="shared" si="1"/>
        <v>13043.47826</v>
      </c>
      <c r="E246" s="25">
        <f t="shared" si="2"/>
        <v>-3.673184527</v>
      </c>
      <c r="F246" s="24">
        <f t="shared" si="3"/>
        <v>0.0002816108137</v>
      </c>
      <c r="G246" s="24">
        <f t="shared" si="4"/>
        <v>0</v>
      </c>
      <c r="H246" s="26">
        <f t="shared" si="5"/>
        <v>0</v>
      </c>
      <c r="I246" s="24">
        <f t="shared" si="6"/>
        <v>0</v>
      </c>
      <c r="J246" s="24">
        <f t="shared" si="7"/>
        <v>0</v>
      </c>
      <c r="K246" s="24"/>
      <c r="L246" s="24">
        <f t="shared" si="8"/>
        <v>486.7361554</v>
      </c>
      <c r="M246" s="14">
        <f t="shared" si="9"/>
        <v>453.0830701</v>
      </c>
      <c r="N246" s="27">
        <f t="shared" si="10"/>
        <v>33.65308528</v>
      </c>
      <c r="O246" s="24"/>
      <c r="P246" s="24"/>
      <c r="Q246" s="24"/>
      <c r="R246" s="26"/>
      <c r="S246" s="14">
        <f t="shared" si="13"/>
        <v>30.90349807</v>
      </c>
      <c r="U246" s="21"/>
      <c r="V246" s="21"/>
    </row>
    <row r="247">
      <c r="A247" s="11">
        <v>235.0</v>
      </c>
      <c r="B247" s="11">
        <v>1.42041739130434E9</v>
      </c>
      <c r="C247" s="2">
        <v>-101.996933</v>
      </c>
      <c r="D247" s="24">
        <f t="shared" si="1"/>
        <v>17391.30434</v>
      </c>
      <c r="E247" s="25">
        <f t="shared" si="2"/>
        <v>-4.59148066</v>
      </c>
      <c r="F247" s="24">
        <f t="shared" si="3"/>
        <v>0.0002640101381</v>
      </c>
      <c r="G247" s="24">
        <f t="shared" si="4"/>
        <v>0</v>
      </c>
      <c r="H247" s="26">
        <f t="shared" si="5"/>
        <v>0</v>
      </c>
      <c r="I247" s="24">
        <f t="shared" si="6"/>
        <v>0</v>
      </c>
      <c r="J247" s="24">
        <f t="shared" si="7"/>
        <v>0</v>
      </c>
      <c r="K247" s="24"/>
      <c r="L247" s="24">
        <f t="shared" si="8"/>
        <v>480.18973</v>
      </c>
      <c r="M247" s="14">
        <f t="shared" si="9"/>
        <v>452.9740089</v>
      </c>
      <c r="N247" s="27">
        <f t="shared" si="10"/>
        <v>27.21572112</v>
      </c>
      <c r="O247" s="24"/>
      <c r="P247" s="24"/>
      <c r="Q247" s="24"/>
      <c r="R247" s="26"/>
      <c r="S247" s="14">
        <f t="shared" si="13"/>
        <v>24.99209145</v>
      </c>
      <c r="U247" s="21"/>
      <c r="V247" s="21"/>
    </row>
    <row r="248">
      <c r="A248" s="11">
        <v>236.0</v>
      </c>
      <c r="B248" s="11">
        <v>1.42042173913043E9</v>
      </c>
      <c r="C248" s="2">
        <v>-101.9929581</v>
      </c>
      <c r="D248" s="24">
        <f t="shared" si="1"/>
        <v>21739.13043</v>
      </c>
      <c r="E248" s="25">
        <f t="shared" si="2"/>
        <v>-5.509776792</v>
      </c>
      <c r="F248" s="24">
        <f t="shared" si="3"/>
        <v>0.0002534497325</v>
      </c>
      <c r="G248" s="24">
        <f t="shared" si="4"/>
        <v>0</v>
      </c>
      <c r="H248" s="26">
        <f t="shared" si="5"/>
        <v>0</v>
      </c>
      <c r="I248" s="24">
        <f t="shared" si="6"/>
        <v>0</v>
      </c>
      <c r="J248" s="24">
        <f t="shared" si="7"/>
        <v>0</v>
      </c>
      <c r="K248" s="24"/>
      <c r="L248" s="24">
        <f t="shared" si="8"/>
        <v>480.629427</v>
      </c>
      <c r="M248" s="14">
        <f t="shared" si="9"/>
        <v>452.8647586</v>
      </c>
      <c r="N248" s="27">
        <f t="shared" si="10"/>
        <v>27.7646684</v>
      </c>
      <c r="O248" s="24"/>
      <c r="P248" s="24"/>
      <c r="Q248" s="24"/>
      <c r="R248" s="26"/>
      <c r="S248" s="14">
        <f t="shared" si="13"/>
        <v>25.49618756</v>
      </c>
      <c r="U248" s="21"/>
      <c r="V248" s="21"/>
    </row>
    <row r="249">
      <c r="A249" s="11">
        <v>237.0</v>
      </c>
      <c r="B249" s="11">
        <v>1.42042608695652E9</v>
      </c>
      <c r="C249" s="2">
        <v>-101.9136276</v>
      </c>
      <c r="D249" s="24">
        <f t="shared" si="1"/>
        <v>26086.95652</v>
      </c>
      <c r="E249" s="25">
        <f t="shared" si="2"/>
        <v>-6.428072923</v>
      </c>
      <c r="F249" s="24">
        <f t="shared" si="3"/>
        <v>0.0002464094621</v>
      </c>
      <c r="G249" s="24">
        <f t="shared" si="4"/>
        <v>0</v>
      </c>
      <c r="H249" s="26">
        <f t="shared" si="5"/>
        <v>0</v>
      </c>
      <c r="I249" s="24">
        <f t="shared" si="6"/>
        <v>0</v>
      </c>
      <c r="J249" s="24">
        <f t="shared" si="7"/>
        <v>0</v>
      </c>
      <c r="K249" s="24"/>
      <c r="L249" s="24">
        <f t="shared" si="8"/>
        <v>489.4895306</v>
      </c>
      <c r="M249" s="14">
        <f t="shared" si="9"/>
        <v>452.7553219</v>
      </c>
      <c r="N249" s="27">
        <f t="shared" si="10"/>
        <v>36.73420869</v>
      </c>
      <c r="O249" s="24"/>
      <c r="P249" s="24"/>
      <c r="Q249" s="24"/>
      <c r="R249" s="26"/>
      <c r="S249" s="14">
        <f t="shared" si="13"/>
        <v>33.73288178</v>
      </c>
      <c r="U249" s="21"/>
      <c r="V249" s="21"/>
    </row>
    <row r="250">
      <c r="A250" s="11">
        <v>238.0</v>
      </c>
      <c r="B250" s="11">
        <v>1.4204304347826E9</v>
      </c>
      <c r="C250" s="2">
        <v>-101.8707199</v>
      </c>
      <c r="D250" s="24">
        <f t="shared" si="1"/>
        <v>30434.7826</v>
      </c>
      <c r="E250" s="25">
        <f t="shared" si="2"/>
        <v>-7.346369056</v>
      </c>
      <c r="F250" s="24">
        <f t="shared" si="3"/>
        <v>0.0002413806976</v>
      </c>
      <c r="G250" s="24">
        <f t="shared" si="4"/>
        <v>0</v>
      </c>
      <c r="H250" s="26">
        <f t="shared" si="5"/>
        <v>0</v>
      </c>
      <c r="I250" s="24">
        <f t="shared" si="6"/>
        <v>0</v>
      </c>
      <c r="J250" s="24">
        <f t="shared" si="7"/>
        <v>0</v>
      </c>
      <c r="K250" s="24"/>
      <c r="L250" s="24">
        <f t="shared" si="8"/>
        <v>494.349589</v>
      </c>
      <c r="M250" s="14">
        <f t="shared" si="9"/>
        <v>452.6457015</v>
      </c>
      <c r="N250" s="27">
        <f t="shared" si="10"/>
        <v>41.7038875</v>
      </c>
      <c r="O250" s="24"/>
      <c r="P250" s="24"/>
      <c r="Q250" s="24"/>
      <c r="R250" s="26"/>
      <c r="S250" s="14">
        <f t="shared" si="13"/>
        <v>38.29651861</v>
      </c>
      <c r="U250" s="21"/>
      <c r="V250" s="21"/>
    </row>
    <row r="251">
      <c r="A251" s="11">
        <v>239.0</v>
      </c>
      <c r="B251" s="11">
        <v>1.42043478260869E9</v>
      </c>
      <c r="C251" s="2">
        <v>-101.8037338</v>
      </c>
      <c r="D251" s="24">
        <f t="shared" si="1"/>
        <v>34782.60869</v>
      </c>
      <c r="E251" s="25">
        <f t="shared" si="2"/>
        <v>-8.264665189</v>
      </c>
      <c r="F251" s="24">
        <f t="shared" si="3"/>
        <v>0.0002376091242</v>
      </c>
      <c r="G251" s="24">
        <f t="shared" si="4"/>
        <v>0</v>
      </c>
      <c r="H251" s="26">
        <f t="shared" si="5"/>
        <v>0</v>
      </c>
      <c r="I251" s="24">
        <f t="shared" si="6"/>
        <v>0</v>
      </c>
      <c r="J251" s="24">
        <f t="shared" si="7"/>
        <v>0</v>
      </c>
      <c r="K251" s="24"/>
      <c r="L251" s="24">
        <f t="shared" si="8"/>
        <v>502.0336033</v>
      </c>
      <c r="M251" s="14">
        <f t="shared" si="9"/>
        <v>452.5358998</v>
      </c>
      <c r="N251" s="27">
        <f t="shared" si="10"/>
        <v>49.4977035</v>
      </c>
      <c r="O251" s="24"/>
      <c r="P251" s="24"/>
      <c r="Q251" s="24"/>
      <c r="R251" s="26"/>
      <c r="S251" s="14">
        <f t="shared" si="13"/>
        <v>45.45354971</v>
      </c>
      <c r="U251" s="21"/>
      <c r="V251" s="21"/>
    </row>
    <row r="252">
      <c r="A252" s="11">
        <v>240.0</v>
      </c>
      <c r="B252" s="11">
        <v>1.42043913043478E9</v>
      </c>
      <c r="C252" s="2">
        <v>-101.8758163</v>
      </c>
      <c r="D252" s="24">
        <f t="shared" si="1"/>
        <v>39130.43478</v>
      </c>
      <c r="E252" s="25">
        <f t="shared" si="2"/>
        <v>-9.182961321</v>
      </c>
      <c r="F252" s="24">
        <f t="shared" si="3"/>
        <v>0.0002346756782</v>
      </c>
      <c r="G252" s="24">
        <f t="shared" si="4"/>
        <v>0</v>
      </c>
      <c r="H252" s="26">
        <f t="shared" si="5"/>
        <v>0</v>
      </c>
      <c r="I252" s="24">
        <f t="shared" si="6"/>
        <v>0</v>
      </c>
      <c r="J252" s="24">
        <f t="shared" si="7"/>
        <v>0</v>
      </c>
      <c r="K252" s="24"/>
      <c r="L252" s="24">
        <f t="shared" si="8"/>
        <v>493.7698152</v>
      </c>
      <c r="M252" s="14">
        <f t="shared" si="9"/>
        <v>452.4259197</v>
      </c>
      <c r="N252" s="27">
        <f t="shared" si="10"/>
        <v>41.34389547</v>
      </c>
      <c r="O252" s="24"/>
      <c r="P252" s="24"/>
      <c r="Q252" s="24"/>
      <c r="R252" s="26"/>
      <c r="S252" s="14">
        <f t="shared" si="13"/>
        <v>37.96593924</v>
      </c>
      <c r="U252" s="21"/>
      <c r="V252" s="21"/>
    </row>
    <row r="253">
      <c r="A253" s="11">
        <v>241.0</v>
      </c>
      <c r="B253" s="11">
        <v>1.42044347826087E9</v>
      </c>
      <c r="C253" s="2">
        <v>-101.8091965</v>
      </c>
      <c r="D253" s="24">
        <f t="shared" si="1"/>
        <v>43478.26087</v>
      </c>
      <c r="E253" s="25">
        <f t="shared" si="2"/>
        <v>-10.10125745</v>
      </c>
      <c r="F253" s="24">
        <f t="shared" si="3"/>
        <v>0.0002323289214</v>
      </c>
      <c r="G253" s="24">
        <f t="shared" si="4"/>
        <v>0</v>
      </c>
      <c r="H253" s="26">
        <f t="shared" si="5"/>
        <v>0</v>
      </c>
      <c r="I253" s="24">
        <f t="shared" si="6"/>
        <v>0</v>
      </c>
      <c r="J253" s="24">
        <f t="shared" si="7"/>
        <v>0</v>
      </c>
      <c r="K253" s="24"/>
      <c r="L253" s="24">
        <f t="shared" si="8"/>
        <v>501.4025258</v>
      </c>
      <c r="M253" s="14">
        <f t="shared" si="9"/>
        <v>452.3157636</v>
      </c>
      <c r="N253" s="27">
        <f t="shared" si="10"/>
        <v>49.08676216</v>
      </c>
      <c r="O253" s="24"/>
      <c r="P253" s="24"/>
      <c r="Q253" s="24"/>
      <c r="R253" s="26"/>
      <c r="S253" s="14">
        <f t="shared" si="13"/>
        <v>45.07618386</v>
      </c>
      <c r="U253" s="21"/>
      <c r="V253" s="21"/>
    </row>
    <row r="254">
      <c r="A254" s="11">
        <v>242.0</v>
      </c>
      <c r="B254" s="11">
        <v>1.42044782608695E9</v>
      </c>
      <c r="C254" s="2">
        <v>-101.7742386</v>
      </c>
      <c r="D254" s="24">
        <f t="shared" si="1"/>
        <v>47826.08695</v>
      </c>
      <c r="E254" s="25">
        <f t="shared" si="2"/>
        <v>-11.01955358</v>
      </c>
      <c r="F254" s="24">
        <f t="shared" si="3"/>
        <v>0.0002304088477</v>
      </c>
      <c r="G254" s="24">
        <f t="shared" si="4"/>
        <v>0</v>
      </c>
      <c r="H254" s="26">
        <f t="shared" si="5"/>
        <v>0</v>
      </c>
      <c r="I254" s="24">
        <f t="shared" si="6"/>
        <v>0</v>
      </c>
      <c r="J254" s="24">
        <f t="shared" si="7"/>
        <v>0</v>
      </c>
      <c r="K254" s="24"/>
      <c r="L254" s="24">
        <f t="shared" si="8"/>
        <v>505.4547793</v>
      </c>
      <c r="M254" s="14">
        <f t="shared" si="9"/>
        <v>452.2054343</v>
      </c>
      <c r="N254" s="27">
        <f t="shared" si="10"/>
        <v>53.24934501</v>
      </c>
      <c r="O254" s="24"/>
      <c r="P254" s="24"/>
      <c r="Q254" s="24"/>
      <c r="R254" s="26"/>
      <c r="S254" s="14">
        <f t="shared" si="13"/>
        <v>48.8986676</v>
      </c>
      <c r="U254" s="21"/>
      <c r="V254" s="21"/>
    </row>
    <row r="255">
      <c r="A255" s="11">
        <v>243.0</v>
      </c>
      <c r="B255" s="11">
        <v>1.42045217391304E9</v>
      </c>
      <c r="C255" s="2">
        <v>-101.8132935</v>
      </c>
      <c r="D255" s="24">
        <f t="shared" si="1"/>
        <v>52173.91304</v>
      </c>
      <c r="E255" s="25">
        <f t="shared" si="2"/>
        <v>-11.93784972</v>
      </c>
      <c r="F255" s="24">
        <f t="shared" si="3"/>
        <v>0.0002288087863</v>
      </c>
      <c r="G255" s="24">
        <f t="shared" si="4"/>
        <v>0</v>
      </c>
      <c r="H255" s="26">
        <f t="shared" si="5"/>
        <v>0</v>
      </c>
      <c r="I255" s="24">
        <f t="shared" si="6"/>
        <v>0</v>
      </c>
      <c r="J255" s="24">
        <f t="shared" si="7"/>
        <v>0</v>
      </c>
      <c r="K255" s="24"/>
      <c r="L255" s="24">
        <f t="shared" si="8"/>
        <v>500.9297412</v>
      </c>
      <c r="M255" s="14">
        <f t="shared" si="9"/>
        <v>452.0949344</v>
      </c>
      <c r="N255" s="27">
        <f t="shared" si="10"/>
        <v>48.83480683</v>
      </c>
      <c r="O255" s="24"/>
      <c r="P255" s="24"/>
      <c r="Q255" s="24"/>
      <c r="R255" s="26"/>
      <c r="S255" s="14">
        <f t="shared" si="13"/>
        <v>44.84481416</v>
      </c>
      <c r="U255" s="21"/>
      <c r="V255" s="21"/>
    </row>
    <row r="256">
      <c r="A256" s="11">
        <v>244.0</v>
      </c>
      <c r="B256" s="11">
        <v>1.42045652173913E9</v>
      </c>
      <c r="C256" s="2">
        <v>-101.8120422</v>
      </c>
      <c r="D256" s="24">
        <f t="shared" si="1"/>
        <v>56521.73913</v>
      </c>
      <c r="E256" s="25">
        <f t="shared" si="2"/>
        <v>-12.85614585</v>
      </c>
      <c r="F256" s="24">
        <f t="shared" si="3"/>
        <v>0.0002274548881</v>
      </c>
      <c r="G256" s="24">
        <f t="shared" si="4"/>
        <v>0</v>
      </c>
      <c r="H256" s="26">
        <f t="shared" si="5"/>
        <v>0</v>
      </c>
      <c r="I256" s="24">
        <f t="shared" si="6"/>
        <v>0</v>
      </c>
      <c r="J256" s="24">
        <f t="shared" si="7"/>
        <v>0</v>
      </c>
      <c r="K256" s="24"/>
      <c r="L256" s="24">
        <f t="shared" si="8"/>
        <v>501.0740911</v>
      </c>
      <c r="M256" s="14">
        <f t="shared" si="9"/>
        <v>451.9842664</v>
      </c>
      <c r="N256" s="27">
        <f t="shared" si="10"/>
        <v>49.08982472</v>
      </c>
      <c r="O256" s="24"/>
      <c r="P256" s="24"/>
      <c r="Q256" s="24"/>
      <c r="R256" s="26"/>
      <c r="S256" s="14">
        <f t="shared" si="13"/>
        <v>45.0789962</v>
      </c>
      <c r="U256" s="21"/>
      <c r="V256" s="21"/>
    </row>
    <row r="257">
      <c r="A257" s="11">
        <v>245.0</v>
      </c>
      <c r="B257" s="11">
        <v>1.42046086956521E9</v>
      </c>
      <c r="C257" s="2">
        <v>-101.8121719</v>
      </c>
      <c r="D257" s="24">
        <f t="shared" si="1"/>
        <v>60869.56521</v>
      </c>
      <c r="E257" s="25">
        <f t="shared" si="2"/>
        <v>-13.77444198</v>
      </c>
      <c r="F257" s="24">
        <f t="shared" si="3"/>
        <v>0.000226294404</v>
      </c>
      <c r="G257" s="24">
        <f t="shared" si="4"/>
        <v>0</v>
      </c>
      <c r="H257" s="26">
        <f t="shared" si="5"/>
        <v>0</v>
      </c>
      <c r="I257" s="24">
        <f t="shared" si="6"/>
        <v>0</v>
      </c>
      <c r="J257" s="24">
        <f t="shared" si="7"/>
        <v>0</v>
      </c>
      <c r="K257" s="24"/>
      <c r="L257" s="24">
        <f t="shared" si="8"/>
        <v>501.059127</v>
      </c>
      <c r="M257" s="14">
        <f t="shared" si="9"/>
        <v>451.873433</v>
      </c>
      <c r="N257" s="27">
        <f t="shared" si="10"/>
        <v>49.18569398</v>
      </c>
      <c r="O257" s="24"/>
      <c r="P257" s="24"/>
      <c r="Q257" s="24"/>
      <c r="R257" s="26"/>
      <c r="S257" s="14">
        <f t="shared" si="13"/>
        <v>45.16703257</v>
      </c>
      <c r="U257" s="21"/>
      <c r="V257" s="21"/>
    </row>
    <row r="258">
      <c r="A258" s="11">
        <v>246.0</v>
      </c>
      <c r="B258" s="11">
        <v>1.4204652173913E9</v>
      </c>
      <c r="C258" s="2">
        <v>-101.7996826</v>
      </c>
      <c r="D258" s="24">
        <f t="shared" si="1"/>
        <v>65217.3913</v>
      </c>
      <c r="E258" s="25">
        <f t="shared" si="2"/>
        <v>-14.69273811</v>
      </c>
      <c r="F258" s="24">
        <f t="shared" si="3"/>
        <v>0.0002252886511</v>
      </c>
      <c r="G258" s="24">
        <f t="shared" si="4"/>
        <v>0</v>
      </c>
      <c r="H258" s="26">
        <f t="shared" si="5"/>
        <v>0</v>
      </c>
      <c r="I258" s="24">
        <f t="shared" si="6"/>
        <v>0</v>
      </c>
      <c r="J258" s="24">
        <f t="shared" si="7"/>
        <v>0</v>
      </c>
      <c r="K258" s="24"/>
      <c r="L258" s="24">
        <f t="shared" si="8"/>
        <v>502.5021305</v>
      </c>
      <c r="M258" s="14">
        <f t="shared" si="9"/>
        <v>451.7624369</v>
      </c>
      <c r="N258" s="27">
        <f t="shared" si="10"/>
        <v>50.7396936</v>
      </c>
      <c r="O258" s="24"/>
      <c r="P258" s="24"/>
      <c r="Q258" s="24"/>
      <c r="R258" s="26"/>
      <c r="S258" s="14">
        <f t="shared" si="13"/>
        <v>46.5940643</v>
      </c>
      <c r="U258" s="21"/>
      <c r="V258" s="21"/>
    </row>
    <row r="259">
      <c r="A259" s="11">
        <v>247.0</v>
      </c>
      <c r="B259" s="11">
        <v>1.42046956521739E9</v>
      </c>
      <c r="C259" s="2">
        <v>-101.7493286</v>
      </c>
      <c r="D259" s="24">
        <f t="shared" si="1"/>
        <v>69565.21739</v>
      </c>
      <c r="E259" s="25">
        <f t="shared" si="2"/>
        <v>-15.61103424</v>
      </c>
      <c r="F259" s="24">
        <f t="shared" si="3"/>
        <v>0.0002244086173</v>
      </c>
      <c r="G259" s="24">
        <f t="shared" si="4"/>
        <v>0</v>
      </c>
      <c r="H259" s="26">
        <f t="shared" si="5"/>
        <v>0</v>
      </c>
      <c r="I259" s="24">
        <f t="shared" si="6"/>
        <v>0</v>
      </c>
      <c r="J259" s="24">
        <f t="shared" si="7"/>
        <v>0</v>
      </c>
      <c r="K259" s="24"/>
      <c r="L259" s="24">
        <f t="shared" si="8"/>
        <v>508.3622666</v>
      </c>
      <c r="M259" s="14">
        <f t="shared" si="9"/>
        <v>451.6512806</v>
      </c>
      <c r="N259" s="27">
        <f t="shared" si="10"/>
        <v>56.710986</v>
      </c>
      <c r="O259" s="24"/>
      <c r="P259" s="24"/>
      <c r="Q259" s="24"/>
      <c r="R259" s="26"/>
      <c r="S259" s="14">
        <f t="shared" si="13"/>
        <v>52.07747913</v>
      </c>
      <c r="U259" s="21"/>
      <c r="V259" s="21"/>
    </row>
    <row r="260">
      <c r="A260" s="11">
        <v>248.0</v>
      </c>
      <c r="B260" s="11">
        <v>1.42047391304347E9</v>
      </c>
      <c r="C260" s="2">
        <v>-101.6774902</v>
      </c>
      <c r="D260" s="24">
        <f t="shared" si="1"/>
        <v>73913.04347</v>
      </c>
      <c r="E260" s="25">
        <f t="shared" si="2"/>
        <v>-16.52933038</v>
      </c>
      <c r="F260" s="24">
        <f t="shared" si="3"/>
        <v>0.0002236321169</v>
      </c>
      <c r="G260" s="24">
        <f t="shared" si="4"/>
        <v>0</v>
      </c>
      <c r="H260" s="26">
        <f t="shared" si="5"/>
        <v>0</v>
      </c>
      <c r="I260" s="24">
        <f t="shared" si="6"/>
        <v>0</v>
      </c>
      <c r="J260" s="24">
        <f t="shared" si="7"/>
        <v>0</v>
      </c>
      <c r="K260" s="24"/>
      <c r="L260" s="24">
        <f t="shared" si="8"/>
        <v>516.8412253</v>
      </c>
      <c r="M260" s="14">
        <f t="shared" si="9"/>
        <v>451.5399668</v>
      </c>
      <c r="N260" s="27">
        <f t="shared" si="10"/>
        <v>65.30125845</v>
      </c>
      <c r="O260" s="24"/>
      <c r="P260" s="24"/>
      <c r="Q260" s="24"/>
      <c r="R260" s="26"/>
      <c r="S260" s="14">
        <f t="shared" si="13"/>
        <v>59.9658931</v>
      </c>
      <c r="U260" s="21"/>
      <c r="V260" s="21"/>
    </row>
    <row r="261">
      <c r="A261" s="11">
        <v>249.0</v>
      </c>
      <c r="B261" s="11">
        <v>1.42047826086956E9</v>
      </c>
      <c r="C261" s="2">
        <v>-101.6600952</v>
      </c>
      <c r="D261" s="24">
        <f t="shared" si="1"/>
        <v>78260.86956</v>
      </c>
      <c r="E261" s="25">
        <f t="shared" si="2"/>
        <v>-17.44762651</v>
      </c>
      <c r="F261" s="24">
        <f t="shared" si="3"/>
        <v>0.0002229418943</v>
      </c>
      <c r="G261" s="24">
        <f t="shared" si="4"/>
        <v>0</v>
      </c>
      <c r="H261" s="26">
        <f t="shared" si="5"/>
        <v>0</v>
      </c>
      <c r="I261" s="24">
        <f t="shared" si="6"/>
        <v>0</v>
      </c>
      <c r="J261" s="24">
        <f t="shared" si="7"/>
        <v>0</v>
      </c>
      <c r="K261" s="24"/>
      <c r="L261" s="24">
        <f t="shared" si="8"/>
        <v>518.9155049</v>
      </c>
      <c r="M261" s="14">
        <f t="shared" si="9"/>
        <v>451.4284981</v>
      </c>
      <c r="N261" s="27">
        <f t="shared" si="10"/>
        <v>67.48700678</v>
      </c>
      <c r="O261" s="24"/>
      <c r="P261" s="24"/>
      <c r="Q261" s="24"/>
      <c r="R261" s="26"/>
      <c r="S261" s="14">
        <f t="shared" si="13"/>
        <v>61.9730572</v>
      </c>
      <c r="U261" s="21"/>
      <c r="V261" s="21"/>
    </row>
    <row r="262">
      <c r="A262" s="11">
        <v>250.0</v>
      </c>
      <c r="B262" s="11">
        <v>1.42048260869565E9</v>
      </c>
      <c r="C262" s="2">
        <v>-101.7525711</v>
      </c>
      <c r="D262" s="24">
        <f t="shared" si="1"/>
        <v>82608.69565</v>
      </c>
      <c r="E262" s="25">
        <f t="shared" si="2"/>
        <v>-18.36592264</v>
      </c>
      <c r="F262" s="24">
        <f t="shared" si="3"/>
        <v>0.0002223243267</v>
      </c>
      <c r="G262" s="24">
        <f t="shared" si="4"/>
        <v>0</v>
      </c>
      <c r="H262" s="26">
        <f t="shared" si="5"/>
        <v>0</v>
      </c>
      <c r="I262" s="24">
        <f t="shared" si="6"/>
        <v>0</v>
      </c>
      <c r="J262" s="24">
        <f t="shared" si="7"/>
        <v>0</v>
      </c>
      <c r="K262" s="24"/>
      <c r="L262" s="24">
        <f t="shared" si="8"/>
        <v>507.9828583</v>
      </c>
      <c r="M262" s="14">
        <f t="shared" si="9"/>
        <v>451.3168772</v>
      </c>
      <c r="N262" s="27">
        <f t="shared" si="10"/>
        <v>56.66598103</v>
      </c>
      <c r="O262" s="24"/>
      <c r="P262" s="24"/>
      <c r="Q262" s="24"/>
      <c r="R262" s="26"/>
      <c r="S262" s="14">
        <f t="shared" si="13"/>
        <v>52.03615124</v>
      </c>
      <c r="U262" s="21"/>
      <c r="V262" s="21"/>
    </row>
    <row r="263">
      <c r="A263" s="11">
        <v>251.0</v>
      </c>
      <c r="B263" s="11">
        <v>1.42048695652173E9</v>
      </c>
      <c r="C263" s="2">
        <v>-101.7036667</v>
      </c>
      <c r="D263" s="24">
        <f t="shared" si="1"/>
        <v>86956.52173</v>
      </c>
      <c r="E263" s="25">
        <f t="shared" si="2"/>
        <v>-19.28421877</v>
      </c>
      <c r="F263" s="24">
        <f t="shared" si="3"/>
        <v>0.0002217685159</v>
      </c>
      <c r="G263" s="24">
        <f t="shared" si="4"/>
        <v>0</v>
      </c>
      <c r="H263" s="26">
        <f t="shared" si="5"/>
        <v>0</v>
      </c>
      <c r="I263" s="24">
        <f t="shared" si="6"/>
        <v>0</v>
      </c>
      <c r="J263" s="24">
        <f t="shared" si="7"/>
        <v>0</v>
      </c>
      <c r="K263" s="24"/>
      <c r="L263" s="24">
        <f t="shared" si="8"/>
        <v>513.7354055</v>
      </c>
      <c r="M263" s="14">
        <f t="shared" si="9"/>
        <v>451.2051067</v>
      </c>
      <c r="N263" s="27">
        <f t="shared" si="10"/>
        <v>62.53029884</v>
      </c>
      <c r="O263" s="24"/>
      <c r="P263" s="24"/>
      <c r="Q263" s="24"/>
      <c r="R263" s="26"/>
      <c r="S263" s="14">
        <f t="shared" si="13"/>
        <v>57.4213316</v>
      </c>
      <c r="U263" s="21"/>
      <c r="V263" s="21"/>
    </row>
    <row r="264">
      <c r="A264" s="11">
        <v>252.0</v>
      </c>
      <c r="B264" s="11">
        <v>1.42049130434782E9</v>
      </c>
      <c r="C264" s="2">
        <v>-101.5862198</v>
      </c>
      <c r="D264" s="24">
        <f t="shared" si="1"/>
        <v>91304.34782</v>
      </c>
      <c r="E264" s="25">
        <f t="shared" si="2"/>
        <v>-20.20251491</v>
      </c>
      <c r="F264" s="24">
        <f t="shared" si="3"/>
        <v>0.0002212656395</v>
      </c>
      <c r="G264" s="24">
        <f t="shared" si="4"/>
        <v>0</v>
      </c>
      <c r="H264" s="26">
        <f t="shared" si="5"/>
        <v>0</v>
      </c>
      <c r="I264" s="24">
        <f t="shared" si="6"/>
        <v>0</v>
      </c>
      <c r="J264" s="24">
        <f t="shared" si="7"/>
        <v>0</v>
      </c>
      <c r="K264" s="24"/>
      <c r="L264" s="24">
        <f t="shared" si="8"/>
        <v>527.8179886</v>
      </c>
      <c r="M264" s="14">
        <f t="shared" si="9"/>
        <v>451.0931891</v>
      </c>
      <c r="N264" s="27">
        <f t="shared" si="10"/>
        <v>76.7247995</v>
      </c>
      <c r="O264" s="24"/>
      <c r="P264" s="24"/>
      <c r="Q264" s="24"/>
      <c r="R264" s="26"/>
      <c r="S264" s="14">
        <f t="shared" si="13"/>
        <v>70.45608667</v>
      </c>
      <c r="U264" s="21"/>
      <c r="V264" s="21"/>
    </row>
    <row r="265">
      <c r="A265" s="11">
        <v>253.0</v>
      </c>
      <c r="B265" s="11">
        <v>1.42049565217391E9</v>
      </c>
      <c r="C265" s="2">
        <v>-101.5672455</v>
      </c>
      <c r="D265" s="24">
        <f t="shared" si="1"/>
        <v>95652.17391</v>
      </c>
      <c r="E265" s="25">
        <f t="shared" si="2"/>
        <v>-21.12081104</v>
      </c>
      <c r="F265" s="24">
        <f t="shared" si="3"/>
        <v>0.0002208084791</v>
      </c>
      <c r="G265" s="24">
        <f t="shared" si="4"/>
        <v>0</v>
      </c>
      <c r="H265" s="26">
        <f t="shared" si="5"/>
        <v>0</v>
      </c>
      <c r="I265" s="24">
        <f t="shared" si="6"/>
        <v>0</v>
      </c>
      <c r="J265" s="24">
        <f t="shared" si="7"/>
        <v>0</v>
      </c>
      <c r="K265" s="24"/>
      <c r="L265" s="24">
        <f t="shared" si="8"/>
        <v>530.1290671</v>
      </c>
      <c r="M265" s="14">
        <f t="shared" si="9"/>
        <v>450.9811272</v>
      </c>
      <c r="N265" s="27">
        <f t="shared" si="10"/>
        <v>79.14793992</v>
      </c>
      <c r="O265" s="24"/>
      <c r="P265" s="24"/>
      <c r="Q265" s="24"/>
      <c r="R265" s="26"/>
      <c r="S265" s="14">
        <f t="shared" si="13"/>
        <v>72.68124698</v>
      </c>
      <c r="U265" s="21"/>
      <c r="V265" s="21"/>
    </row>
    <row r="266">
      <c r="A266" s="11">
        <v>254.0</v>
      </c>
      <c r="B266" s="11">
        <v>1.4205E9</v>
      </c>
      <c r="C266" s="2">
        <v>-101.5622711</v>
      </c>
      <c r="D266" s="24">
        <f t="shared" si="1"/>
        <v>100000</v>
      </c>
      <c r="E266" s="25">
        <f t="shared" si="2"/>
        <v>-22.03910717</v>
      </c>
      <c r="F266" s="24">
        <f t="shared" si="3"/>
        <v>0.0002203910717</v>
      </c>
      <c r="G266" s="24">
        <f t="shared" si="4"/>
        <v>0</v>
      </c>
      <c r="H266" s="26">
        <f t="shared" si="5"/>
        <v>0</v>
      </c>
      <c r="I266" s="24">
        <f t="shared" si="6"/>
        <v>0</v>
      </c>
      <c r="J266" s="24">
        <f t="shared" si="7"/>
        <v>0</v>
      </c>
      <c r="K266" s="24"/>
      <c r="L266" s="24">
        <f t="shared" si="8"/>
        <v>530.7366238</v>
      </c>
      <c r="M266" s="14">
        <f t="shared" si="9"/>
        <v>450.8689236</v>
      </c>
      <c r="N266" s="27">
        <f t="shared" si="10"/>
        <v>79.8677002</v>
      </c>
      <c r="O266" s="24"/>
      <c r="P266" s="24"/>
      <c r="Q266" s="24"/>
      <c r="R266" s="26"/>
      <c r="S266" s="14">
        <f t="shared" si="13"/>
        <v>73.34220022</v>
      </c>
      <c r="U266" s="21"/>
      <c r="V266" s="21"/>
    </row>
    <row r="267">
      <c r="A267" s="11">
        <v>255.0</v>
      </c>
      <c r="B267" s="11">
        <v>1.42050434782608E9</v>
      </c>
      <c r="C267" s="2">
        <v>-101.440712</v>
      </c>
      <c r="D267" s="24">
        <f t="shared" si="1"/>
        <v>104347.8261</v>
      </c>
      <c r="E267" s="25">
        <f t="shared" si="2"/>
        <v>-22.9574033</v>
      </c>
      <c r="F267" s="24">
        <f t="shared" si="3"/>
        <v>0.0002200084483</v>
      </c>
      <c r="G267" s="24">
        <f t="shared" si="4"/>
        <v>0</v>
      </c>
      <c r="H267" s="26">
        <f t="shared" si="5"/>
        <v>0</v>
      </c>
      <c r="I267" s="24">
        <f t="shared" si="6"/>
        <v>0</v>
      </c>
      <c r="J267" s="24">
        <f t="shared" si="7"/>
        <v>0</v>
      </c>
      <c r="K267" s="24"/>
      <c r="L267" s="24">
        <f t="shared" si="8"/>
        <v>545.8018048</v>
      </c>
      <c r="M267" s="14">
        <f t="shared" si="9"/>
        <v>450.7565808</v>
      </c>
      <c r="N267" s="27">
        <f t="shared" si="10"/>
        <v>95.04522397</v>
      </c>
      <c r="O267" s="24"/>
      <c r="P267" s="24"/>
      <c r="Q267" s="24"/>
      <c r="R267" s="26"/>
      <c r="S267" s="14">
        <f t="shared" si="13"/>
        <v>87.27966161</v>
      </c>
      <c r="U267" s="21"/>
      <c r="V267" s="21"/>
    </row>
    <row r="268">
      <c r="A268" s="11">
        <v>256.0</v>
      </c>
      <c r="B268" s="11">
        <v>1.42050869565217E9</v>
      </c>
      <c r="C268" s="2">
        <v>-101.3411407</v>
      </c>
      <c r="D268" s="24">
        <f t="shared" si="1"/>
        <v>108695.6522</v>
      </c>
      <c r="E268" s="25">
        <f t="shared" si="2"/>
        <v>-23.87569944</v>
      </c>
      <c r="F268" s="24">
        <f t="shared" si="3"/>
        <v>0.0002196564348</v>
      </c>
      <c r="G268" s="24">
        <f t="shared" si="4"/>
        <v>0</v>
      </c>
      <c r="H268" s="26">
        <f t="shared" si="5"/>
        <v>0</v>
      </c>
      <c r="I268" s="24">
        <f t="shared" si="6"/>
        <v>0</v>
      </c>
      <c r="J268" s="24">
        <f t="shared" si="7"/>
        <v>0</v>
      </c>
      <c r="K268" s="24"/>
      <c r="L268" s="24">
        <f t="shared" si="8"/>
        <v>558.4600327</v>
      </c>
      <c r="M268" s="14">
        <f t="shared" si="9"/>
        <v>450.6441015</v>
      </c>
      <c r="N268" s="27">
        <f t="shared" si="10"/>
        <v>107.8159311</v>
      </c>
      <c r="O268" s="24"/>
      <c r="P268" s="24"/>
      <c r="Q268" s="24"/>
      <c r="R268" s="26"/>
      <c r="S268" s="14">
        <f t="shared" si="13"/>
        <v>99.00695238</v>
      </c>
      <c r="U268" s="21"/>
      <c r="V268" s="21"/>
    </row>
    <row r="269">
      <c r="A269" s="11">
        <v>257.0</v>
      </c>
      <c r="B269" s="11">
        <v>1.42051304347826E9</v>
      </c>
      <c r="C269" s="2">
        <v>-101.304245</v>
      </c>
      <c r="D269" s="24">
        <f t="shared" si="1"/>
        <v>113043.4783</v>
      </c>
      <c r="E269" s="25">
        <f t="shared" si="2"/>
        <v>-24.79399557</v>
      </c>
      <c r="F269" s="24">
        <f t="shared" si="3"/>
        <v>0.0002193314992</v>
      </c>
      <c r="G269" s="24">
        <f t="shared" si="4"/>
        <v>0</v>
      </c>
      <c r="H269" s="26">
        <f t="shared" si="5"/>
        <v>0</v>
      </c>
      <c r="I269" s="24">
        <f t="shared" si="6"/>
        <v>0</v>
      </c>
      <c r="J269" s="24">
        <f t="shared" si="7"/>
        <v>0</v>
      </c>
      <c r="K269" s="24"/>
      <c r="L269" s="24">
        <f t="shared" si="8"/>
        <v>563.2246676</v>
      </c>
      <c r="M269" s="14">
        <f t="shared" si="9"/>
        <v>450.5314884</v>
      </c>
      <c r="N269" s="27">
        <f t="shared" si="10"/>
        <v>112.6931792</v>
      </c>
      <c r="O269" s="24"/>
      <c r="P269" s="24"/>
      <c r="Q269" s="24"/>
      <c r="R269" s="26"/>
      <c r="S269" s="14">
        <f t="shared" si="13"/>
        <v>103.4857107</v>
      </c>
      <c r="U269" s="21"/>
      <c r="V269" s="21"/>
    </row>
    <row r="270">
      <c r="A270" s="11">
        <v>258.0</v>
      </c>
      <c r="B270" s="11">
        <v>1.42051739130434E9</v>
      </c>
      <c r="C270" s="2">
        <v>-101.1843567</v>
      </c>
      <c r="D270" s="24">
        <f t="shared" si="1"/>
        <v>117391.3043</v>
      </c>
      <c r="E270" s="25">
        <f t="shared" si="2"/>
        <v>-25.7122917</v>
      </c>
      <c r="F270" s="24">
        <f t="shared" si="3"/>
        <v>0.000219030633</v>
      </c>
      <c r="G270" s="24">
        <f t="shared" si="4"/>
        <v>0</v>
      </c>
      <c r="H270" s="26">
        <f t="shared" si="5"/>
        <v>0</v>
      </c>
      <c r="I270" s="24">
        <f t="shared" si="6"/>
        <v>0</v>
      </c>
      <c r="J270" s="24">
        <f t="shared" si="7"/>
        <v>0</v>
      </c>
      <c r="K270" s="24"/>
      <c r="L270" s="24">
        <f t="shared" si="8"/>
        <v>578.9892461</v>
      </c>
      <c r="M270" s="14">
        <f t="shared" si="9"/>
        <v>450.418744</v>
      </c>
      <c r="N270" s="27">
        <f t="shared" si="10"/>
        <v>128.570502</v>
      </c>
      <c r="O270" s="24"/>
      <c r="P270" s="24"/>
      <c r="Q270" s="24"/>
      <c r="R270" s="26"/>
      <c r="S270" s="14">
        <f t="shared" si="13"/>
        <v>118.0657948</v>
      </c>
      <c r="U270" s="21"/>
      <c r="V270" s="21"/>
    </row>
    <row r="271">
      <c r="A271" s="11">
        <v>259.0</v>
      </c>
      <c r="B271" s="11">
        <v>1.42052173913043E9</v>
      </c>
      <c r="C271" s="2">
        <v>-101.0993042</v>
      </c>
      <c r="D271" s="24">
        <f t="shared" si="1"/>
        <v>121739.1304</v>
      </c>
      <c r="E271" s="25">
        <f t="shared" si="2"/>
        <v>-26.63058783</v>
      </c>
      <c r="F271" s="24">
        <f t="shared" si="3"/>
        <v>0.0002187512572</v>
      </c>
      <c r="G271" s="24">
        <f t="shared" si="4"/>
        <v>0</v>
      </c>
      <c r="H271" s="26">
        <f t="shared" si="5"/>
        <v>0</v>
      </c>
      <c r="I271" s="24">
        <f t="shared" si="6"/>
        <v>0</v>
      </c>
      <c r="J271" s="24">
        <f t="shared" si="7"/>
        <v>0</v>
      </c>
      <c r="K271" s="24"/>
      <c r="L271" s="24">
        <f t="shared" si="8"/>
        <v>590.4399671</v>
      </c>
      <c r="M271" s="14">
        <f t="shared" si="9"/>
        <v>450.3058711</v>
      </c>
      <c r="N271" s="27">
        <f t="shared" si="10"/>
        <v>140.1340961</v>
      </c>
      <c r="O271" s="24"/>
      <c r="P271" s="24"/>
      <c r="Q271" s="24"/>
      <c r="R271" s="26"/>
      <c r="S271" s="14">
        <f t="shared" si="13"/>
        <v>128.6845982</v>
      </c>
      <c r="U271" s="21"/>
      <c r="V271" s="21"/>
    </row>
    <row r="272">
      <c r="A272" s="11">
        <v>260.0</v>
      </c>
      <c r="B272" s="11">
        <v>1.42052608695652E9</v>
      </c>
      <c r="C272" s="2">
        <v>-101.0177765</v>
      </c>
      <c r="D272" s="24">
        <f t="shared" si="1"/>
        <v>126086.9565</v>
      </c>
      <c r="E272" s="25">
        <f t="shared" si="2"/>
        <v>-27.54888396</v>
      </c>
      <c r="F272" s="24">
        <f t="shared" si="3"/>
        <v>0.0002184911487</v>
      </c>
      <c r="G272" s="24">
        <f t="shared" si="4"/>
        <v>0</v>
      </c>
      <c r="H272" s="26">
        <f t="shared" si="5"/>
        <v>0</v>
      </c>
      <c r="I272" s="24">
        <f t="shared" si="6"/>
        <v>0</v>
      </c>
      <c r="J272" s="24">
        <f t="shared" si="7"/>
        <v>0</v>
      </c>
      <c r="K272" s="24"/>
      <c r="L272" s="24">
        <f t="shared" si="8"/>
        <v>601.6286609</v>
      </c>
      <c r="M272" s="14">
        <f t="shared" si="9"/>
        <v>450.1928721</v>
      </c>
      <c r="N272" s="27">
        <f t="shared" si="10"/>
        <v>151.4357888</v>
      </c>
      <c r="O272" s="24"/>
      <c r="P272" s="24"/>
      <c r="Q272" s="24"/>
      <c r="R272" s="26"/>
      <c r="S272" s="14">
        <f t="shared" si="13"/>
        <v>139.0628992</v>
      </c>
      <c r="U272" s="21"/>
      <c r="V272" s="21"/>
    </row>
    <row r="273">
      <c r="A273" s="11">
        <v>261.0</v>
      </c>
      <c r="B273" s="11">
        <v>1.4205304347826E9</v>
      </c>
      <c r="C273" s="2">
        <v>-100.8667679</v>
      </c>
      <c r="D273" s="24">
        <f t="shared" si="1"/>
        <v>130434.7826</v>
      </c>
      <c r="E273" s="25">
        <f t="shared" si="2"/>
        <v>-28.4671801</v>
      </c>
      <c r="F273" s="24">
        <f t="shared" si="3"/>
        <v>0.0002182483807</v>
      </c>
      <c r="G273" s="24">
        <f t="shared" si="4"/>
        <v>0</v>
      </c>
      <c r="H273" s="26">
        <f t="shared" si="5"/>
        <v>0</v>
      </c>
      <c r="I273" s="24">
        <f t="shared" si="6"/>
        <v>0</v>
      </c>
      <c r="J273" s="24">
        <f t="shared" si="7"/>
        <v>0</v>
      </c>
      <c r="K273" s="24"/>
      <c r="L273" s="24">
        <f t="shared" si="8"/>
        <v>622.915844</v>
      </c>
      <c r="M273" s="14">
        <f t="shared" si="9"/>
        <v>450.0797498</v>
      </c>
      <c r="N273" s="27">
        <f t="shared" si="10"/>
        <v>172.8360942</v>
      </c>
      <c r="O273" s="24"/>
      <c r="P273" s="24"/>
      <c r="Q273" s="24"/>
      <c r="R273" s="26"/>
      <c r="S273" s="14">
        <f t="shared" si="13"/>
        <v>158.7147169</v>
      </c>
      <c r="U273" s="21"/>
      <c r="V273" s="21"/>
    </row>
    <row r="274">
      <c r="A274" s="11">
        <v>262.0</v>
      </c>
      <c r="B274" s="11">
        <v>1.42053478260869E9</v>
      </c>
      <c r="C274" s="2">
        <v>-100.8610611</v>
      </c>
      <c r="D274" s="24">
        <f t="shared" si="1"/>
        <v>134782.6087</v>
      </c>
      <c r="E274" s="25">
        <f t="shared" si="2"/>
        <v>-29.38547623</v>
      </c>
      <c r="F274" s="24">
        <f t="shared" si="3"/>
        <v>0.0002180212752</v>
      </c>
      <c r="G274" s="24">
        <f t="shared" si="4"/>
        <v>0</v>
      </c>
      <c r="H274" s="26">
        <f t="shared" si="5"/>
        <v>0</v>
      </c>
      <c r="I274" s="24">
        <f t="shared" si="6"/>
        <v>0</v>
      </c>
      <c r="J274" s="24">
        <f t="shared" si="7"/>
        <v>0</v>
      </c>
      <c r="K274" s="24"/>
      <c r="L274" s="24">
        <f t="shared" si="8"/>
        <v>623.7349179</v>
      </c>
      <c r="M274" s="14">
        <f t="shared" si="9"/>
        <v>449.9665068</v>
      </c>
      <c r="N274" s="27">
        <f t="shared" si="10"/>
        <v>173.7684111</v>
      </c>
      <c r="O274" s="24"/>
      <c r="P274" s="24"/>
      <c r="Q274" s="24"/>
      <c r="R274" s="26"/>
      <c r="S274" s="14">
        <f t="shared" si="13"/>
        <v>159.5708599</v>
      </c>
      <c r="U274" s="21"/>
      <c r="V274" s="21"/>
    </row>
    <row r="275">
      <c r="A275" s="11">
        <v>263.0</v>
      </c>
      <c r="B275" s="11">
        <v>1.42053913043478E9</v>
      </c>
      <c r="C275" s="2">
        <v>-100.7312546</v>
      </c>
      <c r="D275" s="24">
        <f t="shared" si="1"/>
        <v>139130.4348</v>
      </c>
      <c r="E275" s="25">
        <f t="shared" si="2"/>
        <v>-30.30377236</v>
      </c>
      <c r="F275" s="24">
        <f t="shared" si="3"/>
        <v>0.0002178083638</v>
      </c>
      <c r="G275" s="24">
        <f t="shared" si="4"/>
        <v>0</v>
      </c>
      <c r="H275" s="26">
        <f t="shared" si="5"/>
        <v>0</v>
      </c>
      <c r="I275" s="24">
        <f t="shared" si="6"/>
        <v>0</v>
      </c>
      <c r="J275" s="24">
        <f t="shared" si="7"/>
        <v>0</v>
      </c>
      <c r="K275" s="24"/>
      <c r="L275" s="24">
        <f t="shared" si="8"/>
        <v>642.6591679</v>
      </c>
      <c r="M275" s="14">
        <f t="shared" si="9"/>
        <v>449.8531457</v>
      </c>
      <c r="N275" s="27">
        <f t="shared" si="10"/>
        <v>192.8060222</v>
      </c>
      <c r="O275" s="24"/>
      <c r="P275" s="24"/>
      <c r="Q275" s="24"/>
      <c r="R275" s="26"/>
      <c r="S275" s="14">
        <f t="shared" si="13"/>
        <v>177.0530242</v>
      </c>
      <c r="U275" s="21"/>
      <c r="V275" s="21"/>
    </row>
    <row r="276">
      <c r="A276" s="11">
        <v>264.0</v>
      </c>
      <c r="B276" s="11">
        <v>1.42054347826087E9</v>
      </c>
      <c r="C276" s="2">
        <v>-100.8027802</v>
      </c>
      <c r="D276" s="24">
        <f t="shared" si="1"/>
        <v>143478.2609</v>
      </c>
      <c r="E276" s="25">
        <f t="shared" si="2"/>
        <v>-31.22206849</v>
      </c>
      <c r="F276" s="24">
        <f t="shared" si="3"/>
        <v>0.0002176083562</v>
      </c>
      <c r="G276" s="24">
        <f t="shared" si="4"/>
        <v>0</v>
      </c>
      <c r="H276" s="26">
        <f t="shared" si="5"/>
        <v>0</v>
      </c>
      <c r="I276" s="24">
        <f t="shared" si="6"/>
        <v>0</v>
      </c>
      <c r="J276" s="24">
        <f t="shared" si="7"/>
        <v>0</v>
      </c>
      <c r="K276" s="24"/>
      <c r="L276" s="24">
        <f t="shared" si="8"/>
        <v>632.1616522</v>
      </c>
      <c r="M276" s="14">
        <f t="shared" si="9"/>
        <v>449.7396691</v>
      </c>
      <c r="N276" s="27">
        <f t="shared" si="10"/>
        <v>182.4219831</v>
      </c>
      <c r="O276" s="24"/>
      <c r="P276" s="24"/>
      <c r="Q276" s="24"/>
      <c r="R276" s="26"/>
      <c r="S276" s="14">
        <f t="shared" si="13"/>
        <v>167.5174016</v>
      </c>
      <c r="U276" s="21"/>
      <c r="V276" s="21"/>
    </row>
    <row r="277">
      <c r="A277" s="11">
        <v>265.0</v>
      </c>
      <c r="B277" s="11">
        <v>1.42054782608695E9</v>
      </c>
      <c r="C277" s="2">
        <v>-100.8184357</v>
      </c>
      <c r="D277" s="24">
        <f t="shared" si="1"/>
        <v>147826.087</v>
      </c>
      <c r="E277" s="25">
        <f t="shared" si="2"/>
        <v>-32.14036462</v>
      </c>
      <c r="F277" s="24">
        <f t="shared" si="3"/>
        <v>0.0002174201136</v>
      </c>
      <c r="G277" s="24">
        <f t="shared" si="4"/>
        <v>0</v>
      </c>
      <c r="H277" s="26">
        <f t="shared" si="5"/>
        <v>0</v>
      </c>
      <c r="I277" s="24">
        <f t="shared" si="6"/>
        <v>0</v>
      </c>
      <c r="J277" s="24">
        <f t="shared" si="7"/>
        <v>0</v>
      </c>
      <c r="K277" s="24"/>
      <c r="L277" s="24">
        <f t="shared" si="8"/>
        <v>629.8869306</v>
      </c>
      <c r="M277" s="14">
        <f t="shared" si="9"/>
        <v>449.6260796</v>
      </c>
      <c r="N277" s="27">
        <f t="shared" si="10"/>
        <v>180.260851</v>
      </c>
      <c r="O277" s="24"/>
      <c r="P277" s="24"/>
      <c r="Q277" s="24"/>
      <c r="R277" s="26"/>
      <c r="S277" s="14">
        <f t="shared" si="13"/>
        <v>165.5328424</v>
      </c>
      <c r="U277" s="21"/>
      <c r="V277" s="21"/>
    </row>
    <row r="278">
      <c r="A278" s="11">
        <v>266.0</v>
      </c>
      <c r="B278" s="11">
        <v>1.42055217391304E9</v>
      </c>
      <c r="C278" s="2">
        <v>-100.8184891</v>
      </c>
      <c r="D278" s="24">
        <f t="shared" si="1"/>
        <v>152173.913</v>
      </c>
      <c r="E278" s="25">
        <f t="shared" si="2"/>
        <v>-33.05866076</v>
      </c>
      <c r="F278" s="24">
        <f t="shared" si="3"/>
        <v>0.0002172426278</v>
      </c>
      <c r="G278" s="24">
        <f t="shared" si="4"/>
        <v>0</v>
      </c>
      <c r="H278" s="26">
        <f t="shared" si="5"/>
        <v>0</v>
      </c>
      <c r="I278" s="24">
        <f t="shared" si="6"/>
        <v>0</v>
      </c>
      <c r="J278" s="24">
        <f t="shared" si="7"/>
        <v>0</v>
      </c>
      <c r="K278" s="24"/>
      <c r="L278" s="24">
        <f t="shared" si="8"/>
        <v>629.8791857</v>
      </c>
      <c r="M278" s="14">
        <f t="shared" si="9"/>
        <v>449.51238</v>
      </c>
      <c r="N278" s="27">
        <f t="shared" si="10"/>
        <v>180.3668057</v>
      </c>
      <c r="O278" s="24"/>
      <c r="P278" s="24"/>
      <c r="Q278" s="24"/>
      <c r="R278" s="26"/>
      <c r="S278" s="14">
        <f t="shared" si="13"/>
        <v>165.6301398</v>
      </c>
      <c r="U278" s="21"/>
      <c r="V278" s="21"/>
    </row>
    <row r="279">
      <c r="A279" s="11">
        <v>267.0</v>
      </c>
      <c r="B279" s="11">
        <v>1.42055652173913E9</v>
      </c>
      <c r="C279" s="2">
        <v>-100.9044571</v>
      </c>
      <c r="D279" s="24">
        <f t="shared" si="1"/>
        <v>156521.7391</v>
      </c>
      <c r="E279" s="25">
        <f t="shared" si="2"/>
        <v>-33.97695689</v>
      </c>
      <c r="F279" s="24">
        <f t="shared" si="3"/>
        <v>0.0002170750023</v>
      </c>
      <c r="G279" s="24">
        <f t="shared" si="4"/>
        <v>0</v>
      </c>
      <c r="H279" s="26">
        <f t="shared" si="5"/>
        <v>0</v>
      </c>
      <c r="I279" s="24">
        <f t="shared" si="6"/>
        <v>0</v>
      </c>
      <c r="J279" s="24">
        <f t="shared" si="7"/>
        <v>0</v>
      </c>
      <c r="K279" s="24"/>
      <c r="L279" s="24">
        <f t="shared" si="8"/>
        <v>617.5334078</v>
      </c>
      <c r="M279" s="14">
        <f t="shared" si="9"/>
        <v>449.3985728</v>
      </c>
      <c r="N279" s="27">
        <f t="shared" si="10"/>
        <v>168.1348351</v>
      </c>
      <c r="O279" s="24"/>
      <c r="P279" s="24"/>
      <c r="Q279" s="24"/>
      <c r="R279" s="26"/>
      <c r="S279" s="14">
        <f t="shared" si="13"/>
        <v>154.3975688</v>
      </c>
      <c r="U279" s="21"/>
      <c r="V279" s="21"/>
    </row>
    <row r="280">
      <c r="A280" s="11">
        <v>268.0</v>
      </c>
      <c r="B280" s="11">
        <v>1.42056086956521E9</v>
      </c>
      <c r="C280" s="2">
        <v>-101.0041809</v>
      </c>
      <c r="D280" s="24">
        <f t="shared" si="1"/>
        <v>160869.5652</v>
      </c>
      <c r="E280" s="25">
        <f t="shared" si="2"/>
        <v>-34.89525302</v>
      </c>
      <c r="F280" s="24">
        <f t="shared" si="3"/>
        <v>0.0002169164377</v>
      </c>
      <c r="G280" s="24">
        <f t="shared" si="4"/>
        <v>0</v>
      </c>
      <c r="H280" s="26">
        <f t="shared" si="5"/>
        <v>0</v>
      </c>
      <c r="I280" s="24">
        <f t="shared" si="6"/>
        <v>0</v>
      </c>
      <c r="J280" s="24">
        <f t="shared" si="7"/>
        <v>0</v>
      </c>
      <c r="K280" s="24"/>
      <c r="L280" s="24">
        <f t="shared" si="8"/>
        <v>603.5150121</v>
      </c>
      <c r="M280" s="14">
        <f t="shared" si="9"/>
        <v>449.2846606</v>
      </c>
      <c r="N280" s="27">
        <f t="shared" si="10"/>
        <v>154.2303515</v>
      </c>
      <c r="O280" s="24"/>
      <c r="P280" s="24"/>
      <c r="Q280" s="24"/>
      <c r="R280" s="26"/>
      <c r="S280" s="14">
        <f t="shared" si="13"/>
        <v>141.6291354</v>
      </c>
      <c r="U280" s="21"/>
      <c r="V280" s="21"/>
    </row>
    <row r="281">
      <c r="A281" s="11">
        <v>269.0</v>
      </c>
      <c r="B281" s="11">
        <v>1.4205652173913E9</v>
      </c>
      <c r="C281" s="2">
        <v>-101.1376648</v>
      </c>
      <c r="D281" s="24">
        <f t="shared" si="1"/>
        <v>165217.3913</v>
      </c>
      <c r="E281" s="25">
        <f t="shared" si="2"/>
        <v>-35.81354915</v>
      </c>
      <c r="F281" s="24">
        <f t="shared" si="3"/>
        <v>0.0002167662186</v>
      </c>
      <c r="G281" s="24">
        <f t="shared" si="4"/>
        <v>0</v>
      </c>
      <c r="H281" s="26">
        <f t="shared" si="5"/>
        <v>0</v>
      </c>
      <c r="I281" s="24">
        <f t="shared" si="6"/>
        <v>0</v>
      </c>
      <c r="J281" s="24">
        <f t="shared" si="7"/>
        <v>0</v>
      </c>
      <c r="K281" s="24"/>
      <c r="L281" s="24">
        <f t="shared" si="8"/>
        <v>585.247662</v>
      </c>
      <c r="M281" s="14">
        <f t="shared" si="9"/>
        <v>449.170646</v>
      </c>
      <c r="N281" s="27">
        <f t="shared" si="10"/>
        <v>136.0770159</v>
      </c>
      <c r="O281" s="24"/>
      <c r="P281" s="24"/>
      <c r="Q281" s="24"/>
      <c r="R281" s="26"/>
      <c r="S281" s="14">
        <f t="shared" si="13"/>
        <v>124.9589972</v>
      </c>
      <c r="U281" s="21"/>
      <c r="V281" s="21"/>
    </row>
    <row r="282">
      <c r="A282" s="11">
        <v>270.0</v>
      </c>
      <c r="B282" s="11">
        <v>1.42056956521739E9</v>
      </c>
      <c r="C282" s="2">
        <v>-101.2996216</v>
      </c>
      <c r="D282" s="24">
        <f t="shared" si="1"/>
        <v>169565.2174</v>
      </c>
      <c r="E282" s="25">
        <f t="shared" si="2"/>
        <v>-36.73184528</v>
      </c>
      <c r="F282" s="24">
        <f t="shared" si="3"/>
        <v>0.000216623703</v>
      </c>
      <c r="G282" s="24">
        <f t="shared" si="4"/>
        <v>0</v>
      </c>
      <c r="H282" s="26">
        <f t="shared" si="5"/>
        <v>0</v>
      </c>
      <c r="I282" s="24">
        <f t="shared" si="6"/>
        <v>0</v>
      </c>
      <c r="J282" s="24">
        <f t="shared" si="7"/>
        <v>0</v>
      </c>
      <c r="K282" s="24"/>
      <c r="L282" s="24">
        <f t="shared" si="8"/>
        <v>563.824583</v>
      </c>
      <c r="M282" s="14">
        <f t="shared" si="9"/>
        <v>449.0565318</v>
      </c>
      <c r="N282" s="27">
        <f t="shared" si="10"/>
        <v>114.7680512</v>
      </c>
      <c r="O282" s="24"/>
      <c r="P282" s="24"/>
      <c r="Q282" s="24"/>
      <c r="R282" s="26"/>
      <c r="S282" s="14">
        <f t="shared" si="13"/>
        <v>105.3910576</v>
      </c>
      <c r="U282" s="21"/>
      <c r="V282" s="21"/>
    </row>
    <row r="283">
      <c r="A283" s="11">
        <v>271.0</v>
      </c>
      <c r="B283" s="11">
        <v>1.42057391304347E9</v>
      </c>
      <c r="C283" s="2">
        <v>-101.3586121</v>
      </c>
      <c r="D283" s="24">
        <f t="shared" si="1"/>
        <v>173913.0435</v>
      </c>
      <c r="E283" s="25">
        <f t="shared" si="2"/>
        <v>-37.65014142</v>
      </c>
      <c r="F283" s="24">
        <f t="shared" si="3"/>
        <v>0.0002164883132</v>
      </c>
      <c r="G283" s="24">
        <f t="shared" si="4"/>
        <v>0</v>
      </c>
      <c r="H283" s="26">
        <f t="shared" si="5"/>
        <v>0</v>
      </c>
      <c r="I283" s="24">
        <f t="shared" si="6"/>
        <v>0</v>
      </c>
      <c r="J283" s="24">
        <f t="shared" si="7"/>
        <v>0</v>
      </c>
      <c r="K283" s="24"/>
      <c r="L283" s="24">
        <f t="shared" si="8"/>
        <v>556.2178953</v>
      </c>
      <c r="M283" s="14">
        <f t="shared" si="9"/>
        <v>448.9423205</v>
      </c>
      <c r="N283" s="27">
        <f t="shared" si="10"/>
        <v>107.2755748</v>
      </c>
      <c r="O283" s="24"/>
      <c r="P283" s="24"/>
      <c r="Q283" s="24"/>
      <c r="R283" s="26"/>
      <c r="S283" s="14">
        <f t="shared" si="13"/>
        <v>98.51074549</v>
      </c>
      <c r="U283" s="21"/>
      <c r="V283" s="21"/>
    </row>
    <row r="284">
      <c r="A284" s="11">
        <v>272.0</v>
      </c>
      <c r="B284" s="11">
        <v>1.42057826086956E9</v>
      </c>
      <c r="C284" s="2">
        <v>-101.5357437</v>
      </c>
      <c r="D284" s="24">
        <f t="shared" si="1"/>
        <v>178260.8696</v>
      </c>
      <c r="E284" s="25">
        <f t="shared" si="2"/>
        <v>-38.56843755</v>
      </c>
      <c r="F284" s="24">
        <f t="shared" si="3"/>
        <v>0.0002163595277</v>
      </c>
      <c r="G284" s="24">
        <f t="shared" si="4"/>
        <v>0</v>
      </c>
      <c r="H284" s="26">
        <f t="shared" si="5"/>
        <v>0</v>
      </c>
      <c r="I284" s="24">
        <f t="shared" si="6"/>
        <v>0</v>
      </c>
      <c r="J284" s="24">
        <f t="shared" si="7"/>
        <v>0</v>
      </c>
      <c r="K284" s="24"/>
      <c r="L284" s="24">
        <f t="shared" si="8"/>
        <v>533.9883687</v>
      </c>
      <c r="M284" s="14">
        <f t="shared" si="9"/>
        <v>448.8280147</v>
      </c>
      <c r="N284" s="27">
        <f t="shared" si="10"/>
        <v>85.16035401</v>
      </c>
      <c r="O284" s="24"/>
      <c r="P284" s="24"/>
      <c r="Q284" s="24"/>
      <c r="R284" s="26"/>
      <c r="S284" s="14">
        <f t="shared" si="13"/>
        <v>78.20242357</v>
      </c>
      <c r="U284" s="21"/>
      <c r="V284" s="21"/>
    </row>
    <row r="285">
      <c r="A285" s="11">
        <v>273.0</v>
      </c>
      <c r="B285" s="11">
        <v>1.42058260869565E9</v>
      </c>
      <c r="C285" s="2">
        <v>-101.7650681</v>
      </c>
      <c r="D285" s="24">
        <f t="shared" si="1"/>
        <v>182608.6957</v>
      </c>
      <c r="E285" s="25">
        <f t="shared" si="2"/>
        <v>-39.48673368</v>
      </c>
      <c r="F285" s="24">
        <f t="shared" si="3"/>
        <v>0.0002162368749</v>
      </c>
      <c r="G285" s="24">
        <f t="shared" si="4"/>
        <v>0</v>
      </c>
      <c r="H285" s="26">
        <f t="shared" si="5"/>
        <v>0</v>
      </c>
      <c r="I285" s="24">
        <f t="shared" si="6"/>
        <v>0</v>
      </c>
      <c r="J285" s="24">
        <f t="shared" si="7"/>
        <v>0</v>
      </c>
      <c r="K285" s="24"/>
      <c r="L285" s="24">
        <f t="shared" si="8"/>
        <v>506.5232181</v>
      </c>
      <c r="M285" s="14">
        <f t="shared" si="9"/>
        <v>448.7136171</v>
      </c>
      <c r="N285" s="27">
        <f t="shared" si="10"/>
        <v>57.80960092</v>
      </c>
      <c r="O285" s="24"/>
      <c r="P285" s="24"/>
      <c r="Q285" s="24"/>
      <c r="R285" s="26"/>
      <c r="S285" s="14">
        <f t="shared" si="13"/>
        <v>53.08633296</v>
      </c>
      <c r="U285" s="21"/>
      <c r="V285" s="21"/>
    </row>
    <row r="286">
      <c r="A286" s="11">
        <v>274.0</v>
      </c>
      <c r="B286" s="11">
        <v>1.42058695652173E9</v>
      </c>
      <c r="C286" s="2">
        <v>-101.8119736</v>
      </c>
      <c r="D286" s="24">
        <f t="shared" si="1"/>
        <v>186956.5217</v>
      </c>
      <c r="E286" s="25">
        <f t="shared" si="2"/>
        <v>-40.40502981</v>
      </c>
      <c r="F286" s="24">
        <f t="shared" si="3"/>
        <v>0.0002161199269</v>
      </c>
      <c r="G286" s="24">
        <f t="shared" si="4"/>
        <v>0</v>
      </c>
      <c r="H286" s="26">
        <f t="shared" si="5"/>
        <v>0</v>
      </c>
      <c r="I286" s="24">
        <f t="shared" si="6"/>
        <v>0</v>
      </c>
      <c r="J286" s="24">
        <f t="shared" si="7"/>
        <v>0</v>
      </c>
      <c r="K286" s="24"/>
      <c r="L286" s="24">
        <f t="shared" si="8"/>
        <v>501.082006</v>
      </c>
      <c r="M286" s="14">
        <f t="shared" si="9"/>
        <v>448.5991304</v>
      </c>
      <c r="N286" s="27">
        <f t="shared" si="10"/>
        <v>52.48287564</v>
      </c>
      <c r="O286" s="24"/>
      <c r="P286" s="24"/>
      <c r="Q286" s="24"/>
      <c r="R286" s="26"/>
      <c r="S286" s="14">
        <f t="shared" si="13"/>
        <v>48.19482174</v>
      </c>
      <c r="U286" s="21"/>
      <c r="V286" s="21"/>
    </row>
    <row r="287">
      <c r="A287" s="11">
        <v>275.0</v>
      </c>
      <c r="B287" s="11">
        <v>1.42059130434782E9</v>
      </c>
      <c r="C287" s="2">
        <v>-101.9742355</v>
      </c>
      <c r="D287" s="24">
        <f t="shared" si="1"/>
        <v>191304.3478</v>
      </c>
      <c r="E287" s="25">
        <f t="shared" si="2"/>
        <v>-41.32332595</v>
      </c>
      <c r="F287" s="24">
        <f t="shared" si="3"/>
        <v>0.0002160082947</v>
      </c>
      <c r="G287" s="24">
        <f t="shared" si="4"/>
        <v>0</v>
      </c>
      <c r="H287" s="26">
        <f t="shared" si="5"/>
        <v>0</v>
      </c>
      <c r="I287" s="24">
        <f t="shared" si="6"/>
        <v>0</v>
      </c>
      <c r="J287" s="24">
        <f t="shared" si="7"/>
        <v>0</v>
      </c>
      <c r="K287" s="24"/>
      <c r="L287" s="24">
        <f t="shared" si="8"/>
        <v>482.7059114</v>
      </c>
      <c r="M287" s="14">
        <f t="shared" si="9"/>
        <v>448.484557</v>
      </c>
      <c r="N287" s="27">
        <f t="shared" si="10"/>
        <v>34.22135439</v>
      </c>
      <c r="O287" s="24"/>
      <c r="P287" s="24"/>
      <c r="Q287" s="24"/>
      <c r="R287" s="26"/>
      <c r="S287" s="14">
        <f t="shared" si="13"/>
        <v>31.42533739</v>
      </c>
      <c r="U287" s="21"/>
      <c r="V287" s="21"/>
    </row>
    <row r="288">
      <c r="A288" s="11">
        <v>276.0</v>
      </c>
      <c r="B288" s="11">
        <v>1.42059565217391E9</v>
      </c>
      <c r="C288" s="2">
        <v>-101.9950333</v>
      </c>
      <c r="D288" s="24">
        <f t="shared" si="1"/>
        <v>195652.1739</v>
      </c>
      <c r="E288" s="25">
        <f t="shared" si="2"/>
        <v>-42.24162208</v>
      </c>
      <c r="F288" s="24">
        <f t="shared" si="3"/>
        <v>0.000215901624</v>
      </c>
      <c r="G288" s="24">
        <f t="shared" si="4"/>
        <v>0</v>
      </c>
      <c r="H288" s="26">
        <f t="shared" si="5"/>
        <v>0</v>
      </c>
      <c r="I288" s="24">
        <f t="shared" si="6"/>
        <v>0</v>
      </c>
      <c r="J288" s="24">
        <f t="shared" si="7"/>
        <v>0</v>
      </c>
      <c r="K288" s="24"/>
      <c r="L288" s="24">
        <f t="shared" si="8"/>
        <v>480.3998215</v>
      </c>
      <c r="M288" s="14">
        <f t="shared" si="9"/>
        <v>448.3698997</v>
      </c>
      <c r="N288" s="27">
        <f t="shared" si="10"/>
        <v>32.0299218</v>
      </c>
      <c r="O288" s="24"/>
      <c r="P288" s="24"/>
      <c r="Q288" s="24"/>
      <c r="R288" s="26"/>
      <c r="S288" s="14">
        <f t="shared" si="13"/>
        <v>29.41295326</v>
      </c>
      <c r="U288" s="21"/>
      <c r="V288" s="21"/>
    </row>
    <row r="289">
      <c r="A289" s="11">
        <v>277.0</v>
      </c>
      <c r="B289" s="11">
        <v>1.4206E9</v>
      </c>
      <c r="C289" s="2">
        <v>-101.9914932</v>
      </c>
      <c r="D289" s="24">
        <f t="shared" si="1"/>
        <v>200000</v>
      </c>
      <c r="E289" s="25">
        <f t="shared" si="2"/>
        <v>-43.15991821</v>
      </c>
      <c r="F289" s="24">
        <f t="shared" si="3"/>
        <v>0.000215799591</v>
      </c>
      <c r="G289" s="24">
        <f t="shared" si="4"/>
        <v>0</v>
      </c>
      <c r="H289" s="26">
        <f t="shared" si="5"/>
        <v>0</v>
      </c>
      <c r="I289" s="24">
        <f t="shared" si="6"/>
        <v>0</v>
      </c>
      <c r="J289" s="24">
        <f t="shared" si="7"/>
        <v>0</v>
      </c>
      <c r="K289" s="24"/>
      <c r="L289" s="24">
        <f t="shared" si="8"/>
        <v>480.7915734</v>
      </c>
      <c r="M289" s="14">
        <f t="shared" si="9"/>
        <v>448.2551611</v>
      </c>
      <c r="N289" s="27">
        <f t="shared" si="10"/>
        <v>32.53641227</v>
      </c>
      <c r="O289" s="24"/>
      <c r="P289" s="24"/>
      <c r="Q289" s="24"/>
      <c r="R289" s="26"/>
      <c r="S289" s="14">
        <f t="shared" si="13"/>
        <v>29.87806156</v>
      </c>
      <c r="U289" s="21"/>
      <c r="V289" s="21"/>
    </row>
    <row r="290">
      <c r="A290" s="11">
        <v>278.0</v>
      </c>
      <c r="B290" s="11">
        <v>1.42060434782608E9</v>
      </c>
      <c r="C290" s="2">
        <v>-102.0676804</v>
      </c>
      <c r="D290" s="24">
        <f t="shared" si="1"/>
        <v>204347.8261</v>
      </c>
      <c r="E290" s="25">
        <f t="shared" si="2"/>
        <v>-44.07821434</v>
      </c>
      <c r="F290" s="24">
        <f t="shared" si="3"/>
        <v>0.0002157019</v>
      </c>
      <c r="G290" s="24">
        <f t="shared" si="4"/>
        <v>0</v>
      </c>
      <c r="H290" s="26">
        <f t="shared" si="5"/>
        <v>0</v>
      </c>
      <c r="I290" s="24">
        <f t="shared" si="6"/>
        <v>0</v>
      </c>
      <c r="J290" s="24">
        <f t="shared" si="7"/>
        <v>0</v>
      </c>
      <c r="K290" s="24"/>
      <c r="L290" s="24">
        <f t="shared" si="8"/>
        <v>472.4307171</v>
      </c>
      <c r="M290" s="14">
        <f t="shared" si="9"/>
        <v>448.1403438</v>
      </c>
      <c r="N290" s="27">
        <f t="shared" si="10"/>
        <v>24.29037328</v>
      </c>
      <c r="O290" s="24"/>
      <c r="P290" s="24"/>
      <c r="Q290" s="24"/>
      <c r="R290" s="26"/>
      <c r="S290" s="14">
        <f t="shared" si="13"/>
        <v>22.30575585</v>
      </c>
      <c r="U290" s="21"/>
      <c r="V290" s="21"/>
    </row>
    <row r="291">
      <c r="A291" s="11">
        <v>279.0</v>
      </c>
      <c r="B291" s="11">
        <v>1.42060869565217E9</v>
      </c>
      <c r="C291" s="2">
        <v>-102.0868454</v>
      </c>
      <c r="D291" s="24">
        <f t="shared" si="1"/>
        <v>208695.6522</v>
      </c>
      <c r="E291" s="25">
        <f t="shared" si="2"/>
        <v>-44.99651047</v>
      </c>
      <c r="F291" s="24">
        <f t="shared" si="3"/>
        <v>0.0002156082794</v>
      </c>
      <c r="G291" s="24">
        <f t="shared" si="4"/>
        <v>0</v>
      </c>
      <c r="H291" s="26">
        <f t="shared" si="5"/>
        <v>0</v>
      </c>
      <c r="I291" s="24">
        <f t="shared" si="6"/>
        <v>0</v>
      </c>
      <c r="J291" s="24">
        <f t="shared" si="7"/>
        <v>0</v>
      </c>
      <c r="K291" s="24"/>
      <c r="L291" s="24">
        <f t="shared" si="8"/>
        <v>470.3505188</v>
      </c>
      <c r="M291" s="14">
        <f t="shared" si="9"/>
        <v>448.0254505</v>
      </c>
      <c r="N291" s="27">
        <f t="shared" si="10"/>
        <v>22.32506831</v>
      </c>
      <c r="O291" s="24"/>
      <c r="P291" s="24"/>
      <c r="Q291" s="24"/>
      <c r="R291" s="26"/>
      <c r="S291" s="14">
        <f t="shared" si="13"/>
        <v>20.50102384</v>
      </c>
      <c r="U291" s="21"/>
      <c r="V291" s="21"/>
    </row>
    <row r="292">
      <c r="A292" s="11">
        <v>280.0</v>
      </c>
      <c r="B292" s="11">
        <v>1.42061304347826E9</v>
      </c>
      <c r="C292" s="2">
        <v>-102.1164169</v>
      </c>
      <c r="D292" s="24">
        <f t="shared" si="1"/>
        <v>213043.4783</v>
      </c>
      <c r="E292" s="25">
        <f t="shared" si="2"/>
        <v>-45.91480661</v>
      </c>
      <c r="F292" s="24">
        <f t="shared" si="3"/>
        <v>0.00021551848</v>
      </c>
      <c r="G292" s="24">
        <f t="shared" si="4"/>
        <v>0</v>
      </c>
      <c r="H292" s="26">
        <f t="shared" si="5"/>
        <v>0</v>
      </c>
      <c r="I292" s="24">
        <f t="shared" si="6"/>
        <v>0</v>
      </c>
      <c r="J292" s="24">
        <f t="shared" si="7"/>
        <v>0</v>
      </c>
      <c r="K292" s="24"/>
      <c r="L292" s="24">
        <f t="shared" si="8"/>
        <v>467.1587389</v>
      </c>
      <c r="M292" s="14">
        <f t="shared" si="9"/>
        <v>447.9104837</v>
      </c>
      <c r="N292" s="27">
        <f t="shared" si="10"/>
        <v>19.24825519</v>
      </c>
      <c r="O292" s="24"/>
      <c r="P292" s="24"/>
      <c r="Q292" s="24"/>
      <c r="R292" s="26"/>
      <c r="S292" s="14">
        <f t="shared" si="13"/>
        <v>17.6755983</v>
      </c>
      <c r="U292" s="21"/>
      <c r="V292" s="21"/>
    </row>
    <row r="293">
      <c r="A293" s="11">
        <v>281.0</v>
      </c>
      <c r="B293" s="11">
        <v>1.42061739130434E9</v>
      </c>
      <c r="C293" s="2">
        <v>-102.1458359</v>
      </c>
      <c r="D293" s="24">
        <f t="shared" si="1"/>
        <v>217391.3043</v>
      </c>
      <c r="E293" s="25">
        <f t="shared" si="2"/>
        <v>-46.83310274</v>
      </c>
      <c r="F293" s="24">
        <f t="shared" si="3"/>
        <v>0.0002154322726</v>
      </c>
      <c r="G293" s="24">
        <f t="shared" si="4"/>
        <v>0</v>
      </c>
      <c r="H293" s="26">
        <f t="shared" si="5"/>
        <v>0</v>
      </c>
      <c r="I293" s="24">
        <f t="shared" si="6"/>
        <v>0</v>
      </c>
      <c r="J293" s="24">
        <f t="shared" si="7"/>
        <v>0</v>
      </c>
      <c r="K293" s="24"/>
      <c r="L293" s="24">
        <f t="shared" si="8"/>
        <v>464.0049113</v>
      </c>
      <c r="M293" s="14">
        <f t="shared" si="9"/>
        <v>447.7954461</v>
      </c>
      <c r="N293" s="27">
        <f t="shared" si="10"/>
        <v>16.20946514</v>
      </c>
      <c r="O293" s="24"/>
      <c r="P293" s="24"/>
      <c r="Q293" s="24"/>
      <c r="R293" s="26"/>
      <c r="S293" s="14">
        <f t="shared" si="13"/>
        <v>14.88508916</v>
      </c>
      <c r="U293" s="21"/>
      <c r="V293" s="21"/>
    </row>
    <row r="294">
      <c r="A294" s="11">
        <v>282.0</v>
      </c>
      <c r="B294" s="11">
        <v>1.42062173913043E9</v>
      </c>
      <c r="C294" s="2">
        <v>-102.1415863</v>
      </c>
      <c r="D294" s="24">
        <f t="shared" si="1"/>
        <v>221739.1304</v>
      </c>
      <c r="E294" s="25">
        <f t="shared" si="2"/>
        <v>-47.75139887</v>
      </c>
      <c r="F294" s="24">
        <f t="shared" si="3"/>
        <v>0.0002153494459</v>
      </c>
      <c r="G294" s="24">
        <f t="shared" si="4"/>
        <v>0</v>
      </c>
      <c r="H294" s="26">
        <f t="shared" si="5"/>
        <v>0</v>
      </c>
      <c r="I294" s="24">
        <f t="shared" si="6"/>
        <v>0</v>
      </c>
      <c r="J294" s="24">
        <f t="shared" si="7"/>
        <v>0</v>
      </c>
      <c r="K294" s="24"/>
      <c r="L294" s="24">
        <f t="shared" si="8"/>
        <v>464.4591653</v>
      </c>
      <c r="M294" s="14">
        <f t="shared" si="9"/>
        <v>447.6803404</v>
      </c>
      <c r="N294" s="27">
        <f t="shared" si="10"/>
        <v>16.77882496</v>
      </c>
      <c r="O294" s="24"/>
      <c r="P294" s="24"/>
      <c r="Q294" s="24"/>
      <c r="R294" s="26"/>
      <c r="S294" s="14">
        <f t="shared" si="13"/>
        <v>15.40793004</v>
      </c>
      <c r="U294" s="21"/>
      <c r="V294" s="21"/>
    </row>
    <row r="295">
      <c r="A295" s="11">
        <v>283.0</v>
      </c>
      <c r="B295" s="11">
        <v>1.42062608695652E9</v>
      </c>
      <c r="C295" s="2">
        <v>-102.1399612</v>
      </c>
      <c r="D295" s="24">
        <f t="shared" si="1"/>
        <v>226086.9565</v>
      </c>
      <c r="E295" s="25">
        <f t="shared" si="2"/>
        <v>-48.669695</v>
      </c>
      <c r="F295" s="24">
        <f t="shared" si="3"/>
        <v>0.0002152698048</v>
      </c>
      <c r="G295" s="24">
        <f t="shared" si="4"/>
        <v>0</v>
      </c>
      <c r="H295" s="26">
        <f t="shared" si="5"/>
        <v>0</v>
      </c>
      <c r="I295" s="24">
        <f t="shared" si="6"/>
        <v>0</v>
      </c>
      <c r="J295" s="24">
        <f t="shared" si="7"/>
        <v>0</v>
      </c>
      <c r="K295" s="24"/>
      <c r="L295" s="24">
        <f t="shared" si="8"/>
        <v>464.6329953</v>
      </c>
      <c r="M295" s="14">
        <f t="shared" si="9"/>
        <v>447.5651691</v>
      </c>
      <c r="N295" s="27">
        <f t="shared" si="10"/>
        <v>17.0678262</v>
      </c>
      <c r="O295" s="24"/>
      <c r="P295" s="24"/>
      <c r="Q295" s="24"/>
      <c r="R295" s="26"/>
      <c r="S295" s="14">
        <f t="shared" si="13"/>
        <v>15.6733188</v>
      </c>
      <c r="U295" s="21"/>
      <c r="V295" s="21"/>
    </row>
    <row r="296">
      <c r="A296" s="11">
        <v>284.0</v>
      </c>
      <c r="B296" s="11">
        <v>1.4206304347826E9</v>
      </c>
      <c r="C296" s="2">
        <v>-102.1854248</v>
      </c>
      <c r="D296" s="24">
        <f t="shared" si="1"/>
        <v>230434.7826</v>
      </c>
      <c r="E296" s="25">
        <f t="shared" si="2"/>
        <v>-49.58799113</v>
      </c>
      <c r="F296" s="24">
        <f t="shared" si="3"/>
        <v>0.0002151931691</v>
      </c>
      <c r="G296" s="24">
        <f t="shared" si="4"/>
        <v>0</v>
      </c>
      <c r="H296" s="26">
        <f t="shared" si="5"/>
        <v>0</v>
      </c>
      <c r="I296" s="24">
        <f t="shared" si="6"/>
        <v>0</v>
      </c>
      <c r="J296" s="24">
        <f t="shared" si="7"/>
        <v>0</v>
      </c>
      <c r="K296" s="24"/>
      <c r="L296" s="24">
        <f t="shared" si="8"/>
        <v>459.7944104</v>
      </c>
      <c r="M296" s="14">
        <f t="shared" si="9"/>
        <v>447.4499348</v>
      </c>
      <c r="N296" s="27">
        <f t="shared" si="10"/>
        <v>12.34447558</v>
      </c>
      <c r="O296" s="24"/>
      <c r="P296" s="24"/>
      <c r="Q296" s="24"/>
      <c r="R296" s="26"/>
      <c r="S296" s="14">
        <f t="shared" si="13"/>
        <v>11.33588418</v>
      </c>
      <c r="U296" s="21"/>
      <c r="V296" s="21"/>
    </row>
    <row r="297">
      <c r="A297" s="11">
        <v>285.0</v>
      </c>
      <c r="B297" s="11">
        <v>1.42063478260869E9</v>
      </c>
      <c r="C297" s="2">
        <v>-102.1674194</v>
      </c>
      <c r="D297" s="24">
        <f t="shared" si="1"/>
        <v>234782.6087</v>
      </c>
      <c r="E297" s="25">
        <f t="shared" si="2"/>
        <v>-50.50628727</v>
      </c>
      <c r="F297" s="24">
        <f t="shared" si="3"/>
        <v>0.0002151193717</v>
      </c>
      <c r="G297" s="24">
        <f t="shared" si="4"/>
        <v>0</v>
      </c>
      <c r="H297" s="26">
        <f t="shared" si="5"/>
        <v>0</v>
      </c>
      <c r="I297" s="24">
        <f t="shared" si="6"/>
        <v>0</v>
      </c>
      <c r="J297" s="24">
        <f t="shared" si="7"/>
        <v>0</v>
      </c>
      <c r="K297" s="24"/>
      <c r="L297" s="24">
        <f t="shared" si="8"/>
        <v>461.7046275</v>
      </c>
      <c r="M297" s="14">
        <f t="shared" si="9"/>
        <v>447.3346403</v>
      </c>
      <c r="N297" s="27">
        <f t="shared" si="10"/>
        <v>14.36998721</v>
      </c>
      <c r="O297" s="24"/>
      <c r="P297" s="24"/>
      <c r="Q297" s="24"/>
      <c r="R297" s="26"/>
      <c r="S297" s="14">
        <f t="shared" si="13"/>
        <v>13.19590368</v>
      </c>
      <c r="U297" s="21"/>
      <c r="V297" s="21"/>
    </row>
    <row r="298">
      <c r="A298" s="11">
        <v>286.0</v>
      </c>
      <c r="B298" s="11">
        <v>1.42063913043478E9</v>
      </c>
      <c r="C298" s="2">
        <v>-102.1663513</v>
      </c>
      <c r="D298" s="24">
        <f t="shared" si="1"/>
        <v>239130.4348</v>
      </c>
      <c r="E298" s="25">
        <f t="shared" si="2"/>
        <v>-51.4245834</v>
      </c>
      <c r="F298" s="24">
        <f t="shared" si="3"/>
        <v>0.0002150482579</v>
      </c>
      <c r="G298" s="24">
        <f t="shared" si="4"/>
        <v>0</v>
      </c>
      <c r="H298" s="26">
        <f t="shared" si="5"/>
        <v>0</v>
      </c>
      <c r="I298" s="24">
        <f t="shared" si="6"/>
        <v>0</v>
      </c>
      <c r="J298" s="24">
        <f t="shared" si="7"/>
        <v>0</v>
      </c>
      <c r="K298" s="24"/>
      <c r="L298" s="24">
        <f t="shared" si="8"/>
        <v>461.8181927</v>
      </c>
      <c r="M298" s="14">
        <f t="shared" si="9"/>
        <v>447.2192881</v>
      </c>
      <c r="N298" s="27">
        <f t="shared" si="10"/>
        <v>14.59890459</v>
      </c>
      <c r="O298" s="24"/>
      <c r="P298" s="24"/>
      <c r="Q298" s="24"/>
      <c r="R298" s="26"/>
      <c r="S298" s="14">
        <f t="shared" si="13"/>
        <v>13.40611759</v>
      </c>
      <c r="U298" s="21"/>
      <c r="V298" s="21"/>
    </row>
    <row r="299">
      <c r="A299" s="11">
        <v>287.0</v>
      </c>
      <c r="B299" s="11">
        <v>1.42064347826087E9</v>
      </c>
      <c r="C299" s="2">
        <v>-102.148056</v>
      </c>
      <c r="D299" s="24">
        <f t="shared" si="1"/>
        <v>243478.2609</v>
      </c>
      <c r="E299" s="25">
        <f t="shared" si="2"/>
        <v>-52.34287953</v>
      </c>
      <c r="F299" s="24">
        <f t="shared" si="3"/>
        <v>0.0002149796838</v>
      </c>
      <c r="G299" s="24">
        <f t="shared" si="4"/>
        <v>0</v>
      </c>
      <c r="H299" s="26">
        <f t="shared" si="5"/>
        <v>0</v>
      </c>
      <c r="I299" s="24">
        <f t="shared" si="6"/>
        <v>0</v>
      </c>
      <c r="J299" s="24">
        <f t="shared" si="7"/>
        <v>0</v>
      </c>
      <c r="K299" s="24"/>
      <c r="L299" s="24">
        <f t="shared" si="8"/>
        <v>463.767774</v>
      </c>
      <c r="M299" s="14">
        <f t="shared" si="9"/>
        <v>447.1038809</v>
      </c>
      <c r="N299" s="27">
        <f t="shared" si="10"/>
        <v>16.6638931</v>
      </c>
      <c r="O299" s="24"/>
      <c r="P299" s="24"/>
      <c r="Q299" s="24"/>
      <c r="R299" s="26"/>
      <c r="S299" s="14">
        <f t="shared" si="13"/>
        <v>15.30238859</v>
      </c>
      <c r="U299" s="21"/>
      <c r="V299" s="21"/>
    </row>
    <row r="300">
      <c r="A300" s="11">
        <v>288.0</v>
      </c>
      <c r="B300" s="11">
        <v>1.42064782608695E9</v>
      </c>
      <c r="C300" s="2">
        <v>-102.2137985</v>
      </c>
      <c r="D300" s="24">
        <f t="shared" si="1"/>
        <v>247826.087</v>
      </c>
      <c r="E300" s="25">
        <f t="shared" si="2"/>
        <v>-53.26117566</v>
      </c>
      <c r="F300" s="24">
        <f t="shared" si="3"/>
        <v>0.0002149135158</v>
      </c>
      <c r="G300" s="24">
        <f t="shared" si="4"/>
        <v>0</v>
      </c>
      <c r="H300" s="26">
        <f t="shared" si="5"/>
        <v>0</v>
      </c>
      <c r="I300" s="24">
        <f t="shared" si="6"/>
        <v>0</v>
      </c>
      <c r="J300" s="24">
        <f t="shared" si="7"/>
        <v>0</v>
      </c>
      <c r="K300" s="24"/>
      <c r="L300" s="24">
        <f t="shared" si="8"/>
        <v>456.8002337</v>
      </c>
      <c r="M300" s="14">
        <f t="shared" si="9"/>
        <v>446.9884213</v>
      </c>
      <c r="N300" s="27">
        <f t="shared" si="10"/>
        <v>9.811812376</v>
      </c>
      <c r="O300" s="24"/>
      <c r="P300" s="24"/>
      <c r="Q300" s="24"/>
      <c r="R300" s="26"/>
      <c r="S300" s="14">
        <f t="shared" si="13"/>
        <v>9.01014936</v>
      </c>
      <c r="U300" s="21"/>
      <c r="V300" s="21"/>
    </row>
    <row r="301">
      <c r="A301" s="11">
        <v>289.0</v>
      </c>
      <c r="B301" s="11">
        <v>1.42065217391304E9</v>
      </c>
      <c r="C301" s="2">
        <v>-102.1864929</v>
      </c>
      <c r="D301" s="24">
        <f t="shared" si="1"/>
        <v>252173.913</v>
      </c>
      <c r="E301" s="25">
        <f t="shared" si="2"/>
        <v>-54.1794718</v>
      </c>
      <c r="F301" s="24">
        <f t="shared" si="3"/>
        <v>0.0002148496295</v>
      </c>
      <c r="G301" s="24">
        <f t="shared" si="4"/>
        <v>0</v>
      </c>
      <c r="H301" s="26">
        <f t="shared" si="5"/>
        <v>0</v>
      </c>
      <c r="I301" s="24">
        <f t="shared" si="6"/>
        <v>0</v>
      </c>
      <c r="J301" s="24">
        <f t="shared" si="7"/>
        <v>0</v>
      </c>
      <c r="K301" s="24"/>
      <c r="L301" s="24">
        <f t="shared" si="8"/>
        <v>459.6813429</v>
      </c>
      <c r="M301" s="14">
        <f t="shared" si="9"/>
        <v>446.8729119</v>
      </c>
      <c r="N301" s="27">
        <f t="shared" si="10"/>
        <v>12.80843104</v>
      </c>
      <c r="O301" s="24"/>
      <c r="P301" s="24"/>
      <c r="Q301" s="24"/>
      <c r="R301" s="26"/>
      <c r="S301" s="14">
        <f t="shared" si="13"/>
        <v>11.76193266</v>
      </c>
      <c r="U301" s="21"/>
      <c r="V301" s="21"/>
    </row>
    <row r="302">
      <c r="A302" s="11">
        <v>290.0</v>
      </c>
      <c r="B302" s="11">
        <v>1.42065652173913E9</v>
      </c>
      <c r="C302" s="2">
        <v>-102.243454</v>
      </c>
      <c r="D302" s="24">
        <f t="shared" si="1"/>
        <v>256521.7391</v>
      </c>
      <c r="E302" s="25">
        <f t="shared" si="2"/>
        <v>-55.09776793</v>
      </c>
      <c r="F302" s="24">
        <f t="shared" si="3"/>
        <v>0.0002147879089</v>
      </c>
      <c r="G302" s="24">
        <f t="shared" si="4"/>
        <v>0</v>
      </c>
      <c r="H302" s="26">
        <f t="shared" si="5"/>
        <v>0</v>
      </c>
      <c r="I302" s="24">
        <f t="shared" si="6"/>
        <v>0</v>
      </c>
      <c r="J302" s="24">
        <f t="shared" si="7"/>
        <v>0</v>
      </c>
      <c r="K302" s="24"/>
      <c r="L302" s="24">
        <f t="shared" si="8"/>
        <v>453.6916302</v>
      </c>
      <c r="M302" s="14">
        <f t="shared" si="9"/>
        <v>446.7573553</v>
      </c>
      <c r="N302" s="27">
        <f t="shared" si="10"/>
        <v>6.934274913</v>
      </c>
      <c r="O302" s="24"/>
      <c r="P302" s="24"/>
      <c r="Q302" s="24"/>
      <c r="R302" s="26"/>
      <c r="S302" s="14">
        <f t="shared" si="13"/>
        <v>6.367717836</v>
      </c>
      <c r="U302" s="21"/>
      <c r="V302" s="21"/>
    </row>
    <row r="303">
      <c r="A303" s="11">
        <v>291.0</v>
      </c>
      <c r="B303" s="11">
        <v>1.42066086956521E9</v>
      </c>
      <c r="C303" s="2">
        <v>-102.2487183</v>
      </c>
      <c r="D303" s="24">
        <f t="shared" si="1"/>
        <v>260869.5652</v>
      </c>
      <c r="E303" s="25">
        <f t="shared" si="2"/>
        <v>-56.01606406</v>
      </c>
      <c r="F303" s="24">
        <f t="shared" si="3"/>
        <v>0.0002147282456</v>
      </c>
      <c r="G303" s="24">
        <f t="shared" si="4"/>
        <v>0</v>
      </c>
      <c r="H303" s="26">
        <f t="shared" si="5"/>
        <v>0</v>
      </c>
      <c r="I303" s="24">
        <f t="shared" si="6"/>
        <v>0</v>
      </c>
      <c r="J303" s="24">
        <f t="shared" si="7"/>
        <v>0</v>
      </c>
      <c r="K303" s="24"/>
      <c r="L303" s="24">
        <f t="shared" si="8"/>
        <v>453.1420211</v>
      </c>
      <c r="M303" s="14">
        <f t="shared" si="9"/>
        <v>446.6417542</v>
      </c>
      <c r="N303" s="27">
        <f t="shared" si="10"/>
        <v>6.500266938</v>
      </c>
      <c r="O303" s="24"/>
      <c r="P303" s="24"/>
      <c r="Q303" s="24"/>
      <c r="R303" s="26"/>
      <c r="S303" s="14">
        <f t="shared" si="13"/>
        <v>5.969169992</v>
      </c>
      <c r="U303" s="21"/>
      <c r="V303" s="21"/>
    </row>
    <row r="304">
      <c r="A304" s="11">
        <v>292.0</v>
      </c>
      <c r="B304" s="11">
        <v>1.4206652173913E9</v>
      </c>
      <c r="C304" s="2">
        <v>-102.2463455</v>
      </c>
      <c r="D304" s="24">
        <f t="shared" si="1"/>
        <v>265217.3913</v>
      </c>
      <c r="E304" s="25">
        <f t="shared" si="2"/>
        <v>-56.93436019</v>
      </c>
      <c r="F304" s="24">
        <f t="shared" si="3"/>
        <v>0.0002146705384</v>
      </c>
      <c r="G304" s="24">
        <f t="shared" si="4"/>
        <v>0</v>
      </c>
      <c r="H304" s="26">
        <f t="shared" si="5"/>
        <v>0</v>
      </c>
      <c r="I304" s="24">
        <f t="shared" si="6"/>
        <v>0</v>
      </c>
      <c r="J304" s="24">
        <f t="shared" si="7"/>
        <v>0</v>
      </c>
      <c r="K304" s="24"/>
      <c r="L304" s="24">
        <f t="shared" si="8"/>
        <v>453.3896663</v>
      </c>
      <c r="M304" s="14">
        <f t="shared" si="9"/>
        <v>446.5261112</v>
      </c>
      <c r="N304" s="27">
        <f t="shared" si="10"/>
        <v>6.863555082</v>
      </c>
      <c r="O304" s="24"/>
      <c r="P304" s="24"/>
      <c r="Q304" s="24"/>
      <c r="R304" s="26"/>
      <c r="S304" s="14">
        <f t="shared" si="13"/>
        <v>6.302776074</v>
      </c>
      <c r="U304" s="21"/>
      <c r="V304" s="21"/>
    </row>
    <row r="305">
      <c r="A305" s="11">
        <v>293.0</v>
      </c>
      <c r="B305" s="11">
        <v>1.42066956521739E9</v>
      </c>
      <c r="C305" s="2">
        <v>-102.260582</v>
      </c>
      <c r="D305" s="24">
        <f t="shared" si="1"/>
        <v>269565.2174</v>
      </c>
      <c r="E305" s="25">
        <f t="shared" si="2"/>
        <v>-57.85265632</v>
      </c>
      <c r="F305" s="24">
        <f t="shared" si="3"/>
        <v>0.0002146146928</v>
      </c>
      <c r="G305" s="24">
        <f t="shared" si="4"/>
        <v>0</v>
      </c>
      <c r="H305" s="26">
        <f t="shared" si="5"/>
        <v>0</v>
      </c>
      <c r="I305" s="24">
        <f t="shared" si="6"/>
        <v>0</v>
      </c>
      <c r="J305" s="24">
        <f t="shared" si="7"/>
        <v>0</v>
      </c>
      <c r="K305" s="24"/>
      <c r="L305" s="24">
        <f t="shared" si="8"/>
        <v>451.9058542</v>
      </c>
      <c r="M305" s="14">
        <f t="shared" si="9"/>
        <v>446.4104289</v>
      </c>
      <c r="N305" s="27">
        <f t="shared" si="10"/>
        <v>5.495425263</v>
      </c>
      <c r="O305" s="24"/>
      <c r="P305" s="24"/>
      <c r="Q305" s="24"/>
      <c r="R305" s="26"/>
      <c r="S305" s="14">
        <f t="shared" si="13"/>
        <v>5.046427767</v>
      </c>
      <c r="U305" s="21"/>
      <c r="V305" s="21"/>
    </row>
    <row r="306">
      <c r="A306" s="11">
        <v>294.0</v>
      </c>
      <c r="B306" s="11">
        <v>1.42067391304347E9</v>
      </c>
      <c r="C306" s="2">
        <v>-102.2730331</v>
      </c>
      <c r="D306" s="24">
        <f t="shared" si="1"/>
        <v>273913.0435</v>
      </c>
      <c r="E306" s="25">
        <f t="shared" si="2"/>
        <v>-58.77095246</v>
      </c>
      <c r="F306" s="24">
        <f t="shared" si="3"/>
        <v>0.0002145606201</v>
      </c>
      <c r="G306" s="24">
        <f t="shared" si="4"/>
        <v>0</v>
      </c>
      <c r="H306" s="26">
        <f t="shared" si="5"/>
        <v>0</v>
      </c>
      <c r="I306" s="24">
        <f t="shared" si="6"/>
        <v>0</v>
      </c>
      <c r="J306" s="24">
        <f t="shared" si="7"/>
        <v>0</v>
      </c>
      <c r="K306" s="24"/>
      <c r="L306" s="24">
        <f t="shared" si="8"/>
        <v>450.6121083</v>
      </c>
      <c r="M306" s="14">
        <f t="shared" si="9"/>
        <v>446.29471</v>
      </c>
      <c r="N306" s="27">
        <f t="shared" si="10"/>
        <v>4.317398336</v>
      </c>
      <c r="O306" s="24"/>
      <c r="P306" s="24"/>
      <c r="Q306" s="24"/>
      <c r="R306" s="26"/>
      <c r="S306" s="14">
        <f t="shared" si="13"/>
        <v>3.964650196</v>
      </c>
      <c r="U306" s="21"/>
      <c r="V306" s="21"/>
    </row>
    <row r="307">
      <c r="A307" s="11">
        <v>295.0</v>
      </c>
      <c r="B307" s="11">
        <v>1.42067826086956E9</v>
      </c>
      <c r="C307" s="2">
        <v>-102.2485352</v>
      </c>
      <c r="D307" s="24">
        <f t="shared" si="1"/>
        <v>278260.8696</v>
      </c>
      <c r="E307" s="25">
        <f t="shared" si="2"/>
        <v>-59.68924859</v>
      </c>
      <c r="F307" s="24">
        <f t="shared" si="3"/>
        <v>0.0002145082371</v>
      </c>
      <c r="G307" s="24">
        <f t="shared" si="4"/>
        <v>0</v>
      </c>
      <c r="H307" s="26">
        <f t="shared" si="5"/>
        <v>0</v>
      </c>
      <c r="I307" s="24">
        <f t="shared" si="6"/>
        <v>0</v>
      </c>
      <c r="J307" s="24">
        <f t="shared" si="7"/>
        <v>0</v>
      </c>
      <c r="K307" s="24"/>
      <c r="L307" s="24">
        <f t="shared" si="8"/>
        <v>453.1611261</v>
      </c>
      <c r="M307" s="14">
        <f t="shared" si="9"/>
        <v>446.178957</v>
      </c>
      <c r="N307" s="27">
        <f t="shared" si="10"/>
        <v>6.982169118</v>
      </c>
      <c r="O307" s="24"/>
      <c r="P307" s="24"/>
      <c r="Q307" s="24"/>
      <c r="R307" s="26"/>
      <c r="S307" s="14">
        <f t="shared" si="13"/>
        <v>6.411698885</v>
      </c>
      <c r="U307" s="21"/>
      <c r="V307" s="21"/>
    </row>
    <row r="308">
      <c r="A308" s="11">
        <v>296.0</v>
      </c>
      <c r="B308" s="11">
        <v>1.42068260869565E9</v>
      </c>
      <c r="C308" s="2">
        <v>-102.3110733</v>
      </c>
      <c r="D308" s="24">
        <f t="shared" si="1"/>
        <v>282608.6957</v>
      </c>
      <c r="E308" s="25">
        <f t="shared" si="2"/>
        <v>-60.60754472</v>
      </c>
      <c r="F308" s="24">
        <f t="shared" si="3"/>
        <v>0.0002144574659</v>
      </c>
      <c r="G308" s="24">
        <f t="shared" si="4"/>
        <v>0</v>
      </c>
      <c r="H308" s="26">
        <f t="shared" si="5"/>
        <v>0</v>
      </c>
      <c r="I308" s="24">
        <f t="shared" si="6"/>
        <v>0</v>
      </c>
      <c r="J308" s="24">
        <f t="shared" si="7"/>
        <v>0</v>
      </c>
      <c r="K308" s="24"/>
      <c r="L308" s="24">
        <f t="shared" si="8"/>
        <v>446.6823964</v>
      </c>
      <c r="M308" s="14">
        <f t="shared" si="9"/>
        <v>446.0631727</v>
      </c>
      <c r="N308" s="27">
        <f t="shared" si="10"/>
        <v>0.6192236831</v>
      </c>
      <c r="O308" s="24"/>
      <c r="P308" s="24"/>
      <c r="Q308" s="24"/>
      <c r="R308" s="26"/>
      <c r="S308" s="14">
        <f t="shared" si="13"/>
        <v>0.5686307135</v>
      </c>
      <c r="U308" s="21"/>
      <c r="V308" s="21"/>
    </row>
    <row r="309">
      <c r="A309" s="11">
        <v>297.0</v>
      </c>
      <c r="B309" s="11">
        <v>1.42068695652173E9</v>
      </c>
      <c r="C309" s="2">
        <v>-102.3098373</v>
      </c>
      <c r="D309" s="24">
        <f t="shared" si="1"/>
        <v>286956.5217</v>
      </c>
      <c r="E309" s="25">
        <f t="shared" si="2"/>
        <v>-61.52584085</v>
      </c>
      <c r="F309" s="24">
        <f t="shared" si="3"/>
        <v>0.0002144082333</v>
      </c>
      <c r="G309" s="24">
        <f t="shared" si="4"/>
        <v>0</v>
      </c>
      <c r="H309" s="26">
        <f t="shared" si="5"/>
        <v>0</v>
      </c>
      <c r="I309" s="24">
        <f t="shared" si="6"/>
        <v>0</v>
      </c>
      <c r="J309" s="24">
        <f t="shared" si="7"/>
        <v>0</v>
      </c>
      <c r="K309" s="24"/>
      <c r="L309" s="24">
        <f t="shared" si="8"/>
        <v>446.8095401</v>
      </c>
      <c r="M309" s="14">
        <f t="shared" si="9"/>
        <v>445.9473596</v>
      </c>
      <c r="N309" s="27">
        <f t="shared" si="10"/>
        <v>0.8621804714</v>
      </c>
      <c r="O309" s="24"/>
      <c r="P309" s="24"/>
      <c r="Q309" s="24"/>
      <c r="R309" s="26"/>
      <c r="S309" s="14">
        <f t="shared" si="13"/>
        <v>0.7917369926</v>
      </c>
      <c r="U309" s="21"/>
      <c r="V309" s="21"/>
    </row>
    <row r="310">
      <c r="A310" s="11">
        <v>298.0</v>
      </c>
      <c r="B310" s="11">
        <v>1.42069130434782E9</v>
      </c>
      <c r="C310" s="2">
        <v>-102.2103577</v>
      </c>
      <c r="D310" s="24">
        <f t="shared" si="1"/>
        <v>291304.3478</v>
      </c>
      <c r="E310" s="25">
        <f t="shared" si="2"/>
        <v>-62.44413698</v>
      </c>
      <c r="F310" s="24">
        <f t="shared" si="3"/>
        <v>0.0002143604703</v>
      </c>
      <c r="G310" s="24">
        <f t="shared" si="4"/>
        <v>0</v>
      </c>
      <c r="H310" s="26">
        <f t="shared" si="5"/>
        <v>0</v>
      </c>
      <c r="I310" s="24">
        <f t="shared" si="6"/>
        <v>0</v>
      </c>
      <c r="J310" s="24">
        <f t="shared" si="7"/>
        <v>0</v>
      </c>
      <c r="K310" s="24"/>
      <c r="L310" s="24">
        <f t="shared" si="8"/>
        <v>457.1622878</v>
      </c>
      <c r="M310" s="14">
        <f t="shared" si="9"/>
        <v>445.8315203</v>
      </c>
      <c r="N310" s="27">
        <f t="shared" si="10"/>
        <v>11.33076743</v>
      </c>
      <c r="O310" s="24"/>
      <c r="P310" s="24"/>
      <c r="Q310" s="24"/>
      <c r="R310" s="26"/>
      <c r="S310" s="14">
        <f t="shared" si="13"/>
        <v>10.40499991</v>
      </c>
      <c r="U310" s="21"/>
      <c r="V310" s="21"/>
    </row>
    <row r="311">
      <c r="A311" s="11">
        <v>299.0</v>
      </c>
      <c r="B311" s="11">
        <v>1.42069565217391E9</v>
      </c>
      <c r="C311" s="2">
        <v>-102.2503738</v>
      </c>
      <c r="D311" s="24">
        <f t="shared" si="1"/>
        <v>295652.1739</v>
      </c>
      <c r="E311" s="25">
        <f t="shared" si="2"/>
        <v>-63.36243312</v>
      </c>
      <c r="F311" s="24">
        <f t="shared" si="3"/>
        <v>0.000214314112</v>
      </c>
      <c r="G311" s="24">
        <f t="shared" si="4"/>
        <v>0</v>
      </c>
      <c r="H311" s="26">
        <f t="shared" si="5"/>
        <v>0</v>
      </c>
      <c r="I311" s="24">
        <f t="shared" si="6"/>
        <v>0</v>
      </c>
      <c r="J311" s="24">
        <f t="shared" si="7"/>
        <v>0</v>
      </c>
      <c r="K311" s="24"/>
      <c r="L311" s="24">
        <f t="shared" si="8"/>
        <v>452.9693195</v>
      </c>
      <c r="M311" s="14">
        <f t="shared" si="9"/>
        <v>445.7156576</v>
      </c>
      <c r="N311" s="27">
        <f t="shared" si="10"/>
        <v>7.253661894</v>
      </c>
      <c r="O311" s="24"/>
      <c r="P311" s="24"/>
      <c r="Q311" s="24"/>
      <c r="R311" s="26"/>
      <c r="S311" s="14">
        <f t="shared" si="13"/>
        <v>6.66100965</v>
      </c>
      <c r="U311" s="21"/>
      <c r="V311" s="21"/>
    </row>
    <row r="312">
      <c r="A312" s="11">
        <v>300.0</v>
      </c>
      <c r="B312" s="11">
        <v>1.4207E9</v>
      </c>
      <c r="C312" s="2">
        <v>-102.2932968</v>
      </c>
      <c r="D312" s="24">
        <f t="shared" si="1"/>
        <v>300000</v>
      </c>
      <c r="E312" s="25">
        <f t="shared" si="2"/>
        <v>-64.28072925</v>
      </c>
      <c r="F312" s="24">
        <f t="shared" si="3"/>
        <v>0.0002142690975</v>
      </c>
      <c r="G312" s="24">
        <f t="shared" si="4"/>
        <v>0</v>
      </c>
      <c r="H312" s="26">
        <f t="shared" si="5"/>
        <v>0</v>
      </c>
      <c r="I312" s="24">
        <f t="shared" si="6"/>
        <v>0</v>
      </c>
      <c r="J312" s="24">
        <f t="shared" si="7"/>
        <v>0</v>
      </c>
      <c r="K312" s="24"/>
      <c r="L312" s="24">
        <f t="shared" si="8"/>
        <v>448.5144995</v>
      </c>
      <c r="M312" s="14">
        <f t="shared" si="9"/>
        <v>445.599774</v>
      </c>
      <c r="N312" s="27">
        <f t="shared" si="10"/>
        <v>2.914725511</v>
      </c>
      <c r="O312" s="24"/>
      <c r="P312" s="24"/>
      <c r="Q312" s="24"/>
      <c r="R312" s="26"/>
      <c r="S312" s="14">
        <f t="shared" si="13"/>
        <v>2.676581165</v>
      </c>
      <c r="U312" s="21"/>
      <c r="V312" s="21"/>
    </row>
    <row r="313">
      <c r="A313" s="11">
        <v>301.0</v>
      </c>
      <c r="B313" s="11">
        <v>1.42070434782608E9</v>
      </c>
      <c r="C313" s="2">
        <v>-102.2284088</v>
      </c>
      <c r="D313" s="24">
        <f t="shared" si="1"/>
        <v>304347.8261</v>
      </c>
      <c r="E313" s="25">
        <f t="shared" si="2"/>
        <v>-65.19902538</v>
      </c>
      <c r="F313" s="24">
        <f t="shared" si="3"/>
        <v>0.0002142253691</v>
      </c>
      <c r="G313" s="24">
        <f t="shared" si="4"/>
        <v>0</v>
      </c>
      <c r="H313" s="26">
        <f t="shared" si="5"/>
        <v>0</v>
      </c>
      <c r="I313" s="24">
        <f t="shared" si="6"/>
        <v>0</v>
      </c>
      <c r="J313" s="24">
        <f t="shared" si="7"/>
        <v>0</v>
      </c>
      <c r="K313" s="24"/>
      <c r="L313" s="24">
        <f t="shared" si="8"/>
        <v>455.266073</v>
      </c>
      <c r="M313" s="14">
        <f t="shared" si="9"/>
        <v>445.4838721</v>
      </c>
      <c r="N313" s="27">
        <f t="shared" si="10"/>
        <v>9.782200961</v>
      </c>
      <c r="O313" s="24"/>
      <c r="P313" s="24"/>
      <c r="Q313" s="24"/>
      <c r="R313" s="26"/>
      <c r="S313" s="14">
        <f t="shared" si="13"/>
        <v>8.982957312</v>
      </c>
      <c r="U313" s="21"/>
      <c r="V313" s="21"/>
    </row>
    <row r="314">
      <c r="A314" s="11">
        <v>302.0</v>
      </c>
      <c r="B314" s="11">
        <v>1.42070869565217E9</v>
      </c>
      <c r="C314" s="2">
        <v>-102.2718353</v>
      </c>
      <c r="D314" s="24">
        <f t="shared" si="1"/>
        <v>308695.6522</v>
      </c>
      <c r="E314" s="25">
        <f t="shared" si="2"/>
        <v>-66.11732151</v>
      </c>
      <c r="F314" s="24">
        <f t="shared" si="3"/>
        <v>0.0002141828725</v>
      </c>
      <c r="G314" s="24">
        <f t="shared" si="4"/>
        <v>0</v>
      </c>
      <c r="H314" s="26">
        <f t="shared" si="5"/>
        <v>0</v>
      </c>
      <c r="I314" s="24">
        <f t="shared" si="6"/>
        <v>0</v>
      </c>
      <c r="J314" s="24">
        <f t="shared" si="7"/>
        <v>0</v>
      </c>
      <c r="K314" s="24"/>
      <c r="L314" s="24">
        <f t="shared" si="8"/>
        <v>450.7364059</v>
      </c>
      <c r="M314" s="14">
        <f t="shared" si="9"/>
        <v>445.3679546</v>
      </c>
      <c r="N314" s="27">
        <f t="shared" si="10"/>
        <v>5.368451339</v>
      </c>
      <c r="O314" s="24"/>
      <c r="P314" s="24"/>
      <c r="Q314" s="24"/>
      <c r="R314" s="26"/>
      <c r="S314" s="14">
        <f t="shared" si="13"/>
        <v>4.929828092</v>
      </c>
      <c r="U314" s="21"/>
      <c r="V314" s="21"/>
    </row>
    <row r="315">
      <c r="A315" s="11">
        <v>303.0</v>
      </c>
      <c r="B315" s="11">
        <v>1.42071304347826E9</v>
      </c>
      <c r="C315" s="2">
        <v>-102.2427902</v>
      </c>
      <c r="D315" s="24">
        <f t="shared" si="1"/>
        <v>313043.4783</v>
      </c>
      <c r="E315" s="25">
        <f t="shared" si="2"/>
        <v>-67.03561764</v>
      </c>
      <c r="F315" s="24">
        <f t="shared" si="3"/>
        <v>0.0002141415564</v>
      </c>
      <c r="G315" s="24">
        <f t="shared" si="4"/>
        <v>0</v>
      </c>
      <c r="H315" s="26">
        <f t="shared" si="5"/>
        <v>0</v>
      </c>
      <c r="I315" s="24">
        <f t="shared" si="6"/>
        <v>0</v>
      </c>
      <c r="J315" s="24">
        <f t="shared" si="7"/>
        <v>0</v>
      </c>
      <c r="K315" s="24"/>
      <c r="L315" s="24">
        <f t="shared" si="8"/>
        <v>453.7609803</v>
      </c>
      <c r="M315" s="14">
        <f t="shared" si="9"/>
        <v>445.2520241</v>
      </c>
      <c r="N315" s="27">
        <f t="shared" si="10"/>
        <v>8.508956213</v>
      </c>
      <c r="O315" s="24"/>
      <c r="P315" s="24"/>
      <c r="Q315" s="24"/>
      <c r="R315" s="26"/>
      <c r="S315" s="14">
        <f t="shared" si="13"/>
        <v>7.813741584</v>
      </c>
      <c r="U315" s="21"/>
      <c r="V315" s="21"/>
    </row>
    <row r="316">
      <c r="A316" s="11">
        <v>304.0</v>
      </c>
      <c r="B316" s="11">
        <v>1.42071739130434E9</v>
      </c>
      <c r="C316" s="2">
        <v>-102.2476959</v>
      </c>
      <c r="D316" s="24">
        <f t="shared" si="1"/>
        <v>317391.3043</v>
      </c>
      <c r="E316" s="25">
        <f t="shared" si="2"/>
        <v>-67.95391378</v>
      </c>
      <c r="F316" s="24">
        <f t="shared" si="3"/>
        <v>0.0002141013722</v>
      </c>
      <c r="G316" s="24">
        <f t="shared" si="4"/>
        <v>0</v>
      </c>
      <c r="H316" s="26">
        <f t="shared" si="5"/>
        <v>0</v>
      </c>
      <c r="I316" s="24">
        <f t="shared" si="6"/>
        <v>0</v>
      </c>
      <c r="J316" s="24">
        <f t="shared" si="7"/>
        <v>0</v>
      </c>
      <c r="K316" s="24"/>
      <c r="L316" s="24">
        <f t="shared" si="8"/>
        <v>453.2487107</v>
      </c>
      <c r="M316" s="14">
        <f t="shared" si="9"/>
        <v>445.1360832</v>
      </c>
      <c r="N316" s="27">
        <f t="shared" si="10"/>
        <v>8.112627525</v>
      </c>
      <c r="O316" s="24"/>
      <c r="P316" s="24"/>
      <c r="Q316" s="24"/>
      <c r="R316" s="26"/>
      <c r="S316" s="14">
        <f t="shared" si="13"/>
        <v>7.449794483</v>
      </c>
      <c r="U316" s="21"/>
      <c r="V316" s="21"/>
    </row>
    <row r="317">
      <c r="A317" s="11">
        <v>305.0</v>
      </c>
      <c r="B317" s="11">
        <v>1.42072173913043E9</v>
      </c>
      <c r="C317" s="2">
        <v>-102.3084946</v>
      </c>
      <c r="D317" s="24">
        <f t="shared" si="1"/>
        <v>321739.1304</v>
      </c>
      <c r="E317" s="25">
        <f t="shared" si="2"/>
        <v>-68.87220991</v>
      </c>
      <c r="F317" s="24">
        <f t="shared" si="3"/>
        <v>0.000214062274</v>
      </c>
      <c r="G317" s="24">
        <f t="shared" si="4"/>
        <v>0</v>
      </c>
      <c r="H317" s="26">
        <f t="shared" si="5"/>
        <v>0</v>
      </c>
      <c r="I317" s="24">
        <f t="shared" si="6"/>
        <v>0</v>
      </c>
      <c r="J317" s="24">
        <f t="shared" si="7"/>
        <v>0</v>
      </c>
      <c r="K317" s="24"/>
      <c r="L317" s="24">
        <f t="shared" si="8"/>
        <v>446.9477007</v>
      </c>
      <c r="M317" s="14">
        <f t="shared" si="9"/>
        <v>445.0201345</v>
      </c>
      <c r="N317" s="27">
        <f t="shared" si="10"/>
        <v>1.927566127</v>
      </c>
      <c r="O317" s="24"/>
      <c r="P317" s="24"/>
      <c r="Q317" s="24"/>
      <c r="R317" s="26"/>
      <c r="S317" s="14">
        <f t="shared" si="13"/>
        <v>1.770076516</v>
      </c>
      <c r="U317" s="21"/>
      <c r="V317" s="21"/>
    </row>
    <row r="318">
      <c r="A318" s="11">
        <v>306.0</v>
      </c>
      <c r="B318" s="11">
        <v>1.42072608695652E9</v>
      </c>
      <c r="C318" s="2">
        <v>-102.286972</v>
      </c>
      <c r="D318" s="24">
        <f t="shared" si="1"/>
        <v>326086.9565</v>
      </c>
      <c r="E318" s="25">
        <f t="shared" si="2"/>
        <v>-69.79050604</v>
      </c>
      <c r="F318" s="24">
        <f t="shared" si="3"/>
        <v>0.0002140242185</v>
      </c>
      <c r="G318" s="24">
        <f t="shared" si="4"/>
        <v>0</v>
      </c>
      <c r="H318" s="26">
        <f t="shared" si="5"/>
        <v>0</v>
      </c>
      <c r="I318" s="24">
        <f t="shared" si="6"/>
        <v>0</v>
      </c>
      <c r="J318" s="24">
        <f t="shared" si="7"/>
        <v>0</v>
      </c>
      <c r="K318" s="24"/>
      <c r="L318" s="24">
        <f t="shared" si="8"/>
        <v>449.1681645</v>
      </c>
      <c r="M318" s="14">
        <f t="shared" si="9"/>
        <v>444.9041808</v>
      </c>
      <c r="N318" s="27">
        <f t="shared" si="10"/>
        <v>4.263983712</v>
      </c>
      <c r="O318" s="24"/>
      <c r="P318" s="24"/>
      <c r="Q318" s="24"/>
      <c r="R318" s="26"/>
      <c r="S318" s="14">
        <f t="shared" si="13"/>
        <v>3.915599753</v>
      </c>
      <c r="U318" s="21"/>
      <c r="V318" s="21"/>
    </row>
    <row r="319">
      <c r="A319" s="11">
        <v>307.0</v>
      </c>
      <c r="B319" s="11">
        <v>1.4207304347826E9</v>
      </c>
      <c r="C319" s="2">
        <v>-102.2783203</v>
      </c>
      <c r="D319" s="24">
        <f t="shared" si="1"/>
        <v>330434.7826</v>
      </c>
      <c r="E319" s="25">
        <f t="shared" si="2"/>
        <v>-70.70880217</v>
      </c>
      <c r="F319" s="24">
        <f t="shared" si="3"/>
        <v>0.0002139871645</v>
      </c>
      <c r="G319" s="24">
        <f t="shared" si="4"/>
        <v>0</v>
      </c>
      <c r="H319" s="26">
        <f t="shared" si="5"/>
        <v>0</v>
      </c>
      <c r="I319" s="24">
        <f t="shared" si="6"/>
        <v>0</v>
      </c>
      <c r="J319" s="24">
        <f t="shared" si="7"/>
        <v>0</v>
      </c>
      <c r="K319" s="24"/>
      <c r="L319" s="24">
        <f t="shared" si="8"/>
        <v>450.0638566</v>
      </c>
      <c r="M319" s="14">
        <f t="shared" si="9"/>
        <v>444.7882246</v>
      </c>
      <c r="N319" s="27">
        <f t="shared" si="10"/>
        <v>5.275632092</v>
      </c>
      <c r="O319" s="24"/>
      <c r="P319" s="24"/>
      <c r="Q319" s="24"/>
      <c r="R319" s="26"/>
      <c r="S319" s="14">
        <f t="shared" si="13"/>
        <v>4.844592548</v>
      </c>
      <c r="U319" s="21"/>
      <c r="V319" s="21"/>
    </row>
    <row r="320">
      <c r="A320" s="11">
        <v>308.0</v>
      </c>
      <c r="B320" s="11">
        <v>1.42073478260869E9</v>
      </c>
      <c r="C320" s="2">
        <v>-102.2215958</v>
      </c>
      <c r="D320" s="24">
        <f t="shared" si="1"/>
        <v>334782.6087</v>
      </c>
      <c r="E320" s="25">
        <f t="shared" si="2"/>
        <v>-71.62709831</v>
      </c>
      <c r="F320" s="24">
        <f t="shared" si="3"/>
        <v>0.0002139510729</v>
      </c>
      <c r="G320" s="24">
        <f t="shared" si="4"/>
        <v>0</v>
      </c>
      <c r="H320" s="26">
        <f t="shared" si="5"/>
        <v>0</v>
      </c>
      <c r="I320" s="24">
        <f t="shared" si="6"/>
        <v>0</v>
      </c>
      <c r="J320" s="24">
        <f t="shared" si="7"/>
        <v>0</v>
      </c>
      <c r="K320" s="24"/>
      <c r="L320" s="24">
        <f t="shared" si="8"/>
        <v>455.9808327</v>
      </c>
      <c r="M320" s="14">
        <f t="shared" si="9"/>
        <v>444.6722685</v>
      </c>
      <c r="N320" s="27">
        <f t="shared" si="10"/>
        <v>11.30856429</v>
      </c>
      <c r="O320" s="24"/>
      <c r="P320" s="24"/>
      <c r="Q320" s="24"/>
      <c r="R320" s="26"/>
      <c r="S320" s="14">
        <f t="shared" si="13"/>
        <v>10.38461085</v>
      </c>
      <c r="U320" s="21"/>
      <c r="V320" s="21"/>
    </row>
    <row r="321">
      <c r="A321" s="11">
        <v>309.0</v>
      </c>
      <c r="B321" s="11">
        <v>1.42073913043478E9</v>
      </c>
      <c r="C321" s="2">
        <v>-102.255867</v>
      </c>
      <c r="D321" s="24">
        <f t="shared" si="1"/>
        <v>339130.4348</v>
      </c>
      <c r="E321" s="25">
        <f t="shared" si="2"/>
        <v>-72.54539444</v>
      </c>
      <c r="F321" s="24">
        <f t="shared" si="3"/>
        <v>0.0002139159067</v>
      </c>
      <c r="G321" s="24">
        <f t="shared" si="4"/>
        <v>0</v>
      </c>
      <c r="H321" s="26">
        <f t="shared" si="5"/>
        <v>0</v>
      </c>
      <c r="I321" s="24">
        <f t="shared" si="6"/>
        <v>0</v>
      </c>
      <c r="J321" s="24">
        <f t="shared" si="7"/>
        <v>0</v>
      </c>
      <c r="K321" s="24"/>
      <c r="L321" s="24">
        <f t="shared" si="8"/>
        <v>452.3967407</v>
      </c>
      <c r="M321" s="14">
        <f t="shared" si="9"/>
        <v>444.5563151</v>
      </c>
      <c r="N321" s="27">
        <f t="shared" si="10"/>
        <v>7.840425576</v>
      </c>
      <c r="O321" s="24"/>
      <c r="P321" s="24"/>
      <c r="Q321" s="24"/>
      <c r="R321" s="26"/>
      <c r="S321" s="14">
        <f t="shared" si="13"/>
        <v>7.199832469</v>
      </c>
      <c r="U321" s="21"/>
      <c r="V321" s="21"/>
    </row>
    <row r="322">
      <c r="A322" s="11">
        <v>310.0</v>
      </c>
      <c r="B322" s="11">
        <v>1.42074347826087E9</v>
      </c>
      <c r="C322" s="2">
        <v>-102.3253174</v>
      </c>
      <c r="D322" s="24">
        <f t="shared" si="1"/>
        <v>343478.2609</v>
      </c>
      <c r="E322" s="25">
        <f t="shared" si="2"/>
        <v>-73.46369057</v>
      </c>
      <c r="F322" s="24">
        <f t="shared" si="3"/>
        <v>0.0002138816308</v>
      </c>
      <c r="G322" s="24">
        <f t="shared" si="4"/>
        <v>0</v>
      </c>
      <c r="H322" s="26">
        <f t="shared" si="5"/>
        <v>0</v>
      </c>
      <c r="I322" s="24">
        <f t="shared" si="6"/>
        <v>0</v>
      </c>
      <c r="J322" s="24">
        <f t="shared" si="7"/>
        <v>0</v>
      </c>
      <c r="K322" s="24"/>
      <c r="L322" s="24">
        <f t="shared" si="8"/>
        <v>445.2197561</v>
      </c>
      <c r="M322" s="14">
        <f t="shared" si="9"/>
        <v>444.4403672</v>
      </c>
      <c r="N322" s="27">
        <f t="shared" si="10"/>
        <v>0.7793889062</v>
      </c>
      <c r="O322" s="24"/>
      <c r="P322" s="24"/>
      <c r="Q322" s="24"/>
      <c r="R322" s="26"/>
      <c r="S322" s="14">
        <f t="shared" si="13"/>
        <v>0.7157098185</v>
      </c>
      <c r="U322" s="21"/>
      <c r="V322" s="21"/>
    </row>
    <row r="323">
      <c r="A323" s="11">
        <v>311.0</v>
      </c>
      <c r="B323" s="11">
        <v>1.42074782608695E9</v>
      </c>
      <c r="C323" s="2">
        <v>-102.2705688</v>
      </c>
      <c r="D323" s="24">
        <f t="shared" si="1"/>
        <v>347826.087</v>
      </c>
      <c r="E323" s="25">
        <f t="shared" si="2"/>
        <v>-74.3819867</v>
      </c>
      <c r="F323" s="24">
        <f t="shared" si="3"/>
        <v>0.0002138482118</v>
      </c>
      <c r="G323" s="24">
        <f t="shared" si="4"/>
        <v>0</v>
      </c>
      <c r="H323" s="26">
        <f t="shared" si="5"/>
        <v>0</v>
      </c>
      <c r="I323" s="24">
        <f t="shared" si="6"/>
        <v>0</v>
      </c>
      <c r="J323" s="24">
        <f t="shared" si="7"/>
        <v>0</v>
      </c>
      <c r="K323" s="24"/>
      <c r="L323" s="24">
        <f t="shared" si="8"/>
        <v>450.8678699</v>
      </c>
      <c r="M323" s="14">
        <f t="shared" si="9"/>
        <v>444.3244273</v>
      </c>
      <c r="N323" s="27">
        <f t="shared" si="10"/>
        <v>6.543442648</v>
      </c>
      <c r="O323" s="24"/>
      <c r="P323" s="24"/>
      <c r="Q323" s="24"/>
      <c r="R323" s="26"/>
      <c r="S323" s="14">
        <f t="shared" si="13"/>
        <v>6.008818079</v>
      </c>
      <c r="U323" s="21"/>
      <c r="V323" s="21"/>
    </row>
    <row r="324">
      <c r="A324" s="11">
        <v>312.0</v>
      </c>
      <c r="B324" s="11">
        <v>1.42075217391304E9</v>
      </c>
      <c r="C324" s="2">
        <v>-102.326088</v>
      </c>
      <c r="D324" s="24">
        <f t="shared" si="1"/>
        <v>352173.913</v>
      </c>
      <c r="E324" s="25">
        <f t="shared" si="2"/>
        <v>-75.30028284</v>
      </c>
      <c r="F324" s="24">
        <f t="shared" si="3"/>
        <v>0.0002138156179</v>
      </c>
      <c r="G324" s="24">
        <f t="shared" si="4"/>
        <v>0</v>
      </c>
      <c r="H324" s="26">
        <f t="shared" si="5"/>
        <v>0</v>
      </c>
      <c r="I324" s="24">
        <f t="shared" si="6"/>
        <v>0</v>
      </c>
      <c r="J324" s="24">
        <f t="shared" si="7"/>
        <v>0</v>
      </c>
      <c r="K324" s="24"/>
      <c r="L324" s="24">
        <f t="shared" si="8"/>
        <v>445.1407645</v>
      </c>
      <c r="M324" s="14">
        <f t="shared" si="9"/>
        <v>444.208498</v>
      </c>
      <c r="N324" s="27">
        <f t="shared" si="10"/>
        <v>0.9322665624</v>
      </c>
      <c r="O324" s="24"/>
      <c r="P324" s="24"/>
      <c r="Q324" s="24"/>
      <c r="R324" s="26"/>
      <c r="S324" s="14">
        <f t="shared" si="13"/>
        <v>0.856096777</v>
      </c>
      <c r="U324" s="21"/>
      <c r="V324" s="21"/>
    </row>
    <row r="325">
      <c r="A325" s="11">
        <v>313.0</v>
      </c>
      <c r="B325" s="11">
        <v>1.42075652173913E9</v>
      </c>
      <c r="C325" s="2">
        <v>-102.2751694</v>
      </c>
      <c r="D325" s="24">
        <f t="shared" si="1"/>
        <v>356521.7391</v>
      </c>
      <c r="E325" s="25">
        <f t="shared" si="2"/>
        <v>-76.21857897</v>
      </c>
      <c r="F325" s="24">
        <f t="shared" si="3"/>
        <v>0.0002137838191</v>
      </c>
      <c r="G325" s="24">
        <f t="shared" si="4"/>
        <v>0</v>
      </c>
      <c r="H325" s="26">
        <f t="shared" si="5"/>
        <v>0</v>
      </c>
      <c r="I325" s="24">
        <f t="shared" si="6"/>
        <v>0</v>
      </c>
      <c r="J325" s="24">
        <f t="shared" si="7"/>
        <v>0</v>
      </c>
      <c r="K325" s="24"/>
      <c r="L325" s="24">
        <f t="shared" si="8"/>
        <v>450.3905061</v>
      </c>
      <c r="M325" s="14">
        <f t="shared" si="9"/>
        <v>444.092582</v>
      </c>
      <c r="N325" s="27">
        <f t="shared" si="10"/>
        <v>6.297924169</v>
      </c>
      <c r="O325" s="24"/>
      <c r="P325" s="24"/>
      <c r="Q325" s="24"/>
      <c r="R325" s="26"/>
      <c r="S325" s="14">
        <f t="shared" si="13"/>
        <v>5.783359409</v>
      </c>
      <c r="U325" s="21"/>
      <c r="V325" s="21"/>
    </row>
    <row r="326">
      <c r="A326" s="11">
        <v>314.0</v>
      </c>
      <c r="B326" s="11">
        <v>1.42076086956521E9</v>
      </c>
      <c r="C326" s="2">
        <v>-102.3237686</v>
      </c>
      <c r="D326" s="24">
        <f t="shared" si="1"/>
        <v>360869.5652</v>
      </c>
      <c r="E326" s="25">
        <f t="shared" si="2"/>
        <v>-77.1368751</v>
      </c>
      <c r="F326" s="24">
        <f t="shared" si="3"/>
        <v>0.0002137527864</v>
      </c>
      <c r="G326" s="24">
        <f t="shared" si="4"/>
        <v>0</v>
      </c>
      <c r="H326" s="26">
        <f t="shared" si="5"/>
        <v>0</v>
      </c>
      <c r="I326" s="24">
        <f t="shared" si="6"/>
        <v>0</v>
      </c>
      <c r="J326" s="24">
        <f t="shared" si="7"/>
        <v>0</v>
      </c>
      <c r="K326" s="24"/>
      <c r="L326" s="24">
        <f t="shared" si="8"/>
        <v>445.3785606</v>
      </c>
      <c r="M326" s="14">
        <f t="shared" si="9"/>
        <v>443.9766819</v>
      </c>
      <c r="N326" s="27">
        <f t="shared" si="10"/>
        <v>1.401878738</v>
      </c>
      <c r="O326" s="24"/>
      <c r="P326" s="24"/>
      <c r="Q326" s="24"/>
      <c r="R326" s="26"/>
      <c r="S326" s="14">
        <f t="shared" si="13"/>
        <v>1.287339824</v>
      </c>
      <c r="U326" s="21"/>
      <c r="V326" s="21"/>
    </row>
    <row r="327">
      <c r="A327" s="11">
        <v>315.0</v>
      </c>
      <c r="B327" s="11">
        <v>1.4207652173913E9</v>
      </c>
      <c r="C327" s="2">
        <v>-102.3375778</v>
      </c>
      <c r="D327" s="24">
        <f t="shared" si="1"/>
        <v>365217.3913</v>
      </c>
      <c r="E327" s="25">
        <f t="shared" si="2"/>
        <v>-78.05517123</v>
      </c>
      <c r="F327" s="24">
        <f t="shared" si="3"/>
        <v>0.0002137224927</v>
      </c>
      <c r="G327" s="24">
        <f t="shared" si="4"/>
        <v>0</v>
      </c>
      <c r="H327" s="26">
        <f t="shared" si="5"/>
        <v>0</v>
      </c>
      <c r="I327" s="24">
        <f t="shared" si="6"/>
        <v>0</v>
      </c>
      <c r="J327" s="24">
        <f t="shared" si="7"/>
        <v>0</v>
      </c>
      <c r="K327" s="24"/>
      <c r="L327" s="24">
        <f t="shared" si="8"/>
        <v>443.9646458</v>
      </c>
      <c r="M327" s="14">
        <f t="shared" si="9"/>
        <v>443.8608003</v>
      </c>
      <c r="N327" s="27">
        <f t="shared" si="10"/>
        <v>0.1038455132</v>
      </c>
      <c r="O327" s="24"/>
      <c r="P327" s="24"/>
      <c r="Q327" s="24"/>
      <c r="R327" s="26"/>
      <c r="S327" s="14">
        <f t="shared" si="13"/>
        <v>0.09536093294</v>
      </c>
      <c r="U327" s="21"/>
      <c r="V327" s="21"/>
    </row>
    <row r="328">
      <c r="A328" s="11">
        <v>316.0</v>
      </c>
      <c r="B328" s="11">
        <v>1.42076956521739E9</v>
      </c>
      <c r="C328" s="2">
        <v>-102.311821</v>
      </c>
      <c r="D328" s="24">
        <f t="shared" si="1"/>
        <v>369565.2174</v>
      </c>
      <c r="E328" s="25">
        <f t="shared" si="2"/>
        <v>-78.97346736</v>
      </c>
      <c r="F328" s="24">
        <f t="shared" si="3"/>
        <v>0.0002136929117</v>
      </c>
      <c r="G328" s="24">
        <f t="shared" si="4"/>
        <v>0</v>
      </c>
      <c r="H328" s="26">
        <f t="shared" si="5"/>
        <v>0</v>
      </c>
      <c r="I328" s="24">
        <f t="shared" si="6"/>
        <v>0</v>
      </c>
      <c r="J328" s="24">
        <f t="shared" si="7"/>
        <v>0</v>
      </c>
      <c r="K328" s="24"/>
      <c r="L328" s="24">
        <f t="shared" si="8"/>
        <v>446.6055002</v>
      </c>
      <c r="M328" s="14">
        <f t="shared" si="9"/>
        <v>443.7449399</v>
      </c>
      <c r="N328" s="27">
        <f t="shared" si="10"/>
        <v>2.860560329</v>
      </c>
      <c r="O328" s="24"/>
      <c r="P328" s="24"/>
      <c r="Q328" s="24"/>
      <c r="R328" s="26"/>
      <c r="S328" s="14">
        <f t="shared" si="13"/>
        <v>2.626841488</v>
      </c>
      <c r="U328" s="21"/>
      <c r="V328" s="21"/>
    </row>
    <row r="329">
      <c r="A329" s="11">
        <v>317.0</v>
      </c>
      <c r="B329" s="11">
        <v>1.42077391304347E9</v>
      </c>
      <c r="C329" s="2">
        <v>-102.2644882</v>
      </c>
      <c r="D329" s="24">
        <f t="shared" si="1"/>
        <v>373913.0435</v>
      </c>
      <c r="E329" s="25">
        <f t="shared" si="2"/>
        <v>-79.89176349</v>
      </c>
      <c r="F329" s="24">
        <f t="shared" si="3"/>
        <v>0.0002136640187</v>
      </c>
      <c r="G329" s="24">
        <f t="shared" si="4"/>
        <v>0</v>
      </c>
      <c r="H329" s="26">
        <f t="shared" si="5"/>
        <v>0</v>
      </c>
      <c r="I329" s="24">
        <f t="shared" si="6"/>
        <v>0</v>
      </c>
      <c r="J329" s="24">
        <f t="shared" si="7"/>
        <v>0</v>
      </c>
      <c r="K329" s="24"/>
      <c r="L329" s="24">
        <f t="shared" si="8"/>
        <v>451.4995766</v>
      </c>
      <c r="M329" s="14">
        <f t="shared" si="9"/>
        <v>443.6291033</v>
      </c>
      <c r="N329" s="27">
        <f t="shared" si="10"/>
        <v>7.870473324</v>
      </c>
      <c r="O329" s="24"/>
      <c r="P329" s="24"/>
      <c r="Q329" s="24"/>
      <c r="R329" s="26"/>
      <c r="S329" s="14">
        <f t="shared" si="13"/>
        <v>7.227425216</v>
      </c>
      <c r="U329" s="21"/>
      <c r="V329" s="21"/>
    </row>
    <row r="330">
      <c r="A330" s="11">
        <v>318.0</v>
      </c>
      <c r="B330" s="11">
        <v>1.42077826086956E9</v>
      </c>
      <c r="C330" s="2">
        <v>-102.2459335</v>
      </c>
      <c r="D330" s="24">
        <f t="shared" si="1"/>
        <v>378260.8696</v>
      </c>
      <c r="E330" s="25">
        <f t="shared" si="2"/>
        <v>-80.81005963</v>
      </c>
      <c r="F330" s="24">
        <f t="shared" si="3"/>
        <v>0.0002136357898</v>
      </c>
      <c r="G330" s="24">
        <f t="shared" si="4"/>
        <v>0</v>
      </c>
      <c r="H330" s="26">
        <f t="shared" si="5"/>
        <v>0</v>
      </c>
      <c r="I330" s="24">
        <f t="shared" si="6"/>
        <v>0</v>
      </c>
      <c r="J330" s="24">
        <f t="shared" si="7"/>
        <v>0</v>
      </c>
      <c r="K330" s="24"/>
      <c r="L330" s="24">
        <f t="shared" si="8"/>
        <v>453.4326798</v>
      </c>
      <c r="M330" s="14">
        <f t="shared" si="9"/>
        <v>443.5132931</v>
      </c>
      <c r="N330" s="27">
        <f t="shared" si="10"/>
        <v>9.919386733</v>
      </c>
      <c r="O330" s="24"/>
      <c r="P330" s="24"/>
      <c r="Q330" s="24"/>
      <c r="R330" s="26"/>
      <c r="S330" s="14">
        <f t="shared" si="13"/>
        <v>9.108934456</v>
      </c>
      <c r="U330" s="21"/>
      <c r="V330" s="21"/>
    </row>
    <row r="331">
      <c r="A331" s="11">
        <v>319.0</v>
      </c>
      <c r="B331" s="11">
        <v>1.42078260869565E9</v>
      </c>
      <c r="C331" s="2">
        <v>-102.2461166</v>
      </c>
      <c r="D331" s="24">
        <f t="shared" si="1"/>
        <v>382608.6957</v>
      </c>
      <c r="E331" s="25">
        <f t="shared" si="2"/>
        <v>-81.72835576</v>
      </c>
      <c r="F331" s="24">
        <f t="shared" si="3"/>
        <v>0.0002136082026</v>
      </c>
      <c r="G331" s="24">
        <f t="shared" si="4"/>
        <v>0</v>
      </c>
      <c r="H331" s="26">
        <f t="shared" si="5"/>
        <v>0</v>
      </c>
      <c r="I331" s="24">
        <f t="shared" si="6"/>
        <v>0</v>
      </c>
      <c r="J331" s="24">
        <f t="shared" si="7"/>
        <v>0</v>
      </c>
      <c r="K331" s="24"/>
      <c r="L331" s="24">
        <f t="shared" si="8"/>
        <v>453.4135633</v>
      </c>
      <c r="M331" s="14">
        <f t="shared" si="9"/>
        <v>443.3975119</v>
      </c>
      <c r="N331" s="27">
        <f t="shared" si="10"/>
        <v>10.01605144</v>
      </c>
      <c r="O331" s="24"/>
      <c r="P331" s="24"/>
      <c r="Q331" s="24"/>
      <c r="R331" s="26"/>
      <c r="S331" s="14">
        <f t="shared" si="13"/>
        <v>9.197701304</v>
      </c>
      <c r="U331" s="21"/>
      <c r="V331" s="21"/>
    </row>
    <row r="332">
      <c r="A332" s="11">
        <v>320.0</v>
      </c>
      <c r="B332" s="11">
        <v>1.42078695652173E9</v>
      </c>
      <c r="C332" s="2">
        <v>-102.3494949</v>
      </c>
      <c r="D332" s="24">
        <f t="shared" si="1"/>
        <v>386956.5217</v>
      </c>
      <c r="E332" s="25">
        <f t="shared" si="2"/>
        <v>-82.64665189</v>
      </c>
      <c r="F332" s="24">
        <f t="shared" si="3"/>
        <v>0.0002135812352</v>
      </c>
      <c r="G332" s="24">
        <f t="shared" si="4"/>
        <v>0</v>
      </c>
      <c r="H332" s="26">
        <f t="shared" si="5"/>
        <v>0</v>
      </c>
      <c r="I332" s="24">
        <f t="shared" si="6"/>
        <v>0</v>
      </c>
      <c r="J332" s="24">
        <f t="shared" si="7"/>
        <v>0</v>
      </c>
      <c r="K332" s="24"/>
      <c r="L332" s="24">
        <f t="shared" si="8"/>
        <v>442.7480707</v>
      </c>
      <c r="M332" s="14">
        <f t="shared" si="9"/>
        <v>443.2817624</v>
      </c>
      <c r="N332" s="27">
        <f t="shared" si="10"/>
        <v>-0.5336916923</v>
      </c>
      <c r="O332" s="24"/>
      <c r="P332" s="24"/>
      <c r="Q332" s="24"/>
      <c r="R332" s="26"/>
      <c r="S332" s="14">
        <f t="shared" si="13"/>
        <v>-0.4900870171</v>
      </c>
      <c r="U332" s="21"/>
      <c r="V332" s="21"/>
    </row>
    <row r="333">
      <c r="A333" s="11">
        <v>321.0</v>
      </c>
      <c r="B333" s="11">
        <v>1.42079130434782E9</v>
      </c>
      <c r="C333" s="2">
        <v>-102.2816086</v>
      </c>
      <c r="D333" s="24">
        <f t="shared" si="1"/>
        <v>391304.3478</v>
      </c>
      <c r="E333" s="25">
        <f t="shared" si="2"/>
        <v>-83.56494802</v>
      </c>
      <c r="F333" s="24">
        <f t="shared" si="3"/>
        <v>0.0002135548672</v>
      </c>
      <c r="G333" s="24">
        <f t="shared" si="4"/>
        <v>0</v>
      </c>
      <c r="H333" s="26">
        <f t="shared" si="5"/>
        <v>0</v>
      </c>
      <c r="I333" s="24">
        <f t="shared" si="6"/>
        <v>0</v>
      </c>
      <c r="J333" s="24">
        <f t="shared" si="7"/>
        <v>0</v>
      </c>
      <c r="K333" s="24"/>
      <c r="L333" s="24">
        <f t="shared" si="8"/>
        <v>449.7232157</v>
      </c>
      <c r="M333" s="14">
        <f t="shared" si="9"/>
        <v>443.1660472</v>
      </c>
      <c r="N333" s="27">
        <f t="shared" si="10"/>
        <v>6.557168546</v>
      </c>
      <c r="O333" s="24"/>
      <c r="P333" s="24"/>
      <c r="Q333" s="24"/>
      <c r="R333" s="26"/>
      <c r="S333" s="14">
        <f t="shared" si="13"/>
        <v>6.021422518</v>
      </c>
      <c r="U333" s="21"/>
      <c r="V333" s="21"/>
    </row>
    <row r="334">
      <c r="A334" s="11">
        <v>322.0</v>
      </c>
      <c r="B334" s="11">
        <v>1.42079565217391E9</v>
      </c>
      <c r="C334" s="2">
        <v>-102.2743454</v>
      </c>
      <c r="D334" s="24">
        <f t="shared" si="1"/>
        <v>395652.1739</v>
      </c>
      <c r="E334" s="25">
        <f t="shared" si="2"/>
        <v>-84.48324416</v>
      </c>
      <c r="F334" s="24">
        <f t="shared" si="3"/>
        <v>0.0002135290786</v>
      </c>
      <c r="G334" s="24">
        <f t="shared" si="4"/>
        <v>0</v>
      </c>
      <c r="H334" s="26">
        <f t="shared" si="5"/>
        <v>0</v>
      </c>
      <c r="I334" s="24">
        <f t="shared" si="6"/>
        <v>0</v>
      </c>
      <c r="J334" s="24">
        <f t="shared" si="7"/>
        <v>0</v>
      </c>
      <c r="K334" s="24"/>
      <c r="L334" s="24">
        <f t="shared" si="8"/>
        <v>450.4759682</v>
      </c>
      <c r="M334" s="14">
        <f t="shared" si="9"/>
        <v>443.0503689</v>
      </c>
      <c r="N334" s="27">
        <f t="shared" si="10"/>
        <v>7.425599347</v>
      </c>
      <c r="O334" s="24"/>
      <c r="P334" s="24"/>
      <c r="Q334" s="24"/>
      <c r="R334" s="26"/>
      <c r="S334" s="14">
        <f t="shared" si="13"/>
        <v>6.818899148</v>
      </c>
      <c r="U334" s="21"/>
      <c r="V334" s="21"/>
    </row>
    <row r="335">
      <c r="A335" s="11">
        <v>323.0</v>
      </c>
      <c r="B335" s="11">
        <v>1.4208E9</v>
      </c>
      <c r="C335" s="2">
        <v>-102.3179092</v>
      </c>
      <c r="D335" s="24">
        <f t="shared" si="1"/>
        <v>400000</v>
      </c>
      <c r="E335" s="25">
        <f t="shared" si="2"/>
        <v>-85.40154029</v>
      </c>
      <c r="F335" s="24">
        <f t="shared" si="3"/>
        <v>0.0002135038507</v>
      </c>
      <c r="G335" s="24">
        <f t="shared" si="4"/>
        <v>0</v>
      </c>
      <c r="H335" s="26">
        <f t="shared" si="5"/>
        <v>0</v>
      </c>
      <c r="I335" s="24">
        <f t="shared" si="6"/>
        <v>0</v>
      </c>
      <c r="J335" s="24">
        <f t="shared" si="7"/>
        <v>0</v>
      </c>
      <c r="K335" s="24"/>
      <c r="L335" s="24">
        <f t="shared" si="8"/>
        <v>445.9798605</v>
      </c>
      <c r="M335" s="14">
        <f t="shared" si="9"/>
        <v>442.9347301</v>
      </c>
      <c r="N335" s="27">
        <f t="shared" si="10"/>
        <v>3.045130427</v>
      </c>
      <c r="O335" s="24"/>
      <c r="P335" s="24"/>
      <c r="Q335" s="24"/>
      <c r="R335" s="26"/>
      <c r="S335" s="14">
        <f t="shared" si="13"/>
        <v>2.796331495</v>
      </c>
      <c r="U335" s="21"/>
      <c r="V335" s="21"/>
    </row>
    <row r="336">
      <c r="A336" s="11">
        <v>324.0</v>
      </c>
      <c r="B336" s="11">
        <v>1.42080434782608E9</v>
      </c>
      <c r="C336" s="2">
        <v>-102.3599777</v>
      </c>
      <c r="D336" s="24">
        <f t="shared" si="1"/>
        <v>404347.8261</v>
      </c>
      <c r="E336" s="25">
        <f t="shared" si="2"/>
        <v>-86.31983642</v>
      </c>
      <c r="F336" s="24">
        <f t="shared" si="3"/>
        <v>0.0002134791653</v>
      </c>
      <c r="G336" s="24">
        <f t="shared" si="4"/>
        <v>0</v>
      </c>
      <c r="H336" s="26">
        <f t="shared" si="5"/>
        <v>0</v>
      </c>
      <c r="I336" s="24">
        <f t="shared" si="6"/>
        <v>0</v>
      </c>
      <c r="J336" s="24">
        <f t="shared" si="7"/>
        <v>0</v>
      </c>
      <c r="K336" s="24"/>
      <c r="L336" s="24">
        <f t="shared" si="8"/>
        <v>441.6806745</v>
      </c>
      <c r="M336" s="14">
        <f t="shared" si="9"/>
        <v>442.8191335</v>
      </c>
      <c r="N336" s="27">
        <f t="shared" si="10"/>
        <v>-1.138459015</v>
      </c>
      <c r="O336" s="24"/>
      <c r="P336" s="24"/>
      <c r="Q336" s="24"/>
      <c r="R336" s="26"/>
      <c r="S336" s="14">
        <f t="shared" si="13"/>
        <v>-1.045442511</v>
      </c>
      <c r="U336" s="21"/>
      <c r="V336" s="21"/>
    </row>
    <row r="337">
      <c r="A337" s="11">
        <v>325.0</v>
      </c>
      <c r="B337" s="11">
        <v>1.42080869565217E9</v>
      </c>
      <c r="C337" s="2">
        <v>-102.32724</v>
      </c>
      <c r="D337" s="24">
        <f t="shared" si="1"/>
        <v>408695.6522</v>
      </c>
      <c r="E337" s="25">
        <f t="shared" si="2"/>
        <v>-87.23813255</v>
      </c>
      <c r="F337" s="24">
        <f t="shared" si="3"/>
        <v>0.0002134550052</v>
      </c>
      <c r="G337" s="24">
        <f t="shared" si="4"/>
        <v>0</v>
      </c>
      <c r="H337" s="26">
        <f t="shared" si="5"/>
        <v>0</v>
      </c>
      <c r="I337" s="24">
        <f t="shared" si="6"/>
        <v>0</v>
      </c>
      <c r="J337" s="24">
        <f t="shared" si="7"/>
        <v>0</v>
      </c>
      <c r="K337" s="24"/>
      <c r="L337" s="24">
        <f t="shared" si="8"/>
        <v>445.0227031</v>
      </c>
      <c r="M337" s="14">
        <f t="shared" si="9"/>
        <v>442.7035818</v>
      </c>
      <c r="N337" s="27">
        <f t="shared" si="10"/>
        <v>2.319121365</v>
      </c>
      <c r="O337" s="24"/>
      <c r="P337" s="24"/>
      <c r="Q337" s="24"/>
      <c r="R337" s="26"/>
      <c r="S337" s="14">
        <f t="shared" si="13"/>
        <v>2.129640176</v>
      </c>
      <c r="U337" s="21"/>
      <c r="V337" s="21"/>
    </row>
    <row r="338">
      <c r="A338" s="11">
        <v>326.0</v>
      </c>
      <c r="B338" s="11">
        <v>1.42081304347826E9</v>
      </c>
      <c r="C338" s="2">
        <v>-102.2837677</v>
      </c>
      <c r="D338" s="24">
        <f t="shared" si="1"/>
        <v>413043.4783</v>
      </c>
      <c r="E338" s="25">
        <f t="shared" si="2"/>
        <v>-88.15642868</v>
      </c>
      <c r="F338" s="24">
        <f t="shared" si="3"/>
        <v>0.0002134313537</v>
      </c>
      <c r="G338" s="24">
        <f t="shared" si="4"/>
        <v>0</v>
      </c>
      <c r="H338" s="26">
        <f t="shared" si="5"/>
        <v>0</v>
      </c>
      <c r="I338" s="24">
        <f t="shared" si="6"/>
        <v>0</v>
      </c>
      <c r="J338" s="24">
        <f t="shared" si="7"/>
        <v>0</v>
      </c>
      <c r="K338" s="24"/>
      <c r="L338" s="24">
        <f t="shared" si="8"/>
        <v>449.4996909</v>
      </c>
      <c r="M338" s="14">
        <f t="shared" si="9"/>
        <v>442.5880774</v>
      </c>
      <c r="N338" s="27">
        <f t="shared" si="10"/>
        <v>6.91161341</v>
      </c>
      <c r="O338" s="24"/>
      <c r="P338" s="24"/>
      <c r="Q338" s="24"/>
      <c r="R338" s="26"/>
      <c r="S338" s="14">
        <f t="shared" si="13"/>
        <v>6.346907866</v>
      </c>
      <c r="U338" s="21"/>
      <c r="V338" s="21"/>
    </row>
    <row r="339">
      <c r="A339" s="11">
        <v>327.0</v>
      </c>
      <c r="B339" s="11">
        <v>1.42081739130434E9</v>
      </c>
      <c r="C339" s="2">
        <v>-102.3354645</v>
      </c>
      <c r="D339" s="24">
        <f t="shared" si="1"/>
        <v>417391.3043</v>
      </c>
      <c r="E339" s="25">
        <f t="shared" si="2"/>
        <v>-89.07472482</v>
      </c>
      <c r="F339" s="24">
        <f t="shared" si="3"/>
        <v>0.0002134081949</v>
      </c>
      <c r="G339" s="24">
        <f t="shared" si="4"/>
        <v>0</v>
      </c>
      <c r="H339" s="26">
        <f t="shared" si="5"/>
        <v>0</v>
      </c>
      <c r="I339" s="24">
        <f t="shared" si="6"/>
        <v>0</v>
      </c>
      <c r="J339" s="24">
        <f t="shared" si="7"/>
        <v>0</v>
      </c>
      <c r="K339" s="24"/>
      <c r="L339" s="24">
        <f t="shared" si="8"/>
        <v>444.1807339</v>
      </c>
      <c r="M339" s="14">
        <f t="shared" si="9"/>
        <v>442.4726232</v>
      </c>
      <c r="N339" s="27">
        <f t="shared" si="10"/>
        <v>1.708110782</v>
      </c>
      <c r="O339" s="24"/>
      <c r="P339" s="24"/>
      <c r="Q339" s="24"/>
      <c r="R339" s="26"/>
      <c r="S339" s="14">
        <f t="shared" si="13"/>
        <v>1.568551526</v>
      </c>
      <c r="U339" s="21"/>
      <c r="V339" s="21"/>
    </row>
    <row r="340">
      <c r="A340" s="11">
        <v>328.0</v>
      </c>
      <c r="B340" s="11">
        <v>1.42082173913043E9</v>
      </c>
      <c r="C340" s="2">
        <v>-102.326355</v>
      </c>
      <c r="D340" s="24">
        <f t="shared" si="1"/>
        <v>421739.1304</v>
      </c>
      <c r="E340" s="25">
        <f t="shared" si="2"/>
        <v>-89.99302095</v>
      </c>
      <c r="F340" s="24">
        <f t="shared" si="3"/>
        <v>0.0002133855136</v>
      </c>
      <c r="G340" s="24">
        <f t="shared" si="4"/>
        <v>0</v>
      </c>
      <c r="H340" s="26">
        <f t="shared" si="5"/>
        <v>0</v>
      </c>
      <c r="I340" s="24">
        <f t="shared" si="6"/>
        <v>0</v>
      </c>
      <c r="J340" s="24">
        <f t="shared" si="7"/>
        <v>0</v>
      </c>
      <c r="K340" s="24"/>
      <c r="L340" s="24">
        <f t="shared" si="8"/>
        <v>445.1133986</v>
      </c>
      <c r="M340" s="14">
        <f t="shared" si="9"/>
        <v>442.3572216</v>
      </c>
      <c r="N340" s="27">
        <f t="shared" si="10"/>
        <v>2.756176988</v>
      </c>
      <c r="O340" s="24"/>
      <c r="P340" s="24"/>
      <c r="Q340" s="24"/>
      <c r="R340" s="26"/>
      <c r="S340" s="14">
        <f t="shared" si="13"/>
        <v>2.530986664</v>
      </c>
      <c r="U340" s="21"/>
      <c r="V340" s="21"/>
    </row>
    <row r="341">
      <c r="A341" s="11">
        <v>329.0</v>
      </c>
      <c r="B341" s="11">
        <v>1.42082608695652E9</v>
      </c>
      <c r="C341" s="2">
        <v>-102.2987061</v>
      </c>
      <c r="D341" s="24">
        <f t="shared" si="1"/>
        <v>426086.9565</v>
      </c>
      <c r="E341" s="25">
        <f t="shared" si="2"/>
        <v>-90.91131708</v>
      </c>
      <c r="F341" s="24">
        <f t="shared" si="3"/>
        <v>0.0002133632952</v>
      </c>
      <c r="G341" s="24">
        <f t="shared" si="4"/>
        <v>0</v>
      </c>
      <c r="H341" s="26">
        <f t="shared" si="5"/>
        <v>0</v>
      </c>
      <c r="I341" s="24">
        <f t="shared" si="6"/>
        <v>0</v>
      </c>
      <c r="J341" s="24">
        <f t="shared" si="7"/>
        <v>0</v>
      </c>
      <c r="K341" s="24"/>
      <c r="L341" s="24">
        <f t="shared" si="8"/>
        <v>447.9562057</v>
      </c>
      <c r="M341" s="14">
        <f t="shared" si="9"/>
        <v>442.2418753</v>
      </c>
      <c r="N341" s="27">
        <f t="shared" si="10"/>
        <v>5.714330369</v>
      </c>
      <c r="O341" s="24"/>
      <c r="P341" s="24"/>
      <c r="Q341" s="24"/>
      <c r="R341" s="26"/>
      <c r="S341" s="14">
        <f t="shared" si="13"/>
        <v>5.24744748</v>
      </c>
      <c r="U341" s="21"/>
      <c r="V341" s="21"/>
    </row>
    <row r="342">
      <c r="A342" s="11">
        <v>330.0</v>
      </c>
      <c r="B342" s="11">
        <v>1.4208304347826E9</v>
      </c>
      <c r="C342" s="2">
        <v>-102.3102798</v>
      </c>
      <c r="D342" s="24">
        <f t="shared" si="1"/>
        <v>430434.7826</v>
      </c>
      <c r="E342" s="25">
        <f t="shared" si="2"/>
        <v>-91.82961321</v>
      </c>
      <c r="F342" s="24">
        <f t="shared" si="3"/>
        <v>0.0002133415256</v>
      </c>
      <c r="G342" s="24">
        <f t="shared" si="4"/>
        <v>0</v>
      </c>
      <c r="H342" s="26">
        <f t="shared" si="5"/>
        <v>0</v>
      </c>
      <c r="I342" s="24">
        <f t="shared" si="6"/>
        <v>0</v>
      </c>
      <c r="J342" s="24">
        <f t="shared" si="7"/>
        <v>0</v>
      </c>
      <c r="K342" s="24"/>
      <c r="L342" s="24">
        <f t="shared" si="8"/>
        <v>446.7640172</v>
      </c>
      <c r="M342" s="14">
        <f t="shared" si="9"/>
        <v>442.126587</v>
      </c>
      <c r="N342" s="27">
        <f t="shared" si="10"/>
        <v>4.637430253</v>
      </c>
      <c r="O342" s="24"/>
      <c r="P342" s="24"/>
      <c r="Q342" s="24"/>
      <c r="R342" s="26"/>
      <c r="S342" s="14">
        <f t="shared" si="13"/>
        <v>4.258534267</v>
      </c>
      <c r="U342" s="21"/>
      <c r="V342" s="21"/>
    </row>
    <row r="343">
      <c r="A343" s="11">
        <v>331.0</v>
      </c>
      <c r="B343" s="11">
        <v>1.42083478260869E9</v>
      </c>
      <c r="C343" s="2">
        <v>-102.3014297</v>
      </c>
      <c r="D343" s="24">
        <f t="shared" si="1"/>
        <v>434782.6087</v>
      </c>
      <c r="E343" s="25">
        <f t="shared" si="2"/>
        <v>-92.74790935</v>
      </c>
      <c r="F343" s="24">
        <f t="shared" si="3"/>
        <v>0.0002133201915</v>
      </c>
      <c r="G343" s="24">
        <f t="shared" si="4"/>
        <v>0</v>
      </c>
      <c r="H343" s="26">
        <f t="shared" si="5"/>
        <v>0</v>
      </c>
      <c r="I343" s="24">
        <f t="shared" si="6"/>
        <v>0</v>
      </c>
      <c r="J343" s="24">
        <f t="shared" si="7"/>
        <v>0</v>
      </c>
      <c r="K343" s="24"/>
      <c r="L343" s="24">
        <f t="shared" si="8"/>
        <v>447.675366</v>
      </c>
      <c r="M343" s="14">
        <f t="shared" si="9"/>
        <v>442.0113592</v>
      </c>
      <c r="N343" s="27">
        <f t="shared" si="10"/>
        <v>5.664006837</v>
      </c>
      <c r="O343" s="24"/>
      <c r="P343" s="24"/>
      <c r="Q343" s="24"/>
      <c r="R343" s="26"/>
      <c r="S343" s="14">
        <f t="shared" si="13"/>
        <v>5.201235574</v>
      </c>
      <c r="U343" s="21"/>
      <c r="V343" s="21"/>
    </row>
    <row r="344">
      <c r="A344" s="11">
        <v>332.0</v>
      </c>
      <c r="B344" s="11">
        <v>1.42083913043478E9</v>
      </c>
      <c r="C344" s="2">
        <v>-102.2578354</v>
      </c>
      <c r="D344" s="24">
        <f t="shared" si="1"/>
        <v>439130.4348</v>
      </c>
      <c r="E344" s="25">
        <f t="shared" si="2"/>
        <v>-93.66620548</v>
      </c>
      <c r="F344" s="24">
        <f t="shared" si="3"/>
        <v>0.0002132992798</v>
      </c>
      <c r="G344" s="24">
        <f t="shared" si="4"/>
        <v>0</v>
      </c>
      <c r="H344" s="26">
        <f t="shared" si="5"/>
        <v>0</v>
      </c>
      <c r="I344" s="24">
        <f t="shared" si="6"/>
        <v>0</v>
      </c>
      <c r="J344" s="24">
        <f t="shared" si="7"/>
        <v>0</v>
      </c>
      <c r="K344" s="24"/>
      <c r="L344" s="24">
        <f t="shared" si="8"/>
        <v>452.1917425</v>
      </c>
      <c r="M344" s="14">
        <f t="shared" si="9"/>
        <v>441.8961946</v>
      </c>
      <c r="N344" s="27">
        <f t="shared" si="10"/>
        <v>10.29554784</v>
      </c>
      <c r="O344" s="24"/>
      <c r="P344" s="24"/>
      <c r="Q344" s="24"/>
      <c r="R344" s="26"/>
      <c r="S344" s="14">
        <f t="shared" si="13"/>
        <v>9.454361749</v>
      </c>
      <c r="U344" s="21"/>
      <c r="V344" s="21"/>
    </row>
    <row r="345">
      <c r="A345" s="11">
        <v>333.0</v>
      </c>
      <c r="B345" s="11">
        <v>1.42084347826087E9</v>
      </c>
      <c r="C345" s="2">
        <v>-102.2814713</v>
      </c>
      <c r="D345" s="24">
        <f t="shared" si="1"/>
        <v>443478.2609</v>
      </c>
      <c r="E345" s="25">
        <f t="shared" si="2"/>
        <v>-94.58450161</v>
      </c>
      <c r="F345" s="24">
        <f t="shared" si="3"/>
        <v>0.0002132787781</v>
      </c>
      <c r="G345" s="24">
        <f t="shared" si="4"/>
        <v>0</v>
      </c>
      <c r="H345" s="26">
        <f t="shared" si="5"/>
        <v>0</v>
      </c>
      <c r="I345" s="24">
        <f t="shared" si="6"/>
        <v>0</v>
      </c>
      <c r="J345" s="24">
        <f t="shared" si="7"/>
        <v>0</v>
      </c>
      <c r="K345" s="24"/>
      <c r="L345" s="24">
        <f t="shared" si="8"/>
        <v>449.7374337</v>
      </c>
      <c r="M345" s="14">
        <f t="shared" si="9"/>
        <v>441.7810959</v>
      </c>
      <c r="N345" s="27">
        <f t="shared" si="10"/>
        <v>7.956337812</v>
      </c>
      <c r="O345" s="24"/>
      <c r="P345" s="24"/>
      <c r="Q345" s="24"/>
      <c r="R345" s="26"/>
      <c r="S345" s="14">
        <f t="shared" si="13"/>
        <v>7.306274243</v>
      </c>
      <c r="U345" s="21"/>
      <c r="V345" s="21"/>
    </row>
    <row r="346">
      <c r="A346" s="11">
        <v>334.0</v>
      </c>
      <c r="B346" s="11">
        <v>1.42084782608695E9</v>
      </c>
      <c r="C346" s="2">
        <v>-102.3171082</v>
      </c>
      <c r="D346" s="24">
        <f t="shared" si="1"/>
        <v>447826.087</v>
      </c>
      <c r="E346" s="25">
        <f t="shared" si="2"/>
        <v>-95.50279774</v>
      </c>
      <c r="F346" s="24">
        <f t="shared" si="3"/>
        <v>0.0002132586746</v>
      </c>
      <c r="G346" s="24">
        <f t="shared" si="4"/>
        <v>0</v>
      </c>
      <c r="H346" s="26">
        <f t="shared" si="5"/>
        <v>0</v>
      </c>
      <c r="I346" s="24">
        <f t="shared" si="6"/>
        <v>0</v>
      </c>
      <c r="J346" s="24">
        <f t="shared" si="7"/>
        <v>0</v>
      </c>
      <c r="K346" s="24"/>
      <c r="L346" s="24">
        <f t="shared" si="8"/>
        <v>446.0621233</v>
      </c>
      <c r="M346" s="14">
        <f t="shared" si="9"/>
        <v>441.6660656</v>
      </c>
      <c r="N346" s="27">
        <f t="shared" si="10"/>
        <v>4.396057756</v>
      </c>
      <c r="O346" s="24"/>
      <c r="P346" s="24"/>
      <c r="Q346" s="24"/>
      <c r="R346" s="26"/>
      <c r="S346" s="14">
        <f t="shared" si="13"/>
        <v>4.036882837</v>
      </c>
      <c r="U346" s="21"/>
      <c r="V346" s="21"/>
    </row>
    <row r="347">
      <c r="A347" s="11">
        <v>335.0</v>
      </c>
      <c r="B347" s="11">
        <v>1.42085217391304E9</v>
      </c>
      <c r="C347" s="2">
        <v>-102.314621</v>
      </c>
      <c r="D347" s="24">
        <f t="shared" si="1"/>
        <v>452173.913</v>
      </c>
      <c r="E347" s="25">
        <f t="shared" si="2"/>
        <v>-96.42109387</v>
      </c>
      <c r="F347" s="24">
        <f t="shared" si="3"/>
        <v>0.0002132389576</v>
      </c>
      <c r="G347" s="24">
        <f t="shared" si="4"/>
        <v>0</v>
      </c>
      <c r="H347" s="26">
        <f t="shared" si="5"/>
        <v>0</v>
      </c>
      <c r="I347" s="24">
        <f t="shared" si="6"/>
        <v>0</v>
      </c>
      <c r="J347" s="24">
        <f t="shared" si="7"/>
        <v>0</v>
      </c>
      <c r="K347" s="24"/>
      <c r="L347" s="24">
        <f t="shared" si="8"/>
        <v>446.3176558</v>
      </c>
      <c r="M347" s="14">
        <f t="shared" si="9"/>
        <v>441.5511064</v>
      </c>
      <c r="N347" s="27">
        <f t="shared" si="10"/>
        <v>4.766549455</v>
      </c>
      <c r="O347" s="24"/>
      <c r="P347" s="24"/>
      <c r="Q347" s="24"/>
      <c r="R347" s="26"/>
      <c r="S347" s="14">
        <f t="shared" si="13"/>
        <v>4.377103921</v>
      </c>
      <c r="U347" s="21"/>
      <c r="V347" s="21"/>
    </row>
    <row r="348">
      <c r="A348" s="11">
        <v>336.0</v>
      </c>
      <c r="B348" s="11">
        <v>1.42085652173913E9</v>
      </c>
      <c r="C348" s="2">
        <v>-102.366066</v>
      </c>
      <c r="D348" s="24">
        <f t="shared" si="1"/>
        <v>456521.7391</v>
      </c>
      <c r="E348" s="25">
        <f t="shared" si="2"/>
        <v>-97.33939</v>
      </c>
      <c r="F348" s="24">
        <f t="shared" si="3"/>
        <v>0.0002132196162</v>
      </c>
      <c r="G348" s="24">
        <f t="shared" si="4"/>
        <v>0</v>
      </c>
      <c r="H348" s="26">
        <f t="shared" si="5"/>
        <v>0</v>
      </c>
      <c r="I348" s="24">
        <f t="shared" si="6"/>
        <v>0</v>
      </c>
      <c r="J348" s="24">
        <f t="shared" si="7"/>
        <v>0</v>
      </c>
      <c r="K348" s="24"/>
      <c r="L348" s="24">
        <f t="shared" si="8"/>
        <v>441.0619238</v>
      </c>
      <c r="M348" s="14">
        <f t="shared" si="9"/>
        <v>441.4362209</v>
      </c>
      <c r="N348" s="27">
        <f t="shared" si="10"/>
        <v>-0.3742970959</v>
      </c>
      <c r="O348" s="24"/>
      <c r="P348" s="24"/>
      <c r="Q348" s="24"/>
      <c r="R348" s="26"/>
      <c r="S348" s="14">
        <f t="shared" si="13"/>
        <v>-0.3437155756</v>
      </c>
      <c r="U348" s="21"/>
      <c r="V348" s="21"/>
    </row>
    <row r="349">
      <c r="A349" s="11">
        <v>337.0</v>
      </c>
      <c r="B349" s="11">
        <v>1.42086086956521E9</v>
      </c>
      <c r="C349" s="2">
        <v>-102.3445358</v>
      </c>
      <c r="D349" s="24">
        <f t="shared" si="1"/>
        <v>460869.5652</v>
      </c>
      <c r="E349" s="25">
        <f t="shared" si="2"/>
        <v>-98.25768614</v>
      </c>
      <c r="F349" s="24">
        <f t="shared" si="3"/>
        <v>0.0002132006397</v>
      </c>
      <c r="G349" s="24">
        <f t="shared" si="4"/>
        <v>0</v>
      </c>
      <c r="H349" s="26">
        <f t="shared" si="5"/>
        <v>0</v>
      </c>
      <c r="I349" s="24">
        <f t="shared" si="6"/>
        <v>0</v>
      </c>
      <c r="J349" s="24">
        <f t="shared" si="7"/>
        <v>0</v>
      </c>
      <c r="K349" s="24"/>
      <c r="L349" s="24">
        <f t="shared" si="8"/>
        <v>443.2539224</v>
      </c>
      <c r="M349" s="14">
        <f t="shared" si="9"/>
        <v>441.3214117</v>
      </c>
      <c r="N349" s="27">
        <f t="shared" si="10"/>
        <v>1.932510696</v>
      </c>
      <c r="O349" s="24"/>
      <c r="P349" s="24"/>
      <c r="Q349" s="24"/>
      <c r="R349" s="26"/>
      <c r="S349" s="14">
        <f t="shared" si="13"/>
        <v>1.774617099</v>
      </c>
      <c r="U349" s="21"/>
      <c r="V349" s="21"/>
    </row>
    <row r="350">
      <c r="A350" s="11">
        <v>338.0</v>
      </c>
      <c r="B350" s="11">
        <v>1.4208652173913E9</v>
      </c>
      <c r="C350" s="2">
        <v>-102.3021698</v>
      </c>
      <c r="D350" s="24">
        <f t="shared" si="1"/>
        <v>465217.3913</v>
      </c>
      <c r="E350" s="25">
        <f t="shared" si="2"/>
        <v>-99.17598227</v>
      </c>
      <c r="F350" s="24">
        <f t="shared" si="3"/>
        <v>0.000213182018</v>
      </c>
      <c r="G350" s="24">
        <f t="shared" si="4"/>
        <v>0</v>
      </c>
      <c r="H350" s="26">
        <f t="shared" si="5"/>
        <v>0</v>
      </c>
      <c r="I350" s="24">
        <f t="shared" si="6"/>
        <v>0</v>
      </c>
      <c r="J350" s="24">
        <f t="shared" si="7"/>
        <v>0</v>
      </c>
      <c r="K350" s="24"/>
      <c r="L350" s="24">
        <f t="shared" si="8"/>
        <v>447.5990822</v>
      </c>
      <c r="M350" s="14">
        <f t="shared" si="9"/>
        <v>441.2066815</v>
      </c>
      <c r="N350" s="27">
        <f t="shared" si="10"/>
        <v>6.392400786</v>
      </c>
      <c r="O350" s="24"/>
      <c r="P350" s="24"/>
      <c r="Q350" s="24"/>
      <c r="R350" s="26"/>
      <c r="S350" s="14">
        <f t="shared" si="13"/>
        <v>5.870116907</v>
      </c>
      <c r="U350" s="21"/>
      <c r="V350" s="21"/>
    </row>
    <row r="351">
      <c r="A351" s="11">
        <v>339.0</v>
      </c>
      <c r="B351" s="11">
        <v>1.42086956521739E9</v>
      </c>
      <c r="C351" s="2">
        <v>-102.3199692</v>
      </c>
      <c r="D351" s="24">
        <f t="shared" si="1"/>
        <v>469565.2174</v>
      </c>
      <c r="E351" s="25">
        <f t="shared" si="2"/>
        <v>-100.0942784</v>
      </c>
      <c r="F351" s="24">
        <f t="shared" si="3"/>
        <v>0.000213163741</v>
      </c>
      <c r="G351" s="24">
        <f t="shared" si="4"/>
        <v>0</v>
      </c>
      <c r="H351" s="26">
        <f t="shared" si="5"/>
        <v>0</v>
      </c>
      <c r="I351" s="24">
        <f t="shared" si="6"/>
        <v>0</v>
      </c>
      <c r="J351" s="24">
        <f t="shared" si="7"/>
        <v>0</v>
      </c>
      <c r="K351" s="24"/>
      <c r="L351" s="24">
        <f t="shared" si="8"/>
        <v>445.7683679</v>
      </c>
      <c r="M351" s="14">
        <f t="shared" si="9"/>
        <v>441.0920328</v>
      </c>
      <c r="N351" s="27">
        <f t="shared" si="10"/>
        <v>4.676335121</v>
      </c>
      <c r="O351" s="24"/>
      <c r="P351" s="24"/>
      <c r="Q351" s="24"/>
      <c r="R351" s="26"/>
      <c r="S351" s="14">
        <f t="shared" si="13"/>
        <v>4.294260457</v>
      </c>
      <c r="U351" s="21"/>
      <c r="V351" s="21"/>
    </row>
    <row r="352">
      <c r="A352" s="11">
        <v>340.0</v>
      </c>
      <c r="B352" s="11">
        <v>1.42087391304347E9</v>
      </c>
      <c r="C352" s="2">
        <v>-102.3256454</v>
      </c>
      <c r="D352" s="24">
        <f t="shared" si="1"/>
        <v>473913.0435</v>
      </c>
      <c r="E352" s="25">
        <f t="shared" si="2"/>
        <v>-101.0125745</v>
      </c>
      <c r="F352" s="24">
        <f t="shared" si="3"/>
        <v>0.0002131457995</v>
      </c>
      <c r="G352" s="24">
        <f t="shared" si="4"/>
        <v>0</v>
      </c>
      <c r="H352" s="26">
        <f t="shared" si="5"/>
        <v>0</v>
      </c>
      <c r="I352" s="24">
        <f t="shared" si="6"/>
        <v>0</v>
      </c>
      <c r="J352" s="24">
        <f t="shared" si="7"/>
        <v>0</v>
      </c>
      <c r="K352" s="24"/>
      <c r="L352" s="24">
        <f t="shared" si="8"/>
        <v>445.1861322</v>
      </c>
      <c r="M352" s="14">
        <f t="shared" si="9"/>
        <v>440.9774684</v>
      </c>
      <c r="N352" s="27">
        <f t="shared" si="10"/>
        <v>4.208663816</v>
      </c>
      <c r="O352" s="24"/>
      <c r="P352" s="24"/>
      <c r="Q352" s="24"/>
      <c r="R352" s="26"/>
      <c r="S352" s="14">
        <f t="shared" si="13"/>
        <v>3.864799706</v>
      </c>
      <c r="U352" s="21"/>
      <c r="V352" s="21"/>
    </row>
    <row r="353">
      <c r="A353" s="11">
        <v>341.0</v>
      </c>
      <c r="B353" s="11">
        <v>1.42087826086956E9</v>
      </c>
      <c r="C353" s="2">
        <v>-102.3208923</v>
      </c>
      <c r="D353" s="24">
        <f t="shared" si="1"/>
        <v>478260.8696</v>
      </c>
      <c r="E353" s="25">
        <f t="shared" si="2"/>
        <v>-101.9308707</v>
      </c>
      <c r="F353" s="24">
        <f t="shared" si="3"/>
        <v>0.0002131281841</v>
      </c>
      <c r="G353" s="24">
        <f t="shared" si="4"/>
        <v>0</v>
      </c>
      <c r="H353" s="26">
        <f t="shared" si="5"/>
        <v>0</v>
      </c>
      <c r="I353" s="24">
        <f t="shared" si="6"/>
        <v>0</v>
      </c>
      <c r="J353" s="24">
        <f t="shared" si="7"/>
        <v>0</v>
      </c>
      <c r="K353" s="24"/>
      <c r="L353" s="24">
        <f t="shared" si="8"/>
        <v>445.6736292</v>
      </c>
      <c r="M353" s="14">
        <f t="shared" si="9"/>
        <v>440.8629908</v>
      </c>
      <c r="N353" s="27">
        <f t="shared" si="10"/>
        <v>4.810638385</v>
      </c>
      <c r="O353" s="24"/>
      <c r="P353" s="24"/>
      <c r="Q353" s="24"/>
      <c r="R353" s="26"/>
      <c r="S353" s="14">
        <f t="shared" si="13"/>
        <v>4.417590615</v>
      </c>
      <c r="U353" s="21"/>
      <c r="V353" s="21"/>
    </row>
    <row r="354">
      <c r="A354" s="11">
        <v>342.0</v>
      </c>
      <c r="B354" s="11">
        <v>1.42088260869565E9</v>
      </c>
      <c r="C354" s="2">
        <v>-102.3594208</v>
      </c>
      <c r="D354" s="24">
        <f t="shared" si="1"/>
        <v>482608.6957</v>
      </c>
      <c r="E354" s="25">
        <f t="shared" si="2"/>
        <v>-102.8491668</v>
      </c>
      <c r="F354" s="24">
        <f t="shared" si="3"/>
        <v>0.0002131108862</v>
      </c>
      <c r="G354" s="24">
        <f t="shared" si="4"/>
        <v>0</v>
      </c>
      <c r="H354" s="26">
        <f t="shared" si="5"/>
        <v>0</v>
      </c>
      <c r="I354" s="24">
        <f t="shared" si="6"/>
        <v>0</v>
      </c>
      <c r="J354" s="24">
        <f t="shared" si="7"/>
        <v>0</v>
      </c>
      <c r="K354" s="24"/>
      <c r="L354" s="24">
        <f t="shared" si="8"/>
        <v>441.7373153</v>
      </c>
      <c r="M354" s="14">
        <f t="shared" si="9"/>
        <v>440.7486027</v>
      </c>
      <c r="N354" s="27">
        <f t="shared" si="10"/>
        <v>0.9887125628</v>
      </c>
      <c r="O354" s="24"/>
      <c r="P354" s="24"/>
      <c r="Q354" s="24"/>
      <c r="R354" s="26"/>
      <c r="S354" s="14">
        <f t="shared" si="13"/>
        <v>0.9079309228</v>
      </c>
      <c r="U354" s="21"/>
      <c r="V354" s="21"/>
    </row>
    <row r="355">
      <c r="A355" s="11">
        <v>343.0</v>
      </c>
      <c r="B355" s="11">
        <v>1.42088695652173E9</v>
      </c>
      <c r="C355" s="2">
        <v>-102.393158</v>
      </c>
      <c r="D355" s="24">
        <f t="shared" si="1"/>
        <v>486956.5217</v>
      </c>
      <c r="E355" s="25">
        <f t="shared" si="2"/>
        <v>-103.7674629</v>
      </c>
      <c r="F355" s="24">
        <f t="shared" si="3"/>
        <v>0.0002130938971</v>
      </c>
      <c r="G355" s="24">
        <f t="shared" si="4"/>
        <v>0</v>
      </c>
      <c r="H355" s="26">
        <f t="shared" si="5"/>
        <v>0</v>
      </c>
      <c r="I355" s="24">
        <f t="shared" si="6"/>
        <v>0</v>
      </c>
      <c r="J355" s="24">
        <f t="shared" si="7"/>
        <v>0</v>
      </c>
      <c r="K355" s="24"/>
      <c r="L355" s="24">
        <f t="shared" si="8"/>
        <v>438.3190714</v>
      </c>
      <c r="M355" s="14">
        <f t="shared" si="9"/>
        <v>440.6343067</v>
      </c>
      <c r="N355" s="27">
        <f t="shared" si="10"/>
        <v>-2.315235303</v>
      </c>
      <c r="O355" s="24"/>
      <c r="P355" s="24"/>
      <c r="Q355" s="24"/>
      <c r="R355" s="26"/>
      <c r="S355" s="14">
        <f t="shared" si="13"/>
        <v>-2.126071625</v>
      </c>
      <c r="U355" s="21"/>
      <c r="V355" s="21"/>
    </row>
    <row r="356">
      <c r="A356" s="11">
        <v>344.0</v>
      </c>
      <c r="B356" s="11">
        <v>1.42089130434782E9</v>
      </c>
      <c r="C356" s="2">
        <v>-102.3079681</v>
      </c>
      <c r="D356" s="24">
        <f t="shared" si="1"/>
        <v>491304.3478</v>
      </c>
      <c r="E356" s="25">
        <f t="shared" si="2"/>
        <v>-104.6857591</v>
      </c>
      <c r="F356" s="24">
        <f t="shared" si="3"/>
        <v>0.0002130772087</v>
      </c>
      <c r="G356" s="24">
        <f t="shared" si="4"/>
        <v>0</v>
      </c>
      <c r="H356" s="26">
        <f t="shared" si="5"/>
        <v>0</v>
      </c>
      <c r="I356" s="24">
        <f t="shared" si="6"/>
        <v>0</v>
      </c>
      <c r="J356" s="24">
        <f t="shared" si="7"/>
        <v>0</v>
      </c>
      <c r="K356" s="24"/>
      <c r="L356" s="24">
        <f t="shared" si="8"/>
        <v>447.0018879</v>
      </c>
      <c r="M356" s="14">
        <f t="shared" si="9"/>
        <v>440.5201054</v>
      </c>
      <c r="N356" s="27">
        <f t="shared" si="10"/>
        <v>6.481782464</v>
      </c>
      <c r="O356" s="24"/>
      <c r="P356" s="24"/>
      <c r="Q356" s="24"/>
      <c r="R356" s="26"/>
      <c r="S356" s="14">
        <f t="shared" si="13"/>
        <v>5.952195771</v>
      </c>
      <c r="U356" s="21"/>
      <c r="V356" s="21"/>
    </row>
    <row r="357">
      <c r="A357" s="11">
        <v>345.0</v>
      </c>
      <c r="B357" s="11">
        <v>1.42089565217391E9</v>
      </c>
      <c r="C357" s="2">
        <v>-102.3550491</v>
      </c>
      <c r="D357" s="24">
        <f t="shared" si="1"/>
        <v>495652.1739</v>
      </c>
      <c r="E357" s="25">
        <f t="shared" si="2"/>
        <v>-105.6040552</v>
      </c>
      <c r="F357" s="24">
        <f t="shared" si="3"/>
        <v>0.0002130608131</v>
      </c>
      <c r="G357" s="24">
        <f t="shared" si="4"/>
        <v>0</v>
      </c>
      <c r="H357" s="26">
        <f t="shared" si="5"/>
        <v>0</v>
      </c>
      <c r="I357" s="24">
        <f t="shared" si="6"/>
        <v>0</v>
      </c>
      <c r="J357" s="24">
        <f t="shared" si="7"/>
        <v>0</v>
      </c>
      <c r="K357" s="24"/>
      <c r="L357" s="24">
        <f t="shared" si="8"/>
        <v>442.1822013</v>
      </c>
      <c r="M357" s="14">
        <f t="shared" si="9"/>
        <v>440.4060015</v>
      </c>
      <c r="N357" s="27">
        <f t="shared" si="10"/>
        <v>1.776199767</v>
      </c>
      <c r="O357" s="24"/>
      <c r="P357" s="24"/>
      <c r="Q357" s="24"/>
      <c r="R357" s="26"/>
      <c r="S357" s="14">
        <f t="shared" si="13"/>
        <v>1.631077373</v>
      </c>
      <c r="U357" s="21"/>
      <c r="V357" s="21"/>
    </row>
    <row r="358">
      <c r="A358" s="11">
        <v>346.0</v>
      </c>
      <c r="B358" s="11">
        <v>1.4209E9</v>
      </c>
      <c r="C358" s="2">
        <v>-102.3859558</v>
      </c>
      <c r="D358" s="24">
        <f t="shared" si="1"/>
        <v>500000</v>
      </c>
      <c r="E358" s="25">
        <f t="shared" si="2"/>
        <v>-106.5223513</v>
      </c>
      <c r="F358" s="24">
        <f t="shared" si="3"/>
        <v>0.0002130447027</v>
      </c>
      <c r="G358" s="24">
        <f t="shared" si="4"/>
        <v>0</v>
      </c>
      <c r="H358" s="26">
        <f t="shared" si="5"/>
        <v>0</v>
      </c>
      <c r="I358" s="24">
        <f t="shared" si="6"/>
        <v>0</v>
      </c>
      <c r="J358" s="24">
        <f t="shared" si="7"/>
        <v>0</v>
      </c>
      <c r="K358" s="24"/>
      <c r="L358" s="24">
        <f t="shared" si="8"/>
        <v>439.0465687</v>
      </c>
      <c r="M358" s="14">
        <f t="shared" si="9"/>
        <v>440.2919976</v>
      </c>
      <c r="N358" s="27">
        <f t="shared" si="10"/>
        <v>-1.245428837</v>
      </c>
      <c r="O358" s="24"/>
      <c r="P358" s="24"/>
      <c r="Q358" s="24"/>
      <c r="R358" s="26"/>
      <c r="S358" s="14">
        <f t="shared" si="13"/>
        <v>-1.143672484</v>
      </c>
      <c r="U358" s="21"/>
      <c r="V358" s="21"/>
    </row>
    <row r="359">
      <c r="A359" s="11">
        <v>347.0</v>
      </c>
      <c r="B359" s="11">
        <v>1.42090434782608E9</v>
      </c>
      <c r="C359" s="2">
        <v>-102.354332</v>
      </c>
      <c r="D359" s="24">
        <f t="shared" si="1"/>
        <v>504347.8261</v>
      </c>
      <c r="E359" s="25">
        <f t="shared" si="2"/>
        <v>-107.4406475</v>
      </c>
      <c r="F359" s="24">
        <f t="shared" si="3"/>
        <v>0.00021302887</v>
      </c>
      <c r="G359" s="24">
        <f t="shared" si="4"/>
        <v>0</v>
      </c>
      <c r="H359" s="26">
        <f t="shared" si="5"/>
        <v>0</v>
      </c>
      <c r="I359" s="24">
        <f t="shared" si="6"/>
        <v>0</v>
      </c>
      <c r="J359" s="24">
        <f t="shared" si="7"/>
        <v>0</v>
      </c>
      <c r="K359" s="24"/>
      <c r="L359" s="24">
        <f t="shared" si="8"/>
        <v>442.2552197</v>
      </c>
      <c r="M359" s="14">
        <f t="shared" si="9"/>
        <v>440.1780962</v>
      </c>
      <c r="N359" s="27">
        <f t="shared" si="10"/>
        <v>2.07712349</v>
      </c>
      <c r="O359" s="24"/>
      <c r="P359" s="24"/>
      <c r="Q359" s="24"/>
      <c r="R359" s="26"/>
      <c r="S359" s="14">
        <f t="shared" si="13"/>
        <v>1.907414468</v>
      </c>
      <c r="U359" s="21"/>
      <c r="V359" s="21"/>
    </row>
    <row r="360">
      <c r="A360" s="11">
        <v>348.0</v>
      </c>
      <c r="B360" s="11">
        <v>1.42090869565217E9</v>
      </c>
      <c r="C360" s="2">
        <v>-102.3132401</v>
      </c>
      <c r="D360" s="24">
        <f t="shared" si="1"/>
        <v>508695.6522</v>
      </c>
      <c r="E360" s="25">
        <f t="shared" si="2"/>
        <v>-108.3589436</v>
      </c>
      <c r="F360" s="24">
        <f t="shared" si="3"/>
        <v>0.0002130133079</v>
      </c>
      <c r="G360" s="24">
        <f t="shared" si="4"/>
        <v>0</v>
      </c>
      <c r="H360" s="26">
        <f t="shared" si="5"/>
        <v>0</v>
      </c>
      <c r="I360" s="24">
        <f t="shared" si="6"/>
        <v>0</v>
      </c>
      <c r="J360" s="24">
        <f t="shared" si="7"/>
        <v>0</v>
      </c>
      <c r="K360" s="24"/>
      <c r="L360" s="24">
        <f t="shared" si="8"/>
        <v>446.4595913</v>
      </c>
      <c r="M360" s="14">
        <f t="shared" si="9"/>
        <v>440.0643001</v>
      </c>
      <c r="N360" s="27">
        <f t="shared" si="10"/>
        <v>6.395291193</v>
      </c>
      <c r="O360" s="24"/>
      <c r="P360" s="24"/>
      <c r="Q360" s="24"/>
      <c r="R360" s="26"/>
      <c r="S360" s="14">
        <f t="shared" si="13"/>
        <v>5.872771157</v>
      </c>
      <c r="U360" s="21"/>
      <c r="V360" s="21"/>
    </row>
    <row r="361">
      <c r="A361" s="11">
        <v>349.0</v>
      </c>
      <c r="B361" s="11">
        <v>1.42091304347826E9</v>
      </c>
      <c r="C361" s="2">
        <v>-102.3103104</v>
      </c>
      <c r="D361" s="24">
        <f t="shared" si="1"/>
        <v>513043.4783</v>
      </c>
      <c r="E361" s="25">
        <f t="shared" si="2"/>
        <v>-109.2772397</v>
      </c>
      <c r="F361" s="24">
        <f t="shared" si="3"/>
        <v>0.0002129980096</v>
      </c>
      <c r="G361" s="24">
        <f t="shared" si="4"/>
        <v>0</v>
      </c>
      <c r="H361" s="26">
        <f t="shared" si="5"/>
        <v>0</v>
      </c>
      <c r="I361" s="24">
        <f t="shared" si="6"/>
        <v>0</v>
      </c>
      <c r="J361" s="24">
        <f t="shared" si="7"/>
        <v>0</v>
      </c>
      <c r="K361" s="24"/>
      <c r="L361" s="24">
        <f t="shared" si="8"/>
        <v>446.7608694</v>
      </c>
      <c r="M361" s="14">
        <f t="shared" si="9"/>
        <v>439.9506119</v>
      </c>
      <c r="N361" s="27">
        <f t="shared" si="10"/>
        <v>6.810257485</v>
      </c>
      <c r="O361" s="24"/>
      <c r="P361" s="24"/>
      <c r="Q361" s="24"/>
      <c r="R361" s="26"/>
      <c r="S361" s="14">
        <f t="shared" si="13"/>
        <v>6.253833112</v>
      </c>
      <c r="U361" s="21"/>
      <c r="V361" s="21"/>
    </row>
    <row r="362">
      <c r="A362" s="11">
        <v>350.0</v>
      </c>
      <c r="B362" s="11">
        <v>1.42091739130434E9</v>
      </c>
      <c r="C362" s="2">
        <v>-102.3320541</v>
      </c>
      <c r="D362" s="24">
        <f t="shared" si="1"/>
        <v>517391.3043</v>
      </c>
      <c r="E362" s="25">
        <f t="shared" si="2"/>
        <v>-110.1955359</v>
      </c>
      <c r="F362" s="24">
        <f t="shared" si="3"/>
        <v>0.0002129829685</v>
      </c>
      <c r="G362" s="24">
        <f t="shared" si="4"/>
        <v>0</v>
      </c>
      <c r="H362" s="26">
        <f t="shared" si="5"/>
        <v>0</v>
      </c>
      <c r="I362" s="24">
        <f t="shared" si="6"/>
        <v>0</v>
      </c>
      <c r="J362" s="24">
        <f t="shared" si="7"/>
        <v>0</v>
      </c>
      <c r="K362" s="24"/>
      <c r="L362" s="24">
        <f t="shared" si="8"/>
        <v>444.5296744</v>
      </c>
      <c r="M362" s="14">
        <f t="shared" si="9"/>
        <v>439.8370341</v>
      </c>
      <c r="N362" s="27">
        <f t="shared" si="10"/>
        <v>4.692640217</v>
      </c>
      <c r="O362" s="24"/>
      <c r="P362" s="24"/>
      <c r="Q362" s="24"/>
      <c r="R362" s="26"/>
      <c r="S362" s="14">
        <f t="shared" si="13"/>
        <v>4.309233364</v>
      </c>
      <c r="U362" s="21"/>
      <c r="V362" s="21"/>
    </row>
    <row r="363">
      <c r="A363" s="11">
        <v>351.0</v>
      </c>
      <c r="B363" s="11">
        <v>1.42092173913043E9</v>
      </c>
      <c r="C363" s="2">
        <v>-102.3884888</v>
      </c>
      <c r="D363" s="24">
        <f t="shared" si="1"/>
        <v>521739.1304</v>
      </c>
      <c r="E363" s="25">
        <f t="shared" si="2"/>
        <v>-111.113832</v>
      </c>
      <c r="F363" s="24">
        <f t="shared" si="3"/>
        <v>0.000212968178</v>
      </c>
      <c r="G363" s="24">
        <f t="shared" si="4"/>
        <v>0</v>
      </c>
      <c r="H363" s="26">
        <f t="shared" si="5"/>
        <v>0</v>
      </c>
      <c r="I363" s="24">
        <f t="shared" si="6"/>
        <v>0</v>
      </c>
      <c r="J363" s="24">
        <f t="shared" si="7"/>
        <v>0</v>
      </c>
      <c r="K363" s="24"/>
      <c r="L363" s="24">
        <f t="shared" si="8"/>
        <v>438.7905718</v>
      </c>
      <c r="M363" s="14">
        <f t="shared" si="9"/>
        <v>439.7235695</v>
      </c>
      <c r="N363" s="27">
        <f t="shared" si="10"/>
        <v>-0.9329977281</v>
      </c>
      <c r="O363" s="24"/>
      <c r="P363" s="24"/>
      <c r="Q363" s="24"/>
      <c r="R363" s="26"/>
      <c r="S363" s="14">
        <f t="shared" si="13"/>
        <v>-0.8567682036</v>
      </c>
      <c r="U363" s="21"/>
      <c r="V363" s="21"/>
    </row>
    <row r="364">
      <c r="A364" s="11">
        <v>352.0</v>
      </c>
      <c r="B364" s="11">
        <v>1.42092608695652E9</v>
      </c>
      <c r="C364" s="2">
        <v>-102.3979645</v>
      </c>
      <c r="D364" s="24">
        <f t="shared" si="1"/>
        <v>526086.9565</v>
      </c>
      <c r="E364" s="25">
        <f t="shared" si="2"/>
        <v>-112.0321281</v>
      </c>
      <c r="F364" s="24">
        <f t="shared" si="3"/>
        <v>0.000212953632</v>
      </c>
      <c r="G364" s="24">
        <f t="shared" si="4"/>
        <v>0</v>
      </c>
      <c r="H364" s="26">
        <f t="shared" si="5"/>
        <v>0</v>
      </c>
      <c r="I364" s="24">
        <f t="shared" si="6"/>
        <v>0</v>
      </c>
      <c r="J364" s="24">
        <f t="shared" si="7"/>
        <v>0</v>
      </c>
      <c r="K364" s="24"/>
      <c r="L364" s="24">
        <f t="shared" si="8"/>
        <v>437.8342356</v>
      </c>
      <c r="M364" s="14">
        <f t="shared" si="9"/>
        <v>439.6102206</v>
      </c>
      <c r="N364" s="27">
        <f t="shared" si="10"/>
        <v>-1.775985003</v>
      </c>
      <c r="O364" s="24"/>
      <c r="P364" s="24"/>
      <c r="Q364" s="24"/>
      <c r="R364" s="26"/>
      <c r="S364" s="14">
        <f t="shared" si="13"/>
        <v>-1.63088016</v>
      </c>
      <c r="U364" s="21"/>
      <c r="V364" s="21"/>
    </row>
    <row r="365">
      <c r="A365" s="11">
        <v>353.0</v>
      </c>
      <c r="B365" s="11">
        <v>1.4209304347826E9</v>
      </c>
      <c r="C365" s="2">
        <v>-102.3509064</v>
      </c>
      <c r="D365" s="24">
        <f t="shared" si="1"/>
        <v>530434.7826</v>
      </c>
      <c r="E365" s="25">
        <f t="shared" si="2"/>
        <v>-112.9504243</v>
      </c>
      <c r="F365" s="24">
        <f t="shared" si="3"/>
        <v>0.0002129393244</v>
      </c>
      <c r="G365" s="24">
        <f t="shared" si="4"/>
        <v>0</v>
      </c>
      <c r="H365" s="26">
        <f t="shared" si="5"/>
        <v>0</v>
      </c>
      <c r="I365" s="24">
        <f t="shared" si="6"/>
        <v>0</v>
      </c>
      <c r="J365" s="24">
        <f t="shared" si="7"/>
        <v>0</v>
      </c>
      <c r="K365" s="24"/>
      <c r="L365" s="24">
        <f t="shared" si="8"/>
        <v>442.6041966</v>
      </c>
      <c r="M365" s="14">
        <f t="shared" si="9"/>
        <v>439.4969901</v>
      </c>
      <c r="N365" s="27">
        <f t="shared" si="10"/>
        <v>3.10720647</v>
      </c>
      <c r="O365" s="24"/>
      <c r="P365" s="24"/>
      <c r="Q365" s="24"/>
      <c r="R365" s="26"/>
      <c r="S365" s="14">
        <f t="shared" si="13"/>
        <v>2.853335685</v>
      </c>
      <c r="U365" s="21"/>
      <c r="V365" s="21"/>
    </row>
    <row r="366">
      <c r="A366" s="11">
        <v>354.0</v>
      </c>
      <c r="B366" s="11">
        <v>1.42093478260869E9</v>
      </c>
      <c r="C366" s="2">
        <v>-102.3494186</v>
      </c>
      <c r="D366" s="24">
        <f t="shared" si="1"/>
        <v>534782.6087</v>
      </c>
      <c r="E366" s="25">
        <f t="shared" si="2"/>
        <v>-113.8687204</v>
      </c>
      <c r="F366" s="24">
        <f t="shared" si="3"/>
        <v>0.0002129252495</v>
      </c>
      <c r="G366" s="24">
        <f t="shared" si="4"/>
        <v>0</v>
      </c>
      <c r="H366" s="26">
        <f t="shared" si="5"/>
        <v>0</v>
      </c>
      <c r="I366" s="24">
        <f t="shared" si="6"/>
        <v>0</v>
      </c>
      <c r="J366" s="24">
        <f t="shared" si="7"/>
        <v>0</v>
      </c>
      <c r="K366" s="24"/>
      <c r="L366" s="24">
        <f t="shared" si="8"/>
        <v>442.7558493</v>
      </c>
      <c r="M366" s="14">
        <f t="shared" si="9"/>
        <v>439.3838806</v>
      </c>
      <c r="N366" s="27">
        <f t="shared" si="10"/>
        <v>3.371968695</v>
      </c>
      <c r="O366" s="24"/>
      <c r="P366" s="24"/>
      <c r="Q366" s="24"/>
      <c r="R366" s="26"/>
      <c r="S366" s="14">
        <f t="shared" si="13"/>
        <v>3.096465813</v>
      </c>
      <c r="U366" s="21"/>
      <c r="V366" s="21"/>
    </row>
    <row r="367">
      <c r="A367" s="11">
        <v>355.0</v>
      </c>
      <c r="B367" s="11">
        <v>1.42093913043478E9</v>
      </c>
      <c r="C367" s="2">
        <v>-102.3241806</v>
      </c>
      <c r="D367" s="24">
        <f t="shared" si="1"/>
        <v>539130.4348</v>
      </c>
      <c r="E367" s="25">
        <f t="shared" si="2"/>
        <v>-114.7870165</v>
      </c>
      <c r="F367" s="24">
        <f t="shared" si="3"/>
        <v>0.0002129114016</v>
      </c>
      <c r="G367" s="24">
        <f t="shared" si="4"/>
        <v>0</v>
      </c>
      <c r="H367" s="26">
        <f t="shared" si="5"/>
        <v>0</v>
      </c>
      <c r="I367" s="24">
        <f t="shared" si="6"/>
        <v>0</v>
      </c>
      <c r="J367" s="24">
        <f t="shared" si="7"/>
        <v>0</v>
      </c>
      <c r="K367" s="24"/>
      <c r="L367" s="24">
        <f t="shared" si="8"/>
        <v>445.3363111</v>
      </c>
      <c r="M367" s="14">
        <f t="shared" si="9"/>
        <v>439.2708947</v>
      </c>
      <c r="N367" s="27">
        <f t="shared" si="10"/>
        <v>6.065416441</v>
      </c>
      <c r="O367" s="24"/>
      <c r="P367" s="24"/>
      <c r="Q367" s="24"/>
      <c r="R367" s="26"/>
      <c r="S367" s="14">
        <f t="shared" si="13"/>
        <v>5.569848449</v>
      </c>
      <c r="U367" s="21"/>
      <c r="V367" s="21"/>
    </row>
    <row r="368">
      <c r="A368" s="11">
        <v>356.0</v>
      </c>
      <c r="B368" s="11">
        <v>1.42094347826087E9</v>
      </c>
      <c r="C368" s="2">
        <v>-102.3725815</v>
      </c>
      <c r="D368" s="24">
        <f t="shared" si="1"/>
        <v>543478.2609</v>
      </c>
      <c r="E368" s="25">
        <f t="shared" si="2"/>
        <v>-115.7053126</v>
      </c>
      <c r="F368" s="24">
        <f t="shared" si="3"/>
        <v>0.0002128977753</v>
      </c>
      <c r="G368" s="24">
        <f t="shared" si="4"/>
        <v>0</v>
      </c>
      <c r="H368" s="26">
        <f t="shared" si="5"/>
        <v>0</v>
      </c>
      <c r="I368" s="24">
        <f t="shared" si="6"/>
        <v>0</v>
      </c>
      <c r="J368" s="24">
        <f t="shared" si="7"/>
        <v>0</v>
      </c>
      <c r="K368" s="24"/>
      <c r="L368" s="24">
        <f t="shared" si="8"/>
        <v>440.400717</v>
      </c>
      <c r="M368" s="14">
        <f t="shared" si="9"/>
        <v>439.158035</v>
      </c>
      <c r="N368" s="27">
        <f t="shared" si="10"/>
        <v>1.242681984</v>
      </c>
      <c r="O368" s="24"/>
      <c r="P368" s="24"/>
      <c r="Q368" s="24"/>
      <c r="R368" s="26"/>
      <c r="S368" s="14">
        <f t="shared" si="13"/>
        <v>1.141150061</v>
      </c>
      <c r="U368" s="21"/>
      <c r="V368" s="21"/>
    </row>
    <row r="369">
      <c r="A369" s="11">
        <v>357.0</v>
      </c>
      <c r="B369" s="11">
        <v>1.42094782608695E9</v>
      </c>
      <c r="C369" s="2">
        <v>-102.4094467</v>
      </c>
      <c r="D369" s="24">
        <f t="shared" si="1"/>
        <v>547826.087</v>
      </c>
      <c r="E369" s="25">
        <f t="shared" si="2"/>
        <v>-116.6236088</v>
      </c>
      <c r="F369" s="24">
        <f t="shared" si="3"/>
        <v>0.0002128843652</v>
      </c>
      <c r="G369" s="24">
        <f t="shared" si="4"/>
        <v>0</v>
      </c>
      <c r="H369" s="26">
        <f t="shared" si="5"/>
        <v>0</v>
      </c>
      <c r="I369" s="24">
        <f t="shared" si="6"/>
        <v>0</v>
      </c>
      <c r="J369" s="24">
        <f t="shared" si="7"/>
        <v>0</v>
      </c>
      <c r="K369" s="24"/>
      <c r="L369" s="24">
        <f t="shared" si="8"/>
        <v>436.6781858</v>
      </c>
      <c r="M369" s="14">
        <f t="shared" si="9"/>
        <v>439.0453043</v>
      </c>
      <c r="N369" s="27">
        <f t="shared" si="10"/>
        <v>-2.367118441</v>
      </c>
      <c r="O369" s="24"/>
      <c r="P369" s="24"/>
      <c r="Q369" s="24"/>
      <c r="R369" s="26"/>
      <c r="S369" s="14">
        <f t="shared" si="13"/>
        <v>-2.17371571</v>
      </c>
      <c r="U369" s="21"/>
      <c r="V369" s="21"/>
    </row>
    <row r="370">
      <c r="A370" s="11">
        <v>358.0</v>
      </c>
      <c r="B370" s="11">
        <v>1.42095217391304E9</v>
      </c>
      <c r="C370" s="2">
        <v>-102.4244766</v>
      </c>
      <c r="D370" s="24">
        <f t="shared" si="1"/>
        <v>552173.913</v>
      </c>
      <c r="E370" s="25">
        <f t="shared" si="2"/>
        <v>-117.5419049</v>
      </c>
      <c r="F370" s="24">
        <f t="shared" si="3"/>
        <v>0.0002128711664</v>
      </c>
      <c r="G370" s="24">
        <f t="shared" si="4"/>
        <v>0</v>
      </c>
      <c r="H370" s="26">
        <f t="shared" si="5"/>
        <v>0</v>
      </c>
      <c r="I370" s="24">
        <f t="shared" si="6"/>
        <v>0</v>
      </c>
      <c r="J370" s="24">
        <f t="shared" si="7"/>
        <v>0</v>
      </c>
      <c r="K370" s="24"/>
      <c r="L370" s="24">
        <f t="shared" si="8"/>
        <v>435.1695584</v>
      </c>
      <c r="M370" s="14">
        <f t="shared" si="9"/>
        <v>438.932705</v>
      </c>
      <c r="N370" s="27">
        <f t="shared" si="10"/>
        <v>-3.76314662</v>
      </c>
      <c r="O370" s="24"/>
      <c r="P370" s="24"/>
      <c r="Q370" s="24"/>
      <c r="R370" s="26"/>
      <c r="S370" s="14">
        <f t="shared" si="13"/>
        <v>-3.45568298</v>
      </c>
      <c r="U370" s="21"/>
      <c r="V370" s="21"/>
    </row>
    <row r="371">
      <c r="A371" s="11">
        <v>359.0</v>
      </c>
      <c r="B371" s="11">
        <v>1.42095652173913E9</v>
      </c>
      <c r="C371" s="2">
        <v>-102.3730316</v>
      </c>
      <c r="D371" s="24">
        <f t="shared" si="1"/>
        <v>556521.7391</v>
      </c>
      <c r="E371" s="25">
        <f t="shared" si="2"/>
        <v>-118.460201</v>
      </c>
      <c r="F371" s="24">
        <f t="shared" si="3"/>
        <v>0.0002128581738</v>
      </c>
      <c r="G371" s="24">
        <f t="shared" si="4"/>
        <v>0</v>
      </c>
      <c r="H371" s="26">
        <f t="shared" si="5"/>
        <v>0</v>
      </c>
      <c r="I371" s="24">
        <f t="shared" si="6"/>
        <v>0</v>
      </c>
      <c r="J371" s="24">
        <f t="shared" si="7"/>
        <v>0</v>
      </c>
      <c r="K371" s="24"/>
      <c r="L371" s="24">
        <f t="shared" si="8"/>
        <v>440.3550765</v>
      </c>
      <c r="M371" s="14">
        <f t="shared" si="9"/>
        <v>438.8202399</v>
      </c>
      <c r="N371" s="27">
        <f t="shared" si="10"/>
        <v>1.534836618</v>
      </c>
      <c r="O371" s="24"/>
      <c r="P371" s="24"/>
      <c r="Q371" s="24"/>
      <c r="R371" s="26"/>
      <c r="S371" s="14">
        <f t="shared" si="13"/>
        <v>1.409434531</v>
      </c>
      <c r="U371" s="21"/>
      <c r="V371" s="21"/>
    </row>
    <row r="372">
      <c r="A372" s="11">
        <v>360.0</v>
      </c>
      <c r="B372" s="11">
        <v>1.42096086956521E9</v>
      </c>
      <c r="C372" s="2">
        <v>-102.3939285</v>
      </c>
      <c r="D372" s="24">
        <f t="shared" si="1"/>
        <v>560869.5652</v>
      </c>
      <c r="E372" s="25">
        <f t="shared" si="2"/>
        <v>-119.3784972</v>
      </c>
      <c r="F372" s="24">
        <f t="shared" si="3"/>
        <v>0.0002128453826</v>
      </c>
      <c r="G372" s="24">
        <f t="shared" si="4"/>
        <v>0</v>
      </c>
      <c r="H372" s="26">
        <f t="shared" si="5"/>
        <v>0</v>
      </c>
      <c r="I372" s="24">
        <f t="shared" si="6"/>
        <v>0</v>
      </c>
      <c r="J372" s="24">
        <f t="shared" si="7"/>
        <v>0</v>
      </c>
      <c r="K372" s="24"/>
      <c r="L372" s="24">
        <f t="shared" si="8"/>
        <v>438.2413143</v>
      </c>
      <c r="M372" s="14">
        <f t="shared" si="9"/>
        <v>438.7079116</v>
      </c>
      <c r="N372" s="27">
        <f t="shared" si="10"/>
        <v>-0.4665972701</v>
      </c>
      <c r="O372" s="24"/>
      <c r="P372" s="24"/>
      <c r="Q372" s="24"/>
      <c r="R372" s="26"/>
      <c r="S372" s="14">
        <f t="shared" si="13"/>
        <v>-0.4284744687</v>
      </c>
      <c r="U372" s="21"/>
      <c r="V372" s="21"/>
    </row>
    <row r="373">
      <c r="A373" s="11">
        <v>361.0</v>
      </c>
      <c r="B373" s="11">
        <v>1.4209652173913E9</v>
      </c>
      <c r="C373" s="2">
        <v>-102.3573837</v>
      </c>
      <c r="D373" s="24">
        <f t="shared" si="1"/>
        <v>565217.3913</v>
      </c>
      <c r="E373" s="25">
        <f t="shared" si="2"/>
        <v>-120.2967933</v>
      </c>
      <c r="F373" s="24">
        <f t="shared" si="3"/>
        <v>0.0002128327882</v>
      </c>
      <c r="G373" s="24">
        <f t="shared" si="4"/>
        <v>0</v>
      </c>
      <c r="H373" s="26">
        <f t="shared" si="5"/>
        <v>0</v>
      </c>
      <c r="I373" s="24">
        <f t="shared" si="6"/>
        <v>0</v>
      </c>
      <c r="J373" s="24">
        <f t="shared" si="7"/>
        <v>0</v>
      </c>
      <c r="K373" s="24"/>
      <c r="L373" s="24">
        <f t="shared" si="8"/>
        <v>441.944565</v>
      </c>
      <c r="M373" s="14">
        <f t="shared" si="9"/>
        <v>438.5957226</v>
      </c>
      <c r="N373" s="27">
        <f t="shared" si="10"/>
        <v>3.348842413</v>
      </c>
      <c r="O373" s="24"/>
      <c r="P373" s="24"/>
      <c r="Q373" s="24"/>
      <c r="R373" s="26"/>
      <c r="S373" s="14">
        <f t="shared" si="13"/>
        <v>3.07522903</v>
      </c>
      <c r="U373" s="21"/>
      <c r="V373" s="21"/>
    </row>
    <row r="374">
      <c r="A374" s="11">
        <v>362.0</v>
      </c>
      <c r="B374" s="11">
        <v>1.42096956521739E9</v>
      </c>
      <c r="C374" s="2">
        <v>-102.442421</v>
      </c>
      <c r="D374" s="24">
        <f t="shared" si="1"/>
        <v>569565.2174</v>
      </c>
      <c r="E374" s="25">
        <f t="shared" si="2"/>
        <v>-121.2150894</v>
      </c>
      <c r="F374" s="24">
        <f t="shared" si="3"/>
        <v>0.000212820386</v>
      </c>
      <c r="G374" s="24">
        <f t="shared" si="4"/>
        <v>0</v>
      </c>
      <c r="H374" s="26">
        <f t="shared" si="5"/>
        <v>0</v>
      </c>
      <c r="I374" s="24">
        <f t="shared" si="6"/>
        <v>0</v>
      </c>
      <c r="J374" s="24">
        <f t="shared" si="7"/>
        <v>0</v>
      </c>
      <c r="K374" s="24"/>
      <c r="L374" s="24">
        <f t="shared" si="8"/>
        <v>433.3752123</v>
      </c>
      <c r="M374" s="14">
        <f t="shared" si="9"/>
        <v>438.4836757</v>
      </c>
      <c r="N374" s="27">
        <f t="shared" si="10"/>
        <v>-5.108463418</v>
      </c>
      <c r="O374" s="24"/>
      <c r="P374" s="24"/>
      <c r="Q374" s="24"/>
      <c r="R374" s="26"/>
      <c r="S374" s="14">
        <f t="shared" si="13"/>
        <v>-4.691082202</v>
      </c>
    </row>
    <row r="375">
      <c r="A375" s="11">
        <v>363.0</v>
      </c>
      <c r="B375" s="11">
        <v>1.42097391304347E9</v>
      </c>
      <c r="C375" s="2">
        <v>-102.3804932</v>
      </c>
      <c r="D375" s="24">
        <f t="shared" si="1"/>
        <v>573913.0435</v>
      </c>
      <c r="E375" s="25">
        <f t="shared" si="2"/>
        <v>-122.1333856</v>
      </c>
      <c r="F375" s="24">
        <f t="shared" si="3"/>
        <v>0.0002128081718</v>
      </c>
      <c r="G375" s="24">
        <f t="shared" si="4"/>
        <v>0</v>
      </c>
      <c r="H375" s="26">
        <f t="shared" si="5"/>
        <v>0</v>
      </c>
      <c r="I375" s="24">
        <f t="shared" si="6"/>
        <v>0</v>
      </c>
      <c r="J375" s="24">
        <f t="shared" si="7"/>
        <v>0</v>
      </c>
      <c r="K375" s="24"/>
      <c r="L375" s="24">
        <f t="shared" si="8"/>
        <v>439.5991534</v>
      </c>
      <c r="M375" s="14">
        <f t="shared" si="9"/>
        <v>438.3717734</v>
      </c>
      <c r="N375" s="27">
        <f t="shared" si="10"/>
        <v>1.227380018</v>
      </c>
      <c r="O375" s="24"/>
      <c r="P375" s="24"/>
      <c r="Q375" s="24"/>
      <c r="R375" s="26"/>
      <c r="S375" s="14">
        <f t="shared" si="13"/>
        <v>1.127098324</v>
      </c>
    </row>
    <row r="376">
      <c r="A376" s="11">
        <v>364.0</v>
      </c>
      <c r="B376" s="11">
        <v>1.42097826086956E9</v>
      </c>
      <c r="C376" s="2">
        <v>-102.3570251</v>
      </c>
      <c r="D376" s="24">
        <f t="shared" si="1"/>
        <v>578260.8696</v>
      </c>
      <c r="E376" s="25">
        <f t="shared" si="2"/>
        <v>-123.0516817</v>
      </c>
      <c r="F376" s="24">
        <f t="shared" si="3"/>
        <v>0.0002127961413</v>
      </c>
      <c r="G376" s="24">
        <f t="shared" si="4"/>
        <v>0</v>
      </c>
      <c r="H376" s="26">
        <f t="shared" si="5"/>
        <v>0</v>
      </c>
      <c r="I376" s="24">
        <f t="shared" si="6"/>
        <v>0</v>
      </c>
      <c r="J376" s="24">
        <f t="shared" si="7"/>
        <v>0</v>
      </c>
      <c r="K376" s="24"/>
      <c r="L376" s="24">
        <f t="shared" si="8"/>
        <v>441.9810582</v>
      </c>
      <c r="M376" s="14">
        <f t="shared" si="9"/>
        <v>438.2600184</v>
      </c>
      <c r="N376" s="27">
        <f t="shared" si="10"/>
        <v>3.721039834</v>
      </c>
      <c r="O376" s="24"/>
      <c r="P376" s="24"/>
      <c r="Q376" s="24"/>
      <c r="R376" s="26"/>
      <c r="S376" s="14">
        <f t="shared" si="13"/>
        <v>3.417016482</v>
      </c>
    </row>
    <row r="377">
      <c r="A377" s="11">
        <v>365.0</v>
      </c>
      <c r="B377" s="11">
        <v>1.42098260869565E9</v>
      </c>
      <c r="C377" s="2">
        <v>-102.3633575</v>
      </c>
      <c r="D377" s="24">
        <f t="shared" si="1"/>
        <v>582608.6957</v>
      </c>
      <c r="E377" s="25">
        <f t="shared" si="2"/>
        <v>-123.9699778</v>
      </c>
      <c r="F377" s="24">
        <f t="shared" si="3"/>
        <v>0.0002127842903</v>
      </c>
      <c r="G377" s="24">
        <f t="shared" si="4"/>
        <v>0</v>
      </c>
      <c r="H377" s="26">
        <f t="shared" si="5"/>
        <v>0</v>
      </c>
      <c r="I377" s="24">
        <f t="shared" si="6"/>
        <v>0</v>
      </c>
      <c r="J377" s="24">
        <f t="shared" si="7"/>
        <v>0</v>
      </c>
      <c r="K377" s="24"/>
      <c r="L377" s="24">
        <f t="shared" si="8"/>
        <v>441.3370801</v>
      </c>
      <c r="M377" s="14">
        <f t="shared" si="9"/>
        <v>438.1484133</v>
      </c>
      <c r="N377" s="27">
        <f t="shared" si="10"/>
        <v>3.18866684</v>
      </c>
      <c r="O377" s="24"/>
      <c r="P377" s="24"/>
      <c r="Q377" s="24"/>
      <c r="R377" s="26"/>
      <c r="S377" s="14">
        <f t="shared" si="13"/>
        <v>2.928140428</v>
      </c>
    </row>
    <row r="378">
      <c r="A378" s="11">
        <v>366.0</v>
      </c>
      <c r="B378" s="11">
        <v>1.42098695652173E9</v>
      </c>
      <c r="C378" s="2">
        <v>-102.4044647</v>
      </c>
      <c r="D378" s="24">
        <f t="shared" si="1"/>
        <v>586956.5217</v>
      </c>
      <c r="E378" s="25">
        <f t="shared" si="2"/>
        <v>-124.888274</v>
      </c>
      <c r="F378" s="24">
        <f t="shared" si="3"/>
        <v>0.0002127726149</v>
      </c>
      <c r="G378" s="24">
        <f t="shared" si="4"/>
        <v>0</v>
      </c>
      <c r="H378" s="26">
        <f t="shared" si="5"/>
        <v>0</v>
      </c>
      <c r="I378" s="24">
        <f t="shared" si="6"/>
        <v>0</v>
      </c>
      <c r="J378" s="24">
        <f t="shared" si="7"/>
        <v>0</v>
      </c>
      <c r="K378" s="24"/>
      <c r="L378" s="24">
        <f t="shared" si="8"/>
        <v>437.1794077</v>
      </c>
      <c r="M378" s="14">
        <f t="shared" si="9"/>
        <v>438.0369607</v>
      </c>
      <c r="N378" s="27">
        <f t="shared" si="10"/>
        <v>-0.8575529435</v>
      </c>
      <c r="O378" s="24"/>
      <c r="P378" s="24"/>
      <c r="Q378" s="24"/>
      <c r="R378" s="26"/>
      <c r="S378" s="14">
        <f t="shared" si="13"/>
        <v>-0.7874875516</v>
      </c>
    </row>
    <row r="379">
      <c r="A379" s="11">
        <v>367.0</v>
      </c>
      <c r="B379" s="11">
        <v>1.42099130434782E9</v>
      </c>
      <c r="C379" s="2">
        <v>-102.3879776</v>
      </c>
      <c r="D379" s="24">
        <f t="shared" si="1"/>
        <v>591304.3478</v>
      </c>
      <c r="E379" s="25">
        <f t="shared" si="2"/>
        <v>-125.8065701</v>
      </c>
      <c r="F379" s="24">
        <f t="shared" si="3"/>
        <v>0.0002127611112</v>
      </c>
      <c r="G379" s="24">
        <f t="shared" si="4"/>
        <v>0</v>
      </c>
      <c r="H379" s="26">
        <f t="shared" si="5"/>
        <v>0</v>
      </c>
      <c r="I379" s="24">
        <f t="shared" si="6"/>
        <v>0</v>
      </c>
      <c r="J379" s="24">
        <f t="shared" si="7"/>
        <v>0</v>
      </c>
      <c r="K379" s="24"/>
      <c r="L379" s="24">
        <f t="shared" si="8"/>
        <v>438.842224</v>
      </c>
      <c r="M379" s="14">
        <f t="shared" si="9"/>
        <v>437.9256632</v>
      </c>
      <c r="N379" s="27">
        <f t="shared" si="10"/>
        <v>0.9165607899</v>
      </c>
      <c r="O379" s="24"/>
      <c r="P379" s="24"/>
      <c r="Q379" s="24"/>
      <c r="R379" s="26"/>
      <c r="S379" s="14">
        <f t="shared" si="13"/>
        <v>0.8416742288</v>
      </c>
    </row>
    <row r="380">
      <c r="A380" s="11">
        <v>368.0</v>
      </c>
      <c r="B380" s="11">
        <v>1.42099565217391E9</v>
      </c>
      <c r="C380" s="2">
        <v>-102.3891144</v>
      </c>
      <c r="D380" s="24">
        <f t="shared" si="1"/>
        <v>595652.1739</v>
      </c>
      <c r="E380" s="25">
        <f t="shared" si="2"/>
        <v>-126.7248662</v>
      </c>
      <c r="F380" s="24">
        <f t="shared" si="3"/>
        <v>0.0002127497754</v>
      </c>
      <c r="G380" s="24">
        <f t="shared" si="4"/>
        <v>0</v>
      </c>
      <c r="H380" s="26">
        <f t="shared" si="5"/>
        <v>0</v>
      </c>
      <c r="I380" s="24">
        <f t="shared" si="6"/>
        <v>0</v>
      </c>
      <c r="J380" s="24">
        <f t="shared" si="7"/>
        <v>0</v>
      </c>
      <c r="K380" s="24"/>
      <c r="L380" s="24">
        <f t="shared" si="8"/>
        <v>438.7273687</v>
      </c>
      <c r="M380" s="14">
        <f t="shared" si="9"/>
        <v>437.8145236</v>
      </c>
      <c r="N380" s="27">
        <f t="shared" si="10"/>
        <v>0.9128450618</v>
      </c>
      <c r="O380" s="24"/>
      <c r="P380" s="24"/>
      <c r="Q380" s="24"/>
      <c r="R380" s="26"/>
      <c r="S380" s="14">
        <f t="shared" si="13"/>
        <v>0.8382620882</v>
      </c>
    </row>
    <row r="381">
      <c r="A381" s="11">
        <v>369.0</v>
      </c>
      <c r="B381" s="11">
        <v>1.421E9</v>
      </c>
      <c r="C381" s="2">
        <v>-102.3495178</v>
      </c>
      <c r="D381" s="24">
        <f t="shared" si="1"/>
        <v>600000</v>
      </c>
      <c r="E381" s="25">
        <f t="shared" si="2"/>
        <v>-127.6431624</v>
      </c>
      <c r="F381" s="24">
        <f t="shared" si="3"/>
        <v>0.0002127386039</v>
      </c>
      <c r="G381" s="24">
        <f t="shared" si="4"/>
        <v>0</v>
      </c>
      <c r="H381" s="26">
        <f t="shared" si="5"/>
        <v>0</v>
      </c>
      <c r="I381" s="24">
        <f t="shared" si="6"/>
        <v>0</v>
      </c>
      <c r="J381" s="24">
        <f t="shared" si="7"/>
        <v>0</v>
      </c>
      <c r="K381" s="24"/>
      <c r="L381" s="24">
        <f t="shared" si="8"/>
        <v>442.7457361</v>
      </c>
      <c r="M381" s="14">
        <f t="shared" si="9"/>
        <v>437.7035444</v>
      </c>
      <c r="N381" s="27">
        <f t="shared" si="10"/>
        <v>5.042191742</v>
      </c>
      <c r="O381" s="24"/>
      <c r="P381" s="24"/>
      <c r="Q381" s="24"/>
      <c r="R381" s="26"/>
      <c r="S381" s="14">
        <f t="shared" si="13"/>
        <v>4.630225178</v>
      </c>
    </row>
    <row r="382">
      <c r="A382" s="11">
        <v>370.0</v>
      </c>
      <c r="B382" s="11">
        <v>1.42100434782608E9</v>
      </c>
      <c r="C382" s="2">
        <v>-102.4433136</v>
      </c>
      <c r="D382" s="24">
        <f t="shared" si="1"/>
        <v>604347.8261</v>
      </c>
      <c r="E382" s="25">
        <f t="shared" si="2"/>
        <v>-128.5614585</v>
      </c>
      <c r="F382" s="24">
        <f t="shared" si="3"/>
        <v>0.0002127275932</v>
      </c>
      <c r="G382" s="24">
        <f t="shared" si="4"/>
        <v>0</v>
      </c>
      <c r="H382" s="26">
        <f t="shared" si="5"/>
        <v>0</v>
      </c>
      <c r="I382" s="24">
        <f t="shared" si="6"/>
        <v>0</v>
      </c>
      <c r="J382" s="24">
        <f t="shared" si="7"/>
        <v>0</v>
      </c>
      <c r="K382" s="24"/>
      <c r="L382" s="24">
        <f t="shared" si="8"/>
        <v>433.2861504</v>
      </c>
      <c r="M382" s="14">
        <f t="shared" si="9"/>
        <v>437.5927282</v>
      </c>
      <c r="N382" s="27">
        <f t="shared" si="10"/>
        <v>-4.306577814</v>
      </c>
      <c r="O382" s="24"/>
      <c r="P382" s="24"/>
      <c r="Q382" s="24"/>
      <c r="R382" s="26"/>
      <c r="S382" s="14">
        <f t="shared" si="13"/>
        <v>-3.954713752</v>
      </c>
    </row>
    <row r="383">
      <c r="A383" s="11">
        <v>371.0</v>
      </c>
      <c r="B383" s="11">
        <v>1.42100869565217E9</v>
      </c>
      <c r="C383" s="2">
        <v>-102.2865372</v>
      </c>
      <c r="D383" s="24">
        <f t="shared" si="1"/>
        <v>608695.6522</v>
      </c>
      <c r="E383" s="25">
        <f t="shared" si="2"/>
        <v>-129.4797546</v>
      </c>
      <c r="F383" s="24">
        <f t="shared" si="3"/>
        <v>0.0002127167398</v>
      </c>
      <c r="G383" s="24">
        <f t="shared" si="4"/>
        <v>0</v>
      </c>
      <c r="H383" s="26">
        <f t="shared" si="5"/>
        <v>0</v>
      </c>
      <c r="I383" s="24">
        <f t="shared" si="6"/>
        <v>0</v>
      </c>
      <c r="J383" s="24">
        <f t="shared" si="7"/>
        <v>0</v>
      </c>
      <c r="K383" s="24"/>
      <c r="L383" s="24">
        <f t="shared" si="8"/>
        <v>449.2131359</v>
      </c>
      <c r="M383" s="14">
        <f t="shared" si="9"/>
        <v>437.4820776</v>
      </c>
      <c r="N383" s="27">
        <f t="shared" si="10"/>
        <v>11.73105822</v>
      </c>
      <c r="O383" s="24"/>
      <c r="P383" s="24"/>
      <c r="Q383" s="24"/>
      <c r="R383" s="26"/>
      <c r="S383" s="14">
        <f t="shared" si="13"/>
        <v>10.77258537</v>
      </c>
    </row>
    <row r="384">
      <c r="A384" s="11">
        <v>372.0</v>
      </c>
      <c r="B384" s="11">
        <v>1.42101304347826E9</v>
      </c>
      <c r="C384" s="2">
        <v>-102.3579178</v>
      </c>
      <c r="D384" s="24">
        <f t="shared" si="1"/>
        <v>613043.4783</v>
      </c>
      <c r="E384" s="25">
        <f t="shared" si="2"/>
        <v>-130.3980508</v>
      </c>
      <c r="F384" s="24">
        <f t="shared" si="3"/>
        <v>0.0002127060402</v>
      </c>
      <c r="G384" s="24">
        <f t="shared" si="4"/>
        <v>0</v>
      </c>
      <c r="H384" s="26">
        <f t="shared" si="5"/>
        <v>0</v>
      </c>
      <c r="I384" s="24">
        <f t="shared" si="6"/>
        <v>0</v>
      </c>
      <c r="J384" s="24">
        <f t="shared" si="7"/>
        <v>0</v>
      </c>
      <c r="K384" s="24"/>
      <c r="L384" s="24">
        <f t="shared" si="8"/>
        <v>441.8902176</v>
      </c>
      <c r="M384" s="14">
        <f t="shared" si="9"/>
        <v>437.3715954</v>
      </c>
      <c r="N384" s="27">
        <f t="shared" si="10"/>
        <v>4.51862216</v>
      </c>
      <c r="O384" s="24"/>
      <c r="P384" s="24"/>
      <c r="Q384" s="24"/>
      <c r="R384" s="26"/>
      <c r="S384" s="14">
        <f t="shared" si="13"/>
        <v>4.149433255</v>
      </c>
    </row>
    <row r="385">
      <c r="A385" s="11">
        <v>373.0</v>
      </c>
      <c r="B385" s="11">
        <v>1.42101739130434E9</v>
      </c>
      <c r="C385" s="2">
        <v>-102.3651428</v>
      </c>
      <c r="D385" s="24">
        <f t="shared" si="1"/>
        <v>617391.3043</v>
      </c>
      <c r="E385" s="25">
        <f t="shared" si="2"/>
        <v>-131.3163469</v>
      </c>
      <c r="F385" s="24">
        <f t="shared" si="3"/>
        <v>0.0002126954915</v>
      </c>
      <c r="G385" s="24">
        <f t="shared" si="4"/>
        <v>0</v>
      </c>
      <c r="H385" s="26">
        <f t="shared" si="5"/>
        <v>0</v>
      </c>
      <c r="I385" s="24">
        <f t="shared" si="6"/>
        <v>0</v>
      </c>
      <c r="J385" s="24">
        <f t="shared" si="7"/>
        <v>0</v>
      </c>
      <c r="K385" s="24"/>
      <c r="L385" s="24">
        <f t="shared" si="8"/>
        <v>441.1556923</v>
      </c>
      <c r="M385" s="14">
        <f t="shared" si="9"/>
        <v>437.2612841</v>
      </c>
      <c r="N385" s="27">
        <f t="shared" si="10"/>
        <v>3.89440823</v>
      </c>
      <c r="O385" s="24"/>
      <c r="P385" s="24"/>
      <c r="Q385" s="24"/>
      <c r="R385" s="26"/>
      <c r="S385" s="14">
        <f t="shared" si="13"/>
        <v>3.576220017</v>
      </c>
    </row>
    <row r="386">
      <c r="A386" s="11">
        <v>374.0</v>
      </c>
      <c r="B386" s="11">
        <v>1.42102173913043E9</v>
      </c>
      <c r="C386" s="2">
        <v>-102.3873138</v>
      </c>
      <c r="D386" s="24">
        <f t="shared" si="1"/>
        <v>621739.1304</v>
      </c>
      <c r="E386" s="25">
        <f t="shared" si="2"/>
        <v>-132.234643</v>
      </c>
      <c r="F386" s="24">
        <f t="shared" si="3"/>
        <v>0.0002126850902</v>
      </c>
      <c r="G386" s="24">
        <f t="shared" si="4"/>
        <v>0</v>
      </c>
      <c r="H386" s="26">
        <f t="shared" si="5"/>
        <v>0</v>
      </c>
      <c r="I386" s="24">
        <f t="shared" si="6"/>
        <v>0</v>
      </c>
      <c r="J386" s="24">
        <f t="shared" si="7"/>
        <v>0</v>
      </c>
      <c r="K386" s="24"/>
      <c r="L386" s="24">
        <f t="shared" si="8"/>
        <v>438.9093043</v>
      </c>
      <c r="M386" s="14">
        <f t="shared" si="9"/>
        <v>437.1511463</v>
      </c>
      <c r="N386" s="27">
        <f t="shared" si="10"/>
        <v>1.758157952</v>
      </c>
      <c r="O386" s="24"/>
      <c r="P386" s="24"/>
      <c r="Q386" s="24"/>
      <c r="R386" s="26"/>
      <c r="S386" s="14">
        <f t="shared" si="13"/>
        <v>1.614509644</v>
      </c>
    </row>
    <row r="387">
      <c r="A387" s="11">
        <v>375.0</v>
      </c>
      <c r="B387" s="11">
        <v>1.42102608695652E9</v>
      </c>
      <c r="C387" s="2">
        <v>-102.3972855</v>
      </c>
      <c r="D387" s="24">
        <f t="shared" si="1"/>
        <v>626086.9565</v>
      </c>
      <c r="E387" s="25">
        <f t="shared" si="2"/>
        <v>-133.1529392</v>
      </c>
      <c r="F387" s="24">
        <f t="shared" si="3"/>
        <v>0.0002126748334</v>
      </c>
      <c r="G387" s="24">
        <f t="shared" si="4"/>
        <v>0</v>
      </c>
      <c r="H387" s="26">
        <f t="shared" si="5"/>
        <v>0</v>
      </c>
      <c r="I387" s="24">
        <f t="shared" si="6"/>
        <v>0</v>
      </c>
      <c r="J387" s="24">
        <f t="shared" si="7"/>
        <v>0</v>
      </c>
      <c r="K387" s="24"/>
      <c r="L387" s="24">
        <f t="shared" si="8"/>
        <v>437.9026944</v>
      </c>
      <c r="M387" s="14">
        <f t="shared" si="9"/>
        <v>437.0411847</v>
      </c>
      <c r="N387" s="27">
        <f t="shared" si="10"/>
        <v>0.86150966</v>
      </c>
      <c r="O387" s="24"/>
      <c r="P387" s="24"/>
      <c r="Q387" s="24"/>
      <c r="R387" s="26"/>
      <c r="S387" s="14">
        <f t="shared" si="13"/>
        <v>0.7911209892</v>
      </c>
    </row>
    <row r="388">
      <c r="A388" s="11">
        <v>376.0</v>
      </c>
      <c r="B388" s="11">
        <v>1.4210304347826E9</v>
      </c>
      <c r="C388" s="2">
        <v>-102.4184418</v>
      </c>
      <c r="D388" s="24">
        <f t="shared" si="1"/>
        <v>630434.7826</v>
      </c>
      <c r="E388" s="25">
        <f t="shared" si="2"/>
        <v>-134.0712353</v>
      </c>
      <c r="F388" s="24">
        <f t="shared" si="3"/>
        <v>0.0002126647181</v>
      </c>
      <c r="G388" s="24">
        <f t="shared" si="4"/>
        <v>0</v>
      </c>
      <c r="H388" s="26">
        <f t="shared" si="5"/>
        <v>0</v>
      </c>
      <c r="I388" s="24">
        <f t="shared" si="6"/>
        <v>0</v>
      </c>
      <c r="J388" s="24">
        <f t="shared" si="7"/>
        <v>0</v>
      </c>
      <c r="K388" s="24"/>
      <c r="L388" s="24">
        <f t="shared" si="8"/>
        <v>435.7746747</v>
      </c>
      <c r="M388" s="14">
        <f t="shared" si="9"/>
        <v>436.9314019</v>
      </c>
      <c r="N388" s="27">
        <f t="shared" si="10"/>
        <v>-1.156727216</v>
      </c>
      <c r="O388" s="24"/>
      <c r="P388" s="24"/>
      <c r="Q388" s="24"/>
      <c r="R388" s="26"/>
      <c r="S388" s="14">
        <f t="shared" si="13"/>
        <v>-1.062218129</v>
      </c>
    </row>
    <row r="389">
      <c r="A389" s="11">
        <v>377.0</v>
      </c>
      <c r="B389" s="11">
        <v>1.42103478260869E9</v>
      </c>
      <c r="C389" s="2">
        <v>-102.4081039</v>
      </c>
      <c r="D389" s="24">
        <f t="shared" si="1"/>
        <v>634782.6087</v>
      </c>
      <c r="E389" s="25">
        <f t="shared" si="2"/>
        <v>-134.9895314</v>
      </c>
      <c r="F389" s="24">
        <f t="shared" si="3"/>
        <v>0.0002126547413</v>
      </c>
      <c r="G389" s="24">
        <f t="shared" si="4"/>
        <v>0</v>
      </c>
      <c r="H389" s="26">
        <f t="shared" si="5"/>
        <v>0</v>
      </c>
      <c r="I389" s="24">
        <f t="shared" si="6"/>
        <v>0</v>
      </c>
      <c r="J389" s="24">
        <f t="shared" si="7"/>
        <v>0</v>
      </c>
      <c r="K389" s="24"/>
      <c r="L389" s="24">
        <f t="shared" si="8"/>
        <v>436.8132237</v>
      </c>
      <c r="M389" s="14">
        <f t="shared" si="9"/>
        <v>436.8218006</v>
      </c>
      <c r="N389" s="27">
        <f t="shared" si="10"/>
        <v>-0.008576836212</v>
      </c>
      <c r="O389" s="24"/>
      <c r="P389" s="24"/>
      <c r="Q389" s="24"/>
      <c r="R389" s="26"/>
      <c r="S389" s="14">
        <f t="shared" si="13"/>
        <v>-0.007876075525</v>
      </c>
    </row>
    <row r="390">
      <c r="A390" s="11">
        <v>378.0</v>
      </c>
      <c r="B390" s="11">
        <v>1.42103913043478E9</v>
      </c>
      <c r="C390" s="2">
        <v>-102.3871002</v>
      </c>
      <c r="D390" s="24">
        <f t="shared" si="1"/>
        <v>639130.4348</v>
      </c>
      <c r="E390" s="25">
        <f t="shared" si="2"/>
        <v>-135.9078276</v>
      </c>
      <c r="F390" s="24">
        <f t="shared" si="3"/>
        <v>0.0002126449003</v>
      </c>
      <c r="G390" s="24">
        <f t="shared" si="4"/>
        <v>0</v>
      </c>
      <c r="H390" s="26">
        <f t="shared" si="5"/>
        <v>0</v>
      </c>
      <c r="I390" s="24">
        <f t="shared" si="6"/>
        <v>0</v>
      </c>
      <c r="J390" s="24">
        <f t="shared" si="7"/>
        <v>0</v>
      </c>
      <c r="K390" s="24"/>
      <c r="L390" s="24">
        <f t="shared" si="8"/>
        <v>438.9308918</v>
      </c>
      <c r="M390" s="14">
        <f t="shared" si="9"/>
        <v>436.7123833</v>
      </c>
      <c r="N390" s="27">
        <f t="shared" si="10"/>
        <v>2.218508499</v>
      </c>
      <c r="O390" s="24"/>
      <c r="P390" s="24"/>
      <c r="Q390" s="24"/>
      <c r="R390" s="26"/>
      <c r="S390" s="14">
        <f t="shared" si="13"/>
        <v>2.03724777</v>
      </c>
    </row>
    <row r="391">
      <c r="A391" s="11">
        <v>379.0</v>
      </c>
      <c r="B391" s="11">
        <v>1.42104347826087E9</v>
      </c>
      <c r="C391" s="2">
        <v>-102.3906631</v>
      </c>
      <c r="D391" s="24">
        <f t="shared" si="1"/>
        <v>643478.2609</v>
      </c>
      <c r="E391" s="25">
        <f t="shared" si="2"/>
        <v>-136.8261237</v>
      </c>
      <c r="F391" s="24">
        <f t="shared" si="3"/>
        <v>0.0002126351922</v>
      </c>
      <c r="G391" s="24">
        <f t="shared" si="4"/>
        <v>0</v>
      </c>
      <c r="H391" s="26">
        <f t="shared" si="5"/>
        <v>0</v>
      </c>
      <c r="I391" s="24">
        <f t="shared" si="6"/>
        <v>0</v>
      </c>
      <c r="J391" s="24">
        <f t="shared" si="7"/>
        <v>0</v>
      </c>
      <c r="K391" s="24"/>
      <c r="L391" s="24">
        <f t="shared" si="8"/>
        <v>438.5709458</v>
      </c>
      <c r="M391" s="14">
        <f t="shared" si="9"/>
        <v>436.6031527</v>
      </c>
      <c r="N391" s="27">
        <f t="shared" si="10"/>
        <v>1.967793127</v>
      </c>
      <c r="O391" s="24"/>
      <c r="P391" s="24"/>
      <c r="Q391" s="24"/>
      <c r="R391" s="26"/>
      <c r="S391" s="14">
        <f t="shared" si="13"/>
        <v>1.807016819</v>
      </c>
    </row>
    <row r="392">
      <c r="A392" s="11">
        <v>380.0</v>
      </c>
      <c r="B392" s="11">
        <v>1.42104782608695E9</v>
      </c>
      <c r="C392" s="2">
        <v>-102.3950119</v>
      </c>
      <c r="D392" s="24">
        <f t="shared" si="1"/>
        <v>647826.087</v>
      </c>
      <c r="E392" s="25">
        <f t="shared" si="2"/>
        <v>-137.7444198</v>
      </c>
      <c r="F392" s="24">
        <f t="shared" si="3"/>
        <v>0.0002126256145</v>
      </c>
      <c r="G392" s="24">
        <f t="shared" si="4"/>
        <v>0</v>
      </c>
      <c r="H392" s="26">
        <f t="shared" si="5"/>
        <v>0</v>
      </c>
      <c r="I392" s="24">
        <f t="shared" si="6"/>
        <v>0</v>
      </c>
      <c r="J392" s="24">
        <f t="shared" si="7"/>
        <v>0</v>
      </c>
      <c r="K392" s="24"/>
      <c r="L392" s="24">
        <f t="shared" si="8"/>
        <v>438.1320034</v>
      </c>
      <c r="M392" s="14">
        <f t="shared" si="9"/>
        <v>436.4941113</v>
      </c>
      <c r="N392" s="27">
        <f t="shared" si="10"/>
        <v>1.637892005</v>
      </c>
      <c r="O392" s="24"/>
      <c r="P392" s="24"/>
      <c r="Q392" s="24"/>
      <c r="R392" s="26"/>
      <c r="S392" s="14">
        <f t="shared" si="13"/>
        <v>1.504069894</v>
      </c>
    </row>
    <row r="393">
      <c r="A393" s="11">
        <v>381.0</v>
      </c>
      <c r="B393" s="11">
        <v>1.42105217391304E9</v>
      </c>
      <c r="C393" s="2">
        <v>-102.456543</v>
      </c>
      <c r="D393" s="24">
        <f t="shared" si="1"/>
        <v>652173.913</v>
      </c>
      <c r="E393" s="25">
        <f t="shared" si="2"/>
        <v>-138.662716</v>
      </c>
      <c r="F393" s="24">
        <f t="shared" si="3"/>
        <v>0.0002126161645</v>
      </c>
      <c r="G393" s="24">
        <f t="shared" si="4"/>
        <v>0</v>
      </c>
      <c r="H393" s="26">
        <f t="shared" si="5"/>
        <v>0</v>
      </c>
      <c r="I393" s="24">
        <f t="shared" si="6"/>
        <v>0</v>
      </c>
      <c r="J393" s="24">
        <f t="shared" si="7"/>
        <v>0</v>
      </c>
      <c r="K393" s="24"/>
      <c r="L393" s="24">
        <f t="shared" si="8"/>
        <v>431.9682902</v>
      </c>
      <c r="M393" s="14">
        <f t="shared" si="9"/>
        <v>436.385262</v>
      </c>
      <c r="N393" s="27">
        <f t="shared" si="10"/>
        <v>-4.416971831</v>
      </c>
      <c r="O393" s="24"/>
      <c r="P393" s="24"/>
      <c r="Q393" s="24"/>
      <c r="R393" s="26"/>
      <c r="S393" s="14">
        <f t="shared" si="13"/>
        <v>-4.056088141</v>
      </c>
    </row>
    <row r="394">
      <c r="A394" s="11">
        <v>382.0</v>
      </c>
      <c r="B394" s="11">
        <v>1.42105652173913E9</v>
      </c>
      <c r="C394" s="2">
        <v>-102.4152222</v>
      </c>
      <c r="D394" s="24">
        <f t="shared" si="1"/>
        <v>656521.7391</v>
      </c>
      <c r="E394" s="25">
        <f t="shared" si="2"/>
        <v>-139.5810121</v>
      </c>
      <c r="F394" s="24">
        <f t="shared" si="3"/>
        <v>0.0002126068396</v>
      </c>
      <c r="G394" s="24">
        <f t="shared" si="4"/>
        <v>0</v>
      </c>
      <c r="H394" s="26">
        <f t="shared" si="5"/>
        <v>0</v>
      </c>
      <c r="I394" s="24">
        <f t="shared" si="6"/>
        <v>0</v>
      </c>
      <c r="J394" s="24">
        <f t="shared" si="7"/>
        <v>0</v>
      </c>
      <c r="K394" s="24"/>
      <c r="L394" s="24">
        <f t="shared" si="8"/>
        <v>436.0978518</v>
      </c>
      <c r="M394" s="14">
        <f t="shared" si="9"/>
        <v>436.2766072</v>
      </c>
      <c r="N394" s="27">
        <f t="shared" si="10"/>
        <v>-0.1787553729</v>
      </c>
      <c r="O394" s="24"/>
      <c r="P394" s="24"/>
      <c r="Q394" s="24"/>
      <c r="R394" s="26"/>
      <c r="S394" s="14">
        <f t="shared" si="13"/>
        <v>-0.1641503676</v>
      </c>
    </row>
    <row r="395">
      <c r="A395" s="11">
        <v>383.0</v>
      </c>
      <c r="B395" s="11">
        <v>1.42106086956521E9</v>
      </c>
      <c r="C395" s="2">
        <v>-102.4135971</v>
      </c>
      <c r="D395" s="24">
        <f t="shared" si="1"/>
        <v>660869.5652</v>
      </c>
      <c r="E395" s="25">
        <f t="shared" si="2"/>
        <v>-140.4993082</v>
      </c>
      <c r="F395" s="24">
        <f t="shared" si="3"/>
        <v>0.0002125976374</v>
      </c>
      <c r="G395" s="24">
        <f t="shared" si="4"/>
        <v>0</v>
      </c>
      <c r="H395" s="26">
        <f t="shared" si="5"/>
        <v>0</v>
      </c>
      <c r="I395" s="24">
        <f t="shared" si="6"/>
        <v>0</v>
      </c>
      <c r="J395" s="24">
        <f t="shared" si="7"/>
        <v>0</v>
      </c>
      <c r="K395" s="24"/>
      <c r="L395" s="24">
        <f t="shared" si="8"/>
        <v>436.2610672</v>
      </c>
      <c r="M395" s="14">
        <f t="shared" si="9"/>
        <v>436.1681496</v>
      </c>
      <c r="N395" s="27">
        <f t="shared" si="10"/>
        <v>0.0929175713</v>
      </c>
      <c r="O395" s="24"/>
      <c r="P395" s="24"/>
      <c r="Q395" s="24"/>
      <c r="R395" s="26"/>
      <c r="S395" s="14">
        <f t="shared" si="13"/>
        <v>0.0853258464</v>
      </c>
    </row>
    <row r="396">
      <c r="A396" s="11">
        <v>384.0</v>
      </c>
      <c r="B396" s="11">
        <v>1.4210652173913E9</v>
      </c>
      <c r="C396" s="2">
        <v>-102.3683319</v>
      </c>
      <c r="D396" s="24">
        <f t="shared" si="1"/>
        <v>665217.3913</v>
      </c>
      <c r="E396" s="25">
        <f t="shared" si="2"/>
        <v>-141.4176043</v>
      </c>
      <c r="F396" s="24">
        <f t="shared" si="3"/>
        <v>0.0002125885556</v>
      </c>
      <c r="G396" s="24">
        <f t="shared" si="4"/>
        <v>0</v>
      </c>
      <c r="H396" s="26">
        <f t="shared" si="5"/>
        <v>0</v>
      </c>
      <c r="I396" s="24">
        <f t="shared" si="6"/>
        <v>0</v>
      </c>
      <c r="J396" s="24">
        <f t="shared" si="7"/>
        <v>0</v>
      </c>
      <c r="K396" s="24"/>
      <c r="L396" s="24">
        <f t="shared" si="8"/>
        <v>440.8318629</v>
      </c>
      <c r="M396" s="14">
        <f t="shared" si="9"/>
        <v>436.0598918</v>
      </c>
      <c r="N396" s="27">
        <f t="shared" si="10"/>
        <v>4.771971105</v>
      </c>
      <c r="O396" s="24"/>
      <c r="P396" s="24"/>
      <c r="Q396" s="24"/>
      <c r="R396" s="26"/>
      <c r="S396" s="14">
        <f t="shared" si="13"/>
        <v>4.382082601</v>
      </c>
    </row>
    <row r="397">
      <c r="A397" s="11">
        <v>385.0</v>
      </c>
      <c r="B397" s="11">
        <v>1.42106956521739E9</v>
      </c>
      <c r="C397" s="2">
        <v>-102.3813095</v>
      </c>
      <c r="D397" s="24">
        <f t="shared" si="1"/>
        <v>669565.2174</v>
      </c>
      <c r="E397" s="25">
        <f t="shared" si="2"/>
        <v>-142.3359005</v>
      </c>
      <c r="F397" s="24">
        <f t="shared" si="3"/>
        <v>0.0002125795916</v>
      </c>
      <c r="G397" s="24">
        <f t="shared" si="4"/>
        <v>0</v>
      </c>
      <c r="H397" s="26">
        <f t="shared" si="5"/>
        <v>0</v>
      </c>
      <c r="I397" s="24">
        <f t="shared" si="6"/>
        <v>0</v>
      </c>
      <c r="J397" s="24">
        <f t="shared" si="7"/>
        <v>0</v>
      </c>
      <c r="K397" s="24"/>
      <c r="L397" s="24">
        <f t="shared" si="8"/>
        <v>439.5165341</v>
      </c>
      <c r="M397" s="14">
        <f t="shared" si="9"/>
        <v>435.9518365</v>
      </c>
      <c r="N397" s="27">
        <f t="shared" si="10"/>
        <v>3.564697626</v>
      </c>
      <c r="O397" s="24"/>
      <c r="P397" s="24"/>
      <c r="Q397" s="24"/>
      <c r="R397" s="26"/>
      <c r="S397" s="14">
        <f t="shared" si="13"/>
        <v>3.273448044</v>
      </c>
    </row>
    <row r="398">
      <c r="A398" s="11">
        <v>386.0</v>
      </c>
      <c r="B398" s="11">
        <v>1.42107391304347E9</v>
      </c>
      <c r="C398" s="2">
        <v>-102.4217758</v>
      </c>
      <c r="D398" s="24">
        <f t="shared" si="1"/>
        <v>673913.0435</v>
      </c>
      <c r="E398" s="25">
        <f t="shared" si="2"/>
        <v>-143.2541966</v>
      </c>
      <c r="F398" s="24">
        <f t="shared" si="3"/>
        <v>0.0002125707434</v>
      </c>
      <c r="G398" s="24">
        <f t="shared" si="4"/>
        <v>0</v>
      </c>
      <c r="H398" s="26">
        <f t="shared" si="5"/>
        <v>0</v>
      </c>
      <c r="I398" s="24">
        <f t="shared" si="6"/>
        <v>0</v>
      </c>
      <c r="J398" s="24">
        <f t="shared" si="7"/>
        <v>0</v>
      </c>
      <c r="K398" s="24"/>
      <c r="L398" s="24">
        <f t="shared" si="8"/>
        <v>435.4402668</v>
      </c>
      <c r="M398" s="14">
        <f t="shared" si="9"/>
        <v>435.8439862</v>
      </c>
      <c r="N398" s="27">
        <f t="shared" si="10"/>
        <v>-0.4037194614</v>
      </c>
      <c r="O398" s="24"/>
      <c r="P398" s="24"/>
      <c r="Q398" s="24"/>
      <c r="R398" s="26"/>
      <c r="S398" s="14">
        <f t="shared" si="13"/>
        <v>-0.3707340201</v>
      </c>
    </row>
    <row r="399">
      <c r="A399" s="11">
        <v>387.0</v>
      </c>
      <c r="B399" s="11">
        <v>1.42107826086956E9</v>
      </c>
      <c r="C399" s="2">
        <v>-102.4043045</v>
      </c>
      <c r="D399" s="24">
        <f t="shared" si="1"/>
        <v>678260.8696</v>
      </c>
      <c r="E399" s="25">
        <f t="shared" si="2"/>
        <v>-144.1724927</v>
      </c>
      <c r="F399" s="24">
        <f t="shared" si="3"/>
        <v>0.0002125620085</v>
      </c>
      <c r="G399" s="24">
        <f t="shared" si="4"/>
        <v>0</v>
      </c>
      <c r="H399" s="26">
        <f t="shared" si="5"/>
        <v>0</v>
      </c>
      <c r="I399" s="24">
        <f t="shared" si="6"/>
        <v>0</v>
      </c>
      <c r="J399" s="24">
        <f t="shared" si="7"/>
        <v>0</v>
      </c>
      <c r="K399" s="24"/>
      <c r="L399" s="24">
        <f t="shared" si="8"/>
        <v>437.1955344</v>
      </c>
      <c r="M399" s="14">
        <f t="shared" si="9"/>
        <v>435.7363437</v>
      </c>
      <c r="N399" s="27">
        <f t="shared" si="10"/>
        <v>1.459190759</v>
      </c>
      <c r="O399" s="24"/>
      <c r="P399" s="24"/>
      <c r="Q399" s="24"/>
      <c r="R399" s="26"/>
      <c r="S399" s="14">
        <f t="shared" si="13"/>
        <v>1.339969228</v>
      </c>
    </row>
    <row r="400">
      <c r="A400" s="11">
        <v>388.0</v>
      </c>
      <c r="B400" s="11">
        <v>1.42108260869565E9</v>
      </c>
      <c r="C400" s="2">
        <v>-102.3330536</v>
      </c>
      <c r="D400" s="24">
        <f t="shared" si="1"/>
        <v>682608.6957</v>
      </c>
      <c r="E400" s="25">
        <f t="shared" si="2"/>
        <v>-145.0907889</v>
      </c>
      <c r="F400" s="24">
        <f t="shared" si="3"/>
        <v>0.000212553385</v>
      </c>
      <c r="G400" s="24">
        <f t="shared" si="4"/>
        <v>0</v>
      </c>
      <c r="H400" s="26">
        <f t="shared" si="5"/>
        <v>0</v>
      </c>
      <c r="I400" s="24">
        <f t="shared" si="6"/>
        <v>0</v>
      </c>
      <c r="J400" s="24">
        <f t="shared" si="7"/>
        <v>0</v>
      </c>
      <c r="K400" s="24"/>
      <c r="L400" s="24">
        <f t="shared" si="8"/>
        <v>444.4273806</v>
      </c>
      <c r="M400" s="14">
        <f t="shared" si="9"/>
        <v>435.6289115</v>
      </c>
      <c r="N400" s="27">
        <f t="shared" si="10"/>
        <v>8.798469085</v>
      </c>
      <c r="O400" s="24"/>
      <c r="P400" s="24"/>
      <c r="Q400" s="24"/>
      <c r="R400" s="26"/>
      <c r="S400" s="14">
        <f t="shared" si="13"/>
        <v>8.079600136</v>
      </c>
    </row>
    <row r="401">
      <c r="A401" s="11">
        <v>389.0</v>
      </c>
      <c r="B401" s="11">
        <v>1.42108695652173E9</v>
      </c>
      <c r="C401" s="2">
        <v>-102.3692322</v>
      </c>
      <c r="D401" s="24">
        <f t="shared" si="1"/>
        <v>686956.5217</v>
      </c>
      <c r="E401" s="25">
        <f t="shared" si="2"/>
        <v>-146.009085</v>
      </c>
      <c r="F401" s="24">
        <f t="shared" si="3"/>
        <v>0.0002125448706</v>
      </c>
      <c r="G401" s="24">
        <f t="shared" si="4"/>
        <v>0</v>
      </c>
      <c r="H401" s="26">
        <f t="shared" si="5"/>
        <v>0</v>
      </c>
      <c r="I401" s="24">
        <f t="shared" si="6"/>
        <v>0</v>
      </c>
      <c r="J401" s="24">
        <f t="shared" si="7"/>
        <v>0</v>
      </c>
      <c r="K401" s="24"/>
      <c r="L401" s="24">
        <f t="shared" si="8"/>
        <v>440.7404872</v>
      </c>
      <c r="M401" s="14">
        <f t="shared" si="9"/>
        <v>435.5216922</v>
      </c>
      <c r="N401" s="27">
        <f t="shared" si="10"/>
        <v>5.218794957</v>
      </c>
      <c r="O401" s="24"/>
      <c r="P401" s="24"/>
      <c r="Q401" s="24"/>
      <c r="R401" s="26"/>
      <c r="S401" s="14">
        <f t="shared" si="13"/>
        <v>4.792399226</v>
      </c>
    </row>
    <row r="402">
      <c r="A402" s="11">
        <v>390.0</v>
      </c>
      <c r="B402" s="11">
        <v>1.42109130434782E9</v>
      </c>
      <c r="C402" s="2">
        <v>-102.4547653</v>
      </c>
      <c r="D402" s="24">
        <f t="shared" si="1"/>
        <v>691304.3478</v>
      </c>
      <c r="E402" s="25">
        <f t="shared" si="2"/>
        <v>-146.9273811</v>
      </c>
      <c r="F402" s="24">
        <f t="shared" si="3"/>
        <v>0.0002125364633</v>
      </c>
      <c r="G402" s="24">
        <f t="shared" si="4"/>
        <v>0</v>
      </c>
      <c r="H402" s="26">
        <f t="shared" si="5"/>
        <v>0</v>
      </c>
      <c r="I402" s="24">
        <f t="shared" si="6"/>
        <v>0</v>
      </c>
      <c r="J402" s="24">
        <f t="shared" si="7"/>
        <v>0</v>
      </c>
      <c r="K402" s="24"/>
      <c r="L402" s="24">
        <f t="shared" si="8"/>
        <v>432.1451442</v>
      </c>
      <c r="M402" s="14">
        <f t="shared" si="9"/>
        <v>435.4146886</v>
      </c>
      <c r="N402" s="27">
        <f t="shared" si="10"/>
        <v>-3.269544388</v>
      </c>
      <c r="O402" s="24"/>
      <c r="P402" s="24"/>
      <c r="Q402" s="24"/>
      <c r="R402" s="26"/>
      <c r="S402" s="14">
        <f t="shared" si="13"/>
        <v>-3.002409967</v>
      </c>
    </row>
    <row r="403">
      <c r="A403" s="11">
        <v>391.0</v>
      </c>
      <c r="B403" s="11">
        <v>1.42109565217391E9</v>
      </c>
      <c r="C403" s="2">
        <v>-102.4022141</v>
      </c>
      <c r="D403" s="24">
        <f t="shared" si="1"/>
        <v>695652.1739</v>
      </c>
      <c r="E403" s="25">
        <f t="shared" si="2"/>
        <v>-147.8456773</v>
      </c>
      <c r="F403" s="24">
        <f t="shared" si="3"/>
        <v>0.0002125281611</v>
      </c>
      <c r="G403" s="24">
        <f t="shared" si="4"/>
        <v>0</v>
      </c>
      <c r="H403" s="26">
        <f t="shared" si="5"/>
        <v>0</v>
      </c>
      <c r="I403" s="24">
        <f t="shared" si="6"/>
        <v>0</v>
      </c>
      <c r="J403" s="24">
        <f t="shared" si="7"/>
        <v>0</v>
      </c>
      <c r="K403" s="24"/>
      <c r="L403" s="24">
        <f t="shared" si="8"/>
        <v>437.4060215</v>
      </c>
      <c r="M403" s="14">
        <f t="shared" si="9"/>
        <v>435.3079031</v>
      </c>
      <c r="N403" s="27">
        <f t="shared" si="10"/>
        <v>2.098118368</v>
      </c>
      <c r="O403" s="24"/>
      <c r="P403" s="24"/>
      <c r="Q403" s="24"/>
      <c r="R403" s="26"/>
      <c r="S403" s="14">
        <f t="shared" si="13"/>
        <v>1.926693979</v>
      </c>
    </row>
    <row r="404">
      <c r="A404" s="11">
        <v>392.0</v>
      </c>
      <c r="B404" s="11">
        <v>1.4211E9</v>
      </c>
      <c r="C404" s="2">
        <v>-102.3473053</v>
      </c>
      <c r="D404" s="24">
        <f t="shared" si="1"/>
        <v>700000</v>
      </c>
      <c r="E404" s="25">
        <f t="shared" si="2"/>
        <v>-148.7639734</v>
      </c>
      <c r="F404" s="24">
        <f t="shared" si="3"/>
        <v>0.000212519962</v>
      </c>
      <c r="G404" s="24">
        <f t="shared" si="4"/>
        <v>0</v>
      </c>
      <c r="H404" s="26">
        <f t="shared" si="5"/>
        <v>0</v>
      </c>
      <c r="I404" s="24">
        <f t="shared" si="6"/>
        <v>0</v>
      </c>
      <c r="J404" s="24">
        <f t="shared" si="7"/>
        <v>0</v>
      </c>
      <c r="K404" s="24"/>
      <c r="L404" s="24">
        <f t="shared" si="8"/>
        <v>442.971349</v>
      </c>
      <c r="M404" s="14">
        <f t="shared" si="9"/>
        <v>435.2013385</v>
      </c>
      <c r="N404" s="27">
        <f t="shared" si="10"/>
        <v>7.770010543</v>
      </c>
      <c r="O404" s="24"/>
      <c r="P404" s="24"/>
      <c r="Q404" s="24"/>
      <c r="R404" s="26"/>
      <c r="S404" s="14">
        <f t="shared" si="13"/>
        <v>7.135170633</v>
      </c>
    </row>
    <row r="405">
      <c r="A405" s="11">
        <v>393.0</v>
      </c>
      <c r="B405" s="11">
        <v>1.42110434782608E9</v>
      </c>
      <c r="C405" s="2">
        <v>-102.3798828</v>
      </c>
      <c r="D405" s="24">
        <f t="shared" si="1"/>
        <v>704347.8261</v>
      </c>
      <c r="E405" s="25">
        <f t="shared" si="2"/>
        <v>-149.6822695</v>
      </c>
      <c r="F405" s="24">
        <f t="shared" si="3"/>
        <v>0.0002125118642</v>
      </c>
      <c r="G405" s="24">
        <f t="shared" si="4"/>
        <v>0</v>
      </c>
      <c r="H405" s="26">
        <f t="shared" si="5"/>
        <v>0</v>
      </c>
      <c r="I405" s="24">
        <f t="shared" si="6"/>
        <v>0</v>
      </c>
      <c r="J405" s="24">
        <f t="shared" si="7"/>
        <v>0</v>
      </c>
      <c r="K405" s="24"/>
      <c r="L405" s="24">
        <f t="shared" si="8"/>
        <v>439.6609433</v>
      </c>
      <c r="M405" s="14">
        <f t="shared" si="9"/>
        <v>435.0949974</v>
      </c>
      <c r="N405" s="27">
        <f t="shared" si="10"/>
        <v>4.565945971</v>
      </c>
      <c r="O405" s="24"/>
      <c r="P405" s="24"/>
      <c r="Q405" s="24"/>
      <c r="R405" s="26"/>
      <c r="S405" s="14">
        <f t="shared" si="13"/>
        <v>4.192890528</v>
      </c>
    </row>
    <row r="406">
      <c r="A406" s="11">
        <v>394.0</v>
      </c>
      <c r="B406" s="11">
        <v>1.42110869565217E9</v>
      </c>
      <c r="C406" s="2">
        <v>-102.4057465</v>
      </c>
      <c r="D406" s="24">
        <f t="shared" si="1"/>
        <v>708695.6522</v>
      </c>
      <c r="E406" s="25">
        <f t="shared" si="2"/>
        <v>-150.6005657</v>
      </c>
      <c r="F406" s="24">
        <f t="shared" si="3"/>
        <v>0.0002125038657</v>
      </c>
      <c r="G406" s="24">
        <f t="shared" si="4"/>
        <v>0</v>
      </c>
      <c r="H406" s="26">
        <f t="shared" si="5"/>
        <v>0</v>
      </c>
      <c r="I406" s="24">
        <f t="shared" si="6"/>
        <v>0</v>
      </c>
      <c r="J406" s="24">
        <f t="shared" si="7"/>
        <v>0</v>
      </c>
      <c r="K406" s="24"/>
      <c r="L406" s="24">
        <f t="shared" si="8"/>
        <v>437.0503953</v>
      </c>
      <c r="M406" s="14">
        <f t="shared" si="9"/>
        <v>434.9888823</v>
      </c>
      <c r="N406" s="27">
        <f t="shared" si="10"/>
        <v>2.06151299</v>
      </c>
      <c r="O406" s="24"/>
      <c r="P406" s="24"/>
      <c r="Q406" s="24"/>
      <c r="R406" s="26"/>
      <c r="S406" s="14">
        <f t="shared" si="13"/>
        <v>1.893079402</v>
      </c>
    </row>
    <row r="407">
      <c r="A407" s="11">
        <v>395.0</v>
      </c>
      <c r="B407" s="11">
        <v>1.42111304347826E9</v>
      </c>
      <c r="C407" s="2">
        <v>-102.4522705</v>
      </c>
      <c r="D407" s="24">
        <f t="shared" si="1"/>
        <v>713043.4783</v>
      </c>
      <c r="E407" s="25">
        <f t="shared" si="2"/>
        <v>-151.5188618</v>
      </c>
      <c r="F407" s="24">
        <f t="shared" si="3"/>
        <v>0.0002124959647</v>
      </c>
      <c r="G407" s="24">
        <f t="shared" si="4"/>
        <v>0</v>
      </c>
      <c r="H407" s="26">
        <f t="shared" si="5"/>
        <v>0</v>
      </c>
      <c r="I407" s="24">
        <f t="shared" si="6"/>
        <v>0</v>
      </c>
      <c r="J407" s="24">
        <f t="shared" si="7"/>
        <v>0</v>
      </c>
      <c r="K407" s="24"/>
      <c r="L407" s="24">
        <f t="shared" si="8"/>
        <v>432.3934608</v>
      </c>
      <c r="M407" s="14">
        <f t="shared" si="9"/>
        <v>434.882996</v>
      </c>
      <c r="N407" s="27">
        <f t="shared" si="10"/>
        <v>-2.489535192</v>
      </c>
      <c r="O407" s="24"/>
      <c r="P407" s="24"/>
      <c r="Q407" s="24"/>
      <c r="R407" s="26"/>
      <c r="S407" s="14">
        <f t="shared" si="13"/>
        <v>-2.28613054</v>
      </c>
    </row>
    <row r="408">
      <c r="A408" s="11">
        <v>396.0</v>
      </c>
      <c r="B408" s="11">
        <v>1.42111739130434E9</v>
      </c>
      <c r="C408" s="2">
        <v>-102.4196167</v>
      </c>
      <c r="D408" s="24">
        <f t="shared" si="1"/>
        <v>717391.3043</v>
      </c>
      <c r="E408" s="25">
        <f t="shared" si="2"/>
        <v>-152.4371579</v>
      </c>
      <c r="F408" s="24">
        <f t="shared" si="3"/>
        <v>0.0002124881595</v>
      </c>
      <c r="G408" s="24">
        <f t="shared" si="4"/>
        <v>0</v>
      </c>
      <c r="H408" s="26">
        <f t="shared" si="5"/>
        <v>0</v>
      </c>
      <c r="I408" s="24">
        <f t="shared" si="6"/>
        <v>0</v>
      </c>
      <c r="J408" s="24">
        <f t="shared" si="7"/>
        <v>0</v>
      </c>
      <c r="K408" s="24"/>
      <c r="L408" s="24">
        <f t="shared" si="8"/>
        <v>435.6568002</v>
      </c>
      <c r="M408" s="14">
        <f t="shared" si="9"/>
        <v>434.777341</v>
      </c>
      <c r="N408" s="27">
        <f t="shared" si="10"/>
        <v>0.8794591978</v>
      </c>
      <c r="O408" s="24"/>
      <c r="P408" s="24"/>
      <c r="Q408" s="24"/>
      <c r="R408" s="26"/>
      <c r="S408" s="14">
        <f t="shared" si="13"/>
        <v>0.8076039803</v>
      </c>
    </row>
    <row r="409">
      <c r="A409" s="11">
        <v>397.0</v>
      </c>
      <c r="B409" s="11">
        <v>1.42112173913043E9</v>
      </c>
      <c r="C409" s="2">
        <v>-102.4264603</v>
      </c>
      <c r="D409" s="24">
        <f t="shared" si="1"/>
        <v>721739.1304</v>
      </c>
      <c r="E409" s="25">
        <f t="shared" si="2"/>
        <v>-153.3554541</v>
      </c>
      <c r="F409" s="24">
        <f t="shared" si="3"/>
        <v>0.0002124804484</v>
      </c>
      <c r="G409" s="24">
        <f t="shared" si="4"/>
        <v>0</v>
      </c>
      <c r="H409" s="26">
        <f t="shared" si="5"/>
        <v>0</v>
      </c>
      <c r="I409" s="24">
        <f t="shared" si="6"/>
        <v>0</v>
      </c>
      <c r="J409" s="24">
        <f t="shared" si="7"/>
        <v>0</v>
      </c>
      <c r="K409" s="24"/>
      <c r="L409" s="24">
        <f t="shared" si="8"/>
        <v>434.9708341</v>
      </c>
      <c r="M409" s="14">
        <f t="shared" si="9"/>
        <v>434.67192</v>
      </c>
      <c r="N409" s="27">
        <f t="shared" si="10"/>
        <v>0.2989140623</v>
      </c>
      <c r="O409" s="24"/>
      <c r="P409" s="24"/>
      <c r="Q409" s="24"/>
      <c r="R409" s="26"/>
      <c r="S409" s="14">
        <f t="shared" si="13"/>
        <v>0.2744916268</v>
      </c>
    </row>
    <row r="410">
      <c r="A410" s="11">
        <v>398.0</v>
      </c>
      <c r="B410" s="11">
        <v>1.42112608695652E9</v>
      </c>
      <c r="C410" s="2">
        <v>-102.4126663</v>
      </c>
      <c r="D410" s="24">
        <f t="shared" si="1"/>
        <v>726086.9565</v>
      </c>
      <c r="E410" s="25">
        <f t="shared" si="2"/>
        <v>-154.2737502</v>
      </c>
      <c r="F410" s="24">
        <f t="shared" si="3"/>
        <v>0.0002124728296</v>
      </c>
      <c r="G410" s="24">
        <f t="shared" si="4"/>
        <v>0</v>
      </c>
      <c r="H410" s="26">
        <f t="shared" si="5"/>
        <v>0</v>
      </c>
      <c r="I410" s="24">
        <f t="shared" si="6"/>
        <v>0</v>
      </c>
      <c r="J410" s="24">
        <f t="shared" si="7"/>
        <v>0</v>
      </c>
      <c r="K410" s="24"/>
      <c r="L410" s="24">
        <f t="shared" si="8"/>
        <v>436.3545787</v>
      </c>
      <c r="M410" s="14">
        <f t="shared" si="9"/>
        <v>434.5667357</v>
      </c>
      <c r="N410" s="27">
        <f t="shared" si="10"/>
        <v>1.787843016</v>
      </c>
      <c r="O410" s="24"/>
      <c r="P410" s="24"/>
      <c r="Q410" s="24"/>
      <c r="R410" s="26"/>
      <c r="S410" s="14">
        <f t="shared" si="13"/>
        <v>1.641769327</v>
      </c>
    </row>
    <row r="411">
      <c r="A411" s="11">
        <v>399.0</v>
      </c>
      <c r="B411" s="11">
        <v>1.4211304347826E9</v>
      </c>
      <c r="C411" s="2">
        <v>-102.4348526</v>
      </c>
      <c r="D411" s="24">
        <f t="shared" si="1"/>
        <v>730434.7826</v>
      </c>
      <c r="E411" s="25">
        <f t="shared" si="2"/>
        <v>-155.1920463</v>
      </c>
      <c r="F411" s="24">
        <f t="shared" si="3"/>
        <v>0.0002124653015</v>
      </c>
      <c r="G411" s="24">
        <f t="shared" si="4"/>
        <v>0</v>
      </c>
      <c r="H411" s="26">
        <f t="shared" si="5"/>
        <v>0</v>
      </c>
      <c r="I411" s="24">
        <f t="shared" si="6"/>
        <v>0</v>
      </c>
      <c r="J411" s="24">
        <f t="shared" si="7"/>
        <v>0</v>
      </c>
      <c r="K411" s="24"/>
      <c r="L411" s="24">
        <f t="shared" si="8"/>
        <v>434.1311087</v>
      </c>
      <c r="M411" s="14">
        <f t="shared" si="9"/>
        <v>434.4617905</v>
      </c>
      <c r="N411" s="27">
        <f t="shared" si="10"/>
        <v>-0.3306817877</v>
      </c>
      <c r="O411" s="24"/>
      <c r="P411" s="24"/>
      <c r="Q411" s="24"/>
      <c r="R411" s="26"/>
      <c r="S411" s="14">
        <f t="shared" si="13"/>
        <v>-0.3036638068</v>
      </c>
    </row>
    <row r="412">
      <c r="A412" s="11">
        <v>400.0</v>
      </c>
      <c r="B412" s="11">
        <v>1.42113478260869E9</v>
      </c>
      <c r="C412" s="2">
        <v>-102.4530411</v>
      </c>
      <c r="D412" s="24">
        <f t="shared" si="1"/>
        <v>734782.6087</v>
      </c>
      <c r="E412" s="25">
        <f t="shared" si="2"/>
        <v>-156.1103425</v>
      </c>
      <c r="F412" s="24">
        <f t="shared" si="3"/>
        <v>0.0002124578625</v>
      </c>
      <c r="G412" s="24">
        <f t="shared" si="4"/>
        <v>0</v>
      </c>
      <c r="H412" s="26">
        <f t="shared" si="5"/>
        <v>0</v>
      </c>
      <c r="I412" s="24">
        <f t="shared" si="6"/>
        <v>0</v>
      </c>
      <c r="J412" s="24">
        <f t="shared" si="7"/>
        <v>0</v>
      </c>
      <c r="K412" s="24"/>
      <c r="L412" s="24">
        <f t="shared" si="8"/>
        <v>432.3167449</v>
      </c>
      <c r="M412" s="14">
        <f t="shared" si="9"/>
        <v>434.3570872</v>
      </c>
      <c r="N412" s="27">
        <f t="shared" si="10"/>
        <v>-2.040342304</v>
      </c>
      <c r="O412" s="24"/>
      <c r="P412" s="24"/>
      <c r="Q412" s="24"/>
      <c r="R412" s="26"/>
      <c r="S412" s="14">
        <f t="shared" si="13"/>
        <v>-1.873638448</v>
      </c>
    </row>
    <row r="413">
      <c r="A413" s="11">
        <v>401.0</v>
      </c>
      <c r="B413" s="11">
        <v>1.42113913043478E9</v>
      </c>
      <c r="C413" s="2">
        <v>-102.4342346</v>
      </c>
      <c r="D413" s="24">
        <f t="shared" si="1"/>
        <v>739130.4348</v>
      </c>
      <c r="E413" s="25">
        <f t="shared" si="2"/>
        <v>-157.0286386</v>
      </c>
      <c r="F413" s="24">
        <f t="shared" si="3"/>
        <v>0.000212450511</v>
      </c>
      <c r="G413" s="24">
        <f t="shared" si="4"/>
        <v>0</v>
      </c>
      <c r="H413" s="26">
        <f t="shared" si="5"/>
        <v>0</v>
      </c>
      <c r="I413" s="24">
        <f t="shared" si="6"/>
        <v>0</v>
      </c>
      <c r="J413" s="24">
        <f t="shared" si="7"/>
        <v>0</v>
      </c>
      <c r="K413" s="24"/>
      <c r="L413" s="24">
        <f t="shared" si="8"/>
        <v>434.1928899</v>
      </c>
      <c r="M413" s="14">
        <f t="shared" si="9"/>
        <v>434.2526284</v>
      </c>
      <c r="N413" s="27">
        <f t="shared" si="10"/>
        <v>-0.0597385573</v>
      </c>
      <c r="O413" s="24"/>
      <c r="P413" s="24"/>
      <c r="Q413" s="24"/>
      <c r="R413" s="26"/>
      <c r="S413" s="14">
        <f t="shared" si="13"/>
        <v>-0.05485768602</v>
      </c>
    </row>
    <row r="414">
      <c r="A414" s="11">
        <v>402.0</v>
      </c>
      <c r="B414" s="11">
        <v>1.42114347826087E9</v>
      </c>
      <c r="C414" s="2">
        <v>-102.3866882</v>
      </c>
      <c r="D414" s="24">
        <f t="shared" si="1"/>
        <v>743478.2609</v>
      </c>
      <c r="E414" s="25">
        <f t="shared" si="2"/>
        <v>-157.9469347</v>
      </c>
      <c r="F414" s="24">
        <f t="shared" si="3"/>
        <v>0.0002124432455</v>
      </c>
      <c r="G414" s="24">
        <f t="shared" si="4"/>
        <v>0</v>
      </c>
      <c r="H414" s="26">
        <f t="shared" si="5"/>
        <v>0</v>
      </c>
      <c r="I414" s="24">
        <f t="shared" si="6"/>
        <v>0</v>
      </c>
      <c r="J414" s="24">
        <f t="shared" si="7"/>
        <v>0</v>
      </c>
      <c r="K414" s="24"/>
      <c r="L414" s="24">
        <f t="shared" si="8"/>
        <v>438.9725336</v>
      </c>
      <c r="M414" s="14">
        <f t="shared" si="9"/>
        <v>434.1484167</v>
      </c>
      <c r="N414" s="27">
        <f t="shared" si="10"/>
        <v>4.824116839</v>
      </c>
      <c r="O414" s="24"/>
      <c r="P414" s="24"/>
      <c r="Q414" s="24"/>
      <c r="R414" s="26"/>
      <c r="S414" s="14">
        <f t="shared" si="13"/>
        <v>4.429967837</v>
      </c>
    </row>
    <row r="415">
      <c r="A415" s="11">
        <v>403.0</v>
      </c>
      <c r="B415" s="11">
        <v>1.42114782608695E9</v>
      </c>
      <c r="C415" s="2">
        <v>-102.4378891</v>
      </c>
      <c r="D415" s="24">
        <f t="shared" si="1"/>
        <v>747826.087</v>
      </c>
      <c r="E415" s="25">
        <f t="shared" si="2"/>
        <v>-158.8652309</v>
      </c>
      <c r="F415" s="24">
        <f t="shared" si="3"/>
        <v>0.0002124360645</v>
      </c>
      <c r="G415" s="24">
        <f t="shared" si="4"/>
        <v>0</v>
      </c>
      <c r="H415" s="26">
        <f t="shared" si="5"/>
        <v>0</v>
      </c>
      <c r="I415" s="24">
        <f t="shared" si="6"/>
        <v>0</v>
      </c>
      <c r="J415" s="24">
        <f t="shared" si="7"/>
        <v>0</v>
      </c>
      <c r="K415" s="24"/>
      <c r="L415" s="24">
        <f t="shared" si="8"/>
        <v>433.827679</v>
      </c>
      <c r="M415" s="14">
        <f t="shared" si="9"/>
        <v>434.0444548</v>
      </c>
      <c r="N415" s="27">
        <f t="shared" si="10"/>
        <v>-0.2167757724</v>
      </c>
      <c r="O415" s="24"/>
      <c r="P415" s="24"/>
      <c r="Q415" s="24"/>
      <c r="R415" s="26"/>
      <c r="S415" s="14">
        <f t="shared" si="13"/>
        <v>-0.1990643535</v>
      </c>
    </row>
    <row r="416">
      <c r="A416" s="11">
        <v>404.0</v>
      </c>
      <c r="B416" s="11">
        <v>1.42115217391304E9</v>
      </c>
      <c r="C416" s="2">
        <v>-102.4324799</v>
      </c>
      <c r="D416" s="24">
        <f t="shared" si="1"/>
        <v>752173.913</v>
      </c>
      <c r="E416" s="25">
        <f t="shared" si="2"/>
        <v>-159.783527</v>
      </c>
      <c r="F416" s="24">
        <f t="shared" si="3"/>
        <v>0.0002124289665</v>
      </c>
      <c r="G416" s="24">
        <f t="shared" si="4"/>
        <v>0</v>
      </c>
      <c r="H416" s="26">
        <f t="shared" si="5"/>
        <v>0</v>
      </c>
      <c r="I416" s="24">
        <f t="shared" si="6"/>
        <v>0</v>
      </c>
      <c r="J416" s="24">
        <f t="shared" si="7"/>
        <v>0</v>
      </c>
      <c r="K416" s="24"/>
      <c r="L416" s="24">
        <f t="shared" si="8"/>
        <v>434.3683543</v>
      </c>
      <c r="M416" s="14">
        <f t="shared" si="9"/>
        <v>433.9407452</v>
      </c>
      <c r="N416" s="27">
        <f t="shared" si="10"/>
        <v>0.4276090228</v>
      </c>
      <c r="O416" s="24"/>
      <c r="P416" s="24"/>
      <c r="Q416" s="24"/>
      <c r="R416" s="26"/>
      <c r="S416" s="14">
        <f t="shared" si="13"/>
        <v>0.3926717111</v>
      </c>
    </row>
    <row r="417">
      <c r="A417" s="11">
        <v>405.0</v>
      </c>
      <c r="B417" s="11">
        <v>1.42115652173913E9</v>
      </c>
      <c r="C417" s="2">
        <v>-102.4300308</v>
      </c>
      <c r="D417" s="3">
        <f t="shared" si="1"/>
        <v>756521.7391</v>
      </c>
      <c r="E417" s="4">
        <f t="shared" si="2"/>
        <v>-160.7018231</v>
      </c>
      <c r="F417" s="3">
        <f t="shared" si="3"/>
        <v>0.0002124219501</v>
      </c>
      <c r="G417" s="3">
        <f t="shared" si="4"/>
        <v>0</v>
      </c>
      <c r="H417" s="2">
        <f t="shared" si="5"/>
        <v>0</v>
      </c>
      <c r="I417" s="3">
        <f t="shared" si="6"/>
        <v>0</v>
      </c>
      <c r="J417" s="3">
        <f t="shared" si="7"/>
        <v>0</v>
      </c>
      <c r="K417" s="3"/>
      <c r="L417" s="3">
        <f t="shared" si="8"/>
        <v>434.613375</v>
      </c>
      <c r="M417" s="14">
        <f t="shared" si="9"/>
        <v>433.8372907</v>
      </c>
      <c r="N417" s="14">
        <f t="shared" si="10"/>
        <v>0.7760843281</v>
      </c>
      <c r="O417" s="3"/>
      <c r="P417" s="3"/>
      <c r="Q417" s="3"/>
      <c r="R417" s="2"/>
      <c r="S417" s="14">
        <f t="shared" si="13"/>
        <v>0.7126752372</v>
      </c>
    </row>
    <row r="418">
      <c r="A418" s="11">
        <v>406.0</v>
      </c>
      <c r="B418" s="11">
        <v>1.42116086956521E9</v>
      </c>
      <c r="C418" s="2">
        <v>-102.4720917</v>
      </c>
      <c r="D418" s="3">
        <f t="shared" si="1"/>
        <v>760869.5652</v>
      </c>
      <c r="E418" s="4">
        <f t="shared" si="2"/>
        <v>-161.6201193</v>
      </c>
      <c r="F418" s="3">
        <f t="shared" si="3"/>
        <v>0.0002124150139</v>
      </c>
      <c r="G418" s="3">
        <f t="shared" si="4"/>
        <v>0</v>
      </c>
      <c r="H418" s="2">
        <f t="shared" si="5"/>
        <v>0</v>
      </c>
      <c r="I418" s="3">
        <f t="shared" si="6"/>
        <v>0</v>
      </c>
      <c r="J418" s="3">
        <f t="shared" si="7"/>
        <v>0</v>
      </c>
      <c r="K418" s="3"/>
      <c r="L418" s="3">
        <f t="shared" si="8"/>
        <v>430.4245136</v>
      </c>
      <c r="M418" s="14">
        <f t="shared" si="9"/>
        <v>433.7340937</v>
      </c>
      <c r="N418" s="14">
        <f t="shared" si="10"/>
        <v>-3.309580121</v>
      </c>
      <c r="O418" s="3"/>
      <c r="P418" s="3"/>
      <c r="Q418" s="3"/>
      <c r="R418" s="2"/>
      <c r="S418" s="14">
        <f t="shared" si="13"/>
        <v>-3.039174626</v>
      </c>
    </row>
    <row r="419">
      <c r="A419" s="11">
        <v>407.0</v>
      </c>
      <c r="B419" s="11">
        <v>1.4211652173913E9</v>
      </c>
      <c r="C419" s="2">
        <v>-102.4283371</v>
      </c>
      <c r="D419" s="3">
        <f t="shared" si="1"/>
        <v>765217.3913</v>
      </c>
      <c r="E419" s="4">
        <f t="shared" si="2"/>
        <v>-162.5384154</v>
      </c>
      <c r="F419" s="3">
        <f t="shared" si="3"/>
        <v>0.0002124081565</v>
      </c>
      <c r="G419" s="3">
        <f t="shared" si="4"/>
        <v>0</v>
      </c>
      <c r="H419" s="2">
        <f t="shared" si="5"/>
        <v>0</v>
      </c>
      <c r="I419" s="3">
        <f t="shared" si="6"/>
        <v>0</v>
      </c>
      <c r="J419" s="3">
        <f t="shared" si="7"/>
        <v>0</v>
      </c>
      <c r="K419" s="3"/>
      <c r="L419" s="3">
        <f t="shared" si="8"/>
        <v>434.7829024</v>
      </c>
      <c r="M419" s="14">
        <f t="shared" si="9"/>
        <v>433.631157</v>
      </c>
      <c r="N419" s="14">
        <f t="shared" si="10"/>
        <v>1.151745375</v>
      </c>
      <c r="O419" s="3"/>
      <c r="P419" s="3"/>
      <c r="Q419" s="3"/>
      <c r="R419" s="2"/>
      <c r="S419" s="14">
        <f t="shared" si="13"/>
        <v>1.057643321</v>
      </c>
    </row>
    <row r="420">
      <c r="A420" s="11">
        <v>408.0</v>
      </c>
      <c r="B420" s="11">
        <v>1.42116956521739E9</v>
      </c>
      <c r="C420" s="2">
        <v>-102.4287872</v>
      </c>
      <c r="D420" s="3">
        <f t="shared" si="1"/>
        <v>769565.2174</v>
      </c>
      <c r="E420" s="4">
        <f t="shared" si="2"/>
        <v>-163.4567115</v>
      </c>
      <c r="F420" s="3">
        <f t="shared" si="3"/>
        <v>0.0002124013765</v>
      </c>
      <c r="G420" s="3">
        <f t="shared" si="4"/>
        <v>0</v>
      </c>
      <c r="H420" s="2">
        <f t="shared" si="5"/>
        <v>0</v>
      </c>
      <c r="I420" s="3">
        <f t="shared" si="6"/>
        <v>0</v>
      </c>
      <c r="J420" s="3">
        <f t="shared" si="7"/>
        <v>0</v>
      </c>
      <c r="K420" s="3"/>
      <c r="L420" s="3">
        <f t="shared" si="8"/>
        <v>434.7378441</v>
      </c>
      <c r="M420" s="14">
        <f t="shared" si="9"/>
        <v>433.5284832</v>
      </c>
      <c r="N420" s="14">
        <f t="shared" si="10"/>
        <v>1.209360896</v>
      </c>
      <c r="O420" s="3"/>
      <c r="P420" s="3"/>
      <c r="Q420" s="3"/>
      <c r="R420" s="2"/>
      <c r="S420" s="14">
        <f t="shared" si="13"/>
        <v>1.110551434</v>
      </c>
    </row>
    <row r="421">
      <c r="A421" s="11">
        <v>409.0</v>
      </c>
      <c r="B421" s="11">
        <v>1.42117391304347E9</v>
      </c>
      <c r="C421" s="2">
        <v>-102.4240723</v>
      </c>
      <c r="D421" s="3">
        <f t="shared" si="1"/>
        <v>773913.0435</v>
      </c>
      <c r="E421" s="4">
        <f t="shared" si="2"/>
        <v>-164.3750077</v>
      </c>
      <c r="F421" s="3">
        <f t="shared" si="3"/>
        <v>0.0002123946728</v>
      </c>
      <c r="G421" s="3">
        <f t="shared" si="4"/>
        <v>0</v>
      </c>
      <c r="H421" s="2">
        <f t="shared" si="5"/>
        <v>0</v>
      </c>
      <c r="I421" s="3">
        <f t="shared" si="6"/>
        <v>0</v>
      </c>
      <c r="J421" s="3">
        <f t="shared" si="7"/>
        <v>0</v>
      </c>
      <c r="K421" s="3"/>
      <c r="L421" s="3">
        <f t="shared" si="8"/>
        <v>435.2100718</v>
      </c>
      <c r="M421" s="14">
        <f t="shared" si="9"/>
        <v>433.4260749</v>
      </c>
      <c r="N421" s="14">
        <f t="shared" si="10"/>
        <v>1.783996818</v>
      </c>
      <c r="O421" s="3"/>
      <c r="P421" s="3"/>
      <c r="Q421" s="3"/>
      <c r="R421" s="2"/>
      <c r="S421" s="14">
        <f t="shared" si="13"/>
        <v>1.638237379</v>
      </c>
    </row>
    <row r="422">
      <c r="A422" s="11">
        <v>410.0</v>
      </c>
      <c r="B422" s="11">
        <v>1.42117826086956E9</v>
      </c>
      <c r="C422" s="2">
        <v>-102.4670715</v>
      </c>
      <c r="D422" s="3">
        <f t="shared" si="1"/>
        <v>778260.8696</v>
      </c>
      <c r="E422" s="4">
        <f t="shared" si="2"/>
        <v>-165.2933038</v>
      </c>
      <c r="F422" s="3">
        <f t="shared" si="3"/>
        <v>0.000212388044</v>
      </c>
      <c r="G422" s="3">
        <f t="shared" si="4"/>
        <v>0</v>
      </c>
      <c r="H422" s="2">
        <f t="shared" si="5"/>
        <v>0</v>
      </c>
      <c r="I422" s="3">
        <f t="shared" si="6"/>
        <v>0</v>
      </c>
      <c r="J422" s="3">
        <f t="shared" si="7"/>
        <v>0</v>
      </c>
      <c r="K422" s="3"/>
      <c r="L422" s="3">
        <f t="shared" si="8"/>
        <v>430.9223478</v>
      </c>
      <c r="M422" s="14">
        <f t="shared" si="9"/>
        <v>433.3239348</v>
      </c>
      <c r="N422" s="14">
        <f t="shared" si="10"/>
        <v>-2.401586956</v>
      </c>
      <c r="O422" s="3"/>
      <c r="P422" s="3"/>
      <c r="Q422" s="3"/>
      <c r="R422" s="2"/>
      <c r="S422" s="14">
        <f t="shared" si="13"/>
        <v>-2.205368009</v>
      </c>
    </row>
    <row r="423">
      <c r="A423" s="11">
        <v>411.0</v>
      </c>
      <c r="B423" s="11">
        <v>1.42118260869565E9</v>
      </c>
      <c r="C423" s="2">
        <v>-102.4084015</v>
      </c>
      <c r="D423" s="3">
        <f t="shared" si="1"/>
        <v>782608.6957</v>
      </c>
      <c r="E423" s="4">
        <f t="shared" si="2"/>
        <v>-166.2115999</v>
      </c>
      <c r="F423" s="3">
        <f t="shared" si="3"/>
        <v>0.0002123814888</v>
      </c>
      <c r="G423" s="3">
        <f t="shared" si="4"/>
        <v>0</v>
      </c>
      <c r="H423" s="2">
        <f t="shared" si="5"/>
        <v>0</v>
      </c>
      <c r="I423" s="3">
        <f t="shared" si="6"/>
        <v>0</v>
      </c>
      <c r="J423" s="3">
        <f t="shared" si="7"/>
        <v>0</v>
      </c>
      <c r="K423" s="3"/>
      <c r="L423" s="3">
        <f t="shared" si="8"/>
        <v>436.7832922</v>
      </c>
      <c r="M423" s="14">
        <f t="shared" si="9"/>
        <v>433.2220654</v>
      </c>
      <c r="N423" s="14">
        <f t="shared" si="10"/>
        <v>3.561226779</v>
      </c>
      <c r="O423" s="3"/>
      <c r="P423" s="3"/>
      <c r="Q423" s="3"/>
      <c r="R423" s="2"/>
      <c r="S423" s="14">
        <f t="shared" si="13"/>
        <v>3.270260779</v>
      </c>
    </row>
    <row r="424">
      <c r="A424" s="11">
        <v>412.0</v>
      </c>
      <c r="B424" s="11">
        <v>1.42118695652173E9</v>
      </c>
      <c r="C424" s="2">
        <v>-102.4573517</v>
      </c>
      <c r="D424" s="3">
        <f t="shared" si="1"/>
        <v>786956.5217</v>
      </c>
      <c r="E424" s="4">
        <f t="shared" si="2"/>
        <v>-167.129896</v>
      </c>
      <c r="F424" s="3">
        <f t="shared" si="3"/>
        <v>0.000212375006</v>
      </c>
      <c r="G424" s="3">
        <f t="shared" si="4"/>
        <v>0</v>
      </c>
      <c r="H424" s="2">
        <f t="shared" si="5"/>
        <v>0</v>
      </c>
      <c r="I424" s="3">
        <f t="shared" si="6"/>
        <v>0</v>
      </c>
      <c r="J424" s="3">
        <f t="shared" si="7"/>
        <v>0</v>
      </c>
      <c r="K424" s="3"/>
      <c r="L424" s="3">
        <f t="shared" si="8"/>
        <v>431.8878608</v>
      </c>
      <c r="M424" s="14">
        <f t="shared" si="9"/>
        <v>433.1204694</v>
      </c>
      <c r="N424" s="14">
        <f t="shared" si="10"/>
        <v>-1.232608573</v>
      </c>
      <c r="O424" s="3"/>
      <c r="P424" s="3"/>
      <c r="Q424" s="3"/>
      <c r="R424" s="2"/>
      <c r="S424" s="14">
        <f t="shared" si="13"/>
        <v>-1.131899686</v>
      </c>
    </row>
    <row r="425">
      <c r="A425" s="11">
        <v>413.0</v>
      </c>
      <c r="B425" s="11">
        <v>1.42119130434782E9</v>
      </c>
      <c r="C425" s="2">
        <v>-102.4877014</v>
      </c>
      <c r="D425" s="3">
        <f t="shared" si="1"/>
        <v>791304.3478</v>
      </c>
      <c r="E425" s="4">
        <f t="shared" si="2"/>
        <v>-168.0481922</v>
      </c>
      <c r="F425" s="3">
        <f t="shared" si="3"/>
        <v>0.0002123685945</v>
      </c>
      <c r="G425" s="3">
        <f t="shared" si="4"/>
        <v>0</v>
      </c>
      <c r="H425" s="2">
        <f t="shared" si="5"/>
        <v>0</v>
      </c>
      <c r="I425" s="3">
        <f t="shared" si="6"/>
        <v>0</v>
      </c>
      <c r="J425" s="3">
        <f t="shared" si="7"/>
        <v>0</v>
      </c>
      <c r="K425" s="3"/>
      <c r="L425" s="3">
        <f t="shared" si="8"/>
        <v>428.8802303</v>
      </c>
      <c r="M425" s="14">
        <f t="shared" si="9"/>
        <v>433.0191494</v>
      </c>
      <c r="N425" s="14">
        <f t="shared" si="10"/>
        <v>-4.138919132</v>
      </c>
      <c r="O425" s="3"/>
      <c r="P425" s="3"/>
      <c r="Q425" s="3"/>
      <c r="R425" s="2"/>
      <c r="S425" s="14">
        <f t="shared" si="13"/>
        <v>-3.800753433</v>
      </c>
    </row>
    <row r="426">
      <c r="A426" s="11">
        <v>414.0</v>
      </c>
      <c r="B426" s="11">
        <v>1.42119565217391E9</v>
      </c>
      <c r="C426" s="2">
        <v>-102.4652863</v>
      </c>
      <c r="D426" s="3">
        <f t="shared" si="1"/>
        <v>795652.1739</v>
      </c>
      <c r="E426" s="4">
        <f t="shared" si="2"/>
        <v>-168.9664883</v>
      </c>
      <c r="F426" s="3">
        <f t="shared" si="3"/>
        <v>0.0002123622531</v>
      </c>
      <c r="G426" s="3">
        <f t="shared" si="4"/>
        <v>0</v>
      </c>
      <c r="H426" s="2">
        <f t="shared" si="5"/>
        <v>0</v>
      </c>
      <c r="I426" s="3">
        <f t="shared" si="6"/>
        <v>0</v>
      </c>
      <c r="J426" s="3">
        <f t="shared" si="7"/>
        <v>0</v>
      </c>
      <c r="K426" s="3"/>
      <c r="L426" s="3">
        <f t="shared" si="8"/>
        <v>431.0995181</v>
      </c>
      <c r="M426" s="14">
        <f t="shared" si="9"/>
        <v>432.918108</v>
      </c>
      <c r="N426" s="14">
        <f t="shared" si="10"/>
        <v>-1.818589947</v>
      </c>
      <c r="O426" s="3"/>
      <c r="P426" s="3"/>
      <c r="Q426" s="3"/>
      <c r="R426" s="2"/>
      <c r="S426" s="14">
        <f t="shared" si="13"/>
        <v>-1.670004112</v>
      </c>
    </row>
    <row r="427">
      <c r="A427" s="11">
        <v>415.0</v>
      </c>
      <c r="B427" s="11">
        <v>1.4212E9</v>
      </c>
      <c r="C427" s="2">
        <v>-102.4258728</v>
      </c>
      <c r="D427" s="3">
        <f t="shared" si="1"/>
        <v>800000</v>
      </c>
      <c r="E427" s="4">
        <f t="shared" si="2"/>
        <v>-169.8847844</v>
      </c>
      <c r="F427" s="3">
        <f t="shared" si="3"/>
        <v>0.0002123559806</v>
      </c>
      <c r="G427" s="3">
        <f t="shared" si="4"/>
        <v>0</v>
      </c>
      <c r="H427" s="2">
        <f t="shared" si="5"/>
        <v>0</v>
      </c>
      <c r="I427" s="3">
        <f t="shared" si="6"/>
        <v>0</v>
      </c>
      <c r="J427" s="3">
        <f t="shared" si="7"/>
        <v>0</v>
      </c>
      <c r="K427" s="3"/>
      <c r="L427" s="3">
        <f t="shared" si="8"/>
        <v>435.0296796</v>
      </c>
      <c r="M427" s="14">
        <f t="shared" si="9"/>
        <v>432.817348</v>
      </c>
      <c r="N427" s="14">
        <f t="shared" si="10"/>
        <v>2.212331599</v>
      </c>
      <c r="O427" s="3"/>
      <c r="P427" s="3"/>
      <c r="Q427" s="3"/>
      <c r="R427" s="2"/>
      <c r="S427" s="14">
        <f t="shared" si="13"/>
        <v>2.031575552</v>
      </c>
    </row>
    <row r="428">
      <c r="A428" s="11">
        <v>416.0</v>
      </c>
      <c r="B428" s="11">
        <v>1.42120434782608E9</v>
      </c>
      <c r="C428" s="2">
        <v>-102.4496613</v>
      </c>
      <c r="D428" s="3">
        <f t="shared" si="1"/>
        <v>804347.8261</v>
      </c>
      <c r="E428" s="4">
        <f t="shared" si="2"/>
        <v>-170.8030806</v>
      </c>
      <c r="F428" s="3">
        <f t="shared" si="3"/>
        <v>0.0002123497759</v>
      </c>
      <c r="G428" s="3">
        <f t="shared" si="4"/>
        <v>0</v>
      </c>
      <c r="H428" s="2">
        <f t="shared" si="5"/>
        <v>0</v>
      </c>
      <c r="I428" s="3">
        <f t="shared" si="6"/>
        <v>0</v>
      </c>
      <c r="J428" s="3">
        <f t="shared" si="7"/>
        <v>0</v>
      </c>
      <c r="K428" s="3"/>
      <c r="L428" s="3">
        <f t="shared" si="8"/>
        <v>432.6533167</v>
      </c>
      <c r="M428" s="14">
        <f t="shared" si="9"/>
        <v>432.7168718</v>
      </c>
      <c r="N428" s="14">
        <f t="shared" si="10"/>
        <v>-0.06355506862</v>
      </c>
      <c r="O428" s="3"/>
      <c r="P428" s="3"/>
      <c r="Q428" s="3"/>
      <c r="R428" s="2"/>
      <c r="S428" s="14">
        <f t="shared" si="13"/>
        <v>-0.05836237373</v>
      </c>
    </row>
    <row r="429">
      <c r="A429" s="11">
        <v>417.0</v>
      </c>
      <c r="B429" s="11">
        <v>1.42120869565217E9</v>
      </c>
      <c r="C429" s="2">
        <v>-102.5007401</v>
      </c>
      <c r="D429" s="3">
        <f t="shared" si="1"/>
        <v>808695.6522</v>
      </c>
      <c r="E429" s="4">
        <f t="shared" si="2"/>
        <v>-171.7213767</v>
      </c>
      <c r="F429" s="3">
        <f t="shared" si="3"/>
        <v>0.0002123436379</v>
      </c>
      <c r="G429" s="3">
        <f t="shared" si="4"/>
        <v>0</v>
      </c>
      <c r="H429" s="2">
        <f t="shared" si="5"/>
        <v>0</v>
      </c>
      <c r="I429" s="3">
        <f t="shared" si="6"/>
        <v>0</v>
      </c>
      <c r="J429" s="3">
        <f t="shared" si="7"/>
        <v>0</v>
      </c>
      <c r="K429" s="3"/>
      <c r="L429" s="3">
        <f t="shared" si="8"/>
        <v>427.5945463</v>
      </c>
      <c r="M429" s="14">
        <f t="shared" si="9"/>
        <v>432.6166822</v>
      </c>
      <c r="N429" s="14">
        <f t="shared" si="10"/>
        <v>-5.022135899</v>
      </c>
      <c r="O429" s="3"/>
      <c r="P429" s="3"/>
      <c r="Q429" s="3"/>
      <c r="R429" s="2"/>
      <c r="S429" s="14">
        <f t="shared" si="13"/>
        <v>-4.611807964</v>
      </c>
    </row>
    <row r="430">
      <c r="A430" s="11">
        <v>418.0</v>
      </c>
      <c r="B430" s="11">
        <v>1.42121304347826E9</v>
      </c>
      <c r="C430" s="2">
        <v>-102.3940659</v>
      </c>
      <c r="D430" s="3">
        <f t="shared" si="1"/>
        <v>813043.4783</v>
      </c>
      <c r="E430" s="4">
        <f t="shared" si="2"/>
        <v>-172.6396728</v>
      </c>
      <c r="F430" s="3">
        <f t="shared" si="3"/>
        <v>0.0002123375655</v>
      </c>
      <c r="G430" s="3">
        <f t="shared" si="4"/>
        <v>0</v>
      </c>
      <c r="H430" s="2">
        <f t="shared" si="5"/>
        <v>0</v>
      </c>
      <c r="I430" s="3">
        <f t="shared" si="6"/>
        <v>0</v>
      </c>
      <c r="J430" s="3">
        <f t="shared" si="7"/>
        <v>0</v>
      </c>
      <c r="K430" s="3"/>
      <c r="L430" s="3">
        <f t="shared" si="8"/>
        <v>438.2274497</v>
      </c>
      <c r="M430" s="14">
        <f t="shared" si="9"/>
        <v>432.5167817</v>
      </c>
      <c r="N430" s="14">
        <f t="shared" si="10"/>
        <v>5.710667982</v>
      </c>
      <c r="O430" s="3"/>
      <c r="P430" s="3"/>
      <c r="Q430" s="3"/>
      <c r="R430" s="2"/>
      <c r="S430" s="14">
        <f t="shared" si="13"/>
        <v>5.244084323</v>
      </c>
    </row>
    <row r="431">
      <c r="A431" s="11">
        <v>419.0</v>
      </c>
      <c r="B431" s="11">
        <v>1.42121739130434E9</v>
      </c>
      <c r="C431" s="2">
        <v>-102.4215775</v>
      </c>
      <c r="D431" s="3">
        <f t="shared" si="1"/>
        <v>817391.3043</v>
      </c>
      <c r="E431" s="4">
        <f t="shared" si="2"/>
        <v>-173.557969</v>
      </c>
      <c r="F431" s="3">
        <f t="shared" si="3"/>
        <v>0.0002123315578</v>
      </c>
      <c r="G431" s="3">
        <f t="shared" si="4"/>
        <v>0</v>
      </c>
      <c r="H431" s="2">
        <f t="shared" si="5"/>
        <v>0</v>
      </c>
      <c r="I431" s="3">
        <f t="shared" si="6"/>
        <v>0</v>
      </c>
      <c r="J431" s="3">
        <f t="shared" si="7"/>
        <v>0</v>
      </c>
      <c r="K431" s="3"/>
      <c r="L431" s="3">
        <f t="shared" si="8"/>
        <v>435.4601495</v>
      </c>
      <c r="M431" s="14">
        <f t="shared" si="9"/>
        <v>432.417173</v>
      </c>
      <c r="N431" s="14">
        <f t="shared" si="10"/>
        <v>3.042976573</v>
      </c>
      <c r="O431" s="3"/>
      <c r="P431" s="3"/>
      <c r="Q431" s="3"/>
      <c r="R431" s="2"/>
      <c r="S431" s="14">
        <f t="shared" si="13"/>
        <v>2.794353619</v>
      </c>
    </row>
    <row r="432">
      <c r="A432" s="11">
        <v>420.0</v>
      </c>
      <c r="B432" s="11">
        <v>1.42122173913043E9</v>
      </c>
      <c r="C432" s="2">
        <v>-102.4362564</v>
      </c>
      <c r="D432" s="3">
        <f t="shared" si="1"/>
        <v>821739.1304</v>
      </c>
      <c r="E432" s="4">
        <f t="shared" si="2"/>
        <v>-174.4762651</v>
      </c>
      <c r="F432" s="3">
        <f t="shared" si="3"/>
        <v>0.0002123256136</v>
      </c>
      <c r="G432" s="3">
        <f t="shared" si="4"/>
        <v>0</v>
      </c>
      <c r="H432" s="2">
        <f t="shared" si="5"/>
        <v>0</v>
      </c>
      <c r="I432" s="3">
        <f t="shared" si="6"/>
        <v>0</v>
      </c>
      <c r="J432" s="3">
        <f t="shared" si="7"/>
        <v>0</v>
      </c>
      <c r="K432" s="3"/>
      <c r="L432" s="3">
        <f t="shared" si="8"/>
        <v>433.9908042</v>
      </c>
      <c r="M432" s="14">
        <f t="shared" si="9"/>
        <v>432.3178587</v>
      </c>
      <c r="N432" s="14">
        <f t="shared" si="10"/>
        <v>1.672945528</v>
      </c>
      <c r="O432" s="3"/>
      <c r="P432" s="3"/>
      <c r="Q432" s="3"/>
      <c r="R432" s="2"/>
      <c r="S432" s="14">
        <f t="shared" si="13"/>
        <v>1.536259405</v>
      </c>
    </row>
    <row r="433">
      <c r="A433" s="11">
        <v>421.0</v>
      </c>
      <c r="B433" s="11">
        <v>1.42122608695652E9</v>
      </c>
      <c r="C433" s="2">
        <v>-102.4699478</v>
      </c>
      <c r="D433" s="3">
        <f t="shared" si="1"/>
        <v>826086.9565</v>
      </c>
      <c r="E433" s="4">
        <f t="shared" si="2"/>
        <v>-175.3945612</v>
      </c>
      <c r="F433" s="3">
        <f t="shared" si="3"/>
        <v>0.000212319732</v>
      </c>
      <c r="G433" s="3">
        <f t="shared" si="4"/>
        <v>0</v>
      </c>
      <c r="H433" s="2">
        <f t="shared" si="5"/>
        <v>0</v>
      </c>
      <c r="I433" s="3">
        <f t="shared" si="6"/>
        <v>0</v>
      </c>
      <c r="J433" s="3">
        <f t="shared" si="7"/>
        <v>0</v>
      </c>
      <c r="K433" s="3"/>
      <c r="L433" s="3">
        <f t="shared" si="8"/>
        <v>430.6370457</v>
      </c>
      <c r="M433" s="14">
        <f t="shared" si="9"/>
        <v>432.2188414</v>
      </c>
      <c r="N433" s="14">
        <f t="shared" si="10"/>
        <v>-1.581795767</v>
      </c>
      <c r="O433" s="3"/>
      <c r="P433" s="3"/>
      <c r="Q433" s="3"/>
      <c r="R433" s="2"/>
      <c r="S433" s="14">
        <f t="shared" si="13"/>
        <v>-1.452556936</v>
      </c>
    </row>
    <row r="434">
      <c r="A434" s="11">
        <v>422.0</v>
      </c>
      <c r="B434" s="11">
        <v>1.4212304347826E9</v>
      </c>
      <c r="C434" s="2">
        <v>-102.4825592</v>
      </c>
      <c r="D434" s="3">
        <f t="shared" si="1"/>
        <v>830434.7826</v>
      </c>
      <c r="E434" s="4">
        <f t="shared" si="2"/>
        <v>-176.3128574</v>
      </c>
      <c r="F434" s="3">
        <f t="shared" si="3"/>
        <v>0.000212313912</v>
      </c>
      <c r="G434" s="3">
        <f t="shared" si="4"/>
        <v>0</v>
      </c>
      <c r="H434" s="2">
        <f t="shared" si="5"/>
        <v>0</v>
      </c>
      <c r="I434" s="3">
        <f t="shared" si="6"/>
        <v>0</v>
      </c>
      <c r="J434" s="3">
        <f t="shared" si="7"/>
        <v>0</v>
      </c>
      <c r="K434" s="3"/>
      <c r="L434" s="3">
        <f t="shared" si="8"/>
        <v>429.3883403</v>
      </c>
      <c r="M434" s="14">
        <f t="shared" si="9"/>
        <v>432.1201238</v>
      </c>
      <c r="N434" s="14">
        <f t="shared" si="10"/>
        <v>-2.731783488</v>
      </c>
      <c r="O434" s="3"/>
      <c r="P434" s="3"/>
      <c r="Q434" s="3"/>
      <c r="R434" s="2"/>
      <c r="S434" s="14">
        <f t="shared" si="13"/>
        <v>-2.508586213</v>
      </c>
    </row>
    <row r="435">
      <c r="A435" s="11">
        <v>423.0</v>
      </c>
      <c r="B435" s="11">
        <v>1.42123478260869E9</v>
      </c>
      <c r="C435" s="2">
        <v>-102.4561615</v>
      </c>
      <c r="D435" s="3">
        <f t="shared" si="1"/>
        <v>834782.6087</v>
      </c>
      <c r="E435" s="4">
        <f t="shared" si="2"/>
        <v>-177.2311535</v>
      </c>
      <c r="F435" s="3">
        <f t="shared" si="3"/>
        <v>0.0002123081526</v>
      </c>
      <c r="G435" s="3">
        <f t="shared" si="4"/>
        <v>0</v>
      </c>
      <c r="H435" s="2">
        <f t="shared" si="5"/>
        <v>0</v>
      </c>
      <c r="I435" s="3">
        <f t="shared" si="6"/>
        <v>0</v>
      </c>
      <c r="J435" s="3">
        <f t="shared" si="7"/>
        <v>0</v>
      </c>
      <c r="K435" s="3"/>
      <c r="L435" s="3">
        <f t="shared" si="8"/>
        <v>432.0062375</v>
      </c>
      <c r="M435" s="14">
        <f t="shared" si="9"/>
        <v>432.0217085</v>
      </c>
      <c r="N435" s="14">
        <f t="shared" si="10"/>
        <v>-0.01547105001</v>
      </c>
      <c r="O435" s="3"/>
      <c r="P435" s="3"/>
      <c r="Q435" s="3"/>
      <c r="R435" s="2"/>
      <c r="S435" s="14">
        <f t="shared" si="13"/>
        <v>-0.0142070054</v>
      </c>
    </row>
    <row r="436">
      <c r="A436" s="11">
        <v>424.0</v>
      </c>
      <c r="B436" s="11">
        <v>1.42123913043478E9</v>
      </c>
      <c r="C436" s="2">
        <v>-102.4358978</v>
      </c>
      <c r="D436" s="3">
        <f t="shared" si="1"/>
        <v>839130.4348</v>
      </c>
      <c r="E436" s="4">
        <f t="shared" si="2"/>
        <v>-178.1494496</v>
      </c>
      <c r="F436" s="3">
        <f t="shared" si="3"/>
        <v>0.0002123024529</v>
      </c>
      <c r="G436" s="3">
        <f t="shared" si="4"/>
        <v>0</v>
      </c>
      <c r="H436" s="2">
        <f t="shared" si="5"/>
        <v>0</v>
      </c>
      <c r="I436" s="3">
        <f t="shared" si="6"/>
        <v>0</v>
      </c>
      <c r="J436" s="3">
        <f t="shared" si="7"/>
        <v>0</v>
      </c>
      <c r="K436" s="3"/>
      <c r="L436" s="3">
        <f t="shared" si="8"/>
        <v>434.0266406</v>
      </c>
      <c r="M436" s="14">
        <f t="shared" si="9"/>
        <v>431.9235982</v>
      </c>
      <c r="N436" s="14">
        <f t="shared" si="10"/>
        <v>2.103042457</v>
      </c>
      <c r="O436" s="3"/>
      <c r="P436" s="3"/>
      <c r="Q436" s="3"/>
      <c r="R436" s="2"/>
      <c r="S436" s="14">
        <f t="shared" si="13"/>
        <v>1.93121575</v>
      </c>
    </row>
    <row r="437">
      <c r="A437" s="11">
        <v>425.0</v>
      </c>
      <c r="B437" s="11">
        <v>1.42124347826087E9</v>
      </c>
      <c r="C437" s="2">
        <v>-102.4454803</v>
      </c>
      <c r="D437" s="3">
        <f t="shared" si="1"/>
        <v>843478.2609</v>
      </c>
      <c r="E437" s="4">
        <f t="shared" si="2"/>
        <v>-179.0677458</v>
      </c>
      <c r="F437" s="3">
        <f t="shared" si="3"/>
        <v>0.000212296812</v>
      </c>
      <c r="G437" s="3">
        <f t="shared" si="4"/>
        <v>0</v>
      </c>
      <c r="H437" s="2">
        <f t="shared" si="5"/>
        <v>0</v>
      </c>
      <c r="I437" s="3">
        <f t="shared" si="6"/>
        <v>0</v>
      </c>
      <c r="J437" s="3">
        <f t="shared" si="7"/>
        <v>0</v>
      </c>
      <c r="K437" s="3"/>
      <c r="L437" s="3">
        <f t="shared" si="8"/>
        <v>433.0700373</v>
      </c>
      <c r="M437" s="14">
        <f t="shared" si="9"/>
        <v>431.8257953</v>
      </c>
      <c r="N437" s="14">
        <f t="shared" si="10"/>
        <v>1.244242004</v>
      </c>
      <c r="O437" s="3"/>
      <c r="P437" s="3"/>
      <c r="Q437" s="3"/>
      <c r="R437" s="2"/>
      <c r="S437" s="14">
        <f t="shared" si="13"/>
        <v>1.142582621</v>
      </c>
    </row>
    <row r="438">
      <c r="A438" s="11">
        <v>426.0</v>
      </c>
      <c r="B438" s="11">
        <v>1.42124782608695E9</v>
      </c>
      <c r="C438" s="2">
        <v>-102.4584732</v>
      </c>
      <c r="D438" s="3">
        <f t="shared" si="1"/>
        <v>847826.087</v>
      </c>
      <c r="E438" s="4">
        <f t="shared" si="2"/>
        <v>-179.9860419</v>
      </c>
      <c r="F438" s="3">
        <f t="shared" si="3"/>
        <v>0.0002122912289</v>
      </c>
      <c r="G438" s="3">
        <f t="shared" si="4"/>
        <v>0</v>
      </c>
      <c r="H438" s="2">
        <f t="shared" si="5"/>
        <v>0</v>
      </c>
      <c r="I438" s="3">
        <f t="shared" si="6"/>
        <v>0</v>
      </c>
      <c r="J438" s="3">
        <f t="shared" si="7"/>
        <v>0</v>
      </c>
      <c r="K438" s="3"/>
      <c r="L438" s="3">
        <f t="shared" si="8"/>
        <v>431.7763467</v>
      </c>
      <c r="M438" s="14">
        <f t="shared" si="9"/>
        <v>431.7283027</v>
      </c>
      <c r="N438" s="14">
        <f t="shared" si="10"/>
        <v>0.04804401158</v>
      </c>
      <c r="O438" s="3"/>
      <c r="P438" s="3"/>
      <c r="Q438" s="3"/>
      <c r="R438" s="2"/>
      <c r="S438" s="14">
        <f t="shared" si="13"/>
        <v>0.04411863004</v>
      </c>
    </row>
    <row r="439">
      <c r="A439" s="11">
        <v>427.0</v>
      </c>
      <c r="B439" s="11">
        <v>1.42125217391304E9</v>
      </c>
      <c r="C439" s="2">
        <v>-102.4611969</v>
      </c>
      <c r="D439" s="3">
        <f t="shared" si="1"/>
        <v>852173.913</v>
      </c>
      <c r="E439" s="4">
        <f t="shared" si="2"/>
        <v>-180.904338</v>
      </c>
      <c r="F439" s="3">
        <f t="shared" si="3"/>
        <v>0.0002122857028</v>
      </c>
      <c r="G439" s="3">
        <f t="shared" si="4"/>
        <v>0</v>
      </c>
      <c r="H439" s="2">
        <f t="shared" si="5"/>
        <v>0</v>
      </c>
      <c r="I439" s="3">
        <f t="shared" si="6"/>
        <v>0</v>
      </c>
      <c r="J439" s="3">
        <f t="shared" si="7"/>
        <v>0</v>
      </c>
      <c r="K439" s="3"/>
      <c r="L439" s="3">
        <f t="shared" si="8"/>
        <v>431.5056408</v>
      </c>
      <c r="M439" s="14">
        <f t="shared" si="9"/>
        <v>431.6311228</v>
      </c>
      <c r="N439" s="14">
        <f t="shared" si="10"/>
        <v>-0.125481977</v>
      </c>
      <c r="O439" s="3"/>
      <c r="P439" s="3"/>
      <c r="Q439" s="3"/>
      <c r="R439" s="2"/>
      <c r="S439" s="14">
        <f t="shared" si="13"/>
        <v>-0.1152296139</v>
      </c>
    </row>
    <row r="440">
      <c r="A440" s="11">
        <v>428.0</v>
      </c>
      <c r="B440" s="11">
        <v>1.42125652173913E9</v>
      </c>
      <c r="C440" s="2">
        <v>-102.4420547</v>
      </c>
      <c r="D440" s="3">
        <f t="shared" si="1"/>
        <v>856521.7391</v>
      </c>
      <c r="E440" s="4">
        <f t="shared" si="2"/>
        <v>-181.8226342</v>
      </c>
      <c r="F440" s="3">
        <f t="shared" si="3"/>
        <v>0.0002122802328</v>
      </c>
      <c r="G440" s="3">
        <f t="shared" si="4"/>
        <v>0</v>
      </c>
      <c r="H440" s="2">
        <f t="shared" si="5"/>
        <v>0</v>
      </c>
      <c r="I440" s="3">
        <f t="shared" si="6"/>
        <v>0</v>
      </c>
      <c r="J440" s="3">
        <f t="shared" si="7"/>
        <v>0</v>
      </c>
      <c r="K440" s="3"/>
      <c r="L440" s="3">
        <f t="shared" si="8"/>
        <v>433.4117663</v>
      </c>
      <c r="M440" s="14">
        <f t="shared" si="9"/>
        <v>431.5342584</v>
      </c>
      <c r="N440" s="14">
        <f t="shared" si="10"/>
        <v>1.877507885</v>
      </c>
      <c r="O440" s="3"/>
      <c r="P440" s="3"/>
      <c r="Q440" s="3"/>
      <c r="R440" s="2"/>
      <c r="S440" s="14">
        <f t="shared" si="13"/>
        <v>1.72410823</v>
      </c>
    </row>
    <row r="441">
      <c r="A441" s="11">
        <v>429.0</v>
      </c>
      <c r="B441" s="11">
        <v>1.42126086956521E9</v>
      </c>
      <c r="C441" s="2">
        <v>-102.4803467</v>
      </c>
      <c r="D441" s="3">
        <f t="shared" si="1"/>
        <v>860869.5652</v>
      </c>
      <c r="E441" s="4">
        <f t="shared" si="2"/>
        <v>-182.7409303</v>
      </c>
      <c r="F441" s="3">
        <f t="shared" si="3"/>
        <v>0.000212274818</v>
      </c>
      <c r="G441" s="3">
        <f t="shared" si="4"/>
        <v>0</v>
      </c>
      <c r="H441" s="2">
        <f t="shared" si="5"/>
        <v>0</v>
      </c>
      <c r="I441" s="3">
        <f t="shared" si="6"/>
        <v>0</v>
      </c>
      <c r="J441" s="3">
        <f t="shared" si="7"/>
        <v>0</v>
      </c>
      <c r="K441" s="3"/>
      <c r="L441" s="3">
        <f t="shared" si="8"/>
        <v>429.6071467</v>
      </c>
      <c r="M441" s="14">
        <f t="shared" si="9"/>
        <v>431.437712</v>
      </c>
      <c r="N441" s="14">
        <f t="shared" si="10"/>
        <v>-1.830565368</v>
      </c>
      <c r="O441" s="3"/>
      <c r="P441" s="3"/>
      <c r="Q441" s="3"/>
      <c r="R441" s="2"/>
      <c r="S441" s="14">
        <f t="shared" si="13"/>
        <v>-1.681001098</v>
      </c>
    </row>
    <row r="442">
      <c r="A442" s="11">
        <v>430.0</v>
      </c>
      <c r="B442" s="11">
        <v>1.4212652173913E9</v>
      </c>
      <c r="C442" s="2">
        <v>-102.487793</v>
      </c>
      <c r="D442" s="3">
        <f t="shared" si="1"/>
        <v>865217.3913</v>
      </c>
      <c r="E442" s="4">
        <f t="shared" si="2"/>
        <v>-183.6592264</v>
      </c>
      <c r="F442" s="3">
        <f t="shared" si="3"/>
        <v>0.0002122694577</v>
      </c>
      <c r="G442" s="3">
        <f t="shared" si="4"/>
        <v>0</v>
      </c>
      <c r="H442" s="2">
        <f t="shared" si="5"/>
        <v>0</v>
      </c>
      <c r="I442" s="3">
        <f t="shared" si="6"/>
        <v>0</v>
      </c>
      <c r="J442" s="3">
        <f t="shared" si="7"/>
        <v>0</v>
      </c>
      <c r="K442" s="3"/>
      <c r="L442" s="3">
        <f t="shared" si="8"/>
        <v>428.8711845</v>
      </c>
      <c r="M442" s="14">
        <f t="shared" si="9"/>
        <v>431.3414863</v>
      </c>
      <c r="N442" s="14">
        <f t="shared" si="10"/>
        <v>-2.470301791</v>
      </c>
      <c r="O442" s="3"/>
      <c r="P442" s="3"/>
      <c r="Q442" s="3"/>
      <c r="R442" s="2"/>
      <c r="S442" s="14">
        <f t="shared" si="13"/>
        <v>-2.268468576</v>
      </c>
    </row>
    <row r="443">
      <c r="A443" s="11">
        <v>431.0</v>
      </c>
      <c r="B443" s="11">
        <v>1.42126956521739E9</v>
      </c>
      <c r="C443" s="2">
        <v>-102.4671936</v>
      </c>
      <c r="D443" s="3">
        <f t="shared" si="1"/>
        <v>869565.2174</v>
      </c>
      <c r="E443" s="4">
        <f t="shared" si="2"/>
        <v>-184.5775226</v>
      </c>
      <c r="F443" s="3">
        <f t="shared" si="3"/>
        <v>0.0002122641509</v>
      </c>
      <c r="G443" s="3">
        <f t="shared" si="4"/>
        <v>0</v>
      </c>
      <c r="H443" s="2">
        <f t="shared" si="5"/>
        <v>0</v>
      </c>
      <c r="I443" s="3">
        <f t="shared" si="6"/>
        <v>0</v>
      </c>
      <c r="J443" s="3">
        <f t="shared" si="7"/>
        <v>0</v>
      </c>
      <c r="K443" s="3"/>
      <c r="L443" s="3">
        <f t="shared" si="8"/>
        <v>430.9102328</v>
      </c>
      <c r="M443" s="14">
        <f t="shared" si="9"/>
        <v>431.245584</v>
      </c>
      <c r="N443" s="14">
        <f t="shared" si="10"/>
        <v>-0.3353511644</v>
      </c>
      <c r="O443" s="3"/>
      <c r="P443" s="3"/>
      <c r="Q443" s="3"/>
      <c r="R443" s="2"/>
      <c r="S443" s="14">
        <f t="shared" si="13"/>
        <v>-0.3079516774</v>
      </c>
    </row>
    <row r="444">
      <c r="A444" s="11">
        <v>432.0</v>
      </c>
      <c r="B444" s="11">
        <v>1.42127391304347E9</v>
      </c>
      <c r="C444" s="2">
        <v>-102.4561157</v>
      </c>
      <c r="D444" s="3">
        <f t="shared" si="1"/>
        <v>873913.0435</v>
      </c>
      <c r="E444" s="4">
        <f t="shared" si="2"/>
        <v>-185.4958187</v>
      </c>
      <c r="F444" s="3">
        <f t="shared" si="3"/>
        <v>0.000212258897</v>
      </c>
      <c r="G444" s="3">
        <f t="shared" si="4"/>
        <v>0</v>
      </c>
      <c r="H444" s="2">
        <f t="shared" si="5"/>
        <v>0</v>
      </c>
      <c r="I444" s="3">
        <f t="shared" si="6"/>
        <v>0</v>
      </c>
      <c r="J444" s="3">
        <f t="shared" si="7"/>
        <v>0</v>
      </c>
      <c r="K444" s="3"/>
      <c r="L444" s="3">
        <f t="shared" si="8"/>
        <v>432.0107934</v>
      </c>
      <c r="M444" s="14">
        <f t="shared" si="9"/>
        <v>431.1500075</v>
      </c>
      <c r="N444" s="14">
        <f t="shared" si="10"/>
        <v>0.8607858368</v>
      </c>
      <c r="O444" s="3"/>
      <c r="P444" s="3"/>
      <c r="Q444" s="3"/>
      <c r="R444" s="2"/>
      <c r="S444" s="14">
        <f t="shared" si="13"/>
        <v>0.7904563051</v>
      </c>
    </row>
    <row r="445">
      <c r="A445" s="11">
        <v>433.0</v>
      </c>
      <c r="B445" s="11">
        <v>1.42127826086956E9</v>
      </c>
      <c r="C445" s="2">
        <v>-102.4234924</v>
      </c>
      <c r="D445" s="3">
        <f t="shared" si="1"/>
        <v>878260.8696</v>
      </c>
      <c r="E445" s="4">
        <f t="shared" si="2"/>
        <v>-186.4141148</v>
      </c>
      <c r="F445" s="3">
        <f t="shared" si="3"/>
        <v>0.0002122536951</v>
      </c>
      <c r="G445" s="3">
        <f t="shared" si="4"/>
        <v>0</v>
      </c>
      <c r="H445" s="2">
        <f t="shared" si="5"/>
        <v>0</v>
      </c>
      <c r="I445" s="3">
        <f t="shared" si="6"/>
        <v>0</v>
      </c>
      <c r="J445" s="3">
        <f t="shared" si="7"/>
        <v>0</v>
      </c>
      <c r="K445" s="3"/>
      <c r="L445" s="3">
        <f t="shared" si="8"/>
        <v>435.2681879</v>
      </c>
      <c r="M445" s="14">
        <f t="shared" si="9"/>
        <v>431.0547597</v>
      </c>
      <c r="N445" s="14">
        <f t="shared" si="10"/>
        <v>4.213428225</v>
      </c>
      <c r="O445" s="3"/>
      <c r="P445" s="3"/>
      <c r="Q445" s="3"/>
      <c r="R445" s="2"/>
      <c r="S445" s="14">
        <f t="shared" si="13"/>
        <v>3.869174836</v>
      </c>
    </row>
    <row r="446">
      <c r="A446" s="11">
        <v>434.0</v>
      </c>
      <c r="B446" s="11">
        <v>1.42128260869565E9</v>
      </c>
      <c r="C446" s="2">
        <v>-102.463501</v>
      </c>
      <c r="D446" s="3">
        <f t="shared" si="1"/>
        <v>882608.6957</v>
      </c>
      <c r="E446" s="4">
        <f t="shared" si="2"/>
        <v>-187.332411</v>
      </c>
      <c r="F446" s="3">
        <f t="shared" si="3"/>
        <v>0.0002122485444</v>
      </c>
      <c r="G446" s="3">
        <f t="shared" si="4"/>
        <v>0</v>
      </c>
      <c r="H446" s="2">
        <f t="shared" si="5"/>
        <v>0</v>
      </c>
      <c r="I446" s="3">
        <f t="shared" si="6"/>
        <v>0</v>
      </c>
      <c r="J446" s="3">
        <f t="shared" si="7"/>
        <v>0</v>
      </c>
      <c r="K446" s="3"/>
      <c r="L446" s="3">
        <f t="shared" si="8"/>
        <v>431.2767711</v>
      </c>
      <c r="M446" s="14">
        <f t="shared" si="9"/>
        <v>430.959843</v>
      </c>
      <c r="N446" s="14">
        <f t="shared" si="10"/>
        <v>0.3169281366</v>
      </c>
      <c r="O446" s="3"/>
      <c r="P446" s="3"/>
      <c r="Q446" s="3"/>
      <c r="R446" s="2"/>
      <c r="S446" s="14">
        <f t="shared" si="13"/>
        <v>0.2910338822</v>
      </c>
    </row>
    <row r="447">
      <c r="A447" s="11">
        <v>435.0</v>
      </c>
      <c r="B447" s="11">
        <v>1.42128695652173E9</v>
      </c>
      <c r="C447" s="2">
        <v>-102.4577408</v>
      </c>
      <c r="D447" s="3">
        <f t="shared" si="1"/>
        <v>886956.5217</v>
      </c>
      <c r="E447" s="4">
        <f t="shared" si="2"/>
        <v>-188.2507071</v>
      </c>
      <c r="F447" s="3">
        <f t="shared" si="3"/>
        <v>0.0002122434443</v>
      </c>
      <c r="G447" s="3">
        <f t="shared" si="4"/>
        <v>0</v>
      </c>
      <c r="H447" s="2">
        <f t="shared" si="5"/>
        <v>0</v>
      </c>
      <c r="I447" s="3">
        <f t="shared" si="6"/>
        <v>0</v>
      </c>
      <c r="J447" s="3">
        <f t="shared" si="7"/>
        <v>0</v>
      </c>
      <c r="K447" s="3"/>
      <c r="L447" s="3">
        <f t="shared" si="8"/>
        <v>431.8491682</v>
      </c>
      <c r="M447" s="14">
        <f t="shared" si="9"/>
        <v>430.8652602</v>
      </c>
      <c r="N447" s="14">
        <f t="shared" si="10"/>
        <v>0.9839080001</v>
      </c>
      <c r="O447" s="3"/>
      <c r="P447" s="3"/>
      <c r="Q447" s="3"/>
      <c r="R447" s="2"/>
      <c r="S447" s="14">
        <f t="shared" si="13"/>
        <v>0.9035189115</v>
      </c>
    </row>
    <row r="448">
      <c r="A448" s="11">
        <v>436.0</v>
      </c>
      <c r="B448" s="11">
        <v>1.42129130434782E9</v>
      </c>
      <c r="C448" s="2">
        <v>-102.4747696</v>
      </c>
      <c r="D448" s="3">
        <f t="shared" si="1"/>
        <v>891304.3478</v>
      </c>
      <c r="E448" s="4">
        <f t="shared" si="2"/>
        <v>-189.1690032</v>
      </c>
      <c r="F448" s="3">
        <f t="shared" si="3"/>
        <v>0.0002122383939</v>
      </c>
      <c r="G448" s="3">
        <f t="shared" si="4"/>
        <v>0</v>
      </c>
      <c r="H448" s="2">
        <f t="shared" si="5"/>
        <v>0</v>
      </c>
      <c r="I448" s="3">
        <f t="shared" si="6"/>
        <v>0</v>
      </c>
      <c r="J448" s="3">
        <f t="shared" si="7"/>
        <v>0</v>
      </c>
      <c r="K448" s="3"/>
      <c r="L448" s="3">
        <f t="shared" si="8"/>
        <v>430.1591917</v>
      </c>
      <c r="M448" s="14">
        <f t="shared" si="9"/>
        <v>430.7710138</v>
      </c>
      <c r="N448" s="14">
        <f t="shared" si="10"/>
        <v>-0.611822076</v>
      </c>
      <c r="O448" s="3"/>
      <c r="P448" s="3"/>
      <c r="Q448" s="3"/>
      <c r="R448" s="2"/>
      <c r="S448" s="14">
        <f t="shared" si="13"/>
        <v>-0.5618338464</v>
      </c>
    </row>
    <row r="449">
      <c r="A449" s="11">
        <v>437.0</v>
      </c>
      <c r="B449" s="11">
        <v>1.42129565217391E9</v>
      </c>
      <c r="C449" s="2">
        <v>-102.4748764</v>
      </c>
      <c r="D449" s="3">
        <f t="shared" si="1"/>
        <v>895652.1739</v>
      </c>
      <c r="E449" s="4">
        <f t="shared" si="2"/>
        <v>-190.0872994</v>
      </c>
      <c r="F449" s="3">
        <f t="shared" si="3"/>
        <v>0.0002122333925</v>
      </c>
      <c r="G449" s="3">
        <f t="shared" si="4"/>
        <v>0</v>
      </c>
      <c r="H449" s="2">
        <f t="shared" si="5"/>
        <v>0</v>
      </c>
      <c r="I449" s="3">
        <f t="shared" si="6"/>
        <v>0</v>
      </c>
      <c r="J449" s="3">
        <f t="shared" si="7"/>
        <v>0</v>
      </c>
      <c r="K449" s="3"/>
      <c r="L449" s="3">
        <f t="shared" si="8"/>
        <v>430.1486135</v>
      </c>
      <c r="M449" s="14">
        <f t="shared" si="9"/>
        <v>430.6771064</v>
      </c>
      <c r="N449" s="14">
        <f t="shared" si="10"/>
        <v>-0.5284929305</v>
      </c>
      <c r="O449" s="3"/>
      <c r="P449" s="3"/>
      <c r="Q449" s="3"/>
      <c r="R449" s="2"/>
      <c r="S449" s="14">
        <f t="shared" si="13"/>
        <v>-0.4853130131</v>
      </c>
    </row>
    <row r="450">
      <c r="A450" s="11">
        <v>438.0</v>
      </c>
      <c r="B450" s="11">
        <v>1.4213E9</v>
      </c>
      <c r="C450" s="2">
        <v>-102.4750748</v>
      </c>
      <c r="D450" s="3">
        <f t="shared" si="1"/>
        <v>900000</v>
      </c>
      <c r="E450" s="4">
        <f t="shared" si="2"/>
        <v>-191.0055955</v>
      </c>
      <c r="F450" s="3">
        <f t="shared" si="3"/>
        <v>0.0002122284394</v>
      </c>
      <c r="G450" s="3">
        <f t="shared" si="4"/>
        <v>0</v>
      </c>
      <c r="H450" s="2">
        <f t="shared" si="5"/>
        <v>0</v>
      </c>
      <c r="I450" s="3">
        <f t="shared" si="6"/>
        <v>0</v>
      </c>
      <c r="J450" s="3">
        <f t="shared" si="7"/>
        <v>0</v>
      </c>
      <c r="K450" s="3"/>
      <c r="L450" s="3">
        <f t="shared" si="8"/>
        <v>430.1289633</v>
      </c>
      <c r="M450" s="14">
        <f t="shared" si="9"/>
        <v>430.5835408</v>
      </c>
      <c r="N450" s="14">
        <f t="shared" si="10"/>
        <v>-0.454577467</v>
      </c>
      <c r="O450" s="3"/>
      <c r="P450" s="3"/>
      <c r="Q450" s="3"/>
      <c r="R450" s="2"/>
      <c r="S450" s="14">
        <f t="shared" si="13"/>
        <v>-0.4174367299</v>
      </c>
    </row>
    <row r="451">
      <c r="A451" s="11">
        <v>439.0</v>
      </c>
      <c r="B451" s="11">
        <v>1.42130434782608E9</v>
      </c>
      <c r="C451" s="2">
        <v>-102.4854736</v>
      </c>
      <c r="D451" s="3">
        <f t="shared" si="1"/>
        <v>904347.8261</v>
      </c>
      <c r="E451" s="4">
        <f t="shared" si="2"/>
        <v>-191.9238916</v>
      </c>
      <c r="F451" s="3">
        <f t="shared" si="3"/>
        <v>0.000212223534</v>
      </c>
      <c r="G451" s="3">
        <f t="shared" si="4"/>
        <v>0</v>
      </c>
      <c r="H451" s="2">
        <f t="shared" si="5"/>
        <v>0</v>
      </c>
      <c r="I451" s="3">
        <f t="shared" si="6"/>
        <v>0</v>
      </c>
      <c r="J451" s="3">
        <f t="shared" si="7"/>
        <v>0</v>
      </c>
      <c r="K451" s="3"/>
      <c r="L451" s="3">
        <f t="shared" si="8"/>
        <v>429.1002893</v>
      </c>
      <c r="M451" s="14">
        <f t="shared" si="9"/>
        <v>430.4903195</v>
      </c>
      <c r="N451" s="14">
        <f t="shared" si="10"/>
        <v>-1.390030186</v>
      </c>
      <c r="O451" s="3"/>
      <c r="P451" s="3"/>
      <c r="Q451" s="3"/>
      <c r="R451" s="2"/>
      <c r="S451" s="14">
        <f t="shared" si="13"/>
        <v>-1.276459344</v>
      </c>
    </row>
    <row r="452">
      <c r="A452" s="11">
        <v>440.0</v>
      </c>
      <c r="B452" s="11">
        <v>1.42130869565217E9</v>
      </c>
      <c r="C452" s="2">
        <v>-102.5174408</v>
      </c>
      <c r="D452" s="3">
        <f t="shared" si="1"/>
        <v>908695.6522</v>
      </c>
      <c r="E452" s="4">
        <f t="shared" si="2"/>
        <v>-192.8421877</v>
      </c>
      <c r="F452" s="3">
        <f t="shared" si="3"/>
        <v>0.0002122186755</v>
      </c>
      <c r="G452" s="3">
        <f t="shared" si="4"/>
        <v>0</v>
      </c>
      <c r="H452" s="2">
        <f t="shared" si="5"/>
        <v>0</v>
      </c>
      <c r="I452" s="3">
        <f t="shared" si="6"/>
        <v>0</v>
      </c>
      <c r="J452" s="3">
        <f t="shared" si="7"/>
        <v>0</v>
      </c>
      <c r="K452" s="3"/>
      <c r="L452" s="3">
        <f t="shared" si="8"/>
        <v>425.9533982</v>
      </c>
      <c r="M452" s="14">
        <f t="shared" si="9"/>
        <v>430.3974452</v>
      </c>
      <c r="N452" s="14">
        <f t="shared" si="10"/>
        <v>-4.444046962</v>
      </c>
      <c r="O452" s="3"/>
      <c r="P452" s="3"/>
      <c r="Q452" s="3"/>
      <c r="R452" s="2"/>
      <c r="S452" s="14">
        <f t="shared" si="13"/>
        <v>-4.08095113</v>
      </c>
    </row>
    <row r="453">
      <c r="A453" s="11">
        <v>441.0</v>
      </c>
      <c r="B453" s="11">
        <v>1.42131304347826E9</v>
      </c>
      <c r="C453" s="2">
        <v>-102.4441376</v>
      </c>
      <c r="D453" s="3">
        <f t="shared" si="1"/>
        <v>913043.4783</v>
      </c>
      <c r="E453" s="4">
        <f t="shared" si="2"/>
        <v>-193.7604839</v>
      </c>
      <c r="F453" s="3">
        <f t="shared" si="3"/>
        <v>0.0002122138633</v>
      </c>
      <c r="G453" s="3">
        <f t="shared" si="4"/>
        <v>0</v>
      </c>
      <c r="H453" s="2">
        <f t="shared" si="5"/>
        <v>0</v>
      </c>
      <c r="I453" s="3">
        <f t="shared" si="6"/>
        <v>0</v>
      </c>
      <c r="J453" s="3">
        <f t="shared" si="7"/>
        <v>0</v>
      </c>
      <c r="K453" s="3"/>
      <c r="L453" s="3">
        <f t="shared" si="8"/>
        <v>433.2039495</v>
      </c>
      <c r="M453" s="14">
        <f t="shared" si="9"/>
        <v>430.3049205</v>
      </c>
      <c r="N453" s="14">
        <f t="shared" si="10"/>
        <v>2.899029004</v>
      </c>
      <c r="O453" s="3"/>
      <c r="P453" s="3"/>
      <c r="Q453" s="3"/>
      <c r="R453" s="2"/>
      <c r="S453" s="14">
        <f t="shared" si="13"/>
        <v>2.662167123</v>
      </c>
    </row>
    <row r="454">
      <c r="A454" s="11">
        <v>442.0</v>
      </c>
      <c r="B454" s="11">
        <v>1.42131739130434E9</v>
      </c>
      <c r="C454" s="2">
        <v>-102.4892731</v>
      </c>
      <c r="D454" s="3">
        <f t="shared" si="1"/>
        <v>917391.3043</v>
      </c>
      <c r="E454" s="4">
        <f t="shared" si="2"/>
        <v>-194.67878</v>
      </c>
      <c r="F454" s="3">
        <f t="shared" si="3"/>
        <v>0.0002122090967</v>
      </c>
      <c r="G454" s="3">
        <f t="shared" si="4"/>
        <v>0</v>
      </c>
      <c r="H454" s="2">
        <f t="shared" si="5"/>
        <v>0</v>
      </c>
      <c r="I454" s="3">
        <f t="shared" si="6"/>
        <v>0</v>
      </c>
      <c r="J454" s="3">
        <f t="shared" si="7"/>
        <v>0</v>
      </c>
      <c r="K454" s="3"/>
      <c r="L454" s="3">
        <f t="shared" si="8"/>
        <v>428.7250477</v>
      </c>
      <c r="M454" s="14">
        <f t="shared" si="9"/>
        <v>430.2127479</v>
      </c>
      <c r="N454" s="14">
        <f t="shared" si="10"/>
        <v>-1.487700194</v>
      </c>
      <c r="O454" s="3"/>
      <c r="P454" s="3"/>
      <c r="Q454" s="3"/>
      <c r="R454" s="2"/>
      <c r="S454" s="14">
        <f t="shared" si="13"/>
        <v>-1.366149335</v>
      </c>
    </row>
    <row r="455">
      <c r="A455" s="11">
        <v>443.0</v>
      </c>
      <c r="B455" s="11">
        <v>1.42132173913043E9</v>
      </c>
      <c r="C455" s="2">
        <v>-102.4744797</v>
      </c>
      <c r="D455" s="3">
        <f t="shared" si="1"/>
        <v>921739.1304</v>
      </c>
      <c r="E455" s="4">
        <f t="shared" si="2"/>
        <v>-195.5970761</v>
      </c>
      <c r="F455" s="3">
        <f t="shared" si="3"/>
        <v>0.0002122043751</v>
      </c>
      <c r="G455" s="3">
        <f t="shared" si="4"/>
        <v>0</v>
      </c>
      <c r="H455" s="2">
        <f t="shared" si="5"/>
        <v>0</v>
      </c>
      <c r="I455" s="3">
        <f t="shared" si="6"/>
        <v>0</v>
      </c>
      <c r="J455" s="3">
        <f t="shared" si="7"/>
        <v>0</v>
      </c>
      <c r="K455" s="3"/>
      <c r="L455" s="3">
        <f t="shared" si="8"/>
        <v>430.1879066</v>
      </c>
      <c r="M455" s="14">
        <f t="shared" si="9"/>
        <v>430.1209302</v>
      </c>
      <c r="N455" s="14">
        <f t="shared" si="10"/>
        <v>0.06697635154</v>
      </c>
      <c r="O455" s="3"/>
      <c r="P455" s="3"/>
      <c r="Q455" s="3"/>
      <c r="R455" s="2"/>
      <c r="S455" s="14">
        <f t="shared" si="13"/>
        <v>0.06150412446</v>
      </c>
    </row>
    <row r="456">
      <c r="A456" s="11">
        <v>444.0</v>
      </c>
      <c r="B456" s="11">
        <v>1.42132608695652E9</v>
      </c>
      <c r="C456" s="2">
        <v>-102.4975433</v>
      </c>
      <c r="D456" s="3">
        <f t="shared" si="1"/>
        <v>926086.9565</v>
      </c>
      <c r="E456" s="4">
        <f t="shared" si="2"/>
        <v>-196.5153723</v>
      </c>
      <c r="F456" s="3">
        <f t="shared" si="3"/>
        <v>0.0002121996978</v>
      </c>
      <c r="G456" s="3">
        <f t="shared" si="4"/>
        <v>0</v>
      </c>
      <c r="H456" s="2">
        <f t="shared" si="5"/>
        <v>0</v>
      </c>
      <c r="I456" s="3">
        <f t="shared" si="6"/>
        <v>0</v>
      </c>
      <c r="J456" s="3">
        <f t="shared" si="7"/>
        <v>0</v>
      </c>
      <c r="K456" s="3"/>
      <c r="L456" s="3">
        <f t="shared" si="8"/>
        <v>427.9094104</v>
      </c>
      <c r="M456" s="14">
        <f t="shared" si="9"/>
        <v>430.02947</v>
      </c>
      <c r="N456" s="14">
        <f t="shared" si="10"/>
        <v>-2.120059658</v>
      </c>
      <c r="O456" s="3"/>
      <c r="P456" s="3"/>
      <c r="Q456" s="3"/>
      <c r="R456" s="2"/>
      <c r="S456" s="14">
        <f t="shared" si="13"/>
        <v>-1.946842586</v>
      </c>
    </row>
    <row r="457">
      <c r="A457" s="11">
        <v>445.0</v>
      </c>
      <c r="B457" s="11">
        <v>1.4213304347826E9</v>
      </c>
      <c r="C457" s="2">
        <v>-102.4986572</v>
      </c>
      <c r="D457" s="3">
        <f t="shared" si="1"/>
        <v>930434.7826</v>
      </c>
      <c r="E457" s="4">
        <f t="shared" si="2"/>
        <v>-197.4336684</v>
      </c>
      <c r="F457" s="3">
        <f t="shared" si="3"/>
        <v>0.0002121950642</v>
      </c>
      <c r="G457" s="3">
        <f t="shared" si="4"/>
        <v>0</v>
      </c>
      <c r="H457" s="2">
        <f t="shared" si="5"/>
        <v>0</v>
      </c>
      <c r="I457" s="3">
        <f t="shared" si="6"/>
        <v>0</v>
      </c>
      <c r="J457" s="3">
        <f t="shared" si="7"/>
        <v>0</v>
      </c>
      <c r="K457" s="3"/>
      <c r="L457" s="3">
        <f t="shared" si="8"/>
        <v>427.7996721</v>
      </c>
      <c r="M457" s="14">
        <f t="shared" si="9"/>
        <v>429.9383699</v>
      </c>
      <c r="N457" s="14">
        <f t="shared" si="10"/>
        <v>-2.138697789</v>
      </c>
      <c r="O457" s="3"/>
      <c r="P457" s="3"/>
      <c r="Q457" s="3"/>
      <c r="R457" s="2"/>
      <c r="S457" s="14">
        <f t="shared" si="13"/>
        <v>-1.963957908</v>
      </c>
    </row>
    <row r="458">
      <c r="A458" s="11">
        <v>446.0</v>
      </c>
      <c r="B458" s="11">
        <v>1.42133478260869E9</v>
      </c>
      <c r="C458" s="2">
        <v>-102.5006561</v>
      </c>
      <c r="D458" s="3">
        <f t="shared" si="1"/>
        <v>934782.6087</v>
      </c>
      <c r="E458" s="4">
        <f t="shared" si="2"/>
        <v>-198.3519645</v>
      </c>
      <c r="F458" s="3">
        <f t="shared" si="3"/>
        <v>0.0002121904737</v>
      </c>
      <c r="G458" s="3">
        <f t="shared" si="4"/>
        <v>0</v>
      </c>
      <c r="H458" s="2">
        <f t="shared" si="5"/>
        <v>0</v>
      </c>
      <c r="I458" s="3">
        <f t="shared" si="6"/>
        <v>0</v>
      </c>
      <c r="J458" s="3">
        <f t="shared" si="7"/>
        <v>0</v>
      </c>
      <c r="K458" s="3"/>
      <c r="L458" s="3">
        <f t="shared" si="8"/>
        <v>427.6028168</v>
      </c>
      <c r="M458" s="14">
        <f t="shared" si="9"/>
        <v>429.8476325</v>
      </c>
      <c r="N458" s="14">
        <f t="shared" si="10"/>
        <v>-2.24481576</v>
      </c>
      <c r="O458" s="3"/>
      <c r="P458" s="3"/>
      <c r="Q458" s="3"/>
      <c r="R458" s="2"/>
      <c r="S458" s="14">
        <f t="shared" si="13"/>
        <v>-2.061405631</v>
      </c>
    </row>
    <row r="459">
      <c r="A459" s="11">
        <v>447.0</v>
      </c>
      <c r="B459" s="11">
        <v>1.42133913043478E9</v>
      </c>
      <c r="C459" s="2">
        <v>-102.5052643</v>
      </c>
      <c r="D459" s="3">
        <f t="shared" si="1"/>
        <v>939130.4348</v>
      </c>
      <c r="E459" s="4">
        <f t="shared" si="2"/>
        <v>-199.2702607</v>
      </c>
      <c r="F459" s="3">
        <f t="shared" si="3"/>
        <v>0.0002121859257</v>
      </c>
      <c r="G459" s="3">
        <f t="shared" si="4"/>
        <v>0</v>
      </c>
      <c r="H459" s="2">
        <f t="shared" si="5"/>
        <v>0</v>
      </c>
      <c r="I459" s="3">
        <f t="shared" si="6"/>
        <v>0</v>
      </c>
      <c r="J459" s="3">
        <f t="shared" si="7"/>
        <v>0</v>
      </c>
      <c r="K459" s="3"/>
      <c r="L459" s="3">
        <f t="shared" si="8"/>
        <v>427.1493378</v>
      </c>
      <c r="M459" s="14">
        <f t="shared" si="9"/>
        <v>429.7572605</v>
      </c>
      <c r="N459" s="14">
        <f t="shared" si="10"/>
        <v>-2.607922709</v>
      </c>
      <c r="O459" s="3"/>
      <c r="P459" s="3"/>
      <c r="Q459" s="3"/>
      <c r="R459" s="2"/>
      <c r="S459" s="14">
        <f t="shared" si="13"/>
        <v>-2.394845332</v>
      </c>
    </row>
    <row r="460">
      <c r="A460" s="11">
        <v>448.0</v>
      </c>
      <c r="B460" s="11">
        <v>1.42134347826087E9</v>
      </c>
      <c r="C460" s="2">
        <v>-102.4662628</v>
      </c>
      <c r="D460" s="3">
        <f t="shared" si="1"/>
        <v>943478.2609</v>
      </c>
      <c r="E460" s="4">
        <f t="shared" si="2"/>
        <v>-200.1885568</v>
      </c>
      <c r="F460" s="3">
        <f t="shared" si="3"/>
        <v>0.0002121814197</v>
      </c>
      <c r="G460" s="3">
        <f t="shared" si="4"/>
        <v>0</v>
      </c>
      <c r="H460" s="2">
        <f t="shared" si="5"/>
        <v>0</v>
      </c>
      <c r="I460" s="3">
        <f t="shared" si="6"/>
        <v>0</v>
      </c>
      <c r="J460" s="3">
        <f t="shared" si="7"/>
        <v>0</v>
      </c>
      <c r="K460" s="3"/>
      <c r="L460" s="3">
        <f t="shared" si="8"/>
        <v>431.0025974</v>
      </c>
      <c r="M460" s="14">
        <f t="shared" si="9"/>
        <v>429.6672564</v>
      </c>
      <c r="N460" s="14">
        <f t="shared" si="10"/>
        <v>1.335340975</v>
      </c>
      <c r="O460" s="3"/>
      <c r="P460" s="3"/>
      <c r="Q460" s="3"/>
      <c r="R460" s="2"/>
      <c r="S460" s="14">
        <f t="shared" si="13"/>
        <v>1.226238453</v>
      </c>
    </row>
    <row r="461">
      <c r="A461" s="11">
        <v>449.0</v>
      </c>
      <c r="B461" s="11">
        <v>1.42134782608695E9</v>
      </c>
      <c r="C461" s="2">
        <v>-102.4305267</v>
      </c>
      <c r="D461" s="3">
        <f t="shared" si="1"/>
        <v>947826.087</v>
      </c>
      <c r="E461" s="4">
        <f t="shared" si="2"/>
        <v>-201.1068529</v>
      </c>
      <c r="F461" s="3">
        <f t="shared" si="3"/>
        <v>0.0002121769549</v>
      </c>
      <c r="G461" s="3">
        <f t="shared" si="4"/>
        <v>0</v>
      </c>
      <c r="H461" s="2">
        <f t="shared" si="5"/>
        <v>0</v>
      </c>
      <c r="I461" s="3">
        <f t="shared" si="6"/>
        <v>0</v>
      </c>
      <c r="J461" s="3">
        <f t="shared" si="7"/>
        <v>0</v>
      </c>
      <c r="K461" s="3"/>
      <c r="L461" s="3">
        <f t="shared" si="8"/>
        <v>434.5637514</v>
      </c>
      <c r="M461" s="14">
        <f t="shared" si="9"/>
        <v>429.5776229</v>
      </c>
      <c r="N461" s="14">
        <f t="shared" si="10"/>
        <v>4.986128487</v>
      </c>
      <c r="O461" s="3"/>
      <c r="P461" s="3"/>
      <c r="Q461" s="3"/>
      <c r="R461" s="2"/>
      <c r="S461" s="14">
        <f t="shared" si="13"/>
        <v>4.578742508</v>
      </c>
    </row>
    <row r="462">
      <c r="A462" s="11">
        <v>450.0</v>
      </c>
      <c r="B462" s="11">
        <v>1.42135217391304E9</v>
      </c>
      <c r="C462" s="2">
        <v>-102.5287399</v>
      </c>
      <c r="D462" s="3">
        <f t="shared" si="1"/>
        <v>952173.913</v>
      </c>
      <c r="E462" s="4">
        <f t="shared" si="2"/>
        <v>-202.0251491</v>
      </c>
      <c r="F462" s="3">
        <f t="shared" si="3"/>
        <v>0.000212172531</v>
      </c>
      <c r="G462" s="3">
        <f t="shared" si="4"/>
        <v>0</v>
      </c>
      <c r="H462" s="2">
        <f t="shared" si="5"/>
        <v>0</v>
      </c>
      <c r="I462" s="3">
        <f t="shared" si="6"/>
        <v>0</v>
      </c>
      <c r="J462" s="3">
        <f t="shared" si="7"/>
        <v>0</v>
      </c>
      <c r="K462" s="3"/>
      <c r="L462" s="3">
        <f t="shared" si="8"/>
        <v>424.8466297</v>
      </c>
      <c r="M462" s="14">
        <f t="shared" si="9"/>
        <v>429.4883627</v>
      </c>
      <c r="N462" s="14">
        <f t="shared" si="10"/>
        <v>-4.641732981</v>
      </c>
      <c r="O462" s="3"/>
      <c r="P462" s="3"/>
      <c r="Q462" s="3"/>
      <c r="R462" s="2"/>
      <c r="S462" s="14">
        <f t="shared" si="13"/>
        <v>-4.262485436</v>
      </c>
    </row>
    <row r="463">
      <c r="A463" s="11">
        <v>451.0</v>
      </c>
      <c r="B463" s="11">
        <v>1.42135652173913E9</v>
      </c>
      <c r="C463" s="2">
        <v>-102.4730377</v>
      </c>
      <c r="D463" s="3">
        <f t="shared" si="1"/>
        <v>956521.7391</v>
      </c>
      <c r="E463" s="4">
        <f t="shared" si="2"/>
        <v>-202.9434452</v>
      </c>
      <c r="F463" s="3">
        <f t="shared" si="3"/>
        <v>0.0002121681473</v>
      </c>
      <c r="G463" s="3">
        <f t="shared" si="4"/>
        <v>0</v>
      </c>
      <c r="H463" s="2">
        <f t="shared" si="5"/>
        <v>0</v>
      </c>
      <c r="I463" s="3">
        <f t="shared" si="6"/>
        <v>0</v>
      </c>
      <c r="J463" s="3">
        <f t="shared" si="7"/>
        <v>0</v>
      </c>
      <c r="K463" s="3"/>
      <c r="L463" s="3">
        <f t="shared" si="8"/>
        <v>430.3307668</v>
      </c>
      <c r="M463" s="14">
        <f t="shared" si="9"/>
        <v>429.3994783</v>
      </c>
      <c r="N463" s="14">
        <f t="shared" si="10"/>
        <v>0.9312884591</v>
      </c>
      <c r="O463" s="3"/>
      <c r="P463" s="3"/>
      <c r="Q463" s="3"/>
      <c r="R463" s="2"/>
      <c r="S463" s="14">
        <f t="shared" si="13"/>
        <v>0.8551985905</v>
      </c>
    </row>
    <row r="464">
      <c r="A464" s="11">
        <v>452.0</v>
      </c>
      <c r="B464" s="11">
        <v>1.42136086956521E9</v>
      </c>
      <c r="C464" s="2">
        <v>-102.463768</v>
      </c>
      <c r="D464" s="3">
        <f t="shared" si="1"/>
        <v>960869.5652</v>
      </c>
      <c r="E464" s="4">
        <f t="shared" si="2"/>
        <v>-203.8617413</v>
      </c>
      <c r="F464" s="3">
        <f t="shared" si="3"/>
        <v>0.0002121638032</v>
      </c>
      <c r="G464" s="3">
        <f t="shared" si="4"/>
        <v>0</v>
      </c>
      <c r="H464" s="2">
        <f t="shared" si="5"/>
        <v>0</v>
      </c>
      <c r="I464" s="3">
        <f t="shared" si="6"/>
        <v>0</v>
      </c>
      <c r="J464" s="3">
        <f t="shared" si="7"/>
        <v>0</v>
      </c>
      <c r="K464" s="3"/>
      <c r="L464" s="3">
        <f t="shared" si="8"/>
        <v>431.2502575</v>
      </c>
      <c r="M464" s="14">
        <f t="shared" si="9"/>
        <v>429.3109725</v>
      </c>
      <c r="N464" s="14">
        <f t="shared" si="10"/>
        <v>1.939285021</v>
      </c>
      <c r="O464" s="3"/>
      <c r="P464" s="3"/>
      <c r="Q464" s="3"/>
      <c r="R464" s="2"/>
      <c r="S464" s="14">
        <f t="shared" si="13"/>
        <v>1.780837935</v>
      </c>
    </row>
    <row r="465">
      <c r="A465" s="11">
        <v>453.0</v>
      </c>
      <c r="B465" s="11">
        <v>1.4213652173913E9</v>
      </c>
      <c r="C465" s="2">
        <v>-102.4901733</v>
      </c>
      <c r="D465" s="3">
        <f t="shared" si="1"/>
        <v>965217.3913</v>
      </c>
      <c r="E465" s="4">
        <f t="shared" si="2"/>
        <v>-204.7800375</v>
      </c>
      <c r="F465" s="3">
        <f t="shared" si="3"/>
        <v>0.0002121594983</v>
      </c>
      <c r="G465" s="3">
        <f t="shared" si="4"/>
        <v>0</v>
      </c>
      <c r="H465" s="2">
        <f t="shared" si="5"/>
        <v>0</v>
      </c>
      <c r="I465" s="3">
        <f t="shared" si="6"/>
        <v>0</v>
      </c>
      <c r="J465" s="3">
        <f t="shared" si="7"/>
        <v>0</v>
      </c>
      <c r="K465" s="3"/>
      <c r="L465" s="3">
        <f t="shared" si="8"/>
        <v>428.6361914</v>
      </c>
      <c r="M465" s="14">
        <f t="shared" si="9"/>
        <v>429.2228477</v>
      </c>
      <c r="N465" s="14">
        <f t="shared" si="10"/>
        <v>-0.5866563202</v>
      </c>
      <c r="O465" s="3"/>
      <c r="P465" s="3"/>
      <c r="Q465" s="3"/>
      <c r="R465" s="2"/>
      <c r="S465" s="14">
        <f t="shared" si="13"/>
        <v>-0.5387242289</v>
      </c>
    </row>
    <row r="466">
      <c r="A466" s="11">
        <v>454.0</v>
      </c>
      <c r="B466" s="11">
        <v>1.42136956521739E9</v>
      </c>
      <c r="C466" s="2">
        <v>-102.4837799</v>
      </c>
      <c r="D466" s="3">
        <f t="shared" si="1"/>
        <v>969565.2174</v>
      </c>
      <c r="E466" s="4">
        <f t="shared" si="2"/>
        <v>-205.6983336</v>
      </c>
      <c r="F466" s="3">
        <f t="shared" si="3"/>
        <v>0.000212155232</v>
      </c>
      <c r="G466" s="3">
        <f t="shared" si="4"/>
        <v>0</v>
      </c>
      <c r="H466" s="2">
        <f t="shared" si="5"/>
        <v>0</v>
      </c>
      <c r="I466" s="3">
        <f t="shared" si="6"/>
        <v>0</v>
      </c>
      <c r="J466" s="3">
        <f t="shared" si="7"/>
        <v>0</v>
      </c>
      <c r="K466" s="3"/>
      <c r="L466" s="3">
        <f t="shared" si="8"/>
        <v>429.2676663</v>
      </c>
      <c r="M466" s="14">
        <f t="shared" si="9"/>
        <v>429.1351067</v>
      </c>
      <c r="N466" s="14">
        <f t="shared" si="10"/>
        <v>0.1325596288</v>
      </c>
      <c r="O466" s="3"/>
      <c r="P466" s="3"/>
      <c r="Q466" s="3"/>
      <c r="R466" s="2"/>
      <c r="S466" s="14">
        <f t="shared" si="13"/>
        <v>0.1217289945</v>
      </c>
    </row>
    <row r="467">
      <c r="A467" s="11">
        <v>455.0</v>
      </c>
      <c r="B467" s="11">
        <v>1.42137391304347E9</v>
      </c>
      <c r="C467" s="2">
        <v>-102.5217819</v>
      </c>
      <c r="D467" s="3">
        <f t="shared" si="1"/>
        <v>973913.0435</v>
      </c>
      <c r="E467" s="4">
        <f t="shared" si="2"/>
        <v>-206.6166297</v>
      </c>
      <c r="F467" s="3">
        <f t="shared" si="3"/>
        <v>0.0002121510037</v>
      </c>
      <c r="G467" s="3">
        <f t="shared" si="4"/>
        <v>0</v>
      </c>
      <c r="H467" s="2">
        <f t="shared" si="5"/>
        <v>0</v>
      </c>
      <c r="I467" s="3">
        <f t="shared" si="6"/>
        <v>0</v>
      </c>
      <c r="J467" s="3">
        <f t="shared" si="7"/>
        <v>0</v>
      </c>
      <c r="K467" s="3"/>
      <c r="L467" s="3">
        <f t="shared" si="8"/>
        <v>425.5278385</v>
      </c>
      <c r="M467" s="14">
        <f t="shared" si="9"/>
        <v>429.047752</v>
      </c>
      <c r="N467" s="14">
        <f t="shared" si="10"/>
        <v>-3.519913517</v>
      </c>
      <c r="O467" s="3"/>
      <c r="P467" s="3"/>
      <c r="Q467" s="3"/>
      <c r="R467" s="2"/>
      <c r="S467" s="14">
        <f t="shared" si="13"/>
        <v>-3.232322971</v>
      </c>
    </row>
    <row r="468">
      <c r="A468" s="11">
        <v>456.0</v>
      </c>
      <c r="B468" s="11">
        <v>1.42137826086956E9</v>
      </c>
      <c r="C468" s="2">
        <v>-102.5210571</v>
      </c>
      <c r="D468" s="3">
        <f t="shared" si="1"/>
        <v>978260.8696</v>
      </c>
      <c r="E468" s="4">
        <f t="shared" si="2"/>
        <v>-207.5349259</v>
      </c>
      <c r="F468" s="3">
        <f t="shared" si="3"/>
        <v>0.0002121468131</v>
      </c>
      <c r="G468" s="3">
        <f t="shared" si="4"/>
        <v>0</v>
      </c>
      <c r="H468" s="2">
        <f t="shared" si="5"/>
        <v>0</v>
      </c>
      <c r="I468" s="3">
        <f t="shared" si="6"/>
        <v>0</v>
      </c>
      <c r="J468" s="3">
        <f t="shared" si="7"/>
        <v>0</v>
      </c>
      <c r="K468" s="3"/>
      <c r="L468" s="3">
        <f t="shared" si="8"/>
        <v>425.5988614</v>
      </c>
      <c r="M468" s="14">
        <f t="shared" si="9"/>
        <v>428.9607864</v>
      </c>
      <c r="N468" s="14">
        <f t="shared" si="10"/>
        <v>-3.361925015</v>
      </c>
      <c r="O468" s="3"/>
      <c r="P468" s="3"/>
      <c r="Q468" s="3"/>
      <c r="R468" s="2"/>
      <c r="S468" s="14">
        <f t="shared" si="13"/>
        <v>-3.087242733</v>
      </c>
    </row>
    <row r="469">
      <c r="A469" s="11">
        <v>457.0</v>
      </c>
      <c r="B469" s="11">
        <v>1.42138260869565E9</v>
      </c>
      <c r="C469" s="2">
        <v>-102.4563599</v>
      </c>
      <c r="D469" s="3">
        <f t="shared" si="1"/>
        <v>982608.6957</v>
      </c>
      <c r="E469" s="4">
        <f t="shared" si="2"/>
        <v>-208.453222</v>
      </c>
      <c r="F469" s="3">
        <f t="shared" si="3"/>
        <v>0.0002121426596</v>
      </c>
      <c r="G469" s="3">
        <f t="shared" si="4"/>
        <v>0</v>
      </c>
      <c r="H469" s="2">
        <f t="shared" si="5"/>
        <v>0</v>
      </c>
      <c r="I469" s="3">
        <f t="shared" si="6"/>
        <v>0</v>
      </c>
      <c r="J469" s="3">
        <f t="shared" si="7"/>
        <v>0</v>
      </c>
      <c r="K469" s="3"/>
      <c r="L469" s="3">
        <f t="shared" si="8"/>
        <v>431.9865025</v>
      </c>
      <c r="M469" s="14">
        <f t="shared" si="9"/>
        <v>428.8742123</v>
      </c>
      <c r="N469" s="14">
        <f t="shared" si="10"/>
        <v>3.112290123</v>
      </c>
      <c r="O469" s="3"/>
      <c r="P469" s="3"/>
      <c r="Q469" s="3"/>
      <c r="R469" s="2"/>
      <c r="S469" s="14">
        <f t="shared" si="13"/>
        <v>2.858003984</v>
      </c>
    </row>
    <row r="470">
      <c r="A470" s="11">
        <v>458.0</v>
      </c>
      <c r="B470" s="11">
        <v>1.42138695652173E9</v>
      </c>
      <c r="C470" s="2">
        <v>-102.4206009</v>
      </c>
      <c r="D470" s="3">
        <f t="shared" si="1"/>
        <v>986956.5217</v>
      </c>
      <c r="E470" s="4">
        <f t="shared" si="2"/>
        <v>-209.3715181</v>
      </c>
      <c r="F470" s="3">
        <f t="shared" si="3"/>
        <v>0.0002121385426</v>
      </c>
      <c r="G470" s="3">
        <f t="shared" si="4"/>
        <v>0</v>
      </c>
      <c r="H470" s="2">
        <f t="shared" si="5"/>
        <v>0</v>
      </c>
      <c r="I470" s="3">
        <f t="shared" si="6"/>
        <v>0</v>
      </c>
      <c r="J470" s="3">
        <f t="shared" si="7"/>
        <v>0</v>
      </c>
      <c r="K470" s="3"/>
      <c r="L470" s="3">
        <f t="shared" si="8"/>
        <v>435.5580827</v>
      </c>
      <c r="M470" s="14">
        <f t="shared" si="9"/>
        <v>428.7880326</v>
      </c>
      <c r="N470" s="14">
        <f t="shared" si="10"/>
        <v>6.77005011</v>
      </c>
      <c r="O470" s="3"/>
      <c r="P470" s="3"/>
      <c r="Q470" s="3"/>
      <c r="R470" s="2"/>
      <c r="S470" s="14">
        <f t="shared" si="13"/>
        <v>6.216910834</v>
      </c>
    </row>
    <row r="471">
      <c r="A471" s="11">
        <v>459.0</v>
      </c>
      <c r="B471" s="11">
        <v>1.42139130434782E9</v>
      </c>
      <c r="C471" s="2">
        <v>-102.488472</v>
      </c>
      <c r="D471" s="3">
        <f t="shared" si="1"/>
        <v>991304.3478</v>
      </c>
      <c r="E471" s="4">
        <f t="shared" si="2"/>
        <v>-210.2898143</v>
      </c>
      <c r="F471" s="3">
        <f t="shared" si="3"/>
        <v>0.0002121344618</v>
      </c>
      <c r="G471" s="3">
        <f t="shared" si="4"/>
        <v>0</v>
      </c>
      <c r="H471" s="2">
        <f t="shared" si="5"/>
        <v>0</v>
      </c>
      <c r="I471" s="3">
        <f t="shared" si="6"/>
        <v>0</v>
      </c>
      <c r="J471" s="3">
        <f t="shared" si="7"/>
        <v>0</v>
      </c>
      <c r="K471" s="3"/>
      <c r="L471" s="3">
        <f t="shared" si="8"/>
        <v>428.8041377</v>
      </c>
      <c r="M471" s="14">
        <f t="shared" si="9"/>
        <v>428.7022497</v>
      </c>
      <c r="N471" s="14">
        <f t="shared" si="10"/>
        <v>0.1018880224</v>
      </c>
      <c r="O471" s="3"/>
      <c r="P471" s="3"/>
      <c r="Q471" s="3"/>
      <c r="R471" s="2"/>
      <c r="S471" s="14">
        <f t="shared" si="13"/>
        <v>0.09356337693</v>
      </c>
    </row>
    <row r="472">
      <c r="A472" s="11">
        <v>460.0</v>
      </c>
      <c r="B472" s="11">
        <v>1.42139565217391E9</v>
      </c>
      <c r="C472" s="2">
        <v>-102.4975433</v>
      </c>
      <c r="D472" s="3">
        <f t="shared" si="1"/>
        <v>995652.1739</v>
      </c>
      <c r="E472" s="4">
        <f t="shared" si="2"/>
        <v>-211.2081104</v>
      </c>
      <c r="F472" s="3">
        <f t="shared" si="3"/>
        <v>0.0002121304166</v>
      </c>
      <c r="G472" s="3">
        <f t="shared" si="4"/>
        <v>0</v>
      </c>
      <c r="H472" s="2">
        <f t="shared" si="5"/>
        <v>0</v>
      </c>
      <c r="I472" s="3">
        <f t="shared" si="6"/>
        <v>0</v>
      </c>
      <c r="J472" s="3">
        <f t="shared" si="7"/>
        <v>0</v>
      </c>
      <c r="K472" s="3"/>
      <c r="L472" s="3">
        <f t="shared" si="8"/>
        <v>427.9094104</v>
      </c>
      <c r="M472" s="14">
        <f t="shared" si="9"/>
        <v>428.6168663</v>
      </c>
      <c r="N472" s="14">
        <f t="shared" si="10"/>
        <v>-0.7074559138</v>
      </c>
      <c r="O472" s="3"/>
      <c r="P472" s="3"/>
      <c r="Q472" s="3"/>
      <c r="R472" s="2"/>
      <c r="S472" s="14">
        <f t="shared" si="13"/>
        <v>-0.5602269866</v>
      </c>
    </row>
    <row r="473">
      <c r="A473" s="11">
        <v>461.0</v>
      </c>
      <c r="B473" s="11">
        <v>1.4214E9</v>
      </c>
      <c r="C473" s="2">
        <v>-102.5321198</v>
      </c>
      <c r="D473" s="3">
        <f t="shared" si="1"/>
        <v>1000000</v>
      </c>
      <c r="E473" s="29">
        <f>-0.000212*D473</f>
        <v>-212</v>
      </c>
      <c r="F473" s="3">
        <f t="shared" si="3"/>
        <v>0.000212</v>
      </c>
      <c r="G473" s="3">
        <f t="shared" si="4"/>
        <v>0</v>
      </c>
      <c r="H473" s="2">
        <f t="shared" si="5"/>
        <v>0</v>
      </c>
      <c r="I473" s="3">
        <f t="shared" si="6"/>
        <v>0</v>
      </c>
      <c r="J473" s="3">
        <f t="shared" si="7"/>
        <v>0</v>
      </c>
      <c r="K473" s="3"/>
      <c r="L473" s="3">
        <f t="shared" si="8"/>
        <v>424.5161211</v>
      </c>
      <c r="M473" s="14">
        <f t="shared" si="9"/>
        <v>428.543559</v>
      </c>
      <c r="N473" s="14">
        <f t="shared" si="10"/>
        <v>-4.027437874</v>
      </c>
      <c r="O473" s="3"/>
      <c r="P473" s="3"/>
      <c r="Q473" s="3"/>
      <c r="R473" s="2"/>
      <c r="S473" s="14"/>
    </row>
    <row r="474">
      <c r="A474" s="11" t="s">
        <v>40</v>
      </c>
      <c r="D474" s="3"/>
      <c r="E474" s="4"/>
      <c r="F474" s="3"/>
      <c r="G474" s="3"/>
      <c r="H474" s="3"/>
      <c r="I474" s="3"/>
      <c r="J474" s="3"/>
      <c r="K474" s="3"/>
      <c r="L474" s="3"/>
      <c r="M474" s="5"/>
      <c r="N474" s="3"/>
      <c r="O474" s="3"/>
      <c r="P474" s="3"/>
      <c r="Q474" s="3"/>
      <c r="R474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0</v>
      </c>
      <c r="B1" s="11" t="s">
        <v>1</v>
      </c>
    </row>
    <row r="2">
      <c r="A2" s="11" t="s">
        <v>2</v>
      </c>
      <c r="B2" s="11" t="s">
        <v>3</v>
      </c>
    </row>
    <row r="3">
      <c r="A3" s="11" t="s">
        <v>5</v>
      </c>
      <c r="B3" s="11" t="s">
        <v>6</v>
      </c>
    </row>
    <row r="4">
      <c r="A4" s="11" t="s">
        <v>7</v>
      </c>
      <c r="B4" s="11">
        <v>1.4204E9</v>
      </c>
      <c r="C4" s="11" t="s">
        <v>8</v>
      </c>
    </row>
    <row r="5">
      <c r="A5" s="11" t="s">
        <v>9</v>
      </c>
      <c r="B5" s="11">
        <v>2000000.0</v>
      </c>
      <c r="C5" s="11" t="s">
        <v>8</v>
      </c>
    </row>
    <row r="6">
      <c r="A6" s="11" t="s">
        <v>10</v>
      </c>
      <c r="B6" s="11">
        <v>30000.0</v>
      </c>
      <c r="C6" s="11" t="s">
        <v>8</v>
      </c>
    </row>
    <row r="7">
      <c r="A7" s="11" t="s">
        <v>11</v>
      </c>
      <c r="B7" s="11">
        <v>30000.0</v>
      </c>
      <c r="C7" s="11" t="s">
        <v>8</v>
      </c>
    </row>
    <row r="8">
      <c r="A8" s="11" t="s">
        <v>12</v>
      </c>
      <c r="B8" s="11">
        <v>-97.0</v>
      </c>
      <c r="C8" s="11" t="s">
        <v>13</v>
      </c>
    </row>
    <row r="9">
      <c r="A9" s="11" t="s">
        <v>14</v>
      </c>
      <c r="B9" s="11">
        <v>1.0</v>
      </c>
      <c r="C9" s="11" t="s">
        <v>15</v>
      </c>
    </row>
    <row r="10">
      <c r="A10" s="11" t="s">
        <v>16</v>
      </c>
      <c r="B10" s="11">
        <v>461.0</v>
      </c>
    </row>
    <row r="11">
      <c r="A11" s="11" t="s">
        <v>17</v>
      </c>
      <c r="B11" s="11" t="s">
        <v>8</v>
      </c>
      <c r="C11" s="11" t="s">
        <v>13</v>
      </c>
      <c r="D11" s="2" t="s">
        <v>18</v>
      </c>
      <c r="E11" s="1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26</v>
      </c>
      <c r="M11" s="6" t="s">
        <v>27</v>
      </c>
      <c r="N11" s="2" t="s">
        <v>28</v>
      </c>
      <c r="O11" s="3"/>
      <c r="P11" s="2" t="s">
        <v>29</v>
      </c>
      <c r="Q11" s="2" t="s">
        <v>30</v>
      </c>
      <c r="R11" s="2"/>
      <c r="S11" s="2" t="s">
        <v>31</v>
      </c>
      <c r="V11" s="13" t="s">
        <v>32</v>
      </c>
    </row>
    <row r="12">
      <c r="A12" s="11" t="s">
        <v>33</v>
      </c>
      <c r="B12" s="11" t="s">
        <v>34</v>
      </c>
      <c r="C12" s="11" t="s">
        <v>35</v>
      </c>
      <c r="D12" s="3"/>
      <c r="E12" s="4"/>
      <c r="F12" s="3"/>
      <c r="G12" s="2" t="s">
        <v>36</v>
      </c>
      <c r="H12" s="2" t="s">
        <v>37</v>
      </c>
      <c r="I12" s="3"/>
      <c r="J12" s="3"/>
      <c r="K12" s="3"/>
      <c r="L12" s="3"/>
      <c r="M12" s="5"/>
      <c r="N12" s="3"/>
      <c r="O12" s="3"/>
      <c r="P12" s="3"/>
      <c r="Q12" s="3"/>
      <c r="R12" s="3"/>
      <c r="S12" s="3"/>
    </row>
    <row r="13">
      <c r="A13" s="11">
        <v>1.0</v>
      </c>
      <c r="B13" s="11">
        <v>1.4194E9</v>
      </c>
      <c r="C13" s="2">
        <v>-102.1355438</v>
      </c>
      <c r="D13" s="3">
        <f t="shared" ref="D13:D473" si="1">B13-$B$4</f>
        <v>-1000000</v>
      </c>
      <c r="E13" s="4">
        <f t="shared" ref="E13:E472" si="2">-((B14-$B$4)/$B$4)*(3*10^5)</f>
        <v>210.2898143</v>
      </c>
      <c r="F13" s="3">
        <f t="shared" ref="F13:F473" si="3">-E13/D13</f>
        <v>0.0002102898143</v>
      </c>
      <c r="G13" s="3">
        <f t="shared" ref="G13:G473" si="4">(10^(C13/10))/1000</f>
        <v>0</v>
      </c>
      <c r="H13" s="2">
        <f t="shared" ref="H13:H473" si="5">G13/30000</f>
        <v>0</v>
      </c>
      <c r="I13" s="3">
        <f t="shared" ref="I13:I473" si="6">0.0063*H13</f>
        <v>0</v>
      </c>
      <c r="J13" s="3">
        <f t="shared" ref="J13:J473" si="7">(1/F13^2)*I13</f>
        <v>0</v>
      </c>
      <c r="K13" s="22">
        <f>1.38064852E-23</f>
        <v>0</v>
      </c>
      <c r="L13" s="3">
        <f t="shared" ref="L13:L473" si="8">(1/(2*$K$13))*(I13)</f>
        <v>465.1058343</v>
      </c>
      <c r="M13" s="30">
        <f t="shared" ref="M13:M473" si="9"> -0.0000000301*E13^3 - 0.0000892241*E13^2 + 0.1071981101*E13 + 450.1993936549</f>
        <v>468.5165017</v>
      </c>
      <c r="N13" s="14">
        <f t="shared" ref="N13:N473" si="10">L13-(M13)</f>
        <v>-3.410667343</v>
      </c>
      <c r="O13" s="3"/>
      <c r="P13" s="23">
        <f t="shared" ref="P13:P67" si="11">-((B14-$B$4)/$B$4)*(3*10^5)</f>
        <v>210.2898143</v>
      </c>
      <c r="Q13" s="14">
        <f t="shared" ref="Q13:Q67" si="12">(1/(2*$K$13))*(I13)</f>
        <v>465.1058343</v>
      </c>
      <c r="R13" s="2"/>
      <c r="S13" s="14">
        <f t="shared" ref="S13:S472" si="13">(N13 * ABS(E14-E13))</f>
        <v>-3.132002631</v>
      </c>
      <c r="V13" s="3">
        <f>1822400000000000000 * SUM(S13:S473)</f>
        <v>7.97017E+21</v>
      </c>
    </row>
    <row r="14">
      <c r="A14" s="11">
        <v>2.0</v>
      </c>
      <c r="B14" s="11">
        <v>1.41940434782608E9</v>
      </c>
      <c r="C14" s="2">
        <v>-102.0653381</v>
      </c>
      <c r="D14" s="3">
        <f t="shared" si="1"/>
        <v>-995652.1739</v>
      </c>
      <c r="E14" s="4">
        <f t="shared" si="2"/>
        <v>209.3715181</v>
      </c>
      <c r="F14" s="3">
        <f t="shared" si="3"/>
        <v>0.0002102858042</v>
      </c>
      <c r="G14" s="3">
        <f t="shared" si="4"/>
        <v>0</v>
      </c>
      <c r="H14" s="2">
        <f t="shared" si="5"/>
        <v>0</v>
      </c>
      <c r="I14" s="3">
        <f t="shared" si="6"/>
        <v>0</v>
      </c>
      <c r="J14" s="3">
        <f t="shared" si="7"/>
        <v>0</v>
      </c>
      <c r="K14" s="3"/>
      <c r="L14" s="3">
        <f t="shared" si="8"/>
        <v>472.685584</v>
      </c>
      <c r="M14" s="30">
        <f t="shared" si="9"/>
        <v>468.4560976</v>
      </c>
      <c r="N14" s="14">
        <f t="shared" si="10"/>
        <v>4.229486384</v>
      </c>
      <c r="O14" s="3"/>
      <c r="P14" s="23">
        <f t="shared" si="11"/>
        <v>209.3715181</v>
      </c>
      <c r="Q14" s="14">
        <f t="shared" si="12"/>
        <v>472.685584</v>
      </c>
      <c r="R14" s="2"/>
      <c r="S14" s="14">
        <f t="shared" si="13"/>
        <v>3.883920991</v>
      </c>
    </row>
    <row r="15">
      <c r="A15" s="11">
        <v>3.0</v>
      </c>
      <c r="B15" s="11">
        <v>1.41940869565217E9</v>
      </c>
      <c r="C15" s="2">
        <v>-102.1572647</v>
      </c>
      <c r="D15" s="3">
        <f t="shared" si="1"/>
        <v>-991304.3478</v>
      </c>
      <c r="E15" s="4">
        <f t="shared" si="2"/>
        <v>208.453222</v>
      </c>
      <c r="F15" s="3">
        <f t="shared" si="3"/>
        <v>0.000210281759</v>
      </c>
      <c r="G15" s="3">
        <f t="shared" si="4"/>
        <v>0</v>
      </c>
      <c r="H15" s="2">
        <f t="shared" si="5"/>
        <v>0</v>
      </c>
      <c r="I15" s="3">
        <f t="shared" si="6"/>
        <v>0</v>
      </c>
      <c r="J15" s="3">
        <f t="shared" si="7"/>
        <v>0</v>
      </c>
      <c r="K15" s="3"/>
      <c r="L15" s="3">
        <f t="shared" si="8"/>
        <v>462.7854512</v>
      </c>
      <c r="M15" s="30">
        <f t="shared" si="9"/>
        <v>468.3955112</v>
      </c>
      <c r="N15" s="14">
        <f t="shared" si="10"/>
        <v>-5.61006003</v>
      </c>
      <c r="O15" s="3"/>
      <c r="P15" s="23">
        <f t="shared" si="11"/>
        <v>208.453222</v>
      </c>
      <c r="Q15" s="14">
        <f t="shared" si="12"/>
        <v>462.7854512</v>
      </c>
      <c r="R15" s="2"/>
      <c r="S15" s="14">
        <f t="shared" si="13"/>
        <v>-5.151696418</v>
      </c>
    </row>
    <row r="16">
      <c r="A16" s="11">
        <v>4.0</v>
      </c>
      <c r="B16" s="11">
        <v>1.41941304347826E9</v>
      </c>
      <c r="C16" s="2">
        <v>-102.1283417</v>
      </c>
      <c r="D16" s="3">
        <f t="shared" si="1"/>
        <v>-986956.5217</v>
      </c>
      <c r="E16" s="4">
        <f t="shared" si="2"/>
        <v>207.5349259</v>
      </c>
      <c r="F16" s="3">
        <f t="shared" si="3"/>
        <v>0.0002102776782</v>
      </c>
      <c r="G16" s="3">
        <f t="shared" si="4"/>
        <v>0</v>
      </c>
      <c r="H16" s="2">
        <f t="shared" si="5"/>
        <v>0</v>
      </c>
      <c r="I16" s="3">
        <f t="shared" si="6"/>
        <v>0</v>
      </c>
      <c r="J16" s="3">
        <f t="shared" si="7"/>
        <v>0</v>
      </c>
      <c r="K16" s="3"/>
      <c r="L16" s="3">
        <f t="shared" si="8"/>
        <v>465.8777801</v>
      </c>
      <c r="M16" s="30">
        <f t="shared" si="9"/>
        <v>468.3347426</v>
      </c>
      <c r="N16" s="14">
        <f t="shared" si="10"/>
        <v>-2.45696252</v>
      </c>
      <c r="O16" s="3"/>
      <c r="P16" s="23">
        <f t="shared" si="11"/>
        <v>207.5349259</v>
      </c>
      <c r="Q16" s="14">
        <f t="shared" si="12"/>
        <v>465.8777801</v>
      </c>
      <c r="R16" s="2"/>
      <c r="S16" s="14">
        <f t="shared" si="13"/>
        <v>-2.256219181</v>
      </c>
    </row>
    <row r="17">
      <c r="A17" s="11">
        <v>5.0</v>
      </c>
      <c r="B17" s="11">
        <v>1.41941739130434E9</v>
      </c>
      <c r="C17" s="2">
        <v>-102.1045227</v>
      </c>
      <c r="D17" s="3">
        <f t="shared" si="1"/>
        <v>-982608.6957</v>
      </c>
      <c r="E17" s="4">
        <f t="shared" si="2"/>
        <v>206.6166297</v>
      </c>
      <c r="F17" s="3">
        <f t="shared" si="3"/>
        <v>0.0002102735612</v>
      </c>
      <c r="G17" s="3">
        <f t="shared" si="4"/>
        <v>0</v>
      </c>
      <c r="H17" s="2">
        <f t="shared" si="5"/>
        <v>0</v>
      </c>
      <c r="I17" s="3">
        <f t="shared" si="6"/>
        <v>0</v>
      </c>
      <c r="J17" s="3">
        <f t="shared" si="7"/>
        <v>0</v>
      </c>
      <c r="K17" s="3"/>
      <c r="L17" s="3">
        <f t="shared" si="8"/>
        <v>468.4399192</v>
      </c>
      <c r="M17" s="30">
        <f t="shared" si="9"/>
        <v>468.2737919</v>
      </c>
      <c r="N17" s="14">
        <f t="shared" si="10"/>
        <v>0.1661273011</v>
      </c>
      <c r="O17" s="3"/>
      <c r="P17" s="23">
        <f t="shared" si="11"/>
        <v>206.6166297</v>
      </c>
      <c r="Q17" s="14">
        <f t="shared" si="12"/>
        <v>468.4399192</v>
      </c>
      <c r="R17" s="2"/>
      <c r="S17" s="14">
        <f t="shared" si="13"/>
        <v>0.1525540581</v>
      </c>
    </row>
    <row r="18">
      <c r="A18" s="11">
        <v>6.0</v>
      </c>
      <c r="B18" s="11">
        <v>1.41942173913043E9</v>
      </c>
      <c r="C18" s="2">
        <v>-102.0997009</v>
      </c>
      <c r="D18" s="3">
        <f t="shared" si="1"/>
        <v>-978260.8696</v>
      </c>
      <c r="E18" s="4">
        <f t="shared" si="2"/>
        <v>205.6983336</v>
      </c>
      <c r="F18" s="3">
        <f t="shared" si="3"/>
        <v>0.0002102694077</v>
      </c>
      <c r="G18" s="3">
        <f t="shared" si="4"/>
        <v>0</v>
      </c>
      <c r="H18" s="2">
        <f t="shared" si="5"/>
        <v>0</v>
      </c>
      <c r="I18" s="3">
        <f t="shared" si="6"/>
        <v>0</v>
      </c>
      <c r="J18" s="3">
        <f t="shared" si="7"/>
        <v>0</v>
      </c>
      <c r="K18" s="3"/>
      <c r="L18" s="3">
        <f t="shared" si="8"/>
        <v>468.9602983</v>
      </c>
      <c r="M18" s="30">
        <f t="shared" si="9"/>
        <v>468.2126592</v>
      </c>
      <c r="N18" s="14">
        <f t="shared" si="10"/>
        <v>0.7476391189</v>
      </c>
      <c r="O18" s="3"/>
      <c r="P18" s="23">
        <f t="shared" si="11"/>
        <v>205.6983336</v>
      </c>
      <c r="Q18" s="14">
        <f t="shared" si="12"/>
        <v>468.9602983</v>
      </c>
      <c r="R18" s="2"/>
      <c r="S18" s="14">
        <f t="shared" si="13"/>
        <v>0.68655411</v>
      </c>
    </row>
    <row r="19">
      <c r="A19" s="11">
        <v>7.0</v>
      </c>
      <c r="B19" s="11">
        <v>1.41942608695652E9</v>
      </c>
      <c r="C19" s="2">
        <v>-102.0545197</v>
      </c>
      <c r="D19" s="3">
        <f t="shared" si="1"/>
        <v>-973913.0435</v>
      </c>
      <c r="E19" s="4">
        <f t="shared" si="2"/>
        <v>204.7800375</v>
      </c>
      <c r="F19" s="3">
        <f t="shared" si="3"/>
        <v>0.000210265217</v>
      </c>
      <c r="G19" s="3">
        <f t="shared" si="4"/>
        <v>0</v>
      </c>
      <c r="H19" s="2">
        <f t="shared" si="5"/>
        <v>0</v>
      </c>
      <c r="I19" s="3">
        <f t="shared" si="6"/>
        <v>0</v>
      </c>
      <c r="J19" s="3">
        <f t="shared" si="7"/>
        <v>0</v>
      </c>
      <c r="K19" s="3"/>
      <c r="L19" s="3">
        <f t="shared" si="8"/>
        <v>473.8645251</v>
      </c>
      <c r="M19" s="30">
        <f t="shared" si="9"/>
        <v>468.1513448</v>
      </c>
      <c r="N19" s="14">
        <f t="shared" si="10"/>
        <v>5.713180386</v>
      </c>
      <c r="O19" s="3"/>
      <c r="P19" s="23">
        <f t="shared" si="11"/>
        <v>204.7800375</v>
      </c>
      <c r="Q19" s="14">
        <f t="shared" si="12"/>
        <v>473.8645251</v>
      </c>
      <c r="R19" s="2"/>
      <c r="S19" s="14">
        <f t="shared" si="13"/>
        <v>5.246391454</v>
      </c>
    </row>
    <row r="20">
      <c r="A20" s="11">
        <v>8.0</v>
      </c>
      <c r="B20" s="11">
        <v>1.4194304347826E9</v>
      </c>
      <c r="C20" s="2">
        <v>-102.0815964</v>
      </c>
      <c r="D20" s="3">
        <f t="shared" si="1"/>
        <v>-969565.2174</v>
      </c>
      <c r="E20" s="4">
        <f t="shared" si="2"/>
        <v>203.8617413</v>
      </c>
      <c r="F20" s="3">
        <f t="shared" si="3"/>
        <v>0.0002102609888</v>
      </c>
      <c r="G20" s="3">
        <f t="shared" si="4"/>
        <v>0</v>
      </c>
      <c r="H20" s="2">
        <f t="shared" si="5"/>
        <v>0</v>
      </c>
      <c r="I20" s="3">
        <f t="shared" si="6"/>
        <v>0</v>
      </c>
      <c r="J20" s="3">
        <f t="shared" si="7"/>
        <v>0</v>
      </c>
      <c r="K20" s="3"/>
      <c r="L20" s="3">
        <f t="shared" si="8"/>
        <v>470.9193408</v>
      </c>
      <c r="M20" s="30">
        <f t="shared" si="9"/>
        <v>468.0898486</v>
      </c>
      <c r="N20" s="14">
        <f t="shared" si="10"/>
        <v>2.829492148</v>
      </c>
      <c r="O20" s="3"/>
      <c r="P20" s="23">
        <f t="shared" si="11"/>
        <v>203.8617413</v>
      </c>
      <c r="Q20" s="14">
        <f t="shared" si="12"/>
        <v>470.9193408</v>
      </c>
      <c r="R20" s="2"/>
      <c r="S20" s="14">
        <f t="shared" si="13"/>
        <v>2.598311697</v>
      </c>
    </row>
    <row r="21">
      <c r="A21" s="11">
        <v>9.0</v>
      </c>
      <c r="B21" s="11">
        <v>1.41943478260869E9</v>
      </c>
      <c r="C21" s="2">
        <v>-102.0915604</v>
      </c>
      <c r="D21" s="3">
        <f t="shared" si="1"/>
        <v>-965217.3913</v>
      </c>
      <c r="E21" s="4">
        <f t="shared" si="2"/>
        <v>202.9434452</v>
      </c>
      <c r="F21" s="3">
        <f t="shared" si="3"/>
        <v>0.0002102567225</v>
      </c>
      <c r="G21" s="3">
        <f t="shared" si="4"/>
        <v>0</v>
      </c>
      <c r="H21" s="2">
        <f t="shared" si="5"/>
        <v>0</v>
      </c>
      <c r="I21" s="3">
        <f t="shared" si="6"/>
        <v>0</v>
      </c>
      <c r="J21" s="3">
        <f t="shared" si="7"/>
        <v>0</v>
      </c>
      <c r="K21" s="3"/>
      <c r="L21" s="3">
        <f t="shared" si="8"/>
        <v>469.840151</v>
      </c>
      <c r="M21" s="30">
        <f t="shared" si="9"/>
        <v>468.028171</v>
      </c>
      <c r="N21" s="14">
        <f t="shared" si="10"/>
        <v>1.811980015</v>
      </c>
      <c r="O21" s="3"/>
      <c r="P21" s="23">
        <f t="shared" si="11"/>
        <v>202.9434452</v>
      </c>
      <c r="Q21" s="14">
        <f t="shared" si="12"/>
        <v>469.840151</v>
      </c>
      <c r="R21" s="2"/>
      <c r="S21" s="14">
        <f t="shared" si="13"/>
        <v>1.66393424</v>
      </c>
    </row>
    <row r="22">
      <c r="A22" s="11">
        <v>10.0</v>
      </c>
      <c r="B22" s="11">
        <v>1.41943913043478E9</v>
      </c>
      <c r="C22" s="2">
        <v>-102.0855865</v>
      </c>
      <c r="D22" s="3">
        <f t="shared" si="1"/>
        <v>-960869.5652</v>
      </c>
      <c r="E22" s="4">
        <f t="shared" si="2"/>
        <v>202.0251491</v>
      </c>
      <c r="F22" s="3">
        <f t="shared" si="3"/>
        <v>0.0002102524176</v>
      </c>
      <c r="G22" s="3">
        <f t="shared" si="4"/>
        <v>0</v>
      </c>
      <c r="H22" s="2">
        <f t="shared" si="5"/>
        <v>0</v>
      </c>
      <c r="I22" s="3">
        <f t="shared" si="6"/>
        <v>0</v>
      </c>
      <c r="J22" s="3">
        <f t="shared" si="7"/>
        <v>0</v>
      </c>
      <c r="K22" s="3"/>
      <c r="L22" s="3">
        <f t="shared" si="8"/>
        <v>470.4868802</v>
      </c>
      <c r="M22" s="30">
        <f t="shared" si="9"/>
        <v>467.9663119</v>
      </c>
      <c r="N22" s="14">
        <f t="shared" si="10"/>
        <v>2.5205683</v>
      </c>
      <c r="O22" s="3"/>
      <c r="P22" s="23">
        <f t="shared" si="11"/>
        <v>202.0251491</v>
      </c>
      <c r="Q22" s="14">
        <f t="shared" si="12"/>
        <v>470.4868802</v>
      </c>
      <c r="R22" s="2"/>
      <c r="S22" s="14">
        <f t="shared" si="13"/>
        <v>2.314628117</v>
      </c>
      <c r="U22" s="11">
        <v>1.0</v>
      </c>
    </row>
    <row r="23">
      <c r="A23" s="11">
        <v>11.0</v>
      </c>
      <c r="B23" s="11">
        <v>1.41944347826087E9</v>
      </c>
      <c r="C23" s="2">
        <v>-102.0947571</v>
      </c>
      <c r="D23" s="3">
        <f t="shared" si="1"/>
        <v>-956521.7391</v>
      </c>
      <c r="E23" s="4">
        <f t="shared" si="2"/>
        <v>201.1068529</v>
      </c>
      <c r="F23" s="3">
        <f t="shared" si="3"/>
        <v>0.0002102480735</v>
      </c>
      <c r="G23" s="3">
        <f t="shared" si="4"/>
        <v>0</v>
      </c>
      <c r="H23" s="2">
        <f t="shared" si="5"/>
        <v>0</v>
      </c>
      <c r="I23" s="3">
        <f t="shared" si="6"/>
        <v>0</v>
      </c>
      <c r="J23" s="3">
        <f t="shared" si="7"/>
        <v>0</v>
      </c>
      <c r="K23" s="3"/>
      <c r="L23" s="3">
        <f t="shared" si="8"/>
        <v>469.4944442</v>
      </c>
      <c r="M23" s="30">
        <f t="shared" si="9"/>
        <v>467.9042716</v>
      </c>
      <c r="N23" s="14">
        <f t="shared" si="10"/>
        <v>1.590172601</v>
      </c>
      <c r="O23" s="3"/>
      <c r="P23" s="23">
        <f t="shared" si="11"/>
        <v>201.1068529</v>
      </c>
      <c r="Q23" s="14">
        <f t="shared" si="12"/>
        <v>469.4944442</v>
      </c>
      <c r="R23" s="2"/>
      <c r="S23" s="14">
        <f t="shared" si="13"/>
        <v>1.46024935</v>
      </c>
    </row>
    <row r="24">
      <c r="A24" s="11">
        <v>12.0</v>
      </c>
      <c r="B24" s="11">
        <v>1.41944782608695E9</v>
      </c>
      <c r="C24" s="2">
        <v>-102.1134949</v>
      </c>
      <c r="D24" s="3">
        <f t="shared" si="1"/>
        <v>-952173.913</v>
      </c>
      <c r="E24" s="4">
        <f t="shared" si="2"/>
        <v>200.1885568</v>
      </c>
      <c r="F24" s="3">
        <f t="shared" si="3"/>
        <v>0.0002102436898</v>
      </c>
      <c r="G24" s="3">
        <f t="shared" si="4"/>
        <v>0</v>
      </c>
      <c r="H24" s="2">
        <f t="shared" si="5"/>
        <v>0</v>
      </c>
      <c r="I24" s="3">
        <f t="shared" si="6"/>
        <v>0</v>
      </c>
      <c r="J24" s="3">
        <f t="shared" si="7"/>
        <v>0</v>
      </c>
      <c r="K24" s="3"/>
      <c r="L24" s="3">
        <f t="shared" si="8"/>
        <v>467.4731562</v>
      </c>
      <c r="M24" s="30">
        <f t="shared" si="9"/>
        <v>467.8420502</v>
      </c>
      <c r="N24" s="14">
        <f t="shared" si="10"/>
        <v>-0.3688939698</v>
      </c>
      <c r="O24" s="3"/>
      <c r="P24" s="23">
        <f t="shared" si="11"/>
        <v>200.1885568</v>
      </c>
      <c r="Q24" s="14">
        <f t="shared" si="12"/>
        <v>467.4731562</v>
      </c>
      <c r="R24" s="2"/>
      <c r="S24" s="14">
        <f t="shared" si="13"/>
        <v>-0.3387539059</v>
      </c>
    </row>
    <row r="25">
      <c r="A25" s="11">
        <v>13.0</v>
      </c>
      <c r="B25" s="11">
        <v>1.41945217391304E9</v>
      </c>
      <c r="C25" s="2">
        <v>-102.1043091</v>
      </c>
      <c r="D25" s="3">
        <f t="shared" si="1"/>
        <v>-947826.087</v>
      </c>
      <c r="E25" s="4">
        <f t="shared" si="2"/>
        <v>199.2702607</v>
      </c>
      <c r="F25" s="3">
        <f t="shared" si="3"/>
        <v>0.0002102392658</v>
      </c>
      <c r="G25" s="3">
        <f t="shared" si="4"/>
        <v>0</v>
      </c>
      <c r="H25" s="2">
        <f t="shared" si="5"/>
        <v>0</v>
      </c>
      <c r="I25" s="3">
        <f t="shared" si="6"/>
        <v>0</v>
      </c>
      <c r="J25" s="3">
        <f t="shared" si="7"/>
        <v>0</v>
      </c>
      <c r="K25" s="3"/>
      <c r="L25" s="3">
        <f t="shared" si="8"/>
        <v>468.4629591</v>
      </c>
      <c r="M25" s="30">
        <f t="shared" si="9"/>
        <v>467.7796478</v>
      </c>
      <c r="N25" s="14">
        <f t="shared" si="10"/>
        <v>0.6833113019</v>
      </c>
      <c r="O25" s="3"/>
      <c r="P25" s="23">
        <f t="shared" si="11"/>
        <v>199.2702607</v>
      </c>
      <c r="Q25" s="14">
        <f t="shared" si="12"/>
        <v>468.4629591</v>
      </c>
      <c r="R25" s="2"/>
      <c r="S25" s="14">
        <f t="shared" si="13"/>
        <v>0.6274821246</v>
      </c>
    </row>
    <row r="26">
      <c r="A26" s="11">
        <v>14.0</v>
      </c>
      <c r="B26" s="11">
        <v>1.41945652173913E9</v>
      </c>
      <c r="C26" s="2">
        <v>-102.1470108</v>
      </c>
      <c r="D26" s="3">
        <f t="shared" si="1"/>
        <v>-943478.2609</v>
      </c>
      <c r="E26" s="4">
        <f t="shared" si="2"/>
        <v>198.3519645</v>
      </c>
      <c r="F26" s="3">
        <f t="shared" si="3"/>
        <v>0.0002102348011</v>
      </c>
      <c r="G26" s="3">
        <f t="shared" si="4"/>
        <v>0</v>
      </c>
      <c r="H26" s="2">
        <f t="shared" si="5"/>
        <v>0</v>
      </c>
      <c r="I26" s="3">
        <f t="shared" si="6"/>
        <v>0</v>
      </c>
      <c r="J26" s="3">
        <f t="shared" si="7"/>
        <v>0</v>
      </c>
      <c r="K26" s="3"/>
      <c r="L26" s="3">
        <f t="shared" si="8"/>
        <v>463.8794007</v>
      </c>
      <c r="M26" s="30">
        <f t="shared" si="9"/>
        <v>467.7170646</v>
      </c>
      <c r="N26" s="14">
        <f t="shared" si="10"/>
        <v>-3.837663968</v>
      </c>
      <c r="O26" s="3"/>
      <c r="P26" s="23">
        <f t="shared" si="11"/>
        <v>198.3519645</v>
      </c>
      <c r="Q26" s="14">
        <f t="shared" si="12"/>
        <v>463.8794007</v>
      </c>
      <c r="R26" s="2"/>
      <c r="S26" s="14">
        <f t="shared" si="13"/>
        <v>-3.524111981</v>
      </c>
    </row>
    <row r="27">
      <c r="A27" s="11">
        <v>15.0</v>
      </c>
      <c r="B27" s="11">
        <v>1.41946086956521E9</v>
      </c>
      <c r="C27" s="2">
        <v>-102.0651169</v>
      </c>
      <c r="D27" s="3">
        <f t="shared" si="1"/>
        <v>-939130.4348</v>
      </c>
      <c r="E27" s="4">
        <f t="shared" si="2"/>
        <v>197.4336684</v>
      </c>
      <c r="F27" s="3">
        <f t="shared" si="3"/>
        <v>0.0002102302951</v>
      </c>
      <c r="G27" s="3">
        <f t="shared" si="4"/>
        <v>0</v>
      </c>
      <c r="H27" s="2">
        <f t="shared" si="5"/>
        <v>0</v>
      </c>
      <c r="I27" s="3">
        <f t="shared" si="6"/>
        <v>0</v>
      </c>
      <c r="J27" s="3">
        <f t="shared" si="7"/>
        <v>0</v>
      </c>
      <c r="K27" s="3"/>
      <c r="L27" s="3">
        <f t="shared" si="8"/>
        <v>472.70966</v>
      </c>
      <c r="M27" s="30">
        <f t="shared" si="9"/>
        <v>467.6543007</v>
      </c>
      <c r="N27" s="14">
        <f t="shared" si="10"/>
        <v>5.055359268</v>
      </c>
      <c r="O27" s="3"/>
      <c r="P27" s="23">
        <f t="shared" si="11"/>
        <v>197.4336684</v>
      </c>
      <c r="Q27" s="14">
        <f t="shared" si="12"/>
        <v>472.70966</v>
      </c>
      <c r="R27" s="2"/>
      <c r="S27" s="14">
        <f t="shared" si="13"/>
        <v>4.642316865</v>
      </c>
    </row>
    <row r="28">
      <c r="A28" s="11">
        <v>16.0</v>
      </c>
      <c r="B28" s="11">
        <v>1.4194652173913E9</v>
      </c>
      <c r="C28" s="2">
        <v>-102.0799561</v>
      </c>
      <c r="D28" s="3">
        <f t="shared" si="1"/>
        <v>-934782.6087</v>
      </c>
      <c r="E28" s="4">
        <f t="shared" si="2"/>
        <v>196.5153723</v>
      </c>
      <c r="F28" s="3">
        <f t="shared" si="3"/>
        <v>0.0002102257471</v>
      </c>
      <c r="G28" s="3">
        <f t="shared" si="4"/>
        <v>0</v>
      </c>
      <c r="H28" s="2">
        <f t="shared" si="5"/>
        <v>0</v>
      </c>
      <c r="I28" s="3">
        <f t="shared" si="6"/>
        <v>0</v>
      </c>
      <c r="J28" s="3">
        <f t="shared" si="7"/>
        <v>0</v>
      </c>
      <c r="K28" s="3"/>
      <c r="L28" s="3">
        <f t="shared" si="8"/>
        <v>471.0972373</v>
      </c>
      <c r="M28" s="30">
        <f t="shared" si="9"/>
        <v>467.5913563</v>
      </c>
      <c r="N28" s="14">
        <f t="shared" si="10"/>
        <v>3.505880993</v>
      </c>
      <c r="O28" s="3"/>
      <c r="P28" s="23">
        <f t="shared" si="11"/>
        <v>196.5153723</v>
      </c>
      <c r="Q28" s="14">
        <f t="shared" si="12"/>
        <v>471.0972373</v>
      </c>
      <c r="R28" s="2"/>
      <c r="S28" s="14">
        <f t="shared" si="13"/>
        <v>3.219436951</v>
      </c>
    </row>
    <row r="29">
      <c r="A29" s="11">
        <v>17.0</v>
      </c>
      <c r="B29" s="11">
        <v>1.41946956521739E9</v>
      </c>
      <c r="C29" s="2">
        <v>-102.1139908</v>
      </c>
      <c r="D29" s="3">
        <f t="shared" si="1"/>
        <v>-930434.7826</v>
      </c>
      <c r="E29" s="4">
        <f t="shared" si="2"/>
        <v>195.5970761</v>
      </c>
      <c r="F29" s="3">
        <f t="shared" si="3"/>
        <v>0.0002102211566</v>
      </c>
      <c r="G29" s="3">
        <f t="shared" si="4"/>
        <v>0</v>
      </c>
      <c r="H29" s="2">
        <f t="shared" si="5"/>
        <v>0</v>
      </c>
      <c r="I29" s="3">
        <f t="shared" si="6"/>
        <v>0</v>
      </c>
      <c r="J29" s="3">
        <f t="shared" si="7"/>
        <v>0</v>
      </c>
      <c r="K29" s="3"/>
      <c r="L29" s="3">
        <f t="shared" si="8"/>
        <v>467.4197808</v>
      </c>
      <c r="M29" s="30">
        <f t="shared" si="9"/>
        <v>467.5282315</v>
      </c>
      <c r="N29" s="14">
        <f t="shared" si="10"/>
        <v>-0.1084507087</v>
      </c>
      <c r="O29" s="3"/>
      <c r="P29" s="23">
        <f t="shared" si="11"/>
        <v>195.5970761</v>
      </c>
      <c r="Q29" s="14">
        <f t="shared" si="12"/>
        <v>467.4197808</v>
      </c>
      <c r="R29" s="2"/>
      <c r="S29" s="14">
        <f t="shared" si="13"/>
        <v>-0.0995898664</v>
      </c>
    </row>
    <row r="30">
      <c r="A30" s="11">
        <v>18.0</v>
      </c>
      <c r="B30" s="11">
        <v>1.41947391304347E9</v>
      </c>
      <c r="C30" s="2">
        <v>-102.116478</v>
      </c>
      <c r="D30" s="3">
        <f t="shared" si="1"/>
        <v>-926086.9565</v>
      </c>
      <c r="E30" s="4">
        <f t="shared" si="2"/>
        <v>194.67878</v>
      </c>
      <c r="F30" s="3">
        <f t="shared" si="3"/>
        <v>0.000210216523</v>
      </c>
      <c r="G30" s="3">
        <f t="shared" si="4"/>
        <v>0</v>
      </c>
      <c r="H30" s="2">
        <f t="shared" si="5"/>
        <v>0</v>
      </c>
      <c r="I30" s="3">
        <f t="shared" si="6"/>
        <v>0</v>
      </c>
      <c r="J30" s="3">
        <f t="shared" si="7"/>
        <v>0</v>
      </c>
      <c r="K30" s="3"/>
      <c r="L30" s="3">
        <f t="shared" si="8"/>
        <v>467.1521666</v>
      </c>
      <c r="M30" s="30">
        <f t="shared" si="9"/>
        <v>467.4649264</v>
      </c>
      <c r="N30" s="14">
        <f t="shared" si="10"/>
        <v>-0.3127597859</v>
      </c>
      <c r="O30" s="3"/>
      <c r="P30" s="23">
        <f t="shared" si="11"/>
        <v>194.67878</v>
      </c>
      <c r="Q30" s="14">
        <f t="shared" si="12"/>
        <v>467.1521666</v>
      </c>
      <c r="R30" s="2"/>
      <c r="S30" s="14">
        <f t="shared" si="13"/>
        <v>-0.2872061019</v>
      </c>
    </row>
    <row r="31">
      <c r="A31" s="11">
        <v>19.0</v>
      </c>
      <c r="B31" s="11">
        <v>1.41947826086956E9</v>
      </c>
      <c r="C31" s="2">
        <v>-102.158493</v>
      </c>
      <c r="D31" s="3">
        <f t="shared" si="1"/>
        <v>-921739.1304</v>
      </c>
      <c r="E31" s="4">
        <f t="shared" si="2"/>
        <v>193.7604839</v>
      </c>
      <c r="F31" s="3">
        <f t="shared" si="3"/>
        <v>0.0002102118457</v>
      </c>
      <c r="G31" s="3">
        <f t="shared" si="4"/>
        <v>0</v>
      </c>
      <c r="H31" s="2">
        <f t="shared" si="5"/>
        <v>0</v>
      </c>
      <c r="I31" s="3">
        <f t="shared" si="6"/>
        <v>0</v>
      </c>
      <c r="J31" s="3">
        <f t="shared" si="7"/>
        <v>0</v>
      </c>
      <c r="K31" s="3"/>
      <c r="L31" s="3">
        <f t="shared" si="8"/>
        <v>462.6545817</v>
      </c>
      <c r="M31" s="30">
        <f t="shared" si="9"/>
        <v>467.4014411</v>
      </c>
      <c r="N31" s="14">
        <f t="shared" si="10"/>
        <v>-4.746859422</v>
      </c>
      <c r="O31" s="3"/>
      <c r="P31" s="23">
        <f t="shared" si="11"/>
        <v>193.7604839</v>
      </c>
      <c r="Q31" s="14">
        <f t="shared" si="12"/>
        <v>462.6545817</v>
      </c>
      <c r="R31" s="2"/>
      <c r="S31" s="14">
        <f t="shared" si="13"/>
        <v>-4.35902264</v>
      </c>
    </row>
    <row r="32">
      <c r="A32" s="11">
        <v>20.0</v>
      </c>
      <c r="B32" s="11">
        <v>1.41948260869565E9</v>
      </c>
      <c r="C32" s="2">
        <v>-102.0813522</v>
      </c>
      <c r="D32" s="3">
        <f t="shared" si="1"/>
        <v>-917391.3043</v>
      </c>
      <c r="E32" s="4">
        <f t="shared" si="2"/>
        <v>192.8421878</v>
      </c>
      <c r="F32" s="3">
        <f t="shared" si="3"/>
        <v>0.0002102071241</v>
      </c>
      <c r="G32" s="3">
        <f t="shared" si="4"/>
        <v>0</v>
      </c>
      <c r="H32" s="2">
        <f t="shared" si="5"/>
        <v>0</v>
      </c>
      <c r="I32" s="3">
        <f t="shared" si="6"/>
        <v>0</v>
      </c>
      <c r="J32" s="3">
        <f t="shared" si="7"/>
        <v>0</v>
      </c>
      <c r="K32" s="3"/>
      <c r="L32" s="3">
        <f t="shared" si="8"/>
        <v>470.9458209</v>
      </c>
      <c r="M32" s="30">
        <f t="shared" si="9"/>
        <v>467.3377759</v>
      </c>
      <c r="N32" s="14">
        <f t="shared" si="10"/>
        <v>3.608044985</v>
      </c>
      <c r="O32" s="3"/>
      <c r="P32" s="23">
        <f t="shared" si="11"/>
        <v>192.8421878</v>
      </c>
      <c r="Q32" s="14">
        <f t="shared" si="12"/>
        <v>470.9458209</v>
      </c>
      <c r="R32" s="2"/>
      <c r="S32" s="14">
        <f t="shared" si="13"/>
        <v>3.313253757</v>
      </c>
    </row>
    <row r="33">
      <c r="A33" s="11">
        <v>21.0</v>
      </c>
      <c r="B33" s="11">
        <v>1.41948695652173E9</v>
      </c>
      <c r="C33" s="2">
        <v>-102.0861816</v>
      </c>
      <c r="D33" s="3">
        <f t="shared" si="1"/>
        <v>-913043.4783</v>
      </c>
      <c r="E33" s="4">
        <f t="shared" si="2"/>
        <v>191.9238916</v>
      </c>
      <c r="F33" s="3">
        <f t="shared" si="3"/>
        <v>0.0002102023575</v>
      </c>
      <c r="G33" s="3">
        <f t="shared" si="4"/>
        <v>0</v>
      </c>
      <c r="H33" s="2">
        <f t="shared" si="5"/>
        <v>0</v>
      </c>
      <c r="I33" s="3">
        <f t="shared" si="6"/>
        <v>0</v>
      </c>
      <c r="J33" s="3">
        <f t="shared" si="7"/>
        <v>0</v>
      </c>
      <c r="K33" s="3"/>
      <c r="L33" s="3">
        <f t="shared" si="8"/>
        <v>470.4224153</v>
      </c>
      <c r="M33" s="30">
        <f t="shared" si="9"/>
        <v>467.2739308</v>
      </c>
      <c r="N33" s="14">
        <f t="shared" si="10"/>
        <v>3.148484457</v>
      </c>
      <c r="O33" s="3"/>
      <c r="P33" s="23">
        <f t="shared" si="11"/>
        <v>191.9238916</v>
      </c>
      <c r="Q33" s="14">
        <f t="shared" si="12"/>
        <v>470.4224153</v>
      </c>
      <c r="R33" s="2"/>
      <c r="S33" s="14">
        <f t="shared" si="13"/>
        <v>2.891241101</v>
      </c>
    </row>
    <row r="34">
      <c r="A34" s="11">
        <v>22.0</v>
      </c>
      <c r="B34" s="11">
        <v>1.41949130434782E9</v>
      </c>
      <c r="C34" s="2">
        <v>-102.1752319</v>
      </c>
      <c r="D34" s="3">
        <f t="shared" si="1"/>
        <v>-908695.6522</v>
      </c>
      <c r="E34" s="4">
        <f t="shared" si="2"/>
        <v>191.0055955</v>
      </c>
      <c r="F34" s="3">
        <f t="shared" si="3"/>
        <v>0.0002101975453</v>
      </c>
      <c r="G34" s="3">
        <f t="shared" si="4"/>
        <v>0</v>
      </c>
      <c r="H34" s="2">
        <f t="shared" si="5"/>
        <v>0</v>
      </c>
      <c r="I34" s="3">
        <f t="shared" si="6"/>
        <v>0</v>
      </c>
      <c r="J34" s="3">
        <f t="shared" si="7"/>
        <v>0</v>
      </c>
      <c r="K34" s="3"/>
      <c r="L34" s="3">
        <f t="shared" si="8"/>
        <v>460.8748162</v>
      </c>
      <c r="M34" s="30">
        <f t="shared" si="9"/>
        <v>467.209906</v>
      </c>
      <c r="N34" s="14">
        <f t="shared" si="10"/>
        <v>-6.335089887</v>
      </c>
      <c r="O34" s="3"/>
      <c r="P34" s="23">
        <f t="shared" si="11"/>
        <v>191.0055955</v>
      </c>
      <c r="Q34" s="14">
        <f t="shared" si="12"/>
        <v>460.8748162</v>
      </c>
      <c r="R34" s="2"/>
      <c r="S34" s="14">
        <f t="shared" si="13"/>
        <v>-5.817488544</v>
      </c>
    </row>
    <row r="35">
      <c r="A35" s="11">
        <v>23.0</v>
      </c>
      <c r="B35" s="11">
        <v>1.41949565217391E9</v>
      </c>
      <c r="C35" s="2">
        <v>-102.1145706</v>
      </c>
      <c r="D35" s="3">
        <f t="shared" si="1"/>
        <v>-904347.8261</v>
      </c>
      <c r="E35" s="4">
        <f t="shared" si="2"/>
        <v>190.0872994</v>
      </c>
      <c r="F35" s="3">
        <f t="shared" si="3"/>
        <v>0.0002101926868</v>
      </c>
      <c r="G35" s="3">
        <f t="shared" si="4"/>
        <v>0</v>
      </c>
      <c r="H35" s="2">
        <f t="shared" si="5"/>
        <v>0</v>
      </c>
      <c r="I35" s="3">
        <f t="shared" si="6"/>
        <v>0</v>
      </c>
      <c r="J35" s="3">
        <f t="shared" si="7"/>
        <v>0</v>
      </c>
      <c r="K35" s="3"/>
      <c r="L35" s="3">
        <f t="shared" si="8"/>
        <v>467.3573826</v>
      </c>
      <c r="M35" s="30">
        <f t="shared" si="9"/>
        <v>467.1457017</v>
      </c>
      <c r="N35" s="14">
        <f t="shared" si="10"/>
        <v>0.211680876</v>
      </c>
      <c r="O35" s="3"/>
      <c r="P35" s="23">
        <f t="shared" si="11"/>
        <v>190.0872994</v>
      </c>
      <c r="Q35" s="14">
        <f t="shared" si="12"/>
        <v>467.3573826</v>
      </c>
      <c r="R35" s="2"/>
      <c r="S35" s="14">
        <f t="shared" si="13"/>
        <v>0.1943857294</v>
      </c>
    </row>
    <row r="36">
      <c r="A36" s="11">
        <v>24.0</v>
      </c>
      <c r="B36" s="11">
        <v>1.4195E9</v>
      </c>
      <c r="C36" s="2">
        <v>-102.0797882</v>
      </c>
      <c r="D36" s="3">
        <f t="shared" si="1"/>
        <v>-900000</v>
      </c>
      <c r="E36" s="4">
        <f t="shared" si="2"/>
        <v>189.1690032</v>
      </c>
      <c r="F36" s="3">
        <f t="shared" si="3"/>
        <v>0.0002101877814</v>
      </c>
      <c r="G36" s="3">
        <f t="shared" si="4"/>
        <v>0</v>
      </c>
      <c r="H36" s="2">
        <f t="shared" si="5"/>
        <v>0</v>
      </c>
      <c r="I36" s="3">
        <f t="shared" si="6"/>
        <v>0</v>
      </c>
      <c r="J36" s="3">
        <f t="shared" si="7"/>
        <v>0</v>
      </c>
      <c r="K36" s="3"/>
      <c r="L36" s="3">
        <f t="shared" si="8"/>
        <v>471.1154505</v>
      </c>
      <c r="M36" s="30">
        <f t="shared" si="9"/>
        <v>467.0813179</v>
      </c>
      <c r="N36" s="14">
        <f t="shared" si="10"/>
        <v>4.03413255</v>
      </c>
      <c r="O36" s="3"/>
      <c r="P36" s="23">
        <f t="shared" si="11"/>
        <v>189.1690032</v>
      </c>
      <c r="Q36" s="14">
        <f t="shared" si="12"/>
        <v>471.1154505</v>
      </c>
      <c r="R36" s="2"/>
      <c r="S36" s="14">
        <f t="shared" si="13"/>
        <v>3.70452832</v>
      </c>
    </row>
    <row r="37">
      <c r="A37" s="11">
        <v>25.0</v>
      </c>
      <c r="B37" s="11">
        <v>1.41950434782608E9</v>
      </c>
      <c r="C37" s="2">
        <v>-102.0851669</v>
      </c>
      <c r="D37" s="3">
        <f t="shared" si="1"/>
        <v>-895652.1739</v>
      </c>
      <c r="E37" s="4">
        <f t="shared" si="2"/>
        <v>188.2507071</v>
      </c>
      <c r="F37" s="3">
        <f t="shared" si="3"/>
        <v>0.0002101828283</v>
      </c>
      <c r="G37" s="3">
        <f t="shared" si="4"/>
        <v>0</v>
      </c>
      <c r="H37" s="2">
        <f t="shared" si="5"/>
        <v>0</v>
      </c>
      <c r="I37" s="3">
        <f t="shared" si="6"/>
        <v>0</v>
      </c>
      <c r="J37" s="3">
        <f t="shared" si="7"/>
        <v>0</v>
      </c>
      <c r="K37" s="3"/>
      <c r="L37" s="3">
        <f t="shared" si="8"/>
        <v>470.5323392</v>
      </c>
      <c r="M37" s="30">
        <f t="shared" si="9"/>
        <v>467.0167549</v>
      </c>
      <c r="N37" s="14">
        <f t="shared" si="10"/>
        <v>3.515584327</v>
      </c>
      <c r="O37" s="3"/>
      <c r="P37" s="23">
        <f t="shared" si="11"/>
        <v>188.2507071</v>
      </c>
      <c r="Q37" s="14">
        <f t="shared" si="12"/>
        <v>470.5323392</v>
      </c>
      <c r="R37" s="2"/>
      <c r="S37" s="14">
        <f t="shared" si="13"/>
        <v>3.228347492</v>
      </c>
    </row>
    <row r="38">
      <c r="A38" s="11">
        <v>26.0</v>
      </c>
      <c r="B38" s="11">
        <v>1.41950869565217E9</v>
      </c>
      <c r="C38" s="2">
        <v>-102.0994492</v>
      </c>
      <c r="D38" s="3">
        <f t="shared" si="1"/>
        <v>-891304.3478</v>
      </c>
      <c r="E38" s="4">
        <f t="shared" si="2"/>
        <v>187.332411</v>
      </c>
      <c r="F38" s="3">
        <f t="shared" si="3"/>
        <v>0.0002101778269</v>
      </c>
      <c r="G38" s="3">
        <f t="shared" si="4"/>
        <v>0</v>
      </c>
      <c r="H38" s="2">
        <f t="shared" si="5"/>
        <v>0</v>
      </c>
      <c r="I38" s="3">
        <f t="shared" si="6"/>
        <v>0</v>
      </c>
      <c r="J38" s="3">
        <f t="shared" si="7"/>
        <v>0</v>
      </c>
      <c r="K38" s="3"/>
      <c r="L38" s="3">
        <f t="shared" si="8"/>
        <v>468.9874782</v>
      </c>
      <c r="M38" s="30">
        <f t="shared" si="9"/>
        <v>466.9520126</v>
      </c>
      <c r="N38" s="14">
        <f t="shared" si="10"/>
        <v>2.035465586</v>
      </c>
      <c r="O38" s="3"/>
      <c r="P38" s="23">
        <f t="shared" si="11"/>
        <v>187.332411</v>
      </c>
      <c r="Q38" s="14">
        <f t="shared" si="12"/>
        <v>468.9874782</v>
      </c>
      <c r="R38" s="2"/>
      <c r="S38" s="14">
        <f t="shared" si="13"/>
        <v>1.869160171</v>
      </c>
    </row>
    <row r="39">
      <c r="A39" s="11">
        <v>27.0</v>
      </c>
      <c r="B39" s="11">
        <v>1.41951304347826E9</v>
      </c>
      <c r="C39" s="2">
        <v>-102.1113968</v>
      </c>
      <c r="D39" s="3">
        <f t="shared" si="1"/>
        <v>-886956.5217</v>
      </c>
      <c r="E39" s="4">
        <f t="shared" si="2"/>
        <v>186.4141148</v>
      </c>
      <c r="F39" s="3">
        <f t="shared" si="3"/>
        <v>0.0002101727765</v>
      </c>
      <c r="G39" s="3">
        <f t="shared" si="4"/>
        <v>0</v>
      </c>
      <c r="H39" s="2">
        <f t="shared" si="5"/>
        <v>0</v>
      </c>
      <c r="I39" s="3">
        <f t="shared" si="6"/>
        <v>0</v>
      </c>
      <c r="J39" s="3">
        <f t="shared" si="7"/>
        <v>0</v>
      </c>
      <c r="K39" s="3"/>
      <c r="L39" s="3">
        <f t="shared" si="8"/>
        <v>467.6990496</v>
      </c>
      <c r="M39" s="30">
        <f t="shared" si="9"/>
        <v>466.8870914</v>
      </c>
      <c r="N39" s="14">
        <f t="shared" si="10"/>
        <v>0.8119581804</v>
      </c>
      <c r="O39" s="3"/>
      <c r="P39" s="23">
        <f t="shared" si="11"/>
        <v>186.4141148</v>
      </c>
      <c r="Q39" s="14">
        <f t="shared" si="12"/>
        <v>467.6990496</v>
      </c>
      <c r="R39" s="2"/>
      <c r="S39" s="14">
        <f t="shared" si="13"/>
        <v>0.7456180571</v>
      </c>
    </row>
    <row r="40">
      <c r="A40" s="11">
        <v>28.0</v>
      </c>
      <c r="B40" s="11">
        <v>1.41951739130434E9</v>
      </c>
      <c r="C40" s="2">
        <v>-102.1226273</v>
      </c>
      <c r="D40" s="3">
        <f t="shared" si="1"/>
        <v>-882608.6957</v>
      </c>
      <c r="E40" s="4">
        <f t="shared" si="2"/>
        <v>185.4958187</v>
      </c>
      <c r="F40" s="3">
        <f t="shared" si="3"/>
        <v>0.0002101676763</v>
      </c>
      <c r="G40" s="3">
        <f t="shared" si="4"/>
        <v>0</v>
      </c>
      <c r="H40" s="2">
        <f t="shared" si="5"/>
        <v>0</v>
      </c>
      <c r="I40" s="3">
        <f t="shared" si="6"/>
        <v>0</v>
      </c>
      <c r="J40" s="3">
        <f t="shared" si="7"/>
        <v>0</v>
      </c>
      <c r="K40" s="3"/>
      <c r="L40" s="3">
        <f t="shared" si="8"/>
        <v>466.4911805</v>
      </c>
      <c r="M40" s="30">
        <f t="shared" si="9"/>
        <v>466.8219913</v>
      </c>
      <c r="N40" s="14">
        <f t="shared" si="10"/>
        <v>-0.3308108044</v>
      </c>
      <c r="O40" s="3"/>
      <c r="P40" s="23">
        <f t="shared" si="11"/>
        <v>185.4958187</v>
      </c>
      <c r="Q40" s="14">
        <f t="shared" si="12"/>
        <v>466.4911805</v>
      </c>
      <c r="R40" s="2"/>
      <c r="S40" s="14">
        <f t="shared" si="13"/>
        <v>-0.3037822824</v>
      </c>
    </row>
    <row r="41">
      <c r="A41" s="11">
        <v>29.0</v>
      </c>
      <c r="B41" s="11">
        <v>1.41952173913043E9</v>
      </c>
      <c r="C41" s="2">
        <v>-102.1531601</v>
      </c>
      <c r="D41" s="3">
        <f t="shared" si="1"/>
        <v>-878260.8696</v>
      </c>
      <c r="E41" s="4">
        <f t="shared" si="2"/>
        <v>184.5775226</v>
      </c>
      <c r="F41" s="3">
        <f t="shared" si="3"/>
        <v>0.0002101625257</v>
      </c>
      <c r="G41" s="3">
        <f t="shared" si="4"/>
        <v>0</v>
      </c>
      <c r="H41" s="2">
        <f t="shared" si="5"/>
        <v>0</v>
      </c>
      <c r="I41" s="3">
        <f t="shared" si="6"/>
        <v>0</v>
      </c>
      <c r="J41" s="3">
        <f t="shared" si="7"/>
        <v>0</v>
      </c>
      <c r="K41" s="3"/>
      <c r="L41" s="3">
        <f t="shared" si="8"/>
        <v>463.2230453</v>
      </c>
      <c r="M41" s="30">
        <f t="shared" si="9"/>
        <v>466.7567125</v>
      </c>
      <c r="N41" s="14">
        <f t="shared" si="10"/>
        <v>-3.53366717</v>
      </c>
      <c r="O41" s="3"/>
      <c r="P41" s="23">
        <f t="shared" si="11"/>
        <v>184.5775226</v>
      </c>
      <c r="Q41" s="14">
        <f t="shared" si="12"/>
        <v>463.2230453</v>
      </c>
      <c r="R41" s="2"/>
      <c r="S41" s="14">
        <f t="shared" si="13"/>
        <v>-3.244952889</v>
      </c>
    </row>
    <row r="42">
      <c r="A42" s="11">
        <v>30.0</v>
      </c>
      <c r="B42" s="11">
        <v>1.41952608695652E9</v>
      </c>
      <c r="C42" s="2">
        <v>-102.1974258</v>
      </c>
      <c r="D42" s="3">
        <f t="shared" si="1"/>
        <v>-873913.0435</v>
      </c>
      <c r="E42" s="4">
        <f t="shared" si="2"/>
        <v>183.6592264</v>
      </c>
      <c r="F42" s="3">
        <f t="shared" si="3"/>
        <v>0.0002101573238</v>
      </c>
      <c r="G42" s="3">
        <f t="shared" si="4"/>
        <v>0</v>
      </c>
      <c r="H42" s="2">
        <f t="shared" si="5"/>
        <v>0</v>
      </c>
      <c r="I42" s="3">
        <f t="shared" si="6"/>
        <v>0</v>
      </c>
      <c r="J42" s="3">
        <f t="shared" si="7"/>
        <v>0</v>
      </c>
      <c r="K42" s="3"/>
      <c r="L42" s="3">
        <f t="shared" si="8"/>
        <v>458.5255995</v>
      </c>
      <c r="M42" s="30">
        <f t="shared" si="9"/>
        <v>466.6912551</v>
      </c>
      <c r="N42" s="14">
        <f t="shared" si="10"/>
        <v>-8.16565555</v>
      </c>
      <c r="O42" s="3"/>
      <c r="P42" s="23">
        <f t="shared" si="11"/>
        <v>183.6592264</v>
      </c>
      <c r="Q42" s="14">
        <f t="shared" si="12"/>
        <v>458.5255995</v>
      </c>
      <c r="R42" s="2"/>
      <c r="S42" s="14">
        <f t="shared" si="13"/>
        <v>-7.498489913</v>
      </c>
    </row>
    <row r="43">
      <c r="A43" s="11">
        <v>31.0</v>
      </c>
      <c r="B43" s="11">
        <v>1.4195304347826E9</v>
      </c>
      <c r="C43" s="2">
        <v>-102.2114334</v>
      </c>
      <c r="D43" s="3">
        <f t="shared" si="1"/>
        <v>-869565.2174</v>
      </c>
      <c r="E43" s="4">
        <f t="shared" si="2"/>
        <v>182.7409303</v>
      </c>
      <c r="F43" s="3">
        <f t="shared" si="3"/>
        <v>0.0002101520698</v>
      </c>
      <c r="G43" s="3">
        <f t="shared" si="4"/>
        <v>0</v>
      </c>
      <c r="H43" s="2">
        <f t="shared" si="5"/>
        <v>0</v>
      </c>
      <c r="I43" s="3">
        <f t="shared" si="6"/>
        <v>0</v>
      </c>
      <c r="J43" s="3">
        <f t="shared" si="7"/>
        <v>0</v>
      </c>
      <c r="K43" s="3"/>
      <c r="L43" s="3">
        <f t="shared" si="8"/>
        <v>457.0490677</v>
      </c>
      <c r="M43" s="30">
        <f t="shared" si="9"/>
        <v>466.6256192</v>
      </c>
      <c r="N43" s="14">
        <f t="shared" si="10"/>
        <v>-9.576551523</v>
      </c>
      <c r="O43" s="3"/>
      <c r="P43" s="23">
        <f t="shared" si="11"/>
        <v>182.7409303</v>
      </c>
      <c r="Q43" s="14">
        <f t="shared" si="12"/>
        <v>457.0490677</v>
      </c>
      <c r="R43" s="2"/>
      <c r="S43" s="14">
        <f t="shared" si="13"/>
        <v>-8.794110228</v>
      </c>
    </row>
    <row r="44">
      <c r="A44" s="11">
        <v>32.0</v>
      </c>
      <c r="B44" s="11">
        <v>1.41953478260869E9</v>
      </c>
      <c r="C44" s="2">
        <v>-102.2062302</v>
      </c>
      <c r="D44" s="3">
        <f t="shared" si="1"/>
        <v>-865217.3913</v>
      </c>
      <c r="E44" s="4">
        <f t="shared" si="2"/>
        <v>181.8226342</v>
      </c>
      <c r="F44" s="3">
        <f t="shared" si="3"/>
        <v>0.0002101467631</v>
      </c>
      <c r="G44" s="3">
        <f t="shared" si="4"/>
        <v>0</v>
      </c>
      <c r="H44" s="2">
        <f t="shared" si="5"/>
        <v>0</v>
      </c>
      <c r="I44" s="3">
        <f t="shared" si="6"/>
        <v>0</v>
      </c>
      <c r="J44" s="3">
        <f t="shared" si="7"/>
        <v>0</v>
      </c>
      <c r="K44" s="3"/>
      <c r="L44" s="3">
        <f t="shared" si="8"/>
        <v>457.5969777</v>
      </c>
      <c r="M44" s="30">
        <f t="shared" si="9"/>
        <v>466.559805</v>
      </c>
      <c r="N44" s="14">
        <f t="shared" si="10"/>
        <v>-8.962827354</v>
      </c>
      <c r="O44" s="3"/>
      <c r="P44" s="23">
        <f t="shared" si="11"/>
        <v>181.8226342</v>
      </c>
      <c r="Q44" s="14">
        <f t="shared" si="12"/>
        <v>457.5969777</v>
      </c>
      <c r="R44" s="2"/>
      <c r="S44" s="14">
        <f t="shared" si="13"/>
        <v>-8.230529698</v>
      </c>
    </row>
    <row r="45">
      <c r="A45" s="11">
        <v>33.0</v>
      </c>
      <c r="B45" s="11">
        <v>1.41953913043478E9</v>
      </c>
      <c r="C45" s="2">
        <v>-102.0642929</v>
      </c>
      <c r="D45" s="3">
        <f t="shared" si="1"/>
        <v>-860869.5652</v>
      </c>
      <c r="E45" s="4">
        <f t="shared" si="2"/>
        <v>180.904338</v>
      </c>
      <c r="F45" s="3">
        <f t="shared" si="3"/>
        <v>0.0002101414028</v>
      </c>
      <c r="G45" s="3">
        <f t="shared" si="4"/>
        <v>0</v>
      </c>
      <c r="H45" s="2">
        <f t="shared" si="5"/>
        <v>0</v>
      </c>
      <c r="I45" s="3">
        <f t="shared" si="6"/>
        <v>0</v>
      </c>
      <c r="J45" s="3">
        <f t="shared" si="7"/>
        <v>0</v>
      </c>
      <c r="K45" s="3"/>
      <c r="L45" s="3">
        <f t="shared" si="8"/>
        <v>472.7993572</v>
      </c>
      <c r="M45" s="30">
        <f t="shared" si="9"/>
        <v>466.4938127</v>
      </c>
      <c r="N45" s="14">
        <f t="shared" si="10"/>
        <v>6.305544466</v>
      </c>
      <c r="O45" s="3"/>
      <c r="P45" s="23">
        <f t="shared" si="11"/>
        <v>180.904338</v>
      </c>
      <c r="Q45" s="14">
        <f t="shared" si="12"/>
        <v>472.7993572</v>
      </c>
      <c r="R45" s="2"/>
      <c r="S45" s="14">
        <f t="shared" si="13"/>
        <v>5.790357085</v>
      </c>
    </row>
    <row r="46">
      <c r="A46" s="11">
        <v>34.0</v>
      </c>
      <c r="B46" s="11">
        <v>1.41954347826087E9</v>
      </c>
      <c r="C46" s="2">
        <v>-102.1391449</v>
      </c>
      <c r="D46" s="3">
        <f t="shared" si="1"/>
        <v>-856521.7391</v>
      </c>
      <c r="E46" s="4">
        <f t="shared" si="2"/>
        <v>179.9860419</v>
      </c>
      <c r="F46" s="3">
        <f t="shared" si="3"/>
        <v>0.000210135988</v>
      </c>
      <c r="G46" s="3">
        <f t="shared" si="4"/>
        <v>0</v>
      </c>
      <c r="H46" s="2">
        <f t="shared" si="5"/>
        <v>0</v>
      </c>
      <c r="I46" s="3">
        <f t="shared" si="6"/>
        <v>0</v>
      </c>
      <c r="J46" s="3">
        <f t="shared" si="7"/>
        <v>0</v>
      </c>
      <c r="K46" s="3"/>
      <c r="L46" s="3">
        <f t="shared" si="8"/>
        <v>464.7203359</v>
      </c>
      <c r="M46" s="30">
        <f t="shared" si="9"/>
        <v>466.4276423</v>
      </c>
      <c r="N46" s="14">
        <f t="shared" si="10"/>
        <v>-1.707306408</v>
      </c>
      <c r="O46" s="3"/>
      <c r="P46" s="23">
        <f t="shared" si="11"/>
        <v>179.9860419</v>
      </c>
      <c r="Q46" s="14">
        <f t="shared" si="12"/>
        <v>464.7203359</v>
      </c>
      <c r="R46" s="2"/>
      <c r="S46" s="14">
        <f t="shared" si="13"/>
        <v>-1.567812872</v>
      </c>
    </row>
    <row r="47">
      <c r="A47" s="11">
        <v>35.0</v>
      </c>
      <c r="B47" s="11">
        <v>1.41954782608695E9</v>
      </c>
      <c r="C47" s="2">
        <v>-102.153595</v>
      </c>
      <c r="D47" s="3">
        <f t="shared" si="1"/>
        <v>-852173.913</v>
      </c>
      <c r="E47" s="4">
        <f t="shared" si="2"/>
        <v>179.0677458</v>
      </c>
      <c r="F47" s="3">
        <f t="shared" si="3"/>
        <v>0.000210130518</v>
      </c>
      <c r="G47" s="3">
        <f t="shared" si="4"/>
        <v>0</v>
      </c>
      <c r="H47" s="2">
        <f t="shared" si="5"/>
        <v>0</v>
      </c>
      <c r="I47" s="3">
        <f t="shared" si="6"/>
        <v>0</v>
      </c>
      <c r="J47" s="3">
        <f t="shared" si="7"/>
        <v>0</v>
      </c>
      <c r="K47" s="3"/>
      <c r="L47" s="3">
        <f t="shared" si="8"/>
        <v>463.1766607</v>
      </c>
      <c r="M47" s="30">
        <f t="shared" si="9"/>
        <v>466.361294</v>
      </c>
      <c r="N47" s="14">
        <f t="shared" si="10"/>
        <v>-3.184633296</v>
      </c>
      <c r="O47" s="3"/>
      <c r="P47" s="23">
        <f t="shared" si="11"/>
        <v>179.0677458</v>
      </c>
      <c r="Q47" s="14">
        <f t="shared" si="12"/>
        <v>463.1766607</v>
      </c>
      <c r="R47" s="2"/>
      <c r="S47" s="14">
        <f t="shared" si="13"/>
        <v>-2.92443644</v>
      </c>
    </row>
    <row r="48">
      <c r="A48" s="11">
        <v>36.0</v>
      </c>
      <c r="B48" s="11">
        <v>1.41955217391304E9</v>
      </c>
      <c r="C48" s="2">
        <v>-102.1495285</v>
      </c>
      <c r="D48" s="3">
        <f t="shared" si="1"/>
        <v>-847826.087</v>
      </c>
      <c r="E48" s="4">
        <f t="shared" si="2"/>
        <v>178.1494496</v>
      </c>
      <c r="F48" s="3">
        <f t="shared" si="3"/>
        <v>0.0002101249919</v>
      </c>
      <c r="G48" s="3">
        <f t="shared" si="4"/>
        <v>0</v>
      </c>
      <c r="H48" s="2">
        <f t="shared" si="5"/>
        <v>0</v>
      </c>
      <c r="I48" s="3">
        <f t="shared" si="6"/>
        <v>0</v>
      </c>
      <c r="J48" s="3">
        <f t="shared" si="7"/>
        <v>0</v>
      </c>
      <c r="K48" s="3"/>
      <c r="L48" s="3">
        <f t="shared" si="8"/>
        <v>463.6105576</v>
      </c>
      <c r="M48" s="30">
        <f t="shared" si="9"/>
        <v>466.294768</v>
      </c>
      <c r="N48" s="14">
        <f t="shared" si="10"/>
        <v>-2.684210453</v>
      </c>
      <c r="O48" s="3"/>
      <c r="P48" s="23">
        <f t="shared" si="11"/>
        <v>178.1494496</v>
      </c>
      <c r="Q48" s="14">
        <f t="shared" si="12"/>
        <v>463.6105576</v>
      </c>
      <c r="R48" s="2"/>
      <c r="S48" s="14">
        <f t="shared" si="13"/>
        <v>-2.464900073</v>
      </c>
    </row>
    <row r="49">
      <c r="A49" s="11">
        <v>37.0</v>
      </c>
      <c r="B49" s="11">
        <v>1.41955652173913E9</v>
      </c>
      <c r="C49" s="2">
        <v>-102.1605759</v>
      </c>
      <c r="D49" s="3">
        <f t="shared" si="1"/>
        <v>-843478.2609</v>
      </c>
      <c r="E49" s="4">
        <f t="shared" si="2"/>
        <v>177.2311535</v>
      </c>
      <c r="F49" s="3">
        <f t="shared" si="3"/>
        <v>0.0002101194088</v>
      </c>
      <c r="G49" s="3">
        <f t="shared" si="4"/>
        <v>0</v>
      </c>
      <c r="H49" s="2">
        <f t="shared" si="5"/>
        <v>0</v>
      </c>
      <c r="I49" s="3">
        <f t="shared" si="6"/>
        <v>0</v>
      </c>
      <c r="J49" s="3">
        <f t="shared" si="7"/>
        <v>0</v>
      </c>
      <c r="K49" s="3"/>
      <c r="L49" s="3">
        <f t="shared" si="8"/>
        <v>462.4327433</v>
      </c>
      <c r="M49" s="30">
        <f t="shared" si="9"/>
        <v>466.2280644</v>
      </c>
      <c r="N49" s="14">
        <f t="shared" si="10"/>
        <v>-3.795321151</v>
      </c>
      <c r="O49" s="3"/>
      <c r="P49" s="23">
        <f t="shared" si="11"/>
        <v>177.2311535</v>
      </c>
      <c r="Q49" s="14">
        <f t="shared" si="12"/>
        <v>462.4327433</v>
      </c>
      <c r="R49" s="2"/>
      <c r="S49" s="14">
        <f t="shared" si="13"/>
        <v>-3.485228736</v>
      </c>
    </row>
    <row r="50">
      <c r="A50" s="11">
        <v>38.0</v>
      </c>
      <c r="B50" s="11">
        <v>1.41956086956521E9</v>
      </c>
      <c r="C50" s="2">
        <v>-102.1299286</v>
      </c>
      <c r="D50" s="3">
        <f t="shared" si="1"/>
        <v>-839130.4348</v>
      </c>
      <c r="E50" s="4">
        <f t="shared" si="2"/>
        <v>176.3128574</v>
      </c>
      <c r="F50" s="3">
        <f t="shared" si="3"/>
        <v>0.0002101137678</v>
      </c>
      <c r="G50" s="3">
        <f t="shared" si="4"/>
        <v>0</v>
      </c>
      <c r="H50" s="2">
        <f t="shared" si="5"/>
        <v>0</v>
      </c>
      <c r="I50" s="3">
        <f t="shared" si="6"/>
        <v>0</v>
      </c>
      <c r="J50" s="3">
        <f t="shared" si="7"/>
        <v>0</v>
      </c>
      <c r="K50" s="3"/>
      <c r="L50" s="3">
        <f t="shared" si="8"/>
        <v>465.7075807</v>
      </c>
      <c r="M50" s="30">
        <f t="shared" si="9"/>
        <v>466.1611833</v>
      </c>
      <c r="N50" s="14">
        <f t="shared" si="10"/>
        <v>-0.4536025762</v>
      </c>
      <c r="O50" s="3"/>
      <c r="P50" s="23">
        <f t="shared" si="11"/>
        <v>176.3128574</v>
      </c>
      <c r="Q50" s="14">
        <f t="shared" si="12"/>
        <v>465.7075807</v>
      </c>
      <c r="R50" s="2"/>
      <c r="S50" s="14">
        <f t="shared" si="13"/>
        <v>-0.4165414915</v>
      </c>
    </row>
    <row r="51">
      <c r="A51" s="11">
        <v>39.0</v>
      </c>
      <c r="B51" s="11">
        <v>1.4195652173913E9</v>
      </c>
      <c r="C51" s="2">
        <v>-102.0843582</v>
      </c>
      <c r="D51" s="3">
        <f t="shared" si="1"/>
        <v>-834782.6087</v>
      </c>
      <c r="E51" s="4">
        <f t="shared" si="2"/>
        <v>175.3945612</v>
      </c>
      <c r="F51" s="3">
        <f t="shared" si="3"/>
        <v>0.0002101080681</v>
      </c>
      <c r="G51" s="3">
        <f t="shared" si="4"/>
        <v>0</v>
      </c>
      <c r="H51" s="2">
        <f t="shared" si="5"/>
        <v>0</v>
      </c>
      <c r="I51" s="3">
        <f t="shared" si="6"/>
        <v>0</v>
      </c>
      <c r="J51" s="3">
        <f t="shared" si="7"/>
        <v>0</v>
      </c>
      <c r="K51" s="3"/>
      <c r="L51" s="3">
        <f t="shared" si="8"/>
        <v>470.6199652</v>
      </c>
      <c r="M51" s="30">
        <f t="shared" si="9"/>
        <v>466.0941249</v>
      </c>
      <c r="N51" s="14">
        <f t="shared" si="10"/>
        <v>4.525840316</v>
      </c>
      <c r="O51" s="3"/>
      <c r="P51" s="23">
        <f t="shared" si="11"/>
        <v>175.3945612</v>
      </c>
      <c r="Q51" s="14">
        <f t="shared" si="12"/>
        <v>470.6199652</v>
      </c>
      <c r="R51" s="2"/>
      <c r="S51" s="14">
        <f t="shared" si="13"/>
        <v>4.15606165</v>
      </c>
    </row>
    <row r="52">
      <c r="A52" s="11">
        <v>40.0</v>
      </c>
      <c r="B52" s="11">
        <v>1.41956956521739E9</v>
      </c>
      <c r="C52" s="2">
        <v>-102.1124573</v>
      </c>
      <c r="D52" s="3">
        <f t="shared" si="1"/>
        <v>-830434.7826</v>
      </c>
      <c r="E52" s="4">
        <f t="shared" si="2"/>
        <v>174.4762651</v>
      </c>
      <c r="F52" s="3">
        <f t="shared" si="3"/>
        <v>0.0002101023088</v>
      </c>
      <c r="G52" s="3">
        <f t="shared" si="4"/>
        <v>0</v>
      </c>
      <c r="H52" s="2">
        <f t="shared" si="5"/>
        <v>0</v>
      </c>
      <c r="I52" s="3">
        <f t="shared" si="6"/>
        <v>0</v>
      </c>
      <c r="J52" s="3">
        <f t="shared" si="7"/>
        <v>0</v>
      </c>
      <c r="K52" s="3"/>
      <c r="L52" s="3">
        <f t="shared" si="8"/>
        <v>467.5848565</v>
      </c>
      <c r="M52" s="30">
        <f t="shared" si="9"/>
        <v>466.0268893</v>
      </c>
      <c r="N52" s="14">
        <f t="shared" si="10"/>
        <v>1.557967244</v>
      </c>
      <c r="O52" s="3"/>
      <c r="P52" s="23">
        <f t="shared" si="11"/>
        <v>174.4762651</v>
      </c>
      <c r="Q52" s="14">
        <f t="shared" si="12"/>
        <v>467.5848565</v>
      </c>
      <c r="R52" s="2"/>
      <c r="S52" s="14">
        <f t="shared" si="13"/>
        <v>1.430675295</v>
      </c>
    </row>
    <row r="53">
      <c r="A53" s="11">
        <v>41.0</v>
      </c>
      <c r="B53" s="11">
        <v>1.41957391304347E9</v>
      </c>
      <c r="C53" s="2">
        <v>-102.169693</v>
      </c>
      <c r="D53" s="3">
        <f t="shared" si="1"/>
        <v>-826086.9565</v>
      </c>
      <c r="E53" s="4">
        <f t="shared" si="2"/>
        <v>173.557969</v>
      </c>
      <c r="F53" s="3">
        <f t="shared" si="3"/>
        <v>0.0002100964888</v>
      </c>
      <c r="G53" s="3">
        <f t="shared" si="4"/>
        <v>0</v>
      </c>
      <c r="H53" s="2">
        <f t="shared" si="5"/>
        <v>0</v>
      </c>
      <c r="I53" s="3">
        <f t="shared" si="6"/>
        <v>0</v>
      </c>
      <c r="J53" s="3">
        <f t="shared" si="7"/>
        <v>0</v>
      </c>
      <c r="K53" s="3"/>
      <c r="L53" s="3">
        <f t="shared" si="8"/>
        <v>461.4629811</v>
      </c>
      <c r="M53" s="30">
        <f t="shared" si="9"/>
        <v>465.9594766</v>
      </c>
      <c r="N53" s="14">
        <f t="shared" si="10"/>
        <v>-4.496495437</v>
      </c>
      <c r="O53" s="3"/>
      <c r="P53" s="23">
        <f t="shared" si="11"/>
        <v>173.557969</v>
      </c>
      <c r="Q53" s="14">
        <f t="shared" si="12"/>
        <v>461.4629811</v>
      </c>
      <c r="R53" s="2"/>
      <c r="S53" s="14">
        <f t="shared" si="13"/>
        <v>-4.129114371</v>
      </c>
    </row>
    <row r="54">
      <c r="A54" s="11">
        <v>42.0</v>
      </c>
      <c r="B54" s="11">
        <v>1.41957826086956E9</v>
      </c>
      <c r="C54" s="2">
        <v>-102.1266022</v>
      </c>
      <c r="D54" s="3">
        <f t="shared" si="1"/>
        <v>-821739.1304</v>
      </c>
      <c r="E54" s="4">
        <f t="shared" si="2"/>
        <v>172.6396728</v>
      </c>
      <c r="F54" s="3">
        <f t="shared" si="3"/>
        <v>0.0002100906072</v>
      </c>
      <c r="G54" s="3">
        <f t="shared" si="4"/>
        <v>0</v>
      </c>
      <c r="H54" s="2">
        <f t="shared" si="5"/>
        <v>0</v>
      </c>
      <c r="I54" s="3">
        <f t="shared" si="6"/>
        <v>0</v>
      </c>
      <c r="J54" s="3">
        <f t="shared" si="7"/>
        <v>0</v>
      </c>
      <c r="K54" s="3"/>
      <c r="L54" s="3">
        <f t="shared" si="8"/>
        <v>466.0644177</v>
      </c>
      <c r="M54" s="30">
        <f t="shared" si="9"/>
        <v>465.891887</v>
      </c>
      <c r="N54" s="14">
        <f t="shared" si="10"/>
        <v>0.1725306616</v>
      </c>
      <c r="O54" s="3"/>
      <c r="P54" s="23">
        <f t="shared" si="11"/>
        <v>172.6396728</v>
      </c>
      <c r="Q54" s="14">
        <f t="shared" si="12"/>
        <v>466.0644177</v>
      </c>
      <c r="R54" s="2"/>
      <c r="S54" s="14">
        <f t="shared" si="13"/>
        <v>0.1584342389</v>
      </c>
    </row>
    <row r="55">
      <c r="A55" s="11">
        <v>43.0</v>
      </c>
      <c r="B55" s="11">
        <v>1.41958260869565E9</v>
      </c>
      <c r="C55" s="2">
        <v>-102.1454468</v>
      </c>
      <c r="D55" s="3">
        <f t="shared" si="1"/>
        <v>-817391.3043</v>
      </c>
      <c r="E55" s="4">
        <f t="shared" si="2"/>
        <v>171.7213767</v>
      </c>
      <c r="F55" s="3">
        <f t="shared" si="3"/>
        <v>0.000210084663</v>
      </c>
      <c r="G55" s="3">
        <f t="shared" si="4"/>
        <v>0</v>
      </c>
      <c r="H55" s="2">
        <f t="shared" si="5"/>
        <v>0</v>
      </c>
      <c r="I55" s="3">
        <f t="shared" si="6"/>
        <v>0</v>
      </c>
      <c r="J55" s="3">
        <f t="shared" si="7"/>
        <v>0</v>
      </c>
      <c r="K55" s="3"/>
      <c r="L55" s="3">
        <f t="shared" si="8"/>
        <v>464.046485</v>
      </c>
      <c r="M55" s="30">
        <f t="shared" si="9"/>
        <v>465.8241206</v>
      </c>
      <c r="N55" s="14">
        <f t="shared" si="10"/>
        <v>-1.777635648</v>
      </c>
      <c r="O55" s="3"/>
      <c r="P55" s="23">
        <f t="shared" si="11"/>
        <v>171.7213767</v>
      </c>
      <c r="Q55" s="14">
        <f t="shared" si="12"/>
        <v>464.046485</v>
      </c>
      <c r="R55" s="2"/>
      <c r="S55" s="14">
        <f t="shared" si="13"/>
        <v>-1.632395941</v>
      </c>
    </row>
    <row r="56">
      <c r="A56" s="11">
        <v>44.0</v>
      </c>
      <c r="B56" s="11">
        <v>1.41958695652173E9</v>
      </c>
      <c r="C56" s="2">
        <v>-102.1648712</v>
      </c>
      <c r="D56" s="3">
        <f t="shared" si="1"/>
        <v>-813043.4783</v>
      </c>
      <c r="E56" s="4">
        <f t="shared" si="2"/>
        <v>170.8030806</v>
      </c>
      <c r="F56" s="3">
        <f t="shared" si="3"/>
        <v>0.0002100786553</v>
      </c>
      <c r="G56" s="3">
        <f t="shared" si="4"/>
        <v>0</v>
      </c>
      <c r="H56" s="2">
        <f t="shared" si="5"/>
        <v>0</v>
      </c>
      <c r="I56" s="3">
        <f t="shared" si="6"/>
        <v>0</v>
      </c>
      <c r="J56" s="3">
        <f t="shared" si="7"/>
        <v>0</v>
      </c>
      <c r="K56" s="3"/>
      <c r="L56" s="3">
        <f t="shared" si="8"/>
        <v>461.9756098</v>
      </c>
      <c r="M56" s="30">
        <f t="shared" si="9"/>
        <v>465.7561777</v>
      </c>
      <c r="N56" s="14">
        <f t="shared" si="10"/>
        <v>-3.780567878</v>
      </c>
      <c r="O56" s="3"/>
      <c r="P56" s="23">
        <f t="shared" si="11"/>
        <v>170.8030806</v>
      </c>
      <c r="Q56" s="14">
        <f t="shared" si="12"/>
        <v>461.9756098</v>
      </c>
      <c r="R56" s="2"/>
      <c r="S56" s="14">
        <f t="shared" si="13"/>
        <v>-3.471680862</v>
      </c>
    </row>
    <row r="57">
      <c r="A57" s="11">
        <v>45.0</v>
      </c>
      <c r="B57" s="11">
        <v>1.41959130434782E9</v>
      </c>
      <c r="C57" s="2">
        <v>-102.0795593</v>
      </c>
      <c r="D57" s="3">
        <f t="shared" si="1"/>
        <v>-808695.6522</v>
      </c>
      <c r="E57" s="4">
        <f t="shared" si="2"/>
        <v>169.8847844</v>
      </c>
      <c r="F57" s="3">
        <f t="shared" si="3"/>
        <v>0.0002100725829</v>
      </c>
      <c r="G57" s="3">
        <f t="shared" si="4"/>
        <v>0</v>
      </c>
      <c r="H57" s="2">
        <f t="shared" si="5"/>
        <v>0</v>
      </c>
      <c r="I57" s="3">
        <f t="shared" si="6"/>
        <v>0</v>
      </c>
      <c r="J57" s="3">
        <f t="shared" si="7"/>
        <v>0</v>
      </c>
      <c r="K57" s="3"/>
      <c r="L57" s="3">
        <f t="shared" si="8"/>
        <v>471.1402818</v>
      </c>
      <c r="M57" s="30">
        <f t="shared" si="9"/>
        <v>465.6880582</v>
      </c>
      <c r="N57" s="14">
        <f t="shared" si="10"/>
        <v>5.452223637</v>
      </c>
      <c r="O57" s="3"/>
      <c r="P57" s="23">
        <f t="shared" si="11"/>
        <v>169.8847844</v>
      </c>
      <c r="Q57" s="14">
        <f t="shared" si="12"/>
        <v>471.1402818</v>
      </c>
      <c r="R57" s="2"/>
      <c r="S57" s="14">
        <f t="shared" si="13"/>
        <v>5.006755881</v>
      </c>
    </row>
    <row r="58">
      <c r="A58" s="11">
        <v>46.0</v>
      </c>
      <c r="B58" s="11">
        <v>1.41959565217391E9</v>
      </c>
      <c r="C58" s="2">
        <v>-102.109375</v>
      </c>
      <c r="D58" s="3">
        <f t="shared" si="1"/>
        <v>-804347.8261</v>
      </c>
      <c r="E58" s="4">
        <f t="shared" si="2"/>
        <v>168.9664883</v>
      </c>
      <c r="F58" s="3">
        <f t="shared" si="3"/>
        <v>0.0002100664449</v>
      </c>
      <c r="G58" s="3">
        <f t="shared" si="4"/>
        <v>0</v>
      </c>
      <c r="H58" s="2">
        <f t="shared" si="5"/>
        <v>0</v>
      </c>
      <c r="I58" s="3">
        <f t="shared" si="6"/>
        <v>0</v>
      </c>
      <c r="J58" s="3">
        <f t="shared" si="7"/>
        <v>0</v>
      </c>
      <c r="K58" s="3"/>
      <c r="L58" s="3">
        <f t="shared" si="8"/>
        <v>467.9168313</v>
      </c>
      <c r="M58" s="30">
        <f t="shared" si="9"/>
        <v>465.6197623</v>
      </c>
      <c r="N58" s="14">
        <f t="shared" si="10"/>
        <v>2.297068979</v>
      </c>
      <c r="O58" s="3"/>
      <c r="P58" s="23">
        <f t="shared" si="11"/>
        <v>168.9664883</v>
      </c>
      <c r="Q58" s="14">
        <f t="shared" si="12"/>
        <v>467.9168313</v>
      </c>
      <c r="R58" s="2"/>
      <c r="S58" s="14">
        <f t="shared" si="13"/>
        <v>2.109389555</v>
      </c>
    </row>
    <row r="59">
      <c r="A59" s="11">
        <v>47.0</v>
      </c>
      <c r="B59" s="11">
        <v>1.4196E9</v>
      </c>
      <c r="C59" s="2">
        <v>-102.0944061</v>
      </c>
      <c r="D59" s="3">
        <f t="shared" si="1"/>
        <v>-800000</v>
      </c>
      <c r="E59" s="4">
        <f t="shared" si="2"/>
        <v>168.0481922</v>
      </c>
      <c r="F59" s="3">
        <f t="shared" si="3"/>
        <v>0.0002100602402</v>
      </c>
      <c r="G59" s="3">
        <f t="shared" si="4"/>
        <v>0</v>
      </c>
      <c r="H59" s="2">
        <f t="shared" si="5"/>
        <v>0</v>
      </c>
      <c r="I59" s="3">
        <f t="shared" si="6"/>
        <v>0</v>
      </c>
      <c r="J59" s="3">
        <f t="shared" si="7"/>
        <v>0</v>
      </c>
      <c r="K59" s="3"/>
      <c r="L59" s="3">
        <f t="shared" si="8"/>
        <v>469.5323906</v>
      </c>
      <c r="M59" s="30">
        <f t="shared" si="9"/>
        <v>465.5512903</v>
      </c>
      <c r="N59" s="14">
        <f t="shared" si="10"/>
        <v>3.981100319</v>
      </c>
      <c r="O59" s="3"/>
      <c r="P59" s="23">
        <f t="shared" si="11"/>
        <v>168.0481922</v>
      </c>
      <c r="Q59" s="14">
        <f t="shared" si="12"/>
        <v>469.5323906</v>
      </c>
      <c r="R59" s="2"/>
      <c r="S59" s="14">
        <f t="shared" si="13"/>
        <v>3.655829027</v>
      </c>
    </row>
    <row r="60">
      <c r="A60" s="11">
        <v>48.0</v>
      </c>
      <c r="B60" s="11">
        <v>1.41960434782608E9</v>
      </c>
      <c r="C60" s="2">
        <v>-102.1358261</v>
      </c>
      <c r="D60" s="3">
        <f t="shared" si="1"/>
        <v>-795652.1739</v>
      </c>
      <c r="E60" s="4">
        <f t="shared" si="2"/>
        <v>167.129896</v>
      </c>
      <c r="F60" s="3">
        <f t="shared" si="3"/>
        <v>0.0002100539677</v>
      </c>
      <c r="G60" s="3">
        <f t="shared" si="4"/>
        <v>0</v>
      </c>
      <c r="H60" s="2">
        <f t="shared" si="5"/>
        <v>0</v>
      </c>
      <c r="I60" s="3">
        <f t="shared" si="6"/>
        <v>0</v>
      </c>
      <c r="J60" s="3">
        <f t="shared" si="7"/>
        <v>0</v>
      </c>
      <c r="K60" s="3"/>
      <c r="L60" s="3">
        <f t="shared" si="8"/>
        <v>465.0756025</v>
      </c>
      <c r="M60" s="30">
        <f t="shared" si="9"/>
        <v>465.4826422</v>
      </c>
      <c r="N60" s="14">
        <f t="shared" si="10"/>
        <v>-0.4070396732</v>
      </c>
      <c r="O60" s="3"/>
      <c r="P60" s="23">
        <f t="shared" si="11"/>
        <v>167.129896</v>
      </c>
      <c r="Q60" s="14">
        <f t="shared" si="12"/>
        <v>465.0756025</v>
      </c>
      <c r="R60" s="2"/>
      <c r="S60" s="14">
        <f t="shared" si="13"/>
        <v>-0.3737829578</v>
      </c>
    </row>
    <row r="61">
      <c r="A61" s="11">
        <v>49.0</v>
      </c>
      <c r="B61" s="11">
        <v>1.41960869565217E9</v>
      </c>
      <c r="C61" s="2">
        <v>-102.065033</v>
      </c>
      <c r="D61" s="3">
        <f t="shared" si="1"/>
        <v>-791304.3478</v>
      </c>
      <c r="E61" s="4">
        <f t="shared" si="2"/>
        <v>166.2115999</v>
      </c>
      <c r="F61" s="3">
        <f t="shared" si="3"/>
        <v>0.0002100476263</v>
      </c>
      <c r="G61" s="3">
        <f t="shared" si="4"/>
        <v>0</v>
      </c>
      <c r="H61" s="2">
        <f t="shared" si="5"/>
        <v>0</v>
      </c>
      <c r="I61" s="3">
        <f t="shared" si="6"/>
        <v>0</v>
      </c>
      <c r="J61" s="3">
        <f t="shared" si="7"/>
        <v>0</v>
      </c>
      <c r="K61" s="3"/>
      <c r="L61" s="3">
        <f t="shared" si="8"/>
        <v>472.7187922</v>
      </c>
      <c r="M61" s="30">
        <f t="shared" si="9"/>
        <v>465.4138181</v>
      </c>
      <c r="N61" s="14">
        <f t="shared" si="10"/>
        <v>7.304974091</v>
      </c>
      <c r="O61" s="3"/>
      <c r="P61" s="23">
        <f t="shared" si="11"/>
        <v>166.2115999</v>
      </c>
      <c r="Q61" s="14">
        <f t="shared" si="12"/>
        <v>472.7187922</v>
      </c>
      <c r="R61" s="2"/>
      <c r="S61" s="14">
        <f t="shared" si="13"/>
        <v>6.708129442</v>
      </c>
    </row>
    <row r="62">
      <c r="A62" s="11">
        <v>50.0</v>
      </c>
      <c r="B62" s="11">
        <v>1.41961304347826E9</v>
      </c>
      <c r="C62" s="2">
        <v>-102.1199341</v>
      </c>
      <c r="D62" s="3">
        <f t="shared" si="1"/>
        <v>-786956.5217</v>
      </c>
      <c r="E62" s="4">
        <f t="shared" si="2"/>
        <v>165.2933038</v>
      </c>
      <c r="F62" s="3">
        <f t="shared" si="3"/>
        <v>0.0002100412148</v>
      </c>
      <c r="G62" s="3">
        <f t="shared" si="4"/>
        <v>0</v>
      </c>
      <c r="H62" s="2">
        <f t="shared" si="5"/>
        <v>0</v>
      </c>
      <c r="I62" s="3">
        <f t="shared" si="6"/>
        <v>0</v>
      </c>
      <c r="J62" s="3">
        <f t="shared" si="7"/>
        <v>0</v>
      </c>
      <c r="K62" s="3"/>
      <c r="L62" s="3">
        <f t="shared" si="8"/>
        <v>466.7805564</v>
      </c>
      <c r="M62" s="30">
        <f t="shared" si="9"/>
        <v>465.3448183</v>
      </c>
      <c r="N62" s="14">
        <f t="shared" si="10"/>
        <v>1.435738131</v>
      </c>
      <c r="O62" s="3"/>
      <c r="P62" s="23">
        <f t="shared" si="11"/>
        <v>165.2933038</v>
      </c>
      <c r="Q62" s="14">
        <f t="shared" si="12"/>
        <v>466.7805564</v>
      </c>
      <c r="R62" s="2"/>
      <c r="S62" s="14">
        <f t="shared" si="13"/>
        <v>1.318432773</v>
      </c>
    </row>
    <row r="63">
      <c r="A63" s="11">
        <v>51.0</v>
      </c>
      <c r="B63" s="11">
        <v>1.41961739130434E9</v>
      </c>
      <c r="C63" s="2">
        <v>-102.0889969</v>
      </c>
      <c r="D63" s="3">
        <f t="shared" si="1"/>
        <v>-782608.6957</v>
      </c>
      <c r="E63" s="4">
        <f t="shared" si="2"/>
        <v>164.3750077</v>
      </c>
      <c r="F63" s="3">
        <f t="shared" si="3"/>
        <v>0.000210034732</v>
      </c>
      <c r="G63" s="3">
        <f t="shared" si="4"/>
        <v>0</v>
      </c>
      <c r="H63" s="2">
        <f t="shared" si="5"/>
        <v>0</v>
      </c>
      <c r="I63" s="3">
        <f t="shared" si="6"/>
        <v>0</v>
      </c>
      <c r="J63" s="3">
        <f t="shared" si="7"/>
        <v>0</v>
      </c>
      <c r="K63" s="3"/>
      <c r="L63" s="3">
        <f t="shared" si="8"/>
        <v>470.1175643</v>
      </c>
      <c r="M63" s="30">
        <f t="shared" si="9"/>
        <v>465.2756428</v>
      </c>
      <c r="N63" s="14">
        <f t="shared" si="10"/>
        <v>4.841921481</v>
      </c>
      <c r="O63" s="3"/>
      <c r="P63" s="23">
        <f t="shared" si="11"/>
        <v>164.3750077</v>
      </c>
      <c r="Q63" s="14">
        <f t="shared" si="12"/>
        <v>470.1175643</v>
      </c>
      <c r="R63" s="2"/>
      <c r="S63" s="14">
        <f t="shared" si="13"/>
        <v>4.446317772</v>
      </c>
    </row>
    <row r="64">
      <c r="A64" s="11">
        <v>52.0</v>
      </c>
      <c r="B64" s="11">
        <v>1.41962173913043E9</v>
      </c>
      <c r="C64" s="2">
        <v>-102.1433182</v>
      </c>
      <c r="D64" s="3">
        <f t="shared" si="1"/>
        <v>-778260.8696</v>
      </c>
      <c r="E64" s="4">
        <f t="shared" si="2"/>
        <v>163.4567115</v>
      </c>
      <c r="F64" s="3">
        <f t="shared" si="3"/>
        <v>0.0002100281768</v>
      </c>
      <c r="G64" s="3">
        <f t="shared" si="4"/>
        <v>0</v>
      </c>
      <c r="H64" s="2">
        <f t="shared" si="5"/>
        <v>0</v>
      </c>
      <c r="I64" s="3">
        <f t="shared" si="6"/>
        <v>0</v>
      </c>
      <c r="J64" s="3">
        <f t="shared" si="7"/>
        <v>0</v>
      </c>
      <c r="K64" s="3"/>
      <c r="L64" s="3">
        <f t="shared" si="8"/>
        <v>464.273983</v>
      </c>
      <c r="M64" s="30">
        <f t="shared" si="9"/>
        <v>465.2062918</v>
      </c>
      <c r="N64" s="14">
        <f t="shared" si="10"/>
        <v>-0.9323087622</v>
      </c>
      <c r="O64" s="3"/>
      <c r="P64" s="23">
        <f t="shared" si="11"/>
        <v>163.4567115</v>
      </c>
      <c r="Q64" s="14">
        <f t="shared" si="12"/>
        <v>464.273983</v>
      </c>
      <c r="R64" s="2"/>
      <c r="S64" s="14">
        <f t="shared" si="13"/>
        <v>-0.8561355289</v>
      </c>
    </row>
    <row r="65">
      <c r="A65" s="11">
        <v>53.0</v>
      </c>
      <c r="B65" s="11">
        <v>1.41962608695652E9</v>
      </c>
      <c r="C65" s="2">
        <v>-102.1056137</v>
      </c>
      <c r="D65" s="3">
        <f t="shared" si="1"/>
        <v>-773913.0435</v>
      </c>
      <c r="E65" s="4">
        <f t="shared" si="2"/>
        <v>162.5384154</v>
      </c>
      <c r="F65" s="3">
        <f t="shared" si="3"/>
        <v>0.000210021548</v>
      </c>
      <c r="G65" s="3">
        <f t="shared" si="4"/>
        <v>0</v>
      </c>
      <c r="H65" s="2">
        <f t="shared" si="5"/>
        <v>0</v>
      </c>
      <c r="I65" s="3">
        <f t="shared" si="6"/>
        <v>0</v>
      </c>
      <c r="J65" s="3">
        <f t="shared" si="7"/>
        <v>0</v>
      </c>
      <c r="K65" s="3"/>
      <c r="L65" s="3">
        <f t="shared" si="8"/>
        <v>468.3222562</v>
      </c>
      <c r="M65" s="30">
        <f t="shared" si="9"/>
        <v>465.1367654</v>
      </c>
      <c r="N65" s="14">
        <f t="shared" si="10"/>
        <v>3.185490794</v>
      </c>
      <c r="O65" s="3"/>
      <c r="P65" s="23">
        <f t="shared" si="11"/>
        <v>162.5384154</v>
      </c>
      <c r="Q65" s="14">
        <f t="shared" si="12"/>
        <v>468.3222562</v>
      </c>
      <c r="R65" s="2"/>
      <c r="S65" s="14">
        <f t="shared" si="13"/>
        <v>2.925223877</v>
      </c>
    </row>
    <row r="66">
      <c r="A66" s="11">
        <v>54.0</v>
      </c>
      <c r="B66" s="11">
        <v>1.4196304347826E9</v>
      </c>
      <c r="C66" s="2">
        <v>-102.1458206</v>
      </c>
      <c r="D66" s="3">
        <f t="shared" si="1"/>
        <v>-769565.2174</v>
      </c>
      <c r="E66" s="4">
        <f t="shared" si="2"/>
        <v>161.6201193</v>
      </c>
      <c r="F66" s="3">
        <f t="shared" si="3"/>
        <v>0.0002100148442</v>
      </c>
      <c r="G66" s="3">
        <f t="shared" si="4"/>
        <v>0</v>
      </c>
      <c r="H66" s="2">
        <f t="shared" si="5"/>
        <v>0</v>
      </c>
      <c r="I66" s="3">
        <f t="shared" si="6"/>
        <v>0</v>
      </c>
      <c r="J66" s="3">
        <f t="shared" si="7"/>
        <v>0</v>
      </c>
      <c r="K66" s="3"/>
      <c r="L66" s="3">
        <f t="shared" si="8"/>
        <v>464.0065459</v>
      </c>
      <c r="M66" s="30">
        <f t="shared" si="9"/>
        <v>465.0670638</v>
      </c>
      <c r="N66" s="14">
        <f t="shared" si="10"/>
        <v>-1.06051787</v>
      </c>
      <c r="O66" s="3"/>
      <c r="P66" s="23">
        <f t="shared" si="11"/>
        <v>161.6201193</v>
      </c>
      <c r="Q66" s="14">
        <f t="shared" si="12"/>
        <v>464.0065459</v>
      </c>
      <c r="R66" s="2"/>
      <c r="S66" s="14">
        <f t="shared" si="13"/>
        <v>-0.9738694587</v>
      </c>
    </row>
    <row r="67">
      <c r="A67" s="11">
        <v>55.0</v>
      </c>
      <c r="B67" s="11">
        <v>1.41963478260869E9</v>
      </c>
      <c r="C67" s="2">
        <v>-102.1823654</v>
      </c>
      <c r="D67" s="3">
        <f t="shared" si="1"/>
        <v>-765217.3913</v>
      </c>
      <c r="E67" s="4">
        <f t="shared" si="2"/>
        <v>160.7018231</v>
      </c>
      <c r="F67" s="3">
        <f t="shared" si="3"/>
        <v>0.0002100080643</v>
      </c>
      <c r="G67" s="3">
        <f t="shared" si="4"/>
        <v>0</v>
      </c>
      <c r="H67" s="2">
        <f t="shared" si="5"/>
        <v>0</v>
      </c>
      <c r="I67" s="3">
        <f t="shared" si="6"/>
        <v>0</v>
      </c>
      <c r="J67" s="3">
        <f t="shared" si="7"/>
        <v>0</v>
      </c>
      <c r="K67" s="3"/>
      <c r="L67" s="3">
        <f t="shared" si="8"/>
        <v>460.118428</v>
      </c>
      <c r="M67" s="30">
        <f t="shared" si="9"/>
        <v>464.9971871</v>
      </c>
      <c r="N67" s="14">
        <f t="shared" si="10"/>
        <v>-4.878759075</v>
      </c>
      <c r="O67" s="3"/>
      <c r="P67" s="23">
        <f t="shared" si="11"/>
        <v>160.7018231</v>
      </c>
      <c r="Q67" s="14">
        <f t="shared" si="12"/>
        <v>460.118428</v>
      </c>
      <c r="R67" s="2"/>
      <c r="S67" s="14">
        <f t="shared" si="13"/>
        <v>-4.480145591</v>
      </c>
    </row>
    <row r="68">
      <c r="A68" s="11">
        <v>56.0</v>
      </c>
      <c r="B68" s="11">
        <v>1.41963913043478E9</v>
      </c>
      <c r="C68" s="2">
        <v>-102.085228</v>
      </c>
      <c r="D68" s="24">
        <f t="shared" si="1"/>
        <v>-760869.5652</v>
      </c>
      <c r="E68" s="25">
        <f t="shared" si="2"/>
        <v>159.783527</v>
      </c>
      <c r="F68" s="24">
        <f t="shared" si="3"/>
        <v>0.0002100012069</v>
      </c>
      <c r="G68" s="24">
        <f t="shared" si="4"/>
        <v>0</v>
      </c>
      <c r="H68" s="26">
        <f t="shared" si="5"/>
        <v>0</v>
      </c>
      <c r="I68" s="24">
        <f t="shared" si="6"/>
        <v>0</v>
      </c>
      <c r="J68" s="24">
        <f t="shared" si="7"/>
        <v>0</v>
      </c>
      <c r="K68" s="24"/>
      <c r="L68" s="24">
        <f t="shared" si="8"/>
        <v>470.5257194</v>
      </c>
      <c r="M68" s="30">
        <f t="shared" si="9"/>
        <v>464.9271354</v>
      </c>
      <c r="N68" s="27">
        <f t="shared" si="10"/>
        <v>5.598583956</v>
      </c>
      <c r="O68" s="24"/>
      <c r="P68" s="28">
        <f t="shared" ref="P68:P123" si="14">-((B418-$B$4)/$B$4)*(3*10^5)</f>
        <v>-160.7018231</v>
      </c>
      <c r="Q68" s="27">
        <f t="shared" ref="Q68:Q123" si="15">(1/(2*$K$13))*(I417)</f>
        <v>427.6283578</v>
      </c>
      <c r="R68" s="26"/>
      <c r="S68" s="14">
        <f t="shared" si="13"/>
        <v>5.141157984</v>
      </c>
    </row>
    <row r="69">
      <c r="A69" s="11">
        <v>57.0</v>
      </c>
      <c r="B69" s="11">
        <v>1.41964347826087E9</v>
      </c>
      <c r="C69" s="2">
        <v>-102.1679535</v>
      </c>
      <c r="D69" s="24">
        <f t="shared" si="1"/>
        <v>-756521.7391</v>
      </c>
      <c r="E69" s="25">
        <f t="shared" si="2"/>
        <v>158.8652309</v>
      </c>
      <c r="F69" s="24">
        <f t="shared" si="3"/>
        <v>0.0002099942707</v>
      </c>
      <c r="G69" s="24">
        <f t="shared" si="4"/>
        <v>0</v>
      </c>
      <c r="H69" s="26">
        <f t="shared" si="5"/>
        <v>0</v>
      </c>
      <c r="I69" s="24">
        <f t="shared" si="6"/>
        <v>0</v>
      </c>
      <c r="J69" s="24">
        <f t="shared" si="7"/>
        <v>0</v>
      </c>
      <c r="K69" s="24"/>
      <c r="L69" s="24">
        <f t="shared" si="8"/>
        <v>461.6478501</v>
      </c>
      <c r="M69" s="30">
        <f t="shared" si="9"/>
        <v>464.856909</v>
      </c>
      <c r="N69" s="27">
        <f t="shared" si="10"/>
        <v>-3.209058881</v>
      </c>
      <c r="O69" s="24"/>
      <c r="P69" s="28">
        <f t="shared" si="14"/>
        <v>-161.6201193</v>
      </c>
      <c r="Q69" s="27">
        <f t="shared" si="15"/>
        <v>433.3181171</v>
      </c>
      <c r="R69" s="26"/>
      <c r="S69" s="14">
        <f t="shared" si="13"/>
        <v>-2.94686636</v>
      </c>
    </row>
    <row r="70">
      <c r="A70" s="11">
        <v>58.0</v>
      </c>
      <c r="B70" s="11">
        <v>1.41964782608695E9</v>
      </c>
      <c r="C70" s="2">
        <v>-102.1221542</v>
      </c>
      <c r="D70" s="24">
        <f t="shared" si="1"/>
        <v>-752173.913</v>
      </c>
      <c r="E70" s="25">
        <f t="shared" si="2"/>
        <v>157.9469347</v>
      </c>
      <c r="F70" s="24">
        <f t="shared" si="3"/>
        <v>0.0002099872543</v>
      </c>
      <c r="G70" s="24">
        <f t="shared" si="4"/>
        <v>0</v>
      </c>
      <c r="H70" s="26">
        <f t="shared" si="5"/>
        <v>0</v>
      </c>
      <c r="I70" s="24">
        <f t="shared" si="6"/>
        <v>0</v>
      </c>
      <c r="J70" s="24">
        <f t="shared" si="7"/>
        <v>0</v>
      </c>
      <c r="K70" s="24"/>
      <c r="L70" s="24">
        <f t="shared" si="8"/>
        <v>466.5420006</v>
      </c>
      <c r="M70" s="30">
        <f t="shared" si="9"/>
        <v>464.7865078</v>
      </c>
      <c r="N70" s="27">
        <f t="shared" si="10"/>
        <v>1.755492806</v>
      </c>
      <c r="O70" s="24"/>
      <c r="P70" s="28">
        <f t="shared" si="14"/>
        <v>-162.5384154</v>
      </c>
      <c r="Q70" s="27">
        <f t="shared" si="15"/>
        <v>433.7088033</v>
      </c>
      <c r="R70" s="26"/>
      <c r="S70" s="14">
        <f t="shared" si="13"/>
        <v>1.612062255</v>
      </c>
    </row>
    <row r="71">
      <c r="A71" s="11">
        <v>59.0</v>
      </c>
      <c r="B71" s="11">
        <v>1.41965217391304E9</v>
      </c>
      <c r="C71" s="2">
        <v>-102.1884613</v>
      </c>
      <c r="D71" s="24">
        <f t="shared" si="1"/>
        <v>-747826.087</v>
      </c>
      <c r="E71" s="25">
        <f t="shared" si="2"/>
        <v>157.0286386</v>
      </c>
      <c r="F71" s="24">
        <f t="shared" si="3"/>
        <v>0.0002099801563</v>
      </c>
      <c r="G71" s="24">
        <f t="shared" si="4"/>
        <v>0</v>
      </c>
      <c r="H71" s="26">
        <f t="shared" si="5"/>
        <v>0</v>
      </c>
      <c r="I71" s="24">
        <f t="shared" si="6"/>
        <v>0</v>
      </c>
      <c r="J71" s="24">
        <f t="shared" si="7"/>
        <v>0</v>
      </c>
      <c r="K71" s="24"/>
      <c r="L71" s="24">
        <f t="shared" si="8"/>
        <v>459.4730437</v>
      </c>
      <c r="M71" s="30">
        <f t="shared" si="9"/>
        <v>464.7159321</v>
      </c>
      <c r="N71" s="27">
        <f t="shared" si="10"/>
        <v>-5.242888406</v>
      </c>
      <c r="O71" s="24"/>
      <c r="P71" s="28">
        <f t="shared" si="14"/>
        <v>-163.4567115</v>
      </c>
      <c r="Q71" s="27">
        <f t="shared" si="15"/>
        <v>431.450312</v>
      </c>
      <c r="R71" s="26"/>
      <c r="S71" s="14">
        <f t="shared" si="13"/>
        <v>-4.814524136</v>
      </c>
    </row>
    <row r="72">
      <c r="A72" s="11">
        <v>60.0</v>
      </c>
      <c r="B72" s="11">
        <v>1.41965652173913E9</v>
      </c>
      <c r="C72" s="2">
        <v>-102.1675262</v>
      </c>
      <c r="D72" s="24">
        <f t="shared" si="1"/>
        <v>-743478.2609</v>
      </c>
      <c r="E72" s="25">
        <f t="shared" si="2"/>
        <v>156.1103425</v>
      </c>
      <c r="F72" s="24">
        <f t="shared" si="3"/>
        <v>0.0002099729752</v>
      </c>
      <c r="G72" s="24">
        <f t="shared" si="4"/>
        <v>0</v>
      </c>
      <c r="H72" s="26">
        <f t="shared" si="5"/>
        <v>0</v>
      </c>
      <c r="I72" s="24">
        <f t="shared" si="6"/>
        <v>0</v>
      </c>
      <c r="J72" s="24">
        <f t="shared" si="7"/>
        <v>0</v>
      </c>
      <c r="K72" s="24"/>
      <c r="L72" s="24">
        <f t="shared" si="8"/>
        <v>461.6932736</v>
      </c>
      <c r="M72" s="30">
        <f t="shared" si="9"/>
        <v>464.6451821</v>
      </c>
      <c r="N72" s="27">
        <f t="shared" si="10"/>
        <v>-2.95190846</v>
      </c>
      <c r="O72" s="24"/>
      <c r="P72" s="28">
        <f t="shared" si="14"/>
        <v>-164.3750077</v>
      </c>
      <c r="Q72" s="27">
        <f t="shared" si="15"/>
        <v>432.5628793</v>
      </c>
      <c r="R72" s="26"/>
      <c r="S72" s="14">
        <f t="shared" si="13"/>
        <v>-2.710726123</v>
      </c>
    </row>
    <row r="73">
      <c r="A73" s="11">
        <v>61.0</v>
      </c>
      <c r="B73" s="11">
        <v>1.41966086956521E9</v>
      </c>
      <c r="C73" s="2">
        <v>-102.1785355</v>
      </c>
      <c r="D73" s="24">
        <f t="shared" si="1"/>
        <v>-739130.4348</v>
      </c>
      <c r="E73" s="25">
        <f t="shared" si="2"/>
        <v>155.1920463</v>
      </c>
      <c r="F73" s="24">
        <f t="shared" si="3"/>
        <v>0.0002099657097</v>
      </c>
      <c r="G73" s="24">
        <f t="shared" si="4"/>
        <v>0</v>
      </c>
      <c r="H73" s="26">
        <f t="shared" si="5"/>
        <v>0</v>
      </c>
      <c r="I73" s="24">
        <f t="shared" si="6"/>
        <v>0</v>
      </c>
      <c r="J73" s="24">
        <f t="shared" si="7"/>
        <v>0</v>
      </c>
      <c r="K73" s="24"/>
      <c r="L73" s="24">
        <f t="shared" si="8"/>
        <v>460.5243703</v>
      </c>
      <c r="M73" s="30">
        <f t="shared" si="9"/>
        <v>464.5742577</v>
      </c>
      <c r="N73" s="27">
        <f t="shared" si="10"/>
        <v>-4.049887454</v>
      </c>
      <c r="O73" s="24"/>
      <c r="P73" s="28">
        <f t="shared" si="14"/>
        <v>-165.2933038</v>
      </c>
      <c r="Q73" s="27">
        <f t="shared" si="15"/>
        <v>431.1434448</v>
      </c>
      <c r="R73" s="26"/>
      <c r="S73" s="14">
        <f t="shared" si="13"/>
        <v>-3.718995987</v>
      </c>
    </row>
    <row r="74">
      <c r="A74" s="11">
        <v>62.0</v>
      </c>
      <c r="B74" s="11">
        <v>1.4196652173913E9</v>
      </c>
      <c r="C74" s="2">
        <v>-102.174881</v>
      </c>
      <c r="D74" s="24">
        <f t="shared" si="1"/>
        <v>-734782.6087</v>
      </c>
      <c r="E74" s="25">
        <f t="shared" si="2"/>
        <v>154.2737502</v>
      </c>
      <c r="F74" s="24">
        <f t="shared" si="3"/>
        <v>0.0002099583583</v>
      </c>
      <c r="G74" s="24">
        <f t="shared" si="4"/>
        <v>0</v>
      </c>
      <c r="H74" s="26">
        <f t="shared" si="5"/>
        <v>0</v>
      </c>
      <c r="I74" s="24">
        <f t="shared" si="6"/>
        <v>0</v>
      </c>
      <c r="J74" s="24">
        <f t="shared" si="7"/>
        <v>0</v>
      </c>
      <c r="K74" s="24"/>
      <c r="L74" s="24">
        <f t="shared" si="8"/>
        <v>460.9120553</v>
      </c>
      <c r="M74" s="30">
        <f t="shared" si="9"/>
        <v>464.5031593</v>
      </c>
      <c r="N74" s="27">
        <f t="shared" si="10"/>
        <v>-3.591103999</v>
      </c>
      <c r="O74" s="24"/>
      <c r="P74" s="28">
        <f t="shared" si="14"/>
        <v>-166.2115999</v>
      </c>
      <c r="Q74" s="27">
        <f t="shared" si="15"/>
        <v>435.0740067</v>
      </c>
      <c r="R74" s="26"/>
      <c r="S74" s="14">
        <f t="shared" si="13"/>
        <v>-3.297696907</v>
      </c>
    </row>
    <row r="75">
      <c r="A75" s="11">
        <v>63.0</v>
      </c>
      <c r="B75" s="11">
        <v>1.41966956521739E9</v>
      </c>
      <c r="C75" s="2">
        <v>-102.128746</v>
      </c>
      <c r="D75" s="24">
        <f t="shared" si="1"/>
        <v>-730434.7826</v>
      </c>
      <c r="E75" s="25">
        <f t="shared" si="2"/>
        <v>153.3554541</v>
      </c>
      <c r="F75" s="24">
        <f t="shared" si="3"/>
        <v>0.0002099509193</v>
      </c>
      <c r="G75" s="24">
        <f t="shared" si="4"/>
        <v>0</v>
      </c>
      <c r="H75" s="26">
        <f t="shared" si="5"/>
        <v>0</v>
      </c>
      <c r="I75" s="24">
        <f t="shared" si="6"/>
        <v>0</v>
      </c>
      <c r="J75" s="24">
        <f t="shared" si="7"/>
        <v>0</v>
      </c>
      <c r="K75" s="24"/>
      <c r="L75" s="24">
        <f t="shared" si="8"/>
        <v>465.8344119</v>
      </c>
      <c r="M75" s="30">
        <f t="shared" si="9"/>
        <v>464.4318869</v>
      </c>
      <c r="N75" s="27">
        <f t="shared" si="10"/>
        <v>1.402525021</v>
      </c>
      <c r="O75" s="24"/>
      <c r="P75" s="28">
        <f t="shared" si="14"/>
        <v>-167.129896</v>
      </c>
      <c r="Q75" s="27">
        <f t="shared" si="15"/>
        <v>428.4269059</v>
      </c>
      <c r="R75" s="26"/>
      <c r="S75" s="14">
        <f t="shared" si="13"/>
        <v>1.287933303</v>
      </c>
    </row>
    <row r="76">
      <c r="A76" s="11">
        <v>64.0</v>
      </c>
      <c r="B76" s="11">
        <v>1.41967391304347E9</v>
      </c>
      <c r="C76" s="2">
        <v>-102.1766586</v>
      </c>
      <c r="D76" s="24">
        <f t="shared" si="1"/>
        <v>-726086.9565</v>
      </c>
      <c r="E76" s="25">
        <f t="shared" si="2"/>
        <v>152.4371579</v>
      </c>
      <c r="F76" s="24">
        <f t="shared" si="3"/>
        <v>0.0002099433912</v>
      </c>
      <c r="G76" s="24">
        <f t="shared" si="4"/>
        <v>0</v>
      </c>
      <c r="H76" s="26">
        <f t="shared" si="5"/>
        <v>0</v>
      </c>
      <c r="I76" s="24">
        <f t="shared" si="6"/>
        <v>0</v>
      </c>
      <c r="J76" s="24">
        <f t="shared" si="7"/>
        <v>0</v>
      </c>
      <c r="K76" s="24"/>
      <c r="L76" s="24">
        <f t="shared" si="8"/>
        <v>460.7234391</v>
      </c>
      <c r="M76" s="30">
        <f t="shared" si="9"/>
        <v>464.3604406</v>
      </c>
      <c r="N76" s="27">
        <f t="shared" si="10"/>
        <v>-3.637001497</v>
      </c>
      <c r="O76" s="24"/>
      <c r="P76" s="28">
        <f t="shared" si="14"/>
        <v>-168.0481922</v>
      </c>
      <c r="Q76" s="27">
        <f t="shared" si="15"/>
        <v>423.8000537</v>
      </c>
      <c r="R76" s="26"/>
      <c r="S76" s="14">
        <f t="shared" si="13"/>
        <v>-3.339844409</v>
      </c>
    </row>
    <row r="77">
      <c r="A77" s="11">
        <v>65.0</v>
      </c>
      <c r="B77" s="11">
        <v>1.41967826086956E9</v>
      </c>
      <c r="C77" s="2">
        <v>-102.1091461</v>
      </c>
      <c r="D77" s="24">
        <f t="shared" si="1"/>
        <v>-721739.1304</v>
      </c>
      <c r="E77" s="25">
        <f t="shared" si="2"/>
        <v>151.5188618</v>
      </c>
      <c r="F77" s="24">
        <f t="shared" si="3"/>
        <v>0.0002099357724</v>
      </c>
      <c r="G77" s="24">
        <f t="shared" si="4"/>
        <v>0</v>
      </c>
      <c r="H77" s="26">
        <f t="shared" si="5"/>
        <v>0</v>
      </c>
      <c r="I77" s="24">
        <f t="shared" si="6"/>
        <v>0</v>
      </c>
      <c r="J77" s="24">
        <f t="shared" si="7"/>
        <v>0</v>
      </c>
      <c r="K77" s="24"/>
      <c r="L77" s="24">
        <f t="shared" si="8"/>
        <v>467.9414941</v>
      </c>
      <c r="M77" s="30">
        <f t="shared" si="9"/>
        <v>464.2888207</v>
      </c>
      <c r="N77" s="27">
        <f t="shared" si="10"/>
        <v>3.652673407</v>
      </c>
      <c r="O77" s="24"/>
      <c r="P77" s="28">
        <f t="shared" si="14"/>
        <v>-168.9664883</v>
      </c>
      <c r="Q77" s="27">
        <f t="shared" si="15"/>
        <v>424.7764758</v>
      </c>
      <c r="R77" s="26"/>
      <c r="S77" s="14">
        <f t="shared" si="13"/>
        <v>3.354235856</v>
      </c>
    </row>
    <row r="78">
      <c r="A78" s="11">
        <v>66.0</v>
      </c>
      <c r="B78" s="11">
        <v>1.41968260869565E9</v>
      </c>
      <c r="C78" s="2">
        <v>-102.0785751</v>
      </c>
      <c r="D78" s="24">
        <f t="shared" si="1"/>
        <v>-717391.3043</v>
      </c>
      <c r="E78" s="25">
        <f t="shared" si="2"/>
        <v>150.6005657</v>
      </c>
      <c r="F78" s="24">
        <f t="shared" si="3"/>
        <v>0.0002099280612</v>
      </c>
      <c r="G78" s="24">
        <f t="shared" si="4"/>
        <v>0</v>
      </c>
      <c r="H78" s="26">
        <f t="shared" si="5"/>
        <v>0</v>
      </c>
      <c r="I78" s="24">
        <f t="shared" si="6"/>
        <v>0</v>
      </c>
      <c r="J78" s="24">
        <f t="shared" si="7"/>
        <v>0</v>
      </c>
      <c r="K78" s="24"/>
      <c r="L78" s="24">
        <f t="shared" si="8"/>
        <v>471.2470639</v>
      </c>
      <c r="M78" s="30">
        <f t="shared" si="9"/>
        <v>464.2170272</v>
      </c>
      <c r="N78" s="27">
        <f t="shared" si="10"/>
        <v>7.030036754</v>
      </c>
      <c r="O78" s="24"/>
      <c r="P78" s="28">
        <f t="shared" si="14"/>
        <v>-169.8847844</v>
      </c>
      <c r="Q78" s="27">
        <f t="shared" si="15"/>
        <v>433.6067231</v>
      </c>
      <c r="R78" s="26"/>
      <c r="S78" s="14">
        <f t="shared" si="13"/>
        <v>6.455655564</v>
      </c>
    </row>
    <row r="79">
      <c r="A79" s="11">
        <v>67.0</v>
      </c>
      <c r="B79" s="11">
        <v>1.41968695652173E9</v>
      </c>
      <c r="C79" s="2">
        <v>-102.0891037</v>
      </c>
      <c r="D79" s="24">
        <f t="shared" si="1"/>
        <v>-713043.4783</v>
      </c>
      <c r="E79" s="25">
        <f t="shared" si="2"/>
        <v>149.6822695</v>
      </c>
      <c r="F79" s="24">
        <f t="shared" si="3"/>
        <v>0.0002099202561</v>
      </c>
      <c r="G79" s="24">
        <f t="shared" si="4"/>
        <v>0</v>
      </c>
      <c r="H79" s="26">
        <f t="shared" si="5"/>
        <v>0</v>
      </c>
      <c r="I79" s="24">
        <f t="shared" si="6"/>
        <v>0</v>
      </c>
      <c r="J79" s="24">
        <f t="shared" si="7"/>
        <v>0</v>
      </c>
      <c r="K79" s="24"/>
      <c r="L79" s="24">
        <f t="shared" si="8"/>
        <v>470.1060035</v>
      </c>
      <c r="M79" s="30">
        <f t="shared" si="9"/>
        <v>464.1450603</v>
      </c>
      <c r="N79" s="27">
        <f t="shared" si="10"/>
        <v>5.960943233</v>
      </c>
      <c r="O79" s="24"/>
      <c r="P79" s="28">
        <f t="shared" si="14"/>
        <v>-170.8030806</v>
      </c>
      <c r="Q79" s="27">
        <f t="shared" si="15"/>
        <v>431.3578515</v>
      </c>
      <c r="R79" s="26"/>
      <c r="S79" s="14">
        <f t="shared" si="13"/>
        <v>5.473911118</v>
      </c>
    </row>
    <row r="80">
      <c r="A80" s="11">
        <v>68.0</v>
      </c>
      <c r="B80" s="11">
        <v>1.41969130434782E9</v>
      </c>
      <c r="C80" s="2">
        <v>-102.2468338</v>
      </c>
      <c r="D80" s="24">
        <f t="shared" si="1"/>
        <v>-708695.6522</v>
      </c>
      <c r="E80" s="25">
        <f t="shared" si="2"/>
        <v>148.7639734</v>
      </c>
      <c r="F80" s="24">
        <f t="shared" si="3"/>
        <v>0.0002099123551</v>
      </c>
      <c r="G80" s="24">
        <f t="shared" si="4"/>
        <v>0</v>
      </c>
      <c r="H80" s="26">
        <f t="shared" si="5"/>
        <v>0</v>
      </c>
      <c r="I80" s="24">
        <f t="shared" si="6"/>
        <v>0</v>
      </c>
      <c r="J80" s="24">
        <f t="shared" si="7"/>
        <v>0</v>
      </c>
      <c r="K80" s="24"/>
      <c r="L80" s="24">
        <f t="shared" si="8"/>
        <v>453.3386921</v>
      </c>
      <c r="M80" s="30">
        <f t="shared" si="9"/>
        <v>464.0729201</v>
      </c>
      <c r="N80" s="27">
        <f t="shared" si="10"/>
        <v>-10.73422791</v>
      </c>
      <c r="O80" s="24"/>
      <c r="P80" s="28">
        <f t="shared" si="14"/>
        <v>-171.7213767</v>
      </c>
      <c r="Q80" s="27">
        <f t="shared" si="15"/>
        <v>435.9913745</v>
      </c>
      <c r="R80" s="26"/>
      <c r="S80" s="14">
        <f t="shared" si="13"/>
        <v>-9.857199979</v>
      </c>
    </row>
    <row r="81">
      <c r="A81" s="11">
        <v>69.0</v>
      </c>
      <c r="B81" s="11">
        <v>1.41969565217391E9</v>
      </c>
      <c r="C81" s="2">
        <v>-102.1162643</v>
      </c>
      <c r="D81" s="24">
        <f t="shared" si="1"/>
        <v>-704347.8261</v>
      </c>
      <c r="E81" s="25">
        <f t="shared" si="2"/>
        <v>147.8456773</v>
      </c>
      <c r="F81" s="24">
        <f t="shared" si="3"/>
        <v>0.0002099043566</v>
      </c>
      <c r="G81" s="24">
        <f t="shared" si="4"/>
        <v>0</v>
      </c>
      <c r="H81" s="26">
        <f t="shared" si="5"/>
        <v>0</v>
      </c>
      <c r="I81" s="24">
        <f t="shared" si="6"/>
        <v>0</v>
      </c>
      <c r="J81" s="24">
        <f t="shared" si="7"/>
        <v>0</v>
      </c>
      <c r="K81" s="24"/>
      <c r="L81" s="24">
        <f t="shared" si="8"/>
        <v>467.1751539</v>
      </c>
      <c r="M81" s="30">
        <f t="shared" si="9"/>
        <v>464.0006067</v>
      </c>
      <c r="N81" s="27">
        <f t="shared" si="10"/>
        <v>3.174547218</v>
      </c>
      <c r="O81" s="24"/>
      <c r="P81" s="28">
        <f t="shared" si="14"/>
        <v>-172.6396728</v>
      </c>
      <c r="Q81" s="27">
        <f t="shared" si="15"/>
        <v>430.5719931</v>
      </c>
      <c r="R81" s="26"/>
      <c r="S81" s="14">
        <f t="shared" si="13"/>
        <v>2.915174427</v>
      </c>
    </row>
    <row r="82">
      <c r="A82" s="11">
        <v>70.0</v>
      </c>
      <c r="B82" s="11">
        <v>1.4197E9</v>
      </c>
      <c r="C82" s="2">
        <v>-102.1513977</v>
      </c>
      <c r="D82" s="24">
        <f t="shared" si="1"/>
        <v>-700000</v>
      </c>
      <c r="E82" s="25">
        <f t="shared" si="2"/>
        <v>146.9273811</v>
      </c>
      <c r="F82" s="24">
        <f t="shared" si="3"/>
        <v>0.0002098962588</v>
      </c>
      <c r="G82" s="24">
        <f t="shared" si="4"/>
        <v>0</v>
      </c>
      <c r="H82" s="26">
        <f t="shared" si="5"/>
        <v>0</v>
      </c>
      <c r="I82" s="24">
        <f t="shared" si="6"/>
        <v>0</v>
      </c>
      <c r="J82" s="24">
        <f t="shared" si="7"/>
        <v>0</v>
      </c>
      <c r="K82" s="24"/>
      <c r="L82" s="24">
        <f t="shared" si="8"/>
        <v>463.4110629</v>
      </c>
      <c r="M82" s="30">
        <f t="shared" si="9"/>
        <v>463.9281204</v>
      </c>
      <c r="N82" s="27">
        <f t="shared" si="10"/>
        <v>-0.5170575112</v>
      </c>
      <c r="O82" s="24"/>
      <c r="P82" s="28">
        <f t="shared" si="14"/>
        <v>-173.557969</v>
      </c>
      <c r="Q82" s="27">
        <f t="shared" si="15"/>
        <v>421.7257482</v>
      </c>
      <c r="R82" s="26"/>
      <c r="S82" s="14">
        <f t="shared" si="13"/>
        <v>-0.4748119129</v>
      </c>
    </row>
    <row r="83">
      <c r="A83" s="11">
        <v>71.0</v>
      </c>
      <c r="B83" s="11">
        <v>1.41970434782608E9</v>
      </c>
      <c r="C83" s="2">
        <v>-102.0835266</v>
      </c>
      <c r="D83" s="24">
        <f t="shared" si="1"/>
        <v>-695652.1739</v>
      </c>
      <c r="E83" s="25">
        <f t="shared" si="2"/>
        <v>146.009085</v>
      </c>
      <c r="F83" s="24">
        <f t="shared" si="3"/>
        <v>0.0002098880597</v>
      </c>
      <c r="G83" s="24">
        <f t="shared" si="4"/>
        <v>0</v>
      </c>
      <c r="H83" s="26">
        <f t="shared" si="5"/>
        <v>0</v>
      </c>
      <c r="I83" s="24">
        <f t="shared" si="6"/>
        <v>0</v>
      </c>
      <c r="J83" s="24">
        <f t="shared" si="7"/>
        <v>0</v>
      </c>
      <c r="K83" s="24"/>
      <c r="L83" s="24">
        <f t="shared" si="8"/>
        <v>470.7100895</v>
      </c>
      <c r="M83" s="30">
        <f t="shared" si="9"/>
        <v>463.8554612</v>
      </c>
      <c r="N83" s="27">
        <f t="shared" si="10"/>
        <v>6.854628306</v>
      </c>
      <c r="O83" s="24"/>
      <c r="P83" s="28">
        <f t="shared" si="14"/>
        <v>-174.4762651</v>
      </c>
      <c r="Q83" s="27">
        <f t="shared" si="15"/>
        <v>430.7331304</v>
      </c>
      <c r="R83" s="26"/>
      <c r="S83" s="14">
        <f t="shared" si="13"/>
        <v>6.294578665</v>
      </c>
    </row>
    <row r="84">
      <c r="A84" s="11">
        <v>72.0</v>
      </c>
      <c r="B84" s="11">
        <v>1.41970869565217E9</v>
      </c>
      <c r="C84" s="2">
        <v>-102.148262</v>
      </c>
      <c r="D84" s="24">
        <f t="shared" si="1"/>
        <v>-691304.3478</v>
      </c>
      <c r="E84" s="25">
        <f t="shared" si="2"/>
        <v>145.0907889</v>
      </c>
      <c r="F84" s="24">
        <f t="shared" si="3"/>
        <v>0.0002098797575</v>
      </c>
      <c r="G84" s="24">
        <f t="shared" si="4"/>
        <v>0</v>
      </c>
      <c r="H84" s="26">
        <f t="shared" si="5"/>
        <v>0</v>
      </c>
      <c r="I84" s="24">
        <f t="shared" si="6"/>
        <v>0</v>
      </c>
      <c r="J84" s="24">
        <f t="shared" si="7"/>
        <v>0</v>
      </c>
      <c r="K84" s="24"/>
      <c r="L84" s="24">
        <f t="shared" si="8"/>
        <v>463.7457765</v>
      </c>
      <c r="M84" s="30">
        <f t="shared" si="9"/>
        <v>463.7826293</v>
      </c>
      <c r="N84" s="27">
        <f t="shared" si="10"/>
        <v>-0.03685281199</v>
      </c>
      <c r="O84" s="24"/>
      <c r="P84" s="28">
        <f t="shared" si="14"/>
        <v>-175.3945612</v>
      </c>
      <c r="Q84" s="27">
        <f t="shared" si="15"/>
        <v>430.4078835</v>
      </c>
      <c r="R84" s="26"/>
      <c r="S84" s="14">
        <f t="shared" si="13"/>
        <v>-0.03384179466</v>
      </c>
    </row>
    <row r="85">
      <c r="A85" s="11">
        <v>73.0</v>
      </c>
      <c r="B85" s="11">
        <v>1.41971304347826E9</v>
      </c>
      <c r="C85" s="2">
        <v>-102.1770401</v>
      </c>
      <c r="D85" s="24">
        <f t="shared" si="1"/>
        <v>-686956.5217</v>
      </c>
      <c r="E85" s="25">
        <f t="shared" si="2"/>
        <v>144.1724927</v>
      </c>
      <c r="F85" s="24">
        <f t="shared" si="3"/>
        <v>0.0002098713502</v>
      </c>
      <c r="G85" s="24">
        <f t="shared" si="4"/>
        <v>0</v>
      </c>
      <c r="H85" s="26">
        <f t="shared" si="5"/>
        <v>0</v>
      </c>
      <c r="I85" s="24">
        <f t="shared" si="6"/>
        <v>0</v>
      </c>
      <c r="J85" s="24">
        <f t="shared" si="7"/>
        <v>0</v>
      </c>
      <c r="K85" s="24"/>
      <c r="L85" s="24">
        <f t="shared" si="8"/>
        <v>460.6829693</v>
      </c>
      <c r="M85" s="30">
        <f t="shared" si="9"/>
        <v>463.7096249</v>
      </c>
      <c r="N85" s="27">
        <f t="shared" si="10"/>
        <v>-3.026655565</v>
      </c>
      <c r="O85" s="24"/>
      <c r="P85" s="28">
        <f t="shared" si="14"/>
        <v>-176.3128574</v>
      </c>
      <c r="Q85" s="27">
        <f t="shared" si="15"/>
        <v>425.0093627</v>
      </c>
      <c r="R85" s="26"/>
      <c r="S85" s="14">
        <f t="shared" si="13"/>
        <v>-2.779366101</v>
      </c>
    </row>
    <row r="86">
      <c r="A86" s="11">
        <v>74.0</v>
      </c>
      <c r="B86" s="11">
        <v>1.41971739130434E9</v>
      </c>
      <c r="C86" s="2">
        <v>-102.1053009</v>
      </c>
      <c r="D86" s="24">
        <f t="shared" si="1"/>
        <v>-682608.6957</v>
      </c>
      <c r="E86" s="25">
        <f t="shared" si="2"/>
        <v>143.2541966</v>
      </c>
      <c r="F86" s="24">
        <f t="shared" si="3"/>
        <v>0.0002098628358</v>
      </c>
      <c r="G86" s="24">
        <f t="shared" si="4"/>
        <v>0</v>
      </c>
      <c r="H86" s="26">
        <f t="shared" si="5"/>
        <v>0</v>
      </c>
      <c r="I86" s="24">
        <f t="shared" si="6"/>
        <v>0</v>
      </c>
      <c r="J86" s="24">
        <f t="shared" si="7"/>
        <v>0</v>
      </c>
      <c r="K86" s="24"/>
      <c r="L86" s="24">
        <f t="shared" si="8"/>
        <v>468.3559883</v>
      </c>
      <c r="M86" s="30">
        <f t="shared" si="9"/>
        <v>463.6364479</v>
      </c>
      <c r="N86" s="27">
        <f t="shared" si="10"/>
        <v>4.719540334</v>
      </c>
      <c r="O86" s="24"/>
      <c r="P86" s="28">
        <f t="shared" si="14"/>
        <v>-177.2311535</v>
      </c>
      <c r="Q86" s="27">
        <f t="shared" si="15"/>
        <v>426.7968028</v>
      </c>
      <c r="R86" s="26"/>
      <c r="S86" s="14">
        <f t="shared" si="13"/>
        <v>4.333935637</v>
      </c>
    </row>
    <row r="87">
      <c r="A87" s="11">
        <v>75.0</v>
      </c>
      <c r="B87" s="11">
        <v>1.41972173913043E9</v>
      </c>
      <c r="C87" s="2">
        <v>-102.1277771</v>
      </c>
      <c r="D87" s="24">
        <f t="shared" si="1"/>
        <v>-678260.8696</v>
      </c>
      <c r="E87" s="25">
        <f t="shared" si="2"/>
        <v>142.3359005</v>
      </c>
      <c r="F87" s="24">
        <f t="shared" si="3"/>
        <v>0.0002098542122</v>
      </c>
      <c r="G87" s="24">
        <f t="shared" si="4"/>
        <v>0</v>
      </c>
      <c r="H87" s="26">
        <f t="shared" si="5"/>
        <v>0</v>
      </c>
      <c r="I87" s="24">
        <f t="shared" si="6"/>
        <v>0</v>
      </c>
      <c r="J87" s="24">
        <f t="shared" si="7"/>
        <v>0</v>
      </c>
      <c r="K87" s="24"/>
      <c r="L87" s="24">
        <f t="shared" si="8"/>
        <v>465.93835</v>
      </c>
      <c r="M87" s="30">
        <f t="shared" si="9"/>
        <v>463.5630987</v>
      </c>
      <c r="N87" s="27">
        <f t="shared" si="10"/>
        <v>2.375251231</v>
      </c>
      <c r="O87" s="24"/>
      <c r="P87" s="28">
        <f t="shared" si="14"/>
        <v>-178.1494496</v>
      </c>
      <c r="Q87" s="27">
        <f t="shared" si="15"/>
        <v>428.9842104</v>
      </c>
      <c r="R87" s="26"/>
      <c r="S87" s="14">
        <f t="shared" si="13"/>
        <v>2.181184014</v>
      </c>
    </row>
    <row r="88">
      <c r="A88" s="11">
        <v>76.0</v>
      </c>
      <c r="B88" s="11">
        <v>1.41972608695652E9</v>
      </c>
      <c r="C88" s="2">
        <v>-102.1115799</v>
      </c>
      <c r="D88" s="24">
        <f t="shared" si="1"/>
        <v>-673913.0435</v>
      </c>
      <c r="E88" s="25">
        <f t="shared" si="2"/>
        <v>141.4176044</v>
      </c>
      <c r="F88" s="24">
        <f t="shared" si="3"/>
        <v>0.0002098454774</v>
      </c>
      <c r="G88" s="24">
        <f t="shared" si="4"/>
        <v>0</v>
      </c>
      <c r="H88" s="26">
        <f t="shared" si="5"/>
        <v>0</v>
      </c>
      <c r="I88" s="24">
        <f t="shared" si="6"/>
        <v>0</v>
      </c>
      <c r="J88" s="24">
        <f t="shared" si="7"/>
        <v>0</v>
      </c>
      <c r="K88" s="24"/>
      <c r="L88" s="24">
        <f t="shared" si="8"/>
        <v>467.6793317</v>
      </c>
      <c r="M88" s="30">
        <f t="shared" si="9"/>
        <v>463.4895774</v>
      </c>
      <c r="N88" s="27">
        <f t="shared" si="10"/>
        <v>4.189754279</v>
      </c>
      <c r="O88" s="24"/>
      <c r="P88" s="28">
        <f t="shared" si="14"/>
        <v>-179.0677458</v>
      </c>
      <c r="Q88" s="27">
        <f t="shared" si="15"/>
        <v>432.847175</v>
      </c>
      <c r="R88" s="26"/>
      <c r="S88" s="14">
        <f t="shared" si="13"/>
        <v>3.847435151</v>
      </c>
    </row>
    <row r="89">
      <c r="A89" s="11">
        <v>77.0</v>
      </c>
      <c r="B89" s="11">
        <v>1.4197304347826E9</v>
      </c>
      <c r="C89" s="2">
        <v>-102.1745682</v>
      </c>
      <c r="D89" s="24">
        <f t="shared" si="1"/>
        <v>-669565.2174</v>
      </c>
      <c r="E89" s="25">
        <f t="shared" si="2"/>
        <v>140.4993082</v>
      </c>
      <c r="F89" s="24">
        <f t="shared" si="3"/>
        <v>0.0002098366292</v>
      </c>
      <c r="G89" s="24">
        <f t="shared" si="4"/>
        <v>0</v>
      </c>
      <c r="H89" s="26">
        <f t="shared" si="5"/>
        <v>0</v>
      </c>
      <c r="I89" s="24">
        <f t="shared" si="6"/>
        <v>0</v>
      </c>
      <c r="J89" s="24">
        <f t="shared" si="7"/>
        <v>0</v>
      </c>
      <c r="K89" s="24"/>
      <c r="L89" s="24">
        <f t="shared" si="8"/>
        <v>460.9452536</v>
      </c>
      <c r="M89" s="30">
        <f t="shared" si="9"/>
        <v>463.415884</v>
      </c>
      <c r="N89" s="27">
        <f t="shared" si="10"/>
        <v>-2.470630379</v>
      </c>
      <c r="O89" s="24"/>
      <c r="P89" s="28">
        <f t="shared" si="14"/>
        <v>-179.9860419</v>
      </c>
      <c r="Q89" s="27">
        <f t="shared" si="15"/>
        <v>429.8517383</v>
      </c>
      <c r="R89" s="26"/>
      <c r="S89" s="14">
        <f t="shared" si="13"/>
        <v>-2.268770323</v>
      </c>
    </row>
    <row r="90">
      <c r="A90" s="11">
        <v>78.0</v>
      </c>
      <c r="B90" s="11">
        <v>1.41973478260869E9</v>
      </c>
      <c r="C90" s="2">
        <v>-102.1493454</v>
      </c>
      <c r="D90" s="24">
        <f t="shared" si="1"/>
        <v>-665217.3913</v>
      </c>
      <c r="E90" s="25">
        <f t="shared" si="2"/>
        <v>139.5810121</v>
      </c>
      <c r="F90" s="24">
        <f t="shared" si="3"/>
        <v>0.0002098276652</v>
      </c>
      <c r="G90" s="24">
        <f t="shared" si="4"/>
        <v>0</v>
      </c>
      <c r="H90" s="26">
        <f t="shared" si="5"/>
        <v>0</v>
      </c>
      <c r="I90" s="24">
        <f t="shared" si="6"/>
        <v>0</v>
      </c>
      <c r="J90" s="24">
        <f t="shared" si="7"/>
        <v>0</v>
      </c>
      <c r="K90" s="24"/>
      <c r="L90" s="24">
        <f t="shared" si="8"/>
        <v>463.630104</v>
      </c>
      <c r="M90" s="30">
        <f t="shared" si="9"/>
        <v>463.3420187</v>
      </c>
      <c r="N90" s="27">
        <f t="shared" si="10"/>
        <v>0.28808522</v>
      </c>
      <c r="O90" s="24"/>
      <c r="P90" s="28">
        <f t="shared" si="14"/>
        <v>-180.904338</v>
      </c>
      <c r="Q90" s="27">
        <f t="shared" si="15"/>
        <v>423.1268135</v>
      </c>
      <c r="R90" s="26"/>
      <c r="S90" s="14">
        <f t="shared" si="13"/>
        <v>0.2645475435</v>
      </c>
    </row>
    <row r="91">
      <c r="A91" s="11">
        <v>79.0</v>
      </c>
      <c r="B91" s="11">
        <v>1.41973913043478E9</v>
      </c>
      <c r="C91" s="2">
        <v>-102.1549454</v>
      </c>
      <c r="D91" s="24">
        <f t="shared" si="1"/>
        <v>-660869.5652</v>
      </c>
      <c r="E91" s="25">
        <f t="shared" si="2"/>
        <v>138.662716</v>
      </c>
      <c r="F91" s="24">
        <f t="shared" si="3"/>
        <v>0.0002098185833</v>
      </c>
      <c r="G91" s="24">
        <f t="shared" si="4"/>
        <v>0</v>
      </c>
      <c r="H91" s="26">
        <f t="shared" si="5"/>
        <v>0</v>
      </c>
      <c r="I91" s="24">
        <f t="shared" si="6"/>
        <v>0</v>
      </c>
      <c r="J91" s="24">
        <f t="shared" si="7"/>
        <v>0</v>
      </c>
      <c r="K91" s="24"/>
      <c r="L91" s="24">
        <f t="shared" si="8"/>
        <v>463.0326625</v>
      </c>
      <c r="M91" s="30">
        <f t="shared" si="9"/>
        <v>463.2679818</v>
      </c>
      <c r="N91" s="27">
        <f t="shared" si="10"/>
        <v>-0.2353192687</v>
      </c>
      <c r="O91" s="24"/>
      <c r="P91" s="28">
        <f t="shared" si="14"/>
        <v>-181.8226342</v>
      </c>
      <c r="Q91" s="27">
        <f t="shared" si="15"/>
        <v>424.9391818</v>
      </c>
      <c r="R91" s="26"/>
      <c r="S91" s="14">
        <f t="shared" si="13"/>
        <v>-0.2160927739</v>
      </c>
    </row>
    <row r="92">
      <c r="A92" s="11">
        <v>80.0</v>
      </c>
      <c r="B92" s="11">
        <v>1.41974347826087E9</v>
      </c>
      <c r="C92" s="2">
        <v>-102.1278152</v>
      </c>
      <c r="D92" s="24">
        <f t="shared" si="1"/>
        <v>-656521.7391</v>
      </c>
      <c r="E92" s="25">
        <f t="shared" si="2"/>
        <v>137.7444198</v>
      </c>
      <c r="F92" s="24">
        <f t="shared" si="3"/>
        <v>0.0002098093812</v>
      </c>
      <c r="G92" s="24">
        <f t="shared" si="4"/>
        <v>0</v>
      </c>
      <c r="H92" s="26">
        <f t="shared" si="5"/>
        <v>0</v>
      </c>
      <c r="I92" s="24">
        <f t="shared" si="6"/>
        <v>0</v>
      </c>
      <c r="J92" s="24">
        <f t="shared" si="7"/>
        <v>0</v>
      </c>
      <c r="K92" s="24"/>
      <c r="L92" s="24">
        <f t="shared" si="8"/>
        <v>465.9342624</v>
      </c>
      <c r="M92" s="30">
        <f t="shared" si="9"/>
        <v>463.1937732</v>
      </c>
      <c r="N92" s="27">
        <f t="shared" si="10"/>
        <v>2.740489221</v>
      </c>
      <c r="O92" s="24"/>
      <c r="P92" s="28">
        <f t="shared" si="14"/>
        <v>-182.7409303</v>
      </c>
      <c r="Q92" s="27">
        <f t="shared" si="15"/>
        <v>421.6427793</v>
      </c>
      <c r="R92" s="26"/>
      <c r="S92" s="14">
        <f t="shared" si="13"/>
        <v>2.516580653</v>
      </c>
    </row>
    <row r="93">
      <c r="A93" s="11">
        <v>81.0</v>
      </c>
      <c r="B93" s="11">
        <v>1.41974782608695E9</v>
      </c>
      <c r="C93" s="2">
        <v>-102.090332</v>
      </c>
      <c r="D93" s="24">
        <f t="shared" si="1"/>
        <v>-652173.913</v>
      </c>
      <c r="E93" s="25">
        <f t="shared" si="2"/>
        <v>136.8261237</v>
      </c>
      <c r="F93" s="24">
        <f t="shared" si="3"/>
        <v>0.0002098000563</v>
      </c>
      <c r="G93" s="24">
        <f t="shared" si="4"/>
        <v>0</v>
      </c>
      <c r="H93" s="26">
        <f t="shared" si="5"/>
        <v>0</v>
      </c>
      <c r="I93" s="24">
        <f t="shared" si="6"/>
        <v>0</v>
      </c>
      <c r="J93" s="24">
        <f t="shared" si="7"/>
        <v>0</v>
      </c>
      <c r="K93" s="24"/>
      <c r="L93" s="24">
        <f t="shared" si="8"/>
        <v>469.9730638</v>
      </c>
      <c r="M93" s="30">
        <f t="shared" si="9"/>
        <v>463.1193931</v>
      </c>
      <c r="N93" s="27">
        <f t="shared" si="10"/>
        <v>6.853670725</v>
      </c>
      <c r="O93" s="24"/>
      <c r="P93" s="28">
        <f t="shared" si="14"/>
        <v>-183.6592264</v>
      </c>
      <c r="Q93" s="27">
        <f t="shared" si="15"/>
        <v>425.4530853</v>
      </c>
      <c r="R93" s="26"/>
      <c r="S93" s="14">
        <f t="shared" si="13"/>
        <v>6.293699322</v>
      </c>
    </row>
    <row r="94">
      <c r="A94" s="11">
        <v>82.0</v>
      </c>
      <c r="B94" s="11">
        <v>1.41975217391304E9</v>
      </c>
      <c r="C94" s="2">
        <v>-102.1226425</v>
      </c>
      <c r="D94" s="24">
        <f t="shared" si="1"/>
        <v>-647826.087</v>
      </c>
      <c r="E94" s="25">
        <f t="shared" si="2"/>
        <v>135.9078276</v>
      </c>
      <c r="F94" s="24">
        <f t="shared" si="3"/>
        <v>0.0002097906063</v>
      </c>
      <c r="G94" s="24">
        <f t="shared" si="4"/>
        <v>0</v>
      </c>
      <c r="H94" s="26">
        <f t="shared" si="5"/>
        <v>0</v>
      </c>
      <c r="I94" s="24">
        <f t="shared" si="6"/>
        <v>0</v>
      </c>
      <c r="J94" s="24">
        <f t="shared" si="7"/>
        <v>0</v>
      </c>
      <c r="K94" s="24"/>
      <c r="L94" s="24">
        <f t="shared" si="8"/>
        <v>466.4895478</v>
      </c>
      <c r="M94" s="30">
        <f t="shared" si="9"/>
        <v>463.0448417</v>
      </c>
      <c r="N94" s="27">
        <f t="shared" si="10"/>
        <v>3.444706075</v>
      </c>
      <c r="O94" s="24"/>
      <c r="P94" s="28">
        <f t="shared" si="14"/>
        <v>-184.5775226</v>
      </c>
      <c r="Q94" s="27">
        <f t="shared" si="15"/>
        <v>426.3142282</v>
      </c>
      <c r="R94" s="26"/>
      <c r="S94" s="14">
        <f t="shared" si="13"/>
        <v>3.16326026</v>
      </c>
    </row>
    <row r="95">
      <c r="A95" s="11">
        <v>83.0</v>
      </c>
      <c r="B95" s="11">
        <v>1.41975652173913E9</v>
      </c>
      <c r="C95" s="2">
        <v>-102.1252289</v>
      </c>
      <c r="D95" s="24">
        <f t="shared" si="1"/>
        <v>-643478.2609</v>
      </c>
      <c r="E95" s="25">
        <f t="shared" si="2"/>
        <v>134.9895314</v>
      </c>
      <c r="F95" s="24">
        <f t="shared" si="3"/>
        <v>0.0002097810286</v>
      </c>
      <c r="G95" s="24">
        <f t="shared" si="4"/>
        <v>0</v>
      </c>
      <c r="H95" s="26">
        <f t="shared" si="5"/>
        <v>0</v>
      </c>
      <c r="I95" s="24">
        <f t="shared" si="6"/>
        <v>0</v>
      </c>
      <c r="J95" s="24">
        <f t="shared" si="7"/>
        <v>0</v>
      </c>
      <c r="K95" s="24"/>
      <c r="L95" s="24">
        <f t="shared" si="8"/>
        <v>466.2118171</v>
      </c>
      <c r="M95" s="30">
        <f t="shared" si="9"/>
        <v>462.9701192</v>
      </c>
      <c r="N95" s="27">
        <f t="shared" si="10"/>
        <v>3.241697856</v>
      </c>
      <c r="O95" s="24"/>
      <c r="P95" s="28">
        <f t="shared" si="14"/>
        <v>-185.4958187</v>
      </c>
      <c r="Q95" s="27">
        <f t="shared" si="15"/>
        <v>423.8268607</v>
      </c>
      <c r="R95" s="26"/>
      <c r="S95" s="14">
        <f t="shared" si="13"/>
        <v>2.976838605</v>
      </c>
    </row>
    <row r="96">
      <c r="A96" s="11">
        <v>84.0</v>
      </c>
      <c r="B96" s="11">
        <v>1.41976086956521E9</v>
      </c>
      <c r="C96" s="2">
        <v>-102.1512756</v>
      </c>
      <c r="D96" s="24">
        <f t="shared" si="1"/>
        <v>-639130.4348</v>
      </c>
      <c r="E96" s="25">
        <f t="shared" si="2"/>
        <v>134.0712353</v>
      </c>
      <c r="F96" s="24">
        <f t="shared" si="3"/>
        <v>0.0002097713205</v>
      </c>
      <c r="G96" s="24">
        <f t="shared" si="4"/>
        <v>0</v>
      </c>
      <c r="H96" s="26">
        <f t="shared" si="5"/>
        <v>0</v>
      </c>
      <c r="I96" s="24">
        <f t="shared" si="6"/>
        <v>0</v>
      </c>
      <c r="J96" s="24">
        <f t="shared" si="7"/>
        <v>0</v>
      </c>
      <c r="K96" s="24"/>
      <c r="L96" s="24">
        <f t="shared" si="8"/>
        <v>463.4240917</v>
      </c>
      <c r="M96" s="30">
        <f t="shared" si="9"/>
        <v>462.8952256</v>
      </c>
      <c r="N96" s="27">
        <f t="shared" si="10"/>
        <v>0.5288660503</v>
      </c>
      <c r="O96" s="24"/>
      <c r="P96" s="28">
        <f t="shared" si="14"/>
        <v>-186.4141148</v>
      </c>
      <c r="Q96" s="27">
        <f t="shared" si="15"/>
        <v>427.0247896</v>
      </c>
      <c r="R96" s="26"/>
      <c r="S96" s="14">
        <f t="shared" si="13"/>
        <v>0.4856556487</v>
      </c>
    </row>
    <row r="97">
      <c r="A97" s="11">
        <v>85.0</v>
      </c>
      <c r="B97" s="11">
        <v>1.4197652173913E9</v>
      </c>
      <c r="C97" s="2">
        <v>-102.1234589</v>
      </c>
      <c r="D97" s="24">
        <f t="shared" si="1"/>
        <v>-634782.6087</v>
      </c>
      <c r="E97" s="25">
        <f t="shared" si="2"/>
        <v>133.1529392</v>
      </c>
      <c r="F97" s="24">
        <f t="shared" si="3"/>
        <v>0.0002097614795</v>
      </c>
      <c r="G97" s="24">
        <f t="shared" si="4"/>
        <v>0</v>
      </c>
      <c r="H97" s="26">
        <f t="shared" si="5"/>
        <v>0</v>
      </c>
      <c r="I97" s="24">
        <f t="shared" si="6"/>
        <v>0</v>
      </c>
      <c r="J97" s="24">
        <f t="shared" si="7"/>
        <v>0</v>
      </c>
      <c r="K97" s="24"/>
      <c r="L97" s="24">
        <f t="shared" si="8"/>
        <v>466.4018639</v>
      </c>
      <c r="M97" s="30">
        <f t="shared" si="9"/>
        <v>462.8201611</v>
      </c>
      <c r="N97" s="27">
        <f t="shared" si="10"/>
        <v>3.58170279</v>
      </c>
      <c r="O97" s="24"/>
      <c r="P97" s="28">
        <f t="shared" si="14"/>
        <v>-187.332411</v>
      </c>
      <c r="Q97" s="27">
        <f t="shared" si="15"/>
        <v>427.3204601</v>
      </c>
      <c r="R97" s="26"/>
      <c r="S97" s="14">
        <f t="shared" si="13"/>
        <v>3.289063813</v>
      </c>
    </row>
    <row r="98">
      <c r="A98" s="11">
        <v>86.0</v>
      </c>
      <c r="B98" s="11">
        <v>1.41976956521739E9</v>
      </c>
      <c r="C98" s="2">
        <v>-102.1347046</v>
      </c>
      <c r="D98" s="24">
        <f t="shared" si="1"/>
        <v>-630434.7826</v>
      </c>
      <c r="E98" s="25">
        <f t="shared" si="2"/>
        <v>132.234643</v>
      </c>
      <c r="F98" s="24">
        <f t="shared" si="3"/>
        <v>0.0002097515027</v>
      </c>
      <c r="G98" s="24">
        <f t="shared" si="4"/>
        <v>0</v>
      </c>
      <c r="H98" s="26">
        <f t="shared" si="5"/>
        <v>0</v>
      </c>
      <c r="I98" s="24">
        <f t="shared" si="6"/>
        <v>0</v>
      </c>
      <c r="J98" s="24">
        <f t="shared" si="7"/>
        <v>0</v>
      </c>
      <c r="K98" s="24"/>
      <c r="L98" s="24">
        <f t="shared" si="8"/>
        <v>465.1957168</v>
      </c>
      <c r="M98" s="30">
        <f t="shared" si="9"/>
        <v>462.7449259</v>
      </c>
      <c r="N98" s="27">
        <f t="shared" si="10"/>
        <v>2.450790873</v>
      </c>
      <c r="O98" s="24"/>
      <c r="P98" s="28">
        <f t="shared" si="14"/>
        <v>-188.2507071</v>
      </c>
      <c r="Q98" s="27">
        <f t="shared" si="15"/>
        <v>426.7585662</v>
      </c>
      <c r="R98" s="26"/>
      <c r="S98" s="14">
        <f t="shared" si="13"/>
        <v>2.250551781</v>
      </c>
    </row>
    <row r="99">
      <c r="A99" s="11">
        <v>87.0</v>
      </c>
      <c r="B99" s="11">
        <v>1.41977391304347E9</v>
      </c>
      <c r="C99" s="2">
        <v>-102.1078796</v>
      </c>
      <c r="D99" s="24">
        <f t="shared" si="1"/>
        <v>-626086.9565</v>
      </c>
      <c r="E99" s="25">
        <f t="shared" si="2"/>
        <v>131.3163469</v>
      </c>
      <c r="F99" s="24">
        <f t="shared" si="3"/>
        <v>0.0002097413874</v>
      </c>
      <c r="G99" s="24">
        <f t="shared" si="4"/>
        <v>0</v>
      </c>
      <c r="H99" s="26">
        <f t="shared" si="5"/>
        <v>0</v>
      </c>
      <c r="I99" s="24">
        <f t="shared" si="6"/>
        <v>0</v>
      </c>
      <c r="J99" s="24">
        <f t="shared" si="7"/>
        <v>0</v>
      </c>
      <c r="K99" s="24"/>
      <c r="L99" s="24">
        <f t="shared" si="8"/>
        <v>468.0779762</v>
      </c>
      <c r="M99" s="30">
        <f t="shared" si="9"/>
        <v>462.6695201</v>
      </c>
      <c r="N99" s="27">
        <f t="shared" si="10"/>
        <v>5.408456146</v>
      </c>
      <c r="O99" s="24"/>
      <c r="P99" s="28">
        <f t="shared" si="14"/>
        <v>-189.1690032</v>
      </c>
      <c r="Q99" s="27">
        <f t="shared" si="15"/>
        <v>424.9026086</v>
      </c>
      <c r="R99" s="26"/>
      <c r="S99" s="14">
        <f t="shared" si="13"/>
        <v>4.966564363</v>
      </c>
    </row>
    <row r="100">
      <c r="A100" s="11">
        <v>88.0</v>
      </c>
      <c r="B100" s="11">
        <v>1.41977826086956E9</v>
      </c>
      <c r="C100" s="2">
        <v>-102.1167221</v>
      </c>
      <c r="D100" s="24">
        <f t="shared" si="1"/>
        <v>-621739.1304</v>
      </c>
      <c r="E100" s="25">
        <f t="shared" si="2"/>
        <v>130.3980508</v>
      </c>
      <c r="F100" s="24">
        <f t="shared" si="3"/>
        <v>0.0002097311306</v>
      </c>
      <c r="G100" s="24">
        <f t="shared" si="4"/>
        <v>0</v>
      </c>
      <c r="H100" s="26">
        <f t="shared" si="5"/>
        <v>0</v>
      </c>
      <c r="I100" s="24">
        <f t="shared" si="6"/>
        <v>0</v>
      </c>
      <c r="J100" s="24">
        <f t="shared" si="7"/>
        <v>0</v>
      </c>
      <c r="K100" s="24"/>
      <c r="L100" s="24">
        <f t="shared" si="8"/>
        <v>467.1259105</v>
      </c>
      <c r="M100" s="30">
        <f t="shared" si="9"/>
        <v>462.5939437</v>
      </c>
      <c r="N100" s="27">
        <f t="shared" si="10"/>
        <v>4.531966788</v>
      </c>
      <c r="O100" s="24"/>
      <c r="P100" s="28">
        <f t="shared" si="14"/>
        <v>-190.0872994</v>
      </c>
      <c r="Q100" s="27">
        <f t="shared" si="15"/>
        <v>428.3825063</v>
      </c>
      <c r="R100" s="26"/>
      <c r="S100" s="14">
        <f t="shared" si="13"/>
        <v>4.161687566</v>
      </c>
    </row>
    <row r="101">
      <c r="A101" s="11">
        <v>89.0</v>
      </c>
      <c r="B101" s="11">
        <v>1.41978260869565E9</v>
      </c>
      <c r="C101" s="2">
        <v>-102.1804886</v>
      </c>
      <c r="D101" s="24">
        <f t="shared" si="1"/>
        <v>-617391.3043</v>
      </c>
      <c r="E101" s="25">
        <f t="shared" si="2"/>
        <v>129.4797546</v>
      </c>
      <c r="F101" s="24">
        <f t="shared" si="3"/>
        <v>0.0002097207293</v>
      </c>
      <c r="G101" s="24">
        <f t="shared" si="4"/>
        <v>0</v>
      </c>
      <c r="H101" s="26">
        <f t="shared" si="5"/>
        <v>0</v>
      </c>
      <c r="I101" s="24">
        <f t="shared" si="6"/>
        <v>0</v>
      </c>
      <c r="J101" s="24">
        <f t="shared" si="7"/>
        <v>0</v>
      </c>
      <c r="K101" s="24"/>
      <c r="L101" s="24">
        <f t="shared" si="8"/>
        <v>460.3173108</v>
      </c>
      <c r="M101" s="30">
        <f t="shared" si="9"/>
        <v>462.5181971</v>
      </c>
      <c r="N101" s="27">
        <f t="shared" si="10"/>
        <v>-2.200886258</v>
      </c>
      <c r="O101" s="24"/>
      <c r="P101" s="28">
        <f t="shared" si="14"/>
        <v>-191.0055955</v>
      </c>
      <c r="Q101" s="27">
        <f t="shared" si="15"/>
        <v>424.3170542</v>
      </c>
      <c r="R101" s="26"/>
      <c r="S101" s="14">
        <f t="shared" si="13"/>
        <v>-2.021065339</v>
      </c>
    </row>
    <row r="102">
      <c r="A102" s="11">
        <v>90.0</v>
      </c>
      <c r="B102" s="11">
        <v>1.41978695652173E9</v>
      </c>
      <c r="C102" s="2">
        <v>-102.1929398</v>
      </c>
      <c r="D102" s="24">
        <f t="shared" si="1"/>
        <v>-613043.4783</v>
      </c>
      <c r="E102" s="25">
        <f t="shared" si="2"/>
        <v>128.5614585</v>
      </c>
      <c r="F102" s="24">
        <f t="shared" si="3"/>
        <v>0.0002097101805</v>
      </c>
      <c r="G102" s="24">
        <f t="shared" si="4"/>
        <v>0</v>
      </c>
      <c r="H102" s="26">
        <f t="shared" si="5"/>
        <v>0</v>
      </c>
      <c r="I102" s="24">
        <f t="shared" si="6"/>
        <v>0</v>
      </c>
      <c r="J102" s="24">
        <f t="shared" si="7"/>
        <v>0</v>
      </c>
      <c r="K102" s="24"/>
      <c r="L102" s="24">
        <f t="shared" si="8"/>
        <v>458.9994735</v>
      </c>
      <c r="M102" s="30">
        <f t="shared" si="9"/>
        <v>462.4422802</v>
      </c>
      <c r="N102" s="27">
        <f t="shared" si="10"/>
        <v>-3.442806683</v>
      </c>
      <c r="O102" s="24"/>
      <c r="P102" s="28">
        <f t="shared" si="14"/>
        <v>-191.9238916</v>
      </c>
      <c r="Q102" s="27">
        <f t="shared" si="15"/>
        <v>428.1109118</v>
      </c>
      <c r="R102" s="26"/>
      <c r="S102" s="14">
        <f t="shared" si="13"/>
        <v>-3.161516063</v>
      </c>
    </row>
    <row r="103">
      <c r="A103" s="11">
        <v>91.0</v>
      </c>
      <c r="B103" s="11">
        <v>1.41979130434782E9</v>
      </c>
      <c r="C103" s="2">
        <v>-102.1688614</v>
      </c>
      <c r="D103" s="24">
        <f t="shared" si="1"/>
        <v>-608695.6522</v>
      </c>
      <c r="E103" s="25">
        <f t="shared" si="2"/>
        <v>127.6431624</v>
      </c>
      <c r="F103" s="24">
        <f t="shared" si="3"/>
        <v>0.000209699481</v>
      </c>
      <c r="G103" s="24">
        <f t="shared" si="4"/>
        <v>0</v>
      </c>
      <c r="H103" s="26">
        <f t="shared" si="5"/>
        <v>0</v>
      </c>
      <c r="I103" s="24">
        <f t="shared" si="6"/>
        <v>0</v>
      </c>
      <c r="J103" s="24">
        <f t="shared" si="7"/>
        <v>0</v>
      </c>
      <c r="K103" s="24"/>
      <c r="L103" s="24">
        <f t="shared" si="8"/>
        <v>461.5513519</v>
      </c>
      <c r="M103" s="30">
        <f t="shared" si="9"/>
        <v>462.3661933</v>
      </c>
      <c r="N103" s="27">
        <f t="shared" si="10"/>
        <v>-0.8148413477</v>
      </c>
      <c r="O103" s="24"/>
      <c r="P103" s="28">
        <f t="shared" si="14"/>
        <v>-192.8421877</v>
      </c>
      <c r="Q103" s="27">
        <f t="shared" si="15"/>
        <v>433.2831074</v>
      </c>
      <c r="R103" s="26"/>
      <c r="S103" s="14">
        <f t="shared" si="13"/>
        <v>-0.7482656585</v>
      </c>
    </row>
    <row r="104">
      <c r="A104" s="11">
        <v>92.0</v>
      </c>
      <c r="B104" s="11">
        <v>1.41979565217391E9</v>
      </c>
      <c r="C104" s="2">
        <v>-102.2204819</v>
      </c>
      <c r="D104" s="24">
        <f t="shared" si="1"/>
        <v>-604347.8261</v>
      </c>
      <c r="E104" s="25">
        <f t="shared" si="2"/>
        <v>126.7248662</v>
      </c>
      <c r="F104" s="24">
        <f t="shared" si="3"/>
        <v>0.0002096886276</v>
      </c>
      <c r="G104" s="24">
        <f t="shared" si="4"/>
        <v>0</v>
      </c>
      <c r="H104" s="26">
        <f t="shared" si="5"/>
        <v>0</v>
      </c>
      <c r="I104" s="24">
        <f t="shared" si="6"/>
        <v>0</v>
      </c>
      <c r="J104" s="24">
        <f t="shared" si="7"/>
        <v>0</v>
      </c>
      <c r="K104" s="24"/>
      <c r="L104" s="24">
        <f t="shared" si="8"/>
        <v>456.0978</v>
      </c>
      <c r="M104" s="30">
        <f t="shared" si="9"/>
        <v>462.2899364</v>
      </c>
      <c r="N104" s="27">
        <f t="shared" si="10"/>
        <v>-6.192136449</v>
      </c>
      <c r="O104" s="24"/>
      <c r="P104" s="28">
        <f t="shared" si="14"/>
        <v>-193.7604839</v>
      </c>
      <c r="Q104" s="27">
        <f t="shared" si="15"/>
        <v>425.8396708</v>
      </c>
      <c r="R104" s="26"/>
      <c r="S104" s="14">
        <f t="shared" si="13"/>
        <v>-5.686214942</v>
      </c>
    </row>
    <row r="105">
      <c r="A105" s="11">
        <v>93.0</v>
      </c>
      <c r="B105" s="11">
        <v>1.4198E9</v>
      </c>
      <c r="C105" s="2">
        <v>-102.1274261</v>
      </c>
      <c r="D105" s="24">
        <f t="shared" si="1"/>
        <v>-600000</v>
      </c>
      <c r="E105" s="25">
        <f t="shared" si="2"/>
        <v>125.8065701</v>
      </c>
      <c r="F105" s="24">
        <f t="shared" si="3"/>
        <v>0.0002096776168</v>
      </c>
      <c r="G105" s="24">
        <f t="shared" si="4"/>
        <v>0</v>
      </c>
      <c r="H105" s="26">
        <f t="shared" si="5"/>
        <v>0</v>
      </c>
      <c r="I105" s="24">
        <f t="shared" si="6"/>
        <v>0</v>
      </c>
      <c r="J105" s="24">
        <f t="shared" si="7"/>
        <v>0</v>
      </c>
      <c r="K105" s="24"/>
      <c r="L105" s="24">
        <f t="shared" si="8"/>
        <v>465.976009</v>
      </c>
      <c r="M105" s="30">
        <f t="shared" si="9"/>
        <v>462.2135098</v>
      </c>
      <c r="N105" s="27">
        <f t="shared" si="10"/>
        <v>3.762499187</v>
      </c>
      <c r="O105" s="24"/>
      <c r="P105" s="28">
        <f t="shared" si="14"/>
        <v>-194.67878</v>
      </c>
      <c r="Q105" s="27">
        <f t="shared" si="15"/>
        <v>422.3937927</v>
      </c>
      <c r="R105" s="26"/>
      <c r="S105" s="14">
        <f t="shared" si="13"/>
        <v>3.455088453</v>
      </c>
    </row>
    <row r="106">
      <c r="A106" s="11">
        <v>94.0</v>
      </c>
      <c r="B106" s="11">
        <v>1.41980434782608E9</v>
      </c>
      <c r="C106" s="2">
        <v>-102.2197952</v>
      </c>
      <c r="D106" s="24">
        <f t="shared" si="1"/>
        <v>-595652.1739</v>
      </c>
      <c r="E106" s="25">
        <f t="shared" si="2"/>
        <v>124.888274</v>
      </c>
      <c r="F106" s="24">
        <f t="shared" si="3"/>
        <v>0.0002096664454</v>
      </c>
      <c r="G106" s="24">
        <f t="shared" si="4"/>
        <v>0</v>
      </c>
      <c r="H106" s="26">
        <f t="shared" si="5"/>
        <v>0</v>
      </c>
      <c r="I106" s="24">
        <f t="shared" si="6"/>
        <v>0</v>
      </c>
      <c r="J106" s="24">
        <f t="shared" si="7"/>
        <v>0</v>
      </c>
      <c r="K106" s="24"/>
      <c r="L106" s="24">
        <f t="shared" si="8"/>
        <v>456.1699232</v>
      </c>
      <c r="M106" s="30">
        <f t="shared" si="9"/>
        <v>462.1369135</v>
      </c>
      <c r="N106" s="27">
        <f t="shared" si="10"/>
        <v>-5.966990347</v>
      </c>
      <c r="O106" s="24"/>
      <c r="P106" s="28">
        <f t="shared" si="14"/>
        <v>-195.5970761</v>
      </c>
      <c r="Q106" s="27">
        <f t="shared" si="15"/>
        <v>422.0459211</v>
      </c>
      <c r="R106" s="26"/>
      <c r="S106" s="14">
        <f t="shared" si="13"/>
        <v>-5.479464161</v>
      </c>
    </row>
    <row r="107">
      <c r="A107" s="11">
        <v>95.0</v>
      </c>
      <c r="B107" s="11">
        <v>1.41980869565217E9</v>
      </c>
      <c r="C107" s="2">
        <v>-102.2117615</v>
      </c>
      <c r="D107" s="24">
        <f t="shared" si="1"/>
        <v>-591304.3478</v>
      </c>
      <c r="E107" s="25">
        <f t="shared" si="2"/>
        <v>123.9699778</v>
      </c>
      <c r="F107" s="24">
        <f t="shared" si="3"/>
        <v>0.0002096551096</v>
      </c>
      <c r="G107" s="24">
        <f t="shared" si="4"/>
        <v>0</v>
      </c>
      <c r="H107" s="26">
        <f t="shared" si="5"/>
        <v>0</v>
      </c>
      <c r="I107" s="24">
        <f t="shared" si="6"/>
        <v>0</v>
      </c>
      <c r="J107" s="24">
        <f t="shared" si="7"/>
        <v>0</v>
      </c>
      <c r="K107" s="24"/>
      <c r="L107" s="24">
        <f t="shared" si="8"/>
        <v>457.0145399</v>
      </c>
      <c r="M107" s="30">
        <f t="shared" si="9"/>
        <v>462.0601478</v>
      </c>
      <c r="N107" s="27">
        <f t="shared" si="10"/>
        <v>-5.045607827</v>
      </c>
      <c r="O107" s="24"/>
      <c r="P107" s="28">
        <f t="shared" si="14"/>
        <v>-196.5153723</v>
      </c>
      <c r="Q107" s="27">
        <f t="shared" si="15"/>
        <v>423.6117397</v>
      </c>
      <c r="R107" s="26"/>
      <c r="S107" s="14">
        <f t="shared" si="13"/>
        <v>-4.633362144</v>
      </c>
    </row>
    <row r="108">
      <c r="A108" s="11">
        <v>96.0</v>
      </c>
      <c r="B108" s="11">
        <v>1.41981304347826E9</v>
      </c>
      <c r="C108" s="2">
        <v>-102.1513214</v>
      </c>
      <c r="D108" s="24">
        <f t="shared" si="1"/>
        <v>-586956.5217</v>
      </c>
      <c r="E108" s="25">
        <f t="shared" si="2"/>
        <v>123.0516817</v>
      </c>
      <c r="F108" s="24">
        <f t="shared" si="3"/>
        <v>0.0002096436059</v>
      </c>
      <c r="G108" s="24">
        <f t="shared" si="4"/>
        <v>0</v>
      </c>
      <c r="H108" s="26">
        <f t="shared" si="5"/>
        <v>0</v>
      </c>
      <c r="I108" s="24">
        <f t="shared" si="6"/>
        <v>0</v>
      </c>
      <c r="J108" s="24">
        <f t="shared" si="7"/>
        <v>0</v>
      </c>
      <c r="K108" s="24"/>
      <c r="L108" s="24">
        <f t="shared" si="8"/>
        <v>463.4192045</v>
      </c>
      <c r="M108" s="30">
        <f t="shared" si="9"/>
        <v>461.9832126</v>
      </c>
      <c r="N108" s="27">
        <f t="shared" si="10"/>
        <v>1.435991876</v>
      </c>
      <c r="O108" s="24"/>
      <c r="P108" s="28">
        <f t="shared" si="14"/>
        <v>-197.4336684</v>
      </c>
      <c r="Q108" s="27">
        <f t="shared" si="15"/>
        <v>427.7012282</v>
      </c>
      <c r="R108" s="26"/>
      <c r="S108" s="14">
        <f t="shared" si="13"/>
        <v>1.318665786</v>
      </c>
    </row>
    <row r="109">
      <c r="A109" s="11">
        <v>97.0</v>
      </c>
      <c r="B109" s="11">
        <v>1.41981739130434E9</v>
      </c>
      <c r="C109" s="2">
        <v>-102.1905594</v>
      </c>
      <c r="D109" s="24">
        <f t="shared" si="1"/>
        <v>-582608.6957</v>
      </c>
      <c r="E109" s="25">
        <f t="shared" si="2"/>
        <v>122.1333856</v>
      </c>
      <c r="F109" s="24">
        <f t="shared" si="3"/>
        <v>0.0002096319305</v>
      </c>
      <c r="G109" s="24">
        <f t="shared" si="4"/>
        <v>0</v>
      </c>
      <c r="H109" s="26">
        <f t="shared" si="5"/>
        <v>0</v>
      </c>
      <c r="I109" s="24">
        <f t="shared" si="6"/>
        <v>0</v>
      </c>
      <c r="J109" s="24">
        <f t="shared" si="7"/>
        <v>0</v>
      </c>
      <c r="K109" s="24"/>
      <c r="L109" s="24">
        <f t="shared" si="8"/>
        <v>459.2511235</v>
      </c>
      <c r="M109" s="30">
        <f t="shared" si="9"/>
        <v>461.9061083</v>
      </c>
      <c r="N109" s="27">
        <f t="shared" si="10"/>
        <v>-2.654984836</v>
      </c>
      <c r="O109" s="24"/>
      <c r="P109" s="28">
        <f t="shared" si="14"/>
        <v>-198.3519645</v>
      </c>
      <c r="Q109" s="27">
        <f t="shared" si="15"/>
        <v>424.7667733</v>
      </c>
      <c r="R109" s="26"/>
      <c r="S109" s="14">
        <f t="shared" si="13"/>
        <v>-2.438062308</v>
      </c>
    </row>
    <row r="110">
      <c r="A110" s="11">
        <v>98.0</v>
      </c>
      <c r="B110" s="11">
        <v>1.41982173913043E9</v>
      </c>
      <c r="C110" s="2">
        <v>-102.1748581</v>
      </c>
      <c r="D110" s="24">
        <f t="shared" si="1"/>
        <v>-578260.8696</v>
      </c>
      <c r="E110" s="25">
        <f t="shared" si="2"/>
        <v>121.2150894</v>
      </c>
      <c r="F110" s="24">
        <f t="shared" si="3"/>
        <v>0.0002096200795</v>
      </c>
      <c r="G110" s="24">
        <f t="shared" si="4"/>
        <v>0</v>
      </c>
      <c r="H110" s="26">
        <f t="shared" si="5"/>
        <v>0</v>
      </c>
      <c r="I110" s="24">
        <f t="shared" si="6"/>
        <v>0</v>
      </c>
      <c r="J110" s="24">
        <f t="shared" si="7"/>
        <v>0</v>
      </c>
      <c r="K110" s="24"/>
      <c r="L110" s="24">
        <f t="shared" si="8"/>
        <v>460.9144857</v>
      </c>
      <c r="M110" s="30">
        <f t="shared" si="9"/>
        <v>461.8288349</v>
      </c>
      <c r="N110" s="27">
        <f t="shared" si="10"/>
        <v>-0.9143492076</v>
      </c>
      <c r="O110" s="24"/>
      <c r="P110" s="28">
        <f t="shared" si="14"/>
        <v>-199.2702607</v>
      </c>
      <c r="Q110" s="27">
        <f t="shared" si="15"/>
        <v>427.1786091</v>
      </c>
      <c r="R110" s="26"/>
      <c r="S110" s="14">
        <f t="shared" si="13"/>
        <v>-0.8396433394</v>
      </c>
    </row>
    <row r="111">
      <c r="A111" s="11">
        <v>99.0</v>
      </c>
      <c r="B111" s="11">
        <v>1.41982608695652E9</v>
      </c>
      <c r="C111" s="2">
        <v>-102.1532211</v>
      </c>
      <c r="D111" s="24">
        <f t="shared" si="1"/>
        <v>-573913.0435</v>
      </c>
      <c r="E111" s="25">
        <f t="shared" si="2"/>
        <v>120.2967933</v>
      </c>
      <c r="F111" s="24">
        <f t="shared" si="3"/>
        <v>0.000209608049</v>
      </c>
      <c r="G111" s="24">
        <f t="shared" si="4"/>
        <v>0</v>
      </c>
      <c r="H111" s="26">
        <f t="shared" si="5"/>
        <v>0</v>
      </c>
      <c r="I111" s="24">
        <f t="shared" si="6"/>
        <v>0</v>
      </c>
      <c r="J111" s="24">
        <f t="shared" si="7"/>
        <v>0</v>
      </c>
      <c r="K111" s="24"/>
      <c r="L111" s="24">
        <f t="shared" si="8"/>
        <v>463.216539</v>
      </c>
      <c r="M111" s="30">
        <f t="shared" si="9"/>
        <v>461.7513925</v>
      </c>
      <c r="N111" s="27">
        <f t="shared" si="10"/>
        <v>1.465146539</v>
      </c>
      <c r="O111" s="24"/>
      <c r="P111" s="28">
        <f t="shared" si="14"/>
        <v>-200.1885568</v>
      </c>
      <c r="Q111" s="27">
        <f t="shared" si="15"/>
        <v>428.3832559</v>
      </c>
      <c r="R111" s="26"/>
      <c r="S111" s="14">
        <f t="shared" si="13"/>
        <v>1.3454384</v>
      </c>
    </row>
    <row r="112">
      <c r="A112" s="11">
        <v>100.0</v>
      </c>
      <c r="B112" s="11">
        <v>1.4198304347826E9</v>
      </c>
      <c r="C112" s="2">
        <v>-102.181366</v>
      </c>
      <c r="D112" s="24">
        <f t="shared" si="1"/>
        <v>-569565.2174</v>
      </c>
      <c r="E112" s="25">
        <f t="shared" si="2"/>
        <v>119.3784972</v>
      </c>
      <c r="F112" s="24">
        <f t="shared" si="3"/>
        <v>0.0002095958347</v>
      </c>
      <c r="G112" s="24">
        <f t="shared" si="4"/>
        <v>0</v>
      </c>
      <c r="H112" s="26">
        <f t="shared" si="5"/>
        <v>0</v>
      </c>
      <c r="I112" s="24">
        <f t="shared" si="6"/>
        <v>0</v>
      </c>
      <c r="J112" s="24">
        <f t="shared" si="7"/>
        <v>0</v>
      </c>
      <c r="K112" s="24"/>
      <c r="L112" s="24">
        <f t="shared" si="8"/>
        <v>460.2243228</v>
      </c>
      <c r="M112" s="30">
        <f t="shared" si="9"/>
        <v>461.6737813</v>
      </c>
      <c r="N112" s="27">
        <f t="shared" si="10"/>
        <v>-1.449458505</v>
      </c>
      <c r="O112" s="24"/>
      <c r="P112" s="28">
        <f t="shared" si="14"/>
        <v>-201.1068529</v>
      </c>
      <c r="Q112" s="27">
        <f t="shared" si="15"/>
        <v>431.1267869</v>
      </c>
      <c r="R112" s="26"/>
      <c r="S112" s="14">
        <f t="shared" si="13"/>
        <v>-1.33103214</v>
      </c>
      <c r="U112" s="21"/>
      <c r="V112" s="21"/>
    </row>
    <row r="113">
      <c r="A113" s="11">
        <v>101.0</v>
      </c>
      <c r="B113" s="11">
        <v>1.41983478260869E9</v>
      </c>
      <c r="C113" s="2">
        <v>-102.1398468</v>
      </c>
      <c r="D113" s="24">
        <f t="shared" si="1"/>
        <v>-565217.3913</v>
      </c>
      <c r="E113" s="25">
        <f t="shared" si="2"/>
        <v>118.460201</v>
      </c>
      <c r="F113" s="24">
        <f t="shared" si="3"/>
        <v>0.0002095834326</v>
      </c>
      <c r="G113" s="24">
        <f t="shared" si="4"/>
        <v>0</v>
      </c>
      <c r="H113" s="26">
        <f t="shared" si="5"/>
        <v>0</v>
      </c>
      <c r="I113" s="24">
        <f t="shared" si="6"/>
        <v>0</v>
      </c>
      <c r="J113" s="24">
        <f t="shared" si="7"/>
        <v>0</v>
      </c>
      <c r="K113" s="24"/>
      <c r="L113" s="24">
        <f t="shared" si="8"/>
        <v>464.6452346</v>
      </c>
      <c r="M113" s="30">
        <f t="shared" si="9"/>
        <v>461.5960015</v>
      </c>
      <c r="N113" s="27">
        <f t="shared" si="10"/>
        <v>3.049233081</v>
      </c>
      <c r="O113" s="24"/>
      <c r="P113" s="28">
        <f t="shared" si="14"/>
        <v>-202.0251491</v>
      </c>
      <c r="Q113" s="27">
        <f t="shared" si="15"/>
        <v>428.4630326</v>
      </c>
      <c r="R113" s="26"/>
      <c r="S113" s="14">
        <f t="shared" si="13"/>
        <v>2.800098946</v>
      </c>
      <c r="U113" s="21"/>
      <c r="V113" s="21"/>
    </row>
    <row r="114">
      <c r="A114" s="11">
        <v>102.0</v>
      </c>
      <c r="B114" s="11">
        <v>1.41983913043478E9</v>
      </c>
      <c r="C114" s="2">
        <v>-102.1475906</v>
      </c>
      <c r="D114" s="24">
        <f t="shared" si="1"/>
        <v>-560869.5652</v>
      </c>
      <c r="E114" s="25">
        <f t="shared" si="2"/>
        <v>117.5419049</v>
      </c>
      <c r="F114" s="24">
        <f t="shared" si="3"/>
        <v>0.0002095708382</v>
      </c>
      <c r="G114" s="24">
        <f t="shared" si="4"/>
        <v>0</v>
      </c>
      <c r="H114" s="26">
        <f t="shared" si="5"/>
        <v>0</v>
      </c>
      <c r="I114" s="24">
        <f t="shared" si="6"/>
        <v>0</v>
      </c>
      <c r="J114" s="24">
        <f t="shared" si="7"/>
        <v>0</v>
      </c>
      <c r="K114" s="24"/>
      <c r="L114" s="24">
        <f t="shared" si="8"/>
        <v>463.8174751</v>
      </c>
      <c r="M114" s="30">
        <f t="shared" si="9"/>
        <v>461.5180532</v>
      </c>
      <c r="N114" s="27">
        <f t="shared" si="10"/>
        <v>2.29942193</v>
      </c>
      <c r="O114" s="24"/>
      <c r="P114" s="28">
        <f t="shared" si="14"/>
        <v>-202.9434452</v>
      </c>
      <c r="Q114" s="27">
        <f t="shared" si="15"/>
        <v>427.4398388</v>
      </c>
      <c r="R114" s="26"/>
      <c r="S114" s="14">
        <f t="shared" si="13"/>
        <v>2.111550261</v>
      </c>
      <c r="U114" s="21"/>
      <c r="V114" s="21"/>
    </row>
    <row r="115">
      <c r="A115" s="11">
        <v>103.0</v>
      </c>
      <c r="B115" s="11">
        <v>1.41984347826087E9</v>
      </c>
      <c r="C115" s="2">
        <v>-102.1220169</v>
      </c>
      <c r="D115" s="24">
        <f t="shared" si="1"/>
        <v>-556521.7391</v>
      </c>
      <c r="E115" s="25">
        <f t="shared" si="2"/>
        <v>116.6236088</v>
      </c>
      <c r="F115" s="24">
        <f t="shared" si="3"/>
        <v>0.000209558047</v>
      </c>
      <c r="G115" s="24">
        <f t="shared" si="4"/>
        <v>0</v>
      </c>
      <c r="H115" s="26">
        <f t="shared" si="5"/>
        <v>0</v>
      </c>
      <c r="I115" s="24">
        <f t="shared" si="6"/>
        <v>0</v>
      </c>
      <c r="J115" s="24">
        <f t="shared" si="7"/>
        <v>0</v>
      </c>
      <c r="K115" s="24"/>
      <c r="L115" s="24">
        <f t="shared" si="8"/>
        <v>466.5567504</v>
      </c>
      <c r="M115" s="30">
        <f t="shared" si="9"/>
        <v>461.4399364</v>
      </c>
      <c r="N115" s="27">
        <f t="shared" si="10"/>
        <v>5.116813913</v>
      </c>
      <c r="O115" s="24"/>
      <c r="P115" s="28">
        <f t="shared" si="14"/>
        <v>-203.8617413</v>
      </c>
      <c r="Q115" s="27">
        <f t="shared" si="15"/>
        <v>430.0277258</v>
      </c>
      <c r="R115" s="26"/>
      <c r="S115" s="14">
        <f t="shared" si="13"/>
        <v>4.698750428</v>
      </c>
      <c r="U115" s="21"/>
      <c r="V115" s="21"/>
    </row>
    <row r="116">
      <c r="A116" s="11">
        <v>104.0</v>
      </c>
      <c r="B116" s="11">
        <v>1.41984782608695E9</v>
      </c>
      <c r="C116" s="2">
        <v>-102.1545944</v>
      </c>
      <c r="D116" s="24">
        <f t="shared" si="1"/>
        <v>-552173.913</v>
      </c>
      <c r="E116" s="25">
        <f t="shared" si="2"/>
        <v>115.7053126</v>
      </c>
      <c r="F116" s="24">
        <f t="shared" si="3"/>
        <v>0.0002095450544</v>
      </c>
      <c r="G116" s="24">
        <f t="shared" si="4"/>
        <v>0</v>
      </c>
      <c r="H116" s="26">
        <f t="shared" si="5"/>
        <v>0</v>
      </c>
      <c r="I116" s="24">
        <f t="shared" si="6"/>
        <v>0</v>
      </c>
      <c r="J116" s="24">
        <f t="shared" si="7"/>
        <v>0</v>
      </c>
      <c r="K116" s="24"/>
      <c r="L116" s="24">
        <f t="shared" si="8"/>
        <v>463.0700866</v>
      </c>
      <c r="M116" s="30">
        <f t="shared" si="9"/>
        <v>461.3616515</v>
      </c>
      <c r="N116" s="27">
        <f t="shared" si="10"/>
        <v>1.708435159</v>
      </c>
      <c r="O116" s="24"/>
      <c r="P116" s="28">
        <f t="shared" si="14"/>
        <v>-204.7800375</v>
      </c>
      <c r="Q116" s="27">
        <f t="shared" si="15"/>
        <v>425.7214938</v>
      </c>
      <c r="R116" s="26"/>
      <c r="S116" s="14">
        <f t="shared" si="13"/>
        <v>1.5688494</v>
      </c>
      <c r="U116" s="21"/>
      <c r="V116" s="21"/>
    </row>
    <row r="117">
      <c r="A117" s="11">
        <v>105.0</v>
      </c>
      <c r="B117" s="11">
        <v>1.41985217391304E9</v>
      </c>
      <c r="C117" s="2">
        <v>-102.2207413</v>
      </c>
      <c r="D117" s="24">
        <f t="shared" si="1"/>
        <v>-547826.087</v>
      </c>
      <c r="E117" s="25">
        <f t="shared" si="2"/>
        <v>114.7870165</v>
      </c>
      <c r="F117" s="24">
        <f t="shared" si="3"/>
        <v>0.0002095318555</v>
      </c>
      <c r="G117" s="24">
        <f t="shared" si="4"/>
        <v>0</v>
      </c>
      <c r="H117" s="26">
        <f t="shared" si="5"/>
        <v>0</v>
      </c>
      <c r="I117" s="24">
        <f t="shared" si="6"/>
        <v>0</v>
      </c>
      <c r="J117" s="24">
        <f t="shared" si="7"/>
        <v>0</v>
      </c>
      <c r="K117" s="24"/>
      <c r="L117" s="24">
        <f t="shared" si="8"/>
        <v>456.0705585</v>
      </c>
      <c r="M117" s="30">
        <f t="shared" si="9"/>
        <v>461.2831984</v>
      </c>
      <c r="N117" s="27">
        <f t="shared" si="10"/>
        <v>-5.212639925</v>
      </c>
      <c r="O117" s="24"/>
      <c r="P117" s="28">
        <f t="shared" si="14"/>
        <v>-205.6983336</v>
      </c>
      <c r="Q117" s="27">
        <f t="shared" si="15"/>
        <v>425.3522039</v>
      </c>
      <c r="R117" s="26"/>
      <c r="S117" s="14">
        <f t="shared" si="13"/>
        <v>-4.786747074</v>
      </c>
      <c r="U117" s="21"/>
      <c r="V117" s="21"/>
    </row>
    <row r="118">
      <c r="A118" s="11">
        <v>106.0</v>
      </c>
      <c r="B118" s="11">
        <v>1.41985652173913E9</v>
      </c>
      <c r="C118" s="2">
        <v>-102.2180405</v>
      </c>
      <c r="D118" s="24">
        <f t="shared" si="1"/>
        <v>-543478.2609</v>
      </c>
      <c r="E118" s="25">
        <f t="shared" si="2"/>
        <v>113.8687204</v>
      </c>
      <c r="F118" s="24">
        <f t="shared" si="3"/>
        <v>0.0002095184455</v>
      </c>
      <c r="G118" s="24">
        <f t="shared" si="4"/>
        <v>0</v>
      </c>
      <c r="H118" s="26">
        <f t="shared" si="5"/>
        <v>0</v>
      </c>
      <c r="I118" s="24">
        <f t="shared" si="6"/>
        <v>0</v>
      </c>
      <c r="J118" s="24">
        <f t="shared" si="7"/>
        <v>0</v>
      </c>
      <c r="K118" s="24"/>
      <c r="L118" s="24">
        <f t="shared" si="8"/>
        <v>456.3542688</v>
      </c>
      <c r="M118" s="30">
        <f t="shared" si="9"/>
        <v>461.2045774</v>
      </c>
      <c r="N118" s="27">
        <f t="shared" si="10"/>
        <v>-4.850308535</v>
      </c>
      <c r="O118" s="24"/>
      <c r="P118" s="28">
        <f t="shared" si="14"/>
        <v>-206.6166297</v>
      </c>
      <c r="Q118" s="27">
        <f t="shared" si="15"/>
        <v>425.3088672</v>
      </c>
      <c r="R118" s="26"/>
      <c r="S118" s="14">
        <f t="shared" si="13"/>
        <v>-4.45401957</v>
      </c>
      <c r="U118" s="21"/>
      <c r="V118" s="21"/>
    </row>
    <row r="119">
      <c r="A119" s="11">
        <v>107.0</v>
      </c>
      <c r="B119" s="11">
        <v>1.41986086956521E9</v>
      </c>
      <c r="C119" s="2">
        <v>-102.2074585</v>
      </c>
      <c r="D119" s="24">
        <f t="shared" si="1"/>
        <v>-539130.4348</v>
      </c>
      <c r="E119" s="25">
        <f t="shared" si="2"/>
        <v>112.9504243</v>
      </c>
      <c r="F119" s="24">
        <f t="shared" si="3"/>
        <v>0.0002095048192</v>
      </c>
      <c r="G119" s="24">
        <f t="shared" si="4"/>
        <v>0</v>
      </c>
      <c r="H119" s="26">
        <f t="shared" si="5"/>
        <v>0</v>
      </c>
      <c r="I119" s="24">
        <f t="shared" si="6"/>
        <v>0</v>
      </c>
      <c r="J119" s="24">
        <f t="shared" si="7"/>
        <v>0</v>
      </c>
      <c r="K119" s="24"/>
      <c r="L119" s="24">
        <f t="shared" si="8"/>
        <v>457.4675754</v>
      </c>
      <c r="M119" s="30">
        <f t="shared" si="9"/>
        <v>461.1257885</v>
      </c>
      <c r="N119" s="27">
        <f t="shared" si="10"/>
        <v>-3.658213119</v>
      </c>
      <c r="O119" s="24"/>
      <c r="P119" s="28">
        <f t="shared" si="14"/>
        <v>-207.5349259</v>
      </c>
      <c r="Q119" s="27">
        <f t="shared" si="15"/>
        <v>428.684378</v>
      </c>
      <c r="R119" s="26"/>
      <c r="S119" s="14">
        <f t="shared" si="13"/>
        <v>-3.359322961</v>
      </c>
      <c r="U119" s="21"/>
      <c r="V119" s="21"/>
    </row>
    <row r="120">
      <c r="A120" s="11">
        <v>108.0</v>
      </c>
      <c r="B120" s="11">
        <v>1.4198652173913E9</v>
      </c>
      <c r="C120" s="2">
        <v>-102.1783218</v>
      </c>
      <c r="D120" s="24">
        <f t="shared" si="1"/>
        <v>-534782.6087</v>
      </c>
      <c r="E120" s="25">
        <f t="shared" si="2"/>
        <v>112.0321281</v>
      </c>
      <c r="F120" s="24">
        <f t="shared" si="3"/>
        <v>0.0002094909713</v>
      </c>
      <c r="G120" s="24">
        <f t="shared" si="4"/>
        <v>0</v>
      </c>
      <c r="H120" s="26">
        <f t="shared" si="5"/>
        <v>0</v>
      </c>
      <c r="I120" s="24">
        <f t="shared" si="6"/>
        <v>0</v>
      </c>
      <c r="J120" s="24">
        <f t="shared" si="7"/>
        <v>0</v>
      </c>
      <c r="K120" s="24"/>
      <c r="L120" s="24">
        <f t="shared" si="8"/>
        <v>460.5470315</v>
      </c>
      <c r="M120" s="30">
        <f t="shared" si="9"/>
        <v>461.046832</v>
      </c>
      <c r="N120" s="27">
        <f t="shared" si="10"/>
        <v>-0.4998004845</v>
      </c>
      <c r="O120" s="24"/>
      <c r="P120" s="28">
        <f t="shared" si="14"/>
        <v>-208.453222</v>
      </c>
      <c r="Q120" s="27">
        <f t="shared" si="15"/>
        <v>422.2587594</v>
      </c>
      <c r="R120" s="26"/>
      <c r="S120" s="14">
        <f t="shared" si="13"/>
        <v>-0.458964851</v>
      </c>
      <c r="U120" s="21"/>
      <c r="V120" s="21"/>
    </row>
    <row r="121">
      <c r="A121" s="11">
        <v>109.0</v>
      </c>
      <c r="B121" s="11">
        <v>1.41986956521739E9</v>
      </c>
      <c r="C121" s="2">
        <v>-102.157402</v>
      </c>
      <c r="D121" s="24">
        <f t="shared" si="1"/>
        <v>-530434.7826</v>
      </c>
      <c r="E121" s="25">
        <f t="shared" si="2"/>
        <v>111.113832</v>
      </c>
      <c r="F121" s="24">
        <f t="shared" si="3"/>
        <v>0.0002094768964</v>
      </c>
      <c r="G121" s="24">
        <f t="shared" si="4"/>
        <v>0</v>
      </c>
      <c r="H121" s="26">
        <f t="shared" si="5"/>
        <v>0</v>
      </c>
      <c r="I121" s="24">
        <f t="shared" si="6"/>
        <v>0</v>
      </c>
      <c r="J121" s="24">
        <f t="shared" si="7"/>
        <v>0</v>
      </c>
      <c r="K121" s="24"/>
      <c r="L121" s="24">
        <f t="shared" si="8"/>
        <v>462.7708207</v>
      </c>
      <c r="M121" s="30">
        <f t="shared" si="9"/>
        <v>460.9677079</v>
      </c>
      <c r="N121" s="27">
        <f t="shared" si="10"/>
        <v>1.803112774</v>
      </c>
      <c r="O121" s="24"/>
      <c r="P121" s="28">
        <f t="shared" si="14"/>
        <v>-209.3715181</v>
      </c>
      <c r="Q121" s="27">
        <f t="shared" si="15"/>
        <v>418.9021963</v>
      </c>
      <c r="R121" s="26"/>
      <c r="S121" s="14">
        <f t="shared" si="13"/>
        <v>1.655791487</v>
      </c>
      <c r="U121" s="21"/>
      <c r="V121" s="21"/>
    </row>
    <row r="122">
      <c r="A122" s="11">
        <v>110.0</v>
      </c>
      <c r="B122" s="11">
        <v>1.41987391304347E9</v>
      </c>
      <c r="C122" s="2">
        <v>-102.28862</v>
      </c>
      <c r="D122" s="24">
        <f t="shared" si="1"/>
        <v>-526086.9565</v>
      </c>
      <c r="E122" s="25">
        <f t="shared" si="2"/>
        <v>110.1955359</v>
      </c>
      <c r="F122" s="24">
        <f t="shared" si="3"/>
        <v>0.0002094625888</v>
      </c>
      <c r="G122" s="24">
        <f t="shared" si="4"/>
        <v>0</v>
      </c>
      <c r="H122" s="26">
        <f t="shared" si="5"/>
        <v>0</v>
      </c>
      <c r="I122" s="24">
        <f t="shared" si="6"/>
        <v>0</v>
      </c>
      <c r="J122" s="24">
        <f t="shared" si="7"/>
        <v>0</v>
      </c>
      <c r="K122" s="24"/>
      <c r="L122" s="24">
        <f t="shared" si="8"/>
        <v>448.9977528</v>
      </c>
      <c r="M122" s="30">
        <f t="shared" si="9"/>
        <v>460.8884165</v>
      </c>
      <c r="N122" s="27">
        <f t="shared" si="10"/>
        <v>-11.89066368</v>
      </c>
      <c r="O122" s="24"/>
      <c r="P122" s="28">
        <f t="shared" si="14"/>
        <v>-210.2898143</v>
      </c>
      <c r="Q122" s="27">
        <f t="shared" si="15"/>
        <v>422.3544627</v>
      </c>
      <c r="R122" s="26"/>
      <c r="S122" s="14">
        <f t="shared" si="13"/>
        <v>-10.91915047</v>
      </c>
      <c r="U122" s="21"/>
      <c r="V122" s="21"/>
    </row>
    <row r="123">
      <c r="A123" s="11">
        <v>111.0</v>
      </c>
      <c r="B123" s="11">
        <v>1.41987826086956E9</v>
      </c>
      <c r="C123" s="2">
        <v>-102.2390213</v>
      </c>
      <c r="D123" s="24">
        <f t="shared" si="1"/>
        <v>-521739.1304</v>
      </c>
      <c r="E123" s="25">
        <f t="shared" si="2"/>
        <v>109.2772397</v>
      </c>
      <c r="F123" s="24">
        <f t="shared" si="3"/>
        <v>0.0002094480428</v>
      </c>
      <c r="G123" s="24">
        <f t="shared" si="4"/>
        <v>0</v>
      </c>
      <c r="H123" s="26">
        <f t="shared" si="5"/>
        <v>0</v>
      </c>
      <c r="I123" s="24">
        <f t="shared" si="6"/>
        <v>0</v>
      </c>
      <c r="J123" s="24">
        <f t="shared" si="7"/>
        <v>0</v>
      </c>
      <c r="K123" s="24"/>
      <c r="L123" s="24">
        <f t="shared" si="8"/>
        <v>454.1549346</v>
      </c>
      <c r="M123" s="30">
        <f t="shared" si="9"/>
        <v>460.8089577</v>
      </c>
      <c r="N123" s="27">
        <f t="shared" si="10"/>
        <v>-6.6540231</v>
      </c>
      <c r="O123" s="24"/>
      <c r="P123" s="28">
        <f t="shared" si="14"/>
        <v>-211.2081104</v>
      </c>
      <c r="Q123" s="27">
        <f t="shared" si="15"/>
        <v>420.976669</v>
      </c>
      <c r="R123" s="26"/>
      <c r="S123" s="14">
        <f t="shared" si="13"/>
        <v>-6.110363665</v>
      </c>
      <c r="U123" s="21"/>
      <c r="V123" s="21"/>
    </row>
    <row r="124">
      <c r="A124" s="11">
        <v>112.0</v>
      </c>
      <c r="B124" s="11">
        <v>1.41988260869565E9</v>
      </c>
      <c r="C124" s="2">
        <v>-102.2197037</v>
      </c>
      <c r="D124" s="24">
        <f t="shared" si="1"/>
        <v>-517391.3043</v>
      </c>
      <c r="E124" s="25">
        <f t="shared" si="2"/>
        <v>108.3589436</v>
      </c>
      <c r="F124" s="24">
        <f t="shared" si="3"/>
        <v>0.0002094332523</v>
      </c>
      <c r="G124" s="24">
        <f t="shared" si="4"/>
        <v>0</v>
      </c>
      <c r="H124" s="26">
        <f t="shared" si="5"/>
        <v>0</v>
      </c>
      <c r="I124" s="24">
        <f t="shared" si="6"/>
        <v>0</v>
      </c>
      <c r="J124" s="24">
        <f t="shared" si="7"/>
        <v>0</v>
      </c>
      <c r="K124" s="24"/>
      <c r="L124" s="24">
        <f t="shared" si="8"/>
        <v>456.1795342</v>
      </c>
      <c r="M124" s="30">
        <f t="shared" si="9"/>
        <v>460.7293319</v>
      </c>
      <c r="N124" s="27">
        <f t="shared" si="10"/>
        <v>-4.549797706</v>
      </c>
      <c r="O124" s="24"/>
      <c r="P124" s="28"/>
      <c r="Q124" s="27"/>
      <c r="R124" s="26"/>
      <c r="S124" s="14">
        <f t="shared" si="13"/>
        <v>-4.178061638</v>
      </c>
      <c r="U124" s="21"/>
      <c r="V124" s="21"/>
    </row>
    <row r="125">
      <c r="A125" s="11">
        <v>113.0</v>
      </c>
      <c r="B125" s="11">
        <v>1.41988695652173E9</v>
      </c>
      <c r="C125" s="2">
        <v>-102.2412415</v>
      </c>
      <c r="D125" s="24">
        <f t="shared" si="1"/>
        <v>-513043.4783</v>
      </c>
      <c r="E125" s="25">
        <f t="shared" si="2"/>
        <v>107.4406475</v>
      </c>
      <c r="F125" s="24">
        <f t="shared" si="3"/>
        <v>0.0002094182111</v>
      </c>
      <c r="G125" s="24">
        <f t="shared" si="4"/>
        <v>0</v>
      </c>
      <c r="H125" s="26">
        <f t="shared" si="5"/>
        <v>0</v>
      </c>
      <c r="I125" s="24">
        <f t="shared" si="6"/>
        <v>0</v>
      </c>
      <c r="J125" s="24">
        <f t="shared" si="7"/>
        <v>0</v>
      </c>
      <c r="K125" s="24"/>
      <c r="L125" s="24">
        <f t="shared" si="8"/>
        <v>453.9228209</v>
      </c>
      <c r="M125" s="30">
        <f t="shared" si="9"/>
        <v>460.649539</v>
      </c>
      <c r="N125" s="27">
        <f t="shared" si="10"/>
        <v>-6.726718128</v>
      </c>
      <c r="O125" s="24"/>
      <c r="P125" s="24"/>
      <c r="Q125" s="24"/>
      <c r="R125" s="26"/>
      <c r="S125" s="14">
        <f t="shared" si="13"/>
        <v>-6.177119243</v>
      </c>
      <c r="U125" s="21"/>
      <c r="V125" s="21"/>
    </row>
    <row r="126">
      <c r="A126" s="11">
        <v>114.0</v>
      </c>
      <c r="B126" s="11">
        <v>1.41989130434782E9</v>
      </c>
      <c r="C126" s="2">
        <v>-102.2088699</v>
      </c>
      <c r="D126" s="24">
        <f t="shared" si="1"/>
        <v>-508695.6522</v>
      </c>
      <c r="E126" s="25">
        <f t="shared" si="2"/>
        <v>106.5223513</v>
      </c>
      <c r="F126" s="24">
        <f t="shared" si="3"/>
        <v>0.0002094029129</v>
      </c>
      <c r="G126" s="24">
        <f t="shared" si="4"/>
        <v>0</v>
      </c>
      <c r="H126" s="26">
        <f t="shared" si="5"/>
        <v>0</v>
      </c>
      <c r="I126" s="24">
        <f t="shared" si="6"/>
        <v>0</v>
      </c>
      <c r="J126" s="24">
        <f t="shared" si="7"/>
        <v>0</v>
      </c>
      <c r="K126" s="24"/>
      <c r="L126" s="24">
        <f t="shared" si="8"/>
        <v>457.3189286</v>
      </c>
      <c r="M126" s="30">
        <f t="shared" si="9"/>
        <v>460.5695793</v>
      </c>
      <c r="N126" s="27">
        <f t="shared" si="10"/>
        <v>-3.250650728</v>
      </c>
      <c r="O126" s="24"/>
      <c r="P126" s="24"/>
      <c r="Q126" s="24"/>
      <c r="R126" s="26"/>
      <c r="S126" s="14">
        <f t="shared" si="13"/>
        <v>-2.985059992</v>
      </c>
      <c r="U126" s="21"/>
      <c r="V126" s="21"/>
    </row>
    <row r="127">
      <c r="A127" s="11">
        <v>115.0</v>
      </c>
      <c r="B127" s="11">
        <v>1.41989565217391E9</v>
      </c>
      <c r="C127" s="2">
        <v>-102.2223969</v>
      </c>
      <c r="D127" s="24">
        <f t="shared" si="1"/>
        <v>-504347.8261</v>
      </c>
      <c r="E127" s="25">
        <f t="shared" si="2"/>
        <v>105.6040552</v>
      </c>
      <c r="F127" s="24">
        <f t="shared" si="3"/>
        <v>0.0002093873508</v>
      </c>
      <c r="G127" s="24">
        <f t="shared" si="4"/>
        <v>0</v>
      </c>
      <c r="H127" s="26">
        <f t="shared" si="5"/>
        <v>0</v>
      </c>
      <c r="I127" s="24">
        <f t="shared" si="6"/>
        <v>0</v>
      </c>
      <c r="J127" s="24">
        <f t="shared" si="7"/>
        <v>0</v>
      </c>
      <c r="K127" s="24"/>
      <c r="L127" s="24">
        <f t="shared" si="8"/>
        <v>455.8967302</v>
      </c>
      <c r="M127" s="30">
        <f t="shared" si="9"/>
        <v>460.489453</v>
      </c>
      <c r="N127" s="27">
        <f t="shared" si="10"/>
        <v>-4.592722731</v>
      </c>
      <c r="O127" s="24"/>
      <c r="P127" s="24"/>
      <c r="Q127" s="24"/>
      <c r="R127" s="26"/>
      <c r="S127" s="14">
        <f t="shared" si="13"/>
        <v>-4.217479513</v>
      </c>
      <c r="U127" s="21"/>
      <c r="V127" s="21"/>
    </row>
    <row r="128">
      <c r="A128" s="11">
        <v>116.0</v>
      </c>
      <c r="B128" s="11">
        <v>1.4199E9</v>
      </c>
      <c r="C128" s="2">
        <v>-102.2238312</v>
      </c>
      <c r="D128" s="24">
        <f t="shared" si="1"/>
        <v>-500000</v>
      </c>
      <c r="E128" s="25">
        <f t="shared" si="2"/>
        <v>104.6857591</v>
      </c>
      <c r="F128" s="24">
        <f t="shared" si="3"/>
        <v>0.0002093715181</v>
      </c>
      <c r="G128" s="24">
        <f t="shared" si="4"/>
        <v>0</v>
      </c>
      <c r="H128" s="26">
        <f t="shared" si="5"/>
        <v>0</v>
      </c>
      <c r="I128" s="24">
        <f t="shared" si="6"/>
        <v>0</v>
      </c>
      <c r="J128" s="24">
        <f t="shared" si="7"/>
        <v>0</v>
      </c>
      <c r="K128" s="24"/>
      <c r="L128" s="24">
        <f t="shared" si="8"/>
        <v>455.7461907</v>
      </c>
      <c r="M128" s="30">
        <f t="shared" si="9"/>
        <v>460.40916</v>
      </c>
      <c r="N128" s="27">
        <f t="shared" si="10"/>
        <v>-4.662969279</v>
      </c>
      <c r="O128" s="24"/>
      <c r="P128" s="24"/>
      <c r="Q128" s="24"/>
      <c r="R128" s="26"/>
      <c r="S128" s="14">
        <f t="shared" si="13"/>
        <v>-4.281986656</v>
      </c>
      <c r="U128" s="21"/>
      <c r="V128" s="21"/>
    </row>
    <row r="129">
      <c r="A129" s="11">
        <v>117.0</v>
      </c>
      <c r="B129" s="11">
        <v>1.41990434782608E9</v>
      </c>
      <c r="C129" s="2">
        <v>-102.1782913</v>
      </c>
      <c r="D129" s="24">
        <f t="shared" si="1"/>
        <v>-495652.1739</v>
      </c>
      <c r="E129" s="25">
        <f t="shared" si="2"/>
        <v>103.7674629</v>
      </c>
      <c r="F129" s="24">
        <f t="shared" si="3"/>
        <v>0.0002093554077</v>
      </c>
      <c r="G129" s="24">
        <f t="shared" si="4"/>
        <v>0</v>
      </c>
      <c r="H129" s="26">
        <f t="shared" si="5"/>
        <v>0</v>
      </c>
      <c r="I129" s="24">
        <f t="shared" si="6"/>
        <v>0</v>
      </c>
      <c r="J129" s="24">
        <f t="shared" si="7"/>
        <v>0</v>
      </c>
      <c r="K129" s="24"/>
      <c r="L129" s="24">
        <f t="shared" si="8"/>
        <v>460.5502659</v>
      </c>
      <c r="M129" s="30">
        <f t="shared" si="9"/>
        <v>460.3287006</v>
      </c>
      <c r="N129" s="27">
        <f t="shared" si="10"/>
        <v>0.2215652506</v>
      </c>
      <c r="O129" s="24"/>
      <c r="P129" s="24"/>
      <c r="Q129" s="24"/>
      <c r="R129" s="26"/>
      <c r="S129" s="14">
        <f t="shared" si="13"/>
        <v>0.2034625128</v>
      </c>
      <c r="U129" s="21"/>
      <c r="V129" s="21"/>
    </row>
    <row r="130">
      <c r="A130" s="11">
        <v>118.0</v>
      </c>
      <c r="B130" s="11">
        <v>1.41990869565217E9</v>
      </c>
      <c r="C130" s="2">
        <v>-102.2160187</v>
      </c>
      <c r="D130" s="24">
        <f t="shared" si="1"/>
        <v>-491304.3478</v>
      </c>
      <c r="E130" s="25">
        <f t="shared" si="2"/>
        <v>102.8491668</v>
      </c>
      <c r="F130" s="24">
        <f t="shared" si="3"/>
        <v>0.0002093390121</v>
      </c>
      <c r="G130" s="24">
        <f t="shared" si="4"/>
        <v>0</v>
      </c>
      <c r="H130" s="26">
        <f t="shared" si="5"/>
        <v>0</v>
      </c>
      <c r="I130" s="24">
        <f t="shared" si="6"/>
        <v>0</v>
      </c>
      <c r="J130" s="24">
        <f t="shared" si="7"/>
        <v>0</v>
      </c>
      <c r="K130" s="24"/>
      <c r="L130" s="24">
        <f t="shared" si="8"/>
        <v>456.5667679</v>
      </c>
      <c r="M130" s="30">
        <f t="shared" si="9"/>
        <v>460.248075</v>
      </c>
      <c r="N130" s="27">
        <f t="shared" si="10"/>
        <v>-3.681307051</v>
      </c>
      <c r="O130" s="24"/>
      <c r="P130" s="24"/>
      <c r="Q130" s="24"/>
      <c r="R130" s="26"/>
      <c r="S130" s="14">
        <f t="shared" si="13"/>
        <v>-3.38053002</v>
      </c>
      <c r="U130" s="21"/>
      <c r="V130" s="21"/>
    </row>
    <row r="131">
      <c r="A131" s="11">
        <v>119.0</v>
      </c>
      <c r="B131" s="11">
        <v>1.41991304347826E9</v>
      </c>
      <c r="C131" s="2">
        <v>-102.2050018</v>
      </c>
      <c r="D131" s="24">
        <f t="shared" si="1"/>
        <v>-486956.5217</v>
      </c>
      <c r="E131" s="25">
        <f t="shared" si="2"/>
        <v>101.9308707</v>
      </c>
      <c r="F131" s="24">
        <f t="shared" si="3"/>
        <v>0.0002093223237</v>
      </c>
      <c r="G131" s="24">
        <f t="shared" si="4"/>
        <v>0</v>
      </c>
      <c r="H131" s="26">
        <f t="shared" si="5"/>
        <v>0</v>
      </c>
      <c r="I131" s="24">
        <f t="shared" si="6"/>
        <v>0</v>
      </c>
      <c r="J131" s="24">
        <f t="shared" si="7"/>
        <v>0</v>
      </c>
      <c r="K131" s="24"/>
      <c r="L131" s="24">
        <f t="shared" si="8"/>
        <v>457.7264271</v>
      </c>
      <c r="M131" s="30">
        <f t="shared" si="9"/>
        <v>460.1672832</v>
      </c>
      <c r="N131" s="27">
        <f t="shared" si="10"/>
        <v>-2.440856117</v>
      </c>
      <c r="O131" s="24"/>
      <c r="P131" s="24"/>
      <c r="Q131" s="24"/>
      <c r="R131" s="26"/>
      <c r="S131" s="14">
        <f t="shared" si="13"/>
        <v>-2.241428733</v>
      </c>
      <c r="U131" s="21"/>
      <c r="V131" s="21"/>
    </row>
    <row r="132">
      <c r="A132" s="11">
        <v>120.0</v>
      </c>
      <c r="B132" s="11">
        <v>1.41991739130434E9</v>
      </c>
      <c r="C132" s="2">
        <v>-102.1843491</v>
      </c>
      <c r="D132" s="24">
        <f t="shared" si="1"/>
        <v>-482608.6957</v>
      </c>
      <c r="E132" s="25">
        <f t="shared" si="2"/>
        <v>101.0125745</v>
      </c>
      <c r="F132" s="24">
        <f t="shared" si="3"/>
        <v>0.0002093053346</v>
      </c>
      <c r="G132" s="24">
        <f t="shared" si="4"/>
        <v>0</v>
      </c>
      <c r="H132" s="26">
        <f t="shared" si="5"/>
        <v>0</v>
      </c>
      <c r="I132" s="24">
        <f t="shared" si="6"/>
        <v>0</v>
      </c>
      <c r="J132" s="24">
        <f t="shared" si="7"/>
        <v>0</v>
      </c>
      <c r="K132" s="24"/>
      <c r="L132" s="24">
        <f t="shared" si="8"/>
        <v>459.9083106</v>
      </c>
      <c r="M132" s="30">
        <f t="shared" si="9"/>
        <v>460.0863254</v>
      </c>
      <c r="N132" s="27">
        <f t="shared" si="10"/>
        <v>-0.1780148259</v>
      </c>
      <c r="O132" s="24"/>
      <c r="P132" s="24"/>
      <c r="Q132" s="24"/>
      <c r="R132" s="26"/>
      <c r="S132" s="14">
        <f t="shared" si="13"/>
        <v>-0.1634703262</v>
      </c>
      <c r="U132" s="21"/>
      <c r="V132" s="21"/>
    </row>
    <row r="133">
      <c r="A133" s="11">
        <v>121.0</v>
      </c>
      <c r="B133" s="11">
        <v>1.41992173913043E9</v>
      </c>
      <c r="C133" s="2">
        <v>-102.217453</v>
      </c>
      <c r="D133" s="24">
        <f t="shared" si="1"/>
        <v>-478260.8696</v>
      </c>
      <c r="E133" s="25">
        <f t="shared" si="2"/>
        <v>100.0942784</v>
      </c>
      <c r="F133" s="24">
        <f t="shared" si="3"/>
        <v>0.0002092880367</v>
      </c>
      <c r="G133" s="24">
        <f t="shared" si="4"/>
        <v>0</v>
      </c>
      <c r="H133" s="26">
        <f t="shared" si="5"/>
        <v>0</v>
      </c>
      <c r="I133" s="24">
        <f t="shared" si="6"/>
        <v>0</v>
      </c>
      <c r="J133" s="24">
        <f t="shared" si="7"/>
        <v>0</v>
      </c>
      <c r="K133" s="24"/>
      <c r="L133" s="24">
        <f t="shared" si="8"/>
        <v>456.4160072</v>
      </c>
      <c r="M133" s="30">
        <f t="shared" si="9"/>
        <v>460.0052017</v>
      </c>
      <c r="N133" s="27">
        <f t="shared" si="10"/>
        <v>-3.589194542</v>
      </c>
      <c r="O133" s="24"/>
      <c r="P133" s="24"/>
      <c r="Q133" s="24"/>
      <c r="R133" s="26"/>
      <c r="S133" s="14">
        <f t="shared" si="13"/>
        <v>-3.29594346</v>
      </c>
      <c r="U133" s="21"/>
      <c r="V133" s="21"/>
    </row>
    <row r="134">
      <c r="A134" s="11">
        <v>122.0</v>
      </c>
      <c r="B134" s="11">
        <v>1.41992608695652E9</v>
      </c>
      <c r="C134" s="2">
        <v>-102.2687225</v>
      </c>
      <c r="D134" s="24">
        <f t="shared" si="1"/>
        <v>-473913.0435</v>
      </c>
      <c r="E134" s="25">
        <f t="shared" si="2"/>
        <v>99.17598227</v>
      </c>
      <c r="F134" s="24">
        <f t="shared" si="3"/>
        <v>0.0002092704213</v>
      </c>
      <c r="G134" s="24">
        <f t="shared" si="4"/>
        <v>0</v>
      </c>
      <c r="H134" s="26">
        <f t="shared" si="5"/>
        <v>0</v>
      </c>
      <c r="I134" s="24">
        <f t="shared" si="6"/>
        <v>0</v>
      </c>
      <c r="J134" s="24">
        <f t="shared" si="7"/>
        <v>0</v>
      </c>
      <c r="K134" s="24"/>
      <c r="L134" s="24">
        <f t="shared" si="8"/>
        <v>451.0595864</v>
      </c>
      <c r="M134" s="30">
        <f t="shared" si="9"/>
        <v>459.9239124</v>
      </c>
      <c r="N134" s="27">
        <f t="shared" si="10"/>
        <v>-8.864325923</v>
      </c>
      <c r="O134" s="24"/>
      <c r="P134" s="24"/>
      <c r="Q134" s="24"/>
      <c r="R134" s="26"/>
      <c r="S134" s="14">
        <f t="shared" si="13"/>
        <v>-8.140076215</v>
      </c>
      <c r="U134" s="21"/>
      <c r="V134" s="21"/>
    </row>
    <row r="135">
      <c r="A135" s="11">
        <v>123.0</v>
      </c>
      <c r="B135" s="11">
        <v>1.4199304347826E9</v>
      </c>
      <c r="C135" s="2">
        <v>-102.2484131</v>
      </c>
      <c r="D135" s="24">
        <f t="shared" si="1"/>
        <v>-469565.2174</v>
      </c>
      <c r="E135" s="25">
        <f t="shared" si="2"/>
        <v>98.25768614</v>
      </c>
      <c r="F135" s="24">
        <f t="shared" si="3"/>
        <v>0.0002092524797</v>
      </c>
      <c r="G135" s="24">
        <f t="shared" si="4"/>
        <v>0</v>
      </c>
      <c r="H135" s="26">
        <f t="shared" si="5"/>
        <v>0</v>
      </c>
      <c r="I135" s="24">
        <f t="shared" si="6"/>
        <v>0</v>
      </c>
      <c r="J135" s="24">
        <f t="shared" si="7"/>
        <v>0</v>
      </c>
      <c r="K135" s="24"/>
      <c r="L135" s="24">
        <f t="shared" si="8"/>
        <v>453.1738667</v>
      </c>
      <c r="M135" s="30">
        <f t="shared" si="9"/>
        <v>459.8424574</v>
      </c>
      <c r="N135" s="27">
        <f t="shared" si="10"/>
        <v>-6.668590646</v>
      </c>
      <c r="O135" s="24"/>
      <c r="P135" s="24"/>
      <c r="Q135" s="24"/>
      <c r="R135" s="26"/>
      <c r="S135" s="14">
        <f t="shared" si="13"/>
        <v>-6.123741001</v>
      </c>
      <c r="U135" s="21"/>
      <c r="V135" s="21"/>
    </row>
    <row r="136">
      <c r="A136" s="11">
        <v>124.0</v>
      </c>
      <c r="B136" s="11">
        <v>1.41993478260869E9</v>
      </c>
      <c r="C136" s="2">
        <v>-102.2362213</v>
      </c>
      <c r="D136" s="24">
        <f t="shared" si="1"/>
        <v>-465217.3913</v>
      </c>
      <c r="E136" s="25">
        <f t="shared" si="2"/>
        <v>97.33939001</v>
      </c>
      <c r="F136" s="24">
        <f t="shared" si="3"/>
        <v>0.0002092342028</v>
      </c>
      <c r="G136" s="24">
        <f t="shared" si="4"/>
        <v>0</v>
      </c>
      <c r="H136" s="26">
        <f t="shared" si="5"/>
        <v>0</v>
      </c>
      <c r="I136" s="24">
        <f t="shared" si="6"/>
        <v>0</v>
      </c>
      <c r="J136" s="24">
        <f t="shared" si="7"/>
        <v>0</v>
      </c>
      <c r="K136" s="24"/>
      <c r="L136" s="24">
        <f t="shared" si="8"/>
        <v>454.4478335</v>
      </c>
      <c r="M136" s="30">
        <f t="shared" si="9"/>
        <v>459.760837</v>
      </c>
      <c r="N136" s="27">
        <f t="shared" si="10"/>
        <v>-5.313003441</v>
      </c>
      <c r="O136" s="24"/>
      <c r="P136" s="24"/>
      <c r="Q136" s="24"/>
      <c r="R136" s="26"/>
      <c r="S136" s="14">
        <f t="shared" si="13"/>
        <v>-4.878910513</v>
      </c>
      <c r="U136" s="21"/>
      <c r="V136" s="21"/>
    </row>
    <row r="137">
      <c r="A137" s="11">
        <v>125.0</v>
      </c>
      <c r="B137" s="11">
        <v>1.41993913043478E9</v>
      </c>
      <c r="C137" s="2">
        <v>-102.2259979</v>
      </c>
      <c r="D137" s="24">
        <f t="shared" si="1"/>
        <v>-460869.5652</v>
      </c>
      <c r="E137" s="25">
        <f t="shared" si="2"/>
        <v>96.42109387</v>
      </c>
      <c r="F137" s="24">
        <f t="shared" si="3"/>
        <v>0.000209215581</v>
      </c>
      <c r="G137" s="24">
        <f t="shared" si="4"/>
        <v>0</v>
      </c>
      <c r="H137" s="26">
        <f t="shared" si="5"/>
        <v>0</v>
      </c>
      <c r="I137" s="24">
        <f t="shared" si="6"/>
        <v>0</v>
      </c>
      <c r="J137" s="24">
        <f t="shared" si="7"/>
        <v>0</v>
      </c>
      <c r="K137" s="24"/>
      <c r="L137" s="24">
        <f t="shared" si="8"/>
        <v>455.5188752</v>
      </c>
      <c r="M137" s="30">
        <f t="shared" si="9"/>
        <v>459.6790513</v>
      </c>
      <c r="N137" s="27">
        <f t="shared" si="10"/>
        <v>-4.1601761</v>
      </c>
      <c r="O137" s="24"/>
      <c r="P137" s="24"/>
      <c r="Q137" s="24"/>
      <c r="R137" s="26"/>
      <c r="S137" s="14">
        <f t="shared" si="13"/>
        <v>-3.820273616</v>
      </c>
      <c r="U137" s="21"/>
      <c r="V137" s="21"/>
    </row>
    <row r="138">
      <c r="A138" s="11">
        <v>126.0</v>
      </c>
      <c r="B138" s="11">
        <v>1.41994347826087E9</v>
      </c>
      <c r="C138" s="2">
        <v>-102.2344666</v>
      </c>
      <c r="D138" s="24">
        <f t="shared" si="1"/>
        <v>-456521.7391</v>
      </c>
      <c r="E138" s="25">
        <f t="shared" si="2"/>
        <v>95.50279774</v>
      </c>
      <c r="F138" s="24">
        <f t="shared" si="3"/>
        <v>0.0002091966046</v>
      </c>
      <c r="G138" s="24">
        <f t="shared" si="4"/>
        <v>0</v>
      </c>
      <c r="H138" s="26">
        <f t="shared" si="5"/>
        <v>0</v>
      </c>
      <c r="I138" s="24">
        <f t="shared" si="6"/>
        <v>0</v>
      </c>
      <c r="J138" s="24">
        <f t="shared" si="7"/>
        <v>0</v>
      </c>
      <c r="K138" s="24"/>
      <c r="L138" s="24">
        <f t="shared" si="8"/>
        <v>454.6314833</v>
      </c>
      <c r="M138" s="30">
        <f t="shared" si="9"/>
        <v>459.5971004</v>
      </c>
      <c r="N138" s="27">
        <f t="shared" si="10"/>
        <v>-4.965617097</v>
      </c>
      <c r="O138" s="24"/>
      <c r="P138" s="24"/>
      <c r="Q138" s="24"/>
      <c r="R138" s="26"/>
      <c r="S138" s="14">
        <f t="shared" si="13"/>
        <v>-4.559906977</v>
      </c>
      <c r="U138" s="21"/>
      <c r="V138" s="21"/>
    </row>
    <row r="139">
      <c r="A139" s="11">
        <v>127.0</v>
      </c>
      <c r="B139" s="11">
        <v>1.41994782608695E9</v>
      </c>
      <c r="C139" s="2">
        <v>-102.2593079</v>
      </c>
      <c r="D139" s="24">
        <f t="shared" si="1"/>
        <v>-452173.913</v>
      </c>
      <c r="E139" s="25">
        <f t="shared" si="2"/>
        <v>94.58450161</v>
      </c>
      <c r="F139" s="24">
        <f t="shared" si="3"/>
        <v>0.0002091772632</v>
      </c>
      <c r="G139" s="24">
        <f t="shared" si="4"/>
        <v>0</v>
      </c>
      <c r="H139" s="26">
        <f t="shared" si="5"/>
        <v>0</v>
      </c>
      <c r="I139" s="24">
        <f t="shared" si="6"/>
        <v>0</v>
      </c>
      <c r="J139" s="24">
        <f t="shared" si="7"/>
        <v>0</v>
      </c>
      <c r="K139" s="24"/>
      <c r="L139" s="24">
        <f t="shared" si="8"/>
        <v>452.0384503</v>
      </c>
      <c r="M139" s="30">
        <f t="shared" si="9"/>
        <v>459.5149845</v>
      </c>
      <c r="N139" s="27">
        <f t="shared" si="10"/>
        <v>-7.476534187</v>
      </c>
      <c r="O139" s="24"/>
      <c r="P139" s="24"/>
      <c r="Q139" s="24"/>
      <c r="R139" s="26"/>
      <c r="S139" s="14">
        <f t="shared" si="13"/>
        <v>-6.865672431</v>
      </c>
      <c r="U139" s="21"/>
      <c r="V139" s="21"/>
    </row>
    <row r="140">
      <c r="A140" s="11">
        <v>128.0</v>
      </c>
      <c r="B140" s="11">
        <v>1.41995217391304E9</v>
      </c>
      <c r="C140" s="2">
        <v>-102.229332</v>
      </c>
      <c r="D140" s="24">
        <f t="shared" si="1"/>
        <v>-447826.087</v>
      </c>
      <c r="E140" s="25">
        <f t="shared" si="2"/>
        <v>93.66620548</v>
      </c>
      <c r="F140" s="24">
        <f t="shared" si="3"/>
        <v>0.0002091575462</v>
      </c>
      <c r="G140" s="24">
        <f t="shared" si="4"/>
        <v>0</v>
      </c>
      <c r="H140" s="26">
        <f t="shared" si="5"/>
        <v>0</v>
      </c>
      <c r="I140" s="24">
        <f t="shared" si="6"/>
        <v>0</v>
      </c>
      <c r="J140" s="24">
        <f t="shared" si="7"/>
        <v>0</v>
      </c>
      <c r="K140" s="24"/>
      <c r="L140" s="24">
        <f t="shared" si="8"/>
        <v>455.1693053</v>
      </c>
      <c r="M140" s="30">
        <f t="shared" si="9"/>
        <v>459.4327037</v>
      </c>
      <c r="N140" s="27">
        <f t="shared" si="10"/>
        <v>-4.2633984</v>
      </c>
      <c r="O140" s="24"/>
      <c r="P140" s="24"/>
      <c r="Q140" s="24"/>
      <c r="R140" s="26"/>
      <c r="S140" s="14">
        <f t="shared" si="13"/>
        <v>-3.915062254</v>
      </c>
      <c r="U140" s="21"/>
      <c r="V140" s="21"/>
    </row>
    <row r="141">
      <c r="A141" s="11">
        <v>129.0</v>
      </c>
      <c r="B141" s="11">
        <v>1.41995652173913E9</v>
      </c>
      <c r="C141" s="2">
        <v>-102.2375183</v>
      </c>
      <c r="D141" s="24">
        <f t="shared" si="1"/>
        <v>-443478.2609</v>
      </c>
      <c r="E141" s="25">
        <f t="shared" si="2"/>
        <v>92.74790935</v>
      </c>
      <c r="F141" s="24">
        <f t="shared" si="3"/>
        <v>0.0002091374426</v>
      </c>
      <c r="G141" s="24">
        <f t="shared" si="4"/>
        <v>0</v>
      </c>
      <c r="H141" s="26">
        <f t="shared" si="5"/>
        <v>0</v>
      </c>
      <c r="I141" s="24">
        <f t="shared" si="6"/>
        <v>0</v>
      </c>
      <c r="J141" s="24">
        <f t="shared" si="7"/>
        <v>0</v>
      </c>
      <c r="K141" s="24"/>
      <c r="L141" s="24">
        <f t="shared" si="8"/>
        <v>454.3121351</v>
      </c>
      <c r="M141" s="30">
        <f t="shared" si="9"/>
        <v>459.3502582</v>
      </c>
      <c r="N141" s="27">
        <f t="shared" si="10"/>
        <v>-5.038123063</v>
      </c>
      <c r="O141" s="24"/>
      <c r="P141" s="24"/>
      <c r="Q141" s="24"/>
      <c r="R141" s="26"/>
      <c r="S141" s="14">
        <f t="shared" si="13"/>
        <v>-4.626488925</v>
      </c>
      <c r="U141" s="21"/>
      <c r="V141" s="21"/>
    </row>
    <row r="142">
      <c r="A142" s="11">
        <v>130.0</v>
      </c>
      <c r="B142" s="11">
        <v>1.41996086956521E9</v>
      </c>
      <c r="C142" s="2">
        <v>-102.1864395</v>
      </c>
      <c r="D142" s="24">
        <f t="shared" si="1"/>
        <v>-439130.4348</v>
      </c>
      <c r="E142" s="25">
        <f t="shared" si="2"/>
        <v>91.82961321</v>
      </c>
      <c r="F142" s="24">
        <f t="shared" si="3"/>
        <v>0.000209116941</v>
      </c>
      <c r="G142" s="24">
        <f t="shared" si="4"/>
        <v>0</v>
      </c>
      <c r="H142" s="26">
        <f t="shared" si="5"/>
        <v>0</v>
      </c>
      <c r="I142" s="24">
        <f t="shared" si="6"/>
        <v>0</v>
      </c>
      <c r="J142" s="24">
        <f t="shared" si="7"/>
        <v>0</v>
      </c>
      <c r="K142" s="24"/>
      <c r="L142" s="24">
        <f t="shared" si="8"/>
        <v>459.6869951</v>
      </c>
      <c r="M142" s="30">
        <f t="shared" si="9"/>
        <v>459.267648</v>
      </c>
      <c r="N142" s="27">
        <f t="shared" si="10"/>
        <v>0.4193470543</v>
      </c>
      <c r="O142" s="24"/>
      <c r="P142" s="24"/>
      <c r="Q142" s="24"/>
      <c r="R142" s="26"/>
      <c r="S142" s="14">
        <f t="shared" si="13"/>
        <v>0.3850847782</v>
      </c>
      <c r="U142" s="21"/>
      <c r="V142" s="21"/>
    </row>
    <row r="143">
      <c r="A143" s="11">
        <v>131.0</v>
      </c>
      <c r="B143" s="11">
        <v>1.4199652173913E9</v>
      </c>
      <c r="C143" s="2">
        <v>-102.2048416</v>
      </c>
      <c r="D143" s="24">
        <f t="shared" si="1"/>
        <v>-434782.6087</v>
      </c>
      <c r="E143" s="25">
        <f t="shared" si="2"/>
        <v>90.91131708</v>
      </c>
      <c r="F143" s="24">
        <f t="shared" si="3"/>
        <v>0.0002090960293</v>
      </c>
      <c r="G143" s="24">
        <f t="shared" si="4"/>
        <v>0</v>
      </c>
      <c r="H143" s="26">
        <f t="shared" si="5"/>
        <v>0</v>
      </c>
      <c r="I143" s="24">
        <f t="shared" si="6"/>
        <v>0</v>
      </c>
      <c r="J143" s="24">
        <f t="shared" si="7"/>
        <v>0</v>
      </c>
      <c r="K143" s="24"/>
      <c r="L143" s="24">
        <f t="shared" si="8"/>
        <v>457.7433117</v>
      </c>
      <c r="M143" s="30">
        <f t="shared" si="9"/>
        <v>459.1848734</v>
      </c>
      <c r="N143" s="27">
        <f t="shared" si="10"/>
        <v>-1.441561685</v>
      </c>
      <c r="O143" s="24"/>
      <c r="P143" s="24"/>
      <c r="Q143" s="24"/>
      <c r="R143" s="26"/>
      <c r="S143" s="14">
        <f t="shared" si="13"/>
        <v>-1.323780518</v>
      </c>
      <c r="U143" s="21"/>
      <c r="V143" s="21"/>
    </row>
    <row r="144">
      <c r="A144" s="11">
        <v>132.0</v>
      </c>
      <c r="B144" s="11">
        <v>1.41996956521739E9</v>
      </c>
      <c r="C144" s="2">
        <v>-102.2121277</v>
      </c>
      <c r="D144" s="24">
        <f t="shared" si="1"/>
        <v>-430434.7826</v>
      </c>
      <c r="E144" s="25">
        <f t="shared" si="2"/>
        <v>89.99302095</v>
      </c>
      <c r="F144" s="24">
        <f t="shared" si="3"/>
        <v>0.0002090746951</v>
      </c>
      <c r="G144" s="24">
        <f t="shared" si="4"/>
        <v>0</v>
      </c>
      <c r="H144" s="26">
        <f t="shared" si="5"/>
        <v>0</v>
      </c>
      <c r="I144" s="24">
        <f t="shared" si="6"/>
        <v>0</v>
      </c>
      <c r="J144" s="24">
        <f t="shared" si="7"/>
        <v>0</v>
      </c>
      <c r="K144" s="24"/>
      <c r="L144" s="24">
        <f t="shared" si="8"/>
        <v>456.9760058</v>
      </c>
      <c r="M144" s="30">
        <f t="shared" si="9"/>
        <v>459.1019345</v>
      </c>
      <c r="N144" s="27">
        <f t="shared" si="10"/>
        <v>-2.125928715</v>
      </c>
      <c r="O144" s="24"/>
      <c r="P144" s="24"/>
      <c r="Q144" s="24"/>
      <c r="R144" s="26"/>
      <c r="S144" s="14">
        <f t="shared" si="13"/>
        <v>-1.952232118</v>
      </c>
      <c r="U144" s="21"/>
      <c r="V144" s="21"/>
    </row>
    <row r="145">
      <c r="A145" s="11">
        <v>133.0</v>
      </c>
      <c r="B145" s="11">
        <v>1.41997391304347E9</v>
      </c>
      <c r="C145" s="2">
        <v>-102.2632523</v>
      </c>
      <c r="D145" s="24">
        <f t="shared" si="1"/>
        <v>-426086.9565</v>
      </c>
      <c r="E145" s="25">
        <f t="shared" si="2"/>
        <v>89.07472482</v>
      </c>
      <c r="F145" s="24">
        <f t="shared" si="3"/>
        <v>0.0002090529256</v>
      </c>
      <c r="G145" s="24">
        <f t="shared" si="4"/>
        <v>0</v>
      </c>
      <c r="H145" s="26">
        <f t="shared" si="5"/>
        <v>0</v>
      </c>
      <c r="I145" s="24">
        <f t="shared" si="6"/>
        <v>0</v>
      </c>
      <c r="J145" s="24">
        <f t="shared" si="7"/>
        <v>0</v>
      </c>
      <c r="K145" s="24"/>
      <c r="L145" s="24">
        <f t="shared" si="8"/>
        <v>451.628081</v>
      </c>
      <c r="M145" s="30">
        <f t="shared" si="9"/>
        <v>459.0188314</v>
      </c>
      <c r="N145" s="27">
        <f t="shared" si="10"/>
        <v>-7.390750343</v>
      </c>
      <c r="O145" s="24"/>
      <c r="P145" s="24"/>
      <c r="Q145" s="24"/>
      <c r="R145" s="26"/>
      <c r="S145" s="14">
        <f t="shared" si="13"/>
        <v>-6.786897458</v>
      </c>
      <c r="U145" s="21"/>
      <c r="V145" s="21"/>
    </row>
    <row r="146">
      <c r="A146" s="11">
        <v>134.0</v>
      </c>
      <c r="B146" s="11">
        <v>1.41997826086956E9</v>
      </c>
      <c r="C146" s="2">
        <v>-102.2947083</v>
      </c>
      <c r="D146" s="24">
        <f t="shared" si="1"/>
        <v>-421739.1304</v>
      </c>
      <c r="E146" s="25">
        <f t="shared" si="2"/>
        <v>88.15642869</v>
      </c>
      <c r="F146" s="24">
        <f t="shared" si="3"/>
        <v>0.0002090307072</v>
      </c>
      <c r="G146" s="24">
        <f t="shared" si="4"/>
        <v>0</v>
      </c>
      <c r="H146" s="26">
        <f t="shared" si="5"/>
        <v>0</v>
      </c>
      <c r="I146" s="24">
        <f t="shared" si="6"/>
        <v>0</v>
      </c>
      <c r="J146" s="24">
        <f t="shared" si="7"/>
        <v>0</v>
      </c>
      <c r="K146" s="24"/>
      <c r="L146" s="24">
        <f t="shared" si="8"/>
        <v>448.3687515</v>
      </c>
      <c r="M146" s="30">
        <f t="shared" si="9"/>
        <v>458.9355642</v>
      </c>
      <c r="N146" s="27">
        <f t="shared" si="10"/>
        <v>-10.56681272</v>
      </c>
      <c r="O146" s="24"/>
      <c r="P146" s="24"/>
      <c r="Q146" s="24"/>
      <c r="R146" s="26"/>
      <c r="S146" s="14">
        <f t="shared" si="13"/>
        <v>-9.703463231</v>
      </c>
      <c r="U146" s="21"/>
      <c r="V146" s="21"/>
    </row>
    <row r="147">
      <c r="A147" s="11">
        <v>135.0</v>
      </c>
      <c r="B147" s="11">
        <v>1.41998260869565E9</v>
      </c>
      <c r="C147" s="2">
        <v>-102.2765808</v>
      </c>
      <c r="D147" s="24">
        <f t="shared" si="1"/>
        <v>-417391.3043</v>
      </c>
      <c r="E147" s="25">
        <f t="shared" si="2"/>
        <v>87.23813255</v>
      </c>
      <c r="F147" s="24">
        <f t="shared" si="3"/>
        <v>0.0002090080259</v>
      </c>
      <c r="G147" s="24">
        <f t="shared" si="4"/>
        <v>0</v>
      </c>
      <c r="H147" s="26">
        <f t="shared" si="5"/>
        <v>0</v>
      </c>
      <c r="I147" s="24">
        <f t="shared" si="6"/>
        <v>0</v>
      </c>
      <c r="J147" s="24">
        <f t="shared" si="7"/>
        <v>0</v>
      </c>
      <c r="K147" s="24"/>
      <c r="L147" s="24">
        <f t="shared" si="8"/>
        <v>450.2441589</v>
      </c>
      <c r="M147" s="30">
        <f t="shared" si="9"/>
        <v>458.8521332</v>
      </c>
      <c r="N147" s="27">
        <f t="shared" si="10"/>
        <v>-8.607974235</v>
      </c>
      <c r="O147" s="24"/>
      <c r="P147" s="24"/>
      <c r="Q147" s="24"/>
      <c r="R147" s="26"/>
      <c r="S147" s="14">
        <f t="shared" si="13"/>
        <v>-7.904669451</v>
      </c>
      <c r="U147" s="21"/>
      <c r="V147" s="21"/>
    </row>
    <row r="148">
      <c r="A148" s="11">
        <v>136.0</v>
      </c>
      <c r="B148" s="11">
        <v>1.41998695652173E9</v>
      </c>
      <c r="C148" s="2">
        <v>-102.2830276</v>
      </c>
      <c r="D148" s="24">
        <f t="shared" si="1"/>
        <v>-413043.4783</v>
      </c>
      <c r="E148" s="25">
        <f t="shared" si="2"/>
        <v>86.31983642</v>
      </c>
      <c r="F148" s="24">
        <f t="shared" si="3"/>
        <v>0.0002089848671</v>
      </c>
      <c r="G148" s="24">
        <f t="shared" si="4"/>
        <v>0</v>
      </c>
      <c r="H148" s="26">
        <f t="shared" si="5"/>
        <v>0</v>
      </c>
      <c r="I148" s="24">
        <f t="shared" si="6"/>
        <v>0</v>
      </c>
      <c r="J148" s="24">
        <f t="shared" si="7"/>
        <v>0</v>
      </c>
      <c r="K148" s="24"/>
      <c r="L148" s="24">
        <f t="shared" si="8"/>
        <v>449.5762986</v>
      </c>
      <c r="M148" s="30">
        <f t="shared" si="9"/>
        <v>458.7685383</v>
      </c>
      <c r="N148" s="27">
        <f t="shared" si="10"/>
        <v>-9.192239776</v>
      </c>
      <c r="O148" s="24"/>
      <c r="P148" s="24"/>
      <c r="Q148" s="24"/>
      <c r="R148" s="26"/>
      <c r="S148" s="14">
        <f t="shared" si="13"/>
        <v>-8.441198238</v>
      </c>
      <c r="U148" s="21"/>
      <c r="V148" s="21"/>
    </row>
    <row r="149">
      <c r="A149" s="11">
        <v>137.0</v>
      </c>
      <c r="B149" s="11">
        <v>1.41999130434782E9</v>
      </c>
      <c r="C149" s="2">
        <v>-102.2654114</v>
      </c>
      <c r="D149" s="24">
        <f t="shared" si="1"/>
        <v>-408695.6522</v>
      </c>
      <c r="E149" s="25">
        <f t="shared" si="2"/>
        <v>85.40154029</v>
      </c>
      <c r="F149" s="24">
        <f t="shared" si="3"/>
        <v>0.0002089612156</v>
      </c>
      <c r="G149" s="24">
        <f t="shared" si="4"/>
        <v>0</v>
      </c>
      <c r="H149" s="26">
        <f t="shared" si="5"/>
        <v>0</v>
      </c>
      <c r="I149" s="24">
        <f t="shared" si="6"/>
        <v>0</v>
      </c>
      <c r="J149" s="24">
        <f t="shared" si="7"/>
        <v>0</v>
      </c>
      <c r="K149" s="24"/>
      <c r="L149" s="24">
        <f t="shared" si="8"/>
        <v>451.4036094</v>
      </c>
      <c r="M149" s="30">
        <f t="shared" si="9"/>
        <v>458.6847799</v>
      </c>
      <c r="N149" s="27">
        <f t="shared" si="10"/>
        <v>-7.28117046</v>
      </c>
      <c r="O149" s="24"/>
      <c r="P149" s="24"/>
      <c r="Q149" s="24"/>
      <c r="R149" s="26"/>
      <c r="S149" s="14">
        <f t="shared" si="13"/>
        <v>-6.686270676</v>
      </c>
      <c r="U149" s="21"/>
      <c r="V149" s="21"/>
    </row>
    <row r="150">
      <c r="A150" s="11">
        <v>138.0</v>
      </c>
      <c r="B150" s="11">
        <v>1.41999565217391E9</v>
      </c>
      <c r="C150" s="2">
        <v>-102.2628174</v>
      </c>
      <c r="D150" s="24">
        <f t="shared" si="1"/>
        <v>-404347.8261</v>
      </c>
      <c r="E150" s="25">
        <f t="shared" si="2"/>
        <v>84.48324416</v>
      </c>
      <c r="F150" s="24">
        <f t="shared" si="3"/>
        <v>0.0002089370554</v>
      </c>
      <c r="G150" s="24">
        <f t="shared" si="4"/>
        <v>0</v>
      </c>
      <c r="H150" s="26">
        <f t="shared" si="5"/>
        <v>0</v>
      </c>
      <c r="I150" s="24">
        <f t="shared" si="6"/>
        <v>0</v>
      </c>
      <c r="J150" s="24">
        <f t="shared" si="7"/>
        <v>0</v>
      </c>
      <c r="K150" s="24"/>
      <c r="L150" s="24">
        <f t="shared" si="8"/>
        <v>451.6733091</v>
      </c>
      <c r="M150" s="30">
        <f t="shared" si="9"/>
        <v>458.600858</v>
      </c>
      <c r="N150" s="27">
        <f t="shared" si="10"/>
        <v>-6.927548864</v>
      </c>
      <c r="O150" s="24"/>
      <c r="P150" s="24"/>
      <c r="Q150" s="24"/>
      <c r="R150" s="26"/>
      <c r="S150" s="14">
        <f t="shared" si="13"/>
        <v>-6.361541317</v>
      </c>
      <c r="U150" s="21"/>
      <c r="V150" s="21"/>
    </row>
    <row r="151">
      <c r="A151" s="11">
        <v>139.0</v>
      </c>
      <c r="B151" s="11">
        <v>1.42E9</v>
      </c>
      <c r="C151" s="2">
        <v>-102.2668152</v>
      </c>
      <c r="D151" s="24">
        <f t="shared" si="1"/>
        <v>-400000</v>
      </c>
      <c r="E151" s="25">
        <f t="shared" si="2"/>
        <v>83.56494803</v>
      </c>
      <c r="F151" s="24">
        <f t="shared" si="3"/>
        <v>0.0002089123701</v>
      </c>
      <c r="G151" s="24">
        <f t="shared" si="4"/>
        <v>0</v>
      </c>
      <c r="H151" s="26">
        <f t="shared" si="5"/>
        <v>0</v>
      </c>
      <c r="I151" s="24">
        <f t="shared" si="6"/>
        <v>0</v>
      </c>
      <c r="J151" s="24">
        <f t="shared" si="7"/>
        <v>0</v>
      </c>
      <c r="K151" s="24"/>
      <c r="L151" s="24">
        <f t="shared" si="8"/>
        <v>451.2577227</v>
      </c>
      <c r="M151" s="30">
        <f t="shared" si="9"/>
        <v>458.5167727</v>
      </c>
      <c r="N151" s="27">
        <f t="shared" si="10"/>
        <v>-7.259049959</v>
      </c>
      <c r="O151" s="24"/>
      <c r="P151" s="24"/>
      <c r="Q151" s="24"/>
      <c r="R151" s="26"/>
      <c r="S151" s="14">
        <f t="shared" si="13"/>
        <v>-6.665957505</v>
      </c>
      <c r="U151" s="21"/>
      <c r="V151" s="21"/>
    </row>
    <row r="152">
      <c r="A152" s="11">
        <v>140.0</v>
      </c>
      <c r="B152" s="11">
        <v>1.42000434782608E9</v>
      </c>
      <c r="C152" s="2">
        <v>-102.2299194</v>
      </c>
      <c r="D152" s="24">
        <f t="shared" si="1"/>
        <v>-395652.1739</v>
      </c>
      <c r="E152" s="25">
        <f t="shared" si="2"/>
        <v>82.64665189</v>
      </c>
      <c r="F152" s="24">
        <f t="shared" si="3"/>
        <v>0.0002088871421</v>
      </c>
      <c r="G152" s="24">
        <f t="shared" si="4"/>
        <v>0</v>
      </c>
      <c r="H152" s="26">
        <f t="shared" si="5"/>
        <v>0</v>
      </c>
      <c r="I152" s="24">
        <f t="shared" si="6"/>
        <v>0</v>
      </c>
      <c r="J152" s="24">
        <f t="shared" si="7"/>
        <v>0</v>
      </c>
      <c r="K152" s="24"/>
      <c r="L152" s="24">
        <f t="shared" si="8"/>
        <v>455.1077461</v>
      </c>
      <c r="M152" s="30">
        <f t="shared" si="9"/>
        <v>458.4325242</v>
      </c>
      <c r="N152" s="27">
        <f t="shared" si="10"/>
        <v>-3.324778117</v>
      </c>
      <c r="O152" s="24"/>
      <c r="P152" s="24"/>
      <c r="Q152" s="24"/>
      <c r="R152" s="26"/>
      <c r="S152" s="14">
        <f t="shared" si="13"/>
        <v>-3.053130888</v>
      </c>
      <c r="U152" s="21"/>
      <c r="V152" s="21"/>
    </row>
    <row r="153">
      <c r="A153" s="11">
        <v>141.0</v>
      </c>
      <c r="B153" s="11">
        <v>1.42000869565217E9</v>
      </c>
      <c r="C153" s="2">
        <v>-102.2432175</v>
      </c>
      <c r="D153" s="24">
        <f t="shared" si="1"/>
        <v>-391304.3478</v>
      </c>
      <c r="E153" s="25">
        <f t="shared" si="2"/>
        <v>81.72835576</v>
      </c>
      <c r="F153" s="24">
        <f t="shared" si="3"/>
        <v>0.0002088613536</v>
      </c>
      <c r="G153" s="24">
        <f t="shared" si="4"/>
        <v>0</v>
      </c>
      <c r="H153" s="26">
        <f t="shared" si="5"/>
        <v>0</v>
      </c>
      <c r="I153" s="24">
        <f t="shared" si="6"/>
        <v>0</v>
      </c>
      <c r="J153" s="24">
        <f t="shared" si="7"/>
        <v>0</v>
      </c>
      <c r="K153" s="24"/>
      <c r="L153" s="24">
        <f t="shared" si="8"/>
        <v>453.7163372</v>
      </c>
      <c r="M153" s="30">
        <f t="shared" si="9"/>
        <v>458.3481126</v>
      </c>
      <c r="N153" s="27">
        <f t="shared" si="10"/>
        <v>-4.631775455</v>
      </c>
      <c r="O153" s="24"/>
      <c r="P153" s="24"/>
      <c r="Q153" s="24"/>
      <c r="R153" s="26"/>
      <c r="S153" s="14">
        <f t="shared" si="13"/>
        <v>-4.253341478</v>
      </c>
      <c r="U153" s="21"/>
      <c r="V153" s="21"/>
    </row>
    <row r="154">
      <c r="A154" s="11">
        <v>142.0</v>
      </c>
      <c r="B154" s="11">
        <v>1.42001304347826E9</v>
      </c>
      <c r="C154" s="2">
        <v>-102.1818008</v>
      </c>
      <c r="D154" s="24">
        <f t="shared" si="1"/>
        <v>-386956.5217</v>
      </c>
      <c r="E154" s="25">
        <f t="shared" si="2"/>
        <v>80.81005963</v>
      </c>
      <c r="F154" s="24">
        <f t="shared" si="3"/>
        <v>0.0002088349856</v>
      </c>
      <c r="G154" s="24">
        <f t="shared" si="4"/>
        <v>0</v>
      </c>
      <c r="H154" s="26">
        <f t="shared" si="5"/>
        <v>0</v>
      </c>
      <c r="I154" s="24">
        <f t="shared" si="6"/>
        <v>0</v>
      </c>
      <c r="J154" s="24">
        <f t="shared" si="7"/>
        <v>0</v>
      </c>
      <c r="K154" s="24"/>
      <c r="L154" s="24">
        <f t="shared" si="8"/>
        <v>460.1782491</v>
      </c>
      <c r="M154" s="30">
        <f t="shared" si="9"/>
        <v>458.2635381</v>
      </c>
      <c r="N154" s="27">
        <f t="shared" si="10"/>
        <v>1.914711</v>
      </c>
      <c r="O154" s="24"/>
      <c r="P154" s="24"/>
      <c r="Q154" s="24"/>
      <c r="R154" s="26"/>
      <c r="S154" s="14">
        <f t="shared" si="13"/>
        <v>1.758271707</v>
      </c>
      <c r="U154" s="21"/>
      <c r="V154" s="21"/>
    </row>
    <row r="155">
      <c r="A155" s="11">
        <v>143.0</v>
      </c>
      <c r="B155" s="11">
        <v>1.42001739130434E9</v>
      </c>
      <c r="C155" s="2">
        <v>-102.2620316</v>
      </c>
      <c r="D155" s="24">
        <f t="shared" si="1"/>
        <v>-382608.6957</v>
      </c>
      <c r="E155" s="25">
        <f t="shared" si="2"/>
        <v>79.8917635</v>
      </c>
      <c r="F155" s="24">
        <f t="shared" si="3"/>
        <v>0.0002088080182</v>
      </c>
      <c r="G155" s="24">
        <f t="shared" si="4"/>
        <v>0</v>
      </c>
      <c r="H155" s="26">
        <f t="shared" si="5"/>
        <v>0</v>
      </c>
      <c r="I155" s="24">
        <f t="shared" si="6"/>
        <v>0</v>
      </c>
      <c r="J155" s="24">
        <f t="shared" si="7"/>
        <v>0</v>
      </c>
      <c r="K155" s="24"/>
      <c r="L155" s="24">
        <f t="shared" si="8"/>
        <v>451.755041</v>
      </c>
      <c r="M155" s="30">
        <f t="shared" si="9"/>
        <v>458.1788009</v>
      </c>
      <c r="N155" s="27">
        <f t="shared" si="10"/>
        <v>-6.42375991</v>
      </c>
      <c r="O155" s="24"/>
      <c r="P155" s="24"/>
      <c r="Q155" s="24"/>
      <c r="R155" s="26"/>
      <c r="S155" s="14">
        <f t="shared" si="13"/>
        <v>-5.898913884</v>
      </c>
      <c r="U155" s="21"/>
      <c r="V155" s="21"/>
    </row>
    <row r="156">
      <c r="A156" s="11">
        <v>144.0</v>
      </c>
      <c r="B156" s="11">
        <v>1.42002173913043E9</v>
      </c>
      <c r="C156" s="2">
        <v>-102.2941055</v>
      </c>
      <c r="D156" s="24">
        <f t="shared" si="1"/>
        <v>-378260.8696</v>
      </c>
      <c r="E156" s="25">
        <f t="shared" si="2"/>
        <v>78.97346736</v>
      </c>
      <c r="F156" s="24">
        <f t="shared" si="3"/>
        <v>0.000208780431</v>
      </c>
      <c r="G156" s="24">
        <f t="shared" si="4"/>
        <v>0</v>
      </c>
      <c r="H156" s="26">
        <f t="shared" si="5"/>
        <v>0</v>
      </c>
      <c r="I156" s="24">
        <f t="shared" si="6"/>
        <v>0</v>
      </c>
      <c r="J156" s="24">
        <f t="shared" si="7"/>
        <v>0</v>
      </c>
      <c r="K156" s="24"/>
      <c r="L156" s="24">
        <f t="shared" si="8"/>
        <v>448.4309893</v>
      </c>
      <c r="M156" s="30">
        <f t="shared" si="9"/>
        <v>458.0939009</v>
      </c>
      <c r="N156" s="27">
        <f t="shared" si="10"/>
        <v>-9.662911609</v>
      </c>
      <c r="O156" s="24"/>
      <c r="P156" s="24"/>
      <c r="Q156" s="24"/>
      <c r="R156" s="26"/>
      <c r="S156" s="14">
        <f t="shared" si="13"/>
        <v>-8.873414342</v>
      </c>
      <c r="U156" s="21"/>
      <c r="V156" s="21"/>
    </row>
    <row r="157">
      <c r="A157" s="11">
        <v>145.0</v>
      </c>
      <c r="B157" s="11">
        <v>1.42002608695652E9</v>
      </c>
      <c r="C157" s="2">
        <v>-102.2159271</v>
      </c>
      <c r="D157" s="24">
        <f t="shared" si="1"/>
        <v>-373913.0435</v>
      </c>
      <c r="E157" s="25">
        <f t="shared" si="2"/>
        <v>78.05517123</v>
      </c>
      <c r="F157" s="24">
        <f t="shared" si="3"/>
        <v>0.0002087522021</v>
      </c>
      <c r="G157" s="24">
        <f t="shared" si="4"/>
        <v>0</v>
      </c>
      <c r="H157" s="26">
        <f t="shared" si="5"/>
        <v>0</v>
      </c>
      <c r="I157" s="24">
        <f t="shared" si="6"/>
        <v>0</v>
      </c>
      <c r="J157" s="24">
        <f t="shared" si="7"/>
        <v>0</v>
      </c>
      <c r="K157" s="24"/>
      <c r="L157" s="24">
        <f t="shared" si="8"/>
        <v>456.5763978</v>
      </c>
      <c r="M157" s="30">
        <f t="shared" si="9"/>
        <v>458.0088385</v>
      </c>
      <c r="N157" s="27">
        <f t="shared" si="10"/>
        <v>-1.432440718</v>
      </c>
      <c r="O157" s="24"/>
      <c r="P157" s="24"/>
      <c r="Q157" s="24"/>
      <c r="R157" s="26"/>
      <c r="S157" s="14">
        <f t="shared" si="13"/>
        <v>-1.315404772</v>
      </c>
      <c r="U157" s="21"/>
      <c r="V157" s="21"/>
    </row>
    <row r="158">
      <c r="A158" s="11">
        <v>146.0</v>
      </c>
      <c r="B158" s="11">
        <v>1.4200304347826E9</v>
      </c>
      <c r="C158" s="2">
        <v>-102.2385101</v>
      </c>
      <c r="D158" s="24">
        <f t="shared" si="1"/>
        <v>-369565.2174</v>
      </c>
      <c r="E158" s="25">
        <f t="shared" si="2"/>
        <v>77.1368751</v>
      </c>
      <c r="F158" s="24">
        <f t="shared" si="3"/>
        <v>0.0002087233091</v>
      </c>
      <c r="G158" s="24">
        <f t="shared" si="4"/>
        <v>0</v>
      </c>
      <c r="H158" s="26">
        <f t="shared" si="5"/>
        <v>0</v>
      </c>
      <c r="I158" s="24">
        <f t="shared" si="6"/>
        <v>0</v>
      </c>
      <c r="J158" s="24">
        <f t="shared" si="7"/>
        <v>0</v>
      </c>
      <c r="K158" s="24"/>
      <c r="L158" s="24">
        <f t="shared" si="8"/>
        <v>454.2083955</v>
      </c>
      <c r="M158" s="30">
        <f t="shared" si="9"/>
        <v>457.9236137</v>
      </c>
      <c r="N158" s="27">
        <f t="shared" si="10"/>
        <v>-3.715218228</v>
      </c>
      <c r="O158" s="24"/>
      <c r="P158" s="24"/>
      <c r="Q158" s="24"/>
      <c r="R158" s="26"/>
      <c r="S158" s="14">
        <f t="shared" si="13"/>
        <v>-3.411670531</v>
      </c>
      <c r="U158" s="21"/>
      <c r="V158" s="21"/>
    </row>
    <row r="159">
      <c r="A159" s="11">
        <v>147.0</v>
      </c>
      <c r="B159" s="11">
        <v>1.42003478260869E9</v>
      </c>
      <c r="C159" s="2">
        <v>-102.2858963</v>
      </c>
      <c r="D159" s="24">
        <f t="shared" si="1"/>
        <v>-365217.3913</v>
      </c>
      <c r="E159" s="25">
        <f t="shared" si="2"/>
        <v>76.21857897</v>
      </c>
      <c r="F159" s="24">
        <f t="shared" si="3"/>
        <v>0.0002086937281</v>
      </c>
      <c r="G159" s="24">
        <f t="shared" si="4"/>
        <v>0</v>
      </c>
      <c r="H159" s="26">
        <f t="shared" si="5"/>
        <v>0</v>
      </c>
      <c r="I159" s="24">
        <f t="shared" si="6"/>
        <v>0</v>
      </c>
      <c r="J159" s="24">
        <f t="shared" si="7"/>
        <v>0</v>
      </c>
      <c r="K159" s="24"/>
      <c r="L159" s="24">
        <f t="shared" si="8"/>
        <v>449.2794323</v>
      </c>
      <c r="M159" s="30">
        <f t="shared" si="9"/>
        <v>457.8382267</v>
      </c>
      <c r="N159" s="27">
        <f t="shared" si="10"/>
        <v>-8.558794386</v>
      </c>
      <c r="O159" s="24"/>
      <c r="P159" s="24"/>
      <c r="Q159" s="24"/>
      <c r="R159" s="26"/>
      <c r="S159" s="14">
        <f t="shared" si="13"/>
        <v>-7.859507786</v>
      </c>
      <c r="U159" s="21"/>
      <c r="V159" s="21"/>
    </row>
    <row r="160">
      <c r="A160" s="11">
        <v>148.0</v>
      </c>
      <c r="B160" s="11">
        <v>1.42003913043478E9</v>
      </c>
      <c r="C160" s="2">
        <v>-102.1984253</v>
      </c>
      <c r="D160" s="24">
        <f t="shared" si="1"/>
        <v>-360869.5652</v>
      </c>
      <c r="E160" s="25">
        <f t="shared" si="2"/>
        <v>75.30028284</v>
      </c>
      <c r="F160" s="24">
        <f t="shared" si="3"/>
        <v>0.0002086634344</v>
      </c>
      <c r="G160" s="24">
        <f t="shared" si="4"/>
        <v>0</v>
      </c>
      <c r="H160" s="26">
        <f t="shared" si="5"/>
        <v>0</v>
      </c>
      <c r="I160" s="24">
        <f t="shared" si="6"/>
        <v>0</v>
      </c>
      <c r="J160" s="24">
        <f t="shared" si="7"/>
        <v>0</v>
      </c>
      <c r="K160" s="24"/>
      <c r="L160" s="24">
        <f t="shared" si="8"/>
        <v>458.420085</v>
      </c>
      <c r="M160" s="30">
        <f t="shared" si="9"/>
        <v>457.7526776</v>
      </c>
      <c r="N160" s="27">
        <f t="shared" si="10"/>
        <v>0.6674074197</v>
      </c>
      <c r="O160" s="24"/>
      <c r="P160" s="24"/>
      <c r="Q160" s="24"/>
      <c r="R160" s="26"/>
      <c r="S160" s="14">
        <f t="shared" si="13"/>
        <v>0.6128776511</v>
      </c>
      <c r="U160" s="21"/>
      <c r="V160" s="21"/>
    </row>
    <row r="161">
      <c r="A161" s="11">
        <v>149.0</v>
      </c>
      <c r="B161" s="11">
        <v>1.42004347826087E9</v>
      </c>
      <c r="C161" s="2">
        <v>-102.2165527</v>
      </c>
      <c r="D161" s="24">
        <f t="shared" si="1"/>
        <v>-356521.7391</v>
      </c>
      <c r="E161" s="25">
        <f t="shared" si="2"/>
        <v>74.3819867</v>
      </c>
      <c r="F161" s="24">
        <f t="shared" si="3"/>
        <v>0.0002086324017</v>
      </c>
      <c r="G161" s="24">
        <f t="shared" si="4"/>
        <v>0</v>
      </c>
      <c r="H161" s="26">
        <f t="shared" si="5"/>
        <v>0</v>
      </c>
      <c r="I161" s="24">
        <f t="shared" si="6"/>
        <v>0</v>
      </c>
      <c r="J161" s="24">
        <f t="shared" si="7"/>
        <v>0</v>
      </c>
      <c r="K161" s="24"/>
      <c r="L161" s="24">
        <f t="shared" si="8"/>
        <v>456.5106328</v>
      </c>
      <c r="M161" s="30">
        <f t="shared" si="9"/>
        <v>457.6669666</v>
      </c>
      <c r="N161" s="27">
        <f t="shared" si="10"/>
        <v>-1.156333721</v>
      </c>
      <c r="O161" s="24"/>
      <c r="P161" s="24"/>
      <c r="Q161" s="24"/>
      <c r="R161" s="26"/>
      <c r="S161" s="14">
        <f t="shared" si="13"/>
        <v>-1.061856784</v>
      </c>
      <c r="U161" s="21"/>
      <c r="V161" s="21"/>
    </row>
    <row r="162">
      <c r="A162" s="11">
        <v>150.0</v>
      </c>
      <c r="B162" s="11">
        <v>1.42004782608695E9</v>
      </c>
      <c r="C162" s="2">
        <v>-102.2133713</v>
      </c>
      <c r="D162" s="24">
        <f t="shared" si="1"/>
        <v>-352173.913</v>
      </c>
      <c r="E162" s="25">
        <f t="shared" si="2"/>
        <v>73.46369057</v>
      </c>
      <c r="F162" s="24">
        <f t="shared" si="3"/>
        <v>0.0002086006029</v>
      </c>
      <c r="G162" s="24">
        <f t="shared" si="4"/>
        <v>0</v>
      </c>
      <c r="H162" s="26">
        <f t="shared" si="5"/>
        <v>0</v>
      </c>
      <c r="I162" s="24">
        <f t="shared" si="6"/>
        <v>0</v>
      </c>
      <c r="J162" s="24">
        <f t="shared" si="7"/>
        <v>0</v>
      </c>
      <c r="K162" s="24"/>
      <c r="L162" s="24">
        <f t="shared" si="8"/>
        <v>456.8451697</v>
      </c>
      <c r="M162" s="30">
        <f t="shared" si="9"/>
        <v>457.5810937</v>
      </c>
      <c r="N162" s="27">
        <f t="shared" si="10"/>
        <v>-0.7359240276</v>
      </c>
      <c r="O162" s="24"/>
      <c r="P162" s="24"/>
      <c r="Q162" s="24"/>
      <c r="R162" s="26"/>
      <c r="S162" s="14">
        <f t="shared" si="13"/>
        <v>-0.6757961885</v>
      </c>
      <c r="U162" s="21"/>
      <c r="V162" s="21"/>
    </row>
    <row r="163">
      <c r="A163" s="11">
        <v>151.0</v>
      </c>
      <c r="B163" s="11">
        <v>1.42005217391304E9</v>
      </c>
      <c r="C163" s="2">
        <v>-102.2614975</v>
      </c>
      <c r="D163" s="24">
        <f t="shared" si="1"/>
        <v>-347826.087</v>
      </c>
      <c r="E163" s="25">
        <f t="shared" si="2"/>
        <v>72.54539444</v>
      </c>
      <c r="F163" s="24">
        <f t="shared" si="3"/>
        <v>0.000208568009</v>
      </c>
      <c r="G163" s="24">
        <f t="shared" si="4"/>
        <v>0</v>
      </c>
      <c r="H163" s="26">
        <f t="shared" si="5"/>
        <v>0</v>
      </c>
      <c r="I163" s="24">
        <f t="shared" si="6"/>
        <v>0</v>
      </c>
      <c r="J163" s="24">
        <f t="shared" si="7"/>
        <v>0</v>
      </c>
      <c r="K163" s="24"/>
      <c r="L163" s="24">
        <f t="shared" si="8"/>
        <v>451.8106017</v>
      </c>
      <c r="M163" s="30">
        <f t="shared" si="9"/>
        <v>457.4950592</v>
      </c>
      <c r="N163" s="27">
        <f t="shared" si="10"/>
        <v>-5.684457485</v>
      </c>
      <c r="O163" s="24"/>
      <c r="P163" s="24"/>
      <c r="Q163" s="24"/>
      <c r="R163" s="26"/>
      <c r="S163" s="14">
        <f t="shared" si="13"/>
        <v>-5.220015313</v>
      </c>
      <c r="U163" s="21"/>
      <c r="V163" s="21"/>
    </row>
    <row r="164">
      <c r="A164" s="11">
        <v>152.0</v>
      </c>
      <c r="B164" s="11">
        <v>1.42005652173913E9</v>
      </c>
      <c r="C164" s="2">
        <v>-102.2330551</v>
      </c>
      <c r="D164" s="24">
        <f t="shared" si="1"/>
        <v>-343478.2609</v>
      </c>
      <c r="E164" s="25">
        <f t="shared" si="2"/>
        <v>71.62709831</v>
      </c>
      <c r="F164" s="24">
        <f t="shared" si="3"/>
        <v>0.00020853459</v>
      </c>
      <c r="G164" s="24">
        <f t="shared" si="4"/>
        <v>0</v>
      </c>
      <c r="H164" s="26">
        <f t="shared" si="5"/>
        <v>0</v>
      </c>
      <c r="I164" s="24">
        <f t="shared" si="6"/>
        <v>0</v>
      </c>
      <c r="J164" s="24">
        <f t="shared" si="7"/>
        <v>0</v>
      </c>
      <c r="K164" s="24"/>
      <c r="L164" s="24">
        <f t="shared" si="8"/>
        <v>454.779267</v>
      </c>
      <c r="M164" s="30">
        <f t="shared" si="9"/>
        <v>457.4088631</v>
      </c>
      <c r="N164" s="27">
        <f t="shared" si="10"/>
        <v>-2.629596089</v>
      </c>
      <c r="O164" s="24"/>
      <c r="P164" s="24"/>
      <c r="Q164" s="24"/>
      <c r="R164" s="26"/>
      <c r="S164" s="14">
        <f t="shared" si="13"/>
        <v>-2.414747919</v>
      </c>
      <c r="U164" s="21"/>
      <c r="V164" s="21"/>
    </row>
    <row r="165">
      <c r="A165" s="11">
        <v>153.0</v>
      </c>
      <c r="B165" s="11">
        <v>1.42006086956521E9</v>
      </c>
      <c r="C165" s="2">
        <v>-102.1872635</v>
      </c>
      <c r="D165" s="24">
        <f t="shared" si="1"/>
        <v>-339130.4348</v>
      </c>
      <c r="E165" s="25">
        <f t="shared" si="2"/>
        <v>70.70880218</v>
      </c>
      <c r="F165" s="24">
        <f t="shared" si="3"/>
        <v>0.0002085003141</v>
      </c>
      <c r="G165" s="24">
        <f t="shared" si="4"/>
        <v>0</v>
      </c>
      <c r="H165" s="26">
        <f t="shared" si="5"/>
        <v>0</v>
      </c>
      <c r="I165" s="24">
        <f t="shared" si="6"/>
        <v>0</v>
      </c>
      <c r="J165" s="24">
        <f t="shared" si="7"/>
        <v>0</v>
      </c>
      <c r="K165" s="24"/>
      <c r="L165" s="24">
        <f t="shared" si="8"/>
        <v>459.5997856</v>
      </c>
      <c r="M165" s="30">
        <f t="shared" si="9"/>
        <v>457.3225057</v>
      </c>
      <c r="N165" s="27">
        <f t="shared" si="10"/>
        <v>2.27727988</v>
      </c>
      <c r="O165" s="24"/>
      <c r="P165" s="24"/>
      <c r="Q165" s="24"/>
      <c r="R165" s="26"/>
      <c r="S165" s="14">
        <f t="shared" si="13"/>
        <v>2.091217307</v>
      </c>
      <c r="U165" s="21"/>
      <c r="V165" s="21"/>
    </row>
    <row r="166">
      <c r="A166" s="11">
        <v>154.0</v>
      </c>
      <c r="B166" s="11">
        <v>1.4200652173913E9</v>
      </c>
      <c r="C166" s="2">
        <v>-102.2397995</v>
      </c>
      <c r="D166" s="24">
        <f t="shared" si="1"/>
        <v>-334782.6087</v>
      </c>
      <c r="E166" s="25">
        <f t="shared" si="2"/>
        <v>69.79050604</v>
      </c>
      <c r="F166" s="24">
        <f t="shared" si="3"/>
        <v>0.0002084651479</v>
      </c>
      <c r="G166" s="24">
        <f t="shared" si="4"/>
        <v>0</v>
      </c>
      <c r="H166" s="26">
        <f t="shared" si="5"/>
        <v>0</v>
      </c>
      <c r="I166" s="24">
        <f t="shared" si="6"/>
        <v>0</v>
      </c>
      <c r="J166" s="24">
        <f t="shared" si="7"/>
        <v>0</v>
      </c>
      <c r="K166" s="24"/>
      <c r="L166" s="24">
        <f t="shared" si="8"/>
        <v>454.0735632</v>
      </c>
      <c r="M166" s="30">
        <f t="shared" si="9"/>
        <v>457.235987</v>
      </c>
      <c r="N166" s="27">
        <f t="shared" si="10"/>
        <v>-3.162423809</v>
      </c>
      <c r="O166" s="24"/>
      <c r="P166" s="24"/>
      <c r="Q166" s="24"/>
      <c r="R166" s="26"/>
      <c r="S166" s="14">
        <f t="shared" si="13"/>
        <v>-2.904041547</v>
      </c>
      <c r="U166" s="21"/>
      <c r="V166" s="21"/>
    </row>
    <row r="167">
      <c r="A167" s="11">
        <v>155.0</v>
      </c>
      <c r="B167" s="11">
        <v>1.42006956521739E9</v>
      </c>
      <c r="C167" s="2">
        <v>-102.2259674</v>
      </c>
      <c r="D167" s="24">
        <f t="shared" si="1"/>
        <v>-330434.7826</v>
      </c>
      <c r="E167" s="25">
        <f t="shared" si="2"/>
        <v>68.87220991</v>
      </c>
      <c r="F167" s="24">
        <f t="shared" si="3"/>
        <v>0.0002084290563</v>
      </c>
      <c r="G167" s="24">
        <f t="shared" si="4"/>
        <v>0</v>
      </c>
      <c r="H167" s="26">
        <f t="shared" si="5"/>
        <v>0</v>
      </c>
      <c r="I167" s="24">
        <f t="shared" si="6"/>
        <v>0</v>
      </c>
      <c r="J167" s="24">
        <f t="shared" si="7"/>
        <v>0</v>
      </c>
      <c r="K167" s="24"/>
      <c r="L167" s="24">
        <f t="shared" si="8"/>
        <v>455.5220742</v>
      </c>
      <c r="M167" s="30">
        <f t="shared" si="9"/>
        <v>457.1493072</v>
      </c>
      <c r="N167" s="27">
        <f t="shared" si="10"/>
        <v>-1.627232953</v>
      </c>
      <c r="O167" s="24"/>
      <c r="P167" s="24"/>
      <c r="Q167" s="24"/>
      <c r="R167" s="26"/>
      <c r="S167" s="14">
        <f t="shared" si="13"/>
        <v>-1.494281728</v>
      </c>
      <c r="U167" s="21"/>
      <c r="V167" s="21"/>
    </row>
    <row r="168">
      <c r="A168" s="11">
        <v>156.0</v>
      </c>
      <c r="B168" s="11">
        <v>1.42007391304347E9</v>
      </c>
      <c r="C168" s="2">
        <v>-102.2611923</v>
      </c>
      <c r="D168" s="24">
        <f t="shared" si="1"/>
        <v>-326086.9565</v>
      </c>
      <c r="E168" s="25">
        <f t="shared" si="2"/>
        <v>67.95391378</v>
      </c>
      <c r="F168" s="24">
        <f t="shared" si="3"/>
        <v>0.0002083920023</v>
      </c>
      <c r="G168" s="24">
        <f t="shared" si="4"/>
        <v>0</v>
      </c>
      <c r="H168" s="26">
        <f t="shared" si="5"/>
        <v>0</v>
      </c>
      <c r="I168" s="24">
        <f t="shared" si="6"/>
        <v>0</v>
      </c>
      <c r="J168" s="24">
        <f t="shared" si="7"/>
        <v>0</v>
      </c>
      <c r="K168" s="24"/>
      <c r="L168" s="24">
        <f t="shared" si="8"/>
        <v>451.8423537</v>
      </c>
      <c r="M168" s="30">
        <f t="shared" si="9"/>
        <v>457.0624664</v>
      </c>
      <c r="N168" s="27">
        <f t="shared" si="10"/>
        <v>-5.220112668</v>
      </c>
      <c r="O168" s="24"/>
      <c r="P168" s="24"/>
      <c r="Q168" s="24"/>
      <c r="R168" s="26"/>
      <c r="S168" s="14">
        <f t="shared" si="13"/>
        <v>-4.793609276</v>
      </c>
      <c r="U168" s="21"/>
      <c r="V168" s="21"/>
    </row>
    <row r="169">
      <c r="A169" s="11">
        <v>157.0</v>
      </c>
      <c r="B169" s="11">
        <v>1.42007826086956E9</v>
      </c>
      <c r="C169" s="2">
        <v>-102.2549438</v>
      </c>
      <c r="D169" s="24">
        <f t="shared" si="1"/>
        <v>-321739.1304</v>
      </c>
      <c r="E169" s="25">
        <f t="shared" si="2"/>
        <v>67.03561765</v>
      </c>
      <c r="F169" s="24">
        <f t="shared" si="3"/>
        <v>0.0002083539467</v>
      </c>
      <c r="G169" s="24">
        <f t="shared" si="4"/>
        <v>0</v>
      </c>
      <c r="H169" s="26">
        <f t="shared" si="5"/>
        <v>0</v>
      </c>
      <c r="I169" s="24">
        <f t="shared" si="6"/>
        <v>0</v>
      </c>
      <c r="J169" s="24">
        <f t="shared" si="7"/>
        <v>0</v>
      </c>
      <c r="K169" s="24"/>
      <c r="L169" s="24">
        <f t="shared" si="8"/>
        <v>452.492919</v>
      </c>
      <c r="M169" s="30">
        <f t="shared" si="9"/>
        <v>456.9754648</v>
      </c>
      <c r="N169" s="27">
        <f t="shared" si="10"/>
        <v>-4.48254582</v>
      </c>
      <c r="O169" s="24"/>
      <c r="P169" s="24"/>
      <c r="Q169" s="24"/>
      <c r="R169" s="26"/>
      <c r="S169" s="14">
        <f t="shared" si="13"/>
        <v>-4.116304482</v>
      </c>
      <c r="U169" s="21"/>
      <c r="V169" s="21"/>
    </row>
    <row r="170">
      <c r="A170" s="11">
        <v>158.0</v>
      </c>
      <c r="B170" s="11">
        <v>1.42008260869565E9</v>
      </c>
      <c r="C170" s="2">
        <v>-102.2458191</v>
      </c>
      <c r="D170" s="24">
        <f t="shared" si="1"/>
        <v>-317391.3043</v>
      </c>
      <c r="E170" s="25">
        <f t="shared" si="2"/>
        <v>66.11732152</v>
      </c>
      <c r="F170" s="24">
        <f t="shared" si="3"/>
        <v>0.0002083148486</v>
      </c>
      <c r="G170" s="24">
        <f t="shared" si="4"/>
        <v>0</v>
      </c>
      <c r="H170" s="26">
        <f t="shared" si="5"/>
        <v>0</v>
      </c>
      <c r="I170" s="24">
        <f t="shared" si="6"/>
        <v>0</v>
      </c>
      <c r="J170" s="24">
        <f t="shared" si="7"/>
        <v>0</v>
      </c>
      <c r="K170" s="24"/>
      <c r="L170" s="24">
        <f t="shared" si="8"/>
        <v>453.4446241</v>
      </c>
      <c r="M170" s="30">
        <f t="shared" si="9"/>
        <v>456.8883025</v>
      </c>
      <c r="N170" s="27">
        <f t="shared" si="10"/>
        <v>-3.443678459</v>
      </c>
      <c r="O170" s="24"/>
      <c r="P170" s="24"/>
      <c r="Q170" s="24"/>
      <c r="R170" s="26"/>
      <c r="S170" s="14">
        <f t="shared" si="13"/>
        <v>-3.162316611</v>
      </c>
      <c r="U170" s="21"/>
      <c r="V170" s="21"/>
    </row>
    <row r="171">
      <c r="A171" s="11">
        <v>159.0</v>
      </c>
      <c r="B171" s="11">
        <v>1.42008695652173E9</v>
      </c>
      <c r="C171" s="2">
        <v>-102.2635727</v>
      </c>
      <c r="D171" s="24">
        <f t="shared" si="1"/>
        <v>-313043.4783</v>
      </c>
      <c r="E171" s="25">
        <f t="shared" si="2"/>
        <v>65.19902538</v>
      </c>
      <c r="F171" s="24">
        <f t="shared" si="3"/>
        <v>0.0002082746644</v>
      </c>
      <c r="G171" s="24">
        <f t="shared" si="4"/>
        <v>0</v>
      </c>
      <c r="H171" s="26">
        <f t="shared" si="5"/>
        <v>0</v>
      </c>
      <c r="I171" s="24">
        <f t="shared" si="6"/>
        <v>0</v>
      </c>
      <c r="J171" s="24">
        <f t="shared" si="7"/>
        <v>0</v>
      </c>
      <c r="K171" s="24"/>
      <c r="L171" s="24">
        <f t="shared" si="8"/>
        <v>451.5947635</v>
      </c>
      <c r="M171" s="30">
        <f t="shared" si="9"/>
        <v>456.8009797</v>
      </c>
      <c r="N171" s="27">
        <f t="shared" si="10"/>
        <v>-5.20621621</v>
      </c>
      <c r="O171" s="24"/>
      <c r="P171" s="24"/>
      <c r="Q171" s="24"/>
      <c r="R171" s="26"/>
      <c r="S171" s="14">
        <f t="shared" si="13"/>
        <v>-4.780848212</v>
      </c>
      <c r="U171" s="21"/>
      <c r="V171" s="21"/>
    </row>
    <row r="172">
      <c r="A172" s="11">
        <v>160.0</v>
      </c>
      <c r="B172" s="11">
        <v>1.42009130434782E9</v>
      </c>
      <c r="C172" s="2">
        <v>-102.2232208</v>
      </c>
      <c r="D172" s="24">
        <f t="shared" si="1"/>
        <v>-308695.6522</v>
      </c>
      <c r="E172" s="25">
        <f t="shared" si="2"/>
        <v>64.28072925</v>
      </c>
      <c r="F172" s="24">
        <f t="shared" si="3"/>
        <v>0.0002082333483</v>
      </c>
      <c r="G172" s="24">
        <f t="shared" si="4"/>
        <v>0</v>
      </c>
      <c r="H172" s="26">
        <f t="shared" si="5"/>
        <v>0</v>
      </c>
      <c r="I172" s="24">
        <f t="shared" si="6"/>
        <v>0</v>
      </c>
      <c r="J172" s="24">
        <f t="shared" si="7"/>
        <v>0</v>
      </c>
      <c r="K172" s="24"/>
      <c r="L172" s="24">
        <f t="shared" si="8"/>
        <v>455.8102503</v>
      </c>
      <c r="M172" s="30">
        <f t="shared" si="9"/>
        <v>456.7134965</v>
      </c>
      <c r="N172" s="27">
        <f t="shared" si="10"/>
        <v>-0.9032461847</v>
      </c>
      <c r="O172" s="24"/>
      <c r="P172" s="24"/>
      <c r="Q172" s="24"/>
      <c r="R172" s="26"/>
      <c r="S172" s="14">
        <f t="shared" si="13"/>
        <v>-0.8294474784</v>
      </c>
      <c r="U172" s="21"/>
      <c r="V172" s="21"/>
    </row>
    <row r="173">
      <c r="A173" s="11">
        <v>161.0</v>
      </c>
      <c r="B173" s="11">
        <v>1.42009565217391E9</v>
      </c>
      <c r="C173" s="2">
        <v>-102.2030411</v>
      </c>
      <c r="D173" s="24">
        <f t="shared" si="1"/>
        <v>-304347.8261</v>
      </c>
      <c r="E173" s="25">
        <f t="shared" si="2"/>
        <v>63.36243312</v>
      </c>
      <c r="F173" s="24">
        <f t="shared" si="3"/>
        <v>0.0002081908517</v>
      </c>
      <c r="G173" s="24">
        <f t="shared" si="4"/>
        <v>0</v>
      </c>
      <c r="H173" s="26">
        <f t="shared" si="5"/>
        <v>0</v>
      </c>
      <c r="I173" s="24">
        <f t="shared" si="6"/>
        <v>0</v>
      </c>
      <c r="J173" s="24">
        <f t="shared" si="7"/>
        <v>0</v>
      </c>
      <c r="K173" s="24"/>
      <c r="L173" s="24">
        <f t="shared" si="8"/>
        <v>457.9331225</v>
      </c>
      <c r="M173" s="30">
        <f t="shared" si="9"/>
        <v>456.6258529</v>
      </c>
      <c r="N173" s="27">
        <f t="shared" si="10"/>
        <v>1.307269565</v>
      </c>
      <c r="O173" s="24"/>
      <c r="P173" s="24"/>
      <c r="Q173" s="24"/>
      <c r="R173" s="26"/>
      <c r="S173" s="14">
        <f t="shared" si="13"/>
        <v>1.200460583</v>
      </c>
      <c r="U173" s="21"/>
      <c r="V173" s="21"/>
    </row>
    <row r="174">
      <c r="A174" s="11">
        <v>162.0</v>
      </c>
      <c r="B174" s="11">
        <v>1.4201E9</v>
      </c>
      <c r="C174" s="2">
        <v>-102.2944794</v>
      </c>
      <c r="D174" s="24">
        <f t="shared" si="1"/>
        <v>-300000</v>
      </c>
      <c r="E174" s="25">
        <f t="shared" si="2"/>
        <v>62.44413699</v>
      </c>
      <c r="F174" s="24">
        <f t="shared" si="3"/>
        <v>0.0002081471233</v>
      </c>
      <c r="G174" s="24">
        <f t="shared" si="4"/>
        <v>0</v>
      </c>
      <c r="H174" s="26">
        <f t="shared" si="5"/>
        <v>0</v>
      </c>
      <c r="I174" s="24">
        <f t="shared" si="6"/>
        <v>0</v>
      </c>
      <c r="J174" s="24">
        <f t="shared" si="7"/>
        <v>0</v>
      </c>
      <c r="K174" s="24"/>
      <c r="L174" s="24">
        <f t="shared" si="8"/>
        <v>448.3923839</v>
      </c>
      <c r="M174" s="30">
        <f t="shared" si="9"/>
        <v>456.5380493</v>
      </c>
      <c r="N174" s="27">
        <f t="shared" si="10"/>
        <v>-8.145665365</v>
      </c>
      <c r="O174" s="24"/>
      <c r="P174" s="24"/>
      <c r="Q174" s="24"/>
      <c r="R174" s="26"/>
      <c r="S174" s="14">
        <f t="shared" si="13"/>
        <v>-7.480133004</v>
      </c>
      <c r="U174" s="21"/>
      <c r="V174" s="21"/>
    </row>
    <row r="175">
      <c r="A175" s="11">
        <v>163.0</v>
      </c>
      <c r="B175" s="11">
        <v>1.42010434782608E9</v>
      </c>
      <c r="C175" s="2">
        <v>-102.3014908</v>
      </c>
      <c r="D175" s="24">
        <f t="shared" si="1"/>
        <v>-295652.1739</v>
      </c>
      <c r="E175" s="25">
        <f t="shared" si="2"/>
        <v>61.52584085</v>
      </c>
      <c r="F175" s="24">
        <f t="shared" si="3"/>
        <v>0.0002081021088</v>
      </c>
      <c r="G175" s="24">
        <f t="shared" si="4"/>
        <v>0</v>
      </c>
      <c r="H175" s="26">
        <f t="shared" si="5"/>
        <v>0</v>
      </c>
      <c r="I175" s="24">
        <f t="shared" si="6"/>
        <v>0</v>
      </c>
      <c r="J175" s="24">
        <f t="shared" si="7"/>
        <v>0</v>
      </c>
      <c r="K175" s="24"/>
      <c r="L175" s="24">
        <f t="shared" si="8"/>
        <v>447.6690678</v>
      </c>
      <c r="M175" s="30">
        <f t="shared" si="9"/>
        <v>456.4500857</v>
      </c>
      <c r="N175" s="27">
        <f t="shared" si="10"/>
        <v>-8.781017843</v>
      </c>
      <c r="O175" s="24"/>
      <c r="P175" s="24"/>
      <c r="Q175" s="24"/>
      <c r="R175" s="26"/>
      <c r="S175" s="14">
        <f t="shared" si="13"/>
        <v>-8.063574727</v>
      </c>
      <c r="U175" s="21"/>
      <c r="V175" s="21"/>
    </row>
    <row r="176">
      <c r="A176" s="11">
        <v>164.0</v>
      </c>
      <c r="B176" s="11">
        <v>1.42010869565217E9</v>
      </c>
      <c r="C176" s="2">
        <v>-102.2799301</v>
      </c>
      <c r="D176" s="24">
        <f t="shared" si="1"/>
        <v>-291304.3478</v>
      </c>
      <c r="E176" s="25">
        <f t="shared" si="2"/>
        <v>60.60754472</v>
      </c>
      <c r="F176" s="24">
        <f t="shared" si="3"/>
        <v>0.0002080557505</v>
      </c>
      <c r="G176" s="24">
        <f t="shared" si="4"/>
        <v>0</v>
      </c>
      <c r="H176" s="26">
        <f t="shared" si="5"/>
        <v>0</v>
      </c>
      <c r="I176" s="24">
        <f t="shared" si="6"/>
        <v>0</v>
      </c>
      <c r="J176" s="24">
        <f t="shared" si="7"/>
        <v>0</v>
      </c>
      <c r="K176" s="24"/>
      <c r="L176" s="24">
        <f t="shared" si="8"/>
        <v>449.8970623</v>
      </c>
      <c r="M176" s="30">
        <f t="shared" si="9"/>
        <v>456.3619622</v>
      </c>
      <c r="N176" s="27">
        <f t="shared" si="10"/>
        <v>-6.464899865</v>
      </c>
      <c r="O176" s="24"/>
      <c r="P176" s="24"/>
      <c r="Q176" s="24"/>
      <c r="R176" s="26"/>
      <c r="S176" s="14">
        <f t="shared" si="13"/>
        <v>-5.936692531</v>
      </c>
      <c r="U176" s="21"/>
      <c r="V176" s="21"/>
    </row>
    <row r="177">
      <c r="A177" s="11">
        <v>165.0</v>
      </c>
      <c r="B177" s="11">
        <v>1.42011304347826E9</v>
      </c>
      <c r="C177" s="2">
        <v>-102.2762909</v>
      </c>
      <c r="D177" s="24">
        <f t="shared" si="1"/>
        <v>-286956.5217</v>
      </c>
      <c r="E177" s="25">
        <f t="shared" si="2"/>
        <v>59.68924859</v>
      </c>
      <c r="F177" s="24">
        <f t="shared" si="3"/>
        <v>0.0002080079875</v>
      </c>
      <c r="G177" s="24">
        <f t="shared" si="4"/>
        <v>0</v>
      </c>
      <c r="H177" s="26">
        <f t="shared" si="5"/>
        <v>0</v>
      </c>
      <c r="I177" s="24">
        <f t="shared" si="6"/>
        <v>0</v>
      </c>
      <c r="J177" s="24">
        <f t="shared" si="7"/>
        <v>0</v>
      </c>
      <c r="K177" s="24"/>
      <c r="L177" s="24">
        <f t="shared" si="8"/>
        <v>450.2742146</v>
      </c>
      <c r="M177" s="30">
        <f t="shared" si="9"/>
        <v>456.273679</v>
      </c>
      <c r="N177" s="27">
        <f t="shared" si="10"/>
        <v>-5.99946439</v>
      </c>
      <c r="O177" s="24"/>
      <c r="P177" s="24"/>
      <c r="Q177" s="24"/>
      <c r="R177" s="26"/>
      <c r="S177" s="14">
        <f t="shared" si="13"/>
        <v>-5.509284948</v>
      </c>
      <c r="U177" s="21"/>
      <c r="V177" s="21"/>
    </row>
    <row r="178">
      <c r="A178" s="11">
        <v>166.0</v>
      </c>
      <c r="B178" s="11">
        <v>1.42011739130434E9</v>
      </c>
      <c r="C178" s="2">
        <v>-102.2624588</v>
      </c>
      <c r="D178" s="24">
        <f t="shared" si="1"/>
        <v>-282608.6957</v>
      </c>
      <c r="E178" s="25">
        <f t="shared" si="2"/>
        <v>58.77095246</v>
      </c>
      <c r="F178" s="24">
        <f t="shared" si="3"/>
        <v>0.0002079587548</v>
      </c>
      <c r="G178" s="24">
        <f t="shared" si="4"/>
        <v>0</v>
      </c>
      <c r="H178" s="26">
        <f t="shared" si="5"/>
        <v>0</v>
      </c>
      <c r="I178" s="24">
        <f t="shared" si="6"/>
        <v>0</v>
      </c>
      <c r="J178" s="24">
        <f t="shared" si="7"/>
        <v>0</v>
      </c>
      <c r="K178" s="24"/>
      <c r="L178" s="24">
        <f t="shared" si="8"/>
        <v>451.7106056</v>
      </c>
      <c r="M178" s="30">
        <f t="shared" si="9"/>
        <v>456.1852362</v>
      </c>
      <c r="N178" s="27">
        <f t="shared" si="10"/>
        <v>-4.474630631</v>
      </c>
      <c r="O178" s="24"/>
      <c r="P178" s="24"/>
      <c r="Q178" s="24"/>
      <c r="R178" s="26"/>
      <c r="S178" s="14">
        <f t="shared" si="13"/>
        <v>-4.109036004</v>
      </c>
      <c r="U178" s="21"/>
      <c r="V178" s="21"/>
    </row>
    <row r="179">
      <c r="A179" s="11">
        <v>167.0</v>
      </c>
      <c r="B179" s="11">
        <v>1.42012173913043E9</v>
      </c>
      <c r="C179" s="2">
        <v>-102.3139801</v>
      </c>
      <c r="D179" s="24">
        <f t="shared" si="1"/>
        <v>-278260.8696</v>
      </c>
      <c r="E179" s="25">
        <f t="shared" si="2"/>
        <v>57.85265632</v>
      </c>
      <c r="F179" s="24">
        <f t="shared" si="3"/>
        <v>0.0002079079837</v>
      </c>
      <c r="G179" s="24">
        <f t="shared" si="4"/>
        <v>0</v>
      </c>
      <c r="H179" s="26">
        <f t="shared" si="5"/>
        <v>0</v>
      </c>
      <c r="I179" s="24">
        <f t="shared" si="6"/>
        <v>0</v>
      </c>
      <c r="J179" s="24">
        <f t="shared" si="7"/>
        <v>0</v>
      </c>
      <c r="K179" s="24"/>
      <c r="L179" s="24">
        <f t="shared" si="8"/>
        <v>446.383525</v>
      </c>
      <c r="M179" s="30">
        <f t="shared" si="9"/>
        <v>456.096634</v>
      </c>
      <c r="N179" s="27">
        <f t="shared" si="10"/>
        <v>-9.713109073</v>
      </c>
      <c r="O179" s="24"/>
      <c r="P179" s="24"/>
      <c r="Q179" s="24"/>
      <c r="R179" s="26"/>
      <c r="S179" s="14">
        <f t="shared" si="13"/>
        <v>-8.919510478</v>
      </c>
      <c r="U179" s="21"/>
      <c r="V179" s="21"/>
    </row>
    <row r="180">
      <c r="A180" s="11">
        <v>168.0</v>
      </c>
      <c r="B180" s="11">
        <v>1.42012608695652E9</v>
      </c>
      <c r="C180" s="2">
        <v>-102.2113876</v>
      </c>
      <c r="D180" s="24">
        <f t="shared" si="1"/>
        <v>-273913.0435</v>
      </c>
      <c r="E180" s="25">
        <f t="shared" si="2"/>
        <v>56.93436019</v>
      </c>
      <c r="F180" s="24">
        <f t="shared" si="3"/>
        <v>0.0002078556007</v>
      </c>
      <c r="G180" s="24">
        <f t="shared" si="4"/>
        <v>0</v>
      </c>
      <c r="H180" s="26">
        <f t="shared" si="5"/>
        <v>0</v>
      </c>
      <c r="I180" s="24">
        <f t="shared" si="6"/>
        <v>0</v>
      </c>
      <c r="J180" s="24">
        <f t="shared" si="7"/>
        <v>0</v>
      </c>
      <c r="K180" s="24"/>
      <c r="L180" s="24">
        <f t="shared" si="8"/>
        <v>457.0538877</v>
      </c>
      <c r="M180" s="30">
        <f t="shared" si="9"/>
        <v>456.0078726</v>
      </c>
      <c r="N180" s="27">
        <f t="shared" si="10"/>
        <v>1.046015109</v>
      </c>
      <c r="O180" s="24"/>
      <c r="P180" s="24"/>
      <c r="Q180" s="24"/>
      <c r="R180" s="26"/>
      <c r="S180" s="14">
        <f t="shared" si="13"/>
        <v>0.9605516295</v>
      </c>
      <c r="U180" s="21"/>
      <c r="V180" s="21"/>
    </row>
    <row r="181">
      <c r="A181" s="11">
        <v>169.0</v>
      </c>
      <c r="B181" s="11">
        <v>1.4201304347826E9</v>
      </c>
      <c r="C181" s="2">
        <v>-102.2321243</v>
      </c>
      <c r="D181" s="24">
        <f t="shared" si="1"/>
        <v>-269565.2174</v>
      </c>
      <c r="E181" s="25">
        <f t="shared" si="2"/>
        <v>56.01606406</v>
      </c>
      <c r="F181" s="24">
        <f t="shared" si="3"/>
        <v>0.000207801528</v>
      </c>
      <c r="G181" s="24">
        <f t="shared" si="4"/>
        <v>0</v>
      </c>
      <c r="H181" s="26">
        <f t="shared" si="5"/>
        <v>0</v>
      </c>
      <c r="I181" s="24">
        <f t="shared" si="6"/>
        <v>0</v>
      </c>
      <c r="J181" s="24">
        <f t="shared" si="7"/>
        <v>0</v>
      </c>
      <c r="K181" s="24"/>
      <c r="L181" s="24">
        <f t="shared" si="8"/>
        <v>454.8767479</v>
      </c>
      <c r="M181" s="30">
        <f t="shared" si="9"/>
        <v>455.9189519</v>
      </c>
      <c r="N181" s="27">
        <f t="shared" si="10"/>
        <v>-1.042204065</v>
      </c>
      <c r="O181" s="24"/>
      <c r="P181" s="24"/>
      <c r="Q181" s="24"/>
      <c r="R181" s="26"/>
      <c r="S181" s="14">
        <f t="shared" si="13"/>
        <v>-0.9570519628</v>
      </c>
      <c r="U181" s="21"/>
      <c r="V181" s="21"/>
    </row>
    <row r="182">
      <c r="A182" s="11">
        <v>170.0</v>
      </c>
      <c r="B182" s="11">
        <v>1.42013478260869E9</v>
      </c>
      <c r="C182" s="2">
        <v>-102.3118896</v>
      </c>
      <c r="D182" s="24">
        <f t="shared" si="1"/>
        <v>-265217.3913</v>
      </c>
      <c r="E182" s="25">
        <f t="shared" si="2"/>
        <v>55.09776793</v>
      </c>
      <c r="F182" s="24">
        <f t="shared" si="3"/>
        <v>0.0002077456823</v>
      </c>
      <c r="G182" s="24">
        <f t="shared" si="4"/>
        <v>0</v>
      </c>
      <c r="H182" s="26">
        <f t="shared" si="5"/>
        <v>0</v>
      </c>
      <c r="I182" s="24">
        <f t="shared" si="6"/>
        <v>0</v>
      </c>
      <c r="J182" s="24">
        <f t="shared" si="7"/>
        <v>0</v>
      </c>
      <c r="K182" s="24"/>
      <c r="L182" s="24">
        <f t="shared" si="8"/>
        <v>446.5984458</v>
      </c>
      <c r="M182" s="30">
        <f t="shared" si="9"/>
        <v>455.8298723</v>
      </c>
      <c r="N182" s="27">
        <f t="shared" si="10"/>
        <v>-9.23142647</v>
      </c>
      <c r="O182" s="24"/>
      <c r="P182" s="24"/>
      <c r="Q182" s="24"/>
      <c r="R182" s="26"/>
      <c r="S182" s="14">
        <f t="shared" si="13"/>
        <v>-8.477183227</v>
      </c>
      <c r="U182" s="21"/>
      <c r="V182" s="21"/>
    </row>
    <row r="183">
      <c r="A183" s="11">
        <v>171.0</v>
      </c>
      <c r="B183" s="11">
        <v>1.42013913043478E9</v>
      </c>
      <c r="C183" s="2">
        <v>-102.3122482</v>
      </c>
      <c r="D183" s="24">
        <f t="shared" si="1"/>
        <v>-260869.5652</v>
      </c>
      <c r="E183" s="25">
        <f t="shared" si="2"/>
        <v>54.1794718</v>
      </c>
      <c r="F183" s="24">
        <f t="shared" si="3"/>
        <v>0.0002076879752</v>
      </c>
      <c r="G183" s="24">
        <f t="shared" si="4"/>
        <v>0</v>
      </c>
      <c r="H183" s="26">
        <f t="shared" si="5"/>
        <v>0</v>
      </c>
      <c r="I183" s="24">
        <f t="shared" si="6"/>
        <v>0</v>
      </c>
      <c r="J183" s="24">
        <f t="shared" si="7"/>
        <v>0</v>
      </c>
      <c r="K183" s="24"/>
      <c r="L183" s="24">
        <f t="shared" si="8"/>
        <v>446.5615714</v>
      </c>
      <c r="M183" s="30">
        <f t="shared" si="9"/>
        <v>455.7406338</v>
      </c>
      <c r="N183" s="27">
        <f t="shared" si="10"/>
        <v>-9.179062381</v>
      </c>
      <c r="O183" s="24"/>
      <c r="P183" s="24"/>
      <c r="Q183" s="24"/>
      <c r="R183" s="26"/>
      <c r="S183" s="14">
        <f t="shared" si="13"/>
        <v>-8.429097468</v>
      </c>
      <c r="U183" s="21"/>
      <c r="V183" s="21"/>
    </row>
    <row r="184">
      <c r="A184" s="11">
        <v>172.0</v>
      </c>
      <c r="B184" s="11">
        <v>1.42014347826087E9</v>
      </c>
      <c r="C184" s="2">
        <v>-102.273735</v>
      </c>
      <c r="D184" s="24">
        <f t="shared" si="1"/>
        <v>-256521.7391</v>
      </c>
      <c r="E184" s="25">
        <f t="shared" si="2"/>
        <v>53.26117567</v>
      </c>
      <c r="F184" s="24">
        <f t="shared" si="3"/>
        <v>0.0002076283119</v>
      </c>
      <c r="G184" s="24">
        <f t="shared" si="4"/>
        <v>0</v>
      </c>
      <c r="H184" s="26">
        <f t="shared" si="5"/>
        <v>0</v>
      </c>
      <c r="I184" s="24">
        <f t="shared" si="6"/>
        <v>0</v>
      </c>
      <c r="J184" s="24">
        <f t="shared" si="7"/>
        <v>0</v>
      </c>
      <c r="K184" s="24"/>
      <c r="L184" s="24">
        <f t="shared" si="8"/>
        <v>450.539287</v>
      </c>
      <c r="M184" s="30">
        <f t="shared" si="9"/>
        <v>455.6512365</v>
      </c>
      <c r="N184" s="27">
        <f t="shared" si="10"/>
        <v>-5.111949579</v>
      </c>
      <c r="O184" s="24"/>
      <c r="P184" s="24"/>
      <c r="Q184" s="24"/>
      <c r="R184" s="26"/>
      <c r="S184" s="14">
        <f t="shared" si="13"/>
        <v>-4.694283529</v>
      </c>
      <c r="U184" s="21"/>
      <c r="V184" s="21"/>
    </row>
    <row r="185">
      <c r="A185" s="11">
        <v>173.0</v>
      </c>
      <c r="B185" s="11">
        <v>1.42014782608695E9</v>
      </c>
      <c r="C185" s="2">
        <v>-102.1925201</v>
      </c>
      <c r="D185" s="24">
        <f t="shared" si="1"/>
        <v>-252173.913</v>
      </c>
      <c r="E185" s="25">
        <f t="shared" si="2"/>
        <v>52.34287953</v>
      </c>
      <c r="F185" s="24">
        <f t="shared" si="3"/>
        <v>0.0002075665912</v>
      </c>
      <c r="G185" s="24">
        <f t="shared" si="4"/>
        <v>0</v>
      </c>
      <c r="H185" s="26">
        <f t="shared" si="5"/>
        <v>0</v>
      </c>
      <c r="I185" s="24">
        <f t="shared" si="6"/>
        <v>0</v>
      </c>
      <c r="J185" s="24">
        <f t="shared" si="7"/>
        <v>0</v>
      </c>
      <c r="K185" s="24"/>
      <c r="L185" s="24">
        <f t="shared" si="8"/>
        <v>459.0438331</v>
      </c>
      <c r="M185" s="30">
        <f t="shared" si="9"/>
        <v>455.5616807</v>
      </c>
      <c r="N185" s="27">
        <f t="shared" si="10"/>
        <v>3.482152423</v>
      </c>
      <c r="O185" s="24"/>
      <c r="P185" s="24"/>
      <c r="Q185" s="24"/>
      <c r="R185" s="26"/>
      <c r="S185" s="14">
        <f t="shared" si="13"/>
        <v>3.197647104</v>
      </c>
      <c r="U185" s="21"/>
      <c r="V185" s="21"/>
    </row>
    <row r="186">
      <c r="A186" s="11">
        <v>174.0</v>
      </c>
      <c r="B186" s="11">
        <v>1.42015217391304E9</v>
      </c>
      <c r="C186" s="2">
        <v>-102.2873917</v>
      </c>
      <c r="D186" s="24">
        <f t="shared" si="1"/>
        <v>-247826.087</v>
      </c>
      <c r="E186" s="25">
        <f t="shared" si="2"/>
        <v>51.4245834</v>
      </c>
      <c r="F186" s="24">
        <f t="shared" si="3"/>
        <v>0.0002075027049</v>
      </c>
      <c r="G186" s="24">
        <f t="shared" si="4"/>
        <v>0</v>
      </c>
      <c r="H186" s="26">
        <f t="shared" si="5"/>
        <v>0</v>
      </c>
      <c r="I186" s="24">
        <f t="shared" si="6"/>
        <v>0</v>
      </c>
      <c r="J186" s="24">
        <f t="shared" si="7"/>
        <v>0</v>
      </c>
      <c r="K186" s="24"/>
      <c r="L186" s="24">
        <f t="shared" si="8"/>
        <v>449.1247592</v>
      </c>
      <c r="M186" s="30">
        <f t="shared" si="9"/>
        <v>455.4719664</v>
      </c>
      <c r="N186" s="27">
        <f t="shared" si="10"/>
        <v>-6.3472072</v>
      </c>
      <c r="O186" s="24"/>
      <c r="P186" s="24"/>
      <c r="Q186" s="24"/>
      <c r="R186" s="26"/>
      <c r="S186" s="14">
        <f t="shared" si="13"/>
        <v>-5.828615813</v>
      </c>
      <c r="U186" s="21"/>
      <c r="V186" s="21"/>
    </row>
    <row r="187">
      <c r="A187" s="11">
        <v>175.0</v>
      </c>
      <c r="B187" s="11">
        <v>1.42015652173913E9</v>
      </c>
      <c r="C187" s="2">
        <v>-102.2998505</v>
      </c>
      <c r="D187" s="24">
        <f t="shared" si="1"/>
        <v>-243478.2609</v>
      </c>
      <c r="E187" s="25">
        <f t="shared" si="2"/>
        <v>50.50628727</v>
      </c>
      <c r="F187" s="24">
        <f t="shared" si="3"/>
        <v>0.000207436537</v>
      </c>
      <c r="G187" s="24">
        <f t="shared" si="4"/>
        <v>0</v>
      </c>
      <c r="H187" s="26">
        <f t="shared" si="5"/>
        <v>0</v>
      </c>
      <c r="I187" s="24">
        <f t="shared" si="6"/>
        <v>0</v>
      </c>
      <c r="J187" s="24">
        <f t="shared" si="7"/>
        <v>0</v>
      </c>
      <c r="K187" s="24"/>
      <c r="L187" s="24">
        <f t="shared" si="8"/>
        <v>447.8381813</v>
      </c>
      <c r="M187" s="30">
        <f t="shared" si="9"/>
        <v>455.3820938</v>
      </c>
      <c r="N187" s="27">
        <f t="shared" si="10"/>
        <v>-7.543912569</v>
      </c>
      <c r="O187" s="24"/>
      <c r="P187" s="24"/>
      <c r="Q187" s="24"/>
      <c r="R187" s="26"/>
      <c r="S187" s="14">
        <f t="shared" si="13"/>
        <v>-6.927545738</v>
      </c>
      <c r="U187" s="21"/>
      <c r="V187" s="21"/>
    </row>
    <row r="188">
      <c r="A188" s="11">
        <v>176.0</v>
      </c>
      <c r="B188" s="11">
        <v>1.42016086956521E9</v>
      </c>
      <c r="C188" s="2">
        <v>-102.3247147</v>
      </c>
      <c r="D188" s="24">
        <f t="shared" si="1"/>
        <v>-239130.4348</v>
      </c>
      <c r="E188" s="25">
        <f t="shared" si="2"/>
        <v>49.58799114</v>
      </c>
      <c r="F188" s="24">
        <f t="shared" si="3"/>
        <v>0.0002073679629</v>
      </c>
      <c r="G188" s="24">
        <f t="shared" si="4"/>
        <v>0</v>
      </c>
      <c r="H188" s="26">
        <f t="shared" si="5"/>
        <v>0</v>
      </c>
      <c r="I188" s="24">
        <f t="shared" si="6"/>
        <v>0</v>
      </c>
      <c r="J188" s="24">
        <f t="shared" si="7"/>
        <v>0</v>
      </c>
      <c r="K188" s="24"/>
      <c r="L188" s="24">
        <f t="shared" si="8"/>
        <v>445.2815465</v>
      </c>
      <c r="M188" s="30">
        <f t="shared" si="9"/>
        <v>455.2920631</v>
      </c>
      <c r="N188" s="27">
        <f t="shared" si="10"/>
        <v>-10.0105165</v>
      </c>
      <c r="O188" s="24"/>
      <c r="P188" s="24"/>
      <c r="Q188" s="24"/>
      <c r="R188" s="26"/>
      <c r="S188" s="14">
        <f t="shared" si="13"/>
        <v>-9.192618593</v>
      </c>
      <c r="U188" s="21"/>
      <c r="V188" s="21"/>
    </row>
    <row r="189">
      <c r="A189" s="11">
        <v>177.0</v>
      </c>
      <c r="B189" s="11">
        <v>1.4201652173913E9</v>
      </c>
      <c r="C189" s="2">
        <v>-102.2687683</v>
      </c>
      <c r="D189" s="24">
        <f t="shared" si="1"/>
        <v>-234782.6087</v>
      </c>
      <c r="E189" s="25">
        <f t="shared" si="2"/>
        <v>48.669695</v>
      </c>
      <c r="F189" s="24">
        <f t="shared" si="3"/>
        <v>0.0002072968491</v>
      </c>
      <c r="G189" s="24">
        <f t="shared" si="4"/>
        <v>0</v>
      </c>
      <c r="H189" s="26">
        <f t="shared" si="5"/>
        <v>0</v>
      </c>
      <c r="I189" s="24">
        <f t="shared" si="6"/>
        <v>0</v>
      </c>
      <c r="J189" s="24">
        <f t="shared" si="7"/>
        <v>0</v>
      </c>
      <c r="K189" s="24"/>
      <c r="L189" s="24">
        <f t="shared" si="8"/>
        <v>451.0548297</v>
      </c>
      <c r="M189" s="30">
        <f t="shared" si="9"/>
        <v>455.2018743</v>
      </c>
      <c r="N189" s="27">
        <f t="shared" si="10"/>
        <v>-4.147044591</v>
      </c>
      <c r="O189" s="24"/>
      <c r="P189" s="24"/>
      <c r="Q189" s="24"/>
      <c r="R189" s="26"/>
      <c r="S189" s="14">
        <f t="shared" si="13"/>
        <v>-3.808215002</v>
      </c>
      <c r="U189" s="21"/>
      <c r="V189" s="21"/>
    </row>
    <row r="190">
      <c r="A190" s="11">
        <v>178.0</v>
      </c>
      <c r="B190" s="11">
        <v>1.42016956521739E9</v>
      </c>
      <c r="C190" s="2">
        <v>-102.3056412</v>
      </c>
      <c r="D190" s="24">
        <f t="shared" si="1"/>
        <v>-230434.7826</v>
      </c>
      <c r="E190" s="25">
        <f t="shared" si="2"/>
        <v>47.75139887</v>
      </c>
      <c r="F190" s="24">
        <f t="shared" si="3"/>
        <v>0.0002072230517</v>
      </c>
      <c r="G190" s="24">
        <f t="shared" si="4"/>
        <v>0</v>
      </c>
      <c r="H190" s="26">
        <f t="shared" si="5"/>
        <v>0</v>
      </c>
      <c r="I190" s="24">
        <f t="shared" si="6"/>
        <v>0</v>
      </c>
      <c r="J190" s="24">
        <f t="shared" si="7"/>
        <v>0</v>
      </c>
      <c r="K190" s="24"/>
      <c r="L190" s="24">
        <f t="shared" si="8"/>
        <v>447.2414506</v>
      </c>
      <c r="M190" s="30">
        <f t="shared" si="9"/>
        <v>455.1115276</v>
      </c>
      <c r="N190" s="27">
        <f t="shared" si="10"/>
        <v>-7.870076992</v>
      </c>
      <c r="O190" s="24"/>
      <c r="P190" s="24"/>
      <c r="Q190" s="24"/>
      <c r="R190" s="26"/>
      <c r="S190" s="14">
        <f t="shared" si="13"/>
        <v>-7.227061266</v>
      </c>
      <c r="U190" s="21"/>
      <c r="V190" s="21"/>
    </row>
    <row r="191">
      <c r="A191" s="11">
        <v>179.0</v>
      </c>
      <c r="B191" s="11">
        <v>1.42017391304347E9</v>
      </c>
      <c r="C191" s="2">
        <v>-102.2638168</v>
      </c>
      <c r="D191" s="24">
        <f t="shared" si="1"/>
        <v>-226086.9565</v>
      </c>
      <c r="E191" s="25">
        <f t="shared" si="2"/>
        <v>46.83310274</v>
      </c>
      <c r="F191" s="24">
        <f t="shared" si="3"/>
        <v>0.000207146416</v>
      </c>
      <c r="G191" s="24">
        <f t="shared" si="4"/>
        <v>0</v>
      </c>
      <c r="H191" s="26">
        <f t="shared" si="5"/>
        <v>0</v>
      </c>
      <c r="I191" s="24">
        <f t="shared" si="6"/>
        <v>0</v>
      </c>
      <c r="J191" s="24">
        <f t="shared" si="7"/>
        <v>0</v>
      </c>
      <c r="K191" s="24"/>
      <c r="L191" s="24">
        <f t="shared" si="8"/>
        <v>451.5693818</v>
      </c>
      <c r="M191" s="30">
        <f t="shared" si="9"/>
        <v>455.0210231</v>
      </c>
      <c r="N191" s="27">
        <f t="shared" si="10"/>
        <v>-3.451641293</v>
      </c>
      <c r="O191" s="24"/>
      <c r="P191" s="24"/>
      <c r="Q191" s="24"/>
      <c r="R191" s="26"/>
      <c r="S191" s="14">
        <f t="shared" si="13"/>
        <v>-3.169628852</v>
      </c>
      <c r="U191" s="21"/>
      <c r="V191" s="21"/>
    </row>
    <row r="192">
      <c r="A192" s="11">
        <v>180.0</v>
      </c>
      <c r="B192" s="11">
        <v>1.42017826086956E9</v>
      </c>
      <c r="C192" s="2">
        <v>-102.2431259</v>
      </c>
      <c r="D192" s="24">
        <f t="shared" si="1"/>
        <v>-221739.1304</v>
      </c>
      <c r="E192" s="25">
        <f t="shared" si="2"/>
        <v>45.91480661</v>
      </c>
      <c r="F192" s="24">
        <f t="shared" si="3"/>
        <v>0.0002070667749</v>
      </c>
      <c r="G192" s="24">
        <f t="shared" si="4"/>
        <v>0</v>
      </c>
      <c r="H192" s="26">
        <f t="shared" si="5"/>
        <v>0</v>
      </c>
      <c r="I192" s="24">
        <f t="shared" si="6"/>
        <v>0</v>
      </c>
      <c r="J192" s="24">
        <f t="shared" si="7"/>
        <v>0</v>
      </c>
      <c r="K192" s="24"/>
      <c r="L192" s="24">
        <f t="shared" si="8"/>
        <v>453.7259069</v>
      </c>
      <c r="M192" s="30">
        <f t="shared" si="9"/>
        <v>454.9303611</v>
      </c>
      <c r="N192" s="27">
        <f t="shared" si="10"/>
        <v>-1.204454156</v>
      </c>
      <c r="O192" s="24"/>
      <c r="P192" s="24"/>
      <c r="Q192" s="24"/>
      <c r="R192" s="26"/>
      <c r="S192" s="14">
        <f t="shared" si="13"/>
        <v>-1.106045591</v>
      </c>
      <c r="U192" s="21"/>
      <c r="V192" s="21"/>
    </row>
    <row r="193">
      <c r="A193" s="11">
        <v>181.0</v>
      </c>
      <c r="B193" s="11">
        <v>1.42018260869565E9</v>
      </c>
      <c r="C193" s="2">
        <v>-102.2724457</v>
      </c>
      <c r="D193" s="24">
        <f t="shared" si="1"/>
        <v>-217391.3043</v>
      </c>
      <c r="E193" s="25">
        <f t="shared" si="2"/>
        <v>44.99651048</v>
      </c>
      <c r="F193" s="24">
        <f t="shared" si="3"/>
        <v>0.0002069839482</v>
      </c>
      <c r="G193" s="24">
        <f t="shared" si="4"/>
        <v>0</v>
      </c>
      <c r="H193" s="26">
        <f t="shared" si="5"/>
        <v>0</v>
      </c>
      <c r="I193" s="24">
        <f t="shared" si="6"/>
        <v>0</v>
      </c>
      <c r="J193" s="24">
        <f t="shared" si="7"/>
        <v>0</v>
      </c>
      <c r="K193" s="24"/>
      <c r="L193" s="24">
        <f t="shared" si="8"/>
        <v>450.6730594</v>
      </c>
      <c r="M193" s="30">
        <f t="shared" si="9"/>
        <v>454.8395415</v>
      </c>
      <c r="N193" s="27">
        <f t="shared" si="10"/>
        <v>-4.166482086</v>
      </c>
      <c r="O193" s="24"/>
      <c r="P193" s="24"/>
      <c r="Q193" s="24"/>
      <c r="R193" s="26"/>
      <c r="S193" s="14">
        <f t="shared" si="13"/>
        <v>-3.826064387</v>
      </c>
      <c r="U193" s="21"/>
      <c r="V193" s="21"/>
    </row>
    <row r="194">
      <c r="A194" s="11">
        <v>182.0</v>
      </c>
      <c r="B194" s="11">
        <v>1.42018695652173E9</v>
      </c>
      <c r="C194" s="2">
        <v>-102.2758789</v>
      </c>
      <c r="D194" s="24">
        <f t="shared" si="1"/>
        <v>-213043.4783</v>
      </c>
      <c r="E194" s="25">
        <f t="shared" si="2"/>
        <v>44.07821434</v>
      </c>
      <c r="F194" s="24">
        <f t="shared" si="3"/>
        <v>0.0002068977408</v>
      </c>
      <c r="G194" s="24">
        <f t="shared" si="4"/>
        <v>0</v>
      </c>
      <c r="H194" s="26">
        <f t="shared" si="5"/>
        <v>0</v>
      </c>
      <c r="I194" s="24">
        <f t="shared" si="6"/>
        <v>0</v>
      </c>
      <c r="J194" s="24">
        <f t="shared" si="7"/>
        <v>0</v>
      </c>
      <c r="K194" s="24"/>
      <c r="L194" s="24">
        <f t="shared" si="8"/>
        <v>450.3169326</v>
      </c>
      <c r="M194" s="30">
        <f t="shared" si="9"/>
        <v>454.7485647</v>
      </c>
      <c r="N194" s="27">
        <f t="shared" si="10"/>
        <v>-4.431632095</v>
      </c>
      <c r="O194" s="24"/>
      <c r="P194" s="24"/>
      <c r="Q194" s="24"/>
      <c r="R194" s="26"/>
      <c r="S194" s="14">
        <f t="shared" si="13"/>
        <v>-4.069550615</v>
      </c>
      <c r="U194" s="21"/>
      <c r="V194" s="21"/>
    </row>
    <row r="195">
      <c r="A195" s="11">
        <v>183.0</v>
      </c>
      <c r="B195" s="11">
        <v>1.42019130434782E9</v>
      </c>
      <c r="C195" s="2">
        <v>-102.2788696</v>
      </c>
      <c r="D195" s="24">
        <f t="shared" si="1"/>
        <v>-208695.6522</v>
      </c>
      <c r="E195" s="25">
        <f t="shared" si="2"/>
        <v>43.15991821</v>
      </c>
      <c r="F195" s="24">
        <f t="shared" si="3"/>
        <v>0.0002068079414</v>
      </c>
      <c r="G195" s="24">
        <f t="shared" si="4"/>
        <v>0</v>
      </c>
      <c r="H195" s="26">
        <f t="shared" si="5"/>
        <v>0</v>
      </c>
      <c r="I195" s="24">
        <f t="shared" si="6"/>
        <v>0</v>
      </c>
      <c r="J195" s="24">
        <f t="shared" si="7"/>
        <v>0</v>
      </c>
      <c r="K195" s="24"/>
      <c r="L195" s="24">
        <f t="shared" si="8"/>
        <v>450.0069357</v>
      </c>
      <c r="M195" s="30">
        <f t="shared" si="9"/>
        <v>454.6574306</v>
      </c>
      <c r="N195" s="27">
        <f t="shared" si="10"/>
        <v>-4.650494899</v>
      </c>
      <c r="O195" s="24"/>
      <c r="P195" s="24"/>
      <c r="Q195" s="24"/>
      <c r="R195" s="26"/>
      <c r="S195" s="14">
        <f t="shared" si="13"/>
        <v>-4.270531481</v>
      </c>
      <c r="U195" s="21"/>
      <c r="V195" s="21"/>
    </row>
    <row r="196">
      <c r="A196" s="11">
        <v>184.0</v>
      </c>
      <c r="B196" s="11">
        <v>1.42019565217391E9</v>
      </c>
      <c r="C196" s="2">
        <v>-102.2187805</v>
      </c>
      <c r="D196" s="24">
        <f t="shared" si="1"/>
        <v>-204347.8261</v>
      </c>
      <c r="E196" s="25">
        <f t="shared" si="2"/>
        <v>42.24162208</v>
      </c>
      <c r="F196" s="24">
        <f t="shared" si="3"/>
        <v>0.0002067143208</v>
      </c>
      <c r="G196" s="24">
        <f t="shared" si="4"/>
        <v>0</v>
      </c>
      <c r="H196" s="26">
        <f t="shared" si="5"/>
        <v>0</v>
      </c>
      <c r="I196" s="24">
        <f t="shared" si="6"/>
        <v>0</v>
      </c>
      <c r="J196" s="24">
        <f t="shared" si="7"/>
        <v>0</v>
      </c>
      <c r="K196" s="24"/>
      <c r="L196" s="24">
        <f t="shared" si="8"/>
        <v>456.2765167</v>
      </c>
      <c r="M196" s="30">
        <f t="shared" si="9"/>
        <v>454.5661395</v>
      </c>
      <c r="N196" s="27">
        <f t="shared" si="10"/>
        <v>1.710377161</v>
      </c>
      <c r="O196" s="24"/>
      <c r="P196" s="24"/>
      <c r="Q196" s="24"/>
      <c r="R196" s="26"/>
      <c r="S196" s="14">
        <f t="shared" si="13"/>
        <v>1.570632729</v>
      </c>
      <c r="U196" s="21"/>
      <c r="V196" s="21"/>
    </row>
    <row r="197">
      <c r="A197" s="11">
        <v>185.0</v>
      </c>
      <c r="B197" s="11">
        <v>1.4202E9</v>
      </c>
      <c r="C197" s="2">
        <v>-102.2277451</v>
      </c>
      <c r="D197" s="24">
        <f t="shared" si="1"/>
        <v>-200000</v>
      </c>
      <c r="E197" s="25">
        <f t="shared" si="2"/>
        <v>41.32332595</v>
      </c>
      <c r="F197" s="24">
        <f t="shared" si="3"/>
        <v>0.0002066166297</v>
      </c>
      <c r="G197" s="24">
        <f t="shared" si="4"/>
        <v>0</v>
      </c>
      <c r="H197" s="26">
        <f t="shared" si="5"/>
        <v>0</v>
      </c>
      <c r="I197" s="24">
        <f t="shared" si="6"/>
        <v>0</v>
      </c>
      <c r="J197" s="24">
        <f t="shared" si="7"/>
        <v>0</v>
      </c>
      <c r="K197" s="24"/>
      <c r="L197" s="24">
        <f t="shared" si="8"/>
        <v>455.3356533</v>
      </c>
      <c r="M197" s="30">
        <f t="shared" si="9"/>
        <v>454.4746915</v>
      </c>
      <c r="N197" s="27">
        <f t="shared" si="10"/>
        <v>0.8609617906</v>
      </c>
      <c r="O197" s="24"/>
      <c r="P197" s="24"/>
      <c r="Q197" s="24"/>
      <c r="R197" s="26"/>
      <c r="S197" s="14">
        <f t="shared" si="13"/>
        <v>0.7906178828</v>
      </c>
      <c r="U197" s="21"/>
      <c r="V197" s="21"/>
    </row>
    <row r="198">
      <c r="A198" s="11">
        <v>186.0</v>
      </c>
      <c r="B198" s="11">
        <v>1.42020434782608E9</v>
      </c>
      <c r="C198" s="2">
        <v>-102.257515</v>
      </c>
      <c r="D198" s="24">
        <f t="shared" si="1"/>
        <v>-195652.1739</v>
      </c>
      <c r="E198" s="25">
        <f t="shared" si="2"/>
        <v>40.40502981</v>
      </c>
      <c r="F198" s="24">
        <f t="shared" si="3"/>
        <v>0.0002065145968</v>
      </c>
      <c r="G198" s="24">
        <f t="shared" si="4"/>
        <v>0</v>
      </c>
      <c r="H198" s="26">
        <f t="shared" si="5"/>
        <v>0</v>
      </c>
      <c r="I198" s="24">
        <f t="shared" si="6"/>
        <v>0</v>
      </c>
      <c r="J198" s="24">
        <f t="shared" si="7"/>
        <v>0</v>
      </c>
      <c r="K198" s="24"/>
      <c r="L198" s="24">
        <f t="shared" si="8"/>
        <v>452.2251041</v>
      </c>
      <c r="M198" s="30">
        <f t="shared" si="9"/>
        <v>454.3830867</v>
      </c>
      <c r="N198" s="27">
        <f t="shared" si="10"/>
        <v>-2.157982634</v>
      </c>
      <c r="O198" s="24"/>
      <c r="P198" s="24"/>
      <c r="Q198" s="24"/>
      <c r="R198" s="26"/>
      <c r="S198" s="14">
        <f t="shared" si="13"/>
        <v>-1.981667107</v>
      </c>
      <c r="U198" s="21"/>
      <c r="V198" s="21"/>
    </row>
    <row r="199">
      <c r="A199" s="11">
        <v>187.0</v>
      </c>
      <c r="B199" s="11">
        <v>1.42020869565217E9</v>
      </c>
      <c r="C199" s="2">
        <v>-102.2289886</v>
      </c>
      <c r="D199" s="24">
        <f t="shared" si="1"/>
        <v>-191304.3478</v>
      </c>
      <c r="E199" s="25">
        <f t="shared" si="2"/>
        <v>39.48673368</v>
      </c>
      <c r="F199" s="24">
        <f t="shared" si="3"/>
        <v>0.0002064079261</v>
      </c>
      <c r="G199" s="24">
        <f t="shared" si="4"/>
        <v>0</v>
      </c>
      <c r="H199" s="26">
        <f t="shared" si="5"/>
        <v>0</v>
      </c>
      <c r="I199" s="24">
        <f t="shared" si="6"/>
        <v>0</v>
      </c>
      <c r="J199" s="24">
        <f t="shared" si="7"/>
        <v>0</v>
      </c>
      <c r="K199" s="24"/>
      <c r="L199" s="24">
        <f t="shared" si="8"/>
        <v>455.2052973</v>
      </c>
      <c r="M199" s="30">
        <f t="shared" si="9"/>
        <v>454.2913253</v>
      </c>
      <c r="N199" s="27">
        <f t="shared" si="10"/>
        <v>0.9139720247</v>
      </c>
      <c r="O199" s="24"/>
      <c r="P199" s="24"/>
      <c r="Q199" s="24"/>
      <c r="R199" s="26"/>
      <c r="S199" s="14">
        <f t="shared" si="13"/>
        <v>0.8392969738</v>
      </c>
      <c r="U199" s="21"/>
      <c r="V199" s="21"/>
    </row>
    <row r="200">
      <c r="A200" s="11">
        <v>188.0</v>
      </c>
      <c r="B200" s="11">
        <v>1.42021304347826E9</v>
      </c>
      <c r="C200" s="2">
        <v>-102.1983643</v>
      </c>
      <c r="D200" s="24">
        <f t="shared" si="1"/>
        <v>-186956.5217</v>
      </c>
      <c r="E200" s="25">
        <f t="shared" si="2"/>
        <v>38.56843755</v>
      </c>
      <c r="F200" s="24">
        <f t="shared" si="3"/>
        <v>0.0002062962939</v>
      </c>
      <c r="G200" s="24">
        <f t="shared" si="4"/>
        <v>0</v>
      </c>
      <c r="H200" s="26">
        <f t="shared" si="5"/>
        <v>0</v>
      </c>
      <c r="I200" s="24">
        <f t="shared" si="6"/>
        <v>0</v>
      </c>
      <c r="J200" s="24">
        <f t="shared" si="7"/>
        <v>0</v>
      </c>
      <c r="K200" s="24"/>
      <c r="L200" s="24">
        <f t="shared" si="8"/>
        <v>458.4265239</v>
      </c>
      <c r="M200" s="30">
        <f t="shared" si="9"/>
        <v>454.1994074</v>
      </c>
      <c r="N200" s="27">
        <f t="shared" si="10"/>
        <v>4.227116576</v>
      </c>
      <c r="O200" s="24"/>
      <c r="P200" s="24"/>
      <c r="Q200" s="24"/>
      <c r="R200" s="26"/>
      <c r="S200" s="14">
        <f t="shared" si="13"/>
        <v>3.881744805</v>
      </c>
      <c r="U200" s="21"/>
      <c r="V200" s="21"/>
    </row>
    <row r="201">
      <c r="A201" s="11">
        <v>189.0</v>
      </c>
      <c r="B201" s="11">
        <v>1.42021739130434E9</v>
      </c>
      <c r="C201" s="2">
        <v>-102.2307816</v>
      </c>
      <c r="D201" s="24">
        <f t="shared" si="1"/>
        <v>-182608.6957</v>
      </c>
      <c r="E201" s="25">
        <f t="shared" si="2"/>
        <v>37.65014142</v>
      </c>
      <c r="F201" s="24">
        <f t="shared" si="3"/>
        <v>0.0002061793459</v>
      </c>
      <c r="G201" s="24">
        <f t="shared" si="4"/>
        <v>0</v>
      </c>
      <c r="H201" s="26">
        <f t="shared" si="5"/>
        <v>0</v>
      </c>
      <c r="I201" s="24">
        <f t="shared" si="6"/>
        <v>0</v>
      </c>
      <c r="J201" s="24">
        <f t="shared" si="7"/>
        <v>0</v>
      </c>
      <c r="K201" s="24"/>
      <c r="L201" s="24">
        <f t="shared" si="8"/>
        <v>455.017403</v>
      </c>
      <c r="M201" s="30">
        <f t="shared" si="9"/>
        <v>454.1073331</v>
      </c>
      <c r="N201" s="27">
        <f t="shared" si="10"/>
        <v>0.910069898</v>
      </c>
      <c r="O201" s="24"/>
      <c r="P201" s="24"/>
      <c r="Q201" s="24"/>
      <c r="R201" s="26"/>
      <c r="S201" s="14">
        <f t="shared" si="13"/>
        <v>0.8357136679</v>
      </c>
      <c r="U201" s="21"/>
      <c r="V201" s="21"/>
    </row>
    <row r="202">
      <c r="A202" s="11">
        <v>190.0</v>
      </c>
      <c r="B202" s="11">
        <v>1.42022173913043E9</v>
      </c>
      <c r="C202" s="2">
        <v>-102.264679</v>
      </c>
      <c r="D202" s="24">
        <f t="shared" si="1"/>
        <v>-178260.8696</v>
      </c>
      <c r="E202" s="25">
        <f t="shared" si="2"/>
        <v>36.73184529</v>
      </c>
      <c r="F202" s="24">
        <f t="shared" si="3"/>
        <v>0.0002060566931</v>
      </c>
      <c r="G202" s="24">
        <f t="shared" si="4"/>
        <v>0</v>
      </c>
      <c r="H202" s="26">
        <f t="shared" si="5"/>
        <v>0</v>
      </c>
      <c r="I202" s="24">
        <f t="shared" si="6"/>
        <v>0</v>
      </c>
      <c r="J202" s="24">
        <f t="shared" si="7"/>
        <v>0</v>
      </c>
      <c r="K202" s="24"/>
      <c r="L202" s="24">
        <f t="shared" si="8"/>
        <v>451.4797412</v>
      </c>
      <c r="M202" s="30">
        <f t="shared" si="9"/>
        <v>454.0151026</v>
      </c>
      <c r="N202" s="27">
        <f t="shared" si="10"/>
        <v>-2.535361455</v>
      </c>
      <c r="O202" s="24"/>
      <c r="P202" s="24"/>
      <c r="Q202" s="24"/>
      <c r="R202" s="26"/>
      <c r="S202" s="14">
        <f t="shared" si="13"/>
        <v>-2.328212614</v>
      </c>
      <c r="U202" s="21"/>
      <c r="V202" s="21"/>
    </row>
    <row r="203">
      <c r="A203" s="11">
        <v>191.0</v>
      </c>
      <c r="B203" s="11">
        <v>1.42022608695652E9</v>
      </c>
      <c r="C203" s="2">
        <v>-102.252533</v>
      </c>
      <c r="D203" s="24">
        <f t="shared" si="1"/>
        <v>-173913.0435</v>
      </c>
      <c r="E203" s="25">
        <f t="shared" si="2"/>
        <v>35.81354916</v>
      </c>
      <c r="F203" s="24">
        <f t="shared" si="3"/>
        <v>0.0002059279076</v>
      </c>
      <c r="G203" s="24">
        <f t="shared" si="4"/>
        <v>0</v>
      </c>
      <c r="H203" s="26">
        <f t="shared" si="5"/>
        <v>0</v>
      </c>
      <c r="I203" s="24">
        <f t="shared" si="6"/>
        <v>0</v>
      </c>
      <c r="J203" s="24">
        <f t="shared" si="7"/>
        <v>0</v>
      </c>
      <c r="K203" s="24"/>
      <c r="L203" s="24">
        <f t="shared" si="8"/>
        <v>452.7441708</v>
      </c>
      <c r="M203" s="30">
        <f t="shared" si="9"/>
        <v>453.9227161</v>
      </c>
      <c r="N203" s="27">
        <f t="shared" si="10"/>
        <v>-1.178545239</v>
      </c>
      <c r="O203" s="24"/>
      <c r="P203" s="24"/>
      <c r="Q203" s="24"/>
      <c r="R203" s="26"/>
      <c r="S203" s="14">
        <f t="shared" si="13"/>
        <v>-1.082253535</v>
      </c>
      <c r="U203" s="21"/>
      <c r="V203" s="21"/>
    </row>
    <row r="204">
      <c r="A204" s="11">
        <v>192.0</v>
      </c>
      <c r="B204" s="11">
        <v>1.4202304347826E9</v>
      </c>
      <c r="C204" s="2">
        <v>-102.206955</v>
      </c>
      <c r="D204" s="24">
        <f t="shared" si="1"/>
        <v>-169565.2174</v>
      </c>
      <c r="E204" s="25">
        <f t="shared" si="2"/>
        <v>34.89525302</v>
      </c>
      <c r="F204" s="24">
        <f t="shared" si="3"/>
        <v>0.0002057925178</v>
      </c>
      <c r="G204" s="24">
        <f t="shared" si="4"/>
        <v>0</v>
      </c>
      <c r="H204" s="26">
        <f t="shared" si="5"/>
        <v>0</v>
      </c>
      <c r="I204" s="24">
        <f t="shared" si="6"/>
        <v>0</v>
      </c>
      <c r="J204" s="24">
        <f t="shared" si="7"/>
        <v>0</v>
      </c>
      <c r="K204" s="24"/>
      <c r="L204" s="24">
        <f t="shared" si="8"/>
        <v>457.5206151</v>
      </c>
      <c r="M204" s="30">
        <f t="shared" si="9"/>
        <v>453.8301736</v>
      </c>
      <c r="N204" s="27">
        <f t="shared" si="10"/>
        <v>3.690441504</v>
      </c>
      <c r="O204" s="24"/>
      <c r="P204" s="24"/>
      <c r="Q204" s="24"/>
      <c r="R204" s="26"/>
      <c r="S204" s="14">
        <f t="shared" si="13"/>
        <v>3.388918161</v>
      </c>
      <c r="U204" s="21"/>
      <c r="V204" s="21"/>
    </row>
    <row r="205">
      <c r="A205" s="11">
        <v>193.0</v>
      </c>
      <c r="B205" s="11">
        <v>1.42023478260869E9</v>
      </c>
      <c r="C205" s="2">
        <v>-102.2619171</v>
      </c>
      <c r="D205" s="24">
        <f t="shared" si="1"/>
        <v>-165217.3913</v>
      </c>
      <c r="E205" s="25">
        <f t="shared" si="2"/>
        <v>33.97695689</v>
      </c>
      <c r="F205" s="24">
        <f t="shared" si="3"/>
        <v>0.0002056500022</v>
      </c>
      <c r="G205" s="24">
        <f t="shared" si="4"/>
        <v>0</v>
      </c>
      <c r="H205" s="26">
        <f t="shared" si="5"/>
        <v>0</v>
      </c>
      <c r="I205" s="24">
        <f t="shared" si="6"/>
        <v>0</v>
      </c>
      <c r="J205" s="24">
        <f t="shared" si="7"/>
        <v>0</v>
      </c>
      <c r="K205" s="24"/>
      <c r="L205" s="24">
        <f t="shared" si="8"/>
        <v>451.7669515</v>
      </c>
      <c r="M205" s="30">
        <f t="shared" si="9"/>
        <v>453.7374753</v>
      </c>
      <c r="N205" s="27">
        <f t="shared" si="10"/>
        <v>-1.970523822</v>
      </c>
      <c r="O205" s="24"/>
      <c r="P205" s="24"/>
      <c r="Q205" s="24"/>
      <c r="R205" s="26"/>
      <c r="S205" s="14">
        <f t="shared" si="13"/>
        <v>-1.809524405</v>
      </c>
      <c r="U205" s="21"/>
      <c r="V205" s="21"/>
    </row>
    <row r="206">
      <c r="A206" s="11">
        <v>194.0</v>
      </c>
      <c r="B206" s="11">
        <v>1.42023913043478E9</v>
      </c>
      <c r="C206" s="2">
        <v>-102.2772369</v>
      </c>
      <c r="D206" s="24">
        <f t="shared" si="1"/>
        <v>-160869.5652</v>
      </c>
      <c r="E206" s="25">
        <f t="shared" si="2"/>
        <v>33.05866076</v>
      </c>
      <c r="F206" s="24">
        <f t="shared" si="3"/>
        <v>0.0002054997831</v>
      </c>
      <c r="G206" s="24">
        <f t="shared" si="4"/>
        <v>0</v>
      </c>
      <c r="H206" s="26">
        <f t="shared" si="5"/>
        <v>0</v>
      </c>
      <c r="I206" s="24">
        <f t="shared" si="6"/>
        <v>0</v>
      </c>
      <c r="J206" s="24">
        <f t="shared" si="7"/>
        <v>0</v>
      </c>
      <c r="K206" s="24"/>
      <c r="L206" s="24">
        <f t="shared" si="8"/>
        <v>450.1761445</v>
      </c>
      <c r="M206" s="30">
        <f t="shared" si="9"/>
        <v>453.6446213</v>
      </c>
      <c r="N206" s="27">
        <f t="shared" si="10"/>
        <v>-3.468476822</v>
      </c>
      <c r="O206" s="24"/>
      <c r="P206" s="24"/>
      <c r="Q206" s="24"/>
      <c r="R206" s="26"/>
      <c r="S206" s="14">
        <f t="shared" si="13"/>
        <v>-3.185088845</v>
      </c>
      <c r="U206" s="21"/>
      <c r="V206" s="21"/>
    </row>
    <row r="207">
      <c r="A207" s="11">
        <v>195.0</v>
      </c>
      <c r="B207" s="11">
        <v>1.42024347826087E9</v>
      </c>
      <c r="C207" s="2">
        <v>-102.2920074</v>
      </c>
      <c r="D207" s="24">
        <f t="shared" si="1"/>
        <v>-156521.7391</v>
      </c>
      <c r="E207" s="25">
        <f t="shared" si="2"/>
        <v>32.14036463</v>
      </c>
      <c r="F207" s="24">
        <f t="shared" si="3"/>
        <v>0.0002053412184</v>
      </c>
      <c r="G207" s="24">
        <f t="shared" si="4"/>
        <v>0</v>
      </c>
      <c r="H207" s="26">
        <f t="shared" si="5"/>
        <v>0</v>
      </c>
      <c r="I207" s="24">
        <f t="shared" si="6"/>
        <v>0</v>
      </c>
      <c r="J207" s="24">
        <f t="shared" si="7"/>
        <v>0</v>
      </c>
      <c r="K207" s="24"/>
      <c r="L207" s="24">
        <f t="shared" si="8"/>
        <v>448.6476811</v>
      </c>
      <c r="M207" s="30">
        <f t="shared" si="9"/>
        <v>453.5516119</v>
      </c>
      <c r="N207" s="27">
        <f t="shared" si="10"/>
        <v>-4.903930781</v>
      </c>
      <c r="O207" s="24"/>
      <c r="P207" s="24"/>
      <c r="Q207" s="24"/>
      <c r="R207" s="26"/>
      <c r="S207" s="14">
        <f t="shared" si="13"/>
        <v>-4.503260672</v>
      </c>
      <c r="U207" s="21"/>
      <c r="V207" s="21"/>
    </row>
    <row r="208">
      <c r="A208" s="11">
        <v>196.0</v>
      </c>
      <c r="B208" s="11">
        <v>1.42024782608695E9</v>
      </c>
      <c r="C208" s="2">
        <v>-102.1760864</v>
      </c>
      <c r="D208" s="24">
        <f t="shared" si="1"/>
        <v>-152173.913</v>
      </c>
      <c r="E208" s="25">
        <f t="shared" si="2"/>
        <v>31.22206849</v>
      </c>
      <c r="F208" s="24">
        <f t="shared" si="3"/>
        <v>0.0002051735929</v>
      </c>
      <c r="G208" s="24">
        <f t="shared" si="4"/>
        <v>0</v>
      </c>
      <c r="H208" s="26">
        <f t="shared" si="5"/>
        <v>0</v>
      </c>
      <c r="I208" s="24">
        <f t="shared" si="6"/>
        <v>0</v>
      </c>
      <c r="J208" s="24">
        <f t="shared" si="7"/>
        <v>0</v>
      </c>
      <c r="K208" s="24"/>
      <c r="L208" s="24">
        <f t="shared" si="8"/>
        <v>460.7841452</v>
      </c>
      <c r="M208" s="30">
        <f t="shared" si="9"/>
        <v>453.4584471</v>
      </c>
      <c r="N208" s="27">
        <f t="shared" si="10"/>
        <v>7.325698193</v>
      </c>
      <c r="O208" s="24"/>
      <c r="P208" s="24"/>
      <c r="Q208" s="24"/>
      <c r="R208" s="26"/>
      <c r="S208" s="14">
        <f t="shared" si="13"/>
        <v>6.72716032</v>
      </c>
      <c r="U208" s="21"/>
      <c r="V208" s="21"/>
    </row>
    <row r="209">
      <c r="A209" s="11">
        <v>197.0</v>
      </c>
      <c r="B209" s="11">
        <v>1.42025217391304E9</v>
      </c>
      <c r="C209" s="2">
        <v>-102.2150192</v>
      </c>
      <c r="D209" s="24">
        <f t="shared" si="1"/>
        <v>-147826.087</v>
      </c>
      <c r="E209" s="25">
        <f t="shared" si="2"/>
        <v>30.30377236</v>
      </c>
      <c r="F209" s="24">
        <f t="shared" si="3"/>
        <v>0.0002049961071</v>
      </c>
      <c r="G209" s="24">
        <f t="shared" si="4"/>
        <v>0</v>
      </c>
      <c r="H209" s="26">
        <f t="shared" si="5"/>
        <v>0</v>
      </c>
      <c r="I209" s="24">
        <f t="shared" si="6"/>
        <v>0</v>
      </c>
      <c r="J209" s="24">
        <f t="shared" si="7"/>
        <v>0</v>
      </c>
      <c r="K209" s="24"/>
      <c r="L209" s="24">
        <f t="shared" si="8"/>
        <v>456.6718559</v>
      </c>
      <c r="M209" s="30">
        <f t="shared" si="9"/>
        <v>453.365127</v>
      </c>
      <c r="N209" s="27">
        <f t="shared" si="10"/>
        <v>3.306728867</v>
      </c>
      <c r="O209" s="24"/>
      <c r="P209" s="24"/>
      <c r="Q209" s="24"/>
      <c r="R209" s="26"/>
      <c r="S209" s="14">
        <f t="shared" si="13"/>
        <v>3.036556324</v>
      </c>
      <c r="U209" s="21"/>
      <c r="V209" s="21"/>
    </row>
    <row r="210">
      <c r="A210" s="11">
        <v>198.0</v>
      </c>
      <c r="B210" s="11">
        <v>1.42025652173913E9</v>
      </c>
      <c r="C210" s="2">
        <v>-102.1799774</v>
      </c>
      <c r="D210" s="24">
        <f t="shared" si="1"/>
        <v>-143478.2609</v>
      </c>
      <c r="E210" s="25">
        <f t="shared" si="2"/>
        <v>29.38547623</v>
      </c>
      <c r="F210" s="24">
        <f t="shared" si="3"/>
        <v>0.0002048078646</v>
      </c>
      <c r="G210" s="24">
        <f t="shared" si="4"/>
        <v>0</v>
      </c>
      <c r="H210" s="26">
        <f t="shared" si="5"/>
        <v>0</v>
      </c>
      <c r="I210" s="24">
        <f t="shared" si="6"/>
        <v>0</v>
      </c>
      <c r="J210" s="24">
        <f t="shared" si="7"/>
        <v>0</v>
      </c>
      <c r="K210" s="24"/>
      <c r="L210" s="24">
        <f t="shared" si="8"/>
        <v>460.3714971</v>
      </c>
      <c r="M210" s="30">
        <f t="shared" si="9"/>
        <v>453.2716518</v>
      </c>
      <c r="N210" s="27">
        <f t="shared" si="10"/>
        <v>7.099845254</v>
      </c>
      <c r="O210" s="24"/>
      <c r="P210" s="24"/>
      <c r="Q210" s="24"/>
      <c r="R210" s="26"/>
      <c r="S210" s="14">
        <f t="shared" si="13"/>
        <v>6.51976044</v>
      </c>
      <c r="U210" s="21"/>
      <c r="V210" s="21"/>
    </row>
    <row r="211">
      <c r="A211" s="11">
        <v>199.0</v>
      </c>
      <c r="B211" s="11">
        <v>1.42026086956521E9</v>
      </c>
      <c r="C211" s="2">
        <v>-102.2529221</v>
      </c>
      <c r="D211" s="24">
        <f t="shared" si="1"/>
        <v>-139130.4348</v>
      </c>
      <c r="E211" s="25">
        <f t="shared" si="2"/>
        <v>28.4671801</v>
      </c>
      <c r="F211" s="24">
        <f t="shared" si="3"/>
        <v>0.0002046078569</v>
      </c>
      <c r="G211" s="24">
        <f t="shared" si="4"/>
        <v>0</v>
      </c>
      <c r="H211" s="26">
        <f t="shared" si="5"/>
        <v>0</v>
      </c>
      <c r="I211" s="24">
        <f t="shared" si="6"/>
        <v>0</v>
      </c>
      <c r="J211" s="24">
        <f t="shared" si="7"/>
        <v>0</v>
      </c>
      <c r="K211" s="24"/>
      <c r="L211" s="24">
        <f t="shared" si="8"/>
        <v>452.7036097</v>
      </c>
      <c r="M211" s="30">
        <f t="shared" si="9"/>
        <v>453.1780217</v>
      </c>
      <c r="N211" s="27">
        <f t="shared" si="10"/>
        <v>-0.4744120634</v>
      </c>
      <c r="O211" s="24"/>
      <c r="P211" s="24"/>
      <c r="Q211" s="24"/>
      <c r="R211" s="26"/>
      <c r="S211" s="14">
        <f t="shared" si="13"/>
        <v>-0.4356507632</v>
      </c>
      <c r="U211" s="21"/>
      <c r="V211" s="21"/>
    </row>
    <row r="212">
      <c r="A212" s="11">
        <v>200.0</v>
      </c>
      <c r="B212" s="11">
        <v>1.4202652173913E9</v>
      </c>
      <c r="C212" s="2">
        <v>-102.2640076</v>
      </c>
      <c r="D212" s="24">
        <f t="shared" si="1"/>
        <v>-134782.6087</v>
      </c>
      <c r="E212" s="25">
        <f t="shared" si="2"/>
        <v>27.54888396</v>
      </c>
      <c r="F212" s="24">
        <f t="shared" si="3"/>
        <v>0.0002043949455</v>
      </c>
      <c r="G212" s="24">
        <f t="shared" si="4"/>
        <v>0</v>
      </c>
      <c r="H212" s="26">
        <f t="shared" si="5"/>
        <v>0</v>
      </c>
      <c r="I212" s="24">
        <f t="shared" si="6"/>
        <v>0</v>
      </c>
      <c r="J212" s="24">
        <f t="shared" si="7"/>
        <v>0</v>
      </c>
      <c r="K212" s="24"/>
      <c r="L212" s="24">
        <f t="shared" si="8"/>
        <v>451.5495433</v>
      </c>
      <c r="M212" s="30">
        <f t="shared" si="9"/>
        <v>453.0842368</v>
      </c>
      <c r="N212" s="27">
        <f t="shared" si="10"/>
        <v>-1.534693478</v>
      </c>
      <c r="O212" s="24"/>
      <c r="P212" s="24"/>
      <c r="Q212" s="24"/>
      <c r="R212" s="26"/>
      <c r="S212" s="14">
        <f t="shared" si="13"/>
        <v>-1.409303083</v>
      </c>
      <c r="U212" s="21"/>
      <c r="V212" s="21"/>
    </row>
    <row r="213">
      <c r="A213" s="11">
        <v>201.0</v>
      </c>
      <c r="B213" s="11">
        <v>1.42026956521739E9</v>
      </c>
      <c r="C213" s="2">
        <v>-102.2339706</v>
      </c>
      <c r="D213" s="24">
        <f t="shared" si="1"/>
        <v>-130434.7826</v>
      </c>
      <c r="E213" s="25">
        <f t="shared" si="2"/>
        <v>26.63058783</v>
      </c>
      <c r="F213" s="24">
        <f t="shared" si="3"/>
        <v>0.0002041678401</v>
      </c>
      <c r="G213" s="24">
        <f t="shared" si="4"/>
        <v>0</v>
      </c>
      <c r="H213" s="26">
        <f t="shared" si="5"/>
        <v>0</v>
      </c>
      <c r="I213" s="24">
        <f t="shared" si="6"/>
        <v>0</v>
      </c>
      <c r="J213" s="24">
        <f t="shared" si="7"/>
        <v>0</v>
      </c>
      <c r="K213" s="24"/>
      <c r="L213" s="24">
        <f t="shared" si="8"/>
        <v>454.6834089</v>
      </c>
      <c r="M213" s="30">
        <f t="shared" si="9"/>
        <v>452.9902972</v>
      </c>
      <c r="N213" s="27">
        <f t="shared" si="10"/>
        <v>1.693111717</v>
      </c>
      <c r="O213" s="24"/>
      <c r="P213" s="24"/>
      <c r="Q213" s="24"/>
      <c r="R213" s="26"/>
      <c r="S213" s="14">
        <f t="shared" si="13"/>
        <v>1.554777942</v>
      </c>
      <c r="U213" s="21"/>
      <c r="V213" s="21"/>
    </row>
    <row r="214">
      <c r="A214" s="11">
        <v>202.0</v>
      </c>
      <c r="B214" s="11">
        <v>1.42027391304347E9</v>
      </c>
      <c r="C214" s="2">
        <v>-102.2702789</v>
      </c>
      <c r="D214" s="24">
        <f t="shared" si="1"/>
        <v>-126086.9565</v>
      </c>
      <c r="E214" s="25">
        <f t="shared" si="2"/>
        <v>25.7122917</v>
      </c>
      <c r="F214" s="24">
        <f t="shared" si="3"/>
        <v>0.0002039250721</v>
      </c>
      <c r="G214" s="24">
        <f t="shared" si="4"/>
        <v>0</v>
      </c>
      <c r="H214" s="26">
        <f t="shared" si="5"/>
        <v>0</v>
      </c>
      <c r="I214" s="24">
        <f t="shared" si="6"/>
        <v>0</v>
      </c>
      <c r="J214" s="24">
        <f t="shared" si="7"/>
        <v>0</v>
      </c>
      <c r="K214" s="24"/>
      <c r="L214" s="24">
        <f t="shared" si="8"/>
        <v>450.8979672</v>
      </c>
      <c r="M214" s="30">
        <f t="shared" si="9"/>
        <v>452.8962031</v>
      </c>
      <c r="N214" s="27">
        <f t="shared" si="10"/>
        <v>-1.998235837</v>
      </c>
      <c r="O214" s="24"/>
      <c r="P214" s="24"/>
      <c r="Q214" s="24"/>
      <c r="R214" s="26"/>
      <c r="S214" s="14">
        <f t="shared" si="13"/>
        <v>-1.834972242</v>
      </c>
      <c r="U214" s="21"/>
      <c r="V214" s="21"/>
    </row>
    <row r="215">
      <c r="A215" s="11">
        <v>203.0</v>
      </c>
      <c r="B215" s="11">
        <v>1.42027826086956E9</v>
      </c>
      <c r="C215" s="2">
        <v>-102.2252274</v>
      </c>
      <c r="D215" s="24">
        <f t="shared" si="1"/>
        <v>-121739.1304</v>
      </c>
      <c r="E215" s="25">
        <f t="shared" si="2"/>
        <v>24.79399557</v>
      </c>
      <c r="F215" s="24">
        <f t="shared" si="3"/>
        <v>0.0002036649636</v>
      </c>
      <c r="G215" s="24">
        <f t="shared" si="4"/>
        <v>0</v>
      </c>
      <c r="H215" s="26">
        <f t="shared" si="5"/>
        <v>0</v>
      </c>
      <c r="I215" s="24">
        <f t="shared" si="6"/>
        <v>0</v>
      </c>
      <c r="J215" s="24">
        <f t="shared" si="7"/>
        <v>0</v>
      </c>
      <c r="K215" s="24"/>
      <c r="L215" s="24">
        <f t="shared" si="8"/>
        <v>455.5996978</v>
      </c>
      <c r="M215" s="30">
        <f t="shared" si="9"/>
        <v>452.8019545</v>
      </c>
      <c r="N215" s="27">
        <f t="shared" si="10"/>
        <v>2.797743324</v>
      </c>
      <c r="O215" s="24"/>
      <c r="P215" s="24"/>
      <c r="Q215" s="24"/>
      <c r="R215" s="26"/>
      <c r="S215" s="14">
        <f t="shared" si="13"/>
        <v>2.569156869</v>
      </c>
      <c r="U215" s="21"/>
      <c r="V215" s="21"/>
    </row>
    <row r="216">
      <c r="A216" s="11">
        <v>204.0</v>
      </c>
      <c r="B216" s="11">
        <v>1.42028260869565E9</v>
      </c>
      <c r="C216" s="2">
        <v>-102.2756577</v>
      </c>
      <c r="D216" s="24">
        <f t="shared" si="1"/>
        <v>-117391.3043</v>
      </c>
      <c r="E216" s="25">
        <f t="shared" si="2"/>
        <v>23.87569944</v>
      </c>
      <c r="F216" s="24">
        <f t="shared" si="3"/>
        <v>0.0002033855878</v>
      </c>
      <c r="G216" s="24">
        <f t="shared" si="4"/>
        <v>0</v>
      </c>
      <c r="H216" s="26">
        <f t="shared" si="5"/>
        <v>0</v>
      </c>
      <c r="I216" s="24">
        <f t="shared" si="6"/>
        <v>0</v>
      </c>
      <c r="J216" s="24">
        <f t="shared" si="7"/>
        <v>0</v>
      </c>
      <c r="K216" s="24"/>
      <c r="L216" s="24">
        <f t="shared" si="8"/>
        <v>450.3398692</v>
      </c>
      <c r="M216" s="30">
        <f t="shared" si="9"/>
        <v>452.7075517</v>
      </c>
      <c r="N216" s="27">
        <f t="shared" si="10"/>
        <v>-2.367682494</v>
      </c>
      <c r="O216" s="24"/>
      <c r="P216" s="24"/>
      <c r="Q216" s="24"/>
      <c r="R216" s="26"/>
      <c r="S216" s="14">
        <f t="shared" si="13"/>
        <v>-2.174233678</v>
      </c>
      <c r="U216" s="21"/>
      <c r="V216" s="21"/>
    </row>
    <row r="217">
      <c r="A217" s="11">
        <v>205.0</v>
      </c>
      <c r="B217" s="11">
        <v>1.42028695652173E9</v>
      </c>
      <c r="C217" s="2">
        <v>-102.2350006</v>
      </c>
      <c r="D217" s="24">
        <f t="shared" si="1"/>
        <v>-113043.4783</v>
      </c>
      <c r="E217" s="25">
        <f t="shared" si="2"/>
        <v>22.9574033</v>
      </c>
      <c r="F217" s="24">
        <f t="shared" si="3"/>
        <v>0.0002030847215</v>
      </c>
      <c r="G217" s="24">
        <f t="shared" si="4"/>
        <v>0</v>
      </c>
      <c r="H217" s="26">
        <f t="shared" si="5"/>
        <v>0</v>
      </c>
      <c r="I217" s="24">
        <f t="shared" si="6"/>
        <v>0</v>
      </c>
      <c r="J217" s="24">
        <f t="shared" si="7"/>
        <v>0</v>
      </c>
      <c r="K217" s="24"/>
      <c r="L217" s="24">
        <f t="shared" si="8"/>
        <v>454.5755861</v>
      </c>
      <c r="M217" s="30">
        <f t="shared" si="9"/>
        <v>452.6129948</v>
      </c>
      <c r="N217" s="27">
        <f t="shared" si="10"/>
        <v>1.962591303</v>
      </c>
      <c r="O217" s="24"/>
      <c r="P217" s="24"/>
      <c r="Q217" s="24"/>
      <c r="R217" s="26"/>
      <c r="S217" s="14">
        <f t="shared" si="13"/>
        <v>1.802240003</v>
      </c>
      <c r="U217" s="21"/>
      <c r="V217" s="21"/>
    </row>
    <row r="218">
      <c r="A218" s="11">
        <v>206.0</v>
      </c>
      <c r="B218" s="11">
        <v>1.42029130434782E9</v>
      </c>
      <c r="C218" s="2">
        <v>-102.2270126</v>
      </c>
      <c r="D218" s="24">
        <f t="shared" si="1"/>
        <v>-108695.6522</v>
      </c>
      <c r="E218" s="25">
        <f t="shared" si="2"/>
        <v>22.03910717</v>
      </c>
      <c r="F218" s="24">
        <f t="shared" si="3"/>
        <v>0.000202759786</v>
      </c>
      <c r="G218" s="24">
        <f t="shared" si="4"/>
        <v>0</v>
      </c>
      <c r="H218" s="26">
        <f t="shared" si="5"/>
        <v>0</v>
      </c>
      <c r="I218" s="24">
        <f t="shared" si="6"/>
        <v>0</v>
      </c>
      <c r="J218" s="24">
        <f t="shared" si="7"/>
        <v>0</v>
      </c>
      <c r="K218" s="24"/>
      <c r="L218" s="24">
        <f t="shared" si="8"/>
        <v>455.4124587</v>
      </c>
      <c r="M218" s="30">
        <f t="shared" si="9"/>
        <v>452.5182839</v>
      </c>
      <c r="N218" s="27">
        <f t="shared" si="10"/>
        <v>2.894174715</v>
      </c>
      <c r="O218" s="24"/>
      <c r="P218" s="24"/>
      <c r="Q218" s="24"/>
      <c r="R218" s="26"/>
      <c r="S218" s="14">
        <f t="shared" si="13"/>
        <v>2.657709448</v>
      </c>
      <c r="U218" s="21"/>
      <c r="V218" s="21"/>
    </row>
    <row r="219">
      <c r="A219" s="11">
        <v>207.0</v>
      </c>
      <c r="B219" s="11">
        <v>1.42029565217391E9</v>
      </c>
      <c r="C219" s="2">
        <v>-102.2084198</v>
      </c>
      <c r="D219" s="24">
        <f t="shared" si="1"/>
        <v>-104347.8261</v>
      </c>
      <c r="E219" s="25">
        <f t="shared" si="2"/>
        <v>21.12081104</v>
      </c>
      <c r="F219" s="24">
        <f t="shared" si="3"/>
        <v>0.0002024077725</v>
      </c>
      <c r="G219" s="24">
        <f t="shared" si="4"/>
        <v>0</v>
      </c>
      <c r="H219" s="26">
        <f t="shared" si="5"/>
        <v>0</v>
      </c>
      <c r="I219" s="24">
        <f t="shared" si="6"/>
        <v>0</v>
      </c>
      <c r="J219" s="24">
        <f t="shared" si="7"/>
        <v>0</v>
      </c>
      <c r="K219" s="24"/>
      <c r="L219" s="24">
        <f t="shared" si="8"/>
        <v>457.3663273</v>
      </c>
      <c r="M219" s="30">
        <f t="shared" si="9"/>
        <v>452.4234192</v>
      </c>
      <c r="N219" s="27">
        <f t="shared" si="10"/>
        <v>4.942908085</v>
      </c>
      <c r="O219" s="24"/>
      <c r="P219" s="24"/>
      <c r="Q219" s="24"/>
      <c r="R219" s="26"/>
      <c r="S219" s="14">
        <f t="shared" si="13"/>
        <v>4.539053369</v>
      </c>
      <c r="U219" s="21"/>
      <c r="V219" s="21"/>
    </row>
    <row r="220">
      <c r="A220" s="11">
        <v>208.0</v>
      </c>
      <c r="B220" s="11">
        <v>1.4203E9</v>
      </c>
      <c r="C220" s="2">
        <v>-102.2869949</v>
      </c>
      <c r="D220" s="24">
        <f t="shared" si="1"/>
        <v>-100000</v>
      </c>
      <c r="E220" s="25">
        <f t="shared" si="2"/>
        <v>20.20251491</v>
      </c>
      <c r="F220" s="24">
        <f t="shared" si="3"/>
        <v>0.0002020251491</v>
      </c>
      <c r="G220" s="24">
        <f t="shared" si="4"/>
        <v>0</v>
      </c>
      <c r="H220" s="26">
        <f t="shared" si="5"/>
        <v>0</v>
      </c>
      <c r="I220" s="24">
        <f t="shared" si="6"/>
        <v>0</v>
      </c>
      <c r="J220" s="24">
        <f t="shared" si="7"/>
        <v>0</v>
      </c>
      <c r="K220" s="24"/>
      <c r="L220" s="24">
        <f t="shared" si="8"/>
        <v>449.1657961</v>
      </c>
      <c r="M220" s="30">
        <f t="shared" si="9"/>
        <v>452.3284008</v>
      </c>
      <c r="N220" s="27">
        <f t="shared" si="10"/>
        <v>-3.162604733</v>
      </c>
      <c r="O220" s="24"/>
      <c r="P220" s="24"/>
      <c r="Q220" s="24"/>
      <c r="R220" s="26"/>
      <c r="S220" s="14">
        <f t="shared" si="13"/>
        <v>-2.904207696</v>
      </c>
      <c r="U220" s="21"/>
      <c r="V220" s="21"/>
    </row>
    <row r="221">
      <c r="A221" s="11">
        <v>209.0</v>
      </c>
      <c r="B221" s="11">
        <v>1.42030434782608E9</v>
      </c>
      <c r="C221" s="2">
        <v>-102.3231735</v>
      </c>
      <c r="D221" s="24">
        <f t="shared" si="1"/>
        <v>-95652.17392</v>
      </c>
      <c r="E221" s="25">
        <f t="shared" si="2"/>
        <v>19.28421878</v>
      </c>
      <c r="F221" s="24">
        <f t="shared" si="3"/>
        <v>0.0002016077417</v>
      </c>
      <c r="G221" s="24">
        <f t="shared" si="4"/>
        <v>0</v>
      </c>
      <c r="H221" s="26">
        <f t="shared" si="5"/>
        <v>0</v>
      </c>
      <c r="I221" s="24">
        <f t="shared" si="6"/>
        <v>0</v>
      </c>
      <c r="J221" s="24">
        <f t="shared" si="7"/>
        <v>0</v>
      </c>
      <c r="K221" s="24"/>
      <c r="L221" s="24">
        <f t="shared" si="8"/>
        <v>445.4395936</v>
      </c>
      <c r="M221" s="30">
        <f t="shared" si="9"/>
        <v>452.2332288</v>
      </c>
      <c r="N221" s="27">
        <f t="shared" si="10"/>
        <v>-6.793635229</v>
      </c>
      <c r="O221" s="24"/>
      <c r="P221" s="24"/>
      <c r="Q221" s="24"/>
      <c r="R221" s="26"/>
      <c r="S221" s="14">
        <f t="shared" si="13"/>
        <v>-6.238568959</v>
      </c>
      <c r="U221" s="21"/>
      <c r="V221" s="21"/>
    </row>
    <row r="222">
      <c r="A222" s="11">
        <v>210.0</v>
      </c>
      <c r="B222" s="11">
        <v>1.42030869565217E9</v>
      </c>
      <c r="C222" s="2">
        <v>-102.2239456</v>
      </c>
      <c r="D222" s="24">
        <f t="shared" si="1"/>
        <v>-91304.34783</v>
      </c>
      <c r="E222" s="25">
        <f t="shared" si="2"/>
        <v>18.36592264</v>
      </c>
      <c r="F222" s="24">
        <f t="shared" si="3"/>
        <v>0.0002011505813</v>
      </c>
      <c r="G222" s="24">
        <f t="shared" si="4"/>
        <v>0</v>
      </c>
      <c r="H222" s="26">
        <f t="shared" si="5"/>
        <v>0</v>
      </c>
      <c r="I222" s="24">
        <f t="shared" si="6"/>
        <v>0</v>
      </c>
      <c r="J222" s="24">
        <f t="shared" si="7"/>
        <v>0</v>
      </c>
      <c r="K222" s="24"/>
      <c r="L222" s="24">
        <f t="shared" si="8"/>
        <v>455.7341858</v>
      </c>
      <c r="M222" s="30">
        <f t="shared" si="9"/>
        <v>452.1379035</v>
      </c>
      <c r="N222" s="27">
        <f t="shared" si="10"/>
        <v>3.596282364</v>
      </c>
      <c r="O222" s="24"/>
      <c r="P222" s="24"/>
      <c r="Q222" s="24"/>
      <c r="R222" s="26"/>
      <c r="S222" s="14">
        <f t="shared" si="13"/>
        <v>3.302452179</v>
      </c>
      <c r="U222" s="21"/>
      <c r="V222" s="21"/>
    </row>
    <row r="223">
      <c r="A223" s="11">
        <v>211.0</v>
      </c>
      <c r="B223" s="11">
        <v>1.42031304347826E9</v>
      </c>
      <c r="C223" s="2">
        <v>-102.2557907</v>
      </c>
      <c r="D223" s="24">
        <f t="shared" si="1"/>
        <v>-86956.52174</v>
      </c>
      <c r="E223" s="25">
        <f t="shared" si="2"/>
        <v>17.44762651</v>
      </c>
      <c r="F223" s="24">
        <f t="shared" si="3"/>
        <v>0.0002006477049</v>
      </c>
      <c r="G223" s="24">
        <f t="shared" si="4"/>
        <v>0</v>
      </c>
      <c r="H223" s="26">
        <f t="shared" si="5"/>
        <v>0</v>
      </c>
      <c r="I223" s="24">
        <f t="shared" si="6"/>
        <v>0</v>
      </c>
      <c r="J223" s="24">
        <f t="shared" si="7"/>
        <v>0</v>
      </c>
      <c r="K223" s="24"/>
      <c r="L223" s="24">
        <f t="shared" si="8"/>
        <v>452.4046888</v>
      </c>
      <c r="M223" s="30">
        <f t="shared" si="9"/>
        <v>452.0424248</v>
      </c>
      <c r="N223" s="27">
        <f t="shared" si="10"/>
        <v>0.3622640018</v>
      </c>
      <c r="O223" s="24"/>
      <c r="P223" s="24"/>
      <c r="Q223" s="24"/>
      <c r="R223" s="26"/>
      <c r="S223" s="14">
        <f t="shared" si="13"/>
        <v>0.3326656319</v>
      </c>
      <c r="U223" s="21"/>
      <c r="V223" s="21"/>
    </row>
    <row r="224">
      <c r="A224" s="11">
        <v>212.0</v>
      </c>
      <c r="B224" s="11">
        <v>1.42031739130434E9</v>
      </c>
      <c r="C224" s="2">
        <v>-102.2516708</v>
      </c>
      <c r="D224" s="24">
        <f t="shared" si="1"/>
        <v>-82608.69566</v>
      </c>
      <c r="E224" s="25">
        <f t="shared" si="2"/>
        <v>16.52933038</v>
      </c>
      <c r="F224" s="24">
        <f t="shared" si="3"/>
        <v>0.000200091894</v>
      </c>
      <c r="G224" s="24">
        <f t="shared" si="4"/>
        <v>0</v>
      </c>
      <c r="H224" s="26">
        <f t="shared" si="5"/>
        <v>0</v>
      </c>
      <c r="I224" s="24">
        <f t="shared" si="6"/>
        <v>0</v>
      </c>
      <c r="J224" s="24">
        <f t="shared" si="7"/>
        <v>0</v>
      </c>
      <c r="K224" s="24"/>
      <c r="L224" s="24">
        <f t="shared" si="8"/>
        <v>452.8340625</v>
      </c>
      <c r="M224" s="30">
        <f t="shared" si="9"/>
        <v>451.946793</v>
      </c>
      <c r="N224" s="27">
        <f t="shared" si="10"/>
        <v>0.8872695332</v>
      </c>
      <c r="O224" s="24"/>
      <c r="P224" s="24"/>
      <c r="Q224" s="24"/>
      <c r="R224" s="26"/>
      <c r="S224" s="14">
        <f t="shared" si="13"/>
        <v>0.8147761811</v>
      </c>
      <c r="U224" s="21"/>
      <c r="V224" s="21"/>
    </row>
    <row r="225">
      <c r="A225" s="11">
        <v>213.0</v>
      </c>
      <c r="B225" s="11">
        <v>1.42032173913043E9</v>
      </c>
      <c r="C225" s="2">
        <v>-102.2538452</v>
      </c>
      <c r="D225" s="24">
        <f t="shared" si="1"/>
        <v>-78260.86957</v>
      </c>
      <c r="E225" s="25">
        <f t="shared" si="2"/>
        <v>15.61103425</v>
      </c>
      <c r="F225" s="24">
        <f t="shared" si="3"/>
        <v>0.0001994743265</v>
      </c>
      <c r="G225" s="24">
        <f t="shared" si="4"/>
        <v>0</v>
      </c>
      <c r="H225" s="26">
        <f t="shared" si="5"/>
        <v>0</v>
      </c>
      <c r="I225" s="24">
        <f t="shared" si="6"/>
        <v>0</v>
      </c>
      <c r="J225" s="24">
        <f t="shared" si="7"/>
        <v>0</v>
      </c>
      <c r="K225" s="24"/>
      <c r="L225" s="24">
        <f t="shared" si="8"/>
        <v>452.607397</v>
      </c>
      <c r="M225" s="30">
        <f t="shared" si="9"/>
        <v>451.8510082</v>
      </c>
      <c r="N225" s="27">
        <f t="shared" si="10"/>
        <v>0.7563887889</v>
      </c>
      <c r="O225" s="24"/>
      <c r="P225" s="24"/>
      <c r="Q225" s="24"/>
      <c r="R225" s="26"/>
      <c r="S225" s="14">
        <f t="shared" si="13"/>
        <v>0.6945888981</v>
      </c>
      <c r="U225" s="21"/>
      <c r="V225" s="21"/>
    </row>
    <row r="226">
      <c r="A226" s="11">
        <v>214.0</v>
      </c>
      <c r="B226" s="11">
        <v>1.42032608695652E9</v>
      </c>
      <c r="C226" s="2">
        <v>-102.1790848</v>
      </c>
      <c r="D226" s="24">
        <f t="shared" si="1"/>
        <v>-73913.04348</v>
      </c>
      <c r="E226" s="25">
        <f t="shared" si="2"/>
        <v>14.69273812</v>
      </c>
      <c r="F226" s="24">
        <f t="shared" si="3"/>
        <v>0.0001987841039</v>
      </c>
      <c r="G226" s="24">
        <f t="shared" si="4"/>
        <v>0</v>
      </c>
      <c r="H226" s="26">
        <f t="shared" si="5"/>
        <v>0</v>
      </c>
      <c r="I226" s="24">
        <f t="shared" si="6"/>
        <v>0</v>
      </c>
      <c r="J226" s="24">
        <f t="shared" si="7"/>
        <v>0</v>
      </c>
      <c r="K226" s="24"/>
      <c r="L226" s="24">
        <f t="shared" si="8"/>
        <v>460.4661264</v>
      </c>
      <c r="M226" s="30">
        <f t="shared" si="9"/>
        <v>451.7550706</v>
      </c>
      <c r="N226" s="27">
        <f t="shared" si="10"/>
        <v>8.711055837</v>
      </c>
      <c r="O226" s="24"/>
      <c r="P226" s="24"/>
      <c r="Q226" s="24"/>
      <c r="R226" s="26"/>
      <c r="S226" s="14">
        <f t="shared" si="13"/>
        <v>7.999328888</v>
      </c>
      <c r="U226" s="21"/>
      <c r="V226" s="21"/>
    </row>
    <row r="227">
      <c r="A227" s="11">
        <v>215.0</v>
      </c>
      <c r="B227" s="11">
        <v>1.4203304347826E9</v>
      </c>
      <c r="C227" s="2">
        <v>-102.163002</v>
      </c>
      <c r="D227" s="24">
        <f t="shared" si="1"/>
        <v>-69565.2174</v>
      </c>
      <c r="E227" s="25">
        <f t="shared" si="2"/>
        <v>13.77444198</v>
      </c>
      <c r="F227" s="24">
        <f t="shared" si="3"/>
        <v>0.0001980076035</v>
      </c>
      <c r="G227" s="24">
        <f t="shared" si="4"/>
        <v>0</v>
      </c>
      <c r="H227" s="26">
        <f t="shared" si="5"/>
        <v>0</v>
      </c>
      <c r="I227" s="24">
        <f t="shared" si="6"/>
        <v>0</v>
      </c>
      <c r="J227" s="24">
        <f t="shared" si="7"/>
        <v>0</v>
      </c>
      <c r="K227" s="24"/>
      <c r="L227" s="24">
        <f t="shared" si="8"/>
        <v>462.1744865</v>
      </c>
      <c r="M227" s="30">
        <f t="shared" si="9"/>
        <v>451.6589802</v>
      </c>
      <c r="N227" s="27">
        <f t="shared" si="10"/>
        <v>10.51550633</v>
      </c>
      <c r="O227" s="24"/>
      <c r="P227" s="24"/>
      <c r="Q227" s="24"/>
      <c r="R227" s="26"/>
      <c r="S227" s="14">
        <f t="shared" si="13"/>
        <v>9.656348798</v>
      </c>
      <c r="U227" s="21"/>
      <c r="V227" s="21"/>
    </row>
    <row r="228">
      <c r="A228" s="11">
        <v>216.0</v>
      </c>
      <c r="B228" s="11">
        <v>1.42033478260869E9</v>
      </c>
      <c r="C228" s="2">
        <v>-102.1626434</v>
      </c>
      <c r="D228" s="24">
        <f t="shared" si="1"/>
        <v>-65217.39131</v>
      </c>
      <c r="E228" s="25">
        <f t="shared" si="2"/>
        <v>12.85614585</v>
      </c>
      <c r="F228" s="24">
        <f t="shared" si="3"/>
        <v>0.0001971275697</v>
      </c>
      <c r="G228" s="24">
        <f t="shared" si="4"/>
        <v>0</v>
      </c>
      <c r="H228" s="26">
        <f t="shared" si="5"/>
        <v>0</v>
      </c>
      <c r="I228" s="24">
        <f t="shared" si="6"/>
        <v>0</v>
      </c>
      <c r="J228" s="24">
        <f t="shared" si="7"/>
        <v>0</v>
      </c>
      <c r="K228" s="24"/>
      <c r="L228" s="24">
        <f t="shared" si="8"/>
        <v>462.2126502</v>
      </c>
      <c r="M228" s="30">
        <f t="shared" si="9"/>
        <v>451.5627372</v>
      </c>
      <c r="N228" s="27">
        <f t="shared" si="10"/>
        <v>10.64991293</v>
      </c>
      <c r="O228" s="24"/>
      <c r="P228" s="24"/>
      <c r="Q228" s="24"/>
      <c r="R228" s="26"/>
      <c r="S228" s="14">
        <f t="shared" si="13"/>
        <v>9.779773854</v>
      </c>
      <c r="U228" s="21"/>
      <c r="V228" s="21"/>
    </row>
    <row r="229">
      <c r="A229" s="11">
        <v>217.0</v>
      </c>
      <c r="B229" s="11">
        <v>1.42033913043478E9</v>
      </c>
      <c r="C229" s="2">
        <v>-102.1467514</v>
      </c>
      <c r="D229" s="24">
        <f t="shared" si="1"/>
        <v>-60869.56522</v>
      </c>
      <c r="E229" s="25">
        <f t="shared" si="2"/>
        <v>11.93784972</v>
      </c>
      <c r="F229" s="24">
        <f t="shared" si="3"/>
        <v>0.0001961218168</v>
      </c>
      <c r="G229" s="24">
        <f t="shared" si="4"/>
        <v>0</v>
      </c>
      <c r="H229" s="26">
        <f t="shared" si="5"/>
        <v>0</v>
      </c>
      <c r="I229" s="24">
        <f t="shared" si="6"/>
        <v>0</v>
      </c>
      <c r="J229" s="24">
        <f t="shared" si="7"/>
        <v>0</v>
      </c>
      <c r="K229" s="24"/>
      <c r="L229" s="24">
        <f t="shared" si="8"/>
        <v>463.9071086</v>
      </c>
      <c r="M229" s="30">
        <f t="shared" si="9"/>
        <v>451.4663418</v>
      </c>
      <c r="N229" s="27">
        <f t="shared" si="10"/>
        <v>12.44076673</v>
      </c>
      <c r="O229" s="24"/>
      <c r="P229" s="24"/>
      <c r="Q229" s="24"/>
      <c r="R229" s="26"/>
      <c r="S229" s="14">
        <f t="shared" si="13"/>
        <v>11.42430795</v>
      </c>
      <c r="U229" s="21"/>
      <c r="V229" s="21"/>
    </row>
    <row r="230">
      <c r="A230" s="11">
        <v>218.0</v>
      </c>
      <c r="B230" s="11">
        <v>1.42034347826087E9</v>
      </c>
      <c r="C230" s="2">
        <v>-102.1941833</v>
      </c>
      <c r="D230" s="24">
        <f t="shared" si="1"/>
        <v>-56521.73913</v>
      </c>
      <c r="E230" s="25">
        <f t="shared" si="2"/>
        <v>11.01955359</v>
      </c>
      <c r="F230" s="24">
        <f t="shared" si="3"/>
        <v>0.0001949613327</v>
      </c>
      <c r="G230" s="24">
        <f t="shared" si="4"/>
        <v>0</v>
      </c>
      <c r="H230" s="26">
        <f t="shared" si="5"/>
        <v>0</v>
      </c>
      <c r="I230" s="24">
        <f t="shared" si="6"/>
        <v>0</v>
      </c>
      <c r="J230" s="24">
        <f t="shared" si="7"/>
        <v>0</v>
      </c>
      <c r="K230" s="24"/>
      <c r="L230" s="24">
        <f t="shared" si="8"/>
        <v>458.8680686</v>
      </c>
      <c r="M230" s="30">
        <f t="shared" si="9"/>
        <v>451.3697942</v>
      </c>
      <c r="N230" s="27">
        <f t="shared" si="10"/>
        <v>7.498274461</v>
      </c>
      <c r="O230" s="24"/>
      <c r="P230" s="24"/>
      <c r="Q230" s="24"/>
      <c r="R230" s="26"/>
      <c r="S230" s="14">
        <f t="shared" si="13"/>
        <v>6.88563644</v>
      </c>
      <c r="U230" s="21"/>
      <c r="V230" s="21"/>
    </row>
    <row r="231">
      <c r="A231" s="11">
        <v>219.0</v>
      </c>
      <c r="B231" s="11">
        <v>1.42034782608695E9</v>
      </c>
      <c r="C231" s="2">
        <v>-102.2108917</v>
      </c>
      <c r="D231" s="24">
        <f t="shared" si="1"/>
        <v>-52173.91305</v>
      </c>
      <c r="E231" s="25">
        <f t="shared" si="2"/>
        <v>10.10125745</v>
      </c>
      <c r="F231" s="24">
        <f t="shared" si="3"/>
        <v>0.0001936074345</v>
      </c>
      <c r="G231" s="24">
        <f t="shared" si="4"/>
        <v>0</v>
      </c>
      <c r="H231" s="26">
        <f t="shared" si="5"/>
        <v>0</v>
      </c>
      <c r="I231" s="24">
        <f t="shared" si="6"/>
        <v>0</v>
      </c>
      <c r="J231" s="24">
        <f t="shared" si="7"/>
        <v>0</v>
      </c>
      <c r="K231" s="24"/>
      <c r="L231" s="24">
        <f t="shared" si="8"/>
        <v>457.1060794</v>
      </c>
      <c r="M231" s="30">
        <f t="shared" si="9"/>
        <v>451.2730943</v>
      </c>
      <c r="N231" s="27">
        <f t="shared" si="10"/>
        <v>5.83298512</v>
      </c>
      <c r="O231" s="24"/>
      <c r="P231" s="24"/>
      <c r="Q231" s="24"/>
      <c r="R231" s="26"/>
      <c r="S231" s="14">
        <f t="shared" si="13"/>
        <v>5.356407678</v>
      </c>
      <c r="U231" s="21"/>
      <c r="V231" s="21"/>
    </row>
    <row r="232">
      <c r="A232" s="11">
        <v>220.0</v>
      </c>
      <c r="B232" s="11">
        <v>1.42035217391304E9</v>
      </c>
      <c r="C232" s="2">
        <v>-102.1754684</v>
      </c>
      <c r="D232" s="24">
        <f t="shared" si="1"/>
        <v>-47826.08696</v>
      </c>
      <c r="E232" s="25">
        <f t="shared" si="2"/>
        <v>9.182961321</v>
      </c>
      <c r="F232" s="24">
        <f t="shared" si="3"/>
        <v>0.0001920073731</v>
      </c>
      <c r="G232" s="24">
        <f t="shared" si="4"/>
        <v>0</v>
      </c>
      <c r="H232" s="26">
        <f t="shared" si="5"/>
        <v>0</v>
      </c>
      <c r="I232" s="24">
        <f t="shared" si="6"/>
        <v>0</v>
      </c>
      <c r="J232" s="24">
        <f t="shared" si="7"/>
        <v>0</v>
      </c>
      <c r="K232" s="24"/>
      <c r="L232" s="24">
        <f t="shared" si="8"/>
        <v>460.8497194</v>
      </c>
      <c r="M232" s="30">
        <f t="shared" si="9"/>
        <v>451.1762425</v>
      </c>
      <c r="N232" s="27">
        <f t="shared" si="10"/>
        <v>9.67347692</v>
      </c>
      <c r="O232" s="24"/>
      <c r="P232" s="24"/>
      <c r="Q232" s="24"/>
      <c r="R232" s="26"/>
      <c r="S232" s="14">
        <f t="shared" si="13"/>
        <v>8.883116426</v>
      </c>
      <c r="U232" s="21"/>
      <c r="V232" s="21"/>
    </row>
    <row r="233">
      <c r="A233" s="11">
        <v>221.0</v>
      </c>
      <c r="B233" s="11">
        <v>1.42035652173913E9</v>
      </c>
      <c r="C233" s="2">
        <v>-102.1263123</v>
      </c>
      <c r="D233" s="24">
        <f t="shared" si="1"/>
        <v>-43478.26087</v>
      </c>
      <c r="E233" s="25">
        <f t="shared" si="2"/>
        <v>8.264665191</v>
      </c>
      <c r="F233" s="24">
        <f t="shared" si="3"/>
        <v>0.0001900872994</v>
      </c>
      <c r="G233" s="24">
        <f t="shared" si="4"/>
        <v>0</v>
      </c>
      <c r="H233" s="26">
        <f t="shared" si="5"/>
        <v>0</v>
      </c>
      <c r="I233" s="24">
        <f t="shared" si="6"/>
        <v>0</v>
      </c>
      <c r="J233" s="24">
        <f t="shared" si="7"/>
        <v>0</v>
      </c>
      <c r="K233" s="24"/>
      <c r="L233" s="24">
        <f t="shared" si="8"/>
        <v>466.0955294</v>
      </c>
      <c r="M233" s="30">
        <f t="shared" si="9"/>
        <v>451.0792387</v>
      </c>
      <c r="N233" s="27">
        <f t="shared" si="10"/>
        <v>15.01629068</v>
      </c>
      <c r="O233" s="24"/>
      <c r="P233" s="24"/>
      <c r="Q233" s="24"/>
      <c r="R233" s="26"/>
      <c r="S233" s="14">
        <f t="shared" si="13"/>
        <v>13.78940166</v>
      </c>
      <c r="U233" s="21"/>
      <c r="V233" s="21"/>
    </row>
    <row r="234">
      <c r="A234" s="11">
        <v>222.0</v>
      </c>
      <c r="B234" s="11">
        <v>1.42036086956521E9</v>
      </c>
      <c r="C234" s="2">
        <v>-102.1236877</v>
      </c>
      <c r="D234" s="24">
        <f t="shared" si="1"/>
        <v>-39130.43479</v>
      </c>
      <c r="E234" s="25">
        <f t="shared" si="2"/>
        <v>7.346369058</v>
      </c>
      <c r="F234" s="24">
        <f t="shared" si="3"/>
        <v>0.0001877405426</v>
      </c>
      <c r="G234" s="24">
        <f t="shared" si="4"/>
        <v>0</v>
      </c>
      <c r="H234" s="26">
        <f t="shared" si="5"/>
        <v>0</v>
      </c>
      <c r="I234" s="24">
        <f t="shared" si="6"/>
        <v>0</v>
      </c>
      <c r="J234" s="24">
        <f t="shared" si="7"/>
        <v>0</v>
      </c>
      <c r="K234" s="24"/>
      <c r="L234" s="24">
        <f t="shared" si="8"/>
        <v>466.3772931</v>
      </c>
      <c r="M234" s="30">
        <f t="shared" si="9"/>
        <v>450.9820833</v>
      </c>
      <c r="N234" s="27">
        <f t="shared" si="10"/>
        <v>15.39520982</v>
      </c>
      <c r="O234" s="24"/>
      <c r="P234" s="24"/>
      <c r="Q234" s="24"/>
      <c r="R234" s="26"/>
      <c r="S234" s="14">
        <f t="shared" si="13"/>
        <v>14.13736164</v>
      </c>
      <c r="U234" s="21"/>
      <c r="V234" s="21"/>
    </row>
    <row r="235">
      <c r="A235" s="11">
        <v>223.0</v>
      </c>
      <c r="B235" s="11">
        <v>1.4203652173913E9</v>
      </c>
      <c r="C235" s="2">
        <v>-102.1612473</v>
      </c>
      <c r="D235" s="24">
        <f t="shared" si="1"/>
        <v>-34782.6087</v>
      </c>
      <c r="E235" s="25">
        <f t="shared" si="2"/>
        <v>6.428072925</v>
      </c>
      <c r="F235" s="24">
        <f t="shared" si="3"/>
        <v>0.0001848070966</v>
      </c>
      <c r="G235" s="24">
        <f t="shared" si="4"/>
        <v>0</v>
      </c>
      <c r="H235" s="26">
        <f t="shared" si="5"/>
        <v>0</v>
      </c>
      <c r="I235" s="24">
        <f t="shared" si="6"/>
        <v>0</v>
      </c>
      <c r="J235" s="24">
        <f t="shared" si="7"/>
        <v>0</v>
      </c>
      <c r="K235" s="24"/>
      <c r="L235" s="24">
        <f t="shared" si="8"/>
        <v>462.3612587</v>
      </c>
      <c r="M235" s="30">
        <f t="shared" si="9"/>
        <v>450.8847762</v>
      </c>
      <c r="N235" s="27">
        <f t="shared" si="10"/>
        <v>11.47648255</v>
      </c>
      <c r="O235" s="24"/>
      <c r="P235" s="24"/>
      <c r="Q235" s="24"/>
      <c r="R235" s="26"/>
      <c r="S235" s="14">
        <f t="shared" si="13"/>
        <v>10.53880952</v>
      </c>
      <c r="U235" s="21"/>
      <c r="V235" s="21"/>
    </row>
    <row r="236">
      <c r="A236" s="11">
        <v>224.0</v>
      </c>
      <c r="B236" s="11">
        <v>1.42036956521739E9</v>
      </c>
      <c r="C236" s="2">
        <v>-102.1696854</v>
      </c>
      <c r="D236" s="24">
        <f t="shared" si="1"/>
        <v>-30434.78261</v>
      </c>
      <c r="E236" s="25">
        <f t="shared" si="2"/>
        <v>5.509776795</v>
      </c>
      <c r="F236" s="24">
        <f t="shared" si="3"/>
        <v>0.0001810355232</v>
      </c>
      <c r="G236" s="24">
        <f t="shared" si="4"/>
        <v>0</v>
      </c>
      <c r="H236" s="26">
        <f t="shared" si="5"/>
        <v>0</v>
      </c>
      <c r="I236" s="24">
        <f t="shared" si="6"/>
        <v>0</v>
      </c>
      <c r="J236" s="24">
        <f t="shared" si="7"/>
        <v>0</v>
      </c>
      <c r="K236" s="24"/>
      <c r="L236" s="24">
        <f t="shared" si="8"/>
        <v>461.4637887</v>
      </c>
      <c r="M236" s="30">
        <f t="shared" si="9"/>
        <v>450.7873176</v>
      </c>
      <c r="N236" s="27">
        <f t="shared" si="10"/>
        <v>10.67647104</v>
      </c>
      <c r="O236" s="24"/>
      <c r="P236" s="24"/>
      <c r="Q236" s="24"/>
      <c r="R236" s="26"/>
      <c r="S236" s="14">
        <f t="shared" si="13"/>
        <v>9.804162072</v>
      </c>
      <c r="U236" s="21"/>
      <c r="V236" s="21"/>
    </row>
    <row r="237">
      <c r="A237" s="11">
        <v>225.0</v>
      </c>
      <c r="B237" s="11">
        <v>1.42037391304347E9</v>
      </c>
      <c r="C237" s="2">
        <v>-102.0558319</v>
      </c>
      <c r="D237" s="24">
        <f t="shared" si="1"/>
        <v>-26086.95653</v>
      </c>
      <c r="E237" s="25">
        <f t="shared" si="2"/>
        <v>4.591480662</v>
      </c>
      <c r="F237" s="24">
        <f t="shared" si="3"/>
        <v>0.0001760067586</v>
      </c>
      <c r="G237" s="24">
        <f t="shared" si="4"/>
        <v>0</v>
      </c>
      <c r="H237" s="26">
        <f t="shared" si="5"/>
        <v>0</v>
      </c>
      <c r="I237" s="24">
        <f t="shared" si="6"/>
        <v>0</v>
      </c>
      <c r="J237" s="24">
        <f t="shared" si="7"/>
        <v>0</v>
      </c>
      <c r="K237" s="24"/>
      <c r="L237" s="24">
        <f t="shared" si="8"/>
        <v>473.7213709</v>
      </c>
      <c r="M237" s="30">
        <f t="shared" si="9"/>
        <v>450.6897078</v>
      </c>
      <c r="N237" s="27">
        <f t="shared" si="10"/>
        <v>23.03166307</v>
      </c>
      <c r="O237" s="24"/>
      <c r="P237" s="24"/>
      <c r="Q237" s="24"/>
      <c r="R237" s="26"/>
      <c r="S237" s="14">
        <f t="shared" si="13"/>
        <v>21.14988713</v>
      </c>
      <c r="U237" s="21"/>
      <c r="V237" s="21"/>
    </row>
    <row r="238">
      <c r="A238" s="11">
        <v>226.0</v>
      </c>
      <c r="B238" s="11">
        <v>1.42037826086956E9</v>
      </c>
      <c r="C238" s="2">
        <v>-102.1223679</v>
      </c>
      <c r="D238" s="24">
        <f t="shared" si="1"/>
        <v>-21739.13044</v>
      </c>
      <c r="E238" s="25">
        <f t="shared" si="2"/>
        <v>3.673184529</v>
      </c>
      <c r="F238" s="24">
        <f t="shared" si="3"/>
        <v>0.0001689664883</v>
      </c>
      <c r="G238" s="24">
        <f t="shared" si="4"/>
        <v>0</v>
      </c>
      <c r="H238" s="26">
        <f t="shared" si="5"/>
        <v>0</v>
      </c>
      <c r="I238" s="24">
        <f t="shared" si="6"/>
        <v>0</v>
      </c>
      <c r="J238" s="24">
        <f t="shared" si="7"/>
        <v>0</v>
      </c>
      <c r="K238" s="24"/>
      <c r="L238" s="24">
        <f t="shared" si="8"/>
        <v>466.5190444</v>
      </c>
      <c r="M238" s="30">
        <f t="shared" si="9"/>
        <v>450.5919468</v>
      </c>
      <c r="N238" s="27">
        <f t="shared" si="10"/>
        <v>15.92709765</v>
      </c>
      <c r="O238" s="24"/>
      <c r="P238" s="24"/>
      <c r="Q238" s="24"/>
      <c r="R238" s="26"/>
      <c r="S238" s="14">
        <f t="shared" si="13"/>
        <v>14.62579215</v>
      </c>
      <c r="U238" s="21"/>
      <c r="V238" s="21"/>
    </row>
    <row r="239">
      <c r="A239" s="11">
        <v>227.0</v>
      </c>
      <c r="B239" s="11">
        <v>1.42038260869565E9</v>
      </c>
      <c r="C239" s="2">
        <v>-102.1291199</v>
      </c>
      <c r="D239" s="24">
        <f t="shared" si="1"/>
        <v>-17391.30435</v>
      </c>
      <c r="E239" s="25">
        <f t="shared" si="2"/>
        <v>2.754888398</v>
      </c>
      <c r="F239" s="24">
        <f t="shared" si="3"/>
        <v>0.0001584060829</v>
      </c>
      <c r="G239" s="24">
        <f t="shared" si="4"/>
        <v>0</v>
      </c>
      <c r="H239" s="26">
        <f t="shared" si="5"/>
        <v>0</v>
      </c>
      <c r="I239" s="24">
        <f t="shared" si="6"/>
        <v>0</v>
      </c>
      <c r="J239" s="24">
        <f t="shared" si="7"/>
        <v>0</v>
      </c>
      <c r="K239" s="24"/>
      <c r="L239" s="24">
        <f t="shared" si="8"/>
        <v>465.7943082</v>
      </c>
      <c r="M239" s="30">
        <f t="shared" si="9"/>
        <v>450.4940347</v>
      </c>
      <c r="N239" s="27">
        <f t="shared" si="10"/>
        <v>15.30027354</v>
      </c>
      <c r="O239" s="24"/>
      <c r="P239" s="24"/>
      <c r="Q239" s="24"/>
      <c r="R239" s="26"/>
      <c r="S239" s="14">
        <f t="shared" si="13"/>
        <v>14.05018202</v>
      </c>
      <c r="U239" s="21"/>
      <c r="V239" s="21"/>
    </row>
    <row r="240">
      <c r="A240" s="11">
        <v>228.0</v>
      </c>
      <c r="B240" s="11">
        <v>1.42038695652173E9</v>
      </c>
      <c r="C240" s="2">
        <v>-102.1051254</v>
      </c>
      <c r="D240" s="24">
        <f t="shared" si="1"/>
        <v>-13043.47827</v>
      </c>
      <c r="E240" s="25">
        <f t="shared" si="2"/>
        <v>1.836592266</v>
      </c>
      <c r="F240" s="24">
        <f t="shared" si="3"/>
        <v>0.0001408054069</v>
      </c>
      <c r="G240" s="24">
        <f t="shared" si="4"/>
        <v>0</v>
      </c>
      <c r="H240" s="26">
        <f t="shared" si="5"/>
        <v>0</v>
      </c>
      <c r="I240" s="24">
        <f t="shared" si="6"/>
        <v>0</v>
      </c>
      <c r="J240" s="24">
        <f t="shared" si="7"/>
        <v>0</v>
      </c>
      <c r="K240" s="24"/>
      <c r="L240" s="24">
        <f t="shared" si="8"/>
        <v>468.3749151</v>
      </c>
      <c r="M240" s="30">
        <f t="shared" si="9"/>
        <v>450.3959717</v>
      </c>
      <c r="N240" s="27">
        <f t="shared" si="10"/>
        <v>17.97894337</v>
      </c>
      <c r="O240" s="24"/>
      <c r="P240" s="24"/>
      <c r="Q240" s="24"/>
      <c r="R240" s="26"/>
      <c r="S240" s="14">
        <f t="shared" si="13"/>
        <v>16.50999417</v>
      </c>
      <c r="U240" s="21"/>
      <c r="V240" s="21"/>
    </row>
    <row r="241">
      <c r="A241" s="11">
        <v>229.0</v>
      </c>
      <c r="B241" s="11">
        <v>1.42039130434782E9</v>
      </c>
      <c r="C241" s="2">
        <v>-102.0707016</v>
      </c>
      <c r="D241" s="24">
        <f t="shared" si="1"/>
        <v>-8695.65218</v>
      </c>
      <c r="E241" s="25">
        <f t="shared" si="2"/>
        <v>0.9182961328</v>
      </c>
      <c r="F241" s="24">
        <f t="shared" si="3"/>
        <v>0.0001056040552</v>
      </c>
      <c r="G241" s="24">
        <f t="shared" si="4"/>
        <v>0</v>
      </c>
      <c r="H241" s="26">
        <f t="shared" si="5"/>
        <v>0</v>
      </c>
      <c r="I241" s="24">
        <f t="shared" si="6"/>
        <v>0</v>
      </c>
      <c r="J241" s="24">
        <f t="shared" si="7"/>
        <v>0</v>
      </c>
      <c r="K241" s="24"/>
      <c r="L241" s="24">
        <f t="shared" si="8"/>
        <v>472.1021817</v>
      </c>
      <c r="M241" s="30">
        <f t="shared" si="9"/>
        <v>450.297758</v>
      </c>
      <c r="N241" s="27">
        <f t="shared" si="10"/>
        <v>21.80442366</v>
      </c>
      <c r="O241" s="24"/>
      <c r="P241" s="24"/>
      <c r="Q241" s="24"/>
      <c r="R241" s="26"/>
      <c r="S241" s="14">
        <f t="shared" si="13"/>
        <v>20.02291792</v>
      </c>
      <c r="U241" s="21"/>
      <c r="V241" s="21"/>
    </row>
    <row r="242">
      <c r="A242" s="11">
        <v>230.0</v>
      </c>
      <c r="B242" s="11">
        <v>1.42039565217391E9</v>
      </c>
      <c r="C242" s="2">
        <v>-102.0065155</v>
      </c>
      <c r="D242" s="24">
        <f t="shared" si="1"/>
        <v>-4347.82609</v>
      </c>
      <c r="E242" s="25">
        <f t="shared" si="2"/>
        <v>0</v>
      </c>
      <c r="F242" s="24">
        <f t="shared" si="3"/>
        <v>0</v>
      </c>
      <c r="G242" s="24">
        <f t="shared" si="4"/>
        <v>0</v>
      </c>
      <c r="H242" s="26">
        <f t="shared" si="5"/>
        <v>0</v>
      </c>
      <c r="I242" s="24">
        <f t="shared" si="6"/>
        <v>0</v>
      </c>
      <c r="J242" s="24" t="str">
        <f t="shared" si="7"/>
        <v>#DIV/0!</v>
      </c>
      <c r="K242" s="24"/>
      <c r="L242" s="24">
        <f t="shared" si="8"/>
        <v>479.1313823</v>
      </c>
      <c r="M242" s="30">
        <f t="shared" si="9"/>
        <v>450.1993937</v>
      </c>
      <c r="N242" s="27">
        <f t="shared" si="10"/>
        <v>28.93198868</v>
      </c>
      <c r="O242" s="24"/>
      <c r="P242" s="24"/>
      <c r="Q242" s="24"/>
      <c r="R242" s="26"/>
      <c r="S242" s="14">
        <f t="shared" si="13"/>
        <v>26.56813326</v>
      </c>
      <c r="U242" s="21"/>
      <c r="V242" s="21"/>
    </row>
    <row r="243">
      <c r="A243" s="11">
        <v>231.0</v>
      </c>
      <c r="B243" s="11">
        <v>1.4204E9</v>
      </c>
      <c r="C243" s="2">
        <v>-102.0043488</v>
      </c>
      <c r="D243" s="24">
        <f t="shared" si="1"/>
        <v>0</v>
      </c>
      <c r="E243" s="25">
        <f t="shared" si="2"/>
        <v>-0.9182961307</v>
      </c>
      <c r="F243" s="24" t="str">
        <f t="shared" si="3"/>
        <v>#DIV/0!</v>
      </c>
      <c r="G243" s="24">
        <f t="shared" si="4"/>
        <v>0</v>
      </c>
      <c r="H243" s="26">
        <f t="shared" si="5"/>
        <v>0</v>
      </c>
      <c r="I243" s="24">
        <f t="shared" si="6"/>
        <v>0</v>
      </c>
      <c r="J243" s="24" t="str">
        <f t="shared" si="7"/>
        <v>#DIV/0!</v>
      </c>
      <c r="K243" s="24"/>
      <c r="L243" s="24">
        <f t="shared" si="8"/>
        <v>479.3704812</v>
      </c>
      <c r="M243" s="30">
        <f t="shared" si="9"/>
        <v>450.1008788</v>
      </c>
      <c r="N243" s="27">
        <f t="shared" si="10"/>
        <v>29.26960232</v>
      </c>
      <c r="O243" s="24"/>
      <c r="P243" s="24"/>
      <c r="Q243" s="24"/>
      <c r="R243" s="26"/>
      <c r="S243" s="14">
        <f t="shared" si="13"/>
        <v>26.87816262</v>
      </c>
      <c r="U243" s="21"/>
      <c r="V243" s="21"/>
    </row>
    <row r="244">
      <c r="A244" s="11">
        <v>232.0</v>
      </c>
      <c r="B244" s="11">
        <v>1.42040434782608E9</v>
      </c>
      <c r="C244" s="2">
        <v>-102.0392914</v>
      </c>
      <c r="D244" s="24">
        <f t="shared" si="1"/>
        <v>4347.82608</v>
      </c>
      <c r="E244" s="25">
        <f t="shared" si="2"/>
        <v>-1.836592263</v>
      </c>
      <c r="F244" s="24">
        <f t="shared" si="3"/>
        <v>0.0004224162213</v>
      </c>
      <c r="G244" s="24">
        <f t="shared" si="4"/>
        <v>0</v>
      </c>
      <c r="H244" s="26">
        <f t="shared" si="5"/>
        <v>0</v>
      </c>
      <c r="I244" s="24">
        <f t="shared" si="6"/>
        <v>0</v>
      </c>
      <c r="J244" s="24">
        <f t="shared" si="7"/>
        <v>0</v>
      </c>
      <c r="K244" s="24"/>
      <c r="L244" s="24">
        <f t="shared" si="8"/>
        <v>475.5290219</v>
      </c>
      <c r="M244" s="30">
        <f t="shared" si="9"/>
        <v>450.0022137</v>
      </c>
      <c r="N244" s="27">
        <f t="shared" si="10"/>
        <v>25.52680821</v>
      </c>
      <c r="O244" s="24"/>
      <c r="P244" s="24"/>
      <c r="Q244" s="24"/>
      <c r="R244" s="26"/>
      <c r="S244" s="14">
        <f t="shared" si="13"/>
        <v>23.44116926</v>
      </c>
      <c r="U244" s="21"/>
      <c r="V244" s="21"/>
    </row>
    <row r="245">
      <c r="A245" s="11">
        <v>233.0</v>
      </c>
      <c r="B245" s="11">
        <v>1.42040869565217E9</v>
      </c>
      <c r="C245" s="2">
        <v>-101.9943542</v>
      </c>
      <c r="D245" s="24">
        <f t="shared" si="1"/>
        <v>8695.65217</v>
      </c>
      <c r="E245" s="25">
        <f t="shared" si="2"/>
        <v>-2.754888396</v>
      </c>
      <c r="F245" s="24">
        <f t="shared" si="3"/>
        <v>0.0003168121657</v>
      </c>
      <c r="G245" s="24">
        <f t="shared" si="4"/>
        <v>0</v>
      </c>
      <c r="H245" s="26">
        <f t="shared" si="5"/>
        <v>0</v>
      </c>
      <c r="I245" s="24">
        <f t="shared" si="6"/>
        <v>0</v>
      </c>
      <c r="J245" s="24">
        <f t="shared" si="7"/>
        <v>0</v>
      </c>
      <c r="K245" s="24"/>
      <c r="L245" s="24">
        <f t="shared" si="8"/>
        <v>480.4749468</v>
      </c>
      <c r="M245" s="30">
        <f t="shared" si="9"/>
        <v>449.9033983</v>
      </c>
      <c r="N245" s="27">
        <f t="shared" si="10"/>
        <v>30.57154852</v>
      </c>
      <c r="O245" s="24"/>
      <c r="P245" s="24"/>
      <c r="Q245" s="24"/>
      <c r="R245" s="26"/>
      <c r="S245" s="14">
        <f t="shared" si="13"/>
        <v>28.07373472</v>
      </c>
      <c r="U245" s="21"/>
      <c r="V245" s="21"/>
    </row>
    <row r="246">
      <c r="A246" s="11">
        <v>234.0</v>
      </c>
      <c r="B246" s="11">
        <v>1.42041304347826E9</v>
      </c>
      <c r="C246" s="2">
        <v>-101.9306259</v>
      </c>
      <c r="D246" s="24">
        <f t="shared" si="1"/>
        <v>13043.47826</v>
      </c>
      <c r="E246" s="25">
        <f t="shared" si="2"/>
        <v>-3.673184527</v>
      </c>
      <c r="F246" s="24">
        <f t="shared" si="3"/>
        <v>0.0002816108137</v>
      </c>
      <c r="G246" s="24">
        <f t="shared" si="4"/>
        <v>0</v>
      </c>
      <c r="H246" s="26">
        <f t="shared" si="5"/>
        <v>0</v>
      </c>
      <c r="I246" s="24">
        <f t="shared" si="6"/>
        <v>0</v>
      </c>
      <c r="J246" s="24">
        <f t="shared" si="7"/>
        <v>0</v>
      </c>
      <c r="K246" s="24"/>
      <c r="L246" s="24">
        <f t="shared" si="8"/>
        <v>487.5774115</v>
      </c>
      <c r="M246" s="30">
        <f t="shared" si="9"/>
        <v>449.8044329</v>
      </c>
      <c r="N246" s="27">
        <f t="shared" si="10"/>
        <v>37.7729786</v>
      </c>
      <c r="O246" s="24"/>
      <c r="P246" s="24"/>
      <c r="Q246" s="24"/>
      <c r="R246" s="26"/>
      <c r="S246" s="14">
        <f t="shared" si="13"/>
        <v>34.68678017</v>
      </c>
      <c r="U246" s="21"/>
      <c r="V246" s="21"/>
    </row>
    <row r="247">
      <c r="A247" s="11">
        <v>235.0</v>
      </c>
      <c r="B247" s="11">
        <v>1.42041739130434E9</v>
      </c>
      <c r="C247" s="2">
        <v>-101.9422913</v>
      </c>
      <c r="D247" s="24">
        <f t="shared" si="1"/>
        <v>17391.30434</v>
      </c>
      <c r="E247" s="25">
        <f t="shared" si="2"/>
        <v>-4.59148066</v>
      </c>
      <c r="F247" s="24">
        <f t="shared" si="3"/>
        <v>0.0002640101381</v>
      </c>
      <c r="G247" s="24">
        <f t="shared" si="4"/>
        <v>0</v>
      </c>
      <c r="H247" s="26">
        <f t="shared" si="5"/>
        <v>0</v>
      </c>
      <c r="I247" s="24">
        <f t="shared" si="6"/>
        <v>0</v>
      </c>
      <c r="J247" s="24">
        <f t="shared" si="7"/>
        <v>0</v>
      </c>
      <c r="K247" s="24"/>
      <c r="L247" s="24">
        <f t="shared" si="8"/>
        <v>486.2695078</v>
      </c>
      <c r="M247" s="30">
        <f t="shared" si="9"/>
        <v>449.7053175</v>
      </c>
      <c r="N247" s="27">
        <f t="shared" si="10"/>
        <v>36.56419027</v>
      </c>
      <c r="O247" s="24"/>
      <c r="P247" s="24"/>
      <c r="Q247" s="24"/>
      <c r="R247" s="26"/>
      <c r="S247" s="14">
        <f t="shared" si="13"/>
        <v>33.57675452</v>
      </c>
      <c r="U247" s="21"/>
      <c r="V247" s="21"/>
    </row>
    <row r="248">
      <c r="A248" s="11">
        <v>236.0</v>
      </c>
      <c r="B248" s="11">
        <v>1.42042173913043E9</v>
      </c>
      <c r="C248" s="2">
        <v>-101.8410339</v>
      </c>
      <c r="D248" s="24">
        <f t="shared" si="1"/>
        <v>21739.13043</v>
      </c>
      <c r="E248" s="25">
        <f t="shared" si="2"/>
        <v>-5.509776792</v>
      </c>
      <c r="F248" s="24">
        <f t="shared" si="3"/>
        <v>0.0002534497325</v>
      </c>
      <c r="G248" s="24">
        <f t="shared" si="4"/>
        <v>0</v>
      </c>
      <c r="H248" s="26">
        <f t="shared" si="5"/>
        <v>0</v>
      </c>
      <c r="I248" s="24">
        <f t="shared" si="6"/>
        <v>0</v>
      </c>
      <c r="J248" s="24">
        <f t="shared" si="7"/>
        <v>0</v>
      </c>
      <c r="K248" s="24"/>
      <c r="L248" s="24">
        <f t="shared" si="8"/>
        <v>497.7402681</v>
      </c>
      <c r="M248" s="30">
        <f t="shared" si="9"/>
        <v>449.6060524</v>
      </c>
      <c r="N248" s="27">
        <f t="shared" si="10"/>
        <v>48.1342157</v>
      </c>
      <c r="O248" s="24"/>
      <c r="P248" s="24"/>
      <c r="Q248" s="24"/>
      <c r="R248" s="26"/>
      <c r="S248" s="14">
        <f t="shared" si="13"/>
        <v>44.20146403</v>
      </c>
      <c r="U248" s="21"/>
      <c r="V248" s="21"/>
    </row>
    <row r="249">
      <c r="A249" s="11">
        <v>237.0</v>
      </c>
      <c r="B249" s="11">
        <v>1.42042608695652E9</v>
      </c>
      <c r="C249" s="2">
        <v>-101.9053345</v>
      </c>
      <c r="D249" s="24">
        <f t="shared" si="1"/>
        <v>26086.95652</v>
      </c>
      <c r="E249" s="25">
        <f t="shared" si="2"/>
        <v>-6.428072923</v>
      </c>
      <c r="F249" s="24">
        <f t="shared" si="3"/>
        <v>0.0002464094621</v>
      </c>
      <c r="G249" s="24">
        <f t="shared" si="4"/>
        <v>0</v>
      </c>
      <c r="H249" s="26">
        <f t="shared" si="5"/>
        <v>0</v>
      </c>
      <c r="I249" s="24">
        <f t="shared" si="6"/>
        <v>0</v>
      </c>
      <c r="J249" s="24">
        <f t="shared" si="7"/>
        <v>0</v>
      </c>
      <c r="K249" s="24"/>
      <c r="L249" s="24">
        <f t="shared" si="8"/>
        <v>490.4251317</v>
      </c>
      <c r="M249" s="30">
        <f t="shared" si="9"/>
        <v>449.5066376</v>
      </c>
      <c r="N249" s="27">
        <f t="shared" si="10"/>
        <v>40.91849407</v>
      </c>
      <c r="O249" s="24"/>
      <c r="P249" s="24"/>
      <c r="Q249" s="24"/>
      <c r="R249" s="26"/>
      <c r="S249" s="14">
        <f t="shared" si="13"/>
        <v>37.57529486</v>
      </c>
      <c r="U249" s="21"/>
      <c r="V249" s="21"/>
    </row>
    <row r="250">
      <c r="A250" s="11">
        <v>238.0</v>
      </c>
      <c r="B250" s="11">
        <v>1.4204304347826E9</v>
      </c>
      <c r="C250" s="2">
        <v>-101.7820511</v>
      </c>
      <c r="D250" s="24">
        <f t="shared" si="1"/>
        <v>30434.7826</v>
      </c>
      <c r="E250" s="25">
        <f t="shared" si="2"/>
        <v>-7.346369056</v>
      </c>
      <c r="F250" s="24">
        <f t="shared" si="3"/>
        <v>0.0002413806976</v>
      </c>
      <c r="G250" s="24">
        <f t="shared" si="4"/>
        <v>0</v>
      </c>
      <c r="H250" s="26">
        <f t="shared" si="5"/>
        <v>0</v>
      </c>
      <c r="I250" s="24">
        <f t="shared" si="6"/>
        <v>0</v>
      </c>
      <c r="J250" s="24">
        <f t="shared" si="7"/>
        <v>0</v>
      </c>
      <c r="K250" s="24"/>
      <c r="L250" s="24">
        <f t="shared" si="8"/>
        <v>504.5463368</v>
      </c>
      <c r="M250" s="30">
        <f t="shared" si="9"/>
        <v>449.4070734</v>
      </c>
      <c r="N250" s="27">
        <f t="shared" si="10"/>
        <v>55.13926344</v>
      </c>
      <c r="O250" s="24"/>
      <c r="P250" s="24"/>
      <c r="Q250" s="24"/>
      <c r="R250" s="26"/>
      <c r="S250" s="14">
        <f t="shared" si="13"/>
        <v>50.63417238</v>
      </c>
      <c r="U250" s="21"/>
      <c r="V250" s="21"/>
    </row>
    <row r="251">
      <c r="A251" s="11">
        <v>239.0</v>
      </c>
      <c r="B251" s="11">
        <v>1.42043478260869E9</v>
      </c>
      <c r="C251" s="2">
        <v>-101.758255</v>
      </c>
      <c r="D251" s="24">
        <f t="shared" si="1"/>
        <v>34782.60869</v>
      </c>
      <c r="E251" s="25">
        <f t="shared" si="2"/>
        <v>-8.264665189</v>
      </c>
      <c r="F251" s="24">
        <f t="shared" si="3"/>
        <v>0.0002376091242</v>
      </c>
      <c r="G251" s="24">
        <f t="shared" si="4"/>
        <v>0</v>
      </c>
      <c r="H251" s="26">
        <f t="shared" si="5"/>
        <v>0</v>
      </c>
      <c r="I251" s="24">
        <f t="shared" si="6"/>
        <v>0</v>
      </c>
      <c r="J251" s="24">
        <f t="shared" si="7"/>
        <v>0</v>
      </c>
      <c r="K251" s="24"/>
      <c r="L251" s="24">
        <f t="shared" si="8"/>
        <v>507.3184623</v>
      </c>
      <c r="M251" s="30">
        <f t="shared" si="9"/>
        <v>449.3073597</v>
      </c>
      <c r="N251" s="27">
        <f t="shared" si="10"/>
        <v>58.01110252</v>
      </c>
      <c r="O251" s="24"/>
      <c r="P251" s="24"/>
      <c r="Q251" s="24"/>
      <c r="R251" s="26"/>
      <c r="S251" s="14">
        <f t="shared" si="13"/>
        <v>53.2713711</v>
      </c>
      <c r="U251" s="21"/>
      <c r="V251" s="21"/>
    </row>
    <row r="252">
      <c r="A252" s="11">
        <v>240.0</v>
      </c>
      <c r="B252" s="11">
        <v>1.42043913043478E9</v>
      </c>
      <c r="C252" s="2">
        <v>-101.7598953</v>
      </c>
      <c r="D252" s="24">
        <f t="shared" si="1"/>
        <v>39130.43478</v>
      </c>
      <c r="E252" s="25">
        <f t="shared" si="2"/>
        <v>-9.182961321</v>
      </c>
      <c r="F252" s="24">
        <f t="shared" si="3"/>
        <v>0.0002346756782</v>
      </c>
      <c r="G252" s="24">
        <f t="shared" si="4"/>
        <v>0</v>
      </c>
      <c r="H252" s="26">
        <f t="shared" si="5"/>
        <v>0</v>
      </c>
      <c r="I252" s="24">
        <f t="shared" si="6"/>
        <v>0</v>
      </c>
      <c r="J252" s="24">
        <f t="shared" si="7"/>
        <v>0</v>
      </c>
      <c r="K252" s="24"/>
      <c r="L252" s="24">
        <f t="shared" si="8"/>
        <v>507.1268878</v>
      </c>
      <c r="M252" s="30">
        <f t="shared" si="9"/>
        <v>449.2074969</v>
      </c>
      <c r="N252" s="27">
        <f t="shared" si="10"/>
        <v>57.9193909</v>
      </c>
      <c r="O252" s="24"/>
      <c r="P252" s="24"/>
      <c r="Q252" s="24"/>
      <c r="R252" s="26"/>
      <c r="S252" s="14">
        <f t="shared" si="13"/>
        <v>53.18715255</v>
      </c>
      <c r="U252" s="21"/>
      <c r="V252" s="21"/>
    </row>
    <row r="253">
      <c r="A253" s="11">
        <v>241.0</v>
      </c>
      <c r="B253" s="11">
        <v>1.42044347826087E9</v>
      </c>
      <c r="C253" s="2">
        <v>-101.7448349</v>
      </c>
      <c r="D253" s="24">
        <f t="shared" si="1"/>
        <v>43478.26087</v>
      </c>
      <c r="E253" s="25">
        <f t="shared" si="2"/>
        <v>-10.10125745</v>
      </c>
      <c r="F253" s="24">
        <f t="shared" si="3"/>
        <v>0.0002323289214</v>
      </c>
      <c r="G253" s="24">
        <f t="shared" si="4"/>
        <v>0</v>
      </c>
      <c r="H253" s="26">
        <f t="shared" si="5"/>
        <v>0</v>
      </c>
      <c r="I253" s="24">
        <f t="shared" si="6"/>
        <v>0</v>
      </c>
      <c r="J253" s="24">
        <f t="shared" si="7"/>
        <v>0</v>
      </c>
      <c r="K253" s="24"/>
      <c r="L253" s="24">
        <f t="shared" si="8"/>
        <v>508.8885477</v>
      </c>
      <c r="M253" s="30">
        <f t="shared" si="9"/>
        <v>449.107485</v>
      </c>
      <c r="N253" s="27">
        <f t="shared" si="10"/>
        <v>59.78106274</v>
      </c>
      <c r="O253" s="24"/>
      <c r="P253" s="24"/>
      <c r="Q253" s="24"/>
      <c r="R253" s="26"/>
      <c r="S253" s="14">
        <f t="shared" si="13"/>
        <v>54.89671872</v>
      </c>
      <c r="U253" s="21"/>
      <c r="V253" s="21"/>
    </row>
    <row r="254">
      <c r="A254" s="11">
        <v>242.0</v>
      </c>
      <c r="B254" s="11">
        <v>1.42044782608695E9</v>
      </c>
      <c r="C254" s="2">
        <v>-101.680069</v>
      </c>
      <c r="D254" s="24">
        <f t="shared" si="1"/>
        <v>47826.08695</v>
      </c>
      <c r="E254" s="25">
        <f t="shared" si="2"/>
        <v>-11.01955358</v>
      </c>
      <c r="F254" s="24">
        <f t="shared" si="3"/>
        <v>0.0002304088477</v>
      </c>
      <c r="G254" s="24">
        <f t="shared" si="4"/>
        <v>0</v>
      </c>
      <c r="H254" s="26">
        <f t="shared" si="5"/>
        <v>0</v>
      </c>
      <c r="I254" s="24">
        <f t="shared" si="6"/>
        <v>0</v>
      </c>
      <c r="J254" s="24">
        <f t="shared" si="7"/>
        <v>0</v>
      </c>
      <c r="K254" s="24"/>
      <c r="L254" s="24">
        <f t="shared" si="8"/>
        <v>516.5344209</v>
      </c>
      <c r="M254" s="30">
        <f t="shared" si="9"/>
        <v>449.0073241</v>
      </c>
      <c r="N254" s="27">
        <f t="shared" si="10"/>
        <v>67.52709679</v>
      </c>
      <c r="O254" s="24"/>
      <c r="P254" s="24"/>
      <c r="Q254" s="24"/>
      <c r="R254" s="26"/>
      <c r="S254" s="14">
        <f t="shared" si="13"/>
        <v>62.00987184</v>
      </c>
      <c r="U254" s="21"/>
      <c r="V254" s="21"/>
    </row>
    <row r="255">
      <c r="A255" s="11">
        <v>243.0</v>
      </c>
      <c r="B255" s="11">
        <v>1.42045217391304E9</v>
      </c>
      <c r="C255" s="2">
        <v>-101.5602112</v>
      </c>
      <c r="D255" s="24">
        <f t="shared" si="1"/>
        <v>52173.91304</v>
      </c>
      <c r="E255" s="25">
        <f t="shared" si="2"/>
        <v>-11.93784972</v>
      </c>
      <c r="F255" s="24">
        <f t="shared" si="3"/>
        <v>0.0002288087863</v>
      </c>
      <c r="G255" s="24">
        <f t="shared" si="4"/>
        <v>0</v>
      </c>
      <c r="H255" s="26">
        <f t="shared" si="5"/>
        <v>0</v>
      </c>
      <c r="I255" s="24">
        <f t="shared" si="6"/>
        <v>0</v>
      </c>
      <c r="J255" s="24">
        <f t="shared" si="7"/>
        <v>0</v>
      </c>
      <c r="K255" s="24"/>
      <c r="L255" s="24">
        <f t="shared" si="8"/>
        <v>530.9884169</v>
      </c>
      <c r="M255" s="30">
        <f t="shared" si="9"/>
        <v>448.9070144</v>
      </c>
      <c r="N255" s="27">
        <f t="shared" si="10"/>
        <v>82.08140248</v>
      </c>
      <c r="O255" s="24"/>
      <c r="P255" s="24"/>
      <c r="Q255" s="24"/>
      <c r="R255" s="26"/>
      <c r="S255" s="14">
        <f t="shared" si="13"/>
        <v>75.3750343</v>
      </c>
      <c r="U255" s="21"/>
      <c r="V255" s="21"/>
    </row>
    <row r="256">
      <c r="A256" s="11">
        <v>244.0</v>
      </c>
      <c r="B256" s="11">
        <v>1.42045652173913E9</v>
      </c>
      <c r="C256" s="2">
        <v>-101.6575394</v>
      </c>
      <c r="D256" s="24">
        <f t="shared" si="1"/>
        <v>56521.73913</v>
      </c>
      <c r="E256" s="25">
        <f t="shared" si="2"/>
        <v>-12.85614585</v>
      </c>
      <c r="F256" s="24">
        <f t="shared" si="3"/>
        <v>0.0002274548881</v>
      </c>
      <c r="G256" s="24">
        <f t="shared" si="4"/>
        <v>0</v>
      </c>
      <c r="H256" s="26">
        <f t="shared" si="5"/>
        <v>0</v>
      </c>
      <c r="I256" s="24">
        <f t="shared" si="6"/>
        <v>0</v>
      </c>
      <c r="J256" s="24">
        <f t="shared" si="7"/>
        <v>0</v>
      </c>
      <c r="K256" s="24"/>
      <c r="L256" s="24">
        <f t="shared" si="8"/>
        <v>519.2209738</v>
      </c>
      <c r="M256" s="30">
        <f t="shared" si="9"/>
        <v>448.8065561</v>
      </c>
      <c r="N256" s="27">
        <f t="shared" si="10"/>
        <v>70.41441775</v>
      </c>
      <c r="O256" s="24"/>
      <c r="P256" s="24"/>
      <c r="Q256" s="24"/>
      <c r="R256" s="26"/>
      <c r="S256" s="14">
        <f t="shared" si="13"/>
        <v>64.66128751</v>
      </c>
      <c r="U256" s="21"/>
      <c r="V256" s="21"/>
    </row>
    <row r="257">
      <c r="A257" s="11">
        <v>245.0</v>
      </c>
      <c r="B257" s="11">
        <v>1.42046086956521E9</v>
      </c>
      <c r="C257" s="2">
        <v>-101.4938202</v>
      </c>
      <c r="D257" s="24">
        <f t="shared" si="1"/>
        <v>60869.56521</v>
      </c>
      <c r="E257" s="25">
        <f t="shared" si="2"/>
        <v>-13.77444198</v>
      </c>
      <c r="F257" s="24">
        <f t="shared" si="3"/>
        <v>0.000226294404</v>
      </c>
      <c r="G257" s="24">
        <f t="shared" si="4"/>
        <v>0</v>
      </c>
      <c r="H257" s="26">
        <f t="shared" si="5"/>
        <v>0</v>
      </c>
      <c r="I257" s="24">
        <f t="shared" si="6"/>
        <v>0</v>
      </c>
      <c r="J257" s="24">
        <f t="shared" si="7"/>
        <v>0</v>
      </c>
      <c r="K257" s="24"/>
      <c r="L257" s="24">
        <f t="shared" si="8"/>
        <v>539.1680481</v>
      </c>
      <c r="M257" s="30">
        <f t="shared" si="9"/>
        <v>448.7059492</v>
      </c>
      <c r="N257" s="27">
        <f t="shared" si="10"/>
        <v>90.46209892</v>
      </c>
      <c r="O257" s="24"/>
      <c r="P257" s="24"/>
      <c r="Q257" s="24"/>
      <c r="R257" s="26"/>
      <c r="S257" s="14">
        <f t="shared" si="13"/>
        <v>83.0709956</v>
      </c>
      <c r="U257" s="21"/>
      <c r="V257" s="21"/>
    </row>
    <row r="258">
      <c r="A258" s="11">
        <v>246.0</v>
      </c>
      <c r="B258" s="11">
        <v>1.4204652173913E9</v>
      </c>
      <c r="C258" s="2">
        <v>-101.5766296</v>
      </c>
      <c r="D258" s="24">
        <f t="shared" si="1"/>
        <v>65217.3913</v>
      </c>
      <c r="E258" s="25">
        <f t="shared" si="2"/>
        <v>-14.69273811</v>
      </c>
      <c r="F258" s="24">
        <f t="shared" si="3"/>
        <v>0.0002252886511</v>
      </c>
      <c r="G258" s="24">
        <f t="shared" si="4"/>
        <v>0</v>
      </c>
      <c r="H258" s="26">
        <f t="shared" si="5"/>
        <v>0</v>
      </c>
      <c r="I258" s="24">
        <f t="shared" si="6"/>
        <v>0</v>
      </c>
      <c r="J258" s="24">
        <f t="shared" si="7"/>
        <v>0</v>
      </c>
      <c r="K258" s="24"/>
      <c r="L258" s="24">
        <f t="shared" si="8"/>
        <v>528.9848174</v>
      </c>
      <c r="M258" s="30">
        <f t="shared" si="9"/>
        <v>448.605194</v>
      </c>
      <c r="N258" s="27">
        <f t="shared" si="10"/>
        <v>80.37962345</v>
      </c>
      <c r="O258" s="24"/>
      <c r="P258" s="24"/>
      <c r="Q258" s="24"/>
      <c r="R258" s="26"/>
      <c r="S258" s="14">
        <f t="shared" si="13"/>
        <v>73.81229719</v>
      </c>
      <c r="U258" s="21"/>
      <c r="V258" s="21"/>
    </row>
    <row r="259">
      <c r="A259" s="11">
        <v>247.0</v>
      </c>
      <c r="B259" s="11">
        <v>1.42046956521739E9</v>
      </c>
      <c r="C259" s="2">
        <v>-101.5071106</v>
      </c>
      <c r="D259" s="24">
        <f t="shared" si="1"/>
        <v>69565.21739</v>
      </c>
      <c r="E259" s="25">
        <f t="shared" si="2"/>
        <v>-15.61103424</v>
      </c>
      <c r="F259" s="24">
        <f t="shared" si="3"/>
        <v>0.0002244086173</v>
      </c>
      <c r="G259" s="24">
        <f t="shared" si="4"/>
        <v>0</v>
      </c>
      <c r="H259" s="26">
        <f t="shared" si="5"/>
        <v>0</v>
      </c>
      <c r="I259" s="24">
        <f t="shared" si="6"/>
        <v>0</v>
      </c>
      <c r="J259" s="24">
        <f t="shared" si="7"/>
        <v>0</v>
      </c>
      <c r="K259" s="24"/>
      <c r="L259" s="24">
        <f t="shared" si="8"/>
        <v>537.5205932</v>
      </c>
      <c r="M259" s="30">
        <f t="shared" si="9"/>
        <v>448.5042905</v>
      </c>
      <c r="N259" s="27">
        <f t="shared" si="10"/>
        <v>89.01630272</v>
      </c>
      <c r="O259" s="24"/>
      <c r="P259" s="24"/>
      <c r="Q259" s="24"/>
      <c r="R259" s="26"/>
      <c r="S259" s="14">
        <f t="shared" si="13"/>
        <v>81.74332655</v>
      </c>
      <c r="U259" s="21"/>
      <c r="V259" s="21"/>
    </row>
    <row r="260">
      <c r="A260" s="11">
        <v>248.0</v>
      </c>
      <c r="B260" s="11">
        <v>1.42047391304347E9</v>
      </c>
      <c r="C260" s="2">
        <v>-101.4536896</v>
      </c>
      <c r="D260" s="24">
        <f t="shared" si="1"/>
        <v>73913.04347</v>
      </c>
      <c r="E260" s="25">
        <f t="shared" si="2"/>
        <v>-16.52933038</v>
      </c>
      <c r="F260" s="24">
        <f t="shared" si="3"/>
        <v>0.0002236321169</v>
      </c>
      <c r="G260" s="24">
        <f t="shared" si="4"/>
        <v>0</v>
      </c>
      <c r="H260" s="26">
        <f t="shared" si="5"/>
        <v>0</v>
      </c>
      <c r="I260" s="24">
        <f t="shared" si="6"/>
        <v>0</v>
      </c>
      <c r="J260" s="24">
        <f t="shared" si="7"/>
        <v>0</v>
      </c>
      <c r="K260" s="24"/>
      <c r="L260" s="24">
        <f t="shared" si="8"/>
        <v>544.1732727</v>
      </c>
      <c r="M260" s="30">
        <f t="shared" si="9"/>
        <v>448.4032389</v>
      </c>
      <c r="N260" s="27">
        <f t="shared" si="10"/>
        <v>95.77003375</v>
      </c>
      <c r="O260" s="24"/>
      <c r="P260" s="24"/>
      <c r="Q260" s="24"/>
      <c r="R260" s="26"/>
      <c r="S260" s="14">
        <f t="shared" si="13"/>
        <v>87.94525163</v>
      </c>
      <c r="U260" s="21"/>
      <c r="V260" s="21"/>
    </row>
    <row r="261">
      <c r="A261" s="11">
        <v>249.0</v>
      </c>
      <c r="B261" s="11">
        <v>1.42047826086956E9</v>
      </c>
      <c r="C261" s="2">
        <v>-101.5450363</v>
      </c>
      <c r="D261" s="24">
        <f t="shared" si="1"/>
        <v>78260.86956</v>
      </c>
      <c r="E261" s="25">
        <f t="shared" si="2"/>
        <v>-17.44762651</v>
      </c>
      <c r="F261" s="24">
        <f t="shared" si="3"/>
        <v>0.0002229418943</v>
      </c>
      <c r="G261" s="24">
        <f t="shared" si="4"/>
        <v>0</v>
      </c>
      <c r="H261" s="26">
        <f t="shared" si="5"/>
        <v>0</v>
      </c>
      <c r="I261" s="24">
        <f t="shared" si="6"/>
        <v>0</v>
      </c>
      <c r="J261" s="24">
        <f t="shared" si="7"/>
        <v>0</v>
      </c>
      <c r="K261" s="24"/>
      <c r="L261" s="24">
        <f t="shared" si="8"/>
        <v>532.8470152</v>
      </c>
      <c r="M261" s="30">
        <f t="shared" si="9"/>
        <v>448.3020394</v>
      </c>
      <c r="N261" s="27">
        <f t="shared" si="10"/>
        <v>84.54497584</v>
      </c>
      <c r="O261" s="24"/>
      <c r="P261" s="24"/>
      <c r="Q261" s="24"/>
      <c r="R261" s="26"/>
      <c r="S261" s="14">
        <f t="shared" si="13"/>
        <v>77.63732418</v>
      </c>
      <c r="U261" s="21"/>
      <c r="V261" s="21"/>
    </row>
    <row r="262">
      <c r="A262" s="11">
        <v>250.0</v>
      </c>
      <c r="B262" s="11">
        <v>1.42048260869565E9</v>
      </c>
      <c r="C262" s="2">
        <v>-101.4935837</v>
      </c>
      <c r="D262" s="24">
        <f t="shared" si="1"/>
        <v>82608.69565</v>
      </c>
      <c r="E262" s="25">
        <f t="shared" si="2"/>
        <v>-18.36592264</v>
      </c>
      <c r="F262" s="24">
        <f t="shared" si="3"/>
        <v>0.0002223243267</v>
      </c>
      <c r="G262" s="24">
        <f t="shared" si="4"/>
        <v>0</v>
      </c>
      <c r="H262" s="26">
        <f t="shared" si="5"/>
        <v>0</v>
      </c>
      <c r="I262" s="24">
        <f t="shared" si="6"/>
        <v>0</v>
      </c>
      <c r="J262" s="24">
        <f t="shared" si="7"/>
        <v>0</v>
      </c>
      <c r="K262" s="24"/>
      <c r="L262" s="24">
        <f t="shared" si="8"/>
        <v>539.1974099</v>
      </c>
      <c r="M262" s="30">
        <f t="shared" si="9"/>
        <v>448.200692</v>
      </c>
      <c r="N262" s="27">
        <f t="shared" si="10"/>
        <v>90.99671794</v>
      </c>
      <c r="O262" s="24"/>
      <c r="P262" s="24"/>
      <c r="Q262" s="24"/>
      <c r="R262" s="26"/>
      <c r="S262" s="14">
        <f t="shared" si="13"/>
        <v>83.56193418</v>
      </c>
      <c r="U262" s="21"/>
      <c r="V262" s="21"/>
    </row>
    <row r="263">
      <c r="A263" s="11">
        <v>251.0</v>
      </c>
      <c r="B263" s="11">
        <v>1.42048695652173E9</v>
      </c>
      <c r="C263" s="2">
        <v>-101.3724747</v>
      </c>
      <c r="D263" s="24">
        <f t="shared" si="1"/>
        <v>86956.52173</v>
      </c>
      <c r="E263" s="25">
        <f t="shared" si="2"/>
        <v>-19.28421877</v>
      </c>
      <c r="F263" s="24">
        <f t="shared" si="3"/>
        <v>0.0002217685159</v>
      </c>
      <c r="G263" s="24">
        <f t="shared" si="4"/>
        <v>0</v>
      </c>
      <c r="H263" s="26">
        <f t="shared" si="5"/>
        <v>0</v>
      </c>
      <c r="I263" s="24">
        <f t="shared" si="6"/>
        <v>0</v>
      </c>
      <c r="J263" s="24">
        <f t="shared" si="7"/>
        <v>0</v>
      </c>
      <c r="K263" s="24"/>
      <c r="L263" s="24">
        <f t="shared" si="8"/>
        <v>554.4452886</v>
      </c>
      <c r="M263" s="30">
        <f t="shared" si="9"/>
        <v>448.099197</v>
      </c>
      <c r="N263" s="27">
        <f t="shared" si="10"/>
        <v>106.3460916</v>
      </c>
      <c r="O263" s="24"/>
      <c r="P263" s="24"/>
      <c r="Q263" s="24"/>
      <c r="R263" s="26"/>
      <c r="S263" s="14">
        <f t="shared" si="13"/>
        <v>97.65720466</v>
      </c>
      <c r="U263" s="21"/>
      <c r="V263" s="21"/>
    </row>
    <row r="264">
      <c r="A264" s="11">
        <v>252.0</v>
      </c>
      <c r="B264" s="11">
        <v>1.42049130434782E9</v>
      </c>
      <c r="C264" s="2">
        <v>-101.413208</v>
      </c>
      <c r="D264" s="24">
        <f t="shared" si="1"/>
        <v>91304.34782</v>
      </c>
      <c r="E264" s="25">
        <f t="shared" si="2"/>
        <v>-20.20251491</v>
      </c>
      <c r="F264" s="24">
        <f t="shared" si="3"/>
        <v>0.0002212656395</v>
      </c>
      <c r="G264" s="24">
        <f t="shared" si="4"/>
        <v>0</v>
      </c>
      <c r="H264" s="26">
        <f t="shared" si="5"/>
        <v>0</v>
      </c>
      <c r="I264" s="24">
        <f t="shared" si="6"/>
        <v>0</v>
      </c>
      <c r="J264" s="24">
        <f t="shared" si="7"/>
        <v>0</v>
      </c>
      <c r="K264" s="24"/>
      <c r="L264" s="24">
        <f t="shared" si="8"/>
        <v>549.2693524</v>
      </c>
      <c r="M264" s="30">
        <f t="shared" si="9"/>
        <v>447.9975544</v>
      </c>
      <c r="N264" s="27">
        <f t="shared" si="10"/>
        <v>101.2717981</v>
      </c>
      <c r="O264" s="24"/>
      <c r="P264" s="24"/>
      <c r="Q264" s="24"/>
      <c r="R264" s="26"/>
      <c r="S264" s="14">
        <f t="shared" si="13"/>
        <v>92.99750053</v>
      </c>
      <c r="U264" s="21"/>
      <c r="V264" s="21"/>
    </row>
    <row r="265">
      <c r="A265" s="11">
        <v>253.0</v>
      </c>
      <c r="B265" s="11">
        <v>1.42049565217391E9</v>
      </c>
      <c r="C265" s="2">
        <v>-101.3162003</v>
      </c>
      <c r="D265" s="24">
        <f t="shared" si="1"/>
        <v>95652.17391</v>
      </c>
      <c r="E265" s="25">
        <f t="shared" si="2"/>
        <v>-21.12081104</v>
      </c>
      <c r="F265" s="24">
        <f t="shared" si="3"/>
        <v>0.0002208084791</v>
      </c>
      <c r="G265" s="24">
        <f t="shared" si="4"/>
        <v>0</v>
      </c>
      <c r="H265" s="26">
        <f t="shared" si="5"/>
        <v>0</v>
      </c>
      <c r="I265" s="24">
        <f t="shared" si="6"/>
        <v>0</v>
      </c>
      <c r="J265" s="24">
        <f t="shared" si="7"/>
        <v>0</v>
      </c>
      <c r="K265" s="24"/>
      <c r="L265" s="24">
        <f t="shared" si="8"/>
        <v>561.6763494</v>
      </c>
      <c r="M265" s="30">
        <f t="shared" si="9"/>
        <v>447.8957644</v>
      </c>
      <c r="N265" s="27">
        <f t="shared" si="10"/>
        <v>113.7805851</v>
      </c>
      <c r="O265" s="24"/>
      <c r="P265" s="24"/>
      <c r="Q265" s="24"/>
      <c r="R265" s="26"/>
      <c r="S265" s="14">
        <f t="shared" si="13"/>
        <v>104.484271</v>
      </c>
      <c r="U265" s="21"/>
      <c r="V265" s="21"/>
    </row>
    <row r="266">
      <c r="A266" s="11">
        <v>254.0</v>
      </c>
      <c r="B266" s="11">
        <v>1.4205E9</v>
      </c>
      <c r="C266" s="2">
        <v>-101.2391586</v>
      </c>
      <c r="D266" s="24">
        <f t="shared" si="1"/>
        <v>100000</v>
      </c>
      <c r="E266" s="25">
        <f t="shared" si="2"/>
        <v>-22.03910717</v>
      </c>
      <c r="F266" s="24">
        <f t="shared" si="3"/>
        <v>0.0002203910717</v>
      </c>
      <c r="G266" s="24">
        <f t="shared" si="4"/>
        <v>0</v>
      </c>
      <c r="H266" s="26">
        <f t="shared" si="5"/>
        <v>0</v>
      </c>
      <c r="I266" s="24">
        <f t="shared" si="6"/>
        <v>0</v>
      </c>
      <c r="J266" s="24">
        <f t="shared" si="7"/>
        <v>0</v>
      </c>
      <c r="K266" s="24"/>
      <c r="L266" s="24">
        <f t="shared" si="8"/>
        <v>571.7291129</v>
      </c>
      <c r="M266" s="30">
        <f t="shared" si="9"/>
        <v>447.7938271</v>
      </c>
      <c r="N266" s="27">
        <f t="shared" si="10"/>
        <v>123.9352858</v>
      </c>
      <c r="O266" s="24"/>
      <c r="P266" s="24"/>
      <c r="Q266" s="24"/>
      <c r="R266" s="26"/>
      <c r="S266" s="14">
        <f t="shared" si="13"/>
        <v>113.8092936</v>
      </c>
      <c r="U266" s="21"/>
      <c r="V266" s="21"/>
    </row>
    <row r="267">
      <c r="A267" s="11">
        <v>255.0</v>
      </c>
      <c r="B267" s="11">
        <v>1.42050434782608E9</v>
      </c>
      <c r="C267" s="2">
        <v>-101.2294922</v>
      </c>
      <c r="D267" s="24">
        <f t="shared" si="1"/>
        <v>104347.8261</v>
      </c>
      <c r="E267" s="25">
        <f t="shared" si="2"/>
        <v>-22.9574033</v>
      </c>
      <c r="F267" s="24">
        <f t="shared" si="3"/>
        <v>0.0002200084483</v>
      </c>
      <c r="G267" s="24">
        <f t="shared" si="4"/>
        <v>0</v>
      </c>
      <c r="H267" s="26">
        <f t="shared" si="5"/>
        <v>0</v>
      </c>
      <c r="I267" s="24">
        <f t="shared" si="6"/>
        <v>0</v>
      </c>
      <c r="J267" s="24">
        <f t="shared" si="7"/>
        <v>0</v>
      </c>
      <c r="K267" s="24"/>
      <c r="L267" s="24">
        <f t="shared" si="8"/>
        <v>573.0030681</v>
      </c>
      <c r="M267" s="30">
        <f t="shared" si="9"/>
        <v>447.6917427</v>
      </c>
      <c r="N267" s="27">
        <f t="shared" si="10"/>
        <v>125.3113254</v>
      </c>
      <c r="O267" s="24"/>
      <c r="P267" s="24"/>
      <c r="Q267" s="24"/>
      <c r="R267" s="26"/>
      <c r="S267" s="14">
        <f t="shared" si="13"/>
        <v>115.0729055</v>
      </c>
      <c r="U267" s="21"/>
      <c r="V267" s="21"/>
    </row>
    <row r="268">
      <c r="A268" s="11">
        <v>256.0</v>
      </c>
      <c r="B268" s="11">
        <v>1.42050869565217E9</v>
      </c>
      <c r="C268" s="2">
        <v>-101.1138306</v>
      </c>
      <c r="D268" s="24">
        <f t="shared" si="1"/>
        <v>108695.6522</v>
      </c>
      <c r="E268" s="25">
        <f t="shared" si="2"/>
        <v>-23.87569944</v>
      </c>
      <c r="F268" s="24">
        <f t="shared" si="3"/>
        <v>0.0002196564348</v>
      </c>
      <c r="G268" s="24">
        <f t="shared" si="4"/>
        <v>0</v>
      </c>
      <c r="H268" s="26">
        <f t="shared" si="5"/>
        <v>0</v>
      </c>
      <c r="I268" s="24">
        <f t="shared" si="6"/>
        <v>0</v>
      </c>
      <c r="J268" s="24">
        <f t="shared" si="7"/>
        <v>0</v>
      </c>
      <c r="K268" s="24"/>
      <c r="L268" s="24">
        <f t="shared" si="8"/>
        <v>588.4683467</v>
      </c>
      <c r="M268" s="30">
        <f t="shared" si="9"/>
        <v>447.5895114</v>
      </c>
      <c r="N268" s="27">
        <f t="shared" si="10"/>
        <v>140.8788353</v>
      </c>
      <c r="O268" s="24"/>
      <c r="P268" s="24"/>
      <c r="Q268" s="24"/>
      <c r="R268" s="26"/>
      <c r="S268" s="14">
        <f t="shared" si="13"/>
        <v>129.3684893</v>
      </c>
      <c r="U268" s="21"/>
      <c r="V268" s="21"/>
    </row>
    <row r="269">
      <c r="A269" s="11">
        <v>257.0</v>
      </c>
      <c r="B269" s="11">
        <v>1.42051304347826E9</v>
      </c>
      <c r="C269" s="2">
        <v>-101.0698013</v>
      </c>
      <c r="D269" s="24">
        <f t="shared" si="1"/>
        <v>113043.4783</v>
      </c>
      <c r="E269" s="25">
        <f t="shared" si="2"/>
        <v>-24.79399557</v>
      </c>
      <c r="F269" s="24">
        <f t="shared" si="3"/>
        <v>0.0002193314992</v>
      </c>
      <c r="G269" s="24">
        <f t="shared" si="4"/>
        <v>0</v>
      </c>
      <c r="H269" s="26">
        <f t="shared" si="5"/>
        <v>0</v>
      </c>
      <c r="I269" s="24">
        <f t="shared" si="6"/>
        <v>0</v>
      </c>
      <c r="J269" s="24">
        <f t="shared" si="7"/>
        <v>0</v>
      </c>
      <c r="K269" s="24"/>
      <c r="L269" s="24">
        <f t="shared" si="8"/>
        <v>594.4646542</v>
      </c>
      <c r="M269" s="30">
        <f t="shared" si="9"/>
        <v>447.4871331</v>
      </c>
      <c r="N269" s="27">
        <f t="shared" si="10"/>
        <v>146.9775211</v>
      </c>
      <c r="O269" s="24"/>
      <c r="P269" s="24"/>
      <c r="Q269" s="24"/>
      <c r="R269" s="26"/>
      <c r="S269" s="14">
        <f t="shared" si="13"/>
        <v>134.9688892</v>
      </c>
      <c r="U269" s="21"/>
      <c r="V269" s="21"/>
    </row>
    <row r="270">
      <c r="A270" s="11">
        <v>258.0</v>
      </c>
      <c r="B270" s="11">
        <v>1.42051739130434E9</v>
      </c>
      <c r="C270" s="2">
        <v>-101.0167694</v>
      </c>
      <c r="D270" s="24">
        <f t="shared" si="1"/>
        <v>117391.3043</v>
      </c>
      <c r="E270" s="25">
        <f t="shared" si="2"/>
        <v>-25.7122917</v>
      </c>
      <c r="F270" s="24">
        <f t="shared" si="3"/>
        <v>0.000219030633</v>
      </c>
      <c r="G270" s="24">
        <f t="shared" si="4"/>
        <v>0</v>
      </c>
      <c r="H270" s="26">
        <f t="shared" si="5"/>
        <v>0</v>
      </c>
      <c r="I270" s="24">
        <f t="shared" si="6"/>
        <v>0</v>
      </c>
      <c r="J270" s="24">
        <f t="shared" si="7"/>
        <v>0</v>
      </c>
      <c r="K270" s="24"/>
      <c r="L270" s="24">
        <f t="shared" si="8"/>
        <v>601.7681908</v>
      </c>
      <c r="M270" s="30">
        <f t="shared" si="9"/>
        <v>447.3846082</v>
      </c>
      <c r="N270" s="27">
        <f t="shared" si="10"/>
        <v>154.3835825</v>
      </c>
      <c r="O270" s="24"/>
      <c r="P270" s="24"/>
      <c r="Q270" s="24"/>
      <c r="R270" s="26"/>
      <c r="S270" s="14">
        <f t="shared" si="13"/>
        <v>141.7698468</v>
      </c>
      <c r="U270" s="21"/>
      <c r="V270" s="21"/>
    </row>
    <row r="271">
      <c r="A271" s="11">
        <v>259.0</v>
      </c>
      <c r="B271" s="11">
        <v>1.42052173913043E9</v>
      </c>
      <c r="C271" s="2">
        <v>-100.8912659</v>
      </c>
      <c r="D271" s="24">
        <f t="shared" si="1"/>
        <v>121739.1304</v>
      </c>
      <c r="E271" s="25">
        <f t="shared" si="2"/>
        <v>-26.63058783</v>
      </c>
      <c r="F271" s="24">
        <f t="shared" si="3"/>
        <v>0.0002187512572</v>
      </c>
      <c r="G271" s="24">
        <f t="shared" si="4"/>
        <v>0</v>
      </c>
      <c r="H271" s="26">
        <f t="shared" si="5"/>
        <v>0</v>
      </c>
      <c r="I271" s="24">
        <f t="shared" si="6"/>
        <v>0</v>
      </c>
      <c r="J271" s="24">
        <f t="shared" si="7"/>
        <v>0</v>
      </c>
      <c r="K271" s="24"/>
      <c r="L271" s="24">
        <f t="shared" si="8"/>
        <v>619.4119467</v>
      </c>
      <c r="M271" s="30">
        <f t="shared" si="9"/>
        <v>447.2819368</v>
      </c>
      <c r="N271" s="27">
        <f t="shared" si="10"/>
        <v>172.1300099</v>
      </c>
      <c r="O271" s="24"/>
      <c r="P271" s="24"/>
      <c r="Q271" s="24"/>
      <c r="R271" s="26"/>
      <c r="S271" s="14">
        <f t="shared" si="13"/>
        <v>158.0663221</v>
      </c>
      <c r="U271" s="21"/>
      <c r="V271" s="21"/>
    </row>
    <row r="272">
      <c r="A272" s="11">
        <v>260.0</v>
      </c>
      <c r="B272" s="11">
        <v>1.42052608695652E9</v>
      </c>
      <c r="C272" s="2">
        <v>-100.9005203</v>
      </c>
      <c r="D272" s="24">
        <f t="shared" si="1"/>
        <v>126086.9565</v>
      </c>
      <c r="E272" s="25">
        <f t="shared" si="2"/>
        <v>-27.54888396</v>
      </c>
      <c r="F272" s="24">
        <f t="shared" si="3"/>
        <v>0.0002184911487</v>
      </c>
      <c r="G272" s="24">
        <f t="shared" si="4"/>
        <v>0</v>
      </c>
      <c r="H272" s="26">
        <f t="shared" si="5"/>
        <v>0</v>
      </c>
      <c r="I272" s="24">
        <f t="shared" si="6"/>
        <v>0</v>
      </c>
      <c r="J272" s="24">
        <f t="shared" si="7"/>
        <v>0</v>
      </c>
      <c r="K272" s="24"/>
      <c r="L272" s="24">
        <f t="shared" si="8"/>
        <v>618.0934443</v>
      </c>
      <c r="M272" s="30">
        <f t="shared" si="9"/>
        <v>447.1791189</v>
      </c>
      <c r="N272" s="27">
        <f t="shared" si="10"/>
        <v>170.9143255</v>
      </c>
      <c r="O272" s="24"/>
      <c r="P272" s="24"/>
      <c r="Q272" s="24"/>
      <c r="R272" s="26"/>
      <c r="S272" s="14">
        <f t="shared" si="13"/>
        <v>156.9499641</v>
      </c>
      <c r="U272" s="21"/>
      <c r="V272" s="21"/>
    </row>
    <row r="273">
      <c r="A273" s="11">
        <v>261.0</v>
      </c>
      <c r="B273" s="11">
        <v>1.4205304347826E9</v>
      </c>
      <c r="C273" s="2">
        <v>-100.8219299</v>
      </c>
      <c r="D273" s="24">
        <f t="shared" si="1"/>
        <v>130434.7826</v>
      </c>
      <c r="E273" s="25">
        <f t="shared" si="2"/>
        <v>-28.4671801</v>
      </c>
      <c r="F273" s="24">
        <f t="shared" si="3"/>
        <v>0.0002182483807</v>
      </c>
      <c r="G273" s="24">
        <f t="shared" si="4"/>
        <v>0</v>
      </c>
      <c r="H273" s="26">
        <f t="shared" si="5"/>
        <v>0</v>
      </c>
      <c r="I273" s="24">
        <f t="shared" si="6"/>
        <v>0</v>
      </c>
      <c r="J273" s="24">
        <f t="shared" si="7"/>
        <v>0</v>
      </c>
      <c r="K273" s="24"/>
      <c r="L273" s="24">
        <f t="shared" si="8"/>
        <v>629.3803468</v>
      </c>
      <c r="M273" s="30">
        <f t="shared" si="9"/>
        <v>447.0761547</v>
      </c>
      <c r="N273" s="27">
        <f t="shared" si="10"/>
        <v>182.3041921</v>
      </c>
      <c r="O273" s="24"/>
      <c r="P273" s="24"/>
      <c r="Q273" s="24"/>
      <c r="R273" s="26"/>
      <c r="S273" s="14">
        <f t="shared" si="13"/>
        <v>167.4092346</v>
      </c>
      <c r="U273" s="21"/>
      <c r="V273" s="21"/>
    </row>
    <row r="274">
      <c r="A274" s="11">
        <v>262.0</v>
      </c>
      <c r="B274" s="11">
        <v>1.42053478260869E9</v>
      </c>
      <c r="C274" s="2">
        <v>-100.7867279</v>
      </c>
      <c r="D274" s="24">
        <f t="shared" si="1"/>
        <v>134782.6087</v>
      </c>
      <c r="E274" s="25">
        <f t="shared" si="2"/>
        <v>-29.38547623</v>
      </c>
      <c r="F274" s="24">
        <f t="shared" si="3"/>
        <v>0.0002180212752</v>
      </c>
      <c r="G274" s="24">
        <f t="shared" si="4"/>
        <v>0</v>
      </c>
      <c r="H274" s="26">
        <f t="shared" si="5"/>
        <v>0</v>
      </c>
      <c r="I274" s="24">
        <f t="shared" si="6"/>
        <v>0</v>
      </c>
      <c r="J274" s="24">
        <f t="shared" si="7"/>
        <v>0</v>
      </c>
      <c r="K274" s="24"/>
      <c r="L274" s="24">
        <f t="shared" si="8"/>
        <v>634.5025581</v>
      </c>
      <c r="M274" s="30">
        <f t="shared" si="9"/>
        <v>446.9730443</v>
      </c>
      <c r="N274" s="27">
        <f t="shared" si="10"/>
        <v>187.5295138</v>
      </c>
      <c r="O274" s="24"/>
      <c r="P274" s="24"/>
      <c r="Q274" s="24"/>
      <c r="R274" s="26"/>
      <c r="S274" s="14">
        <f t="shared" si="13"/>
        <v>172.2076273</v>
      </c>
      <c r="U274" s="21"/>
      <c r="V274" s="21"/>
    </row>
    <row r="275">
      <c r="A275" s="11">
        <v>263.0</v>
      </c>
      <c r="B275" s="11">
        <v>1.42053913043478E9</v>
      </c>
      <c r="C275" s="2">
        <v>-100.8336792</v>
      </c>
      <c r="D275" s="24">
        <f t="shared" si="1"/>
        <v>139130.4348</v>
      </c>
      <c r="E275" s="25">
        <f t="shared" si="2"/>
        <v>-30.30377236</v>
      </c>
      <c r="F275" s="24">
        <f t="shared" si="3"/>
        <v>0.0002178083638</v>
      </c>
      <c r="G275" s="24">
        <f t="shared" si="4"/>
        <v>0</v>
      </c>
      <c r="H275" s="26">
        <f t="shared" si="5"/>
        <v>0</v>
      </c>
      <c r="I275" s="24">
        <f t="shared" si="6"/>
        <v>0</v>
      </c>
      <c r="J275" s="24">
        <f t="shared" si="7"/>
        <v>0</v>
      </c>
      <c r="K275" s="24"/>
      <c r="L275" s="24">
        <f t="shared" si="8"/>
        <v>627.6799373</v>
      </c>
      <c r="M275" s="30">
        <f t="shared" si="9"/>
        <v>446.869788</v>
      </c>
      <c r="N275" s="27">
        <f t="shared" si="10"/>
        <v>180.8101493</v>
      </c>
      <c r="O275" s="24"/>
      <c r="P275" s="24"/>
      <c r="Q275" s="24"/>
      <c r="R275" s="26"/>
      <c r="S275" s="14">
        <f t="shared" si="13"/>
        <v>166.0372604</v>
      </c>
      <c r="U275" s="21"/>
      <c r="V275" s="21"/>
    </row>
    <row r="276">
      <c r="A276" s="11">
        <v>264.0</v>
      </c>
      <c r="B276" s="11">
        <v>1.42054347826087E9</v>
      </c>
      <c r="C276" s="2">
        <v>-100.8623657</v>
      </c>
      <c r="D276" s="24">
        <f t="shared" si="1"/>
        <v>143478.2609</v>
      </c>
      <c r="E276" s="25">
        <f t="shared" si="2"/>
        <v>-31.22206849</v>
      </c>
      <c r="F276" s="24">
        <f t="shared" si="3"/>
        <v>0.0002176083562</v>
      </c>
      <c r="G276" s="24">
        <f t="shared" si="4"/>
        <v>0</v>
      </c>
      <c r="H276" s="26">
        <f t="shared" si="5"/>
        <v>0</v>
      </c>
      <c r="I276" s="24">
        <f t="shared" si="6"/>
        <v>0</v>
      </c>
      <c r="J276" s="24">
        <f t="shared" si="7"/>
        <v>0</v>
      </c>
      <c r="K276" s="24"/>
      <c r="L276" s="24">
        <f t="shared" si="8"/>
        <v>623.547579</v>
      </c>
      <c r="M276" s="30">
        <f t="shared" si="9"/>
        <v>446.7663858</v>
      </c>
      <c r="N276" s="27">
        <f t="shared" si="10"/>
        <v>176.7811932</v>
      </c>
      <c r="O276" s="24"/>
      <c r="P276" s="24"/>
      <c r="Q276" s="24"/>
      <c r="R276" s="26"/>
      <c r="S276" s="14">
        <f t="shared" si="13"/>
        <v>162.3374861</v>
      </c>
      <c r="U276" s="21"/>
      <c r="V276" s="21"/>
    </row>
    <row r="277">
      <c r="A277" s="11">
        <v>265.0</v>
      </c>
      <c r="B277" s="11">
        <v>1.42054782608695E9</v>
      </c>
      <c r="C277" s="2">
        <v>-100.9512787</v>
      </c>
      <c r="D277" s="24">
        <f t="shared" si="1"/>
        <v>147826.087</v>
      </c>
      <c r="E277" s="25">
        <f t="shared" si="2"/>
        <v>-32.14036462</v>
      </c>
      <c r="F277" s="24">
        <f t="shared" si="3"/>
        <v>0.0002174201136</v>
      </c>
      <c r="G277" s="24">
        <f t="shared" si="4"/>
        <v>0</v>
      </c>
      <c r="H277" s="26">
        <f t="shared" si="5"/>
        <v>0</v>
      </c>
      <c r="I277" s="24">
        <f t="shared" si="6"/>
        <v>0</v>
      </c>
      <c r="J277" s="24">
        <f t="shared" si="7"/>
        <v>0</v>
      </c>
      <c r="K277" s="24"/>
      <c r="L277" s="24">
        <f t="shared" si="8"/>
        <v>610.9114956</v>
      </c>
      <c r="M277" s="30">
        <f t="shared" si="9"/>
        <v>446.6628379</v>
      </c>
      <c r="N277" s="27">
        <f t="shared" si="10"/>
        <v>164.2486577</v>
      </c>
      <c r="O277" s="24"/>
      <c r="P277" s="24"/>
      <c r="Q277" s="24"/>
      <c r="R277" s="26"/>
      <c r="S277" s="14">
        <f t="shared" si="13"/>
        <v>150.8289072</v>
      </c>
      <c r="U277" s="21"/>
      <c r="V277" s="21"/>
    </row>
    <row r="278">
      <c r="A278" s="11">
        <v>266.0</v>
      </c>
      <c r="B278" s="11">
        <v>1.42055217391304E9</v>
      </c>
      <c r="C278" s="2">
        <v>-100.9833908</v>
      </c>
      <c r="D278" s="24">
        <f t="shared" si="1"/>
        <v>152173.913</v>
      </c>
      <c r="E278" s="25">
        <f t="shared" si="2"/>
        <v>-33.05866076</v>
      </c>
      <c r="F278" s="24">
        <f t="shared" si="3"/>
        <v>0.0002172426278</v>
      </c>
      <c r="G278" s="24">
        <f t="shared" si="4"/>
        <v>0</v>
      </c>
      <c r="H278" s="26">
        <f t="shared" si="5"/>
        <v>0</v>
      </c>
      <c r="I278" s="24">
        <f t="shared" si="6"/>
        <v>0</v>
      </c>
      <c r="J278" s="24">
        <f t="shared" si="7"/>
        <v>0</v>
      </c>
      <c r="K278" s="24"/>
      <c r="L278" s="24">
        <f t="shared" si="8"/>
        <v>606.4110234</v>
      </c>
      <c r="M278" s="30">
        <f t="shared" si="9"/>
        <v>446.5591444</v>
      </c>
      <c r="N278" s="27">
        <f t="shared" si="10"/>
        <v>159.8518791</v>
      </c>
      <c r="O278" s="24"/>
      <c r="P278" s="24"/>
      <c r="Q278" s="24"/>
      <c r="R278" s="26"/>
      <c r="S278" s="14">
        <f t="shared" si="13"/>
        <v>146.791362</v>
      </c>
      <c r="U278" s="21"/>
      <c r="V278" s="21"/>
    </row>
    <row r="279">
      <c r="A279" s="11">
        <v>267.0</v>
      </c>
      <c r="B279" s="11">
        <v>1.42055652173913E9</v>
      </c>
      <c r="C279" s="2">
        <v>-101.1326523</v>
      </c>
      <c r="D279" s="24">
        <f t="shared" si="1"/>
        <v>156521.7391</v>
      </c>
      <c r="E279" s="25">
        <f t="shared" si="2"/>
        <v>-33.97695689</v>
      </c>
      <c r="F279" s="24">
        <f t="shared" si="3"/>
        <v>0.0002170750023</v>
      </c>
      <c r="G279" s="24">
        <f t="shared" si="4"/>
        <v>0</v>
      </c>
      <c r="H279" s="26">
        <f t="shared" si="5"/>
        <v>0</v>
      </c>
      <c r="I279" s="24">
        <f t="shared" si="6"/>
        <v>0</v>
      </c>
      <c r="J279" s="24">
        <f t="shared" si="7"/>
        <v>0</v>
      </c>
      <c r="K279" s="24"/>
      <c r="L279" s="24">
        <f t="shared" si="8"/>
        <v>585.9235277</v>
      </c>
      <c r="M279" s="30">
        <f t="shared" si="9"/>
        <v>446.4553054</v>
      </c>
      <c r="N279" s="27">
        <f t="shared" si="10"/>
        <v>139.4682222</v>
      </c>
      <c r="O279" s="24"/>
      <c r="P279" s="24"/>
      <c r="Q279" s="24"/>
      <c r="R279" s="26"/>
      <c r="S279" s="14">
        <f t="shared" si="13"/>
        <v>128.0731291</v>
      </c>
      <c r="U279" s="21"/>
      <c r="V279" s="21"/>
    </row>
    <row r="280">
      <c r="A280" s="11">
        <v>268.0</v>
      </c>
      <c r="B280" s="11">
        <v>1.42056086956521E9</v>
      </c>
      <c r="C280" s="2">
        <v>-101.3131485</v>
      </c>
      <c r="D280" s="24">
        <f t="shared" si="1"/>
        <v>160869.5652</v>
      </c>
      <c r="E280" s="25">
        <f t="shared" si="2"/>
        <v>-34.89525302</v>
      </c>
      <c r="F280" s="24">
        <f t="shared" si="3"/>
        <v>0.0002169164377</v>
      </c>
      <c r="G280" s="24">
        <f t="shared" si="4"/>
        <v>0</v>
      </c>
      <c r="H280" s="26">
        <f t="shared" si="5"/>
        <v>0</v>
      </c>
      <c r="I280" s="24">
        <f t="shared" si="6"/>
        <v>0</v>
      </c>
      <c r="J280" s="24">
        <f t="shared" si="7"/>
        <v>0</v>
      </c>
      <c r="K280" s="24"/>
      <c r="L280" s="24">
        <f t="shared" si="8"/>
        <v>562.0711798</v>
      </c>
      <c r="M280" s="30">
        <f t="shared" si="9"/>
        <v>446.3513212</v>
      </c>
      <c r="N280" s="27">
        <f t="shared" si="10"/>
        <v>115.7198586</v>
      </c>
      <c r="O280" s="24"/>
      <c r="P280" s="24"/>
      <c r="Q280" s="24"/>
      <c r="R280" s="26"/>
      <c r="S280" s="14">
        <f t="shared" si="13"/>
        <v>106.2650986</v>
      </c>
      <c r="U280" s="21"/>
      <c r="V280" s="21"/>
    </row>
    <row r="281">
      <c r="A281" s="11">
        <v>269.0</v>
      </c>
      <c r="B281" s="11">
        <v>1.4205652173913E9</v>
      </c>
      <c r="C281" s="2">
        <v>-101.4550858</v>
      </c>
      <c r="D281" s="24">
        <f t="shared" si="1"/>
        <v>165217.3913</v>
      </c>
      <c r="E281" s="25">
        <f t="shared" si="2"/>
        <v>-35.81354915</v>
      </c>
      <c r="F281" s="24">
        <f t="shared" si="3"/>
        <v>0.0002167662186</v>
      </c>
      <c r="G281" s="24">
        <f t="shared" si="4"/>
        <v>0</v>
      </c>
      <c r="H281" s="26">
        <f t="shared" si="5"/>
        <v>0</v>
      </c>
      <c r="I281" s="24">
        <f t="shared" si="6"/>
        <v>0</v>
      </c>
      <c r="J281" s="24">
        <f t="shared" si="7"/>
        <v>0</v>
      </c>
      <c r="K281" s="24"/>
      <c r="L281" s="24">
        <f t="shared" si="8"/>
        <v>543.9983562</v>
      </c>
      <c r="M281" s="30">
        <f t="shared" si="9"/>
        <v>446.2471918</v>
      </c>
      <c r="N281" s="27">
        <f t="shared" si="10"/>
        <v>97.75116443</v>
      </c>
      <c r="O281" s="24"/>
      <c r="P281" s="24"/>
      <c r="Q281" s="24"/>
      <c r="R281" s="26"/>
      <c r="S281" s="14">
        <f t="shared" si="13"/>
        <v>89.76451606</v>
      </c>
      <c r="U281" s="21"/>
      <c r="V281" s="21"/>
    </row>
    <row r="282">
      <c r="A282" s="11">
        <v>270.0</v>
      </c>
      <c r="B282" s="11">
        <v>1.42056956521739E9</v>
      </c>
      <c r="C282" s="2">
        <v>-101.5680161</v>
      </c>
      <c r="D282" s="24">
        <f t="shared" si="1"/>
        <v>169565.2174</v>
      </c>
      <c r="E282" s="25">
        <f t="shared" si="2"/>
        <v>-36.73184528</v>
      </c>
      <c r="F282" s="24">
        <f t="shared" si="3"/>
        <v>0.000216623703</v>
      </c>
      <c r="G282" s="24">
        <f t="shared" si="4"/>
        <v>0</v>
      </c>
      <c r="H282" s="26">
        <f t="shared" si="5"/>
        <v>0</v>
      </c>
      <c r="I282" s="24">
        <f t="shared" si="6"/>
        <v>0</v>
      </c>
      <c r="J282" s="24">
        <f t="shared" si="7"/>
        <v>0</v>
      </c>
      <c r="K282" s="24"/>
      <c r="L282" s="24">
        <f t="shared" si="8"/>
        <v>530.0350109</v>
      </c>
      <c r="M282" s="30">
        <f t="shared" si="9"/>
        <v>446.1429173</v>
      </c>
      <c r="N282" s="27">
        <f t="shared" si="10"/>
        <v>83.89209355</v>
      </c>
      <c r="O282" s="24"/>
      <c r="P282" s="24"/>
      <c r="Q282" s="24"/>
      <c r="R282" s="26"/>
      <c r="S282" s="14">
        <f t="shared" si="13"/>
        <v>77.03778508</v>
      </c>
      <c r="U282" s="21"/>
      <c r="V282" s="21"/>
    </row>
    <row r="283">
      <c r="A283" s="11">
        <v>271.0</v>
      </c>
      <c r="B283" s="11">
        <v>1.42057391304347E9</v>
      </c>
      <c r="C283" s="2">
        <v>-101.6292496</v>
      </c>
      <c r="D283" s="24">
        <f t="shared" si="1"/>
        <v>173913.0435</v>
      </c>
      <c r="E283" s="25">
        <f t="shared" si="2"/>
        <v>-37.65014142</v>
      </c>
      <c r="F283" s="24">
        <f t="shared" si="3"/>
        <v>0.0002164883132</v>
      </c>
      <c r="G283" s="24">
        <f t="shared" si="4"/>
        <v>0</v>
      </c>
      <c r="H283" s="26">
        <f t="shared" si="5"/>
        <v>0</v>
      </c>
      <c r="I283" s="24">
        <f t="shared" si="6"/>
        <v>0</v>
      </c>
      <c r="J283" s="24">
        <f t="shared" si="7"/>
        <v>0</v>
      </c>
      <c r="K283" s="24"/>
      <c r="L283" s="24">
        <f t="shared" si="8"/>
        <v>522.6142019</v>
      </c>
      <c r="M283" s="30">
        <f t="shared" si="9"/>
        <v>446.038498</v>
      </c>
      <c r="N283" s="27">
        <f t="shared" si="10"/>
        <v>76.57570391</v>
      </c>
      <c r="O283" s="24"/>
      <c r="P283" s="24"/>
      <c r="Q283" s="24"/>
      <c r="R283" s="26"/>
      <c r="S283" s="14">
        <f t="shared" si="13"/>
        <v>70.31917277</v>
      </c>
      <c r="U283" s="21"/>
      <c r="V283" s="21"/>
    </row>
    <row r="284">
      <c r="A284" s="11">
        <v>272.0</v>
      </c>
      <c r="B284" s="11">
        <v>1.42057826086956E9</v>
      </c>
      <c r="C284" s="2">
        <v>-101.7966232</v>
      </c>
      <c r="D284" s="24">
        <f t="shared" si="1"/>
        <v>178260.8696</v>
      </c>
      <c r="E284" s="25">
        <f t="shared" si="2"/>
        <v>-38.56843755</v>
      </c>
      <c r="F284" s="24">
        <f t="shared" si="3"/>
        <v>0.0002163595277</v>
      </c>
      <c r="G284" s="24">
        <f t="shared" si="4"/>
        <v>0</v>
      </c>
      <c r="H284" s="26">
        <f t="shared" si="5"/>
        <v>0</v>
      </c>
      <c r="I284" s="24">
        <f t="shared" si="6"/>
        <v>0</v>
      </c>
      <c r="J284" s="24">
        <f t="shared" si="7"/>
        <v>0</v>
      </c>
      <c r="K284" s="24"/>
      <c r="L284" s="24">
        <f t="shared" si="8"/>
        <v>502.8562443</v>
      </c>
      <c r="M284" s="30">
        <f t="shared" si="9"/>
        <v>445.9339339</v>
      </c>
      <c r="N284" s="27">
        <f t="shared" si="10"/>
        <v>56.92231035</v>
      </c>
      <c r="O284" s="24"/>
      <c r="P284" s="24"/>
      <c r="Q284" s="24"/>
      <c r="R284" s="26"/>
      <c r="S284" s="14">
        <f t="shared" si="13"/>
        <v>52.27153734</v>
      </c>
      <c r="U284" s="21"/>
      <c r="V284" s="21"/>
    </row>
    <row r="285">
      <c r="A285" s="11">
        <v>273.0</v>
      </c>
      <c r="B285" s="11">
        <v>1.42058260869565E9</v>
      </c>
      <c r="C285" s="2">
        <v>-101.9231339</v>
      </c>
      <c r="D285" s="24">
        <f t="shared" si="1"/>
        <v>182608.6957</v>
      </c>
      <c r="E285" s="25">
        <f t="shared" si="2"/>
        <v>-39.48673368</v>
      </c>
      <c r="F285" s="24">
        <f t="shared" si="3"/>
        <v>0.0002162368749</v>
      </c>
      <c r="G285" s="24">
        <f t="shared" si="4"/>
        <v>0</v>
      </c>
      <c r="H285" s="26">
        <f t="shared" si="5"/>
        <v>0</v>
      </c>
      <c r="I285" s="24">
        <f t="shared" si="6"/>
        <v>0</v>
      </c>
      <c r="J285" s="24">
        <f t="shared" si="7"/>
        <v>0</v>
      </c>
      <c r="K285" s="24"/>
      <c r="L285" s="24">
        <f t="shared" si="8"/>
        <v>488.4192556</v>
      </c>
      <c r="M285" s="30">
        <f t="shared" si="9"/>
        <v>445.8292252</v>
      </c>
      <c r="N285" s="27">
        <f t="shared" si="10"/>
        <v>42.59003039</v>
      </c>
      <c r="O285" s="24"/>
      <c r="P285" s="24"/>
      <c r="Q285" s="24"/>
      <c r="R285" s="26"/>
      <c r="S285" s="14">
        <f t="shared" si="13"/>
        <v>39.1102602</v>
      </c>
      <c r="U285" s="21"/>
      <c r="V285" s="21"/>
    </row>
    <row r="286">
      <c r="A286" s="11">
        <v>274.0</v>
      </c>
      <c r="B286" s="11">
        <v>1.42058695652173E9</v>
      </c>
      <c r="C286" s="2">
        <v>-101.9547348</v>
      </c>
      <c r="D286" s="24">
        <f t="shared" si="1"/>
        <v>186956.5217</v>
      </c>
      <c r="E286" s="25">
        <f t="shared" si="2"/>
        <v>-40.40502981</v>
      </c>
      <c r="F286" s="24">
        <f t="shared" si="3"/>
        <v>0.0002161199269</v>
      </c>
      <c r="G286" s="24">
        <f t="shared" si="4"/>
        <v>0</v>
      </c>
      <c r="H286" s="26">
        <f t="shared" si="5"/>
        <v>0</v>
      </c>
      <c r="I286" s="24">
        <f t="shared" si="6"/>
        <v>0</v>
      </c>
      <c r="J286" s="24">
        <f t="shared" si="7"/>
        <v>0</v>
      </c>
      <c r="K286" s="24"/>
      <c r="L286" s="24">
        <f t="shared" si="8"/>
        <v>484.8782319</v>
      </c>
      <c r="M286" s="30">
        <f t="shared" si="9"/>
        <v>445.7243721</v>
      </c>
      <c r="N286" s="27">
        <f t="shared" si="10"/>
        <v>39.15385986</v>
      </c>
      <c r="O286" s="24"/>
      <c r="P286" s="24"/>
      <c r="Q286" s="24"/>
      <c r="R286" s="26"/>
      <c r="S286" s="14">
        <f t="shared" si="13"/>
        <v>35.95483809</v>
      </c>
      <c r="U286" s="21"/>
      <c r="V286" s="21"/>
    </row>
    <row r="287">
      <c r="A287" s="11">
        <v>275.0</v>
      </c>
      <c r="B287" s="11">
        <v>1.42059130434782E9</v>
      </c>
      <c r="C287" s="2">
        <v>-102.0385742</v>
      </c>
      <c r="D287" s="24">
        <f t="shared" si="1"/>
        <v>191304.3478</v>
      </c>
      <c r="E287" s="25">
        <f t="shared" si="2"/>
        <v>-41.32332595</v>
      </c>
      <c r="F287" s="24">
        <f t="shared" si="3"/>
        <v>0.0002160082947</v>
      </c>
      <c r="G287" s="24">
        <f t="shared" si="4"/>
        <v>0</v>
      </c>
      <c r="H287" s="26">
        <f t="shared" si="5"/>
        <v>0</v>
      </c>
      <c r="I287" s="24">
        <f t="shared" si="6"/>
        <v>0</v>
      </c>
      <c r="J287" s="24">
        <f t="shared" si="7"/>
        <v>0</v>
      </c>
      <c r="K287" s="24"/>
      <c r="L287" s="24">
        <f t="shared" si="8"/>
        <v>475.6075579</v>
      </c>
      <c r="M287" s="30">
        <f t="shared" si="9"/>
        <v>445.6193746</v>
      </c>
      <c r="N287" s="27">
        <f t="shared" si="10"/>
        <v>29.9881833</v>
      </c>
      <c r="O287" s="24"/>
      <c r="P287" s="24"/>
      <c r="Q287" s="24"/>
      <c r="R287" s="26"/>
      <c r="S287" s="14">
        <f t="shared" si="13"/>
        <v>27.53803275</v>
      </c>
      <c r="U287" s="21"/>
      <c r="V287" s="21"/>
    </row>
    <row r="288">
      <c r="A288" s="11">
        <v>276.0</v>
      </c>
      <c r="B288" s="11">
        <v>1.42059565217391E9</v>
      </c>
      <c r="C288" s="2">
        <v>-102.0736542</v>
      </c>
      <c r="D288" s="24">
        <f t="shared" si="1"/>
        <v>195652.1739</v>
      </c>
      <c r="E288" s="25">
        <f t="shared" si="2"/>
        <v>-42.24162208</v>
      </c>
      <c r="F288" s="24">
        <f t="shared" si="3"/>
        <v>0.000215901624</v>
      </c>
      <c r="G288" s="24">
        <f t="shared" si="4"/>
        <v>0</v>
      </c>
      <c r="H288" s="26">
        <f t="shared" si="5"/>
        <v>0</v>
      </c>
      <c r="I288" s="24">
        <f t="shared" si="6"/>
        <v>0</v>
      </c>
      <c r="J288" s="24">
        <f t="shared" si="7"/>
        <v>0</v>
      </c>
      <c r="K288" s="24"/>
      <c r="L288" s="24">
        <f t="shared" si="8"/>
        <v>471.7813267</v>
      </c>
      <c r="M288" s="30">
        <f t="shared" si="9"/>
        <v>445.5142329</v>
      </c>
      <c r="N288" s="27">
        <f t="shared" si="10"/>
        <v>26.26709383</v>
      </c>
      <c r="O288" s="24"/>
      <c r="P288" s="24"/>
      <c r="Q288" s="24"/>
      <c r="R288" s="26"/>
      <c r="S288" s="14">
        <f t="shared" si="13"/>
        <v>24.12097063</v>
      </c>
      <c r="U288" s="21"/>
      <c r="V288" s="21"/>
    </row>
    <row r="289">
      <c r="A289" s="11">
        <v>277.0</v>
      </c>
      <c r="B289" s="11">
        <v>1.4206E9</v>
      </c>
      <c r="C289" s="2">
        <v>-102.0625305</v>
      </c>
      <c r="D289" s="24">
        <f t="shared" si="1"/>
        <v>200000</v>
      </c>
      <c r="E289" s="25">
        <f t="shared" si="2"/>
        <v>-43.15991821</v>
      </c>
      <c r="F289" s="24">
        <f t="shared" si="3"/>
        <v>0.000215799591</v>
      </c>
      <c r="G289" s="24">
        <f t="shared" si="4"/>
        <v>0</v>
      </c>
      <c r="H289" s="26">
        <f t="shared" si="5"/>
        <v>0</v>
      </c>
      <c r="I289" s="24">
        <f t="shared" si="6"/>
        <v>0</v>
      </c>
      <c r="J289" s="24">
        <f t="shared" si="7"/>
        <v>0</v>
      </c>
      <c r="K289" s="24"/>
      <c r="L289" s="24">
        <f t="shared" si="8"/>
        <v>472.9912617</v>
      </c>
      <c r="M289" s="30">
        <f t="shared" si="9"/>
        <v>445.4089472</v>
      </c>
      <c r="N289" s="27">
        <f t="shared" si="10"/>
        <v>27.58231445</v>
      </c>
      <c r="O289" s="24"/>
      <c r="P289" s="24"/>
      <c r="Q289" s="24"/>
      <c r="R289" s="26"/>
      <c r="S289" s="14">
        <f t="shared" si="13"/>
        <v>25.32873269</v>
      </c>
      <c r="U289" s="21"/>
      <c r="V289" s="21"/>
    </row>
    <row r="290">
      <c r="A290" s="11">
        <v>278.0</v>
      </c>
      <c r="B290" s="11">
        <v>1.42060434782608E9</v>
      </c>
      <c r="C290" s="2">
        <v>-102.1561661</v>
      </c>
      <c r="D290" s="24">
        <f t="shared" si="1"/>
        <v>204347.8261</v>
      </c>
      <c r="E290" s="25">
        <f t="shared" si="2"/>
        <v>-44.07821434</v>
      </c>
      <c r="F290" s="24">
        <f t="shared" si="3"/>
        <v>0.0002157019</v>
      </c>
      <c r="G290" s="24">
        <f t="shared" si="4"/>
        <v>0</v>
      </c>
      <c r="H290" s="26">
        <f t="shared" si="5"/>
        <v>0</v>
      </c>
      <c r="I290" s="24">
        <f t="shared" si="6"/>
        <v>0</v>
      </c>
      <c r="J290" s="24">
        <f t="shared" si="7"/>
        <v>0</v>
      </c>
      <c r="K290" s="24"/>
      <c r="L290" s="24">
        <f t="shared" si="8"/>
        <v>462.9025331</v>
      </c>
      <c r="M290" s="30">
        <f t="shared" si="9"/>
        <v>445.3035176</v>
      </c>
      <c r="N290" s="27">
        <f t="shared" si="10"/>
        <v>17.59901555</v>
      </c>
      <c r="O290" s="24"/>
      <c r="P290" s="24"/>
      <c r="Q290" s="24"/>
      <c r="R290" s="26"/>
      <c r="S290" s="14">
        <f t="shared" si="13"/>
        <v>16.16110792</v>
      </c>
      <c r="U290" s="21"/>
      <c r="V290" s="21"/>
    </row>
    <row r="291">
      <c r="A291" s="11">
        <v>279.0</v>
      </c>
      <c r="B291" s="11">
        <v>1.42060869565217E9</v>
      </c>
      <c r="C291" s="2">
        <v>-102.1840591</v>
      </c>
      <c r="D291" s="24">
        <f t="shared" si="1"/>
        <v>208695.6522</v>
      </c>
      <c r="E291" s="25">
        <f t="shared" si="2"/>
        <v>-44.99651047</v>
      </c>
      <c r="F291" s="24">
        <f t="shared" si="3"/>
        <v>0.0002156082794</v>
      </c>
      <c r="G291" s="24">
        <f t="shared" si="4"/>
        <v>0</v>
      </c>
      <c r="H291" s="26">
        <f t="shared" si="5"/>
        <v>0</v>
      </c>
      <c r="I291" s="24">
        <f t="shared" si="6"/>
        <v>0</v>
      </c>
      <c r="J291" s="24">
        <f t="shared" si="7"/>
        <v>0</v>
      </c>
      <c r="K291" s="24"/>
      <c r="L291" s="24">
        <f t="shared" si="8"/>
        <v>459.939022</v>
      </c>
      <c r="M291" s="30">
        <f t="shared" si="9"/>
        <v>445.1979442</v>
      </c>
      <c r="N291" s="27">
        <f t="shared" si="10"/>
        <v>14.74107775</v>
      </c>
      <c r="O291" s="24"/>
      <c r="P291" s="24"/>
      <c r="Q291" s="24"/>
      <c r="R291" s="26"/>
      <c r="S291" s="14">
        <f t="shared" si="13"/>
        <v>13.53667466</v>
      </c>
      <c r="U291" s="21"/>
      <c r="V291" s="21"/>
    </row>
    <row r="292">
      <c r="A292" s="11">
        <v>280.0</v>
      </c>
      <c r="B292" s="11">
        <v>1.42061304347826E9</v>
      </c>
      <c r="C292" s="2">
        <v>-102.1966171</v>
      </c>
      <c r="D292" s="24">
        <f t="shared" si="1"/>
        <v>213043.4783</v>
      </c>
      <c r="E292" s="25">
        <f t="shared" si="2"/>
        <v>-45.91480661</v>
      </c>
      <c r="F292" s="24">
        <f t="shared" si="3"/>
        <v>0.00021551848</v>
      </c>
      <c r="G292" s="24">
        <f t="shared" si="4"/>
        <v>0</v>
      </c>
      <c r="H292" s="26">
        <f t="shared" si="5"/>
        <v>0</v>
      </c>
      <c r="I292" s="24">
        <f t="shared" si="6"/>
        <v>0</v>
      </c>
      <c r="J292" s="24">
        <f t="shared" si="7"/>
        <v>0</v>
      </c>
      <c r="K292" s="24"/>
      <c r="L292" s="24">
        <f t="shared" si="8"/>
        <v>458.6109895</v>
      </c>
      <c r="M292" s="30">
        <f t="shared" si="9"/>
        <v>445.0922272</v>
      </c>
      <c r="N292" s="27">
        <f t="shared" si="10"/>
        <v>13.51876235</v>
      </c>
      <c r="O292" s="24"/>
      <c r="P292" s="24"/>
      <c r="Q292" s="24"/>
      <c r="R292" s="26"/>
      <c r="S292" s="14">
        <f t="shared" si="13"/>
        <v>12.41422718</v>
      </c>
      <c r="U292" s="21"/>
      <c r="V292" s="21"/>
    </row>
    <row r="293">
      <c r="A293" s="11">
        <v>281.0</v>
      </c>
      <c r="B293" s="11">
        <v>1.42061739130434E9</v>
      </c>
      <c r="C293" s="2">
        <v>-102.1832733</v>
      </c>
      <c r="D293" s="24">
        <f t="shared" si="1"/>
        <v>217391.3043</v>
      </c>
      <c r="E293" s="25">
        <f t="shared" si="2"/>
        <v>-46.83310274</v>
      </c>
      <c r="F293" s="24">
        <f t="shared" si="3"/>
        <v>0.0002154322726</v>
      </c>
      <c r="G293" s="24">
        <f t="shared" si="4"/>
        <v>0</v>
      </c>
      <c r="H293" s="26">
        <f t="shared" si="5"/>
        <v>0</v>
      </c>
      <c r="I293" s="24">
        <f t="shared" si="6"/>
        <v>0</v>
      </c>
      <c r="J293" s="24">
        <f t="shared" si="7"/>
        <v>0</v>
      </c>
      <c r="K293" s="24"/>
      <c r="L293" s="24">
        <f t="shared" si="8"/>
        <v>460.0222495</v>
      </c>
      <c r="M293" s="30">
        <f t="shared" si="9"/>
        <v>444.9863667</v>
      </c>
      <c r="N293" s="27">
        <f t="shared" si="10"/>
        <v>15.03588284</v>
      </c>
      <c r="O293" s="24"/>
      <c r="P293" s="24"/>
      <c r="Q293" s="24"/>
      <c r="R293" s="26"/>
      <c r="S293" s="14">
        <f t="shared" si="13"/>
        <v>13.80739306</v>
      </c>
      <c r="U293" s="21"/>
      <c r="V293" s="21"/>
    </row>
    <row r="294">
      <c r="A294" s="11">
        <v>282.0</v>
      </c>
      <c r="B294" s="11">
        <v>1.42062173913043E9</v>
      </c>
      <c r="C294" s="2">
        <v>-102.2193832</v>
      </c>
      <c r="D294" s="24">
        <f t="shared" si="1"/>
        <v>221739.1304</v>
      </c>
      <c r="E294" s="25">
        <f t="shared" si="2"/>
        <v>-47.75139887</v>
      </c>
      <c r="F294" s="24">
        <f t="shared" si="3"/>
        <v>0.0002153494459</v>
      </c>
      <c r="G294" s="24">
        <f t="shared" si="4"/>
        <v>0</v>
      </c>
      <c r="H294" s="26">
        <f t="shared" si="5"/>
        <v>0</v>
      </c>
      <c r="I294" s="24">
        <f t="shared" si="6"/>
        <v>0</v>
      </c>
      <c r="J294" s="24">
        <f t="shared" si="7"/>
        <v>0</v>
      </c>
      <c r="K294" s="24"/>
      <c r="L294" s="24">
        <f t="shared" si="8"/>
        <v>456.2132005</v>
      </c>
      <c r="M294" s="30">
        <f t="shared" si="9"/>
        <v>444.8803629</v>
      </c>
      <c r="N294" s="27">
        <f t="shared" si="10"/>
        <v>11.33283761</v>
      </c>
      <c r="O294" s="24"/>
      <c r="P294" s="24"/>
      <c r="Q294" s="24"/>
      <c r="R294" s="26"/>
      <c r="S294" s="14">
        <f t="shared" si="13"/>
        <v>10.40690093</v>
      </c>
      <c r="U294" s="21"/>
      <c r="V294" s="21"/>
    </row>
    <row r="295">
      <c r="A295" s="11">
        <v>283.0</v>
      </c>
      <c r="B295" s="11">
        <v>1.42062608695652E9</v>
      </c>
      <c r="C295" s="2">
        <v>-102.2504501</v>
      </c>
      <c r="D295" s="24">
        <f t="shared" si="1"/>
        <v>226086.9565</v>
      </c>
      <c r="E295" s="25">
        <f t="shared" si="2"/>
        <v>-48.669695</v>
      </c>
      <c r="F295" s="24">
        <f t="shared" si="3"/>
        <v>0.0002152698048</v>
      </c>
      <c r="G295" s="24">
        <f t="shared" si="4"/>
        <v>0</v>
      </c>
      <c r="H295" s="26">
        <f t="shared" si="5"/>
        <v>0</v>
      </c>
      <c r="I295" s="24">
        <f t="shared" si="6"/>
        <v>0</v>
      </c>
      <c r="J295" s="24">
        <f t="shared" si="7"/>
        <v>0</v>
      </c>
      <c r="K295" s="24"/>
      <c r="L295" s="24">
        <f t="shared" si="8"/>
        <v>452.9613615</v>
      </c>
      <c r="M295" s="30">
        <f t="shared" si="9"/>
        <v>444.7742158</v>
      </c>
      <c r="N295" s="27">
        <f t="shared" si="10"/>
        <v>8.187145653</v>
      </c>
      <c r="O295" s="24"/>
      <c r="P295" s="24"/>
      <c r="Q295" s="24"/>
      <c r="R295" s="26"/>
      <c r="S295" s="14">
        <f t="shared" si="13"/>
        <v>7.518224192</v>
      </c>
      <c r="U295" s="21"/>
      <c r="V295" s="21"/>
    </row>
    <row r="296">
      <c r="A296" s="11">
        <v>284.0</v>
      </c>
      <c r="B296" s="11">
        <v>1.4206304347826E9</v>
      </c>
      <c r="C296" s="2">
        <v>-102.1778946</v>
      </c>
      <c r="D296" s="24">
        <f t="shared" si="1"/>
        <v>230434.7826</v>
      </c>
      <c r="E296" s="25">
        <f t="shared" si="2"/>
        <v>-49.58799113</v>
      </c>
      <c r="F296" s="24">
        <f t="shared" si="3"/>
        <v>0.0002151931691</v>
      </c>
      <c r="G296" s="24">
        <f t="shared" si="4"/>
        <v>0</v>
      </c>
      <c r="H296" s="26">
        <f t="shared" si="5"/>
        <v>0</v>
      </c>
      <c r="I296" s="24">
        <f t="shared" si="6"/>
        <v>0</v>
      </c>
      <c r="J296" s="24">
        <f t="shared" si="7"/>
        <v>0</v>
      </c>
      <c r="K296" s="24"/>
      <c r="L296" s="24">
        <f t="shared" si="8"/>
        <v>460.5923361</v>
      </c>
      <c r="M296" s="30">
        <f t="shared" si="9"/>
        <v>444.6679257</v>
      </c>
      <c r="N296" s="27">
        <f t="shared" si="10"/>
        <v>15.92441043</v>
      </c>
      <c r="O296" s="24"/>
      <c r="P296" s="24"/>
      <c r="Q296" s="24"/>
      <c r="R296" s="26"/>
      <c r="S296" s="14">
        <f t="shared" si="13"/>
        <v>14.62332451</v>
      </c>
      <c r="U296" s="21"/>
      <c r="V296" s="21"/>
    </row>
    <row r="297">
      <c r="A297" s="11">
        <v>285.0</v>
      </c>
      <c r="B297" s="11">
        <v>1.42063478260869E9</v>
      </c>
      <c r="C297" s="2">
        <v>-102.2024307</v>
      </c>
      <c r="D297" s="24">
        <f t="shared" si="1"/>
        <v>234782.6087</v>
      </c>
      <c r="E297" s="25">
        <f t="shared" si="2"/>
        <v>-50.50628727</v>
      </c>
      <c r="F297" s="24">
        <f t="shared" si="3"/>
        <v>0.0002151193717</v>
      </c>
      <c r="G297" s="24">
        <f t="shared" si="4"/>
        <v>0</v>
      </c>
      <c r="H297" s="26">
        <f t="shared" si="5"/>
        <v>0</v>
      </c>
      <c r="I297" s="24">
        <f t="shared" si="6"/>
        <v>0</v>
      </c>
      <c r="J297" s="24">
        <f t="shared" si="7"/>
        <v>0</v>
      </c>
      <c r="K297" s="24"/>
      <c r="L297" s="24">
        <f t="shared" si="8"/>
        <v>457.9974894</v>
      </c>
      <c r="M297" s="30">
        <f t="shared" si="9"/>
        <v>444.5614926</v>
      </c>
      <c r="N297" s="27">
        <f t="shared" si="10"/>
        <v>13.43599679</v>
      </c>
      <c r="O297" s="24"/>
      <c r="P297" s="24"/>
      <c r="Q297" s="24"/>
      <c r="R297" s="26"/>
      <c r="S297" s="14">
        <f t="shared" si="13"/>
        <v>12.3382239</v>
      </c>
      <c r="U297" s="21"/>
      <c r="V297" s="21"/>
    </row>
    <row r="298">
      <c r="A298" s="11">
        <v>286.0</v>
      </c>
      <c r="B298" s="11">
        <v>1.42063913043478E9</v>
      </c>
      <c r="C298" s="2">
        <v>-102.2603531</v>
      </c>
      <c r="D298" s="24">
        <f t="shared" si="1"/>
        <v>239130.4348</v>
      </c>
      <c r="E298" s="25">
        <f t="shared" si="2"/>
        <v>-51.4245834</v>
      </c>
      <c r="F298" s="24">
        <f t="shared" si="3"/>
        <v>0.0002150482579</v>
      </c>
      <c r="G298" s="24">
        <f t="shared" si="4"/>
        <v>0</v>
      </c>
      <c r="H298" s="26">
        <f t="shared" si="5"/>
        <v>0</v>
      </c>
      <c r="I298" s="24">
        <f t="shared" si="6"/>
        <v>0</v>
      </c>
      <c r="J298" s="24">
        <f t="shared" si="7"/>
        <v>0</v>
      </c>
      <c r="K298" s="24"/>
      <c r="L298" s="24">
        <f t="shared" si="8"/>
        <v>451.929673</v>
      </c>
      <c r="M298" s="30">
        <f t="shared" si="9"/>
        <v>444.4549168</v>
      </c>
      <c r="N298" s="27">
        <f t="shared" si="10"/>
        <v>7.474756203</v>
      </c>
      <c r="O298" s="24"/>
      <c r="P298" s="24"/>
      <c r="Q298" s="24"/>
      <c r="R298" s="26"/>
      <c r="S298" s="14">
        <f t="shared" si="13"/>
        <v>6.864039699</v>
      </c>
      <c r="U298" s="21"/>
      <c r="V298" s="21"/>
    </row>
    <row r="299">
      <c r="A299" s="11">
        <v>287.0</v>
      </c>
      <c r="B299" s="11">
        <v>1.42064347826087E9</v>
      </c>
      <c r="C299" s="2">
        <v>-102.2833328</v>
      </c>
      <c r="D299" s="24">
        <f t="shared" si="1"/>
        <v>243478.2609</v>
      </c>
      <c r="E299" s="25">
        <f t="shared" si="2"/>
        <v>-52.34287953</v>
      </c>
      <c r="F299" s="24">
        <f t="shared" si="3"/>
        <v>0.0002149796838</v>
      </c>
      <c r="G299" s="24">
        <f t="shared" si="4"/>
        <v>0</v>
      </c>
      <c r="H299" s="26">
        <f t="shared" si="5"/>
        <v>0</v>
      </c>
      <c r="I299" s="24">
        <f t="shared" si="6"/>
        <v>0</v>
      </c>
      <c r="J299" s="24">
        <f t="shared" si="7"/>
        <v>0</v>
      </c>
      <c r="K299" s="24"/>
      <c r="L299" s="24">
        <f t="shared" si="8"/>
        <v>449.5447057</v>
      </c>
      <c r="M299" s="30">
        <f t="shared" si="9"/>
        <v>444.3481983</v>
      </c>
      <c r="N299" s="27">
        <f t="shared" si="10"/>
        <v>5.196507421</v>
      </c>
      <c r="O299" s="24"/>
      <c r="P299" s="24"/>
      <c r="Q299" s="24"/>
      <c r="R299" s="26"/>
      <c r="S299" s="14">
        <f t="shared" si="13"/>
        <v>4.771932668</v>
      </c>
      <c r="U299" s="21"/>
      <c r="V299" s="21"/>
    </row>
    <row r="300">
      <c r="A300" s="11">
        <v>288.0</v>
      </c>
      <c r="B300" s="11">
        <v>1.42064782608695E9</v>
      </c>
      <c r="C300" s="2">
        <v>-102.2601471</v>
      </c>
      <c r="D300" s="24">
        <f t="shared" si="1"/>
        <v>247826.087</v>
      </c>
      <c r="E300" s="25">
        <f t="shared" si="2"/>
        <v>-53.26117566</v>
      </c>
      <c r="F300" s="24">
        <f t="shared" si="3"/>
        <v>0.0002149135158</v>
      </c>
      <c r="G300" s="24">
        <f t="shared" si="4"/>
        <v>0</v>
      </c>
      <c r="H300" s="26">
        <f t="shared" si="5"/>
        <v>0</v>
      </c>
      <c r="I300" s="24">
        <f t="shared" si="6"/>
        <v>0</v>
      </c>
      <c r="J300" s="24">
        <f t="shared" si="7"/>
        <v>0</v>
      </c>
      <c r="K300" s="24"/>
      <c r="L300" s="24">
        <f t="shared" si="8"/>
        <v>451.95111</v>
      </c>
      <c r="M300" s="30">
        <f t="shared" si="9"/>
        <v>444.2413373</v>
      </c>
      <c r="N300" s="27">
        <f t="shared" si="10"/>
        <v>7.709772679</v>
      </c>
      <c r="O300" s="24"/>
      <c r="P300" s="24"/>
      <c r="Q300" s="24"/>
      <c r="R300" s="26"/>
      <c r="S300" s="14">
        <f t="shared" si="13"/>
        <v>7.079854436</v>
      </c>
      <c r="U300" s="21"/>
      <c r="V300" s="21"/>
    </row>
    <row r="301">
      <c r="A301" s="11">
        <v>289.0</v>
      </c>
      <c r="B301" s="11">
        <v>1.42065217391304E9</v>
      </c>
      <c r="C301" s="2">
        <v>-102.2257309</v>
      </c>
      <c r="D301" s="24">
        <f t="shared" si="1"/>
        <v>252173.913</v>
      </c>
      <c r="E301" s="25">
        <f t="shared" si="2"/>
        <v>-54.1794718</v>
      </c>
      <c r="F301" s="24">
        <f t="shared" si="3"/>
        <v>0.0002148496295</v>
      </c>
      <c r="G301" s="24">
        <f t="shared" si="4"/>
        <v>0</v>
      </c>
      <c r="H301" s="26">
        <f t="shared" si="5"/>
        <v>0</v>
      </c>
      <c r="I301" s="24">
        <f t="shared" si="6"/>
        <v>0</v>
      </c>
      <c r="J301" s="24">
        <f t="shared" si="7"/>
        <v>0</v>
      </c>
      <c r="K301" s="24"/>
      <c r="L301" s="24">
        <f t="shared" si="8"/>
        <v>455.5468809</v>
      </c>
      <c r="M301" s="30">
        <f t="shared" si="9"/>
        <v>444.134334</v>
      </c>
      <c r="N301" s="27">
        <f t="shared" si="10"/>
        <v>11.4125469</v>
      </c>
      <c r="O301" s="24"/>
      <c r="P301" s="24"/>
      <c r="Q301" s="24"/>
      <c r="R301" s="26"/>
      <c r="S301" s="14">
        <f t="shared" si="13"/>
        <v>10.48009766</v>
      </c>
      <c r="U301" s="21"/>
      <c r="V301" s="21"/>
    </row>
    <row r="302">
      <c r="A302" s="11">
        <v>290.0</v>
      </c>
      <c r="B302" s="11">
        <v>1.42065652173913E9</v>
      </c>
      <c r="C302" s="2">
        <v>-102.2334061</v>
      </c>
      <c r="D302" s="24">
        <f t="shared" si="1"/>
        <v>256521.7391</v>
      </c>
      <c r="E302" s="25">
        <f t="shared" si="2"/>
        <v>-55.09776793</v>
      </c>
      <c r="F302" s="24">
        <f t="shared" si="3"/>
        <v>0.0002147879089</v>
      </c>
      <c r="G302" s="24">
        <f t="shared" si="4"/>
        <v>0</v>
      </c>
      <c r="H302" s="26">
        <f t="shared" si="5"/>
        <v>0</v>
      </c>
      <c r="I302" s="24">
        <f t="shared" si="6"/>
        <v>0</v>
      </c>
      <c r="J302" s="24">
        <f t="shared" si="7"/>
        <v>0</v>
      </c>
      <c r="K302" s="24"/>
      <c r="L302" s="24">
        <f t="shared" si="8"/>
        <v>454.7425129</v>
      </c>
      <c r="M302" s="30">
        <f t="shared" si="9"/>
        <v>444.0271884</v>
      </c>
      <c r="N302" s="27">
        <f t="shared" si="10"/>
        <v>10.71532453</v>
      </c>
      <c r="O302" s="24"/>
      <c r="P302" s="24"/>
      <c r="Q302" s="24"/>
      <c r="R302" s="26"/>
      <c r="S302" s="14">
        <f t="shared" si="13"/>
        <v>9.839841077</v>
      </c>
      <c r="U302" s="21"/>
      <c r="V302" s="21"/>
    </row>
    <row r="303">
      <c r="A303" s="11">
        <v>291.0</v>
      </c>
      <c r="B303" s="11">
        <v>1.42066086956521E9</v>
      </c>
      <c r="C303" s="2">
        <v>-102.2909546</v>
      </c>
      <c r="D303" s="24">
        <f t="shared" si="1"/>
        <v>260869.5652</v>
      </c>
      <c r="E303" s="25">
        <f t="shared" si="2"/>
        <v>-56.01606406</v>
      </c>
      <c r="F303" s="24">
        <f t="shared" si="3"/>
        <v>0.0002147282456</v>
      </c>
      <c r="G303" s="24">
        <f t="shared" si="4"/>
        <v>0</v>
      </c>
      <c r="H303" s="26">
        <f t="shared" si="5"/>
        <v>0</v>
      </c>
      <c r="I303" s="24">
        <f t="shared" si="6"/>
        <v>0</v>
      </c>
      <c r="J303" s="24">
        <f t="shared" si="7"/>
        <v>0</v>
      </c>
      <c r="K303" s="24"/>
      <c r="L303" s="24">
        <f t="shared" si="8"/>
        <v>448.7564537</v>
      </c>
      <c r="M303" s="30">
        <f t="shared" si="9"/>
        <v>443.9199007</v>
      </c>
      <c r="N303" s="27">
        <f t="shared" si="10"/>
        <v>4.836553017</v>
      </c>
      <c r="O303" s="24"/>
      <c r="P303" s="24"/>
      <c r="Q303" s="24"/>
      <c r="R303" s="26"/>
      <c r="S303" s="14">
        <f t="shared" si="13"/>
        <v>4.441387932</v>
      </c>
      <c r="U303" s="21"/>
      <c r="V303" s="21"/>
    </row>
    <row r="304">
      <c r="A304" s="11">
        <v>292.0</v>
      </c>
      <c r="B304" s="11">
        <v>1.4206652173913E9</v>
      </c>
      <c r="C304" s="2">
        <v>-102.2949524</v>
      </c>
      <c r="D304" s="24">
        <f t="shared" si="1"/>
        <v>265217.3913</v>
      </c>
      <c r="E304" s="25">
        <f t="shared" si="2"/>
        <v>-56.93436019</v>
      </c>
      <c r="F304" s="24">
        <f t="shared" si="3"/>
        <v>0.0002146705384</v>
      </c>
      <c r="G304" s="24">
        <f t="shared" si="4"/>
        <v>0</v>
      </c>
      <c r="H304" s="26">
        <f t="shared" si="5"/>
        <v>0</v>
      </c>
      <c r="I304" s="24">
        <f t="shared" si="6"/>
        <v>0</v>
      </c>
      <c r="J304" s="24">
        <f t="shared" si="7"/>
        <v>0</v>
      </c>
      <c r="K304" s="24"/>
      <c r="L304" s="24">
        <f t="shared" si="8"/>
        <v>448.3435512</v>
      </c>
      <c r="M304" s="30">
        <f t="shared" si="9"/>
        <v>443.8124711</v>
      </c>
      <c r="N304" s="27">
        <f t="shared" si="10"/>
        <v>4.531080073</v>
      </c>
      <c r="O304" s="24"/>
      <c r="P304" s="24"/>
      <c r="Q304" s="24"/>
      <c r="R304" s="26"/>
      <c r="S304" s="14">
        <f t="shared" si="13"/>
        <v>4.160873298</v>
      </c>
      <c r="U304" s="21"/>
      <c r="V304" s="21"/>
    </row>
    <row r="305">
      <c r="A305" s="11">
        <v>293.0</v>
      </c>
      <c r="B305" s="11">
        <v>1.42066956521739E9</v>
      </c>
      <c r="C305" s="2">
        <v>-102.3009109</v>
      </c>
      <c r="D305" s="24">
        <f t="shared" si="1"/>
        <v>269565.2174</v>
      </c>
      <c r="E305" s="25">
        <f t="shared" si="2"/>
        <v>-57.85265632</v>
      </c>
      <c r="F305" s="24">
        <f t="shared" si="3"/>
        <v>0.0002146146928</v>
      </c>
      <c r="G305" s="24">
        <f t="shared" si="4"/>
        <v>0</v>
      </c>
      <c r="H305" s="26">
        <f t="shared" si="5"/>
        <v>0</v>
      </c>
      <c r="I305" s="24">
        <f t="shared" si="6"/>
        <v>0</v>
      </c>
      <c r="J305" s="24">
        <f t="shared" si="7"/>
        <v>0</v>
      </c>
      <c r="K305" s="24"/>
      <c r="L305" s="24">
        <f t="shared" si="8"/>
        <v>447.7288477</v>
      </c>
      <c r="M305" s="30">
        <f t="shared" si="9"/>
        <v>443.7048997</v>
      </c>
      <c r="N305" s="27">
        <f t="shared" si="10"/>
        <v>4.02394803</v>
      </c>
      <c r="O305" s="24"/>
      <c r="P305" s="24"/>
      <c r="Q305" s="24"/>
      <c r="R305" s="26"/>
      <c r="S305" s="14">
        <f t="shared" si="13"/>
        <v>3.695175915</v>
      </c>
      <c r="U305" s="21"/>
      <c r="V305" s="21"/>
    </row>
    <row r="306">
      <c r="A306" s="11">
        <v>294.0</v>
      </c>
      <c r="B306" s="11">
        <v>1.42067391304347E9</v>
      </c>
      <c r="C306" s="2">
        <v>-102.2819366</v>
      </c>
      <c r="D306" s="24">
        <f t="shared" si="1"/>
        <v>273913.0435</v>
      </c>
      <c r="E306" s="25">
        <f t="shared" si="2"/>
        <v>-58.77095246</v>
      </c>
      <c r="F306" s="24">
        <f t="shared" si="3"/>
        <v>0.0002145606201</v>
      </c>
      <c r="G306" s="24">
        <f t="shared" si="4"/>
        <v>0</v>
      </c>
      <c r="H306" s="26">
        <f t="shared" si="5"/>
        <v>0</v>
      </c>
      <c r="I306" s="24">
        <f t="shared" si="6"/>
        <v>0</v>
      </c>
      <c r="J306" s="24">
        <f t="shared" si="7"/>
        <v>0</v>
      </c>
      <c r="K306" s="24"/>
      <c r="L306" s="24">
        <f t="shared" si="8"/>
        <v>449.6892517</v>
      </c>
      <c r="M306" s="30">
        <f t="shared" si="9"/>
        <v>443.5971866</v>
      </c>
      <c r="N306" s="27">
        <f t="shared" si="10"/>
        <v>6.092065175</v>
      </c>
      <c r="O306" s="24"/>
      <c r="P306" s="24"/>
      <c r="Q306" s="24"/>
      <c r="R306" s="26"/>
      <c r="S306" s="14">
        <f t="shared" si="13"/>
        <v>5.594319891</v>
      </c>
      <c r="U306" s="21"/>
      <c r="V306" s="21"/>
    </row>
    <row r="307">
      <c r="A307" s="11">
        <v>295.0</v>
      </c>
      <c r="B307" s="11">
        <v>1.42067826086956E9</v>
      </c>
      <c r="C307" s="2">
        <v>-102.2627487</v>
      </c>
      <c r="D307" s="24">
        <f t="shared" si="1"/>
        <v>278260.8696</v>
      </c>
      <c r="E307" s="25">
        <f t="shared" si="2"/>
        <v>-59.68924859</v>
      </c>
      <c r="F307" s="24">
        <f t="shared" si="3"/>
        <v>0.0002145082371</v>
      </c>
      <c r="G307" s="24">
        <f t="shared" si="4"/>
        <v>0</v>
      </c>
      <c r="H307" s="26">
        <f t="shared" si="5"/>
        <v>0</v>
      </c>
      <c r="I307" s="24">
        <f t="shared" si="6"/>
        <v>0</v>
      </c>
      <c r="J307" s="24">
        <f t="shared" si="7"/>
        <v>0</v>
      </c>
      <c r="K307" s="24"/>
      <c r="L307" s="24">
        <f t="shared" si="8"/>
        <v>451.6804541</v>
      </c>
      <c r="M307" s="30">
        <f t="shared" si="9"/>
        <v>443.4893319</v>
      </c>
      <c r="N307" s="27">
        <f t="shared" si="10"/>
        <v>8.191122132</v>
      </c>
      <c r="O307" s="24"/>
      <c r="P307" s="24"/>
      <c r="Q307" s="24"/>
      <c r="R307" s="26"/>
      <c r="S307" s="14">
        <f t="shared" si="13"/>
        <v>7.521875759</v>
      </c>
      <c r="U307" s="21"/>
      <c r="V307" s="21"/>
    </row>
    <row r="308">
      <c r="A308" s="11">
        <v>296.0</v>
      </c>
      <c r="B308" s="11">
        <v>1.42068260869565E9</v>
      </c>
      <c r="C308" s="2">
        <v>-102.3098755</v>
      </c>
      <c r="D308" s="24">
        <f t="shared" si="1"/>
        <v>282608.6957</v>
      </c>
      <c r="E308" s="25">
        <f t="shared" si="2"/>
        <v>-60.60754472</v>
      </c>
      <c r="F308" s="24">
        <f t="shared" si="3"/>
        <v>0.0002144574659</v>
      </c>
      <c r="G308" s="24">
        <f t="shared" si="4"/>
        <v>0</v>
      </c>
      <c r="H308" s="26">
        <f t="shared" si="5"/>
        <v>0</v>
      </c>
      <c r="I308" s="24">
        <f t="shared" si="6"/>
        <v>0</v>
      </c>
      <c r="J308" s="24">
        <f t="shared" si="7"/>
        <v>0</v>
      </c>
      <c r="K308" s="24"/>
      <c r="L308" s="24">
        <f t="shared" si="8"/>
        <v>446.80561</v>
      </c>
      <c r="M308" s="30">
        <f t="shared" si="9"/>
        <v>443.3813359</v>
      </c>
      <c r="N308" s="27">
        <f t="shared" si="10"/>
        <v>3.424274088</v>
      </c>
      <c r="O308" s="24"/>
      <c r="P308" s="24"/>
      <c r="Q308" s="24"/>
      <c r="R308" s="26"/>
      <c r="S308" s="14">
        <f t="shared" si="13"/>
        <v>3.144497652</v>
      </c>
      <c r="U308" s="21"/>
      <c r="V308" s="21"/>
    </row>
    <row r="309">
      <c r="A309" s="11">
        <v>297.0</v>
      </c>
      <c r="B309" s="11">
        <v>1.42068695652173E9</v>
      </c>
      <c r="C309" s="2">
        <v>-102.273674</v>
      </c>
      <c r="D309" s="24">
        <f t="shared" si="1"/>
        <v>286956.5217</v>
      </c>
      <c r="E309" s="25">
        <f t="shared" si="2"/>
        <v>-61.52584085</v>
      </c>
      <c r="F309" s="24">
        <f t="shared" si="3"/>
        <v>0.0002144082333</v>
      </c>
      <c r="G309" s="24">
        <f t="shared" si="4"/>
        <v>0</v>
      </c>
      <c r="H309" s="26">
        <f t="shared" si="5"/>
        <v>0</v>
      </c>
      <c r="I309" s="24">
        <f t="shared" si="6"/>
        <v>0</v>
      </c>
      <c r="J309" s="24">
        <f t="shared" si="7"/>
        <v>0</v>
      </c>
      <c r="K309" s="24"/>
      <c r="L309" s="24">
        <f t="shared" si="8"/>
        <v>450.5456152</v>
      </c>
      <c r="M309" s="30">
        <f t="shared" si="9"/>
        <v>443.2731986</v>
      </c>
      <c r="N309" s="27">
        <f t="shared" si="10"/>
        <v>7.272416542</v>
      </c>
      <c r="O309" s="24"/>
      <c r="P309" s="24"/>
      <c r="Q309" s="24"/>
      <c r="R309" s="26"/>
      <c r="S309" s="14">
        <f t="shared" si="13"/>
        <v>6.678231987</v>
      </c>
      <c r="U309" s="21"/>
      <c r="V309" s="21"/>
    </row>
    <row r="310">
      <c r="A310" s="11">
        <v>298.0</v>
      </c>
      <c r="B310" s="11">
        <v>1.42069130434782E9</v>
      </c>
      <c r="C310" s="2">
        <v>-102.3243561</v>
      </c>
      <c r="D310" s="24">
        <f t="shared" si="1"/>
        <v>291304.3478</v>
      </c>
      <c r="E310" s="25">
        <f t="shared" si="2"/>
        <v>-62.44413698</v>
      </c>
      <c r="F310" s="24">
        <f t="shared" si="3"/>
        <v>0.0002143604703</v>
      </c>
      <c r="G310" s="24">
        <f t="shared" si="4"/>
        <v>0</v>
      </c>
      <c r="H310" s="26">
        <f t="shared" si="5"/>
        <v>0</v>
      </c>
      <c r="I310" s="24">
        <f t="shared" si="6"/>
        <v>0</v>
      </c>
      <c r="J310" s="24">
        <f t="shared" si="7"/>
        <v>0</v>
      </c>
      <c r="K310" s="24"/>
      <c r="L310" s="24">
        <f t="shared" si="8"/>
        <v>445.3183153</v>
      </c>
      <c r="M310" s="30">
        <f t="shared" si="9"/>
        <v>443.1649203</v>
      </c>
      <c r="N310" s="27">
        <f t="shared" si="10"/>
        <v>2.153395024</v>
      </c>
      <c r="O310" s="24"/>
      <c r="P310" s="24"/>
      <c r="Q310" s="24"/>
      <c r="R310" s="26"/>
      <c r="S310" s="14">
        <f t="shared" si="13"/>
        <v>1.977454323</v>
      </c>
      <c r="U310" s="21"/>
      <c r="V310" s="21"/>
    </row>
    <row r="311">
      <c r="A311" s="11">
        <v>299.0</v>
      </c>
      <c r="B311" s="11">
        <v>1.42069565217391E9</v>
      </c>
      <c r="C311" s="2">
        <v>-102.2656784</v>
      </c>
      <c r="D311" s="24">
        <f t="shared" si="1"/>
        <v>295652.1739</v>
      </c>
      <c r="E311" s="25">
        <f t="shared" si="2"/>
        <v>-63.36243312</v>
      </c>
      <c r="F311" s="24">
        <f t="shared" si="3"/>
        <v>0.000214314112</v>
      </c>
      <c r="G311" s="24">
        <f t="shared" si="4"/>
        <v>0</v>
      </c>
      <c r="H311" s="26">
        <f t="shared" si="5"/>
        <v>0</v>
      </c>
      <c r="I311" s="24">
        <f t="shared" si="6"/>
        <v>0</v>
      </c>
      <c r="J311" s="24">
        <f t="shared" si="7"/>
        <v>0</v>
      </c>
      <c r="K311" s="24"/>
      <c r="L311" s="24">
        <f t="shared" si="8"/>
        <v>451.3758584</v>
      </c>
      <c r="M311" s="30">
        <f t="shared" si="9"/>
        <v>443.0565009</v>
      </c>
      <c r="N311" s="27">
        <f t="shared" si="10"/>
        <v>8.319357528</v>
      </c>
      <c r="O311" s="24"/>
      <c r="P311" s="24"/>
      <c r="Q311" s="24"/>
      <c r="R311" s="26"/>
      <c r="S311" s="14">
        <f t="shared" si="13"/>
        <v>7.639633828</v>
      </c>
      <c r="U311" s="21"/>
      <c r="V311" s="21"/>
    </row>
    <row r="312">
      <c r="A312" s="11">
        <v>300.0</v>
      </c>
      <c r="B312" s="11">
        <v>1.4207E9</v>
      </c>
      <c r="C312" s="2">
        <v>-102.2936401</v>
      </c>
      <c r="D312" s="24">
        <f t="shared" si="1"/>
        <v>300000</v>
      </c>
      <c r="E312" s="25">
        <f t="shared" si="2"/>
        <v>-64.28072925</v>
      </c>
      <c r="F312" s="24">
        <f t="shared" si="3"/>
        <v>0.0002142690975</v>
      </c>
      <c r="G312" s="24">
        <f t="shared" si="4"/>
        <v>0</v>
      </c>
      <c r="H312" s="26">
        <f t="shared" si="5"/>
        <v>0</v>
      </c>
      <c r="I312" s="24">
        <f t="shared" si="6"/>
        <v>0</v>
      </c>
      <c r="J312" s="24">
        <f t="shared" si="7"/>
        <v>0</v>
      </c>
      <c r="K312" s="24"/>
      <c r="L312" s="24">
        <f t="shared" si="8"/>
        <v>448.4790468</v>
      </c>
      <c r="M312" s="30">
        <f t="shared" si="9"/>
        <v>442.9479407</v>
      </c>
      <c r="N312" s="27">
        <f t="shared" si="10"/>
        <v>5.531106093</v>
      </c>
      <c r="O312" s="24"/>
      <c r="P312" s="24"/>
      <c r="Q312" s="24"/>
      <c r="R312" s="26"/>
      <c r="S312" s="14">
        <f t="shared" si="13"/>
        <v>5.079193335</v>
      </c>
      <c r="U312" s="21"/>
      <c r="V312" s="21"/>
    </row>
    <row r="313">
      <c r="A313" s="11">
        <v>301.0</v>
      </c>
      <c r="B313" s="11">
        <v>1.42070434782608E9</v>
      </c>
      <c r="C313" s="2">
        <v>-102.2652893</v>
      </c>
      <c r="D313" s="24">
        <f t="shared" si="1"/>
        <v>304347.8261</v>
      </c>
      <c r="E313" s="25">
        <f t="shared" si="2"/>
        <v>-65.19902538</v>
      </c>
      <c r="F313" s="24">
        <f t="shared" si="3"/>
        <v>0.0002142253691</v>
      </c>
      <c r="G313" s="24">
        <f t="shared" si="4"/>
        <v>0</v>
      </c>
      <c r="H313" s="26">
        <f t="shared" si="5"/>
        <v>0</v>
      </c>
      <c r="I313" s="24">
        <f t="shared" si="6"/>
        <v>0</v>
      </c>
      <c r="J313" s="24">
        <f t="shared" si="7"/>
        <v>0</v>
      </c>
      <c r="K313" s="24"/>
      <c r="L313" s="24">
        <f t="shared" si="8"/>
        <v>451.4163006</v>
      </c>
      <c r="M313" s="30">
        <f t="shared" si="9"/>
        <v>442.8392399</v>
      </c>
      <c r="N313" s="27">
        <f t="shared" si="10"/>
        <v>8.577060771</v>
      </c>
      <c r="O313" s="24"/>
      <c r="P313" s="24"/>
      <c r="Q313" s="24"/>
      <c r="R313" s="26"/>
      <c r="S313" s="14">
        <f t="shared" si="13"/>
        <v>7.876281737</v>
      </c>
      <c r="U313" s="21"/>
      <c r="V313" s="21"/>
    </row>
    <row r="314">
      <c r="A314" s="11">
        <v>302.0</v>
      </c>
      <c r="B314" s="11">
        <v>1.42070869565217E9</v>
      </c>
      <c r="C314" s="2">
        <v>-102.346283</v>
      </c>
      <c r="D314" s="24">
        <f t="shared" si="1"/>
        <v>308695.6522</v>
      </c>
      <c r="E314" s="25">
        <f t="shared" si="2"/>
        <v>-66.11732151</v>
      </c>
      <c r="F314" s="24">
        <f t="shared" si="3"/>
        <v>0.0002141828725</v>
      </c>
      <c r="G314" s="24">
        <f t="shared" si="4"/>
        <v>0</v>
      </c>
      <c r="H314" s="26">
        <f t="shared" si="5"/>
        <v>0</v>
      </c>
      <c r="I314" s="24">
        <f t="shared" si="6"/>
        <v>0</v>
      </c>
      <c r="J314" s="24">
        <f t="shared" si="7"/>
        <v>0</v>
      </c>
      <c r="K314" s="24"/>
      <c r="L314" s="24">
        <f t="shared" si="8"/>
        <v>443.0756338</v>
      </c>
      <c r="M314" s="30">
        <f t="shared" si="9"/>
        <v>442.7303984</v>
      </c>
      <c r="N314" s="27">
        <f t="shared" si="10"/>
        <v>0.3452353543</v>
      </c>
      <c r="O314" s="24"/>
      <c r="P314" s="24"/>
      <c r="Q314" s="24"/>
      <c r="R314" s="26"/>
      <c r="S314" s="14">
        <f t="shared" si="13"/>
        <v>0.31702829</v>
      </c>
      <c r="U314" s="21"/>
      <c r="V314" s="21"/>
    </row>
    <row r="315">
      <c r="A315" s="11">
        <v>303.0</v>
      </c>
      <c r="B315" s="11">
        <v>1.42071304347826E9</v>
      </c>
      <c r="C315" s="2">
        <v>-102.2821045</v>
      </c>
      <c r="D315" s="24">
        <f t="shared" si="1"/>
        <v>313043.4783</v>
      </c>
      <c r="E315" s="25">
        <f t="shared" si="2"/>
        <v>-67.03561764</v>
      </c>
      <c r="F315" s="24">
        <f t="shared" si="3"/>
        <v>0.0002141415564</v>
      </c>
      <c r="G315" s="24">
        <f t="shared" si="4"/>
        <v>0</v>
      </c>
      <c r="H315" s="26">
        <f t="shared" si="5"/>
        <v>0</v>
      </c>
      <c r="I315" s="24">
        <f t="shared" si="6"/>
        <v>0</v>
      </c>
      <c r="J315" s="24">
        <f t="shared" si="7"/>
        <v>0</v>
      </c>
      <c r="K315" s="24"/>
      <c r="L315" s="24">
        <f t="shared" si="8"/>
        <v>449.6718669</v>
      </c>
      <c r="M315" s="30">
        <f t="shared" si="9"/>
        <v>442.6214166</v>
      </c>
      <c r="N315" s="27">
        <f t="shared" si="10"/>
        <v>7.050450295</v>
      </c>
      <c r="O315" s="24"/>
      <c r="P315" s="24"/>
      <c r="Q315" s="24"/>
      <c r="R315" s="26"/>
      <c r="S315" s="14">
        <f t="shared" si="13"/>
        <v>6.47440124</v>
      </c>
      <c r="U315" s="21"/>
      <c r="V315" s="21"/>
    </row>
    <row r="316">
      <c r="A316" s="11">
        <v>304.0</v>
      </c>
      <c r="B316" s="11">
        <v>1.42071739130434E9</v>
      </c>
      <c r="C316" s="2">
        <v>-102.3136139</v>
      </c>
      <c r="D316" s="24">
        <f t="shared" si="1"/>
        <v>317391.3043</v>
      </c>
      <c r="E316" s="25">
        <f t="shared" si="2"/>
        <v>-67.95391378</v>
      </c>
      <c r="F316" s="24">
        <f t="shared" si="3"/>
        <v>0.0002141013722</v>
      </c>
      <c r="G316" s="24">
        <f t="shared" si="4"/>
        <v>0</v>
      </c>
      <c r="H316" s="26">
        <f t="shared" si="5"/>
        <v>0</v>
      </c>
      <c r="I316" s="24">
        <f t="shared" si="6"/>
        <v>0</v>
      </c>
      <c r="J316" s="24">
        <f t="shared" si="7"/>
        <v>0</v>
      </c>
      <c r="K316" s="24"/>
      <c r="L316" s="24">
        <f t="shared" si="8"/>
        <v>446.4211659</v>
      </c>
      <c r="M316" s="30">
        <f t="shared" si="9"/>
        <v>442.5122945</v>
      </c>
      <c r="N316" s="27">
        <f t="shared" si="10"/>
        <v>3.908871416</v>
      </c>
      <c r="O316" s="24"/>
      <c r="P316" s="24"/>
      <c r="Q316" s="24"/>
      <c r="R316" s="26"/>
      <c r="S316" s="14">
        <f t="shared" si="13"/>
        <v>3.589501505</v>
      </c>
      <c r="U316" s="21"/>
      <c r="V316" s="21"/>
    </row>
    <row r="317">
      <c r="A317" s="11">
        <v>305.0</v>
      </c>
      <c r="B317" s="11">
        <v>1.42072173913043E9</v>
      </c>
      <c r="C317" s="2">
        <v>-102.2594147</v>
      </c>
      <c r="D317" s="24">
        <f t="shared" si="1"/>
        <v>321739.1304</v>
      </c>
      <c r="E317" s="25">
        <f t="shared" si="2"/>
        <v>-68.87220991</v>
      </c>
      <c r="F317" s="24">
        <f t="shared" si="3"/>
        <v>0.000214062274</v>
      </c>
      <c r="G317" s="24">
        <f t="shared" si="4"/>
        <v>0</v>
      </c>
      <c r="H317" s="26">
        <f t="shared" si="5"/>
        <v>0</v>
      </c>
      <c r="I317" s="24">
        <f t="shared" si="6"/>
        <v>0</v>
      </c>
      <c r="J317" s="24">
        <f t="shared" si="7"/>
        <v>0</v>
      </c>
      <c r="K317" s="24"/>
      <c r="L317" s="24">
        <f t="shared" si="8"/>
        <v>452.0273341</v>
      </c>
      <c r="M317" s="30">
        <f t="shared" si="9"/>
        <v>442.4030323</v>
      </c>
      <c r="N317" s="27">
        <f t="shared" si="10"/>
        <v>9.624301809</v>
      </c>
      <c r="O317" s="24"/>
      <c r="P317" s="24"/>
      <c r="Q317" s="24"/>
      <c r="R317" s="26"/>
      <c r="S317" s="14">
        <f t="shared" si="13"/>
        <v>8.837959111</v>
      </c>
      <c r="U317" s="21"/>
      <c r="V317" s="21"/>
    </row>
    <row r="318">
      <c r="A318" s="11">
        <v>306.0</v>
      </c>
      <c r="B318" s="11">
        <v>1.42072608695652E9</v>
      </c>
      <c r="C318" s="2">
        <v>-102.2716293</v>
      </c>
      <c r="D318" s="24">
        <f t="shared" si="1"/>
        <v>326086.9565</v>
      </c>
      <c r="E318" s="25">
        <f t="shared" si="2"/>
        <v>-69.79050604</v>
      </c>
      <c r="F318" s="24">
        <f t="shared" si="3"/>
        <v>0.0002140242185</v>
      </c>
      <c r="G318" s="24">
        <f t="shared" si="4"/>
        <v>0</v>
      </c>
      <c r="H318" s="26">
        <f t="shared" si="5"/>
        <v>0</v>
      </c>
      <c r="I318" s="24">
        <f t="shared" si="6"/>
        <v>0</v>
      </c>
      <c r="J318" s="24">
        <f t="shared" si="7"/>
        <v>0</v>
      </c>
      <c r="K318" s="24"/>
      <c r="L318" s="24">
        <f t="shared" si="8"/>
        <v>450.7577863</v>
      </c>
      <c r="M318" s="30">
        <f t="shared" si="9"/>
        <v>442.29363</v>
      </c>
      <c r="N318" s="27">
        <f t="shared" si="10"/>
        <v>8.464156256</v>
      </c>
      <c r="O318" s="24"/>
      <c r="P318" s="24"/>
      <c r="Q318" s="24"/>
      <c r="R318" s="26"/>
      <c r="S318" s="14">
        <f t="shared" si="13"/>
        <v>7.772601957</v>
      </c>
      <c r="U318" s="21"/>
      <c r="V318" s="21"/>
    </row>
    <row r="319">
      <c r="A319" s="11">
        <v>307.0</v>
      </c>
      <c r="B319" s="11">
        <v>1.4207304347826E9</v>
      </c>
      <c r="C319" s="2">
        <v>-102.3052368</v>
      </c>
      <c r="D319" s="24">
        <f t="shared" si="1"/>
        <v>330434.7826</v>
      </c>
      <c r="E319" s="25">
        <f t="shared" si="2"/>
        <v>-70.70880217</v>
      </c>
      <c r="F319" s="24">
        <f t="shared" si="3"/>
        <v>0.0002139871645</v>
      </c>
      <c r="G319" s="24">
        <f t="shared" si="4"/>
        <v>0</v>
      </c>
      <c r="H319" s="26">
        <f t="shared" si="5"/>
        <v>0</v>
      </c>
      <c r="I319" s="24">
        <f t="shared" si="6"/>
        <v>0</v>
      </c>
      <c r="J319" s="24">
        <f t="shared" si="7"/>
        <v>0</v>
      </c>
      <c r="K319" s="24"/>
      <c r="L319" s="24">
        <f t="shared" si="8"/>
        <v>447.2830981</v>
      </c>
      <c r="M319" s="30">
        <f t="shared" si="9"/>
        <v>442.184088</v>
      </c>
      <c r="N319" s="27">
        <f t="shared" si="10"/>
        <v>5.099010108</v>
      </c>
      <c r="O319" s="24"/>
      <c r="P319" s="24"/>
      <c r="Q319" s="24"/>
      <c r="R319" s="26"/>
      <c r="S319" s="14">
        <f t="shared" si="13"/>
        <v>4.682401263</v>
      </c>
      <c r="U319" s="21"/>
      <c r="V319" s="21"/>
    </row>
    <row r="320">
      <c r="A320" s="11">
        <v>308.0</v>
      </c>
      <c r="B320" s="11">
        <v>1.42073478260869E9</v>
      </c>
      <c r="C320" s="2">
        <v>-102.2415161</v>
      </c>
      <c r="D320" s="24">
        <f t="shared" si="1"/>
        <v>334782.6087</v>
      </c>
      <c r="E320" s="25">
        <f t="shared" si="2"/>
        <v>-71.62709831</v>
      </c>
      <c r="F320" s="24">
        <f t="shared" si="3"/>
        <v>0.0002139510729</v>
      </c>
      <c r="G320" s="24">
        <f t="shared" si="4"/>
        <v>0</v>
      </c>
      <c r="H320" s="26">
        <f t="shared" si="5"/>
        <v>0</v>
      </c>
      <c r="I320" s="24">
        <f t="shared" si="6"/>
        <v>0</v>
      </c>
      <c r="J320" s="24">
        <f t="shared" si="7"/>
        <v>0</v>
      </c>
      <c r="K320" s="24"/>
      <c r="L320" s="24">
        <f t="shared" si="8"/>
        <v>453.8941207</v>
      </c>
      <c r="M320" s="30">
        <f t="shared" si="9"/>
        <v>442.0744062</v>
      </c>
      <c r="N320" s="27">
        <f t="shared" si="10"/>
        <v>11.81971454</v>
      </c>
      <c r="O320" s="24"/>
      <c r="P320" s="24"/>
      <c r="Q320" s="24"/>
      <c r="R320" s="26"/>
      <c r="S320" s="14">
        <f t="shared" si="13"/>
        <v>10.85399815</v>
      </c>
      <c r="U320" s="21"/>
      <c r="V320" s="21"/>
    </row>
    <row r="321">
      <c r="A321" s="11">
        <v>309.0</v>
      </c>
      <c r="B321" s="11">
        <v>1.42073913043478E9</v>
      </c>
      <c r="C321" s="2">
        <v>-102.2958908</v>
      </c>
      <c r="D321" s="24">
        <f t="shared" si="1"/>
        <v>339130.4348</v>
      </c>
      <c r="E321" s="25">
        <f t="shared" si="2"/>
        <v>-72.54539444</v>
      </c>
      <c r="F321" s="24">
        <f t="shared" si="3"/>
        <v>0.0002139159067</v>
      </c>
      <c r="G321" s="24">
        <f t="shared" si="4"/>
        <v>0</v>
      </c>
      <c r="H321" s="26">
        <f t="shared" si="5"/>
        <v>0</v>
      </c>
      <c r="I321" s="24">
        <f t="shared" si="6"/>
        <v>0</v>
      </c>
      <c r="J321" s="24">
        <f t="shared" si="7"/>
        <v>0</v>
      </c>
      <c r="K321" s="24"/>
      <c r="L321" s="24">
        <f t="shared" si="8"/>
        <v>448.246686</v>
      </c>
      <c r="M321" s="30">
        <f t="shared" si="9"/>
        <v>441.9645848</v>
      </c>
      <c r="N321" s="27">
        <f t="shared" si="10"/>
        <v>6.282101145</v>
      </c>
      <c r="O321" s="24"/>
      <c r="P321" s="24"/>
      <c r="Q321" s="24"/>
      <c r="R321" s="26"/>
      <c r="S321" s="14">
        <f t="shared" si="13"/>
        <v>5.768829174</v>
      </c>
      <c r="U321" s="21"/>
      <c r="V321" s="21"/>
    </row>
    <row r="322">
      <c r="A322" s="11">
        <v>310.0</v>
      </c>
      <c r="B322" s="11">
        <v>1.42074347826087E9</v>
      </c>
      <c r="C322" s="2">
        <v>-102.3413544</v>
      </c>
      <c r="D322" s="24">
        <f t="shared" si="1"/>
        <v>343478.2609</v>
      </c>
      <c r="E322" s="25">
        <f t="shared" si="2"/>
        <v>-73.46369057</v>
      </c>
      <c r="F322" s="24">
        <f t="shared" si="3"/>
        <v>0.0002138816308</v>
      </c>
      <c r="G322" s="24">
        <f t="shared" si="4"/>
        <v>0</v>
      </c>
      <c r="H322" s="26">
        <f t="shared" si="5"/>
        <v>0</v>
      </c>
      <c r="I322" s="24">
        <f t="shared" si="6"/>
        <v>0</v>
      </c>
      <c r="J322" s="24">
        <f t="shared" si="7"/>
        <v>0</v>
      </c>
      <c r="K322" s="24"/>
      <c r="L322" s="24">
        <f t="shared" si="8"/>
        <v>443.5787445</v>
      </c>
      <c r="M322" s="30">
        <f t="shared" si="9"/>
        <v>441.854624</v>
      </c>
      <c r="N322" s="27">
        <f t="shared" si="10"/>
        <v>1.72412047</v>
      </c>
      <c r="O322" s="24"/>
      <c r="P322" s="24"/>
      <c r="Q322" s="24"/>
      <c r="R322" s="26"/>
      <c r="S322" s="14">
        <f t="shared" si="13"/>
        <v>1.58325316</v>
      </c>
      <c r="U322" s="21"/>
      <c r="V322" s="21"/>
    </row>
    <row r="323">
      <c r="A323" s="11">
        <v>311.0</v>
      </c>
      <c r="B323" s="11">
        <v>1.42074782608695E9</v>
      </c>
      <c r="C323" s="2">
        <v>-102.3293457</v>
      </c>
      <c r="D323" s="24">
        <f t="shared" si="1"/>
        <v>347826.087</v>
      </c>
      <c r="E323" s="25">
        <f t="shared" si="2"/>
        <v>-74.3819867</v>
      </c>
      <c r="F323" s="24">
        <f t="shared" si="3"/>
        <v>0.0002138482118</v>
      </c>
      <c r="G323" s="24">
        <f t="shared" si="4"/>
        <v>0</v>
      </c>
      <c r="H323" s="26">
        <f t="shared" si="5"/>
        <v>0</v>
      </c>
      <c r="I323" s="24">
        <f t="shared" si="6"/>
        <v>0</v>
      </c>
      <c r="J323" s="24">
        <f t="shared" si="7"/>
        <v>0</v>
      </c>
      <c r="K323" s="24"/>
      <c r="L323" s="24">
        <f t="shared" si="8"/>
        <v>444.8069838</v>
      </c>
      <c r="M323" s="30">
        <f t="shared" si="9"/>
        <v>441.744524</v>
      </c>
      <c r="N323" s="27">
        <f t="shared" si="10"/>
        <v>3.062459835</v>
      </c>
      <c r="O323" s="24"/>
      <c r="P323" s="24"/>
      <c r="Q323" s="24"/>
      <c r="R323" s="26"/>
      <c r="S323" s="14">
        <f t="shared" si="13"/>
        <v>2.812245024</v>
      </c>
      <c r="U323" s="21"/>
      <c r="V323" s="21"/>
    </row>
    <row r="324">
      <c r="A324" s="11">
        <v>312.0</v>
      </c>
      <c r="B324" s="11">
        <v>1.42075217391304E9</v>
      </c>
      <c r="C324" s="2">
        <v>-102.3480759</v>
      </c>
      <c r="D324" s="24">
        <f t="shared" si="1"/>
        <v>352173.913</v>
      </c>
      <c r="E324" s="25">
        <f t="shared" si="2"/>
        <v>-75.30028284</v>
      </c>
      <c r="F324" s="24">
        <f t="shared" si="3"/>
        <v>0.0002138156179</v>
      </c>
      <c r="G324" s="24">
        <f t="shared" si="4"/>
        <v>0</v>
      </c>
      <c r="H324" s="26">
        <f t="shared" si="5"/>
        <v>0</v>
      </c>
      <c r="I324" s="24">
        <f t="shared" si="6"/>
        <v>0</v>
      </c>
      <c r="J324" s="24">
        <f t="shared" si="7"/>
        <v>0</v>
      </c>
      <c r="K324" s="24"/>
      <c r="L324" s="24">
        <f t="shared" si="8"/>
        <v>442.8927564</v>
      </c>
      <c r="M324" s="30">
        <f t="shared" si="9"/>
        <v>441.6342847</v>
      </c>
      <c r="N324" s="27">
        <f t="shared" si="10"/>
        <v>1.258471669</v>
      </c>
      <c r="O324" s="24"/>
      <c r="P324" s="24"/>
      <c r="Q324" s="24"/>
      <c r="R324" s="26"/>
      <c r="S324" s="14">
        <f t="shared" si="13"/>
        <v>1.155649665</v>
      </c>
      <c r="U324" s="21"/>
      <c r="V324" s="21"/>
    </row>
    <row r="325">
      <c r="A325" s="11">
        <v>313.0</v>
      </c>
      <c r="B325" s="11">
        <v>1.42075652173913E9</v>
      </c>
      <c r="C325" s="2">
        <v>-102.3395691</v>
      </c>
      <c r="D325" s="24">
        <f t="shared" si="1"/>
        <v>356521.7391</v>
      </c>
      <c r="E325" s="25">
        <f t="shared" si="2"/>
        <v>-76.21857897</v>
      </c>
      <c r="F325" s="24">
        <f t="shared" si="3"/>
        <v>0.0002137838191</v>
      </c>
      <c r="G325" s="24">
        <f t="shared" si="4"/>
        <v>0</v>
      </c>
      <c r="H325" s="26">
        <f t="shared" si="5"/>
        <v>0</v>
      </c>
      <c r="I325" s="24">
        <f t="shared" si="6"/>
        <v>0</v>
      </c>
      <c r="J325" s="24">
        <f t="shared" si="7"/>
        <v>0</v>
      </c>
      <c r="K325" s="24"/>
      <c r="L325" s="24">
        <f t="shared" si="8"/>
        <v>443.7611286</v>
      </c>
      <c r="M325" s="30">
        <f t="shared" si="9"/>
        <v>441.5239065</v>
      </c>
      <c r="N325" s="27">
        <f t="shared" si="10"/>
        <v>2.237222084</v>
      </c>
      <c r="O325" s="24"/>
      <c r="P325" s="24"/>
      <c r="Q325" s="24"/>
      <c r="R325" s="26"/>
      <c r="S325" s="14">
        <f t="shared" si="13"/>
        <v>2.054432387</v>
      </c>
      <c r="U325" s="21"/>
      <c r="V325" s="21"/>
    </row>
    <row r="326">
      <c r="A326" s="11">
        <v>314.0</v>
      </c>
      <c r="B326" s="11">
        <v>1.42076086956521E9</v>
      </c>
      <c r="C326" s="2">
        <v>-102.2917404</v>
      </c>
      <c r="D326" s="24">
        <f t="shared" si="1"/>
        <v>360869.5652</v>
      </c>
      <c r="E326" s="25">
        <f t="shared" si="2"/>
        <v>-77.1368751</v>
      </c>
      <c r="F326" s="24">
        <f t="shared" si="3"/>
        <v>0.0002137527864</v>
      </c>
      <c r="G326" s="24">
        <f t="shared" si="4"/>
        <v>0</v>
      </c>
      <c r="H326" s="26">
        <f t="shared" si="5"/>
        <v>0</v>
      </c>
      <c r="I326" s="24">
        <f t="shared" si="6"/>
        <v>0</v>
      </c>
      <c r="J326" s="24">
        <f t="shared" si="7"/>
        <v>0</v>
      </c>
      <c r="K326" s="24"/>
      <c r="L326" s="24">
        <f t="shared" si="8"/>
        <v>448.6752644</v>
      </c>
      <c r="M326" s="30">
        <f t="shared" si="9"/>
        <v>441.4133894</v>
      </c>
      <c r="N326" s="27">
        <f t="shared" si="10"/>
        <v>7.261874983</v>
      </c>
      <c r="O326" s="24"/>
      <c r="P326" s="24"/>
      <c r="Q326" s="24"/>
      <c r="R326" s="26"/>
      <c r="S326" s="14">
        <f t="shared" si="13"/>
        <v>6.668551714</v>
      </c>
      <c r="U326" s="21"/>
      <c r="V326" s="21"/>
    </row>
    <row r="327">
      <c r="A327" s="11">
        <v>315.0</v>
      </c>
      <c r="B327" s="11">
        <v>1.4207652173913E9</v>
      </c>
      <c r="C327" s="2">
        <v>-102.3552017</v>
      </c>
      <c r="D327" s="24">
        <f t="shared" si="1"/>
        <v>365217.3913</v>
      </c>
      <c r="E327" s="25">
        <f t="shared" si="2"/>
        <v>-78.05517123</v>
      </c>
      <c r="F327" s="24">
        <f t="shared" si="3"/>
        <v>0.0002137224927</v>
      </c>
      <c r="G327" s="24">
        <f t="shared" si="4"/>
        <v>0</v>
      </c>
      <c r="H327" s="26">
        <f t="shared" si="5"/>
        <v>0</v>
      </c>
      <c r="I327" s="24">
        <f t="shared" si="6"/>
        <v>0</v>
      </c>
      <c r="J327" s="24">
        <f t="shared" si="7"/>
        <v>0</v>
      </c>
      <c r="K327" s="24"/>
      <c r="L327" s="24">
        <f t="shared" si="8"/>
        <v>442.1666644</v>
      </c>
      <c r="M327" s="30">
        <f t="shared" si="9"/>
        <v>441.3027335</v>
      </c>
      <c r="N327" s="27">
        <f t="shared" si="10"/>
        <v>0.8639308673</v>
      </c>
      <c r="O327" s="24"/>
      <c r="P327" s="24"/>
      <c r="Q327" s="24"/>
      <c r="R327" s="26"/>
      <c r="S327" s="14">
        <f t="shared" si="13"/>
        <v>0.7933443726</v>
      </c>
      <c r="U327" s="21"/>
      <c r="V327" s="21"/>
    </row>
    <row r="328">
      <c r="A328" s="11">
        <v>316.0</v>
      </c>
      <c r="B328" s="11">
        <v>1.42076956521739E9</v>
      </c>
      <c r="C328" s="2">
        <v>-102.3651505</v>
      </c>
      <c r="D328" s="24">
        <f t="shared" si="1"/>
        <v>369565.2174</v>
      </c>
      <c r="E328" s="25">
        <f t="shared" si="2"/>
        <v>-78.97346736</v>
      </c>
      <c r="F328" s="24">
        <f t="shared" si="3"/>
        <v>0.0002136929117</v>
      </c>
      <c r="G328" s="24">
        <f t="shared" si="4"/>
        <v>0</v>
      </c>
      <c r="H328" s="26">
        <f t="shared" si="5"/>
        <v>0</v>
      </c>
      <c r="I328" s="24">
        <f t="shared" si="6"/>
        <v>0</v>
      </c>
      <c r="J328" s="24">
        <f t="shared" si="7"/>
        <v>0</v>
      </c>
      <c r="K328" s="24"/>
      <c r="L328" s="24">
        <f t="shared" si="8"/>
        <v>441.1549101</v>
      </c>
      <c r="M328" s="30">
        <f t="shared" si="9"/>
        <v>441.1919391</v>
      </c>
      <c r="N328" s="27">
        <f t="shared" si="10"/>
        <v>-0.03702895423</v>
      </c>
      <c r="O328" s="24"/>
      <c r="P328" s="24"/>
      <c r="Q328" s="24"/>
      <c r="R328" s="26"/>
      <c r="S328" s="14">
        <f t="shared" si="13"/>
        <v>-0.03400354548</v>
      </c>
      <c r="U328" s="21"/>
      <c r="V328" s="21"/>
    </row>
    <row r="329">
      <c r="A329" s="11">
        <v>317.0</v>
      </c>
      <c r="B329" s="11">
        <v>1.42077391304347E9</v>
      </c>
      <c r="C329" s="2">
        <v>-102.383667</v>
      </c>
      <c r="D329" s="24">
        <f t="shared" si="1"/>
        <v>373913.0435</v>
      </c>
      <c r="E329" s="25">
        <f t="shared" si="2"/>
        <v>-79.89176349</v>
      </c>
      <c r="F329" s="24">
        <f t="shared" si="3"/>
        <v>0.0002136640187</v>
      </c>
      <c r="G329" s="24">
        <f t="shared" si="4"/>
        <v>0</v>
      </c>
      <c r="H329" s="26">
        <f t="shared" si="5"/>
        <v>0</v>
      </c>
      <c r="I329" s="24">
        <f t="shared" si="6"/>
        <v>0</v>
      </c>
      <c r="J329" s="24">
        <f t="shared" si="7"/>
        <v>0</v>
      </c>
      <c r="K329" s="24"/>
      <c r="L329" s="24">
        <f t="shared" si="8"/>
        <v>439.2780141</v>
      </c>
      <c r="M329" s="30">
        <f t="shared" si="9"/>
        <v>441.0810062</v>
      </c>
      <c r="N329" s="27">
        <f t="shared" si="10"/>
        <v>-1.802992067</v>
      </c>
      <c r="O329" s="24"/>
      <c r="P329" s="24"/>
      <c r="Q329" s="24"/>
      <c r="R329" s="26"/>
      <c r="S329" s="14">
        <f t="shared" si="13"/>
        <v>-1.655680643</v>
      </c>
      <c r="U329" s="21"/>
      <c r="V329" s="21"/>
    </row>
    <row r="330">
      <c r="A330" s="11">
        <v>318.0</v>
      </c>
      <c r="B330" s="11">
        <v>1.42077826086956E9</v>
      </c>
      <c r="C330" s="2">
        <v>-102.2835388</v>
      </c>
      <c r="D330" s="24">
        <f t="shared" si="1"/>
        <v>378260.8696</v>
      </c>
      <c r="E330" s="25">
        <f t="shared" si="2"/>
        <v>-80.81005963</v>
      </c>
      <c r="F330" s="24">
        <f t="shared" si="3"/>
        <v>0.0002136357898</v>
      </c>
      <c r="G330" s="24">
        <f t="shared" si="4"/>
        <v>0</v>
      </c>
      <c r="H330" s="26">
        <f t="shared" si="5"/>
        <v>0</v>
      </c>
      <c r="I330" s="24">
        <f t="shared" si="6"/>
        <v>0</v>
      </c>
      <c r="J330" s="24">
        <f t="shared" si="7"/>
        <v>0</v>
      </c>
      <c r="K330" s="24"/>
      <c r="L330" s="24">
        <f t="shared" si="8"/>
        <v>449.5233829</v>
      </c>
      <c r="M330" s="30">
        <f t="shared" si="9"/>
        <v>440.969935</v>
      </c>
      <c r="N330" s="27">
        <f t="shared" si="10"/>
        <v>8.553447877</v>
      </c>
      <c r="O330" s="24"/>
      <c r="P330" s="24"/>
      <c r="Q330" s="24"/>
      <c r="R330" s="26"/>
      <c r="S330" s="14">
        <f t="shared" si="13"/>
        <v>7.854598089</v>
      </c>
      <c r="U330" s="21"/>
      <c r="V330" s="21"/>
    </row>
    <row r="331">
      <c r="A331" s="11">
        <v>319.0</v>
      </c>
      <c r="B331" s="11">
        <v>1.42078260869565E9</v>
      </c>
      <c r="C331" s="2">
        <v>-102.3207626</v>
      </c>
      <c r="D331" s="24">
        <f t="shared" si="1"/>
        <v>382608.6957</v>
      </c>
      <c r="E331" s="25">
        <f t="shared" si="2"/>
        <v>-81.72835576</v>
      </c>
      <c r="F331" s="24">
        <f t="shared" si="3"/>
        <v>0.0002136082026</v>
      </c>
      <c r="G331" s="24">
        <f t="shared" si="4"/>
        <v>0</v>
      </c>
      <c r="H331" s="26">
        <f t="shared" si="5"/>
        <v>0</v>
      </c>
      <c r="I331" s="24">
        <f t="shared" si="6"/>
        <v>0</v>
      </c>
      <c r="J331" s="24">
        <f t="shared" si="7"/>
        <v>0</v>
      </c>
      <c r="K331" s="24"/>
      <c r="L331" s="24">
        <f t="shared" si="8"/>
        <v>445.6869393</v>
      </c>
      <c r="M331" s="30">
        <f t="shared" si="9"/>
        <v>440.8587256</v>
      </c>
      <c r="N331" s="27">
        <f t="shared" si="10"/>
        <v>4.828213621</v>
      </c>
      <c r="O331" s="24"/>
      <c r="P331" s="24"/>
      <c r="Q331" s="24"/>
      <c r="R331" s="26"/>
      <c r="S331" s="14">
        <f t="shared" si="13"/>
        <v>4.433729896</v>
      </c>
      <c r="U331" s="21"/>
      <c r="V331" s="21"/>
    </row>
    <row r="332">
      <c r="A332" s="11">
        <v>320.0</v>
      </c>
      <c r="B332" s="11">
        <v>1.42078695652173E9</v>
      </c>
      <c r="C332" s="2">
        <v>-102.295433</v>
      </c>
      <c r="D332" s="24">
        <f t="shared" si="1"/>
        <v>386956.5217</v>
      </c>
      <c r="E332" s="25">
        <f t="shared" si="2"/>
        <v>-82.64665189</v>
      </c>
      <c r="F332" s="24">
        <f t="shared" si="3"/>
        <v>0.0002135812352</v>
      </c>
      <c r="G332" s="24">
        <f t="shared" si="4"/>
        <v>0</v>
      </c>
      <c r="H332" s="26">
        <f t="shared" si="5"/>
        <v>0</v>
      </c>
      <c r="I332" s="24">
        <f t="shared" si="6"/>
        <v>0</v>
      </c>
      <c r="J332" s="24">
        <f t="shared" si="7"/>
        <v>0</v>
      </c>
      <c r="K332" s="24"/>
      <c r="L332" s="24">
        <f t="shared" si="8"/>
        <v>448.2939392</v>
      </c>
      <c r="M332" s="30">
        <f t="shared" si="9"/>
        <v>440.7473782</v>
      </c>
      <c r="N332" s="27">
        <f t="shared" si="10"/>
        <v>7.546560982</v>
      </c>
      <c r="O332" s="24"/>
      <c r="P332" s="24"/>
      <c r="Q332" s="24"/>
      <c r="R332" s="26"/>
      <c r="S332" s="14">
        <f t="shared" si="13"/>
        <v>6.929977765</v>
      </c>
      <c r="U332" s="21"/>
      <c r="V332" s="21"/>
    </row>
    <row r="333">
      <c r="A333" s="11">
        <v>321.0</v>
      </c>
      <c r="B333" s="11">
        <v>1.42079130434782E9</v>
      </c>
      <c r="C333" s="2">
        <v>-102.3677139</v>
      </c>
      <c r="D333" s="24">
        <f t="shared" si="1"/>
        <v>391304.3478</v>
      </c>
      <c r="E333" s="25">
        <f t="shared" si="2"/>
        <v>-83.56494802</v>
      </c>
      <c r="F333" s="24">
        <f t="shared" si="3"/>
        <v>0.0002135548672</v>
      </c>
      <c r="G333" s="24">
        <f t="shared" si="4"/>
        <v>0</v>
      </c>
      <c r="H333" s="26">
        <f t="shared" si="5"/>
        <v>0</v>
      </c>
      <c r="I333" s="24">
        <f t="shared" si="6"/>
        <v>0</v>
      </c>
      <c r="J333" s="24">
        <f t="shared" si="7"/>
        <v>0</v>
      </c>
      <c r="K333" s="24"/>
      <c r="L333" s="24">
        <f t="shared" si="8"/>
        <v>440.8945976</v>
      </c>
      <c r="M333" s="30">
        <f t="shared" si="9"/>
        <v>440.6358929</v>
      </c>
      <c r="N333" s="27">
        <f t="shared" si="10"/>
        <v>0.2587047258</v>
      </c>
      <c r="O333" s="24"/>
      <c r="P333" s="24"/>
      <c r="Q333" s="24"/>
      <c r="R333" s="26"/>
      <c r="S333" s="14">
        <f t="shared" si="13"/>
        <v>0.2375675493</v>
      </c>
      <c r="U333" s="21"/>
      <c r="V333" s="21"/>
    </row>
    <row r="334">
      <c r="A334" s="11">
        <v>322.0</v>
      </c>
      <c r="B334" s="11">
        <v>1.42079565217391E9</v>
      </c>
      <c r="C334" s="2">
        <v>-102.2771683</v>
      </c>
      <c r="D334" s="24">
        <f t="shared" si="1"/>
        <v>395652.1739</v>
      </c>
      <c r="E334" s="25">
        <f t="shared" si="2"/>
        <v>-84.48324416</v>
      </c>
      <c r="F334" s="24">
        <f t="shared" si="3"/>
        <v>0.0002135290786</v>
      </c>
      <c r="G334" s="24">
        <f t="shared" si="4"/>
        <v>0</v>
      </c>
      <c r="H334" s="26">
        <f t="shared" si="5"/>
        <v>0</v>
      </c>
      <c r="I334" s="24">
        <f t="shared" si="6"/>
        <v>0</v>
      </c>
      <c r="J334" s="24">
        <f t="shared" si="7"/>
        <v>0</v>
      </c>
      <c r="K334" s="24"/>
      <c r="L334" s="24">
        <f t="shared" si="8"/>
        <v>450.1832554</v>
      </c>
      <c r="M334" s="30">
        <f t="shared" si="9"/>
        <v>440.5242699</v>
      </c>
      <c r="N334" s="27">
        <f t="shared" si="10"/>
        <v>9.658985564</v>
      </c>
      <c r="O334" s="24"/>
      <c r="P334" s="24"/>
      <c r="Q334" s="24"/>
      <c r="R334" s="26"/>
      <c r="S334" s="14">
        <f t="shared" si="13"/>
        <v>8.86980907</v>
      </c>
      <c r="U334" s="21"/>
      <c r="V334" s="21"/>
    </row>
    <row r="335">
      <c r="A335" s="11">
        <v>323.0</v>
      </c>
      <c r="B335" s="11">
        <v>1.4208E9</v>
      </c>
      <c r="C335" s="2">
        <v>-102.2949066</v>
      </c>
      <c r="D335" s="24">
        <f t="shared" si="1"/>
        <v>400000</v>
      </c>
      <c r="E335" s="25">
        <f t="shared" si="2"/>
        <v>-85.40154029</v>
      </c>
      <c r="F335" s="24">
        <f t="shared" si="3"/>
        <v>0.0002135038507</v>
      </c>
      <c r="G335" s="24">
        <f t="shared" si="4"/>
        <v>0</v>
      </c>
      <c r="H335" s="26">
        <f t="shared" si="5"/>
        <v>0</v>
      </c>
      <c r="I335" s="24">
        <f t="shared" si="6"/>
        <v>0</v>
      </c>
      <c r="J335" s="24">
        <f t="shared" si="7"/>
        <v>0</v>
      </c>
      <c r="K335" s="24"/>
      <c r="L335" s="24">
        <f t="shared" si="8"/>
        <v>448.3482793</v>
      </c>
      <c r="M335" s="30">
        <f t="shared" si="9"/>
        <v>440.4125092</v>
      </c>
      <c r="N335" s="27">
        <f t="shared" si="10"/>
        <v>7.935770147</v>
      </c>
      <c r="O335" s="24"/>
      <c r="P335" s="24"/>
      <c r="Q335" s="24"/>
      <c r="R335" s="26"/>
      <c r="S335" s="14">
        <f t="shared" si="13"/>
        <v>7.287387036</v>
      </c>
      <c r="U335" s="21"/>
      <c r="V335" s="21"/>
    </row>
    <row r="336">
      <c r="A336" s="11">
        <v>324.0</v>
      </c>
      <c r="B336" s="11">
        <v>1.42080434782608E9</v>
      </c>
      <c r="C336" s="2">
        <v>-102.3196793</v>
      </c>
      <c r="D336" s="24">
        <f t="shared" si="1"/>
        <v>404347.8261</v>
      </c>
      <c r="E336" s="25">
        <f t="shared" si="2"/>
        <v>-86.31983642</v>
      </c>
      <c r="F336" s="24">
        <f t="shared" si="3"/>
        <v>0.0002134791653</v>
      </c>
      <c r="G336" s="24">
        <f t="shared" si="4"/>
        <v>0</v>
      </c>
      <c r="H336" s="26">
        <f t="shared" si="5"/>
        <v>0</v>
      </c>
      <c r="I336" s="24">
        <f t="shared" si="6"/>
        <v>0</v>
      </c>
      <c r="J336" s="24">
        <f t="shared" si="7"/>
        <v>0</v>
      </c>
      <c r="K336" s="24"/>
      <c r="L336" s="24">
        <f t="shared" si="8"/>
        <v>445.7981248</v>
      </c>
      <c r="M336" s="30">
        <f t="shared" si="9"/>
        <v>440.3006111</v>
      </c>
      <c r="N336" s="27">
        <f t="shared" si="10"/>
        <v>5.497513786</v>
      </c>
      <c r="O336" s="24"/>
      <c r="P336" s="24"/>
      <c r="Q336" s="24"/>
      <c r="R336" s="26"/>
      <c r="S336" s="14">
        <f t="shared" si="13"/>
        <v>5.048345649</v>
      </c>
      <c r="U336" s="21"/>
      <c r="V336" s="21"/>
    </row>
    <row r="337">
      <c r="A337" s="11">
        <v>325.0</v>
      </c>
      <c r="B337" s="11">
        <v>1.42080869565217E9</v>
      </c>
      <c r="C337" s="2">
        <v>-102.3448181</v>
      </c>
      <c r="D337" s="24">
        <f t="shared" si="1"/>
        <v>408695.6522</v>
      </c>
      <c r="E337" s="25">
        <f t="shared" si="2"/>
        <v>-87.23813255</v>
      </c>
      <c r="F337" s="24">
        <f t="shared" si="3"/>
        <v>0.0002134550052</v>
      </c>
      <c r="G337" s="24">
        <f t="shared" si="4"/>
        <v>0</v>
      </c>
      <c r="H337" s="26">
        <f t="shared" si="5"/>
        <v>0</v>
      </c>
      <c r="I337" s="24">
        <f t="shared" si="6"/>
        <v>0</v>
      </c>
      <c r="J337" s="24">
        <f t="shared" si="7"/>
        <v>0</v>
      </c>
      <c r="K337" s="24"/>
      <c r="L337" s="24">
        <f t="shared" si="8"/>
        <v>443.2251109</v>
      </c>
      <c r="M337" s="30">
        <f t="shared" si="9"/>
        <v>440.1885756</v>
      </c>
      <c r="N337" s="27">
        <f t="shared" si="10"/>
        <v>3.036535344</v>
      </c>
      <c r="O337" s="24"/>
      <c r="P337" s="24"/>
      <c r="Q337" s="24"/>
      <c r="R337" s="26"/>
      <c r="S337" s="14">
        <f t="shared" si="13"/>
        <v>2.788438657</v>
      </c>
      <c r="U337" s="21"/>
      <c r="V337" s="21"/>
    </row>
    <row r="338">
      <c r="A338" s="11">
        <v>326.0</v>
      </c>
      <c r="B338" s="11">
        <v>1.42081304347826E9</v>
      </c>
      <c r="C338" s="2">
        <v>-102.3617172</v>
      </c>
      <c r="D338" s="24">
        <f t="shared" si="1"/>
        <v>413043.4783</v>
      </c>
      <c r="E338" s="25">
        <f t="shared" si="2"/>
        <v>-88.15642868</v>
      </c>
      <c r="F338" s="24">
        <f t="shared" si="3"/>
        <v>0.0002134313537</v>
      </c>
      <c r="G338" s="24">
        <f t="shared" si="4"/>
        <v>0</v>
      </c>
      <c r="H338" s="26">
        <f t="shared" si="5"/>
        <v>0</v>
      </c>
      <c r="I338" s="24">
        <f t="shared" si="6"/>
        <v>0</v>
      </c>
      <c r="J338" s="24">
        <f t="shared" si="7"/>
        <v>0</v>
      </c>
      <c r="K338" s="24"/>
      <c r="L338" s="24">
        <f t="shared" si="8"/>
        <v>441.5038015</v>
      </c>
      <c r="M338" s="30">
        <f t="shared" si="9"/>
        <v>440.0764029</v>
      </c>
      <c r="N338" s="27">
        <f t="shared" si="10"/>
        <v>1.427398611</v>
      </c>
      <c r="O338" s="24"/>
      <c r="P338" s="24"/>
      <c r="Q338" s="24"/>
      <c r="R338" s="26"/>
      <c r="S338" s="14">
        <f t="shared" si="13"/>
        <v>1.310774624</v>
      </c>
      <c r="U338" s="21"/>
      <c r="V338" s="21"/>
    </row>
    <row r="339">
      <c r="A339" s="11">
        <v>327.0</v>
      </c>
      <c r="B339" s="11">
        <v>1.42081739130434E9</v>
      </c>
      <c r="C339" s="2">
        <v>-102.4007416</v>
      </c>
      <c r="D339" s="24">
        <f t="shared" si="1"/>
        <v>417391.3043</v>
      </c>
      <c r="E339" s="25">
        <f t="shared" si="2"/>
        <v>-89.07472482</v>
      </c>
      <c r="F339" s="24">
        <f t="shared" si="3"/>
        <v>0.0002134081949</v>
      </c>
      <c r="G339" s="24">
        <f t="shared" si="4"/>
        <v>0</v>
      </c>
      <c r="H339" s="26">
        <f t="shared" si="5"/>
        <v>0</v>
      </c>
      <c r="I339" s="24">
        <f t="shared" si="6"/>
        <v>0</v>
      </c>
      <c r="J339" s="24">
        <f t="shared" si="7"/>
        <v>0</v>
      </c>
      <c r="K339" s="24"/>
      <c r="L339" s="24">
        <f t="shared" si="8"/>
        <v>437.5543516</v>
      </c>
      <c r="M339" s="30">
        <f t="shared" si="9"/>
        <v>439.9640932</v>
      </c>
      <c r="N339" s="27">
        <f t="shared" si="10"/>
        <v>-2.40974159</v>
      </c>
      <c r="O339" s="24"/>
      <c r="P339" s="24"/>
      <c r="Q339" s="24"/>
      <c r="R339" s="26"/>
      <c r="S339" s="14">
        <f t="shared" si="13"/>
        <v>-2.212856383</v>
      </c>
      <c r="U339" s="21"/>
      <c r="V339" s="21"/>
    </row>
    <row r="340">
      <c r="A340" s="11">
        <v>328.0</v>
      </c>
      <c r="B340" s="11">
        <v>1.42082173913043E9</v>
      </c>
      <c r="C340" s="2">
        <v>-102.4006348</v>
      </c>
      <c r="D340" s="24">
        <f t="shared" si="1"/>
        <v>421739.1304</v>
      </c>
      <c r="E340" s="25">
        <f t="shared" si="2"/>
        <v>-89.99302095</v>
      </c>
      <c r="F340" s="24">
        <f t="shared" si="3"/>
        <v>0.0002133855136</v>
      </c>
      <c r="G340" s="24">
        <f t="shared" si="4"/>
        <v>0</v>
      </c>
      <c r="H340" s="26">
        <f t="shared" si="5"/>
        <v>0</v>
      </c>
      <c r="I340" s="24">
        <f t="shared" si="6"/>
        <v>0</v>
      </c>
      <c r="J340" s="24">
        <f t="shared" si="7"/>
        <v>0</v>
      </c>
      <c r="K340" s="24"/>
      <c r="L340" s="24">
        <f t="shared" si="8"/>
        <v>437.5651119</v>
      </c>
      <c r="M340" s="30">
        <f t="shared" si="9"/>
        <v>439.8516466</v>
      </c>
      <c r="N340" s="27">
        <f t="shared" si="10"/>
        <v>-2.286534655</v>
      </c>
      <c r="O340" s="24"/>
      <c r="P340" s="24"/>
      <c r="Q340" s="24"/>
      <c r="R340" s="26"/>
      <c r="S340" s="14">
        <f t="shared" si="13"/>
        <v>-2.099715927</v>
      </c>
      <c r="U340" s="21"/>
      <c r="V340" s="21"/>
    </row>
    <row r="341">
      <c r="A341" s="11">
        <v>329.0</v>
      </c>
      <c r="B341" s="11">
        <v>1.42082608695652E9</v>
      </c>
      <c r="C341" s="2">
        <v>-102.378891</v>
      </c>
      <c r="D341" s="24">
        <f t="shared" si="1"/>
        <v>426086.9565</v>
      </c>
      <c r="E341" s="25">
        <f t="shared" si="2"/>
        <v>-90.91131708</v>
      </c>
      <c r="F341" s="24">
        <f t="shared" si="3"/>
        <v>0.0002133632952</v>
      </c>
      <c r="G341" s="24">
        <f t="shared" si="4"/>
        <v>0</v>
      </c>
      <c r="H341" s="26">
        <f t="shared" si="5"/>
        <v>0</v>
      </c>
      <c r="I341" s="24">
        <f t="shared" si="6"/>
        <v>0</v>
      </c>
      <c r="J341" s="24">
        <f t="shared" si="7"/>
        <v>0</v>
      </c>
      <c r="K341" s="24"/>
      <c r="L341" s="24">
        <f t="shared" si="8"/>
        <v>439.7613603</v>
      </c>
      <c r="M341" s="30">
        <f t="shared" si="9"/>
        <v>439.7390631</v>
      </c>
      <c r="N341" s="27">
        <f t="shared" si="10"/>
        <v>0.02229718751</v>
      </c>
      <c r="O341" s="24"/>
      <c r="P341" s="24"/>
      <c r="Q341" s="24"/>
      <c r="R341" s="26"/>
      <c r="S341" s="14">
        <f t="shared" si="13"/>
        <v>0.02047542106</v>
      </c>
      <c r="U341" s="21"/>
      <c r="V341" s="21"/>
    </row>
    <row r="342">
      <c r="A342" s="11">
        <v>330.0</v>
      </c>
      <c r="B342" s="11">
        <v>1.4208304347826E9</v>
      </c>
      <c r="C342" s="2">
        <v>-102.4112091</v>
      </c>
      <c r="D342" s="24">
        <f t="shared" si="1"/>
        <v>430434.7826</v>
      </c>
      <c r="E342" s="25">
        <f t="shared" si="2"/>
        <v>-91.82961321</v>
      </c>
      <c r="F342" s="24">
        <f t="shared" si="3"/>
        <v>0.0002133415256</v>
      </c>
      <c r="G342" s="24">
        <f t="shared" si="4"/>
        <v>0</v>
      </c>
      <c r="H342" s="26">
        <f t="shared" si="5"/>
        <v>0</v>
      </c>
      <c r="I342" s="24">
        <f t="shared" si="6"/>
        <v>0</v>
      </c>
      <c r="J342" s="24">
        <f t="shared" si="7"/>
        <v>0</v>
      </c>
      <c r="K342" s="24"/>
      <c r="L342" s="24">
        <f t="shared" si="8"/>
        <v>436.5010145</v>
      </c>
      <c r="M342" s="30">
        <f t="shared" si="9"/>
        <v>439.6263431</v>
      </c>
      <c r="N342" s="27">
        <f t="shared" si="10"/>
        <v>-3.125328633</v>
      </c>
      <c r="O342" s="24"/>
      <c r="P342" s="24"/>
      <c r="Q342" s="24"/>
      <c r="R342" s="26"/>
      <c r="S342" s="14">
        <f t="shared" si="13"/>
        <v>-2.869977197</v>
      </c>
      <c r="U342" s="21"/>
      <c r="V342" s="21"/>
    </row>
    <row r="343">
      <c r="A343" s="11">
        <v>331.0</v>
      </c>
      <c r="B343" s="11">
        <v>1.42083478260869E9</v>
      </c>
      <c r="C343" s="2">
        <v>-102.3508911</v>
      </c>
      <c r="D343" s="24">
        <f t="shared" si="1"/>
        <v>434782.6087</v>
      </c>
      <c r="E343" s="25">
        <f t="shared" si="2"/>
        <v>-92.74790935</v>
      </c>
      <c r="F343" s="24">
        <f t="shared" si="3"/>
        <v>0.0002133201915</v>
      </c>
      <c r="G343" s="24">
        <f t="shared" si="4"/>
        <v>0</v>
      </c>
      <c r="H343" s="26">
        <f t="shared" si="5"/>
        <v>0</v>
      </c>
      <c r="I343" s="24">
        <f t="shared" si="6"/>
        <v>0</v>
      </c>
      <c r="J343" s="24">
        <f t="shared" si="7"/>
        <v>0</v>
      </c>
      <c r="K343" s="24"/>
      <c r="L343" s="24">
        <f t="shared" si="8"/>
        <v>442.6057558</v>
      </c>
      <c r="M343" s="30">
        <f t="shared" si="9"/>
        <v>439.5134866</v>
      </c>
      <c r="N343" s="27">
        <f t="shared" si="10"/>
        <v>3.092269277</v>
      </c>
      <c r="O343" s="24"/>
      <c r="P343" s="24"/>
      <c r="Q343" s="24"/>
      <c r="R343" s="26"/>
      <c r="S343" s="14">
        <f t="shared" si="13"/>
        <v>2.839618919</v>
      </c>
      <c r="U343" s="21"/>
      <c r="V343" s="21"/>
    </row>
    <row r="344">
      <c r="A344" s="11">
        <v>332.0</v>
      </c>
      <c r="B344" s="11">
        <v>1.42083913043478E9</v>
      </c>
      <c r="C344" s="2">
        <v>-102.3428879</v>
      </c>
      <c r="D344" s="24">
        <f t="shared" si="1"/>
        <v>439130.4348</v>
      </c>
      <c r="E344" s="25">
        <f t="shared" si="2"/>
        <v>-93.66620548</v>
      </c>
      <c r="F344" s="24">
        <f t="shared" si="3"/>
        <v>0.0002132992798</v>
      </c>
      <c r="G344" s="24">
        <f t="shared" si="4"/>
        <v>0</v>
      </c>
      <c r="H344" s="26">
        <f t="shared" si="5"/>
        <v>0</v>
      </c>
      <c r="I344" s="24">
        <f t="shared" si="6"/>
        <v>0</v>
      </c>
      <c r="J344" s="24">
        <f t="shared" si="7"/>
        <v>0</v>
      </c>
      <c r="K344" s="24"/>
      <c r="L344" s="24">
        <f t="shared" si="8"/>
        <v>443.4221439</v>
      </c>
      <c r="M344" s="30">
        <f t="shared" si="9"/>
        <v>439.4004937</v>
      </c>
      <c r="N344" s="27">
        <f t="shared" si="10"/>
        <v>4.021650219</v>
      </c>
      <c r="O344" s="24"/>
      <c r="P344" s="24"/>
      <c r="Q344" s="24"/>
      <c r="R344" s="26"/>
      <c r="S344" s="14">
        <f t="shared" si="13"/>
        <v>3.693065835</v>
      </c>
      <c r="U344" s="21"/>
      <c r="V344" s="21"/>
    </row>
    <row r="345">
      <c r="A345" s="11">
        <v>333.0</v>
      </c>
      <c r="B345" s="11">
        <v>1.42084347826087E9</v>
      </c>
      <c r="C345" s="2">
        <v>-102.3567352</v>
      </c>
      <c r="D345" s="24">
        <f t="shared" si="1"/>
        <v>443478.2609</v>
      </c>
      <c r="E345" s="25">
        <f t="shared" si="2"/>
        <v>-94.58450161</v>
      </c>
      <c r="F345" s="24">
        <f t="shared" si="3"/>
        <v>0.0002132787781</v>
      </c>
      <c r="G345" s="24">
        <f t="shared" si="4"/>
        <v>0</v>
      </c>
      <c r="H345" s="26">
        <f t="shared" si="5"/>
        <v>0</v>
      </c>
      <c r="I345" s="24">
        <f t="shared" si="6"/>
        <v>0</v>
      </c>
      <c r="J345" s="24">
        <f t="shared" si="7"/>
        <v>0</v>
      </c>
      <c r="K345" s="24"/>
      <c r="L345" s="24">
        <f t="shared" si="8"/>
        <v>442.0105623</v>
      </c>
      <c r="M345" s="30">
        <f t="shared" si="9"/>
        <v>439.2873646</v>
      </c>
      <c r="N345" s="27">
        <f t="shared" si="10"/>
        <v>2.723197736</v>
      </c>
      <c r="O345" s="24"/>
      <c r="P345" s="24"/>
      <c r="Q345" s="24"/>
      <c r="R345" s="26"/>
      <c r="S345" s="14">
        <f t="shared" si="13"/>
        <v>2.50070195</v>
      </c>
      <c r="U345" s="21"/>
      <c r="V345" s="21"/>
    </row>
    <row r="346">
      <c r="A346" s="11">
        <v>334.0</v>
      </c>
      <c r="B346" s="11">
        <v>1.42084782608695E9</v>
      </c>
      <c r="C346" s="2">
        <v>-102.4049835</v>
      </c>
      <c r="D346" s="24">
        <f t="shared" si="1"/>
        <v>447826.087</v>
      </c>
      <c r="E346" s="25">
        <f t="shared" si="2"/>
        <v>-95.50279774</v>
      </c>
      <c r="F346" s="24">
        <f t="shared" si="3"/>
        <v>0.0002132586746</v>
      </c>
      <c r="G346" s="24">
        <f t="shared" si="4"/>
        <v>0</v>
      </c>
      <c r="H346" s="26">
        <f t="shared" si="5"/>
        <v>0</v>
      </c>
      <c r="I346" s="24">
        <f t="shared" si="6"/>
        <v>0</v>
      </c>
      <c r="J346" s="24">
        <f t="shared" si="7"/>
        <v>0</v>
      </c>
      <c r="K346" s="24"/>
      <c r="L346" s="24">
        <f t="shared" si="8"/>
        <v>437.1271862</v>
      </c>
      <c r="M346" s="30">
        <f t="shared" si="9"/>
        <v>439.1740994</v>
      </c>
      <c r="N346" s="27">
        <f t="shared" si="10"/>
        <v>-2.046913145</v>
      </c>
      <c r="O346" s="24"/>
      <c r="P346" s="24"/>
      <c r="Q346" s="24"/>
      <c r="R346" s="26"/>
      <c r="S346" s="14">
        <f t="shared" si="13"/>
        <v>-1.879672425</v>
      </c>
      <c r="U346" s="21"/>
      <c r="V346" s="21"/>
    </row>
    <row r="347">
      <c r="A347" s="11">
        <v>335.0</v>
      </c>
      <c r="B347" s="11">
        <v>1.42085217391304E9</v>
      </c>
      <c r="C347" s="2">
        <v>-102.3787766</v>
      </c>
      <c r="D347" s="24">
        <f t="shared" si="1"/>
        <v>452173.913</v>
      </c>
      <c r="E347" s="25">
        <f t="shared" si="2"/>
        <v>-96.42109387</v>
      </c>
      <c r="F347" s="24">
        <f t="shared" si="3"/>
        <v>0.0002132389576</v>
      </c>
      <c r="G347" s="24">
        <f t="shared" si="4"/>
        <v>0</v>
      </c>
      <c r="H347" s="26">
        <f t="shared" si="5"/>
        <v>0</v>
      </c>
      <c r="I347" s="24">
        <f t="shared" si="6"/>
        <v>0</v>
      </c>
      <c r="J347" s="24">
        <f t="shared" si="7"/>
        <v>0</v>
      </c>
      <c r="K347" s="24"/>
      <c r="L347" s="24">
        <f t="shared" si="8"/>
        <v>439.7729445</v>
      </c>
      <c r="M347" s="30">
        <f t="shared" si="9"/>
        <v>439.0606982</v>
      </c>
      <c r="N347" s="27">
        <f t="shared" si="10"/>
        <v>0.7122462399</v>
      </c>
      <c r="O347" s="24"/>
      <c r="P347" s="24"/>
      <c r="Q347" s="24"/>
      <c r="R347" s="26"/>
      <c r="S347" s="14">
        <f t="shared" si="13"/>
        <v>0.6540529662</v>
      </c>
      <c r="U347" s="21"/>
      <c r="V347" s="21"/>
    </row>
    <row r="348">
      <c r="A348" s="11">
        <v>336.0</v>
      </c>
      <c r="B348" s="11">
        <v>1.42085652173913E9</v>
      </c>
      <c r="C348" s="2">
        <v>-102.3632965</v>
      </c>
      <c r="D348" s="24">
        <f t="shared" si="1"/>
        <v>456521.7391</v>
      </c>
      <c r="E348" s="25">
        <f t="shared" si="2"/>
        <v>-97.33939</v>
      </c>
      <c r="F348" s="24">
        <f t="shared" si="3"/>
        <v>0.0002132196162</v>
      </c>
      <c r="G348" s="24">
        <f t="shared" si="4"/>
        <v>0</v>
      </c>
      <c r="H348" s="26">
        <f t="shared" si="5"/>
        <v>0</v>
      </c>
      <c r="I348" s="24">
        <f t="shared" si="6"/>
        <v>0</v>
      </c>
      <c r="J348" s="24">
        <f t="shared" si="7"/>
        <v>0</v>
      </c>
      <c r="K348" s="24"/>
      <c r="L348" s="24">
        <f t="shared" si="8"/>
        <v>441.3432791</v>
      </c>
      <c r="M348" s="30">
        <f t="shared" si="9"/>
        <v>438.9471613</v>
      </c>
      <c r="N348" s="27">
        <f t="shared" si="10"/>
        <v>2.396117729</v>
      </c>
      <c r="O348" s="24"/>
      <c r="P348" s="24"/>
      <c r="Q348" s="24"/>
      <c r="R348" s="26"/>
      <c r="S348" s="14">
        <f t="shared" si="13"/>
        <v>2.200345644</v>
      </c>
      <c r="U348" s="21"/>
      <c r="V348" s="21"/>
    </row>
    <row r="349">
      <c r="A349" s="11">
        <v>337.0</v>
      </c>
      <c r="B349" s="11">
        <v>1.42086086956521E9</v>
      </c>
      <c r="C349" s="2">
        <v>-102.2762833</v>
      </c>
      <c r="D349" s="24">
        <f t="shared" si="1"/>
        <v>460869.5652</v>
      </c>
      <c r="E349" s="25">
        <f t="shared" si="2"/>
        <v>-98.25768614</v>
      </c>
      <c r="F349" s="24">
        <f t="shared" si="3"/>
        <v>0.0002132006397</v>
      </c>
      <c r="G349" s="24">
        <f t="shared" si="4"/>
        <v>0</v>
      </c>
      <c r="H349" s="26">
        <f t="shared" si="5"/>
        <v>0</v>
      </c>
      <c r="I349" s="24">
        <f t="shared" si="6"/>
        <v>0</v>
      </c>
      <c r="J349" s="24">
        <f t="shared" si="7"/>
        <v>0</v>
      </c>
      <c r="K349" s="24"/>
      <c r="L349" s="24">
        <f t="shared" si="8"/>
        <v>450.2750026</v>
      </c>
      <c r="M349" s="30">
        <f t="shared" si="9"/>
        <v>438.8334888</v>
      </c>
      <c r="N349" s="27">
        <f t="shared" si="10"/>
        <v>11.44151381</v>
      </c>
      <c r="O349" s="24"/>
      <c r="P349" s="24"/>
      <c r="Q349" s="24"/>
      <c r="R349" s="26"/>
      <c r="S349" s="14">
        <f t="shared" si="13"/>
        <v>10.50669788</v>
      </c>
      <c r="U349" s="21"/>
      <c r="V349" s="21"/>
    </row>
    <row r="350">
      <c r="A350" s="11">
        <v>338.0</v>
      </c>
      <c r="B350" s="11">
        <v>1.4208652173913E9</v>
      </c>
      <c r="C350" s="2">
        <v>-102.3618851</v>
      </c>
      <c r="D350" s="24">
        <f t="shared" si="1"/>
        <v>465217.3913</v>
      </c>
      <c r="E350" s="25">
        <f t="shared" si="2"/>
        <v>-99.17598227</v>
      </c>
      <c r="F350" s="24">
        <f t="shared" si="3"/>
        <v>0.000213182018</v>
      </c>
      <c r="G350" s="24">
        <f t="shared" si="4"/>
        <v>0</v>
      </c>
      <c r="H350" s="26">
        <f t="shared" si="5"/>
        <v>0</v>
      </c>
      <c r="I350" s="24">
        <f t="shared" si="6"/>
        <v>0</v>
      </c>
      <c r="J350" s="24">
        <f t="shared" si="7"/>
        <v>0</v>
      </c>
      <c r="K350" s="24"/>
      <c r="L350" s="24">
        <f t="shared" si="8"/>
        <v>441.4867331</v>
      </c>
      <c r="M350" s="30">
        <f t="shared" si="9"/>
        <v>438.7196807</v>
      </c>
      <c r="N350" s="27">
        <f t="shared" si="10"/>
        <v>2.767052461</v>
      </c>
      <c r="O350" s="24"/>
      <c r="P350" s="24"/>
      <c r="Q350" s="24"/>
      <c r="R350" s="26"/>
      <c r="S350" s="14">
        <f t="shared" si="13"/>
        <v>2.540973568</v>
      </c>
      <c r="U350" s="21"/>
      <c r="V350" s="21"/>
    </row>
    <row r="351">
      <c r="A351" s="11">
        <v>339.0</v>
      </c>
      <c r="B351" s="11">
        <v>1.42086956521739E9</v>
      </c>
      <c r="C351" s="2">
        <v>-102.3656311</v>
      </c>
      <c r="D351" s="24">
        <f t="shared" si="1"/>
        <v>469565.2174</v>
      </c>
      <c r="E351" s="25">
        <f t="shared" si="2"/>
        <v>-100.0942784</v>
      </c>
      <c r="F351" s="24">
        <f t="shared" si="3"/>
        <v>0.000213163741</v>
      </c>
      <c r="G351" s="24">
        <f t="shared" si="4"/>
        <v>0</v>
      </c>
      <c r="H351" s="26">
        <f t="shared" si="5"/>
        <v>0</v>
      </c>
      <c r="I351" s="24">
        <f t="shared" si="6"/>
        <v>0</v>
      </c>
      <c r="J351" s="24">
        <f t="shared" si="7"/>
        <v>0</v>
      </c>
      <c r="K351" s="24"/>
      <c r="L351" s="24">
        <f t="shared" si="8"/>
        <v>441.1060937</v>
      </c>
      <c r="M351" s="30">
        <f t="shared" si="9"/>
        <v>438.6057372</v>
      </c>
      <c r="N351" s="27">
        <f t="shared" si="10"/>
        <v>2.500356441</v>
      </c>
      <c r="O351" s="24"/>
      <c r="P351" s="24"/>
      <c r="Q351" s="24"/>
      <c r="R351" s="26"/>
      <c r="S351" s="14">
        <f t="shared" si="13"/>
        <v>2.29606765</v>
      </c>
      <c r="U351" s="21"/>
      <c r="V351" s="21"/>
    </row>
    <row r="352">
      <c r="A352" s="11">
        <v>340.0</v>
      </c>
      <c r="B352" s="11">
        <v>1.42087391304347E9</v>
      </c>
      <c r="C352" s="2">
        <v>-102.3739319</v>
      </c>
      <c r="D352" s="24">
        <f t="shared" si="1"/>
        <v>473913.0435</v>
      </c>
      <c r="E352" s="25">
        <f t="shared" si="2"/>
        <v>-101.0125745</v>
      </c>
      <c r="F352" s="24">
        <f t="shared" si="3"/>
        <v>0.0002131457995</v>
      </c>
      <c r="G352" s="24">
        <f t="shared" si="4"/>
        <v>0</v>
      </c>
      <c r="H352" s="26">
        <f t="shared" si="5"/>
        <v>0</v>
      </c>
      <c r="I352" s="24">
        <f t="shared" si="6"/>
        <v>0</v>
      </c>
      <c r="J352" s="24">
        <f t="shared" si="7"/>
        <v>0</v>
      </c>
      <c r="K352" s="24"/>
      <c r="L352" s="24">
        <f t="shared" si="8"/>
        <v>440.2637996</v>
      </c>
      <c r="M352" s="30">
        <f t="shared" si="9"/>
        <v>438.4916585</v>
      </c>
      <c r="N352" s="27">
        <f t="shared" si="10"/>
        <v>1.772141109</v>
      </c>
      <c r="O352" s="24"/>
      <c r="P352" s="24"/>
      <c r="Q352" s="24"/>
      <c r="R352" s="26"/>
      <c r="S352" s="14">
        <f t="shared" si="13"/>
        <v>1.627350327</v>
      </c>
      <c r="U352" s="21"/>
      <c r="V352" s="21"/>
    </row>
    <row r="353">
      <c r="A353" s="11">
        <v>341.0</v>
      </c>
      <c r="B353" s="11">
        <v>1.42087826086956E9</v>
      </c>
      <c r="C353" s="2">
        <v>-102.3476563</v>
      </c>
      <c r="D353" s="24">
        <f t="shared" si="1"/>
        <v>478260.8696</v>
      </c>
      <c r="E353" s="25">
        <f t="shared" si="2"/>
        <v>-101.9308707</v>
      </c>
      <c r="F353" s="24">
        <f t="shared" si="3"/>
        <v>0.0002131281841</v>
      </c>
      <c r="G353" s="24">
        <f t="shared" si="4"/>
        <v>0</v>
      </c>
      <c r="H353" s="26">
        <f t="shared" si="5"/>
        <v>0</v>
      </c>
      <c r="I353" s="24">
        <f t="shared" si="6"/>
        <v>0</v>
      </c>
      <c r="J353" s="24">
        <f t="shared" si="7"/>
        <v>0</v>
      </c>
      <c r="K353" s="24"/>
      <c r="L353" s="24">
        <f t="shared" si="8"/>
        <v>442.9355492</v>
      </c>
      <c r="M353" s="30">
        <f t="shared" si="9"/>
        <v>438.3774447</v>
      </c>
      <c r="N353" s="27">
        <f t="shared" si="10"/>
        <v>4.558104485</v>
      </c>
      <c r="O353" s="24"/>
      <c r="P353" s="24"/>
      <c r="Q353" s="24"/>
      <c r="R353" s="26"/>
      <c r="S353" s="14">
        <f t="shared" si="13"/>
        <v>4.185689712</v>
      </c>
      <c r="U353" s="21"/>
      <c r="V353" s="21"/>
    </row>
    <row r="354">
      <c r="A354" s="11">
        <v>342.0</v>
      </c>
      <c r="B354" s="11">
        <v>1.42088260869565E9</v>
      </c>
      <c r="C354" s="2">
        <v>-102.3537216</v>
      </c>
      <c r="D354" s="24">
        <f t="shared" si="1"/>
        <v>482608.6957</v>
      </c>
      <c r="E354" s="25">
        <f t="shared" si="2"/>
        <v>-102.8491668</v>
      </c>
      <c r="F354" s="24">
        <f t="shared" si="3"/>
        <v>0.0002131108862</v>
      </c>
      <c r="G354" s="24">
        <f t="shared" si="4"/>
        <v>0</v>
      </c>
      <c r="H354" s="26">
        <f t="shared" si="5"/>
        <v>0</v>
      </c>
      <c r="I354" s="24">
        <f t="shared" si="6"/>
        <v>0</v>
      </c>
      <c r="J354" s="24">
        <f t="shared" si="7"/>
        <v>0</v>
      </c>
      <c r="K354" s="24"/>
      <c r="L354" s="24">
        <f t="shared" si="8"/>
        <v>442.317383</v>
      </c>
      <c r="M354" s="30">
        <f t="shared" si="9"/>
        <v>438.263096</v>
      </c>
      <c r="N354" s="27">
        <f t="shared" si="10"/>
        <v>4.054286995</v>
      </c>
      <c r="O354" s="24"/>
      <c r="P354" s="24"/>
      <c r="Q354" s="24"/>
      <c r="R354" s="26"/>
      <c r="S354" s="14">
        <f t="shared" si="13"/>
        <v>3.723036068</v>
      </c>
      <c r="U354" s="21"/>
      <c r="V354" s="21"/>
    </row>
    <row r="355">
      <c r="A355" s="11">
        <v>343.0</v>
      </c>
      <c r="B355" s="11">
        <v>1.42088695652173E9</v>
      </c>
      <c r="C355" s="2">
        <v>-102.3949509</v>
      </c>
      <c r="D355" s="24">
        <f t="shared" si="1"/>
        <v>486956.5217</v>
      </c>
      <c r="E355" s="25">
        <f t="shared" si="2"/>
        <v>-103.7674629</v>
      </c>
      <c r="F355" s="24">
        <f t="shared" si="3"/>
        <v>0.0002130938971</v>
      </c>
      <c r="G355" s="24">
        <f t="shared" si="4"/>
        <v>0</v>
      </c>
      <c r="H355" s="26">
        <f t="shared" si="5"/>
        <v>0</v>
      </c>
      <c r="I355" s="24">
        <f t="shared" si="6"/>
        <v>0</v>
      </c>
      <c r="J355" s="24">
        <f t="shared" si="7"/>
        <v>0</v>
      </c>
      <c r="K355" s="24"/>
      <c r="L355" s="24">
        <f t="shared" si="8"/>
        <v>438.1381573</v>
      </c>
      <c r="M355" s="30">
        <f t="shared" si="9"/>
        <v>438.1486124</v>
      </c>
      <c r="N355" s="27">
        <f t="shared" si="10"/>
        <v>-0.01045511374</v>
      </c>
      <c r="O355" s="24"/>
      <c r="P355" s="24"/>
      <c r="Q355" s="24"/>
      <c r="R355" s="26"/>
      <c r="S355" s="14">
        <f t="shared" si="13"/>
        <v>-0.009600890516</v>
      </c>
      <c r="U355" s="21"/>
      <c r="V355" s="21"/>
    </row>
    <row r="356">
      <c r="A356" s="11">
        <v>344.0</v>
      </c>
      <c r="B356" s="11">
        <v>1.42089130434782E9</v>
      </c>
      <c r="C356" s="2">
        <v>-102.3586197</v>
      </c>
      <c r="D356" s="24">
        <f t="shared" si="1"/>
        <v>491304.3478</v>
      </c>
      <c r="E356" s="25">
        <f t="shared" si="2"/>
        <v>-104.6857591</v>
      </c>
      <c r="F356" s="24">
        <f t="shared" si="3"/>
        <v>0.0002130772087</v>
      </c>
      <c r="G356" s="24">
        <f t="shared" si="4"/>
        <v>0</v>
      </c>
      <c r="H356" s="26">
        <f t="shared" si="5"/>
        <v>0</v>
      </c>
      <c r="I356" s="24">
        <f t="shared" si="6"/>
        <v>0</v>
      </c>
      <c r="J356" s="24">
        <f t="shared" si="7"/>
        <v>0</v>
      </c>
      <c r="K356" s="24"/>
      <c r="L356" s="24">
        <f t="shared" si="8"/>
        <v>441.8188057</v>
      </c>
      <c r="M356" s="30">
        <f t="shared" si="9"/>
        <v>438.0339942</v>
      </c>
      <c r="N356" s="27">
        <f t="shared" si="10"/>
        <v>3.784811548</v>
      </c>
      <c r="O356" s="24"/>
      <c r="P356" s="24"/>
      <c r="Q356" s="24"/>
      <c r="R356" s="26"/>
      <c r="S356" s="14">
        <f t="shared" si="13"/>
        <v>3.475577808</v>
      </c>
      <c r="U356" s="21"/>
      <c r="V356" s="21"/>
    </row>
    <row r="357">
      <c r="A357" s="11">
        <v>345.0</v>
      </c>
      <c r="B357" s="11">
        <v>1.42089565217391E9</v>
      </c>
      <c r="C357" s="2">
        <v>-102.3436279</v>
      </c>
      <c r="D357" s="24">
        <f t="shared" si="1"/>
        <v>495652.1739</v>
      </c>
      <c r="E357" s="25">
        <f t="shared" si="2"/>
        <v>-105.6040552</v>
      </c>
      <c r="F357" s="24">
        <f t="shared" si="3"/>
        <v>0.0002130608131</v>
      </c>
      <c r="G357" s="24">
        <f t="shared" si="4"/>
        <v>0</v>
      </c>
      <c r="H357" s="26">
        <f t="shared" si="5"/>
        <v>0</v>
      </c>
      <c r="I357" s="24">
        <f t="shared" si="6"/>
        <v>0</v>
      </c>
      <c r="J357" s="24">
        <f t="shared" si="7"/>
        <v>0</v>
      </c>
      <c r="K357" s="24"/>
      <c r="L357" s="24">
        <f t="shared" si="8"/>
        <v>443.346595</v>
      </c>
      <c r="M357" s="30">
        <f t="shared" si="9"/>
        <v>437.9192414</v>
      </c>
      <c r="N357" s="27">
        <f t="shared" si="10"/>
        <v>5.427353653</v>
      </c>
      <c r="O357" s="24"/>
      <c r="P357" s="24"/>
      <c r="Q357" s="24"/>
      <c r="R357" s="26"/>
      <c r="S357" s="14">
        <f t="shared" si="13"/>
        <v>4.98391786</v>
      </c>
      <c r="U357" s="21"/>
      <c r="V357" s="21"/>
    </row>
    <row r="358">
      <c r="A358" s="11">
        <v>346.0</v>
      </c>
      <c r="B358" s="11">
        <v>1.4209E9</v>
      </c>
      <c r="C358" s="2">
        <v>-102.3983154</v>
      </c>
      <c r="D358" s="24">
        <f t="shared" si="1"/>
        <v>500000</v>
      </c>
      <c r="E358" s="25">
        <f t="shared" si="2"/>
        <v>-106.5223513</v>
      </c>
      <c r="F358" s="24">
        <f t="shared" si="3"/>
        <v>0.0002130447027</v>
      </c>
      <c r="G358" s="24">
        <f t="shared" si="4"/>
        <v>0</v>
      </c>
      <c r="H358" s="26">
        <f t="shared" si="5"/>
        <v>0</v>
      </c>
      <c r="I358" s="24">
        <f t="shared" si="6"/>
        <v>0</v>
      </c>
      <c r="J358" s="24">
        <f t="shared" si="7"/>
        <v>0</v>
      </c>
      <c r="K358" s="24"/>
      <c r="L358" s="24">
        <f t="shared" si="8"/>
        <v>437.798861</v>
      </c>
      <c r="M358" s="30">
        <f t="shared" si="9"/>
        <v>437.8043542</v>
      </c>
      <c r="N358" s="27">
        <f t="shared" si="10"/>
        <v>-0.005493187014</v>
      </c>
      <c r="O358" s="24"/>
      <c r="P358" s="24"/>
      <c r="Q358" s="24"/>
      <c r="R358" s="26"/>
      <c r="S358" s="14">
        <f t="shared" si="13"/>
        <v>-0.005044372391</v>
      </c>
      <c r="U358" s="21"/>
      <c r="V358" s="21"/>
    </row>
    <row r="359">
      <c r="A359" s="11">
        <v>347.0</v>
      </c>
      <c r="B359" s="11">
        <v>1.42090434782608E9</v>
      </c>
      <c r="C359" s="2">
        <v>-102.3635101</v>
      </c>
      <c r="D359" s="24">
        <f t="shared" si="1"/>
        <v>504347.8261</v>
      </c>
      <c r="E359" s="25">
        <f t="shared" si="2"/>
        <v>-107.4406475</v>
      </c>
      <c r="F359" s="24">
        <f t="shared" si="3"/>
        <v>0.00021302887</v>
      </c>
      <c r="G359" s="24">
        <f t="shared" si="4"/>
        <v>0</v>
      </c>
      <c r="H359" s="26">
        <f t="shared" si="5"/>
        <v>0</v>
      </c>
      <c r="I359" s="24">
        <f t="shared" si="6"/>
        <v>0</v>
      </c>
      <c r="J359" s="24">
        <f t="shared" si="7"/>
        <v>0</v>
      </c>
      <c r="K359" s="24"/>
      <c r="L359" s="24">
        <f t="shared" si="8"/>
        <v>441.3215729</v>
      </c>
      <c r="M359" s="30">
        <f t="shared" si="9"/>
        <v>437.6893328</v>
      </c>
      <c r="N359" s="27">
        <f t="shared" si="10"/>
        <v>3.632240132</v>
      </c>
      <c r="O359" s="24"/>
      <c r="P359" s="24"/>
      <c r="Q359" s="24"/>
      <c r="R359" s="26"/>
      <c r="S359" s="14">
        <f t="shared" si="13"/>
        <v>3.335472066</v>
      </c>
      <c r="U359" s="21"/>
      <c r="V359" s="21"/>
    </row>
    <row r="360">
      <c r="A360" s="11">
        <v>348.0</v>
      </c>
      <c r="B360" s="11">
        <v>1.42090869565217E9</v>
      </c>
      <c r="C360" s="2">
        <v>-102.446434</v>
      </c>
      <c r="D360" s="24">
        <f t="shared" si="1"/>
        <v>508695.6522</v>
      </c>
      <c r="E360" s="25">
        <f t="shared" si="2"/>
        <v>-108.3589436</v>
      </c>
      <c r="F360" s="24">
        <f t="shared" si="3"/>
        <v>0.0002130133079</v>
      </c>
      <c r="G360" s="24">
        <f t="shared" si="4"/>
        <v>0</v>
      </c>
      <c r="H360" s="26">
        <f t="shared" si="5"/>
        <v>0</v>
      </c>
      <c r="I360" s="24">
        <f t="shared" si="6"/>
        <v>0</v>
      </c>
      <c r="J360" s="24">
        <f t="shared" si="7"/>
        <v>0</v>
      </c>
      <c r="K360" s="24"/>
      <c r="L360" s="24">
        <f t="shared" si="8"/>
        <v>432.9749467</v>
      </c>
      <c r="M360" s="30">
        <f t="shared" si="9"/>
        <v>437.5741772</v>
      </c>
      <c r="N360" s="27">
        <f t="shared" si="10"/>
        <v>-4.599230583</v>
      </c>
      <c r="O360" s="24"/>
      <c r="P360" s="24"/>
      <c r="Q360" s="24"/>
      <c r="R360" s="26"/>
      <c r="S360" s="14">
        <f t="shared" si="13"/>
        <v>-4.223455648</v>
      </c>
      <c r="U360" s="21"/>
      <c r="V360" s="21"/>
    </row>
    <row r="361">
      <c r="A361" s="11">
        <v>349.0</v>
      </c>
      <c r="B361" s="11">
        <v>1.42091304347826E9</v>
      </c>
      <c r="C361" s="2">
        <v>-102.3476563</v>
      </c>
      <c r="D361" s="24">
        <f t="shared" si="1"/>
        <v>513043.4783</v>
      </c>
      <c r="E361" s="25">
        <f t="shared" si="2"/>
        <v>-109.2772397</v>
      </c>
      <c r="F361" s="24">
        <f t="shared" si="3"/>
        <v>0.0002129980096</v>
      </c>
      <c r="G361" s="24">
        <f t="shared" si="4"/>
        <v>0</v>
      </c>
      <c r="H361" s="26">
        <f t="shared" si="5"/>
        <v>0</v>
      </c>
      <c r="I361" s="24">
        <f t="shared" si="6"/>
        <v>0</v>
      </c>
      <c r="J361" s="24">
        <f t="shared" si="7"/>
        <v>0</v>
      </c>
      <c r="K361" s="24"/>
      <c r="L361" s="24">
        <f t="shared" si="8"/>
        <v>442.9355492</v>
      </c>
      <c r="M361" s="30">
        <f t="shared" si="9"/>
        <v>437.4588877</v>
      </c>
      <c r="N361" s="27">
        <f t="shared" si="10"/>
        <v>5.476661504</v>
      </c>
      <c r="O361" s="24"/>
      <c r="P361" s="24"/>
      <c r="Q361" s="24"/>
      <c r="R361" s="26"/>
      <c r="S361" s="14">
        <f t="shared" si="13"/>
        <v>5.02919708</v>
      </c>
      <c r="U361" s="21"/>
      <c r="V361" s="21"/>
    </row>
    <row r="362">
      <c r="A362" s="11">
        <v>350.0</v>
      </c>
      <c r="B362" s="11">
        <v>1.42091739130434E9</v>
      </c>
      <c r="C362" s="2">
        <v>-102.3853531</v>
      </c>
      <c r="D362" s="24">
        <f t="shared" si="1"/>
        <v>517391.3043</v>
      </c>
      <c r="E362" s="25">
        <f t="shared" si="2"/>
        <v>-110.1955359</v>
      </c>
      <c r="F362" s="24">
        <f t="shared" si="3"/>
        <v>0.0002129829685</v>
      </c>
      <c r="G362" s="24">
        <f t="shared" si="4"/>
        <v>0</v>
      </c>
      <c r="H362" s="26">
        <f t="shared" si="5"/>
        <v>0</v>
      </c>
      <c r="I362" s="24">
        <f t="shared" si="6"/>
        <v>0</v>
      </c>
      <c r="J362" s="24">
        <f t="shared" si="7"/>
        <v>0</v>
      </c>
      <c r="K362" s="24"/>
      <c r="L362" s="24">
        <f t="shared" si="8"/>
        <v>439.1075024</v>
      </c>
      <c r="M362" s="30">
        <f t="shared" si="9"/>
        <v>437.3434643</v>
      </c>
      <c r="N362" s="27">
        <f t="shared" si="10"/>
        <v>1.764038101</v>
      </c>
      <c r="O362" s="24"/>
      <c r="P362" s="24"/>
      <c r="Q362" s="24"/>
      <c r="R362" s="26"/>
      <c r="S362" s="14">
        <f t="shared" si="13"/>
        <v>1.619909366</v>
      </c>
      <c r="U362" s="21"/>
      <c r="V362" s="21"/>
    </row>
    <row r="363">
      <c r="A363" s="11">
        <v>351.0</v>
      </c>
      <c r="B363" s="11">
        <v>1.42092173913043E9</v>
      </c>
      <c r="C363" s="2">
        <v>-102.3562927</v>
      </c>
      <c r="D363" s="24">
        <f t="shared" si="1"/>
        <v>521739.1304</v>
      </c>
      <c r="E363" s="25">
        <f t="shared" si="2"/>
        <v>-111.113832</v>
      </c>
      <c r="F363" s="24">
        <f t="shared" si="3"/>
        <v>0.000212968178</v>
      </c>
      <c r="G363" s="24">
        <f t="shared" si="4"/>
        <v>0</v>
      </c>
      <c r="H363" s="26">
        <f t="shared" si="5"/>
        <v>0</v>
      </c>
      <c r="I363" s="24">
        <f t="shared" si="6"/>
        <v>0</v>
      </c>
      <c r="J363" s="24">
        <f t="shared" si="7"/>
        <v>0</v>
      </c>
      <c r="K363" s="24"/>
      <c r="L363" s="24">
        <f t="shared" si="8"/>
        <v>442.0556008</v>
      </c>
      <c r="M363" s="30">
        <f t="shared" si="9"/>
        <v>437.2279073</v>
      </c>
      <c r="N363" s="27">
        <f t="shared" si="10"/>
        <v>4.827693488</v>
      </c>
      <c r="O363" s="24"/>
      <c r="P363" s="24"/>
      <c r="Q363" s="24"/>
      <c r="R363" s="26"/>
      <c r="S363" s="14">
        <f t="shared" si="13"/>
        <v>4.43325225</v>
      </c>
      <c r="U363" s="21"/>
      <c r="V363" s="21"/>
    </row>
    <row r="364">
      <c r="A364" s="11">
        <v>352.0</v>
      </c>
      <c r="B364" s="11">
        <v>1.42092608695652E9</v>
      </c>
      <c r="C364" s="2">
        <v>-102.4217834</v>
      </c>
      <c r="D364" s="24">
        <f t="shared" si="1"/>
        <v>526086.9565</v>
      </c>
      <c r="E364" s="25">
        <f t="shared" si="2"/>
        <v>-112.0321281</v>
      </c>
      <c r="F364" s="24">
        <f t="shared" si="3"/>
        <v>0.000212953632</v>
      </c>
      <c r="G364" s="24">
        <f t="shared" si="4"/>
        <v>0</v>
      </c>
      <c r="H364" s="26">
        <f t="shared" si="5"/>
        <v>0</v>
      </c>
      <c r="I364" s="24">
        <f t="shared" si="6"/>
        <v>0</v>
      </c>
      <c r="J364" s="24">
        <f t="shared" si="7"/>
        <v>0</v>
      </c>
      <c r="K364" s="24"/>
      <c r="L364" s="24">
        <f t="shared" si="8"/>
        <v>435.4395048</v>
      </c>
      <c r="M364" s="30">
        <f t="shared" si="9"/>
        <v>437.1122167</v>
      </c>
      <c r="N364" s="27">
        <f t="shared" si="10"/>
        <v>-1.672711896</v>
      </c>
      <c r="O364" s="24"/>
      <c r="P364" s="24"/>
      <c r="Q364" s="24"/>
      <c r="R364" s="26"/>
      <c r="S364" s="14">
        <f t="shared" si="13"/>
        <v>-1.536044865</v>
      </c>
      <c r="U364" s="21"/>
      <c r="V364" s="21"/>
    </row>
    <row r="365">
      <c r="A365" s="11">
        <v>353.0</v>
      </c>
      <c r="B365" s="11">
        <v>1.4209304347826E9</v>
      </c>
      <c r="C365" s="2">
        <v>-102.3461761</v>
      </c>
      <c r="D365" s="24">
        <f t="shared" si="1"/>
        <v>530434.7826</v>
      </c>
      <c r="E365" s="25">
        <f t="shared" si="2"/>
        <v>-112.9504243</v>
      </c>
      <c r="F365" s="24">
        <f t="shared" si="3"/>
        <v>0.0002129393244</v>
      </c>
      <c r="G365" s="24">
        <f t="shared" si="4"/>
        <v>0</v>
      </c>
      <c r="H365" s="26">
        <f t="shared" si="5"/>
        <v>0</v>
      </c>
      <c r="I365" s="24">
        <f t="shared" si="6"/>
        <v>0</v>
      </c>
      <c r="J365" s="24">
        <f t="shared" si="7"/>
        <v>0</v>
      </c>
      <c r="K365" s="24"/>
      <c r="L365" s="24">
        <f t="shared" si="8"/>
        <v>443.0865401</v>
      </c>
      <c r="M365" s="30">
        <f t="shared" si="9"/>
        <v>436.9963926</v>
      </c>
      <c r="N365" s="27">
        <f t="shared" si="10"/>
        <v>6.090147438</v>
      </c>
      <c r="O365" s="24"/>
      <c r="P365" s="24"/>
      <c r="Q365" s="24"/>
      <c r="R365" s="26"/>
      <c r="S365" s="14">
        <f t="shared" si="13"/>
        <v>5.59255884</v>
      </c>
      <c r="U365" s="21"/>
      <c r="V365" s="21"/>
    </row>
    <row r="366">
      <c r="A366" s="11">
        <v>354.0</v>
      </c>
      <c r="B366" s="11">
        <v>1.42093478260869E9</v>
      </c>
      <c r="C366" s="2">
        <v>-102.3773804</v>
      </c>
      <c r="D366" s="24">
        <f t="shared" si="1"/>
        <v>534782.6087</v>
      </c>
      <c r="E366" s="25">
        <f t="shared" si="2"/>
        <v>-113.8687204</v>
      </c>
      <c r="F366" s="24">
        <f t="shared" si="3"/>
        <v>0.0002129252495</v>
      </c>
      <c r="G366" s="24">
        <f t="shared" si="4"/>
        <v>0</v>
      </c>
      <c r="H366" s="26">
        <f t="shared" si="5"/>
        <v>0</v>
      </c>
      <c r="I366" s="24">
        <f t="shared" si="6"/>
        <v>0</v>
      </c>
      <c r="J366" s="24">
        <f t="shared" si="7"/>
        <v>0</v>
      </c>
      <c r="K366" s="24"/>
      <c r="L366" s="24">
        <f t="shared" si="8"/>
        <v>439.9143485</v>
      </c>
      <c r="M366" s="30">
        <f t="shared" si="9"/>
        <v>436.8804353</v>
      </c>
      <c r="N366" s="27">
        <f t="shared" si="10"/>
        <v>3.03391316</v>
      </c>
      <c r="O366" s="24"/>
      <c r="P366" s="24"/>
      <c r="Q366" s="24"/>
      <c r="R366" s="26"/>
      <c r="S366" s="14">
        <f t="shared" si="13"/>
        <v>2.786030722</v>
      </c>
      <c r="U366" s="21"/>
      <c r="V366" s="21"/>
    </row>
    <row r="367">
      <c r="A367" s="11">
        <v>355.0</v>
      </c>
      <c r="B367" s="11">
        <v>1.42093913043478E9</v>
      </c>
      <c r="C367" s="2">
        <v>-102.3936234</v>
      </c>
      <c r="D367" s="24">
        <f t="shared" si="1"/>
        <v>539130.4348</v>
      </c>
      <c r="E367" s="25">
        <f t="shared" si="2"/>
        <v>-114.7870165</v>
      </c>
      <c r="F367" s="24">
        <f t="shared" si="3"/>
        <v>0.0002129114016</v>
      </c>
      <c r="G367" s="24">
        <f t="shared" si="4"/>
        <v>0</v>
      </c>
      <c r="H367" s="26">
        <f t="shared" si="5"/>
        <v>0</v>
      </c>
      <c r="I367" s="24">
        <f t="shared" si="6"/>
        <v>0</v>
      </c>
      <c r="J367" s="24">
        <f t="shared" si="7"/>
        <v>0</v>
      </c>
      <c r="K367" s="24"/>
      <c r="L367" s="24">
        <f t="shared" si="8"/>
        <v>438.2721027</v>
      </c>
      <c r="M367" s="30">
        <f t="shared" si="9"/>
        <v>436.7643449</v>
      </c>
      <c r="N367" s="27">
        <f t="shared" si="10"/>
        <v>1.507757799</v>
      </c>
      <c r="O367" s="24"/>
      <c r="P367" s="24"/>
      <c r="Q367" s="24"/>
      <c r="R367" s="26"/>
      <c r="S367" s="14">
        <f t="shared" si="13"/>
        <v>1.384568153</v>
      </c>
      <c r="U367" s="21"/>
      <c r="V367" s="21"/>
    </row>
    <row r="368">
      <c r="A368" s="11">
        <v>356.0</v>
      </c>
      <c r="B368" s="11">
        <v>1.42094347826087E9</v>
      </c>
      <c r="C368" s="2">
        <v>-102.3464966</v>
      </c>
      <c r="D368" s="24">
        <f t="shared" si="1"/>
        <v>543478.2609</v>
      </c>
      <c r="E368" s="25">
        <f t="shared" si="2"/>
        <v>-115.7053126</v>
      </c>
      <c r="F368" s="24">
        <f t="shared" si="3"/>
        <v>0.0002128977753</v>
      </c>
      <c r="G368" s="24">
        <f t="shared" si="4"/>
        <v>0</v>
      </c>
      <c r="H368" s="26">
        <f t="shared" si="5"/>
        <v>0</v>
      </c>
      <c r="I368" s="24">
        <f t="shared" si="6"/>
        <v>0</v>
      </c>
      <c r="J368" s="24">
        <f t="shared" si="7"/>
        <v>0</v>
      </c>
      <c r="K368" s="24"/>
      <c r="L368" s="24">
        <f t="shared" si="8"/>
        <v>443.0538424</v>
      </c>
      <c r="M368" s="30">
        <f t="shared" si="9"/>
        <v>436.6481214</v>
      </c>
      <c r="N368" s="27">
        <f t="shared" si="10"/>
        <v>6.405721028</v>
      </c>
      <c r="O368" s="24"/>
      <c r="P368" s="24"/>
      <c r="Q368" s="24"/>
      <c r="R368" s="26"/>
      <c r="S368" s="14">
        <f t="shared" si="13"/>
        <v>5.882348848</v>
      </c>
      <c r="U368" s="21"/>
      <c r="V368" s="21"/>
    </row>
    <row r="369">
      <c r="A369" s="11">
        <v>357.0</v>
      </c>
      <c r="B369" s="11">
        <v>1.42094782608695E9</v>
      </c>
      <c r="C369" s="2">
        <v>-102.3921204</v>
      </c>
      <c r="D369" s="24">
        <f t="shared" si="1"/>
        <v>547826.087</v>
      </c>
      <c r="E369" s="25">
        <f t="shared" si="2"/>
        <v>-116.6236088</v>
      </c>
      <c r="F369" s="24">
        <f t="shared" si="3"/>
        <v>0.0002128843652</v>
      </c>
      <c r="G369" s="24">
        <f t="shared" si="4"/>
        <v>0</v>
      </c>
      <c r="H369" s="26">
        <f t="shared" si="5"/>
        <v>0</v>
      </c>
      <c r="I369" s="24">
        <f t="shared" si="6"/>
        <v>0</v>
      </c>
      <c r="J369" s="24">
        <f t="shared" si="7"/>
        <v>0</v>
      </c>
      <c r="K369" s="24"/>
      <c r="L369" s="24">
        <f t="shared" si="8"/>
        <v>438.4238055</v>
      </c>
      <c r="M369" s="30">
        <f t="shared" si="9"/>
        <v>436.5317651</v>
      </c>
      <c r="N369" s="27">
        <f t="shared" si="10"/>
        <v>1.892040377</v>
      </c>
      <c r="O369" s="24"/>
      <c r="P369" s="24"/>
      <c r="Q369" s="24"/>
      <c r="R369" s="26"/>
      <c r="S369" s="14">
        <f t="shared" si="13"/>
        <v>1.737453361</v>
      </c>
      <c r="U369" s="21"/>
      <c r="V369" s="21"/>
    </row>
    <row r="370">
      <c r="A370" s="11">
        <v>358.0</v>
      </c>
      <c r="B370" s="11">
        <v>1.42095217391304E9</v>
      </c>
      <c r="C370" s="2">
        <v>-102.3637085</v>
      </c>
      <c r="D370" s="24">
        <f t="shared" si="1"/>
        <v>552173.913</v>
      </c>
      <c r="E370" s="25">
        <f t="shared" si="2"/>
        <v>-117.5419049</v>
      </c>
      <c r="F370" s="24">
        <f t="shared" si="3"/>
        <v>0.0002128711664</v>
      </c>
      <c r="G370" s="24">
        <f t="shared" si="4"/>
        <v>0</v>
      </c>
      <c r="H370" s="26">
        <f t="shared" si="5"/>
        <v>0</v>
      </c>
      <c r="I370" s="24">
        <f t="shared" si="6"/>
        <v>0</v>
      </c>
      <c r="J370" s="24">
        <f t="shared" si="7"/>
        <v>0</v>
      </c>
      <c r="K370" s="24"/>
      <c r="L370" s="24">
        <f t="shared" si="8"/>
        <v>441.3014124</v>
      </c>
      <c r="M370" s="30">
        <f t="shared" si="9"/>
        <v>436.4152761</v>
      </c>
      <c r="N370" s="27">
        <f t="shared" si="10"/>
        <v>4.886136284</v>
      </c>
      <c r="O370" s="24"/>
      <c r="P370" s="24"/>
      <c r="Q370" s="24"/>
      <c r="R370" s="26"/>
      <c r="S370" s="14">
        <f t="shared" si="13"/>
        <v>4.486920044</v>
      </c>
      <c r="U370" s="21"/>
      <c r="V370" s="21"/>
    </row>
    <row r="371">
      <c r="A371" s="11">
        <v>359.0</v>
      </c>
      <c r="B371" s="11">
        <v>1.42095652173913E9</v>
      </c>
      <c r="C371" s="2">
        <v>-102.3913803</v>
      </c>
      <c r="D371" s="24">
        <f t="shared" si="1"/>
        <v>556521.7391</v>
      </c>
      <c r="E371" s="25">
        <f t="shared" si="2"/>
        <v>-118.460201</v>
      </c>
      <c r="F371" s="24">
        <f t="shared" si="3"/>
        <v>0.0002128581738</v>
      </c>
      <c r="G371" s="24">
        <f t="shared" si="4"/>
        <v>0</v>
      </c>
      <c r="H371" s="26">
        <f t="shared" si="5"/>
        <v>0</v>
      </c>
      <c r="I371" s="24">
        <f t="shared" si="6"/>
        <v>0</v>
      </c>
      <c r="J371" s="24">
        <f t="shared" si="7"/>
        <v>0</v>
      </c>
      <c r="K371" s="24"/>
      <c r="L371" s="24">
        <f t="shared" si="8"/>
        <v>438.4985255</v>
      </c>
      <c r="M371" s="30">
        <f t="shared" si="9"/>
        <v>436.2986545</v>
      </c>
      <c r="N371" s="27">
        <f t="shared" si="10"/>
        <v>2.199871074</v>
      </c>
      <c r="O371" s="24"/>
      <c r="P371" s="24"/>
      <c r="Q371" s="24"/>
      <c r="R371" s="26"/>
      <c r="S371" s="14">
        <f t="shared" si="13"/>
        <v>2.0201331</v>
      </c>
      <c r="U371" s="21"/>
      <c r="V371" s="21"/>
    </row>
    <row r="372">
      <c r="A372" s="11">
        <v>360.0</v>
      </c>
      <c r="B372" s="11">
        <v>1.42096086956521E9</v>
      </c>
      <c r="C372" s="2">
        <v>-102.4153671</v>
      </c>
      <c r="D372" s="24">
        <f t="shared" si="1"/>
        <v>560869.5652</v>
      </c>
      <c r="E372" s="25">
        <f t="shared" si="2"/>
        <v>-119.3784972</v>
      </c>
      <c r="F372" s="24">
        <f t="shared" si="3"/>
        <v>0.0002128453826</v>
      </c>
      <c r="G372" s="24">
        <f t="shared" si="4"/>
        <v>0</v>
      </c>
      <c r="H372" s="26">
        <f t="shared" si="5"/>
        <v>0</v>
      </c>
      <c r="I372" s="24">
        <f t="shared" si="6"/>
        <v>0</v>
      </c>
      <c r="J372" s="24">
        <f t="shared" si="7"/>
        <v>0</v>
      </c>
      <c r="K372" s="24"/>
      <c r="L372" s="24">
        <f t="shared" si="8"/>
        <v>436.0833019</v>
      </c>
      <c r="M372" s="30">
        <f t="shared" si="9"/>
        <v>436.1819004</v>
      </c>
      <c r="N372" s="27">
        <f t="shared" si="10"/>
        <v>-0.09859852777</v>
      </c>
      <c r="O372" s="24"/>
      <c r="P372" s="24"/>
      <c r="Q372" s="24"/>
      <c r="R372" s="26"/>
      <c r="S372" s="14">
        <f t="shared" si="13"/>
        <v>-0.09054264675</v>
      </c>
      <c r="U372" s="21"/>
      <c r="V372" s="21"/>
    </row>
    <row r="373">
      <c r="A373" s="11">
        <v>361.0</v>
      </c>
      <c r="B373" s="11">
        <v>1.4209652173913E9</v>
      </c>
      <c r="C373" s="2">
        <v>-102.3751831</v>
      </c>
      <c r="D373" s="24">
        <f t="shared" si="1"/>
        <v>565217.3913</v>
      </c>
      <c r="E373" s="25">
        <f t="shared" si="2"/>
        <v>-120.2967933</v>
      </c>
      <c r="F373" s="24">
        <f t="shared" si="3"/>
        <v>0.0002128327882</v>
      </c>
      <c r="G373" s="24">
        <f t="shared" si="4"/>
        <v>0</v>
      </c>
      <c r="H373" s="26">
        <f t="shared" si="5"/>
        <v>0</v>
      </c>
      <c r="I373" s="24">
        <f t="shared" si="6"/>
        <v>0</v>
      </c>
      <c r="J373" s="24">
        <f t="shared" si="7"/>
        <v>0</v>
      </c>
      <c r="K373" s="24"/>
      <c r="L373" s="24">
        <f t="shared" si="8"/>
        <v>440.1369781</v>
      </c>
      <c r="M373" s="30">
        <f t="shared" si="9"/>
        <v>436.0650141</v>
      </c>
      <c r="N373" s="27">
        <f t="shared" si="10"/>
        <v>4.071964066</v>
      </c>
      <c r="O373" s="24"/>
      <c r="P373" s="24"/>
      <c r="Q373" s="24"/>
      <c r="R373" s="26"/>
      <c r="S373" s="14">
        <f t="shared" si="13"/>
        <v>3.739268846</v>
      </c>
      <c r="U373" s="21"/>
      <c r="V373" s="21"/>
    </row>
    <row r="374">
      <c r="A374" s="11">
        <v>362.0</v>
      </c>
      <c r="B374" s="11">
        <v>1.42096956521739E9</v>
      </c>
      <c r="C374" s="2">
        <v>-102.3781357</v>
      </c>
      <c r="D374" s="24">
        <f t="shared" si="1"/>
        <v>569565.2174</v>
      </c>
      <c r="E374" s="25">
        <f t="shared" si="2"/>
        <v>-121.2150894</v>
      </c>
      <c r="F374" s="24">
        <f t="shared" si="3"/>
        <v>0.000212820386</v>
      </c>
      <c r="G374" s="24">
        <f t="shared" si="4"/>
        <v>0</v>
      </c>
      <c r="H374" s="26">
        <f t="shared" si="5"/>
        <v>0</v>
      </c>
      <c r="I374" s="24">
        <f t="shared" si="6"/>
        <v>0</v>
      </c>
      <c r="J374" s="24">
        <f t="shared" si="7"/>
        <v>0</v>
      </c>
      <c r="K374" s="24"/>
      <c r="L374" s="24">
        <f t="shared" si="8"/>
        <v>439.8378477</v>
      </c>
      <c r="M374" s="30">
        <f t="shared" si="9"/>
        <v>435.9479956</v>
      </c>
      <c r="N374" s="27">
        <f t="shared" si="10"/>
        <v>3.889852178</v>
      </c>
      <c r="O374" s="24"/>
      <c r="P374" s="24"/>
      <c r="Q374" s="24"/>
      <c r="R374" s="26"/>
      <c r="S374" s="14">
        <f t="shared" si="13"/>
        <v>3.572036212</v>
      </c>
    </row>
    <row r="375">
      <c r="A375" s="11">
        <v>363.0</v>
      </c>
      <c r="B375" s="11">
        <v>1.42097391304347E9</v>
      </c>
      <c r="C375" s="2">
        <v>-102.4860916</v>
      </c>
      <c r="D375" s="24">
        <f t="shared" si="1"/>
        <v>573913.0435</v>
      </c>
      <c r="E375" s="25">
        <f t="shared" si="2"/>
        <v>-122.1333856</v>
      </c>
      <c r="F375" s="24">
        <f t="shared" si="3"/>
        <v>0.0002128081718</v>
      </c>
      <c r="G375" s="24">
        <f t="shared" si="4"/>
        <v>0</v>
      </c>
      <c r="H375" s="26">
        <f t="shared" si="5"/>
        <v>0</v>
      </c>
      <c r="I375" s="24">
        <f t="shared" si="6"/>
        <v>0</v>
      </c>
      <c r="J375" s="24">
        <f t="shared" si="7"/>
        <v>0</v>
      </c>
      <c r="K375" s="24"/>
      <c r="L375" s="24">
        <f t="shared" si="8"/>
        <v>429.0392328</v>
      </c>
      <c r="M375" s="30">
        <f t="shared" si="9"/>
        <v>435.830845</v>
      </c>
      <c r="N375" s="27">
        <f t="shared" si="10"/>
        <v>-6.791612228</v>
      </c>
      <c r="O375" s="24"/>
      <c r="P375" s="24"/>
      <c r="Q375" s="24"/>
      <c r="R375" s="26"/>
      <c r="S375" s="14">
        <f t="shared" si="13"/>
        <v>-6.236711245</v>
      </c>
    </row>
    <row r="376">
      <c r="A376" s="11">
        <v>364.0</v>
      </c>
      <c r="B376" s="11">
        <v>1.42097826086956E9</v>
      </c>
      <c r="C376" s="2">
        <v>-102.3845139</v>
      </c>
      <c r="D376" s="24">
        <f t="shared" si="1"/>
        <v>578260.8696</v>
      </c>
      <c r="E376" s="25">
        <f t="shared" si="2"/>
        <v>-123.0516817</v>
      </c>
      <c r="F376" s="24">
        <f t="shared" si="3"/>
        <v>0.0002127961413</v>
      </c>
      <c r="G376" s="24">
        <f t="shared" si="4"/>
        <v>0</v>
      </c>
      <c r="H376" s="26">
        <f t="shared" si="5"/>
        <v>0</v>
      </c>
      <c r="I376" s="24">
        <f t="shared" si="6"/>
        <v>0</v>
      </c>
      <c r="J376" s="24">
        <f t="shared" si="7"/>
        <v>0</v>
      </c>
      <c r="K376" s="24"/>
      <c r="L376" s="24">
        <f t="shared" si="8"/>
        <v>439.1923607</v>
      </c>
      <c r="M376" s="30">
        <f t="shared" si="9"/>
        <v>435.7135626</v>
      </c>
      <c r="N376" s="27">
        <f t="shared" si="10"/>
        <v>3.478798031</v>
      </c>
      <c r="O376" s="24"/>
      <c r="P376" s="24"/>
      <c r="Q376" s="24"/>
      <c r="R376" s="26"/>
      <c r="S376" s="14">
        <f t="shared" si="13"/>
        <v>3.194566771</v>
      </c>
    </row>
    <row r="377">
      <c r="A377" s="11">
        <v>365.0</v>
      </c>
      <c r="B377" s="11">
        <v>1.42098260869565E9</v>
      </c>
      <c r="C377" s="2">
        <v>-102.4146729</v>
      </c>
      <c r="D377" s="24">
        <f t="shared" si="1"/>
        <v>582608.6957</v>
      </c>
      <c r="E377" s="25">
        <f t="shared" si="2"/>
        <v>-123.9699778</v>
      </c>
      <c r="F377" s="24">
        <f t="shared" si="3"/>
        <v>0.0002127842903</v>
      </c>
      <c r="G377" s="24">
        <f t="shared" si="4"/>
        <v>0</v>
      </c>
      <c r="H377" s="26">
        <f t="shared" si="5"/>
        <v>0</v>
      </c>
      <c r="I377" s="24">
        <f t="shared" si="6"/>
        <v>0</v>
      </c>
      <c r="J377" s="24">
        <f t="shared" si="7"/>
        <v>0</v>
      </c>
      <c r="K377" s="24"/>
      <c r="L377" s="24">
        <f t="shared" si="8"/>
        <v>436.1530134</v>
      </c>
      <c r="M377" s="30">
        <f t="shared" si="9"/>
        <v>435.5961485</v>
      </c>
      <c r="N377" s="27">
        <f t="shared" si="10"/>
        <v>0.5568648926</v>
      </c>
      <c r="O377" s="24"/>
      <c r="P377" s="24"/>
      <c r="Q377" s="24"/>
      <c r="R377" s="26"/>
      <c r="S377" s="14">
        <f t="shared" si="13"/>
        <v>0.5113668774</v>
      </c>
    </row>
    <row r="378">
      <c r="A378" s="11">
        <v>366.0</v>
      </c>
      <c r="B378" s="11">
        <v>1.42098695652173E9</v>
      </c>
      <c r="C378" s="2">
        <v>-102.4416504</v>
      </c>
      <c r="D378" s="24">
        <f t="shared" si="1"/>
        <v>586956.5217</v>
      </c>
      <c r="E378" s="25">
        <f t="shared" si="2"/>
        <v>-124.888274</v>
      </c>
      <c r="F378" s="24">
        <f t="shared" si="3"/>
        <v>0.0002127726149</v>
      </c>
      <c r="G378" s="24">
        <f t="shared" si="4"/>
        <v>0</v>
      </c>
      <c r="H378" s="26">
        <f t="shared" si="5"/>
        <v>0</v>
      </c>
      <c r="I378" s="24">
        <f t="shared" si="6"/>
        <v>0</v>
      </c>
      <c r="J378" s="24">
        <f t="shared" si="7"/>
        <v>0</v>
      </c>
      <c r="K378" s="24"/>
      <c r="L378" s="24">
        <f t="shared" si="8"/>
        <v>433.452116</v>
      </c>
      <c r="M378" s="30">
        <f t="shared" si="9"/>
        <v>435.4786028</v>
      </c>
      <c r="N378" s="27">
        <f t="shared" si="10"/>
        <v>-2.026486789</v>
      </c>
      <c r="O378" s="24"/>
      <c r="P378" s="24"/>
      <c r="Q378" s="24"/>
      <c r="R378" s="26"/>
      <c r="S378" s="14">
        <f t="shared" si="13"/>
        <v>-1.860914982</v>
      </c>
    </row>
    <row r="379">
      <c r="A379" s="11">
        <v>367.0</v>
      </c>
      <c r="B379" s="11">
        <v>1.42099130434782E9</v>
      </c>
      <c r="C379" s="2">
        <v>-102.3929138</v>
      </c>
      <c r="D379" s="24">
        <f t="shared" si="1"/>
        <v>591304.3478</v>
      </c>
      <c r="E379" s="25">
        <f t="shared" si="2"/>
        <v>-125.8065701</v>
      </c>
      <c r="F379" s="24">
        <f t="shared" si="3"/>
        <v>0.0002127611112</v>
      </c>
      <c r="G379" s="24">
        <f t="shared" si="4"/>
        <v>0</v>
      </c>
      <c r="H379" s="26">
        <f t="shared" si="5"/>
        <v>0</v>
      </c>
      <c r="I379" s="24">
        <f t="shared" si="6"/>
        <v>0</v>
      </c>
      <c r="J379" s="24">
        <f t="shared" si="7"/>
        <v>0</v>
      </c>
      <c r="K379" s="24"/>
      <c r="L379" s="24">
        <f t="shared" si="8"/>
        <v>438.3437184</v>
      </c>
      <c r="M379" s="30">
        <f t="shared" si="9"/>
        <v>435.3609256</v>
      </c>
      <c r="N379" s="27">
        <f t="shared" si="10"/>
        <v>2.982792855</v>
      </c>
      <c r="O379" s="24"/>
      <c r="P379" s="24"/>
      <c r="Q379" s="24"/>
      <c r="R379" s="26"/>
      <c r="S379" s="14">
        <f t="shared" si="13"/>
        <v>2.739087144</v>
      </c>
    </row>
    <row r="380">
      <c r="A380" s="11">
        <v>368.0</v>
      </c>
      <c r="B380" s="11">
        <v>1.42099565217391E9</v>
      </c>
      <c r="C380" s="2">
        <v>-102.4457932</v>
      </c>
      <c r="D380" s="24">
        <f t="shared" si="1"/>
        <v>595652.1739</v>
      </c>
      <c r="E380" s="25">
        <f t="shared" si="2"/>
        <v>-126.7248662</v>
      </c>
      <c r="F380" s="24">
        <f t="shared" si="3"/>
        <v>0.0002127497754</v>
      </c>
      <c r="G380" s="24">
        <f t="shared" si="4"/>
        <v>0</v>
      </c>
      <c r="H380" s="26">
        <f t="shared" si="5"/>
        <v>0</v>
      </c>
      <c r="I380" s="24">
        <f t="shared" si="6"/>
        <v>0</v>
      </c>
      <c r="J380" s="24">
        <f t="shared" si="7"/>
        <v>0</v>
      </c>
      <c r="K380" s="24"/>
      <c r="L380" s="24">
        <f t="shared" si="8"/>
        <v>433.0388367</v>
      </c>
      <c r="M380" s="30">
        <f t="shared" si="9"/>
        <v>435.243117</v>
      </c>
      <c r="N380" s="27">
        <f t="shared" si="10"/>
        <v>-2.204280373</v>
      </c>
      <c r="O380" s="24"/>
      <c r="P380" s="24"/>
      <c r="Q380" s="24"/>
      <c r="R380" s="26"/>
      <c r="S380" s="14">
        <f t="shared" si="13"/>
        <v>-2.024182137</v>
      </c>
    </row>
    <row r="381">
      <c r="A381" s="11">
        <v>369.0</v>
      </c>
      <c r="B381" s="11">
        <v>1.421E9</v>
      </c>
      <c r="C381" s="2">
        <v>-102.4352417</v>
      </c>
      <c r="D381" s="24">
        <f t="shared" si="1"/>
        <v>600000</v>
      </c>
      <c r="E381" s="25">
        <f t="shared" si="2"/>
        <v>-127.6431624</v>
      </c>
      <c r="F381" s="24">
        <f t="shared" si="3"/>
        <v>0.0002127386039</v>
      </c>
      <c r="G381" s="24">
        <f t="shared" si="4"/>
        <v>0</v>
      </c>
      <c r="H381" s="26">
        <f t="shared" si="5"/>
        <v>0</v>
      </c>
      <c r="I381" s="24">
        <f t="shared" si="6"/>
        <v>0</v>
      </c>
      <c r="J381" s="24">
        <f t="shared" si="7"/>
        <v>0</v>
      </c>
      <c r="K381" s="24"/>
      <c r="L381" s="24">
        <f t="shared" si="8"/>
        <v>434.0922151</v>
      </c>
      <c r="M381" s="30">
        <f t="shared" si="9"/>
        <v>435.1251773</v>
      </c>
      <c r="N381" s="27">
        <f t="shared" si="10"/>
        <v>-1.032962241</v>
      </c>
      <c r="O381" s="24"/>
      <c r="P381" s="24"/>
      <c r="Q381" s="24"/>
      <c r="R381" s="26"/>
      <c r="S381" s="14">
        <f t="shared" si="13"/>
        <v>-0.9485652316</v>
      </c>
    </row>
    <row r="382">
      <c r="A382" s="11">
        <v>370.0</v>
      </c>
      <c r="B382" s="11">
        <v>1.42100434782608E9</v>
      </c>
      <c r="C382" s="2">
        <v>-102.4189987</v>
      </c>
      <c r="D382" s="24">
        <f t="shared" si="1"/>
        <v>604347.8261</v>
      </c>
      <c r="E382" s="25">
        <f t="shared" si="2"/>
        <v>-128.5614585</v>
      </c>
      <c r="F382" s="24">
        <f t="shared" si="3"/>
        <v>0.0002127275932</v>
      </c>
      <c r="G382" s="24">
        <f t="shared" si="4"/>
        <v>0</v>
      </c>
      <c r="H382" s="26">
        <f t="shared" si="5"/>
        <v>0</v>
      </c>
      <c r="I382" s="24">
        <f t="shared" si="6"/>
        <v>0</v>
      </c>
      <c r="J382" s="24">
        <f t="shared" si="7"/>
        <v>0</v>
      </c>
      <c r="K382" s="24"/>
      <c r="L382" s="24">
        <f t="shared" si="8"/>
        <v>435.7187985</v>
      </c>
      <c r="M382" s="30">
        <f t="shared" si="9"/>
        <v>435.0071066</v>
      </c>
      <c r="N382" s="27">
        <f t="shared" si="10"/>
        <v>0.7116918917</v>
      </c>
      <c r="O382" s="24"/>
      <c r="P382" s="24"/>
      <c r="Q382" s="24"/>
      <c r="R382" s="26"/>
      <c r="S382" s="14">
        <f t="shared" si="13"/>
        <v>0.6535439119</v>
      </c>
    </row>
    <row r="383">
      <c r="A383" s="11">
        <v>371.0</v>
      </c>
      <c r="B383" s="11">
        <v>1.42100869565217E9</v>
      </c>
      <c r="C383" s="2">
        <v>-102.3686523</v>
      </c>
      <c r="D383" s="24">
        <f t="shared" si="1"/>
        <v>608695.6522</v>
      </c>
      <c r="E383" s="25">
        <f t="shared" si="2"/>
        <v>-129.4797546</v>
      </c>
      <c r="F383" s="24">
        <f t="shared" si="3"/>
        <v>0.0002127167398</v>
      </c>
      <c r="G383" s="24">
        <f t="shared" si="4"/>
        <v>0</v>
      </c>
      <c r="H383" s="26">
        <f t="shared" si="5"/>
        <v>0</v>
      </c>
      <c r="I383" s="24">
        <f t="shared" si="6"/>
        <v>0</v>
      </c>
      <c r="J383" s="24">
        <f t="shared" si="7"/>
        <v>0</v>
      </c>
      <c r="K383" s="24"/>
      <c r="L383" s="24">
        <f t="shared" si="8"/>
        <v>440.7993418</v>
      </c>
      <c r="M383" s="30">
        <f t="shared" si="9"/>
        <v>434.888905</v>
      </c>
      <c r="N383" s="27">
        <f t="shared" si="10"/>
        <v>5.910436867</v>
      </c>
      <c r="O383" s="24"/>
      <c r="P383" s="24"/>
      <c r="Q383" s="24"/>
      <c r="R383" s="26"/>
      <c r="S383" s="14">
        <f t="shared" si="13"/>
        <v>5.427531305</v>
      </c>
    </row>
    <row r="384">
      <c r="A384" s="11">
        <v>372.0</v>
      </c>
      <c r="B384" s="11">
        <v>1.42101304347826E9</v>
      </c>
      <c r="C384" s="2">
        <v>-102.4753799</v>
      </c>
      <c r="D384" s="24">
        <f t="shared" si="1"/>
        <v>613043.4783</v>
      </c>
      <c r="E384" s="25">
        <f t="shared" si="2"/>
        <v>-130.3980508</v>
      </c>
      <c r="F384" s="24">
        <f t="shared" si="3"/>
        <v>0.0002127060402</v>
      </c>
      <c r="G384" s="24">
        <f t="shared" si="4"/>
        <v>0</v>
      </c>
      <c r="H384" s="26">
        <f t="shared" si="5"/>
        <v>0</v>
      </c>
      <c r="I384" s="24">
        <f t="shared" si="6"/>
        <v>0</v>
      </c>
      <c r="J384" s="24">
        <f t="shared" si="7"/>
        <v>0</v>
      </c>
      <c r="K384" s="24"/>
      <c r="L384" s="24">
        <f t="shared" si="8"/>
        <v>430.098747</v>
      </c>
      <c r="M384" s="30">
        <f t="shared" si="9"/>
        <v>434.7705726</v>
      </c>
      <c r="N384" s="27">
        <f t="shared" si="10"/>
        <v>-4.671825507</v>
      </c>
      <c r="O384" s="24"/>
      <c r="P384" s="24"/>
      <c r="Q384" s="24"/>
      <c r="R384" s="26"/>
      <c r="S384" s="14">
        <f t="shared" si="13"/>
        <v>-4.290119296</v>
      </c>
    </row>
    <row r="385">
      <c r="A385" s="11">
        <v>373.0</v>
      </c>
      <c r="B385" s="11">
        <v>1.42101739130434E9</v>
      </c>
      <c r="C385" s="2">
        <v>-102.4693069</v>
      </c>
      <c r="D385" s="24">
        <f t="shared" si="1"/>
        <v>617391.3043</v>
      </c>
      <c r="E385" s="25">
        <f t="shared" si="2"/>
        <v>-131.3163469</v>
      </c>
      <c r="F385" s="24">
        <f t="shared" si="3"/>
        <v>0.0002126954915</v>
      </c>
      <c r="G385" s="24">
        <f t="shared" si="4"/>
        <v>0</v>
      </c>
      <c r="H385" s="26">
        <f t="shared" si="5"/>
        <v>0</v>
      </c>
      <c r="I385" s="24">
        <f t="shared" si="6"/>
        <v>0</v>
      </c>
      <c r="J385" s="24">
        <f t="shared" si="7"/>
        <v>0</v>
      </c>
      <c r="K385" s="24"/>
      <c r="L385" s="24">
        <f t="shared" si="8"/>
        <v>430.7006006</v>
      </c>
      <c r="M385" s="30">
        <f t="shared" si="9"/>
        <v>434.6521095</v>
      </c>
      <c r="N385" s="27">
        <f t="shared" si="10"/>
        <v>-3.951508924</v>
      </c>
      <c r="O385" s="24"/>
      <c r="P385" s="24"/>
      <c r="Q385" s="24"/>
      <c r="R385" s="26"/>
      <c r="S385" s="14">
        <f t="shared" si="13"/>
        <v>-3.628655364</v>
      </c>
    </row>
    <row r="386">
      <c r="A386" s="11">
        <v>374.0</v>
      </c>
      <c r="B386" s="11">
        <v>1.42102173913043E9</v>
      </c>
      <c r="C386" s="2">
        <v>-102.4160385</v>
      </c>
      <c r="D386" s="24">
        <f t="shared" si="1"/>
        <v>621739.1304</v>
      </c>
      <c r="E386" s="25">
        <f t="shared" si="2"/>
        <v>-132.234643</v>
      </c>
      <c r="F386" s="24">
        <f t="shared" si="3"/>
        <v>0.0002126850902</v>
      </c>
      <c r="G386" s="24">
        <f t="shared" si="4"/>
        <v>0</v>
      </c>
      <c r="H386" s="26">
        <f t="shared" si="5"/>
        <v>0</v>
      </c>
      <c r="I386" s="24">
        <f t="shared" si="6"/>
        <v>0</v>
      </c>
      <c r="J386" s="24">
        <f t="shared" si="7"/>
        <v>0</v>
      </c>
      <c r="K386" s="24"/>
      <c r="L386" s="24">
        <f t="shared" si="8"/>
        <v>436.0158906</v>
      </c>
      <c r="M386" s="30">
        <f t="shared" si="9"/>
        <v>434.533516</v>
      </c>
      <c r="N386" s="27">
        <f t="shared" si="10"/>
        <v>1.482374534</v>
      </c>
      <c r="O386" s="24"/>
      <c r="P386" s="24"/>
      <c r="Q386" s="24"/>
      <c r="R386" s="26"/>
      <c r="S386" s="14">
        <f t="shared" si="13"/>
        <v>1.361258799</v>
      </c>
    </row>
    <row r="387">
      <c r="A387" s="11">
        <v>375.0</v>
      </c>
      <c r="B387" s="11">
        <v>1.42102608695652E9</v>
      </c>
      <c r="C387" s="2">
        <v>-102.4303131</v>
      </c>
      <c r="D387" s="24">
        <f t="shared" si="1"/>
        <v>626086.9565</v>
      </c>
      <c r="E387" s="25">
        <f t="shared" si="2"/>
        <v>-133.1529392</v>
      </c>
      <c r="F387" s="24">
        <f t="shared" si="3"/>
        <v>0.0002126748334</v>
      </c>
      <c r="G387" s="24">
        <f t="shared" si="4"/>
        <v>0</v>
      </c>
      <c r="H387" s="26">
        <f t="shared" si="5"/>
        <v>0</v>
      </c>
      <c r="I387" s="24">
        <f t="shared" si="6"/>
        <v>0</v>
      </c>
      <c r="J387" s="24">
        <f t="shared" si="7"/>
        <v>0</v>
      </c>
      <c r="K387" s="24"/>
      <c r="L387" s="24">
        <f t="shared" si="8"/>
        <v>434.5851252</v>
      </c>
      <c r="M387" s="30">
        <f t="shared" si="9"/>
        <v>434.4147922</v>
      </c>
      <c r="N387" s="27">
        <f t="shared" si="10"/>
        <v>0.1703330132</v>
      </c>
      <c r="O387" s="24"/>
      <c r="P387" s="24"/>
      <c r="Q387" s="24"/>
      <c r="R387" s="26"/>
      <c r="S387" s="14">
        <f t="shared" si="13"/>
        <v>0.1564161473</v>
      </c>
    </row>
    <row r="388">
      <c r="A388" s="11">
        <v>376.0</v>
      </c>
      <c r="B388" s="11">
        <v>1.4210304347826E9</v>
      </c>
      <c r="C388" s="2">
        <v>-102.437645</v>
      </c>
      <c r="D388" s="24">
        <f t="shared" si="1"/>
        <v>630434.7826</v>
      </c>
      <c r="E388" s="25">
        <f t="shared" si="2"/>
        <v>-134.0712353</v>
      </c>
      <c r="F388" s="24">
        <f t="shared" si="3"/>
        <v>0.0002126647181</v>
      </c>
      <c r="G388" s="24">
        <f t="shared" si="4"/>
        <v>0</v>
      </c>
      <c r="H388" s="26">
        <f t="shared" si="5"/>
        <v>0</v>
      </c>
      <c r="I388" s="24">
        <f t="shared" si="6"/>
        <v>0</v>
      </c>
      <c r="J388" s="24">
        <f t="shared" si="7"/>
        <v>0</v>
      </c>
      <c r="K388" s="24"/>
      <c r="L388" s="24">
        <f t="shared" si="8"/>
        <v>433.8520635</v>
      </c>
      <c r="M388" s="30">
        <f t="shared" si="9"/>
        <v>434.2959381</v>
      </c>
      <c r="N388" s="27">
        <f t="shared" si="10"/>
        <v>-0.44387465</v>
      </c>
      <c r="O388" s="24"/>
      <c r="P388" s="24"/>
      <c r="Q388" s="24"/>
      <c r="R388" s="26"/>
      <c r="S388" s="14">
        <f t="shared" si="13"/>
        <v>-0.4076083746</v>
      </c>
    </row>
    <row r="389">
      <c r="A389" s="11">
        <v>377.0</v>
      </c>
      <c r="B389" s="11">
        <v>1.42103478260869E9</v>
      </c>
      <c r="C389" s="2">
        <v>-102.4067459</v>
      </c>
      <c r="D389" s="24">
        <f t="shared" si="1"/>
        <v>634782.6087</v>
      </c>
      <c r="E389" s="25">
        <f t="shared" si="2"/>
        <v>-134.9895314</v>
      </c>
      <c r="F389" s="24">
        <f t="shared" si="3"/>
        <v>0.0002126547413</v>
      </c>
      <c r="G389" s="24">
        <f t="shared" si="4"/>
        <v>0</v>
      </c>
      <c r="H389" s="26">
        <f t="shared" si="5"/>
        <v>0</v>
      </c>
      <c r="I389" s="24">
        <f t="shared" si="6"/>
        <v>0</v>
      </c>
      <c r="J389" s="24">
        <f t="shared" si="7"/>
        <v>0</v>
      </c>
      <c r="K389" s="24"/>
      <c r="L389" s="24">
        <f t="shared" si="8"/>
        <v>436.9498327</v>
      </c>
      <c r="M389" s="30">
        <f t="shared" si="9"/>
        <v>434.176954</v>
      </c>
      <c r="N389" s="27">
        <f t="shared" si="10"/>
        <v>2.772878655</v>
      </c>
      <c r="O389" s="24"/>
      <c r="P389" s="24"/>
      <c r="Q389" s="24"/>
      <c r="R389" s="26"/>
      <c r="S389" s="14">
        <f t="shared" si="13"/>
        <v>2.546323746</v>
      </c>
    </row>
    <row r="390">
      <c r="A390" s="11">
        <v>378.0</v>
      </c>
      <c r="B390" s="11">
        <v>1.42103913043478E9</v>
      </c>
      <c r="C390" s="2">
        <v>-102.4275208</v>
      </c>
      <c r="D390" s="24">
        <f t="shared" si="1"/>
        <v>639130.4348</v>
      </c>
      <c r="E390" s="25">
        <f t="shared" si="2"/>
        <v>-135.9078276</v>
      </c>
      <c r="F390" s="24">
        <f t="shared" si="3"/>
        <v>0.0002126449003</v>
      </c>
      <c r="G390" s="24">
        <f t="shared" si="4"/>
        <v>0</v>
      </c>
      <c r="H390" s="26">
        <f t="shared" si="5"/>
        <v>0</v>
      </c>
      <c r="I390" s="24">
        <f t="shared" si="6"/>
        <v>0</v>
      </c>
      <c r="J390" s="24">
        <f t="shared" si="7"/>
        <v>0</v>
      </c>
      <c r="K390" s="24"/>
      <c r="L390" s="24">
        <f t="shared" si="8"/>
        <v>434.8646319</v>
      </c>
      <c r="M390" s="30">
        <f t="shared" si="9"/>
        <v>434.05784</v>
      </c>
      <c r="N390" s="27">
        <f t="shared" si="10"/>
        <v>0.8067919121</v>
      </c>
      <c r="O390" s="24"/>
      <c r="P390" s="24"/>
      <c r="Q390" s="24"/>
      <c r="R390" s="26"/>
      <c r="S390" s="14">
        <f t="shared" si="13"/>
        <v>0.7408738912</v>
      </c>
    </row>
    <row r="391">
      <c r="A391" s="11">
        <v>379.0</v>
      </c>
      <c r="B391" s="11">
        <v>1.42104347826087E9</v>
      </c>
      <c r="C391" s="2">
        <v>-102.3868637</v>
      </c>
      <c r="D391" s="24">
        <f t="shared" si="1"/>
        <v>643478.2609</v>
      </c>
      <c r="E391" s="25">
        <f t="shared" si="2"/>
        <v>-136.8261237</v>
      </c>
      <c r="F391" s="24">
        <f t="shared" si="3"/>
        <v>0.0002126351922</v>
      </c>
      <c r="G391" s="24">
        <f t="shared" si="4"/>
        <v>0</v>
      </c>
      <c r="H391" s="26">
        <f t="shared" si="5"/>
        <v>0</v>
      </c>
      <c r="I391" s="24">
        <f t="shared" si="6"/>
        <v>0</v>
      </c>
      <c r="J391" s="24">
        <f t="shared" si="7"/>
        <v>0</v>
      </c>
      <c r="K391" s="24"/>
      <c r="L391" s="24">
        <f t="shared" si="8"/>
        <v>438.9547949</v>
      </c>
      <c r="M391" s="30">
        <f t="shared" si="9"/>
        <v>433.9385962</v>
      </c>
      <c r="N391" s="27">
        <f t="shared" si="10"/>
        <v>5.016198716</v>
      </c>
      <c r="O391" s="24"/>
      <c r="P391" s="24"/>
      <c r="Q391" s="24"/>
      <c r="R391" s="26"/>
      <c r="S391" s="14">
        <f t="shared" si="13"/>
        <v>4.606355882</v>
      </c>
    </row>
    <row r="392">
      <c r="A392" s="11">
        <v>380.0</v>
      </c>
      <c r="B392" s="11">
        <v>1.42104782608695E9</v>
      </c>
      <c r="C392" s="2">
        <v>-102.4705124</v>
      </c>
      <c r="D392" s="24">
        <f t="shared" si="1"/>
        <v>647826.087</v>
      </c>
      <c r="E392" s="25">
        <f t="shared" si="2"/>
        <v>-137.7444198</v>
      </c>
      <c r="F392" s="24">
        <f t="shared" si="3"/>
        <v>0.0002126256145</v>
      </c>
      <c r="G392" s="24">
        <f t="shared" si="4"/>
        <v>0</v>
      </c>
      <c r="H392" s="26">
        <f t="shared" si="5"/>
        <v>0</v>
      </c>
      <c r="I392" s="24">
        <f t="shared" si="6"/>
        <v>0</v>
      </c>
      <c r="J392" s="24">
        <f t="shared" si="7"/>
        <v>0</v>
      </c>
      <c r="K392" s="24"/>
      <c r="L392" s="24">
        <f t="shared" si="8"/>
        <v>430.5810648</v>
      </c>
      <c r="M392" s="30">
        <f t="shared" si="9"/>
        <v>433.8192227</v>
      </c>
      <c r="N392" s="27">
        <f t="shared" si="10"/>
        <v>-3.238157957</v>
      </c>
      <c r="O392" s="24"/>
      <c r="P392" s="24"/>
      <c r="Q392" s="24"/>
      <c r="R392" s="26"/>
      <c r="S392" s="14">
        <f t="shared" si="13"/>
        <v>-2.97358793</v>
      </c>
    </row>
    <row r="393">
      <c r="A393" s="11">
        <v>381.0</v>
      </c>
      <c r="B393" s="11">
        <v>1.42105217391304E9</v>
      </c>
      <c r="C393" s="2">
        <v>-102.4558258</v>
      </c>
      <c r="D393" s="24">
        <f t="shared" si="1"/>
        <v>652173.913</v>
      </c>
      <c r="E393" s="25">
        <f t="shared" si="2"/>
        <v>-138.662716</v>
      </c>
      <c r="F393" s="24">
        <f t="shared" si="3"/>
        <v>0.0002126161645</v>
      </c>
      <c r="G393" s="24">
        <f t="shared" si="4"/>
        <v>0</v>
      </c>
      <c r="H393" s="26">
        <f t="shared" si="5"/>
        <v>0</v>
      </c>
      <c r="I393" s="24">
        <f t="shared" si="6"/>
        <v>0</v>
      </c>
      <c r="J393" s="24">
        <f t="shared" si="7"/>
        <v>0</v>
      </c>
      <c r="K393" s="24"/>
      <c r="L393" s="24">
        <f t="shared" si="8"/>
        <v>432.0396319</v>
      </c>
      <c r="M393" s="30">
        <f t="shared" si="9"/>
        <v>433.6997198</v>
      </c>
      <c r="N393" s="27">
        <f t="shared" si="10"/>
        <v>-1.66008788</v>
      </c>
      <c r="O393" s="24"/>
      <c r="P393" s="24"/>
      <c r="Q393" s="24"/>
      <c r="R393" s="26"/>
      <c r="S393" s="14">
        <f t="shared" si="13"/>
        <v>-1.524452277</v>
      </c>
    </row>
    <row r="394">
      <c r="A394" s="11">
        <v>382.0</v>
      </c>
      <c r="B394" s="11">
        <v>1.42105652173913E9</v>
      </c>
      <c r="C394" s="2">
        <v>-102.48703</v>
      </c>
      <c r="D394" s="24">
        <f t="shared" si="1"/>
        <v>656521.7391</v>
      </c>
      <c r="E394" s="25">
        <f t="shared" si="2"/>
        <v>-139.5810121</v>
      </c>
      <c r="F394" s="24">
        <f t="shared" si="3"/>
        <v>0.0002126068396</v>
      </c>
      <c r="G394" s="24">
        <f t="shared" si="4"/>
        <v>0</v>
      </c>
      <c r="H394" s="26">
        <f t="shared" si="5"/>
        <v>0</v>
      </c>
      <c r="I394" s="24">
        <f t="shared" si="6"/>
        <v>0</v>
      </c>
      <c r="J394" s="24">
        <f t="shared" si="7"/>
        <v>0</v>
      </c>
      <c r="K394" s="24"/>
      <c r="L394" s="24">
        <f t="shared" si="8"/>
        <v>428.9465384</v>
      </c>
      <c r="M394" s="30">
        <f t="shared" si="9"/>
        <v>433.5800875</v>
      </c>
      <c r="N394" s="27">
        <f t="shared" si="10"/>
        <v>-4.633549097</v>
      </c>
      <c r="O394" s="24"/>
      <c r="P394" s="24"/>
      <c r="Q394" s="24"/>
      <c r="R394" s="26"/>
      <c r="S394" s="14">
        <f t="shared" si="13"/>
        <v>-4.254970217</v>
      </c>
    </row>
    <row r="395">
      <c r="A395" s="11">
        <v>383.0</v>
      </c>
      <c r="B395" s="11">
        <v>1.42106086956521E9</v>
      </c>
      <c r="C395" s="2">
        <v>-102.3390427</v>
      </c>
      <c r="D395" s="24">
        <f t="shared" si="1"/>
        <v>660869.5652</v>
      </c>
      <c r="E395" s="25">
        <f t="shared" si="2"/>
        <v>-140.4993082</v>
      </c>
      <c r="F395" s="24">
        <f t="shared" si="3"/>
        <v>0.0002125976374</v>
      </c>
      <c r="G395" s="24">
        <f t="shared" si="4"/>
        <v>0</v>
      </c>
      <c r="H395" s="26">
        <f t="shared" si="5"/>
        <v>0</v>
      </c>
      <c r="I395" s="24">
        <f t="shared" si="6"/>
        <v>0</v>
      </c>
      <c r="J395" s="24">
        <f t="shared" si="7"/>
        <v>0</v>
      </c>
      <c r="K395" s="24"/>
      <c r="L395" s="24">
        <f t="shared" si="8"/>
        <v>443.8149193</v>
      </c>
      <c r="M395" s="30">
        <f t="shared" si="9"/>
        <v>433.4603259</v>
      </c>
      <c r="N395" s="27">
        <f t="shared" si="10"/>
        <v>10.35459336</v>
      </c>
      <c r="O395" s="24"/>
      <c r="P395" s="24"/>
      <c r="Q395" s="24"/>
      <c r="R395" s="26"/>
      <c r="S395" s="14">
        <f t="shared" si="13"/>
        <v>9.508583037</v>
      </c>
    </row>
    <row r="396">
      <c r="A396" s="11">
        <v>384.0</v>
      </c>
      <c r="B396" s="11">
        <v>1.4210652173913E9</v>
      </c>
      <c r="C396" s="2">
        <v>-102.4411774</v>
      </c>
      <c r="D396" s="24">
        <f t="shared" si="1"/>
        <v>665217.3913</v>
      </c>
      <c r="E396" s="25">
        <f t="shared" si="2"/>
        <v>-141.4176043</v>
      </c>
      <c r="F396" s="24">
        <f t="shared" si="3"/>
        <v>0.0002125885556</v>
      </c>
      <c r="G396" s="24">
        <f t="shared" si="4"/>
        <v>0</v>
      </c>
      <c r="H396" s="26">
        <f t="shared" si="5"/>
        <v>0</v>
      </c>
      <c r="I396" s="24">
        <f t="shared" si="6"/>
        <v>0</v>
      </c>
      <c r="J396" s="24">
        <f t="shared" si="7"/>
        <v>0</v>
      </c>
      <c r="K396" s="24"/>
      <c r="L396" s="24">
        <f t="shared" si="8"/>
        <v>433.4993268</v>
      </c>
      <c r="M396" s="30">
        <f t="shared" si="9"/>
        <v>433.3404353</v>
      </c>
      <c r="N396" s="27">
        <f t="shared" si="10"/>
        <v>0.1588915043</v>
      </c>
      <c r="O396" s="24"/>
      <c r="P396" s="24"/>
      <c r="Q396" s="24"/>
      <c r="R396" s="26"/>
      <c r="S396" s="14">
        <f t="shared" si="13"/>
        <v>0.1459094536</v>
      </c>
    </row>
    <row r="397">
      <c r="A397" s="11">
        <v>385.0</v>
      </c>
      <c r="B397" s="11">
        <v>1.42106956521739E9</v>
      </c>
      <c r="C397" s="2">
        <v>-102.4045944</v>
      </c>
      <c r="D397" s="24">
        <f t="shared" si="1"/>
        <v>669565.2174</v>
      </c>
      <c r="E397" s="25">
        <f t="shared" si="2"/>
        <v>-142.3359005</v>
      </c>
      <c r="F397" s="24">
        <f t="shared" si="3"/>
        <v>0.0002125795916</v>
      </c>
      <c r="G397" s="24">
        <f t="shared" si="4"/>
        <v>0</v>
      </c>
      <c r="H397" s="26">
        <f t="shared" si="5"/>
        <v>0</v>
      </c>
      <c r="I397" s="24">
        <f t="shared" si="6"/>
        <v>0</v>
      </c>
      <c r="J397" s="24">
        <f t="shared" si="7"/>
        <v>0</v>
      </c>
      <c r="K397" s="24"/>
      <c r="L397" s="24">
        <f t="shared" si="8"/>
        <v>437.1663518</v>
      </c>
      <c r="M397" s="30">
        <f t="shared" si="9"/>
        <v>433.2204157</v>
      </c>
      <c r="N397" s="27">
        <f t="shared" si="10"/>
        <v>3.945936038</v>
      </c>
      <c r="O397" s="24"/>
      <c r="P397" s="24"/>
      <c r="Q397" s="24"/>
      <c r="R397" s="26"/>
      <c r="S397" s="14">
        <f t="shared" si="13"/>
        <v>3.623537804</v>
      </c>
    </row>
    <row r="398">
      <c r="A398" s="11">
        <v>386.0</v>
      </c>
      <c r="B398" s="11">
        <v>1.42107391304347E9</v>
      </c>
      <c r="C398" s="2">
        <v>-102.3775482</v>
      </c>
      <c r="D398" s="24">
        <f t="shared" si="1"/>
        <v>673913.0435</v>
      </c>
      <c r="E398" s="25">
        <f t="shared" si="2"/>
        <v>-143.2541966</v>
      </c>
      <c r="F398" s="24">
        <f t="shared" si="3"/>
        <v>0.0002125707434</v>
      </c>
      <c r="G398" s="24">
        <f t="shared" si="4"/>
        <v>0</v>
      </c>
      <c r="H398" s="26">
        <f t="shared" si="5"/>
        <v>0</v>
      </c>
      <c r="I398" s="24">
        <f t="shared" si="6"/>
        <v>0</v>
      </c>
      <c r="J398" s="24">
        <f t="shared" si="7"/>
        <v>0</v>
      </c>
      <c r="K398" s="24"/>
      <c r="L398" s="24">
        <f t="shared" si="8"/>
        <v>439.8973517</v>
      </c>
      <c r="M398" s="30">
        <f t="shared" si="9"/>
        <v>433.1002674</v>
      </c>
      <c r="N398" s="27">
        <f t="shared" si="10"/>
        <v>6.797084297</v>
      </c>
      <c r="O398" s="24"/>
      <c r="P398" s="24"/>
      <c r="Q398" s="24"/>
      <c r="R398" s="26"/>
      <c r="S398" s="14">
        <f t="shared" si="13"/>
        <v>6.241736225</v>
      </c>
    </row>
    <row r="399">
      <c r="A399" s="11">
        <v>387.0</v>
      </c>
      <c r="B399" s="11">
        <v>1.42107826086956E9</v>
      </c>
      <c r="C399" s="2">
        <v>-102.4636078</v>
      </c>
      <c r="D399" s="24">
        <f t="shared" si="1"/>
        <v>678260.8696</v>
      </c>
      <c r="E399" s="25">
        <f t="shared" si="2"/>
        <v>-144.1724927</v>
      </c>
      <c r="F399" s="24">
        <f t="shared" si="3"/>
        <v>0.0002125620085</v>
      </c>
      <c r="G399" s="24">
        <f t="shared" si="4"/>
        <v>0</v>
      </c>
      <c r="H399" s="26">
        <f t="shared" si="5"/>
        <v>0</v>
      </c>
      <c r="I399" s="24">
        <f t="shared" si="6"/>
        <v>0</v>
      </c>
      <c r="J399" s="24">
        <f t="shared" si="7"/>
        <v>0</v>
      </c>
      <c r="K399" s="24"/>
      <c r="L399" s="24">
        <f t="shared" si="8"/>
        <v>431.2661655</v>
      </c>
      <c r="M399" s="30">
        <f t="shared" si="9"/>
        <v>432.9799903</v>
      </c>
      <c r="N399" s="27">
        <f t="shared" si="10"/>
        <v>-1.713824856</v>
      </c>
      <c r="O399" s="24"/>
      <c r="P399" s="24"/>
      <c r="Q399" s="24"/>
      <c r="R399" s="26"/>
      <c r="S399" s="14">
        <f t="shared" si="13"/>
        <v>-1.573798734</v>
      </c>
    </row>
    <row r="400">
      <c r="A400" s="11">
        <v>388.0</v>
      </c>
      <c r="B400" s="11">
        <v>1.42108260869565E9</v>
      </c>
      <c r="C400" s="2">
        <v>-102.4323578</v>
      </c>
      <c r="D400" s="24">
        <f t="shared" si="1"/>
        <v>682608.6957</v>
      </c>
      <c r="E400" s="25">
        <f t="shared" si="2"/>
        <v>-145.0907889</v>
      </c>
      <c r="F400" s="24">
        <f t="shared" si="3"/>
        <v>0.000212553385</v>
      </c>
      <c r="G400" s="24">
        <f t="shared" si="4"/>
        <v>0</v>
      </c>
      <c r="H400" s="26">
        <f t="shared" si="5"/>
        <v>0</v>
      </c>
      <c r="I400" s="24">
        <f t="shared" si="6"/>
        <v>0</v>
      </c>
      <c r="J400" s="24">
        <f t="shared" si="7"/>
        <v>0</v>
      </c>
      <c r="K400" s="24"/>
      <c r="L400" s="24">
        <f t="shared" si="8"/>
        <v>434.3805665</v>
      </c>
      <c r="M400" s="30">
        <f t="shared" si="9"/>
        <v>432.8595848</v>
      </c>
      <c r="N400" s="27">
        <f t="shared" si="10"/>
        <v>1.520981729</v>
      </c>
      <c r="O400" s="24"/>
      <c r="P400" s="24"/>
      <c r="Q400" s="24"/>
      <c r="R400" s="26"/>
      <c r="S400" s="14">
        <f t="shared" si="13"/>
        <v>1.39671164</v>
      </c>
    </row>
    <row r="401">
      <c r="A401" s="11">
        <v>389.0</v>
      </c>
      <c r="B401" s="11">
        <v>1.42108695652173E9</v>
      </c>
      <c r="C401" s="2">
        <v>-102.4015274</v>
      </c>
      <c r="D401" s="24">
        <f t="shared" si="1"/>
        <v>686956.5217</v>
      </c>
      <c r="E401" s="25">
        <f t="shared" si="2"/>
        <v>-146.009085</v>
      </c>
      <c r="F401" s="24">
        <f t="shared" si="3"/>
        <v>0.0002125448706</v>
      </c>
      <c r="G401" s="24">
        <f t="shared" si="4"/>
        <v>0</v>
      </c>
      <c r="H401" s="26">
        <f t="shared" si="5"/>
        <v>0</v>
      </c>
      <c r="I401" s="24">
        <f t="shared" si="6"/>
        <v>0</v>
      </c>
      <c r="J401" s="24">
        <f t="shared" si="7"/>
        <v>0</v>
      </c>
      <c r="K401" s="24"/>
      <c r="L401" s="24">
        <f t="shared" si="8"/>
        <v>437.4751889</v>
      </c>
      <c r="M401" s="30">
        <f t="shared" si="9"/>
        <v>432.7390508</v>
      </c>
      <c r="N401" s="27">
        <f t="shared" si="10"/>
        <v>4.736138084</v>
      </c>
      <c r="O401" s="24"/>
      <c r="P401" s="24"/>
      <c r="Q401" s="24"/>
      <c r="R401" s="26"/>
      <c r="S401" s="14">
        <f t="shared" si="13"/>
        <v>4.349177287</v>
      </c>
    </row>
    <row r="402">
      <c r="A402" s="11">
        <v>390.0</v>
      </c>
      <c r="B402" s="11">
        <v>1.42109130434782E9</v>
      </c>
      <c r="C402" s="2">
        <v>-102.4712067</v>
      </c>
      <c r="D402" s="24">
        <f t="shared" si="1"/>
        <v>691304.3478</v>
      </c>
      <c r="E402" s="25">
        <f t="shared" si="2"/>
        <v>-146.9273811</v>
      </c>
      <c r="F402" s="24">
        <f t="shared" si="3"/>
        <v>0.0002125364633</v>
      </c>
      <c r="G402" s="24">
        <f t="shared" si="4"/>
        <v>0</v>
      </c>
      <c r="H402" s="26">
        <f t="shared" si="5"/>
        <v>0</v>
      </c>
      <c r="I402" s="24">
        <f t="shared" si="6"/>
        <v>0</v>
      </c>
      <c r="J402" s="24">
        <f t="shared" si="7"/>
        <v>0</v>
      </c>
      <c r="K402" s="24"/>
      <c r="L402" s="24">
        <f t="shared" si="8"/>
        <v>430.5122339</v>
      </c>
      <c r="M402" s="30">
        <f t="shared" si="9"/>
        <v>432.6183887</v>
      </c>
      <c r="N402" s="27">
        <f t="shared" si="10"/>
        <v>-2.106154735</v>
      </c>
      <c r="O402" s="24"/>
      <c r="P402" s="24"/>
      <c r="Q402" s="24"/>
      <c r="R402" s="26"/>
      <c r="S402" s="14">
        <f t="shared" si="13"/>
        <v>-1.934073748</v>
      </c>
    </row>
    <row r="403">
      <c r="A403" s="11">
        <v>391.0</v>
      </c>
      <c r="B403" s="11">
        <v>1.42109565217391E9</v>
      </c>
      <c r="C403" s="2">
        <v>-102.4423676</v>
      </c>
      <c r="D403" s="24">
        <f t="shared" si="1"/>
        <v>695652.1739</v>
      </c>
      <c r="E403" s="25">
        <f t="shared" si="2"/>
        <v>-147.8456773</v>
      </c>
      <c r="F403" s="24">
        <f t="shared" si="3"/>
        <v>0.0002125281611</v>
      </c>
      <c r="G403" s="24">
        <f t="shared" si="4"/>
        <v>0</v>
      </c>
      <c r="H403" s="26">
        <f t="shared" si="5"/>
        <v>0</v>
      </c>
      <c r="I403" s="24">
        <f t="shared" si="6"/>
        <v>0</v>
      </c>
      <c r="J403" s="24">
        <f t="shared" si="7"/>
        <v>0</v>
      </c>
      <c r="K403" s="24"/>
      <c r="L403" s="24">
        <f t="shared" si="8"/>
        <v>433.380541</v>
      </c>
      <c r="M403" s="30">
        <f t="shared" si="9"/>
        <v>432.4975984</v>
      </c>
      <c r="N403" s="27">
        <f t="shared" si="10"/>
        <v>0.8829426089</v>
      </c>
      <c r="O403" s="24"/>
      <c r="P403" s="24"/>
      <c r="Q403" s="24"/>
      <c r="R403" s="26"/>
      <c r="S403" s="14">
        <f t="shared" si="13"/>
        <v>0.8108027813</v>
      </c>
    </row>
    <row r="404">
      <c r="A404" s="11">
        <v>392.0</v>
      </c>
      <c r="B404" s="11">
        <v>1.4211E9</v>
      </c>
      <c r="C404" s="2">
        <v>-102.4072113</v>
      </c>
      <c r="D404" s="24">
        <f t="shared" si="1"/>
        <v>700000</v>
      </c>
      <c r="E404" s="25">
        <f t="shared" si="2"/>
        <v>-148.7639734</v>
      </c>
      <c r="F404" s="24">
        <f t="shared" si="3"/>
        <v>0.000212519962</v>
      </c>
      <c r="G404" s="24">
        <f t="shared" si="4"/>
        <v>0</v>
      </c>
      <c r="H404" s="26">
        <f t="shared" si="5"/>
        <v>0</v>
      </c>
      <c r="I404" s="24">
        <f t="shared" si="6"/>
        <v>0</v>
      </c>
      <c r="J404" s="24">
        <f t="shared" si="7"/>
        <v>0</v>
      </c>
      <c r="K404" s="24"/>
      <c r="L404" s="24">
        <f t="shared" si="8"/>
        <v>436.9030106</v>
      </c>
      <c r="M404" s="30">
        <f t="shared" si="9"/>
        <v>432.3766801</v>
      </c>
      <c r="N404" s="27">
        <f t="shared" si="10"/>
        <v>4.526330495</v>
      </c>
      <c r="O404" s="24"/>
      <c r="P404" s="24"/>
      <c r="Q404" s="24"/>
      <c r="R404" s="26"/>
      <c r="S404" s="14">
        <f t="shared" si="13"/>
        <v>4.156511789</v>
      </c>
    </row>
    <row r="405">
      <c r="A405" s="11">
        <v>393.0</v>
      </c>
      <c r="B405" s="11">
        <v>1.42110434782608E9</v>
      </c>
      <c r="C405" s="2">
        <v>-102.420639</v>
      </c>
      <c r="D405" s="24">
        <f t="shared" si="1"/>
        <v>704347.8261</v>
      </c>
      <c r="E405" s="25">
        <f t="shared" si="2"/>
        <v>-149.6822695</v>
      </c>
      <c r="F405" s="24">
        <f t="shared" si="3"/>
        <v>0.0002125118642</v>
      </c>
      <c r="G405" s="24">
        <f t="shared" si="4"/>
        <v>0</v>
      </c>
      <c r="H405" s="26">
        <f t="shared" si="5"/>
        <v>0</v>
      </c>
      <c r="I405" s="24">
        <f t="shared" si="6"/>
        <v>0</v>
      </c>
      <c r="J405" s="24">
        <f t="shared" si="7"/>
        <v>0</v>
      </c>
      <c r="K405" s="24"/>
      <c r="L405" s="24">
        <f t="shared" si="8"/>
        <v>435.5542616</v>
      </c>
      <c r="M405" s="30">
        <f t="shared" si="9"/>
        <v>432.2556341</v>
      </c>
      <c r="N405" s="27">
        <f t="shared" si="10"/>
        <v>3.29862754</v>
      </c>
      <c r="O405" s="24"/>
      <c r="P405" s="24"/>
      <c r="Q405" s="24"/>
      <c r="R405" s="26"/>
      <c r="S405" s="14">
        <f t="shared" si="13"/>
        <v>3.029116914</v>
      </c>
    </row>
    <row r="406">
      <c r="A406" s="11">
        <v>394.0</v>
      </c>
      <c r="B406" s="11">
        <v>1.42110869565217E9</v>
      </c>
      <c r="C406" s="2">
        <v>-102.4095612</v>
      </c>
      <c r="D406" s="24">
        <f t="shared" si="1"/>
        <v>708695.6522</v>
      </c>
      <c r="E406" s="25">
        <f t="shared" si="2"/>
        <v>-150.6005657</v>
      </c>
      <c r="F406" s="24">
        <f t="shared" si="3"/>
        <v>0.0002125038657</v>
      </c>
      <c r="G406" s="24">
        <f t="shared" si="4"/>
        <v>0</v>
      </c>
      <c r="H406" s="26">
        <f t="shared" si="5"/>
        <v>0</v>
      </c>
      <c r="I406" s="24">
        <f t="shared" si="6"/>
        <v>0</v>
      </c>
      <c r="J406" s="24">
        <f t="shared" si="7"/>
        <v>0</v>
      </c>
      <c r="K406" s="24"/>
      <c r="L406" s="24">
        <f t="shared" si="8"/>
        <v>436.6666731</v>
      </c>
      <c r="M406" s="30">
        <f t="shared" si="9"/>
        <v>432.1344603</v>
      </c>
      <c r="N406" s="27">
        <f t="shared" si="10"/>
        <v>4.53221283</v>
      </c>
      <c r="O406" s="24"/>
      <c r="P406" s="24"/>
      <c r="Q406" s="24"/>
      <c r="R406" s="26"/>
      <c r="S406" s="14">
        <f t="shared" si="13"/>
        <v>4.161913505</v>
      </c>
    </row>
    <row r="407">
      <c r="A407" s="11">
        <v>395.0</v>
      </c>
      <c r="B407" s="11">
        <v>1.42111304347826E9</v>
      </c>
      <c r="C407" s="2">
        <v>-102.4531937</v>
      </c>
      <c r="D407" s="24">
        <f t="shared" si="1"/>
        <v>713043.4783</v>
      </c>
      <c r="E407" s="25">
        <f t="shared" si="2"/>
        <v>-151.5188618</v>
      </c>
      <c r="F407" s="24">
        <f t="shared" si="3"/>
        <v>0.0002124959647</v>
      </c>
      <c r="G407" s="24">
        <f t="shared" si="4"/>
        <v>0</v>
      </c>
      <c r="H407" s="26">
        <f t="shared" si="5"/>
        <v>0</v>
      </c>
      <c r="I407" s="24">
        <f t="shared" si="6"/>
        <v>0</v>
      </c>
      <c r="J407" s="24">
        <f t="shared" si="7"/>
        <v>0</v>
      </c>
      <c r="K407" s="24"/>
      <c r="L407" s="24">
        <f t="shared" si="8"/>
        <v>432.3015547</v>
      </c>
      <c r="M407" s="30">
        <f t="shared" si="9"/>
        <v>432.013159</v>
      </c>
      <c r="N407" s="27">
        <f t="shared" si="10"/>
        <v>0.2883956582</v>
      </c>
      <c r="O407" s="24"/>
      <c r="P407" s="24"/>
      <c r="Q407" s="24"/>
      <c r="R407" s="26"/>
      <c r="S407" s="14">
        <f t="shared" si="13"/>
        <v>0.2648326177</v>
      </c>
    </row>
    <row r="408">
      <c r="A408" s="11">
        <v>396.0</v>
      </c>
      <c r="B408" s="11">
        <v>1.42111739130434E9</v>
      </c>
      <c r="C408" s="2">
        <v>-102.4649887</v>
      </c>
      <c r="D408" s="24">
        <f t="shared" si="1"/>
        <v>717391.3043</v>
      </c>
      <c r="E408" s="25">
        <f t="shared" si="2"/>
        <v>-152.4371579</v>
      </c>
      <c r="F408" s="24">
        <f t="shared" si="3"/>
        <v>0.0002124881595</v>
      </c>
      <c r="G408" s="24">
        <f t="shared" si="4"/>
        <v>0</v>
      </c>
      <c r="H408" s="26">
        <f t="shared" si="5"/>
        <v>0</v>
      </c>
      <c r="I408" s="24">
        <f t="shared" si="6"/>
        <v>0</v>
      </c>
      <c r="J408" s="24">
        <f t="shared" si="7"/>
        <v>0</v>
      </c>
      <c r="K408" s="24"/>
      <c r="L408" s="24">
        <f t="shared" si="8"/>
        <v>431.1290602</v>
      </c>
      <c r="M408" s="30">
        <f t="shared" si="9"/>
        <v>431.8917303</v>
      </c>
      <c r="N408" s="27">
        <f t="shared" si="10"/>
        <v>-0.7626701412</v>
      </c>
      <c r="O408" s="24"/>
      <c r="P408" s="24"/>
      <c r="Q408" s="24"/>
      <c r="R408" s="26"/>
      <c r="S408" s="14">
        <f t="shared" si="13"/>
        <v>-0.7003570413</v>
      </c>
    </row>
    <row r="409">
      <c r="A409" s="11">
        <v>397.0</v>
      </c>
      <c r="B409" s="11">
        <v>1.42112173913043E9</v>
      </c>
      <c r="C409" s="2">
        <v>-102.4287643</v>
      </c>
      <c r="D409" s="24">
        <f t="shared" si="1"/>
        <v>721739.1304</v>
      </c>
      <c r="E409" s="25">
        <f t="shared" si="2"/>
        <v>-153.3554541</v>
      </c>
      <c r="F409" s="24">
        <f t="shared" si="3"/>
        <v>0.0002124804484</v>
      </c>
      <c r="G409" s="24">
        <f t="shared" si="4"/>
        <v>0</v>
      </c>
      <c r="H409" s="26">
        <f t="shared" si="5"/>
        <v>0</v>
      </c>
      <c r="I409" s="24">
        <f t="shared" si="6"/>
        <v>0</v>
      </c>
      <c r="J409" s="24">
        <f t="shared" si="7"/>
        <v>0</v>
      </c>
      <c r="K409" s="24"/>
      <c r="L409" s="24">
        <f t="shared" si="8"/>
        <v>434.7401365</v>
      </c>
      <c r="M409" s="30">
        <f t="shared" si="9"/>
        <v>431.7701743</v>
      </c>
      <c r="N409" s="27">
        <f t="shared" si="10"/>
        <v>2.969962133</v>
      </c>
      <c r="O409" s="24"/>
      <c r="P409" s="24"/>
      <c r="Q409" s="24"/>
      <c r="R409" s="26"/>
      <c r="S409" s="14">
        <f t="shared" si="13"/>
        <v>2.727304735</v>
      </c>
    </row>
    <row r="410">
      <c r="A410" s="11">
        <v>398.0</v>
      </c>
      <c r="B410" s="11">
        <v>1.42112608695652E9</v>
      </c>
      <c r="C410" s="2">
        <v>-102.4367447</v>
      </c>
      <c r="D410" s="24">
        <f t="shared" si="1"/>
        <v>726086.9565</v>
      </c>
      <c r="E410" s="25">
        <f t="shared" si="2"/>
        <v>-154.2737502</v>
      </c>
      <c r="F410" s="24">
        <f t="shared" si="3"/>
        <v>0.0002124728296</v>
      </c>
      <c r="G410" s="24">
        <f t="shared" si="4"/>
        <v>0</v>
      </c>
      <c r="H410" s="26">
        <f t="shared" si="5"/>
        <v>0</v>
      </c>
      <c r="I410" s="24">
        <f t="shared" si="6"/>
        <v>0</v>
      </c>
      <c r="J410" s="24">
        <f t="shared" si="7"/>
        <v>0</v>
      </c>
      <c r="K410" s="24"/>
      <c r="L410" s="24">
        <f t="shared" si="8"/>
        <v>433.9420111</v>
      </c>
      <c r="M410" s="30">
        <f t="shared" si="9"/>
        <v>431.6484913</v>
      </c>
      <c r="N410" s="27">
        <f t="shared" si="10"/>
        <v>2.293519833</v>
      </c>
      <c r="O410" s="24"/>
      <c r="P410" s="24"/>
      <c r="Q410" s="24"/>
      <c r="R410" s="26"/>
      <c r="S410" s="14">
        <f t="shared" si="13"/>
        <v>2.106130393</v>
      </c>
    </row>
    <row r="411">
      <c r="A411" s="11">
        <v>399.0</v>
      </c>
      <c r="B411" s="11">
        <v>1.4211304347826E9</v>
      </c>
      <c r="C411" s="2">
        <v>-102.4615097</v>
      </c>
      <c r="D411" s="24">
        <f t="shared" si="1"/>
        <v>730434.7826</v>
      </c>
      <c r="E411" s="25">
        <f t="shared" si="2"/>
        <v>-155.1920463</v>
      </c>
      <c r="F411" s="24">
        <f t="shared" si="3"/>
        <v>0.0002124653015</v>
      </c>
      <c r="G411" s="24">
        <f t="shared" si="4"/>
        <v>0</v>
      </c>
      <c r="H411" s="26">
        <f t="shared" si="5"/>
        <v>0</v>
      </c>
      <c r="I411" s="24">
        <f t="shared" si="6"/>
        <v>0</v>
      </c>
      <c r="J411" s="24">
        <f t="shared" si="7"/>
        <v>0</v>
      </c>
      <c r="K411" s="24"/>
      <c r="L411" s="24">
        <f t="shared" si="8"/>
        <v>431.4745628</v>
      </c>
      <c r="M411" s="30">
        <f t="shared" si="9"/>
        <v>431.5266812</v>
      </c>
      <c r="N411" s="27">
        <f t="shared" si="10"/>
        <v>-0.05211836346</v>
      </c>
      <c r="O411" s="24"/>
      <c r="P411" s="24"/>
      <c r="Q411" s="24"/>
      <c r="R411" s="26"/>
      <c r="S411" s="14">
        <f t="shared" si="13"/>
        <v>-0.04786009161</v>
      </c>
    </row>
    <row r="412">
      <c r="A412" s="11">
        <v>400.0</v>
      </c>
      <c r="B412" s="11">
        <v>1.42113478260869E9</v>
      </c>
      <c r="C412" s="2">
        <v>-102.485466</v>
      </c>
      <c r="D412" s="24">
        <f t="shared" si="1"/>
        <v>734782.6087</v>
      </c>
      <c r="E412" s="25">
        <f t="shared" si="2"/>
        <v>-156.1103425</v>
      </c>
      <c r="F412" s="24">
        <f t="shared" si="3"/>
        <v>0.0002124578625</v>
      </c>
      <c r="G412" s="24">
        <f t="shared" si="4"/>
        <v>0</v>
      </c>
      <c r="H412" s="26">
        <f t="shared" si="5"/>
        <v>0</v>
      </c>
      <c r="I412" s="24">
        <f t="shared" si="6"/>
        <v>0</v>
      </c>
      <c r="J412" s="24">
        <f t="shared" si="7"/>
        <v>0</v>
      </c>
      <c r="K412" s="24"/>
      <c r="L412" s="24">
        <f t="shared" si="8"/>
        <v>429.1010403</v>
      </c>
      <c r="M412" s="30">
        <f t="shared" si="9"/>
        <v>431.4047443</v>
      </c>
      <c r="N412" s="27">
        <f t="shared" si="10"/>
        <v>-2.303704007</v>
      </c>
      <c r="O412" s="24"/>
      <c r="P412" s="24"/>
      <c r="Q412" s="24"/>
      <c r="R412" s="26"/>
      <c r="S412" s="14">
        <f t="shared" si="13"/>
        <v>-2.115482481</v>
      </c>
    </row>
    <row r="413">
      <c r="A413" s="11">
        <v>401.0</v>
      </c>
      <c r="B413" s="11">
        <v>1.42113913043478E9</v>
      </c>
      <c r="C413" s="2">
        <v>-102.4676971</v>
      </c>
      <c r="D413" s="24">
        <f t="shared" si="1"/>
        <v>739130.4348</v>
      </c>
      <c r="E413" s="25">
        <f t="shared" si="2"/>
        <v>-157.0286386</v>
      </c>
      <c r="F413" s="24">
        <f t="shared" si="3"/>
        <v>0.000212450511</v>
      </c>
      <c r="G413" s="24">
        <f t="shared" si="4"/>
        <v>0</v>
      </c>
      <c r="H413" s="26">
        <f t="shared" si="5"/>
        <v>0</v>
      </c>
      <c r="I413" s="24">
        <f t="shared" si="6"/>
        <v>0</v>
      </c>
      <c r="J413" s="24">
        <f t="shared" si="7"/>
        <v>0</v>
      </c>
      <c r="K413" s="24"/>
      <c r="L413" s="24">
        <f t="shared" si="8"/>
        <v>430.8602781</v>
      </c>
      <c r="M413" s="30">
        <f t="shared" si="9"/>
        <v>431.2826806</v>
      </c>
      <c r="N413" s="27">
        <f t="shared" si="10"/>
        <v>-0.4224025847</v>
      </c>
      <c r="O413" s="24"/>
      <c r="P413" s="24"/>
      <c r="Q413" s="24"/>
      <c r="R413" s="26"/>
      <c r="S413" s="14">
        <f t="shared" si="13"/>
        <v>-0.3878906591</v>
      </c>
    </row>
    <row r="414">
      <c r="A414" s="11">
        <v>402.0</v>
      </c>
      <c r="B414" s="11">
        <v>1.42114347826087E9</v>
      </c>
      <c r="C414" s="2">
        <v>-102.4458923</v>
      </c>
      <c r="D414" s="24">
        <f t="shared" si="1"/>
        <v>743478.2609</v>
      </c>
      <c r="E414" s="25">
        <f t="shared" si="2"/>
        <v>-157.9469347</v>
      </c>
      <c r="F414" s="24">
        <f t="shared" si="3"/>
        <v>0.0002124432455</v>
      </c>
      <c r="G414" s="24">
        <f t="shared" si="4"/>
        <v>0</v>
      </c>
      <c r="H414" s="26">
        <f t="shared" si="5"/>
        <v>0</v>
      </c>
      <c r="I414" s="24">
        <f t="shared" si="6"/>
        <v>0</v>
      </c>
      <c r="J414" s="24">
        <f t="shared" si="7"/>
        <v>0</v>
      </c>
      <c r="K414" s="24"/>
      <c r="L414" s="24">
        <f t="shared" si="8"/>
        <v>433.0289554</v>
      </c>
      <c r="M414" s="30">
        <f t="shared" si="9"/>
        <v>431.1604904</v>
      </c>
      <c r="N414" s="27">
        <f t="shared" si="10"/>
        <v>1.868464986</v>
      </c>
      <c r="O414" s="24"/>
      <c r="P414" s="24"/>
      <c r="Q414" s="24"/>
      <c r="R414" s="26"/>
      <c r="S414" s="14">
        <f t="shared" si="13"/>
        <v>1.715804171</v>
      </c>
    </row>
    <row r="415">
      <c r="A415" s="11">
        <v>403.0</v>
      </c>
      <c r="B415" s="11">
        <v>1.42114782608695E9</v>
      </c>
      <c r="C415" s="2">
        <v>-102.4359283</v>
      </c>
      <c r="D415" s="24">
        <f t="shared" si="1"/>
        <v>747826.087</v>
      </c>
      <c r="E415" s="25">
        <f t="shared" si="2"/>
        <v>-158.8652309</v>
      </c>
      <c r="F415" s="24">
        <f t="shared" si="3"/>
        <v>0.0002124360645</v>
      </c>
      <c r="G415" s="24">
        <f t="shared" si="4"/>
        <v>0</v>
      </c>
      <c r="H415" s="26">
        <f t="shared" si="5"/>
        <v>0</v>
      </c>
      <c r="I415" s="24">
        <f t="shared" si="6"/>
        <v>0</v>
      </c>
      <c r="J415" s="24">
        <f t="shared" si="7"/>
        <v>0</v>
      </c>
      <c r="K415" s="24"/>
      <c r="L415" s="24">
        <f t="shared" si="8"/>
        <v>434.0235925</v>
      </c>
      <c r="M415" s="30">
        <f t="shared" si="9"/>
        <v>431.0381738</v>
      </c>
      <c r="N415" s="27">
        <f t="shared" si="10"/>
        <v>2.985418669</v>
      </c>
      <c r="O415" s="24"/>
      <c r="P415" s="24"/>
      <c r="Q415" s="24"/>
      <c r="R415" s="26"/>
      <c r="S415" s="14">
        <f t="shared" si="13"/>
        <v>2.741498419</v>
      </c>
    </row>
    <row r="416">
      <c r="A416" s="11">
        <v>404.0</v>
      </c>
      <c r="B416" s="11">
        <v>1.42115217391304E9</v>
      </c>
      <c r="C416" s="2">
        <v>-102.4530258</v>
      </c>
      <c r="D416" s="24">
        <f t="shared" si="1"/>
        <v>752173.913</v>
      </c>
      <c r="E416" s="25">
        <f t="shared" si="2"/>
        <v>-159.783527</v>
      </c>
      <c r="F416" s="24">
        <f t="shared" si="3"/>
        <v>0.0002124289665</v>
      </c>
      <c r="G416" s="24">
        <f t="shared" si="4"/>
        <v>0</v>
      </c>
      <c r="H416" s="26">
        <f t="shared" si="5"/>
        <v>0</v>
      </c>
      <c r="I416" s="24">
        <f t="shared" si="6"/>
        <v>0</v>
      </c>
      <c r="J416" s="24">
        <f t="shared" si="7"/>
        <v>0</v>
      </c>
      <c r="K416" s="24"/>
      <c r="L416" s="24">
        <f t="shared" si="8"/>
        <v>432.318268</v>
      </c>
      <c r="M416" s="30">
        <f t="shared" si="9"/>
        <v>430.9157309</v>
      </c>
      <c r="N416" s="27">
        <f t="shared" si="10"/>
        <v>1.402537021</v>
      </c>
      <c r="O416" s="24"/>
      <c r="P416" s="24"/>
      <c r="Q416" s="24"/>
      <c r="R416" s="26"/>
      <c r="S416" s="14">
        <f t="shared" si="13"/>
        <v>1.28794432</v>
      </c>
    </row>
    <row r="417">
      <c r="A417" s="11">
        <v>405.0</v>
      </c>
      <c r="B417" s="11">
        <v>1.42115652173913E9</v>
      </c>
      <c r="C417" s="2">
        <v>-102.5003967</v>
      </c>
      <c r="D417" s="3">
        <f t="shared" si="1"/>
        <v>756521.7391</v>
      </c>
      <c r="E417" s="4">
        <f t="shared" si="2"/>
        <v>-160.7018231</v>
      </c>
      <c r="F417" s="3">
        <f t="shared" si="3"/>
        <v>0.0002124219501</v>
      </c>
      <c r="G417" s="3">
        <f t="shared" si="4"/>
        <v>0</v>
      </c>
      <c r="H417" s="2">
        <f t="shared" si="5"/>
        <v>0</v>
      </c>
      <c r="I417" s="3">
        <f t="shared" si="6"/>
        <v>0</v>
      </c>
      <c r="J417" s="3">
        <f t="shared" si="7"/>
        <v>0</v>
      </c>
      <c r="K417" s="3"/>
      <c r="L417" s="3">
        <f t="shared" si="8"/>
        <v>427.6283578</v>
      </c>
      <c r="M417" s="30">
        <f t="shared" si="9"/>
        <v>430.7931619</v>
      </c>
      <c r="N417" s="14">
        <f t="shared" si="10"/>
        <v>-3.164804055</v>
      </c>
      <c r="O417" s="3"/>
      <c r="P417" s="3"/>
      <c r="Q417" s="3"/>
      <c r="R417" s="2"/>
      <c r="S417" s="14">
        <f t="shared" si="13"/>
        <v>-2.906227325</v>
      </c>
    </row>
    <row r="418">
      <c r="A418" s="11">
        <v>406.0</v>
      </c>
      <c r="B418" s="11">
        <v>1.42116086956521E9</v>
      </c>
      <c r="C418" s="2">
        <v>-102.4429932</v>
      </c>
      <c r="D418" s="3">
        <f t="shared" si="1"/>
        <v>760869.5652</v>
      </c>
      <c r="E418" s="4">
        <f t="shared" si="2"/>
        <v>-161.6201193</v>
      </c>
      <c r="F418" s="3">
        <f t="shared" si="3"/>
        <v>0.0002124150139</v>
      </c>
      <c r="G418" s="3">
        <f t="shared" si="4"/>
        <v>0</v>
      </c>
      <c r="H418" s="2">
        <f t="shared" si="5"/>
        <v>0</v>
      </c>
      <c r="I418" s="3">
        <f t="shared" si="6"/>
        <v>0</v>
      </c>
      <c r="J418" s="3">
        <f t="shared" si="7"/>
        <v>0</v>
      </c>
      <c r="K418" s="3"/>
      <c r="L418" s="3">
        <f t="shared" si="8"/>
        <v>433.3181171</v>
      </c>
      <c r="M418" s="30">
        <f t="shared" si="9"/>
        <v>430.6704668</v>
      </c>
      <c r="N418" s="14">
        <f t="shared" si="10"/>
        <v>2.647650311</v>
      </c>
      <c r="O418" s="3"/>
      <c r="P418" s="3"/>
      <c r="Q418" s="3"/>
      <c r="R418" s="2"/>
      <c r="S418" s="14">
        <f t="shared" si="13"/>
        <v>2.431327042</v>
      </c>
    </row>
    <row r="419">
      <c r="A419" s="11">
        <v>407.0</v>
      </c>
      <c r="B419" s="11">
        <v>1.4211652173913E9</v>
      </c>
      <c r="C419" s="2">
        <v>-102.4390793</v>
      </c>
      <c r="D419" s="3">
        <f t="shared" si="1"/>
        <v>765217.3913</v>
      </c>
      <c r="E419" s="4">
        <f t="shared" si="2"/>
        <v>-162.5384154</v>
      </c>
      <c r="F419" s="3">
        <f t="shared" si="3"/>
        <v>0.0002124081565</v>
      </c>
      <c r="G419" s="3">
        <f t="shared" si="4"/>
        <v>0</v>
      </c>
      <c r="H419" s="2">
        <f t="shared" si="5"/>
        <v>0</v>
      </c>
      <c r="I419" s="3">
        <f t="shared" si="6"/>
        <v>0</v>
      </c>
      <c r="J419" s="3">
        <f t="shared" si="7"/>
        <v>0</v>
      </c>
      <c r="K419" s="3"/>
      <c r="L419" s="3">
        <f t="shared" si="8"/>
        <v>433.7088033</v>
      </c>
      <c r="M419" s="30">
        <f t="shared" si="9"/>
        <v>430.5476459</v>
      </c>
      <c r="N419" s="14">
        <f t="shared" si="10"/>
        <v>3.161157339</v>
      </c>
      <c r="O419" s="3"/>
      <c r="P419" s="3"/>
      <c r="Q419" s="3"/>
      <c r="R419" s="2"/>
      <c r="S419" s="14">
        <f t="shared" si="13"/>
        <v>2.902878553</v>
      </c>
    </row>
    <row r="420">
      <c r="A420" s="11">
        <v>408.0</v>
      </c>
      <c r="B420" s="11">
        <v>1.42116956521739E9</v>
      </c>
      <c r="C420" s="2">
        <v>-102.4617538</v>
      </c>
      <c r="D420" s="3">
        <f t="shared" si="1"/>
        <v>769565.2174</v>
      </c>
      <c r="E420" s="4">
        <f t="shared" si="2"/>
        <v>-163.4567115</v>
      </c>
      <c r="F420" s="3">
        <f t="shared" si="3"/>
        <v>0.0002124013765</v>
      </c>
      <c r="G420" s="3">
        <f t="shared" si="4"/>
        <v>0</v>
      </c>
      <c r="H420" s="2">
        <f t="shared" si="5"/>
        <v>0</v>
      </c>
      <c r="I420" s="3">
        <f t="shared" si="6"/>
        <v>0</v>
      </c>
      <c r="J420" s="3">
        <f t="shared" si="7"/>
        <v>0</v>
      </c>
      <c r="K420" s="3"/>
      <c r="L420" s="3">
        <f t="shared" si="8"/>
        <v>431.450312</v>
      </c>
      <c r="M420" s="30">
        <f t="shared" si="9"/>
        <v>430.4246993</v>
      </c>
      <c r="N420" s="14">
        <f t="shared" si="10"/>
        <v>1.025612727</v>
      </c>
      <c r="O420" s="3"/>
      <c r="P420" s="3"/>
      <c r="Q420" s="3"/>
      <c r="R420" s="2"/>
      <c r="S420" s="14">
        <f t="shared" si="13"/>
        <v>0.941816201</v>
      </c>
    </row>
    <row r="421">
      <c r="A421" s="11">
        <v>409.0</v>
      </c>
      <c r="B421" s="11">
        <v>1.42117391304347E9</v>
      </c>
      <c r="C421" s="2">
        <v>-102.4505692</v>
      </c>
      <c r="D421" s="3">
        <f t="shared" si="1"/>
        <v>773913.0435</v>
      </c>
      <c r="E421" s="4">
        <f t="shared" si="2"/>
        <v>-164.3750077</v>
      </c>
      <c r="F421" s="3">
        <f t="shared" si="3"/>
        <v>0.0002123946728</v>
      </c>
      <c r="G421" s="3">
        <f t="shared" si="4"/>
        <v>0</v>
      </c>
      <c r="H421" s="2">
        <f t="shared" si="5"/>
        <v>0</v>
      </c>
      <c r="I421" s="3">
        <f t="shared" si="6"/>
        <v>0</v>
      </c>
      <c r="J421" s="3">
        <f t="shared" si="7"/>
        <v>0</v>
      </c>
      <c r="K421" s="3"/>
      <c r="L421" s="3">
        <f t="shared" si="8"/>
        <v>432.5628793</v>
      </c>
      <c r="M421" s="30">
        <f t="shared" si="9"/>
        <v>430.301627</v>
      </c>
      <c r="N421" s="14">
        <f t="shared" si="10"/>
        <v>2.261252236</v>
      </c>
      <c r="O421" s="3"/>
      <c r="P421" s="3"/>
      <c r="Q421" s="3"/>
      <c r="R421" s="2"/>
      <c r="S421" s="14">
        <f t="shared" si="13"/>
        <v>2.076499183</v>
      </c>
    </row>
    <row r="422">
      <c r="A422" s="11">
        <v>410.0</v>
      </c>
      <c r="B422" s="11">
        <v>1.42117826086956E9</v>
      </c>
      <c r="C422" s="2">
        <v>-102.4648438</v>
      </c>
      <c r="D422" s="3">
        <f t="shared" si="1"/>
        <v>778260.8696</v>
      </c>
      <c r="E422" s="4">
        <f t="shared" si="2"/>
        <v>-165.2933038</v>
      </c>
      <c r="F422" s="3">
        <f t="shared" si="3"/>
        <v>0.000212388044</v>
      </c>
      <c r="G422" s="3">
        <f t="shared" si="4"/>
        <v>0</v>
      </c>
      <c r="H422" s="2">
        <f t="shared" si="5"/>
        <v>0</v>
      </c>
      <c r="I422" s="3">
        <f t="shared" si="6"/>
        <v>0</v>
      </c>
      <c r="J422" s="3">
        <f t="shared" si="7"/>
        <v>0</v>
      </c>
      <c r="K422" s="3"/>
      <c r="L422" s="3">
        <f t="shared" si="8"/>
        <v>431.1434448</v>
      </c>
      <c r="M422" s="30">
        <f t="shared" si="9"/>
        <v>430.1784294</v>
      </c>
      <c r="N422" s="14">
        <f t="shared" si="10"/>
        <v>0.9650154377</v>
      </c>
      <c r="O422" s="3"/>
      <c r="P422" s="3"/>
      <c r="Q422" s="3"/>
      <c r="R422" s="2"/>
      <c r="S422" s="14">
        <f t="shared" si="13"/>
        <v>0.8861699424</v>
      </c>
    </row>
    <row r="423">
      <c r="A423" s="11">
        <v>411.0</v>
      </c>
      <c r="B423" s="11">
        <v>1.42118260869565E9</v>
      </c>
      <c r="C423" s="2">
        <v>-102.4254303</v>
      </c>
      <c r="D423" s="3">
        <f t="shared" si="1"/>
        <v>782608.6957</v>
      </c>
      <c r="E423" s="4">
        <f t="shared" si="2"/>
        <v>-166.2115999</v>
      </c>
      <c r="F423" s="3">
        <f t="shared" si="3"/>
        <v>0.0002123814888</v>
      </c>
      <c r="G423" s="3">
        <f t="shared" si="4"/>
        <v>0</v>
      </c>
      <c r="H423" s="2">
        <f t="shared" si="5"/>
        <v>0</v>
      </c>
      <c r="I423" s="3">
        <f t="shared" si="6"/>
        <v>0</v>
      </c>
      <c r="J423" s="3">
        <f t="shared" si="7"/>
        <v>0</v>
      </c>
      <c r="K423" s="3"/>
      <c r="L423" s="3">
        <f t="shared" si="8"/>
        <v>435.0740067</v>
      </c>
      <c r="M423" s="30">
        <f t="shared" si="9"/>
        <v>430.0551064</v>
      </c>
      <c r="N423" s="14">
        <f t="shared" si="10"/>
        <v>5.018900358</v>
      </c>
      <c r="O423" s="3"/>
      <c r="P423" s="3"/>
      <c r="Q423" s="3"/>
      <c r="R423" s="2"/>
      <c r="S423" s="14">
        <f t="shared" si="13"/>
        <v>4.60883679</v>
      </c>
    </row>
    <row r="424">
      <c r="A424" s="11">
        <v>412.0</v>
      </c>
      <c r="B424" s="11">
        <v>1.42118695652173E9</v>
      </c>
      <c r="C424" s="2">
        <v>-102.4922943</v>
      </c>
      <c r="D424" s="3">
        <f t="shared" si="1"/>
        <v>786956.5217</v>
      </c>
      <c r="E424" s="4">
        <f t="shared" si="2"/>
        <v>-167.129896</v>
      </c>
      <c r="F424" s="3">
        <f t="shared" si="3"/>
        <v>0.000212375006</v>
      </c>
      <c r="G424" s="3">
        <f t="shared" si="4"/>
        <v>0</v>
      </c>
      <c r="H424" s="2">
        <f t="shared" si="5"/>
        <v>0</v>
      </c>
      <c r="I424" s="3">
        <f t="shared" si="6"/>
        <v>0</v>
      </c>
      <c r="J424" s="3">
        <f t="shared" si="7"/>
        <v>0</v>
      </c>
      <c r="K424" s="3"/>
      <c r="L424" s="3">
        <f t="shared" si="8"/>
        <v>428.4269059</v>
      </c>
      <c r="M424" s="30">
        <f t="shared" si="9"/>
        <v>429.9316582</v>
      </c>
      <c r="N424" s="14">
        <f t="shared" si="10"/>
        <v>-1.504752362</v>
      </c>
      <c r="O424" s="3"/>
      <c r="P424" s="3"/>
      <c r="Q424" s="3"/>
      <c r="R424" s="2"/>
      <c r="S424" s="14">
        <f t="shared" si="13"/>
        <v>-1.381808275</v>
      </c>
    </row>
    <row r="425">
      <c r="A425" s="11">
        <v>413.0</v>
      </c>
      <c r="B425" s="11">
        <v>1.42119130434782E9</v>
      </c>
      <c r="C425" s="2">
        <v>-102.5394516</v>
      </c>
      <c r="D425" s="3">
        <f t="shared" si="1"/>
        <v>791304.3478</v>
      </c>
      <c r="E425" s="4">
        <f t="shared" si="2"/>
        <v>-168.0481922</v>
      </c>
      <c r="F425" s="3">
        <f t="shared" si="3"/>
        <v>0.0002123685945</v>
      </c>
      <c r="G425" s="3">
        <f t="shared" si="4"/>
        <v>0</v>
      </c>
      <c r="H425" s="2">
        <f t="shared" si="5"/>
        <v>0</v>
      </c>
      <c r="I425" s="3">
        <f t="shared" si="6"/>
        <v>0</v>
      </c>
      <c r="J425" s="3">
        <f t="shared" si="7"/>
        <v>0</v>
      </c>
      <c r="K425" s="3"/>
      <c r="L425" s="3">
        <f t="shared" si="8"/>
        <v>423.8000537</v>
      </c>
      <c r="M425" s="30">
        <f t="shared" si="9"/>
        <v>429.8080851</v>
      </c>
      <c r="N425" s="14">
        <f t="shared" si="10"/>
        <v>-6.008031381</v>
      </c>
      <c r="O425" s="3"/>
      <c r="P425" s="3"/>
      <c r="Q425" s="3"/>
      <c r="R425" s="2"/>
      <c r="S425" s="14">
        <f t="shared" si="13"/>
        <v>-5.517151983</v>
      </c>
    </row>
    <row r="426">
      <c r="A426" s="11">
        <v>414.0</v>
      </c>
      <c r="B426" s="11">
        <v>1.42119565217391E9</v>
      </c>
      <c r="C426" s="2">
        <v>-102.5294571</v>
      </c>
      <c r="D426" s="3">
        <f t="shared" si="1"/>
        <v>795652.1739</v>
      </c>
      <c r="E426" s="4">
        <f t="shared" si="2"/>
        <v>-168.9664883</v>
      </c>
      <c r="F426" s="3">
        <f t="shared" si="3"/>
        <v>0.0002123622531</v>
      </c>
      <c r="G426" s="3">
        <f t="shared" si="4"/>
        <v>0</v>
      </c>
      <c r="H426" s="2">
        <f t="shared" si="5"/>
        <v>0</v>
      </c>
      <c r="I426" s="3">
        <f t="shared" si="6"/>
        <v>0</v>
      </c>
      <c r="J426" s="3">
        <f t="shared" si="7"/>
        <v>0</v>
      </c>
      <c r="K426" s="3"/>
      <c r="L426" s="3">
        <f t="shared" si="8"/>
        <v>424.7764758</v>
      </c>
      <c r="M426" s="30">
        <f t="shared" si="9"/>
        <v>429.684387</v>
      </c>
      <c r="N426" s="14">
        <f t="shared" si="10"/>
        <v>-4.907911243</v>
      </c>
      <c r="O426" s="3"/>
      <c r="P426" s="3"/>
      <c r="Q426" s="3"/>
      <c r="R426" s="2"/>
      <c r="S426" s="14">
        <f t="shared" si="13"/>
        <v>-4.506915904</v>
      </c>
    </row>
    <row r="427">
      <c r="A427" s="11">
        <v>415.0</v>
      </c>
      <c r="B427" s="11">
        <v>1.4212E9</v>
      </c>
      <c r="C427" s="2">
        <v>-102.4401016</v>
      </c>
      <c r="D427" s="3">
        <f t="shared" si="1"/>
        <v>800000</v>
      </c>
      <c r="E427" s="4">
        <f t="shared" si="2"/>
        <v>-169.8847844</v>
      </c>
      <c r="F427" s="3">
        <f t="shared" si="3"/>
        <v>0.0002123559806</v>
      </c>
      <c r="G427" s="3">
        <f t="shared" si="4"/>
        <v>0</v>
      </c>
      <c r="H427" s="2">
        <f t="shared" si="5"/>
        <v>0</v>
      </c>
      <c r="I427" s="3">
        <f t="shared" si="6"/>
        <v>0</v>
      </c>
      <c r="J427" s="3">
        <f t="shared" si="7"/>
        <v>0</v>
      </c>
      <c r="K427" s="3"/>
      <c r="L427" s="3">
        <f t="shared" si="8"/>
        <v>433.6067231</v>
      </c>
      <c r="M427" s="30">
        <f t="shared" si="9"/>
        <v>429.5605642</v>
      </c>
      <c r="N427" s="14">
        <f t="shared" si="10"/>
        <v>4.046158949</v>
      </c>
      <c r="O427" s="3"/>
      <c r="P427" s="3"/>
      <c r="Q427" s="3"/>
      <c r="R427" s="2"/>
      <c r="S427" s="14">
        <f t="shared" si="13"/>
        <v>3.715572116</v>
      </c>
    </row>
    <row r="428">
      <c r="A428" s="11">
        <v>416.0</v>
      </c>
      <c r="B428" s="11">
        <v>1.42120434782608E9</v>
      </c>
      <c r="C428" s="2">
        <v>-102.4626846</v>
      </c>
      <c r="D428" s="3">
        <f t="shared" si="1"/>
        <v>804347.8261</v>
      </c>
      <c r="E428" s="4">
        <f t="shared" si="2"/>
        <v>-170.8030806</v>
      </c>
      <c r="F428" s="3">
        <f t="shared" si="3"/>
        <v>0.0002123497759</v>
      </c>
      <c r="G428" s="3">
        <f t="shared" si="4"/>
        <v>0</v>
      </c>
      <c r="H428" s="2">
        <f t="shared" si="5"/>
        <v>0</v>
      </c>
      <c r="I428" s="3">
        <f t="shared" si="6"/>
        <v>0</v>
      </c>
      <c r="J428" s="3">
        <f t="shared" si="7"/>
        <v>0</v>
      </c>
      <c r="K428" s="3"/>
      <c r="L428" s="3">
        <f t="shared" si="8"/>
        <v>431.3578515</v>
      </c>
      <c r="M428" s="30">
        <f t="shared" si="9"/>
        <v>429.4366168</v>
      </c>
      <c r="N428" s="14">
        <f t="shared" si="10"/>
        <v>1.921234715</v>
      </c>
      <c r="O428" s="3"/>
      <c r="P428" s="3"/>
      <c r="Q428" s="3"/>
      <c r="R428" s="2"/>
      <c r="S428" s="14">
        <f t="shared" si="13"/>
        <v>1.764262409</v>
      </c>
    </row>
    <row r="429">
      <c r="A429" s="11">
        <v>417.0</v>
      </c>
      <c r="B429" s="11">
        <v>1.42120869565217E9</v>
      </c>
      <c r="C429" s="2">
        <v>-102.4162827</v>
      </c>
      <c r="D429" s="3">
        <f t="shared" si="1"/>
        <v>808695.6522</v>
      </c>
      <c r="E429" s="4">
        <f t="shared" si="2"/>
        <v>-171.7213767</v>
      </c>
      <c r="F429" s="3">
        <f t="shared" si="3"/>
        <v>0.0002123436379</v>
      </c>
      <c r="G429" s="3">
        <f t="shared" si="4"/>
        <v>0</v>
      </c>
      <c r="H429" s="2">
        <f t="shared" si="5"/>
        <v>0</v>
      </c>
      <c r="I429" s="3">
        <f t="shared" si="6"/>
        <v>0</v>
      </c>
      <c r="J429" s="3">
        <f t="shared" si="7"/>
        <v>0</v>
      </c>
      <c r="K429" s="3"/>
      <c r="L429" s="3">
        <f t="shared" si="8"/>
        <v>435.9913745</v>
      </c>
      <c r="M429" s="30">
        <f t="shared" si="9"/>
        <v>429.3125449</v>
      </c>
      <c r="N429" s="14">
        <f t="shared" si="10"/>
        <v>6.678829573</v>
      </c>
      <c r="O429" s="3"/>
      <c r="P429" s="3"/>
      <c r="Q429" s="3"/>
      <c r="R429" s="2"/>
      <c r="S429" s="14">
        <f t="shared" si="13"/>
        <v>6.133143354</v>
      </c>
    </row>
    <row r="430">
      <c r="A430" s="11">
        <v>418.0</v>
      </c>
      <c r="B430" s="11">
        <v>1.42121304347826E9</v>
      </c>
      <c r="C430" s="2">
        <v>-102.4706039</v>
      </c>
      <c r="D430" s="3">
        <f t="shared" si="1"/>
        <v>813043.4783</v>
      </c>
      <c r="E430" s="4">
        <f t="shared" si="2"/>
        <v>-172.6396728</v>
      </c>
      <c r="F430" s="3">
        <f t="shared" si="3"/>
        <v>0.0002123375655</v>
      </c>
      <c r="G430" s="3">
        <f t="shared" si="4"/>
        <v>0</v>
      </c>
      <c r="H430" s="2">
        <f t="shared" si="5"/>
        <v>0</v>
      </c>
      <c r="I430" s="3">
        <f t="shared" si="6"/>
        <v>0</v>
      </c>
      <c r="J430" s="3">
        <f t="shared" si="7"/>
        <v>0</v>
      </c>
      <c r="K430" s="3"/>
      <c r="L430" s="3">
        <f t="shared" si="8"/>
        <v>430.5719931</v>
      </c>
      <c r="M430" s="30">
        <f t="shared" si="9"/>
        <v>429.1883487</v>
      </c>
      <c r="N430" s="14">
        <f t="shared" si="10"/>
        <v>1.383644435</v>
      </c>
      <c r="O430" s="3"/>
      <c r="P430" s="3"/>
      <c r="Q430" s="3"/>
      <c r="R430" s="2"/>
      <c r="S430" s="14">
        <f t="shared" si="13"/>
        <v>1.270595333</v>
      </c>
    </row>
    <row r="431">
      <c r="A431" s="11">
        <v>419.0</v>
      </c>
      <c r="B431" s="11">
        <v>1.42121739130434E9</v>
      </c>
      <c r="C431" s="2">
        <v>-102.5607605</v>
      </c>
      <c r="D431" s="3">
        <f t="shared" si="1"/>
        <v>817391.3043</v>
      </c>
      <c r="E431" s="4">
        <f t="shared" si="2"/>
        <v>-173.557969</v>
      </c>
      <c r="F431" s="3">
        <f t="shared" si="3"/>
        <v>0.0002123315578</v>
      </c>
      <c r="G431" s="3">
        <f t="shared" si="4"/>
        <v>0</v>
      </c>
      <c r="H431" s="2">
        <f t="shared" si="5"/>
        <v>0</v>
      </c>
      <c r="I431" s="3">
        <f t="shared" si="6"/>
        <v>0</v>
      </c>
      <c r="J431" s="3">
        <f t="shared" si="7"/>
        <v>0</v>
      </c>
      <c r="K431" s="3"/>
      <c r="L431" s="3">
        <f t="shared" si="8"/>
        <v>421.7257482</v>
      </c>
      <c r="M431" s="30">
        <f t="shared" si="9"/>
        <v>429.0640283</v>
      </c>
      <c r="N431" s="14">
        <f t="shared" si="10"/>
        <v>-7.338280092</v>
      </c>
      <c r="O431" s="3"/>
      <c r="P431" s="3"/>
      <c r="Q431" s="3"/>
      <c r="R431" s="2"/>
      <c r="S431" s="14">
        <f t="shared" si="13"/>
        <v>-6.73871423</v>
      </c>
    </row>
    <row r="432">
      <c r="A432" s="11">
        <v>420.0</v>
      </c>
      <c r="B432" s="11">
        <v>1.42122173913043E9</v>
      </c>
      <c r="C432" s="2">
        <v>-102.4689789</v>
      </c>
      <c r="D432" s="3">
        <f t="shared" si="1"/>
        <v>821739.1304</v>
      </c>
      <c r="E432" s="4">
        <f t="shared" si="2"/>
        <v>-174.4762651</v>
      </c>
      <c r="F432" s="3">
        <f t="shared" si="3"/>
        <v>0.0002123256136</v>
      </c>
      <c r="G432" s="3">
        <f t="shared" si="4"/>
        <v>0</v>
      </c>
      <c r="H432" s="2">
        <f t="shared" si="5"/>
        <v>0</v>
      </c>
      <c r="I432" s="3">
        <f t="shared" si="6"/>
        <v>0</v>
      </c>
      <c r="J432" s="3">
        <f t="shared" si="7"/>
        <v>0</v>
      </c>
      <c r="K432" s="3"/>
      <c r="L432" s="3">
        <f t="shared" si="8"/>
        <v>430.7331304</v>
      </c>
      <c r="M432" s="30">
        <f t="shared" si="9"/>
        <v>428.9395838</v>
      </c>
      <c r="N432" s="14">
        <f t="shared" si="10"/>
        <v>1.793546582</v>
      </c>
      <c r="O432" s="3"/>
      <c r="P432" s="3"/>
      <c r="Q432" s="3"/>
      <c r="R432" s="2"/>
      <c r="S432" s="14">
        <f t="shared" si="13"/>
        <v>1.647006886</v>
      </c>
    </row>
    <row r="433">
      <c r="A433" s="11">
        <v>421.0</v>
      </c>
      <c r="B433" s="11">
        <v>1.42122608695652E9</v>
      </c>
      <c r="C433" s="2">
        <v>-102.4722595</v>
      </c>
      <c r="D433" s="3">
        <f t="shared" si="1"/>
        <v>826086.9565</v>
      </c>
      <c r="E433" s="4">
        <f t="shared" si="2"/>
        <v>-175.3945612</v>
      </c>
      <c r="F433" s="3">
        <f t="shared" si="3"/>
        <v>0.000212319732</v>
      </c>
      <c r="G433" s="3">
        <f t="shared" si="4"/>
        <v>0</v>
      </c>
      <c r="H433" s="2">
        <f t="shared" si="5"/>
        <v>0</v>
      </c>
      <c r="I433" s="3">
        <f t="shared" si="6"/>
        <v>0</v>
      </c>
      <c r="J433" s="3">
        <f t="shared" si="7"/>
        <v>0</v>
      </c>
      <c r="K433" s="3"/>
      <c r="L433" s="3">
        <f t="shared" si="8"/>
        <v>430.4078835</v>
      </c>
      <c r="M433" s="30">
        <f t="shared" si="9"/>
        <v>428.8150155</v>
      </c>
      <c r="N433" s="14">
        <f t="shared" si="10"/>
        <v>1.592867991</v>
      </c>
      <c r="O433" s="3"/>
      <c r="P433" s="3"/>
      <c r="Q433" s="3"/>
      <c r="R433" s="2"/>
      <c r="S433" s="14">
        <f t="shared" si="13"/>
        <v>1.462724516</v>
      </c>
    </row>
    <row r="434">
      <c r="A434" s="11">
        <v>422.0</v>
      </c>
      <c r="B434" s="11">
        <v>1.4212304347826E9</v>
      </c>
      <c r="C434" s="2">
        <v>-102.5270767</v>
      </c>
      <c r="D434" s="3">
        <f t="shared" si="1"/>
        <v>830434.7826</v>
      </c>
      <c r="E434" s="4">
        <f t="shared" si="2"/>
        <v>-176.3128574</v>
      </c>
      <c r="F434" s="3">
        <f t="shared" si="3"/>
        <v>0.000212313912</v>
      </c>
      <c r="G434" s="3">
        <f t="shared" si="4"/>
        <v>0</v>
      </c>
      <c r="H434" s="2">
        <f t="shared" si="5"/>
        <v>0</v>
      </c>
      <c r="I434" s="3">
        <f t="shared" si="6"/>
        <v>0</v>
      </c>
      <c r="J434" s="3">
        <f t="shared" si="7"/>
        <v>0</v>
      </c>
      <c r="K434" s="3"/>
      <c r="L434" s="3">
        <f t="shared" si="8"/>
        <v>425.0093627</v>
      </c>
      <c r="M434" s="30">
        <f t="shared" si="9"/>
        <v>428.6903233</v>
      </c>
      <c r="N434" s="14">
        <f t="shared" si="10"/>
        <v>-3.680960668</v>
      </c>
      <c r="O434" s="3"/>
      <c r="P434" s="3"/>
      <c r="Q434" s="3"/>
      <c r="R434" s="2"/>
      <c r="S434" s="14">
        <f t="shared" si="13"/>
        <v>-3.380211946</v>
      </c>
    </row>
    <row r="435">
      <c r="A435" s="11">
        <v>423.0</v>
      </c>
      <c r="B435" s="11">
        <v>1.42123478260869E9</v>
      </c>
      <c r="C435" s="2">
        <v>-102.5088501</v>
      </c>
      <c r="D435" s="3">
        <f t="shared" si="1"/>
        <v>834782.6087</v>
      </c>
      <c r="E435" s="4">
        <f t="shared" si="2"/>
        <v>-177.2311535</v>
      </c>
      <c r="F435" s="3">
        <f t="shared" si="3"/>
        <v>0.0002123081526</v>
      </c>
      <c r="G435" s="3">
        <f t="shared" si="4"/>
        <v>0</v>
      </c>
      <c r="H435" s="2">
        <f t="shared" si="5"/>
        <v>0</v>
      </c>
      <c r="I435" s="3">
        <f t="shared" si="6"/>
        <v>0</v>
      </c>
      <c r="J435" s="3">
        <f t="shared" si="7"/>
        <v>0</v>
      </c>
      <c r="K435" s="3"/>
      <c r="L435" s="3">
        <f t="shared" si="8"/>
        <v>426.7968028</v>
      </c>
      <c r="M435" s="30">
        <f t="shared" si="9"/>
        <v>428.5655076</v>
      </c>
      <c r="N435" s="14">
        <f t="shared" si="10"/>
        <v>-1.768704814</v>
      </c>
      <c r="O435" s="3"/>
      <c r="P435" s="3"/>
      <c r="Q435" s="3"/>
      <c r="R435" s="2"/>
      <c r="S435" s="14">
        <f t="shared" si="13"/>
        <v>-1.62419479</v>
      </c>
    </row>
    <row r="436">
      <c r="A436" s="11">
        <v>424.0</v>
      </c>
      <c r="B436" s="11">
        <v>1.42123913043478E9</v>
      </c>
      <c r="C436" s="2">
        <v>-102.4866486</v>
      </c>
      <c r="D436" s="3">
        <f t="shared" si="1"/>
        <v>839130.4348</v>
      </c>
      <c r="E436" s="4">
        <f t="shared" si="2"/>
        <v>-178.1494496</v>
      </c>
      <c r="F436" s="3">
        <f t="shared" si="3"/>
        <v>0.0002123024529</v>
      </c>
      <c r="G436" s="3">
        <f t="shared" si="4"/>
        <v>0</v>
      </c>
      <c r="H436" s="2">
        <f t="shared" si="5"/>
        <v>0</v>
      </c>
      <c r="I436" s="3">
        <f t="shared" si="6"/>
        <v>0</v>
      </c>
      <c r="J436" s="3">
        <f t="shared" si="7"/>
        <v>0</v>
      </c>
      <c r="K436" s="3"/>
      <c r="L436" s="3">
        <f t="shared" si="8"/>
        <v>428.9842104</v>
      </c>
      <c r="M436" s="30">
        <f t="shared" si="9"/>
        <v>428.4405684</v>
      </c>
      <c r="N436" s="14">
        <f t="shared" si="10"/>
        <v>0.5436420005</v>
      </c>
      <c r="O436" s="3"/>
      <c r="P436" s="3"/>
      <c r="Q436" s="3"/>
      <c r="R436" s="2"/>
      <c r="S436" s="14">
        <f t="shared" si="13"/>
        <v>0.4992243456</v>
      </c>
    </row>
    <row r="437">
      <c r="A437" s="11">
        <v>425.0</v>
      </c>
      <c r="B437" s="11">
        <v>1.42124347826087E9</v>
      </c>
      <c r="C437" s="2">
        <v>-102.4477158</v>
      </c>
      <c r="D437" s="3">
        <f t="shared" si="1"/>
        <v>843478.2609</v>
      </c>
      <c r="E437" s="4">
        <f t="shared" si="2"/>
        <v>-179.0677458</v>
      </c>
      <c r="F437" s="3">
        <f t="shared" si="3"/>
        <v>0.000212296812</v>
      </c>
      <c r="G437" s="3">
        <f t="shared" si="4"/>
        <v>0</v>
      </c>
      <c r="H437" s="2">
        <f t="shared" si="5"/>
        <v>0</v>
      </c>
      <c r="I437" s="3">
        <f t="shared" si="6"/>
        <v>0</v>
      </c>
      <c r="J437" s="3">
        <f t="shared" si="7"/>
        <v>0</v>
      </c>
      <c r="K437" s="3"/>
      <c r="L437" s="3">
        <f t="shared" si="8"/>
        <v>432.847175</v>
      </c>
      <c r="M437" s="30">
        <f t="shared" si="9"/>
        <v>428.3155058</v>
      </c>
      <c r="N437" s="14">
        <f t="shared" si="10"/>
        <v>4.531669195</v>
      </c>
      <c r="O437" s="3"/>
      <c r="P437" s="3"/>
      <c r="Q437" s="3"/>
      <c r="R437" s="2"/>
      <c r="S437" s="14">
        <f t="shared" si="13"/>
        <v>4.161414297</v>
      </c>
    </row>
    <row r="438">
      <c r="A438" s="11">
        <v>426.0</v>
      </c>
      <c r="B438" s="11">
        <v>1.42124782608695E9</v>
      </c>
      <c r="C438" s="2">
        <v>-102.4778748</v>
      </c>
      <c r="D438" s="3">
        <f t="shared" si="1"/>
        <v>847826.087</v>
      </c>
      <c r="E438" s="4">
        <f t="shared" si="2"/>
        <v>-179.9860419</v>
      </c>
      <c r="F438" s="3">
        <f t="shared" si="3"/>
        <v>0.0002122912289</v>
      </c>
      <c r="G438" s="3">
        <f t="shared" si="4"/>
        <v>0</v>
      </c>
      <c r="H438" s="2">
        <f t="shared" si="5"/>
        <v>0</v>
      </c>
      <c r="I438" s="3">
        <f t="shared" si="6"/>
        <v>0</v>
      </c>
      <c r="J438" s="3">
        <f t="shared" si="7"/>
        <v>0</v>
      </c>
      <c r="K438" s="3"/>
      <c r="L438" s="3">
        <f t="shared" si="8"/>
        <v>429.8517383</v>
      </c>
      <c r="M438" s="30">
        <f t="shared" si="9"/>
        <v>428.19032</v>
      </c>
      <c r="N438" s="14">
        <f t="shared" si="10"/>
        <v>1.661418364</v>
      </c>
      <c r="O438" s="3"/>
      <c r="P438" s="3"/>
      <c r="Q438" s="3"/>
      <c r="R438" s="2"/>
      <c r="S438" s="14">
        <f t="shared" si="13"/>
        <v>1.525674059</v>
      </c>
    </row>
    <row r="439">
      <c r="A439" s="11">
        <v>427.0</v>
      </c>
      <c r="B439" s="11">
        <v>1.42125217391304E9</v>
      </c>
      <c r="C439" s="2">
        <v>-102.5463562</v>
      </c>
      <c r="D439" s="3">
        <f t="shared" si="1"/>
        <v>852173.913</v>
      </c>
      <c r="E439" s="4">
        <f t="shared" si="2"/>
        <v>-180.904338</v>
      </c>
      <c r="F439" s="3">
        <f t="shared" si="3"/>
        <v>0.0002122857028</v>
      </c>
      <c r="G439" s="3">
        <f t="shared" si="4"/>
        <v>0</v>
      </c>
      <c r="H439" s="2">
        <f t="shared" si="5"/>
        <v>0</v>
      </c>
      <c r="I439" s="3">
        <f t="shared" si="6"/>
        <v>0</v>
      </c>
      <c r="J439" s="3">
        <f t="shared" si="7"/>
        <v>0</v>
      </c>
      <c r="K439" s="3"/>
      <c r="L439" s="3">
        <f t="shared" si="8"/>
        <v>423.1268135</v>
      </c>
      <c r="M439" s="30">
        <f t="shared" si="9"/>
        <v>428.0650111</v>
      </c>
      <c r="N439" s="14">
        <f t="shared" si="10"/>
        <v>-4.938197623</v>
      </c>
      <c r="O439" s="3"/>
      <c r="P439" s="3"/>
      <c r="Q439" s="3"/>
      <c r="R439" s="2"/>
      <c r="S439" s="14">
        <f t="shared" si="13"/>
        <v>-4.534727769</v>
      </c>
    </row>
    <row r="440">
      <c r="A440" s="11">
        <v>428.0</v>
      </c>
      <c r="B440" s="11">
        <v>1.42125652173913E9</v>
      </c>
      <c r="C440" s="2">
        <v>-102.5277939</v>
      </c>
      <c r="D440" s="3">
        <f t="shared" si="1"/>
        <v>856521.7391</v>
      </c>
      <c r="E440" s="4">
        <f t="shared" si="2"/>
        <v>-181.8226342</v>
      </c>
      <c r="F440" s="3">
        <f t="shared" si="3"/>
        <v>0.0002122802328</v>
      </c>
      <c r="G440" s="3">
        <f t="shared" si="4"/>
        <v>0</v>
      </c>
      <c r="H440" s="2">
        <f t="shared" si="5"/>
        <v>0</v>
      </c>
      <c r="I440" s="3">
        <f t="shared" si="6"/>
        <v>0</v>
      </c>
      <c r="J440" s="3">
        <f t="shared" si="7"/>
        <v>0</v>
      </c>
      <c r="K440" s="3"/>
      <c r="L440" s="3">
        <f t="shared" si="8"/>
        <v>424.9391818</v>
      </c>
      <c r="M440" s="30">
        <f t="shared" si="9"/>
        <v>427.9395793</v>
      </c>
      <c r="N440" s="14">
        <f t="shared" si="10"/>
        <v>-3.00039748</v>
      </c>
      <c r="O440" s="3"/>
      <c r="P440" s="3"/>
      <c r="Q440" s="3"/>
      <c r="R440" s="2"/>
      <c r="S440" s="14">
        <f t="shared" si="13"/>
        <v>-2.755253402</v>
      </c>
    </row>
    <row r="441">
      <c r="A441" s="11">
        <v>429.0</v>
      </c>
      <c r="B441" s="11">
        <v>1.42126086956521E9</v>
      </c>
      <c r="C441" s="2">
        <v>-102.561615</v>
      </c>
      <c r="D441" s="3">
        <f t="shared" si="1"/>
        <v>860869.5652</v>
      </c>
      <c r="E441" s="4">
        <f t="shared" si="2"/>
        <v>-182.7409303</v>
      </c>
      <c r="F441" s="3">
        <f t="shared" si="3"/>
        <v>0.000212274818</v>
      </c>
      <c r="G441" s="3">
        <f t="shared" si="4"/>
        <v>0</v>
      </c>
      <c r="H441" s="2">
        <f t="shared" si="5"/>
        <v>0</v>
      </c>
      <c r="I441" s="3">
        <f t="shared" si="6"/>
        <v>0</v>
      </c>
      <c r="J441" s="3">
        <f t="shared" si="7"/>
        <v>0</v>
      </c>
      <c r="K441" s="3"/>
      <c r="L441" s="3">
        <f t="shared" si="8"/>
        <v>421.6427793</v>
      </c>
      <c r="M441" s="30">
        <f t="shared" si="9"/>
        <v>427.8140247</v>
      </c>
      <c r="N441" s="14">
        <f t="shared" si="10"/>
        <v>-6.171245413</v>
      </c>
      <c r="O441" s="3"/>
      <c r="P441" s="3"/>
      <c r="Q441" s="3"/>
      <c r="R441" s="2"/>
      <c r="S441" s="14">
        <f t="shared" si="13"/>
        <v>-5.667030797</v>
      </c>
    </row>
    <row r="442">
      <c r="A442" s="11">
        <v>430.0</v>
      </c>
      <c r="B442" s="11">
        <v>1.4212652173913E9</v>
      </c>
      <c r="C442" s="2">
        <v>-102.5225449</v>
      </c>
      <c r="D442" s="3">
        <f t="shared" si="1"/>
        <v>865217.3913</v>
      </c>
      <c r="E442" s="4">
        <f t="shared" si="2"/>
        <v>-183.6592264</v>
      </c>
      <c r="F442" s="3">
        <f t="shared" si="3"/>
        <v>0.0002122694577</v>
      </c>
      <c r="G442" s="3">
        <f t="shared" si="4"/>
        <v>0</v>
      </c>
      <c r="H442" s="2">
        <f t="shared" si="5"/>
        <v>0</v>
      </c>
      <c r="I442" s="3">
        <f t="shared" si="6"/>
        <v>0</v>
      </c>
      <c r="J442" s="3">
        <f t="shared" si="7"/>
        <v>0</v>
      </c>
      <c r="K442" s="3"/>
      <c r="L442" s="3">
        <f t="shared" si="8"/>
        <v>425.4530853</v>
      </c>
      <c r="M442" s="30">
        <f t="shared" si="9"/>
        <v>427.6883475</v>
      </c>
      <c r="N442" s="14">
        <f t="shared" si="10"/>
        <v>-2.235262234</v>
      </c>
      <c r="O442" s="3"/>
      <c r="P442" s="3"/>
      <c r="Q442" s="3"/>
      <c r="R442" s="2"/>
      <c r="S442" s="14">
        <f t="shared" si="13"/>
        <v>-2.052632661</v>
      </c>
    </row>
    <row r="443">
      <c r="A443" s="11">
        <v>431.0</v>
      </c>
      <c r="B443" s="11">
        <v>1.42126956521739E9</v>
      </c>
      <c r="C443" s="2">
        <v>-102.5137634</v>
      </c>
      <c r="D443" s="3">
        <f t="shared" si="1"/>
        <v>869565.2174</v>
      </c>
      <c r="E443" s="4">
        <f t="shared" si="2"/>
        <v>-184.5775226</v>
      </c>
      <c r="F443" s="3">
        <f t="shared" si="3"/>
        <v>0.0002122641509</v>
      </c>
      <c r="G443" s="3">
        <f t="shared" si="4"/>
        <v>0</v>
      </c>
      <c r="H443" s="2">
        <f t="shared" si="5"/>
        <v>0</v>
      </c>
      <c r="I443" s="3">
        <f t="shared" si="6"/>
        <v>0</v>
      </c>
      <c r="J443" s="3">
        <f t="shared" si="7"/>
        <v>0</v>
      </c>
      <c r="K443" s="3"/>
      <c r="L443" s="3">
        <f t="shared" si="8"/>
        <v>426.3142282</v>
      </c>
      <c r="M443" s="30">
        <f t="shared" si="9"/>
        <v>427.5625478</v>
      </c>
      <c r="N443" s="14">
        <f t="shared" si="10"/>
        <v>-1.248319601</v>
      </c>
      <c r="O443" s="3"/>
      <c r="P443" s="3"/>
      <c r="Q443" s="3"/>
      <c r="R443" s="2"/>
      <c r="S443" s="14">
        <f t="shared" si="13"/>
        <v>-1.146327062</v>
      </c>
    </row>
    <row r="444">
      <c r="A444" s="11">
        <v>432.0</v>
      </c>
      <c r="B444" s="11">
        <v>1.42127391304347E9</v>
      </c>
      <c r="C444" s="2">
        <v>-102.5391769</v>
      </c>
      <c r="D444" s="3">
        <f t="shared" si="1"/>
        <v>873913.0435</v>
      </c>
      <c r="E444" s="4">
        <f t="shared" si="2"/>
        <v>-185.4958187</v>
      </c>
      <c r="F444" s="3">
        <f t="shared" si="3"/>
        <v>0.000212258897</v>
      </c>
      <c r="G444" s="3">
        <f t="shared" si="4"/>
        <v>0</v>
      </c>
      <c r="H444" s="2">
        <f t="shared" si="5"/>
        <v>0</v>
      </c>
      <c r="I444" s="3">
        <f t="shared" si="6"/>
        <v>0</v>
      </c>
      <c r="J444" s="3">
        <f t="shared" si="7"/>
        <v>0</v>
      </c>
      <c r="K444" s="3"/>
      <c r="L444" s="3">
        <f t="shared" si="8"/>
        <v>423.8268607</v>
      </c>
      <c r="M444" s="30">
        <f t="shared" si="9"/>
        <v>427.4366256</v>
      </c>
      <c r="N444" s="14">
        <f t="shared" si="10"/>
        <v>-3.609764911</v>
      </c>
      <c r="O444" s="3"/>
      <c r="P444" s="3"/>
      <c r="Q444" s="3"/>
      <c r="R444" s="2"/>
      <c r="S444" s="14">
        <f t="shared" si="13"/>
        <v>-3.314833158</v>
      </c>
    </row>
    <row r="445">
      <c r="A445" s="11">
        <v>433.0</v>
      </c>
      <c r="B445" s="11">
        <v>1.42127826086956E9</v>
      </c>
      <c r="C445" s="2">
        <v>-102.5065308</v>
      </c>
      <c r="D445" s="3">
        <f t="shared" si="1"/>
        <v>878260.8696</v>
      </c>
      <c r="E445" s="4">
        <f t="shared" si="2"/>
        <v>-186.4141148</v>
      </c>
      <c r="F445" s="3">
        <f t="shared" si="3"/>
        <v>0.0002122536951</v>
      </c>
      <c r="G445" s="3">
        <f t="shared" si="4"/>
        <v>0</v>
      </c>
      <c r="H445" s="2">
        <f t="shared" si="5"/>
        <v>0</v>
      </c>
      <c r="I445" s="3">
        <f t="shared" si="6"/>
        <v>0</v>
      </c>
      <c r="J445" s="3">
        <f t="shared" si="7"/>
        <v>0</v>
      </c>
      <c r="K445" s="3"/>
      <c r="L445" s="3">
        <f t="shared" si="8"/>
        <v>427.0247896</v>
      </c>
      <c r="M445" s="30">
        <f t="shared" si="9"/>
        <v>427.3105813</v>
      </c>
      <c r="N445" s="14">
        <f t="shared" si="10"/>
        <v>-0.285791696</v>
      </c>
      <c r="O445" s="3"/>
      <c r="P445" s="3"/>
      <c r="Q445" s="3"/>
      <c r="R445" s="2"/>
      <c r="S445" s="14">
        <f t="shared" si="13"/>
        <v>-0.2624414086</v>
      </c>
    </row>
    <row r="446">
      <c r="A446" s="11">
        <v>434.0</v>
      </c>
      <c r="B446" s="11">
        <v>1.42128260869565E9</v>
      </c>
      <c r="C446" s="2">
        <v>-102.5035248</v>
      </c>
      <c r="D446" s="3">
        <f t="shared" si="1"/>
        <v>882608.6957</v>
      </c>
      <c r="E446" s="4">
        <f t="shared" si="2"/>
        <v>-187.332411</v>
      </c>
      <c r="F446" s="3">
        <f t="shared" si="3"/>
        <v>0.0002122485444</v>
      </c>
      <c r="G446" s="3">
        <f t="shared" si="4"/>
        <v>0</v>
      </c>
      <c r="H446" s="2">
        <f t="shared" si="5"/>
        <v>0</v>
      </c>
      <c r="I446" s="3">
        <f t="shared" si="6"/>
        <v>0</v>
      </c>
      <c r="J446" s="3">
        <f t="shared" si="7"/>
        <v>0</v>
      </c>
      <c r="K446" s="3"/>
      <c r="L446" s="3">
        <f t="shared" si="8"/>
        <v>427.3204601</v>
      </c>
      <c r="M446" s="30">
        <f t="shared" si="9"/>
        <v>427.1844149</v>
      </c>
      <c r="N446" s="14">
        <f t="shared" si="10"/>
        <v>0.1360452794</v>
      </c>
      <c r="O446" s="3"/>
      <c r="P446" s="3"/>
      <c r="Q446" s="3"/>
      <c r="R446" s="2"/>
      <c r="S446" s="14">
        <f t="shared" si="13"/>
        <v>0.124929854</v>
      </c>
    </row>
    <row r="447">
      <c r="A447" s="11">
        <v>435.0</v>
      </c>
      <c r="B447" s="11">
        <v>1.42128695652173E9</v>
      </c>
      <c r="C447" s="2">
        <v>-102.5092392</v>
      </c>
      <c r="D447" s="3">
        <f t="shared" si="1"/>
        <v>886956.5217</v>
      </c>
      <c r="E447" s="4">
        <f t="shared" si="2"/>
        <v>-188.2507071</v>
      </c>
      <c r="F447" s="3">
        <f t="shared" si="3"/>
        <v>0.0002122434443</v>
      </c>
      <c r="G447" s="3">
        <f t="shared" si="4"/>
        <v>0</v>
      </c>
      <c r="H447" s="2">
        <f t="shared" si="5"/>
        <v>0</v>
      </c>
      <c r="I447" s="3">
        <f t="shared" si="6"/>
        <v>0</v>
      </c>
      <c r="J447" s="3">
        <f t="shared" si="7"/>
        <v>0</v>
      </c>
      <c r="K447" s="3"/>
      <c r="L447" s="3">
        <f t="shared" si="8"/>
        <v>426.7585662</v>
      </c>
      <c r="M447" s="30">
        <f t="shared" si="9"/>
        <v>427.0581265</v>
      </c>
      <c r="N447" s="14">
        <f t="shared" si="10"/>
        <v>-0.2995602485</v>
      </c>
      <c r="O447" s="3"/>
      <c r="P447" s="3"/>
      <c r="Q447" s="3"/>
      <c r="R447" s="2"/>
      <c r="S447" s="14">
        <f t="shared" si="13"/>
        <v>-0.2750850177</v>
      </c>
    </row>
    <row r="448">
      <c r="A448" s="11">
        <v>436.0</v>
      </c>
      <c r="B448" s="11">
        <v>1.42129130434782E9</v>
      </c>
      <c r="C448" s="2">
        <v>-102.5281677</v>
      </c>
      <c r="D448" s="3">
        <f t="shared" si="1"/>
        <v>891304.3478</v>
      </c>
      <c r="E448" s="4">
        <f t="shared" si="2"/>
        <v>-189.1690032</v>
      </c>
      <c r="F448" s="3">
        <f t="shared" si="3"/>
        <v>0.0002122383939</v>
      </c>
      <c r="G448" s="3">
        <f t="shared" si="4"/>
        <v>0</v>
      </c>
      <c r="H448" s="2">
        <f t="shared" si="5"/>
        <v>0</v>
      </c>
      <c r="I448" s="3">
        <f t="shared" si="6"/>
        <v>0</v>
      </c>
      <c r="J448" s="3">
        <f t="shared" si="7"/>
        <v>0</v>
      </c>
      <c r="K448" s="3"/>
      <c r="L448" s="3">
        <f t="shared" si="8"/>
        <v>424.9026086</v>
      </c>
      <c r="M448" s="30">
        <f t="shared" si="9"/>
        <v>426.9317163</v>
      </c>
      <c r="N448" s="14">
        <f t="shared" si="10"/>
        <v>-2.029107673</v>
      </c>
      <c r="O448" s="3"/>
      <c r="P448" s="3"/>
      <c r="Q448" s="3"/>
      <c r="R448" s="2"/>
      <c r="S448" s="14">
        <f t="shared" si="13"/>
        <v>-1.86332173</v>
      </c>
    </row>
    <row r="449">
      <c r="A449" s="11">
        <v>437.0</v>
      </c>
      <c r="B449" s="11">
        <v>1.42129565217391E9</v>
      </c>
      <c r="C449" s="2">
        <v>-102.4927444</v>
      </c>
      <c r="D449" s="3">
        <f t="shared" si="1"/>
        <v>895652.1739</v>
      </c>
      <c r="E449" s="4">
        <f t="shared" si="2"/>
        <v>-190.0872994</v>
      </c>
      <c r="F449" s="3">
        <f t="shared" si="3"/>
        <v>0.0002122333925</v>
      </c>
      <c r="G449" s="3">
        <f t="shared" si="4"/>
        <v>0</v>
      </c>
      <c r="H449" s="2">
        <f t="shared" si="5"/>
        <v>0</v>
      </c>
      <c r="I449" s="3">
        <f t="shared" si="6"/>
        <v>0</v>
      </c>
      <c r="J449" s="3">
        <f t="shared" si="7"/>
        <v>0</v>
      </c>
      <c r="K449" s="3"/>
      <c r="L449" s="3">
        <f t="shared" si="8"/>
        <v>428.3825063</v>
      </c>
      <c r="M449" s="30">
        <f t="shared" si="9"/>
        <v>426.8051844</v>
      </c>
      <c r="N449" s="14">
        <f t="shared" si="10"/>
        <v>1.577321849</v>
      </c>
      <c r="O449" s="3"/>
      <c r="P449" s="3"/>
      <c r="Q449" s="3"/>
      <c r="R449" s="2"/>
      <c r="S449" s="14">
        <f t="shared" si="13"/>
        <v>1.448448551</v>
      </c>
    </row>
    <row r="450">
      <c r="A450" s="11">
        <v>438.0</v>
      </c>
      <c r="B450" s="11">
        <v>1.4213E9</v>
      </c>
      <c r="C450" s="2">
        <v>-102.5341568</v>
      </c>
      <c r="D450" s="3">
        <f t="shared" si="1"/>
        <v>900000</v>
      </c>
      <c r="E450" s="4">
        <f t="shared" si="2"/>
        <v>-191.0055955</v>
      </c>
      <c r="F450" s="3">
        <f t="shared" si="3"/>
        <v>0.0002122284394</v>
      </c>
      <c r="G450" s="3">
        <f t="shared" si="4"/>
        <v>0</v>
      </c>
      <c r="H450" s="2">
        <f t="shared" si="5"/>
        <v>0</v>
      </c>
      <c r="I450" s="3">
        <f t="shared" si="6"/>
        <v>0</v>
      </c>
      <c r="J450" s="3">
        <f t="shared" si="7"/>
        <v>0</v>
      </c>
      <c r="K450" s="3"/>
      <c r="L450" s="3">
        <f t="shared" si="8"/>
        <v>424.3170542</v>
      </c>
      <c r="M450" s="30">
        <f t="shared" si="9"/>
        <v>426.678531</v>
      </c>
      <c r="N450" s="14">
        <f t="shared" si="10"/>
        <v>-2.361476795</v>
      </c>
      <c r="O450" s="3"/>
      <c r="P450" s="3"/>
      <c r="Q450" s="3"/>
      <c r="R450" s="2"/>
      <c r="S450" s="14">
        <f t="shared" si="13"/>
        <v>-2.168535008</v>
      </c>
    </row>
    <row r="451">
      <c r="A451" s="11">
        <v>439.0</v>
      </c>
      <c r="B451" s="11">
        <v>1.42130434782608E9</v>
      </c>
      <c r="C451" s="2">
        <v>-102.4954987</v>
      </c>
      <c r="D451" s="3">
        <f t="shared" si="1"/>
        <v>904347.8261</v>
      </c>
      <c r="E451" s="4">
        <f t="shared" si="2"/>
        <v>-191.9238916</v>
      </c>
      <c r="F451" s="3">
        <f t="shared" si="3"/>
        <v>0.000212223534</v>
      </c>
      <c r="G451" s="3">
        <f t="shared" si="4"/>
        <v>0</v>
      </c>
      <c r="H451" s="2">
        <f t="shared" si="5"/>
        <v>0</v>
      </c>
      <c r="I451" s="3">
        <f t="shared" si="6"/>
        <v>0</v>
      </c>
      <c r="J451" s="3">
        <f t="shared" si="7"/>
        <v>0</v>
      </c>
      <c r="K451" s="3"/>
      <c r="L451" s="3">
        <f t="shared" si="8"/>
        <v>428.1109118</v>
      </c>
      <c r="M451" s="30">
        <f t="shared" si="9"/>
        <v>426.5517563</v>
      </c>
      <c r="N451" s="14">
        <f t="shared" si="10"/>
        <v>1.559155537</v>
      </c>
      <c r="O451" s="3"/>
      <c r="P451" s="3"/>
      <c r="Q451" s="3"/>
      <c r="R451" s="2"/>
      <c r="S451" s="14">
        <f t="shared" si="13"/>
        <v>1.4317665</v>
      </c>
    </row>
    <row r="452">
      <c r="A452" s="11">
        <v>440.0</v>
      </c>
      <c r="B452" s="11">
        <v>1.42130869565217E9</v>
      </c>
      <c r="C452" s="2">
        <v>-102.4433441</v>
      </c>
      <c r="D452" s="3">
        <f t="shared" si="1"/>
        <v>908695.6522</v>
      </c>
      <c r="E452" s="4">
        <f t="shared" si="2"/>
        <v>-192.8421877</v>
      </c>
      <c r="F452" s="3">
        <f t="shared" si="3"/>
        <v>0.0002122186755</v>
      </c>
      <c r="G452" s="3">
        <f t="shared" si="4"/>
        <v>0</v>
      </c>
      <c r="H452" s="2">
        <f t="shared" si="5"/>
        <v>0</v>
      </c>
      <c r="I452" s="3">
        <f t="shared" si="6"/>
        <v>0</v>
      </c>
      <c r="J452" s="3">
        <f t="shared" si="7"/>
        <v>0</v>
      </c>
      <c r="K452" s="3"/>
      <c r="L452" s="3">
        <f t="shared" si="8"/>
        <v>433.2831074</v>
      </c>
      <c r="M452" s="30">
        <f t="shared" si="9"/>
        <v>426.4248602</v>
      </c>
      <c r="N452" s="14">
        <f t="shared" si="10"/>
        <v>6.85824722</v>
      </c>
      <c r="O452" s="3"/>
      <c r="P452" s="3"/>
      <c r="Q452" s="3"/>
      <c r="R452" s="2"/>
      <c r="S452" s="14">
        <f t="shared" si="13"/>
        <v>6.297901885</v>
      </c>
    </row>
    <row r="453">
      <c r="A453" s="11">
        <v>441.0</v>
      </c>
      <c r="B453" s="11">
        <v>1.42131304347826E9</v>
      </c>
      <c r="C453" s="2">
        <v>-102.5186005</v>
      </c>
      <c r="D453" s="3">
        <f t="shared" si="1"/>
        <v>913043.4783</v>
      </c>
      <c r="E453" s="4">
        <f t="shared" si="2"/>
        <v>-193.7604839</v>
      </c>
      <c r="F453" s="3">
        <f t="shared" si="3"/>
        <v>0.0002122138633</v>
      </c>
      <c r="G453" s="3">
        <f t="shared" si="4"/>
        <v>0</v>
      </c>
      <c r="H453" s="2">
        <f t="shared" si="5"/>
        <v>0</v>
      </c>
      <c r="I453" s="3">
        <f t="shared" si="6"/>
        <v>0</v>
      </c>
      <c r="J453" s="3">
        <f t="shared" si="7"/>
        <v>0</v>
      </c>
      <c r="K453" s="3"/>
      <c r="L453" s="3">
        <f t="shared" si="8"/>
        <v>425.8396708</v>
      </c>
      <c r="M453" s="30">
        <f t="shared" si="9"/>
        <v>426.2978431</v>
      </c>
      <c r="N453" s="14">
        <f t="shared" si="10"/>
        <v>-0.4581723298</v>
      </c>
      <c r="O453" s="3"/>
      <c r="P453" s="3"/>
      <c r="Q453" s="3"/>
      <c r="R453" s="2"/>
      <c r="S453" s="14">
        <f t="shared" si="13"/>
        <v>-0.4207378786</v>
      </c>
    </row>
    <row r="454">
      <c r="A454" s="11">
        <v>442.0</v>
      </c>
      <c r="B454" s="11">
        <v>1.42131739130434E9</v>
      </c>
      <c r="C454" s="2">
        <v>-102.5538864</v>
      </c>
      <c r="D454" s="3">
        <f t="shared" si="1"/>
        <v>917391.3043</v>
      </c>
      <c r="E454" s="4">
        <f t="shared" si="2"/>
        <v>-194.67878</v>
      </c>
      <c r="F454" s="3">
        <f t="shared" si="3"/>
        <v>0.0002122090967</v>
      </c>
      <c r="G454" s="3">
        <f t="shared" si="4"/>
        <v>0</v>
      </c>
      <c r="H454" s="2">
        <f t="shared" si="5"/>
        <v>0</v>
      </c>
      <c r="I454" s="3">
        <f t="shared" si="6"/>
        <v>0</v>
      </c>
      <c r="J454" s="3">
        <f t="shared" si="7"/>
        <v>0</v>
      </c>
      <c r="K454" s="3"/>
      <c r="L454" s="3">
        <f t="shared" si="8"/>
        <v>422.3937927</v>
      </c>
      <c r="M454" s="30">
        <f t="shared" si="9"/>
        <v>426.170705</v>
      </c>
      <c r="N454" s="14">
        <f t="shared" si="10"/>
        <v>-3.776912272</v>
      </c>
      <c r="O454" s="3"/>
      <c r="P454" s="3"/>
      <c r="Q454" s="3"/>
      <c r="R454" s="2"/>
      <c r="S454" s="14">
        <f t="shared" si="13"/>
        <v>-3.468323933</v>
      </c>
    </row>
    <row r="455">
      <c r="A455" s="11">
        <v>443.0</v>
      </c>
      <c r="B455" s="11">
        <v>1.42132173913043E9</v>
      </c>
      <c r="C455" s="2">
        <v>-102.5574646</v>
      </c>
      <c r="D455" s="3">
        <f t="shared" si="1"/>
        <v>921739.1304</v>
      </c>
      <c r="E455" s="4">
        <f t="shared" si="2"/>
        <v>-195.5970761</v>
      </c>
      <c r="F455" s="3">
        <f t="shared" si="3"/>
        <v>0.0002122043751</v>
      </c>
      <c r="G455" s="3">
        <f t="shared" si="4"/>
        <v>0</v>
      </c>
      <c r="H455" s="2">
        <f t="shared" si="5"/>
        <v>0</v>
      </c>
      <c r="I455" s="3">
        <f t="shared" si="6"/>
        <v>0</v>
      </c>
      <c r="J455" s="3">
        <f t="shared" si="7"/>
        <v>0</v>
      </c>
      <c r="K455" s="3"/>
      <c r="L455" s="3">
        <f t="shared" si="8"/>
        <v>422.0459211</v>
      </c>
      <c r="M455" s="30">
        <f t="shared" si="9"/>
        <v>426.043446</v>
      </c>
      <c r="N455" s="14">
        <f t="shared" si="10"/>
        <v>-3.99752489</v>
      </c>
      <c r="O455" s="3"/>
      <c r="P455" s="3"/>
      <c r="Q455" s="3"/>
      <c r="R455" s="2"/>
      <c r="S455" s="14">
        <f t="shared" si="13"/>
        <v>-3.670911638</v>
      </c>
    </row>
    <row r="456">
      <c r="A456" s="11">
        <v>444.0</v>
      </c>
      <c r="B456" s="11">
        <v>1.42132608695652E9</v>
      </c>
      <c r="C456" s="2">
        <v>-102.5413818</v>
      </c>
      <c r="D456" s="3">
        <f t="shared" si="1"/>
        <v>926086.9565</v>
      </c>
      <c r="E456" s="4">
        <f t="shared" si="2"/>
        <v>-196.5153723</v>
      </c>
      <c r="F456" s="3">
        <f t="shared" si="3"/>
        <v>0.0002121996978</v>
      </c>
      <c r="G456" s="3">
        <f t="shared" si="4"/>
        <v>0</v>
      </c>
      <c r="H456" s="2">
        <f t="shared" si="5"/>
        <v>0</v>
      </c>
      <c r="I456" s="3">
        <f t="shared" si="6"/>
        <v>0</v>
      </c>
      <c r="J456" s="3">
        <f t="shared" si="7"/>
        <v>0</v>
      </c>
      <c r="K456" s="3"/>
      <c r="L456" s="3">
        <f t="shared" si="8"/>
        <v>423.6117397</v>
      </c>
      <c r="M456" s="30">
        <f t="shared" si="9"/>
        <v>425.9160664</v>
      </c>
      <c r="N456" s="14">
        <f t="shared" si="10"/>
        <v>-2.30432666</v>
      </c>
      <c r="O456" s="3"/>
      <c r="P456" s="3"/>
      <c r="Q456" s="3"/>
      <c r="R456" s="2"/>
      <c r="S456" s="14">
        <f t="shared" si="13"/>
        <v>-2.11605426</v>
      </c>
    </row>
    <row r="457">
      <c r="A457" s="11">
        <v>445.0</v>
      </c>
      <c r="B457" s="11">
        <v>1.4213304347826E9</v>
      </c>
      <c r="C457" s="2">
        <v>-102.4996567</v>
      </c>
      <c r="D457" s="3">
        <f t="shared" si="1"/>
        <v>930434.7826</v>
      </c>
      <c r="E457" s="4">
        <f t="shared" si="2"/>
        <v>-197.4336684</v>
      </c>
      <c r="F457" s="3">
        <f t="shared" si="3"/>
        <v>0.0002121950642</v>
      </c>
      <c r="G457" s="3">
        <f t="shared" si="4"/>
        <v>0</v>
      </c>
      <c r="H457" s="2">
        <f t="shared" si="5"/>
        <v>0</v>
      </c>
      <c r="I457" s="3">
        <f t="shared" si="6"/>
        <v>0</v>
      </c>
      <c r="J457" s="3">
        <f t="shared" si="7"/>
        <v>0</v>
      </c>
      <c r="K457" s="3"/>
      <c r="L457" s="3">
        <f t="shared" si="8"/>
        <v>427.7012282</v>
      </c>
      <c r="M457" s="30">
        <f t="shared" si="9"/>
        <v>425.7885662</v>
      </c>
      <c r="N457" s="14">
        <f t="shared" si="10"/>
        <v>1.912661995</v>
      </c>
      <c r="O457" s="3"/>
      <c r="P457" s="3"/>
      <c r="Q457" s="3"/>
      <c r="R457" s="2"/>
      <c r="S457" s="14">
        <f t="shared" si="13"/>
        <v>1.756390113</v>
      </c>
    </row>
    <row r="458">
      <c r="A458" s="11">
        <v>446.0</v>
      </c>
      <c r="B458" s="11">
        <v>1.42133478260869E9</v>
      </c>
      <c r="C458" s="2">
        <v>-102.5295563</v>
      </c>
      <c r="D458" s="3">
        <f t="shared" si="1"/>
        <v>934782.6087</v>
      </c>
      <c r="E458" s="4">
        <f t="shared" si="2"/>
        <v>-198.3519645</v>
      </c>
      <c r="F458" s="3">
        <f t="shared" si="3"/>
        <v>0.0002121904737</v>
      </c>
      <c r="G458" s="3">
        <f t="shared" si="4"/>
        <v>0</v>
      </c>
      <c r="H458" s="2">
        <f t="shared" si="5"/>
        <v>0</v>
      </c>
      <c r="I458" s="3">
        <f t="shared" si="6"/>
        <v>0</v>
      </c>
      <c r="J458" s="3">
        <f t="shared" si="7"/>
        <v>0</v>
      </c>
      <c r="K458" s="3"/>
      <c r="L458" s="3">
        <f t="shared" si="8"/>
        <v>424.7667733</v>
      </c>
      <c r="M458" s="30">
        <f t="shared" si="9"/>
        <v>425.6609456</v>
      </c>
      <c r="N458" s="14">
        <f t="shared" si="10"/>
        <v>-0.8941723237</v>
      </c>
      <c r="O458" s="3"/>
      <c r="P458" s="3"/>
      <c r="Q458" s="3"/>
      <c r="R458" s="2"/>
      <c r="S458" s="14">
        <f t="shared" si="13"/>
        <v>-0.8211149869</v>
      </c>
    </row>
    <row r="459">
      <c r="A459" s="11">
        <v>447.0</v>
      </c>
      <c r="B459" s="11">
        <v>1.42133913043478E9</v>
      </c>
      <c r="C459" s="2">
        <v>-102.5049667</v>
      </c>
      <c r="D459" s="3">
        <f t="shared" si="1"/>
        <v>939130.4348</v>
      </c>
      <c r="E459" s="4">
        <f t="shared" si="2"/>
        <v>-199.2702607</v>
      </c>
      <c r="F459" s="3">
        <f t="shared" si="3"/>
        <v>0.0002121859257</v>
      </c>
      <c r="G459" s="3">
        <f t="shared" si="4"/>
        <v>0</v>
      </c>
      <c r="H459" s="2">
        <f t="shared" si="5"/>
        <v>0</v>
      </c>
      <c r="I459" s="3">
        <f t="shared" si="6"/>
        <v>0</v>
      </c>
      <c r="J459" s="3">
        <f t="shared" si="7"/>
        <v>0</v>
      </c>
      <c r="K459" s="3"/>
      <c r="L459" s="3">
        <f t="shared" si="8"/>
        <v>427.1786091</v>
      </c>
      <c r="M459" s="30">
        <f t="shared" si="9"/>
        <v>425.5332047</v>
      </c>
      <c r="N459" s="14">
        <f t="shared" si="10"/>
        <v>1.645404421</v>
      </c>
      <c r="O459" s="3"/>
      <c r="P459" s="3"/>
      <c r="Q459" s="3"/>
      <c r="R459" s="2"/>
      <c r="S459" s="14">
        <f t="shared" si="13"/>
        <v>1.510968513</v>
      </c>
    </row>
    <row r="460">
      <c r="A460" s="11">
        <v>448.0</v>
      </c>
      <c r="B460" s="11">
        <v>1.42134347826087E9</v>
      </c>
      <c r="C460" s="2">
        <v>-102.4927368</v>
      </c>
      <c r="D460" s="3">
        <f t="shared" si="1"/>
        <v>943478.2609</v>
      </c>
      <c r="E460" s="4">
        <f t="shared" si="2"/>
        <v>-200.1885568</v>
      </c>
      <c r="F460" s="3">
        <f t="shared" si="3"/>
        <v>0.0002121814197</v>
      </c>
      <c r="G460" s="3">
        <f t="shared" si="4"/>
        <v>0</v>
      </c>
      <c r="H460" s="2">
        <f t="shared" si="5"/>
        <v>0</v>
      </c>
      <c r="I460" s="3">
        <f t="shared" si="6"/>
        <v>0</v>
      </c>
      <c r="J460" s="3">
        <f t="shared" si="7"/>
        <v>0</v>
      </c>
      <c r="K460" s="3"/>
      <c r="L460" s="3">
        <f t="shared" si="8"/>
        <v>428.3832559</v>
      </c>
      <c r="M460" s="30">
        <f t="shared" si="9"/>
        <v>425.4053437</v>
      </c>
      <c r="N460" s="14">
        <f t="shared" si="10"/>
        <v>2.977912223</v>
      </c>
      <c r="O460" s="3"/>
      <c r="P460" s="3"/>
      <c r="Q460" s="3"/>
      <c r="R460" s="2"/>
      <c r="S460" s="14">
        <f t="shared" si="13"/>
        <v>2.734605278</v>
      </c>
    </row>
    <row r="461">
      <c r="A461" s="11">
        <v>449.0</v>
      </c>
      <c r="B461" s="11">
        <v>1.42134782608695E9</v>
      </c>
      <c r="C461" s="2">
        <v>-102.4650116</v>
      </c>
      <c r="D461" s="3">
        <f t="shared" si="1"/>
        <v>947826.087</v>
      </c>
      <c r="E461" s="4">
        <f t="shared" si="2"/>
        <v>-201.1068529</v>
      </c>
      <c r="F461" s="3">
        <f t="shared" si="3"/>
        <v>0.0002121769549</v>
      </c>
      <c r="G461" s="3">
        <f t="shared" si="4"/>
        <v>0</v>
      </c>
      <c r="H461" s="2">
        <f t="shared" si="5"/>
        <v>0</v>
      </c>
      <c r="I461" s="3">
        <f t="shared" si="6"/>
        <v>0</v>
      </c>
      <c r="J461" s="3">
        <f t="shared" si="7"/>
        <v>0</v>
      </c>
      <c r="K461" s="3"/>
      <c r="L461" s="3">
        <f t="shared" si="8"/>
        <v>431.1267869</v>
      </c>
      <c r="M461" s="30">
        <f t="shared" si="9"/>
        <v>425.2773627</v>
      </c>
      <c r="N461" s="14">
        <f t="shared" si="10"/>
        <v>5.849424154</v>
      </c>
      <c r="O461" s="3"/>
      <c r="P461" s="3"/>
      <c r="Q461" s="3"/>
      <c r="R461" s="2"/>
      <c r="S461" s="14">
        <f t="shared" si="13"/>
        <v>5.371503579</v>
      </c>
    </row>
    <row r="462">
      <c r="A462" s="11">
        <v>450.0</v>
      </c>
      <c r="B462" s="11">
        <v>1.42135217391304E9</v>
      </c>
      <c r="C462" s="2">
        <v>-102.4919281</v>
      </c>
      <c r="D462" s="3">
        <f t="shared" si="1"/>
        <v>952173.913</v>
      </c>
      <c r="E462" s="4">
        <f t="shared" si="2"/>
        <v>-202.0251491</v>
      </c>
      <c r="F462" s="3">
        <f t="shared" si="3"/>
        <v>0.000212172531</v>
      </c>
      <c r="G462" s="3">
        <f t="shared" si="4"/>
        <v>0</v>
      </c>
      <c r="H462" s="2">
        <f t="shared" si="5"/>
        <v>0</v>
      </c>
      <c r="I462" s="3">
        <f t="shared" si="6"/>
        <v>0</v>
      </c>
      <c r="J462" s="3">
        <f t="shared" si="7"/>
        <v>0</v>
      </c>
      <c r="K462" s="3"/>
      <c r="L462" s="3">
        <f t="shared" si="8"/>
        <v>428.4630326</v>
      </c>
      <c r="M462" s="30">
        <f t="shared" si="9"/>
        <v>425.1492619</v>
      </c>
      <c r="N462" s="14">
        <f t="shared" si="10"/>
        <v>3.313770767</v>
      </c>
      <c r="O462" s="3"/>
      <c r="P462" s="3"/>
      <c r="Q462" s="3"/>
      <c r="R462" s="2"/>
      <c r="S462" s="14">
        <f t="shared" si="13"/>
        <v>3.043022873</v>
      </c>
    </row>
    <row r="463">
      <c r="A463" s="11">
        <v>451.0</v>
      </c>
      <c r="B463" s="11">
        <v>1.42135652173913E9</v>
      </c>
      <c r="C463" s="2">
        <v>-102.5023117</v>
      </c>
      <c r="D463" s="3">
        <f t="shared" si="1"/>
        <v>956521.7391</v>
      </c>
      <c r="E463" s="4">
        <f t="shared" si="2"/>
        <v>-202.9434452</v>
      </c>
      <c r="F463" s="3">
        <f t="shared" si="3"/>
        <v>0.0002121681473</v>
      </c>
      <c r="G463" s="3">
        <f t="shared" si="4"/>
        <v>0</v>
      </c>
      <c r="H463" s="2">
        <f t="shared" si="5"/>
        <v>0</v>
      </c>
      <c r="I463" s="3">
        <f t="shared" si="6"/>
        <v>0</v>
      </c>
      <c r="J463" s="3">
        <f t="shared" si="7"/>
        <v>0</v>
      </c>
      <c r="K463" s="3"/>
      <c r="L463" s="3">
        <f t="shared" si="8"/>
        <v>427.4398388</v>
      </c>
      <c r="M463" s="30">
        <f t="shared" si="9"/>
        <v>425.0210413</v>
      </c>
      <c r="N463" s="14">
        <f t="shared" si="10"/>
        <v>2.418797482</v>
      </c>
      <c r="O463" s="3"/>
      <c r="P463" s="3"/>
      <c r="Q463" s="3"/>
      <c r="R463" s="2"/>
      <c r="S463" s="14">
        <f t="shared" si="13"/>
        <v>2.221172374</v>
      </c>
    </row>
    <row r="464">
      <c r="A464" s="11">
        <v>452.0</v>
      </c>
      <c r="B464" s="11">
        <v>1.42136086956521E9</v>
      </c>
      <c r="C464" s="2">
        <v>-102.4760971</v>
      </c>
      <c r="D464" s="3">
        <f t="shared" si="1"/>
        <v>960869.5652</v>
      </c>
      <c r="E464" s="4">
        <f t="shared" si="2"/>
        <v>-203.8617413</v>
      </c>
      <c r="F464" s="3">
        <f t="shared" si="3"/>
        <v>0.0002121638032</v>
      </c>
      <c r="G464" s="3">
        <f t="shared" si="4"/>
        <v>0</v>
      </c>
      <c r="H464" s="2">
        <f t="shared" si="5"/>
        <v>0</v>
      </c>
      <c r="I464" s="3">
        <f t="shared" si="6"/>
        <v>0</v>
      </c>
      <c r="J464" s="3">
        <f t="shared" si="7"/>
        <v>0</v>
      </c>
      <c r="K464" s="3"/>
      <c r="L464" s="3">
        <f t="shared" si="8"/>
        <v>430.0277258</v>
      </c>
      <c r="M464" s="30">
        <f t="shared" si="9"/>
        <v>424.8927012</v>
      </c>
      <c r="N464" s="14">
        <f t="shared" si="10"/>
        <v>5.135024627</v>
      </c>
      <c r="O464" s="3"/>
      <c r="P464" s="3"/>
      <c r="Q464" s="3"/>
      <c r="R464" s="2"/>
      <c r="S464" s="14">
        <f t="shared" si="13"/>
        <v>4.715473257</v>
      </c>
    </row>
    <row r="465">
      <c r="A465" s="11">
        <v>453.0</v>
      </c>
      <c r="B465" s="11">
        <v>1.4213652173913E9</v>
      </c>
      <c r="C465" s="2">
        <v>-102.5198059</v>
      </c>
      <c r="D465" s="3">
        <f t="shared" si="1"/>
        <v>965217.3913</v>
      </c>
      <c r="E465" s="4">
        <f t="shared" si="2"/>
        <v>-204.7800375</v>
      </c>
      <c r="F465" s="3">
        <f t="shared" si="3"/>
        <v>0.0002121594983</v>
      </c>
      <c r="G465" s="3">
        <f t="shared" si="4"/>
        <v>0</v>
      </c>
      <c r="H465" s="2">
        <f t="shared" si="5"/>
        <v>0</v>
      </c>
      <c r="I465" s="3">
        <f t="shared" si="6"/>
        <v>0</v>
      </c>
      <c r="J465" s="3">
        <f t="shared" si="7"/>
        <v>0</v>
      </c>
      <c r="K465" s="3"/>
      <c r="L465" s="3">
        <f t="shared" si="8"/>
        <v>425.7214938</v>
      </c>
      <c r="M465" s="30">
        <f t="shared" si="9"/>
        <v>424.7642416</v>
      </c>
      <c r="N465" s="14">
        <f t="shared" si="10"/>
        <v>0.9572522088</v>
      </c>
      <c r="O465" s="3"/>
      <c r="P465" s="3"/>
      <c r="Q465" s="3"/>
      <c r="R465" s="2"/>
      <c r="S465" s="14">
        <f t="shared" si="13"/>
        <v>0.8790409993</v>
      </c>
    </row>
    <row r="466">
      <c r="A466" s="11">
        <v>454.0</v>
      </c>
      <c r="B466" s="11">
        <v>1.42136956521739E9</v>
      </c>
      <c r="C466" s="2">
        <v>-102.5235748</v>
      </c>
      <c r="D466" s="3">
        <f t="shared" si="1"/>
        <v>969565.2174</v>
      </c>
      <c r="E466" s="4">
        <f t="shared" si="2"/>
        <v>-205.6983336</v>
      </c>
      <c r="F466" s="3">
        <f t="shared" si="3"/>
        <v>0.000212155232</v>
      </c>
      <c r="G466" s="3">
        <f t="shared" si="4"/>
        <v>0</v>
      </c>
      <c r="H466" s="2">
        <f t="shared" si="5"/>
        <v>0</v>
      </c>
      <c r="I466" s="3">
        <f t="shared" si="6"/>
        <v>0</v>
      </c>
      <c r="J466" s="3">
        <f t="shared" si="7"/>
        <v>0</v>
      </c>
      <c r="K466" s="3"/>
      <c r="L466" s="3">
        <f t="shared" si="8"/>
        <v>425.3522039</v>
      </c>
      <c r="M466" s="30">
        <f t="shared" si="9"/>
        <v>424.6356627</v>
      </c>
      <c r="N466" s="14">
        <f t="shared" si="10"/>
        <v>0.7165411514</v>
      </c>
      <c r="O466" s="3"/>
      <c r="P466" s="3"/>
      <c r="Q466" s="3"/>
      <c r="R466" s="2"/>
      <c r="S466" s="14">
        <f t="shared" si="13"/>
        <v>0.6579969683</v>
      </c>
    </row>
    <row r="467">
      <c r="A467" s="11">
        <v>455.0</v>
      </c>
      <c r="B467" s="11">
        <v>1.42137391304347E9</v>
      </c>
      <c r="C467" s="2">
        <v>-102.5240173</v>
      </c>
      <c r="D467" s="3">
        <f t="shared" si="1"/>
        <v>973913.0435</v>
      </c>
      <c r="E467" s="4">
        <f t="shared" si="2"/>
        <v>-206.6166297</v>
      </c>
      <c r="F467" s="3">
        <f t="shared" si="3"/>
        <v>0.0002121510037</v>
      </c>
      <c r="G467" s="3">
        <f t="shared" si="4"/>
        <v>0</v>
      </c>
      <c r="H467" s="2">
        <f t="shared" si="5"/>
        <v>0</v>
      </c>
      <c r="I467" s="3">
        <f t="shared" si="6"/>
        <v>0</v>
      </c>
      <c r="J467" s="3">
        <f t="shared" si="7"/>
        <v>0</v>
      </c>
      <c r="K467" s="3"/>
      <c r="L467" s="3">
        <f t="shared" si="8"/>
        <v>425.3088672</v>
      </c>
      <c r="M467" s="30">
        <f t="shared" si="9"/>
        <v>424.5069647</v>
      </c>
      <c r="N467" s="14">
        <f t="shared" si="10"/>
        <v>0.8019024948</v>
      </c>
      <c r="O467" s="3"/>
      <c r="P467" s="3"/>
      <c r="Q467" s="3"/>
      <c r="R467" s="2"/>
      <c r="S467" s="14">
        <f t="shared" si="13"/>
        <v>0.7363839599</v>
      </c>
    </row>
    <row r="468">
      <c r="A468" s="11">
        <v>456.0</v>
      </c>
      <c r="B468" s="11">
        <v>1.42137826086956E9</v>
      </c>
      <c r="C468" s="2">
        <v>-102.4896851</v>
      </c>
      <c r="D468" s="3">
        <f t="shared" si="1"/>
        <v>978260.8696</v>
      </c>
      <c r="E468" s="4">
        <f t="shared" si="2"/>
        <v>-207.5349259</v>
      </c>
      <c r="F468" s="3">
        <f t="shared" si="3"/>
        <v>0.0002121468131</v>
      </c>
      <c r="G468" s="3">
        <f t="shared" si="4"/>
        <v>0</v>
      </c>
      <c r="H468" s="2">
        <f t="shared" si="5"/>
        <v>0</v>
      </c>
      <c r="I468" s="3">
        <f t="shared" si="6"/>
        <v>0</v>
      </c>
      <c r="J468" s="3">
        <f t="shared" si="7"/>
        <v>0</v>
      </c>
      <c r="K468" s="3"/>
      <c r="L468" s="3">
        <f t="shared" si="8"/>
        <v>428.684378</v>
      </c>
      <c r="M468" s="30">
        <f t="shared" si="9"/>
        <v>424.3781477</v>
      </c>
      <c r="N468" s="14">
        <f t="shared" si="10"/>
        <v>4.306230312</v>
      </c>
      <c r="O468" s="3"/>
      <c r="P468" s="3"/>
      <c r="Q468" s="3"/>
      <c r="R468" s="2"/>
      <c r="S468" s="14">
        <f t="shared" si="13"/>
        <v>3.954394633</v>
      </c>
    </row>
    <row r="469">
      <c r="A469" s="11">
        <v>457.0</v>
      </c>
      <c r="B469" s="11">
        <v>1.42138260869565E9</v>
      </c>
      <c r="C469" s="2">
        <v>-102.555275</v>
      </c>
      <c r="D469" s="3">
        <f t="shared" si="1"/>
        <v>982608.6957</v>
      </c>
      <c r="E469" s="4">
        <f t="shared" si="2"/>
        <v>-208.453222</v>
      </c>
      <c r="F469" s="3">
        <f t="shared" si="3"/>
        <v>0.0002121426596</v>
      </c>
      <c r="G469" s="3">
        <f t="shared" si="4"/>
        <v>0</v>
      </c>
      <c r="H469" s="2">
        <f t="shared" si="5"/>
        <v>0</v>
      </c>
      <c r="I469" s="3">
        <f t="shared" si="6"/>
        <v>0</v>
      </c>
      <c r="J469" s="3">
        <f t="shared" si="7"/>
        <v>0</v>
      </c>
      <c r="K469" s="3"/>
      <c r="L469" s="3">
        <f t="shared" si="8"/>
        <v>422.2587594</v>
      </c>
      <c r="M469" s="30">
        <f t="shared" si="9"/>
        <v>424.2492118</v>
      </c>
      <c r="N469" s="14">
        <f t="shared" si="10"/>
        <v>-1.990452439</v>
      </c>
      <c r="O469" s="3"/>
      <c r="P469" s="3"/>
      <c r="Q469" s="3"/>
      <c r="R469" s="2"/>
      <c r="S469" s="14">
        <f t="shared" si="13"/>
        <v>-1.827824777</v>
      </c>
    </row>
    <row r="470">
      <c r="A470" s="11">
        <v>458.0</v>
      </c>
      <c r="B470" s="11">
        <v>1.42138695652173E9</v>
      </c>
      <c r="C470" s="2">
        <v>-102.5899353</v>
      </c>
      <c r="D470" s="3">
        <f t="shared" si="1"/>
        <v>986956.5217</v>
      </c>
      <c r="E470" s="4">
        <f t="shared" si="2"/>
        <v>-209.3715181</v>
      </c>
      <c r="F470" s="3">
        <f t="shared" si="3"/>
        <v>0.0002121385426</v>
      </c>
      <c r="G470" s="3">
        <f t="shared" si="4"/>
        <v>0</v>
      </c>
      <c r="H470" s="2">
        <f t="shared" si="5"/>
        <v>0</v>
      </c>
      <c r="I470" s="3">
        <f t="shared" si="6"/>
        <v>0</v>
      </c>
      <c r="J470" s="3">
        <f t="shared" si="7"/>
        <v>0</v>
      </c>
      <c r="K470" s="3"/>
      <c r="L470" s="3">
        <f t="shared" si="8"/>
        <v>418.9021963</v>
      </c>
      <c r="M470" s="30">
        <f t="shared" si="9"/>
        <v>424.1201572</v>
      </c>
      <c r="N470" s="14">
        <f t="shared" si="10"/>
        <v>-5.21796087</v>
      </c>
      <c r="O470" s="3"/>
      <c r="P470" s="3"/>
      <c r="Q470" s="3"/>
      <c r="R470" s="2"/>
      <c r="S470" s="14">
        <f t="shared" si="13"/>
        <v>-4.791633288</v>
      </c>
    </row>
    <row r="471">
      <c r="A471" s="11">
        <v>459.0</v>
      </c>
      <c r="B471" s="11">
        <v>1.42139130434782E9</v>
      </c>
      <c r="C471" s="2">
        <v>-102.5542908</v>
      </c>
      <c r="D471" s="3">
        <f t="shared" si="1"/>
        <v>991304.3478</v>
      </c>
      <c r="E471" s="4">
        <f t="shared" si="2"/>
        <v>-210.2898143</v>
      </c>
      <c r="F471" s="3">
        <f t="shared" si="3"/>
        <v>0.0002121344618</v>
      </c>
      <c r="G471" s="3">
        <f t="shared" si="4"/>
        <v>0</v>
      </c>
      <c r="H471" s="2">
        <f t="shared" si="5"/>
        <v>0</v>
      </c>
      <c r="I471" s="3">
        <f t="shared" si="6"/>
        <v>0</v>
      </c>
      <c r="J471" s="3">
        <f t="shared" si="7"/>
        <v>0</v>
      </c>
      <c r="K471" s="3"/>
      <c r="L471" s="3">
        <f t="shared" si="8"/>
        <v>422.3544627</v>
      </c>
      <c r="M471" s="30">
        <f t="shared" si="9"/>
        <v>423.990984</v>
      </c>
      <c r="N471" s="14">
        <f t="shared" si="10"/>
        <v>-1.636521278</v>
      </c>
      <c r="O471" s="3"/>
      <c r="P471" s="3"/>
      <c r="Q471" s="3"/>
      <c r="R471" s="2"/>
      <c r="S471" s="14">
        <f t="shared" si="13"/>
        <v>-1.502811161</v>
      </c>
    </row>
    <row r="472">
      <c r="A472" s="11">
        <v>460.0</v>
      </c>
      <c r="B472" s="11">
        <v>1.42139565217391E9</v>
      </c>
      <c r="C472" s="2">
        <v>-102.5684814</v>
      </c>
      <c r="D472" s="3">
        <f t="shared" si="1"/>
        <v>995652.1739</v>
      </c>
      <c r="E472" s="4">
        <f t="shared" si="2"/>
        <v>-211.2081104</v>
      </c>
      <c r="F472" s="3">
        <f t="shared" si="3"/>
        <v>0.0002121304166</v>
      </c>
      <c r="G472" s="3">
        <f t="shared" si="4"/>
        <v>0</v>
      </c>
      <c r="H472" s="2">
        <f t="shared" si="5"/>
        <v>0</v>
      </c>
      <c r="I472" s="3">
        <f t="shared" si="6"/>
        <v>0</v>
      </c>
      <c r="J472" s="3">
        <f t="shared" si="7"/>
        <v>0</v>
      </c>
      <c r="K472" s="3"/>
      <c r="L472" s="3">
        <f t="shared" si="8"/>
        <v>420.976669</v>
      </c>
      <c r="M472" s="30">
        <f t="shared" si="9"/>
        <v>423.8616923</v>
      </c>
      <c r="N472" s="14">
        <f t="shared" si="10"/>
        <v>-2.885023309</v>
      </c>
      <c r="O472" s="3"/>
      <c r="P472" s="3"/>
      <c r="Q472" s="3"/>
      <c r="R472" s="2"/>
      <c r="S472" s="14">
        <f t="shared" si="13"/>
        <v>-2.284619979</v>
      </c>
    </row>
    <row r="473">
      <c r="A473" s="11">
        <v>461.0</v>
      </c>
      <c r="B473" s="11">
        <v>1.4214E9</v>
      </c>
      <c r="C473" s="2">
        <v>-102.5757828</v>
      </c>
      <c r="D473" s="3">
        <f t="shared" si="1"/>
        <v>1000000</v>
      </c>
      <c r="E473" s="29">
        <f>-0.000212*D473</f>
        <v>-212</v>
      </c>
      <c r="F473" s="3">
        <f t="shared" si="3"/>
        <v>0.000212</v>
      </c>
      <c r="G473" s="3">
        <f t="shared" si="4"/>
        <v>0</v>
      </c>
      <c r="H473" s="2">
        <f t="shared" si="5"/>
        <v>0</v>
      </c>
      <c r="I473" s="3">
        <f t="shared" si="6"/>
        <v>0</v>
      </c>
      <c r="J473" s="3">
        <f t="shared" si="7"/>
        <v>0</v>
      </c>
      <c r="K473" s="3"/>
      <c r="L473" s="3">
        <f t="shared" si="8"/>
        <v>420.2695136</v>
      </c>
      <c r="M473" s="30">
        <f t="shared" si="9"/>
        <v>423.750103</v>
      </c>
      <c r="N473" s="14">
        <f t="shared" si="10"/>
        <v>-3.480589412</v>
      </c>
      <c r="O473" s="3"/>
      <c r="P473" s="3"/>
      <c r="Q473" s="3"/>
      <c r="R473" s="2"/>
      <c r="S473" s="14"/>
    </row>
    <row r="474">
      <c r="A474" s="11" t="s">
        <v>40</v>
      </c>
      <c r="D474" s="3"/>
      <c r="E474" s="4"/>
      <c r="F474" s="3"/>
      <c r="G474" s="3"/>
      <c r="H474" s="3"/>
      <c r="I474" s="3"/>
      <c r="J474" s="3"/>
      <c r="K474" s="3"/>
      <c r="L474" s="3"/>
      <c r="M474" s="5"/>
      <c r="N474" s="3"/>
      <c r="O474" s="3"/>
      <c r="P474" s="3"/>
      <c r="Q474" s="3"/>
      <c r="R474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0</v>
      </c>
      <c r="B1" s="11" t="s">
        <v>1</v>
      </c>
    </row>
    <row r="2">
      <c r="A2" s="11" t="s">
        <v>2</v>
      </c>
      <c r="B2" s="11" t="s">
        <v>3</v>
      </c>
    </row>
    <row r="3">
      <c r="A3" s="11" t="s">
        <v>5</v>
      </c>
      <c r="B3" s="11" t="s">
        <v>6</v>
      </c>
    </row>
    <row r="4">
      <c r="A4" s="11" t="s">
        <v>7</v>
      </c>
      <c r="B4" s="11">
        <v>1.4204E9</v>
      </c>
      <c r="C4" s="11" t="s">
        <v>8</v>
      </c>
    </row>
    <row r="5">
      <c r="A5" s="11" t="s">
        <v>9</v>
      </c>
      <c r="B5" s="11">
        <v>2000000.0</v>
      </c>
      <c r="C5" s="11" t="s">
        <v>8</v>
      </c>
    </row>
    <row r="6">
      <c r="A6" s="11" t="s">
        <v>10</v>
      </c>
      <c r="B6" s="11">
        <v>30000.0</v>
      </c>
      <c r="C6" s="11" t="s">
        <v>8</v>
      </c>
    </row>
    <row r="7">
      <c r="A7" s="11" t="s">
        <v>11</v>
      </c>
      <c r="B7" s="11">
        <v>30000.0</v>
      </c>
      <c r="C7" s="11" t="s">
        <v>8</v>
      </c>
    </row>
    <row r="8">
      <c r="A8" s="11" t="s">
        <v>12</v>
      </c>
      <c r="B8" s="11">
        <v>-97.0</v>
      </c>
      <c r="C8" s="11" t="s">
        <v>13</v>
      </c>
    </row>
    <row r="9">
      <c r="A9" s="11" t="s">
        <v>14</v>
      </c>
      <c r="B9" s="11">
        <v>1.0</v>
      </c>
      <c r="C9" s="11" t="s">
        <v>15</v>
      </c>
    </row>
    <row r="10">
      <c r="A10" s="11" t="s">
        <v>16</v>
      </c>
      <c r="B10" s="11">
        <v>461.0</v>
      </c>
    </row>
    <row r="11">
      <c r="A11" s="11" t="s">
        <v>17</v>
      </c>
      <c r="B11" s="11" t="s">
        <v>8</v>
      </c>
      <c r="C11" s="11" t="s">
        <v>13</v>
      </c>
      <c r="D11" s="2" t="s">
        <v>18</v>
      </c>
      <c r="E11" s="1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26</v>
      </c>
      <c r="M11" s="6" t="s">
        <v>27</v>
      </c>
      <c r="N11" s="2" t="s">
        <v>28</v>
      </c>
      <c r="O11" s="3"/>
      <c r="P11" s="2" t="s">
        <v>29</v>
      </c>
      <c r="Q11" s="2" t="s">
        <v>30</v>
      </c>
      <c r="R11" s="2"/>
      <c r="S11" s="2" t="s">
        <v>31</v>
      </c>
      <c r="V11" s="13" t="s">
        <v>32</v>
      </c>
    </row>
    <row r="12">
      <c r="A12" s="11" t="s">
        <v>33</v>
      </c>
      <c r="B12" s="11" t="s">
        <v>34</v>
      </c>
      <c r="C12" s="11" t="s">
        <v>35</v>
      </c>
      <c r="D12" s="3"/>
      <c r="E12" s="4"/>
      <c r="F12" s="3"/>
      <c r="G12" s="2" t="s">
        <v>36</v>
      </c>
      <c r="H12" s="2" t="s">
        <v>37</v>
      </c>
      <c r="I12" s="3"/>
      <c r="J12" s="3"/>
      <c r="K12" s="3"/>
      <c r="L12" s="3"/>
      <c r="M12" s="5"/>
      <c r="N12" s="3"/>
      <c r="O12" s="3"/>
      <c r="P12" s="3"/>
      <c r="Q12" s="3"/>
      <c r="R12" s="3"/>
      <c r="S12" s="3"/>
    </row>
    <row r="13">
      <c r="A13" s="11">
        <v>1.0</v>
      </c>
      <c r="B13" s="11">
        <v>1.4194E9</v>
      </c>
      <c r="C13" s="2">
        <v>-102.2472458</v>
      </c>
      <c r="D13" s="3">
        <f t="shared" ref="D13:D473" si="1">B13-$B$4</f>
        <v>-1000000</v>
      </c>
      <c r="E13" s="4">
        <f t="shared" ref="E13:E472" si="2">-((B14-$B$4)/$B$4)*(3*10^5)</f>
        <v>210.2898143</v>
      </c>
      <c r="F13" s="3">
        <f t="shared" ref="F13:F473" si="3">-E13/D13</f>
        <v>0.0002102898143</v>
      </c>
      <c r="G13" s="3">
        <f t="shared" ref="G13:G473" si="4">(10^(C13/10))/1000</f>
        <v>0</v>
      </c>
      <c r="H13" s="2">
        <f t="shared" ref="H13:H473" si="5">G13/30000</f>
        <v>0</v>
      </c>
      <c r="I13" s="3">
        <f t="shared" ref="I13:I473" si="6">0.0063*H13</f>
        <v>0</v>
      </c>
      <c r="J13" s="3">
        <f t="shared" ref="J13:J473" si="7">(1/F13^2)*I13</f>
        <v>0</v>
      </c>
      <c r="K13" s="22">
        <f>1.38064852E-23</f>
        <v>0</v>
      </c>
      <c r="L13" s="3">
        <f t="shared" ref="L13:L473" si="8">(1/(2*$K$13))*(I13)</f>
        <v>453.2956875</v>
      </c>
      <c r="M13" s="30">
        <f t="shared" ref="M13:M473" si="9"> -0.0000001308*E13^3 - 0.0000453602*E13^2 + 0.1054813895*E13 + 438.0524001851</f>
        <v>457.0117911</v>
      </c>
      <c r="N13" s="14">
        <f t="shared" ref="N13:N473" si="10">L13-(M13)</f>
        <v>-3.716103582</v>
      </c>
      <c r="O13" s="3"/>
      <c r="P13" s="23">
        <f t="shared" ref="P13:P67" si="11">-((B14-$B$4)/$B$4)*(3*10^5)</f>
        <v>210.2898143</v>
      </c>
      <c r="Q13" s="14">
        <f t="shared" ref="Q13:Q67" si="12">(1/(2*$K$13))*(I13)</f>
        <v>453.2956875</v>
      </c>
      <c r="R13" s="2"/>
      <c r="S13" s="14">
        <f t="shared" ref="S13:S472" si="13">(N13 * ABS(E14-E13))</f>
        <v>-3.412483548</v>
      </c>
      <c r="V13" s="3">
        <f>1822400000000000000 * SUM(S13:S473)</f>
        <v>9.50269E+21</v>
      </c>
    </row>
    <row r="14">
      <c r="A14" s="11">
        <v>2.0</v>
      </c>
      <c r="B14" s="11">
        <v>1.41940434782608E9</v>
      </c>
      <c r="C14" s="2">
        <v>-102.1740799</v>
      </c>
      <c r="D14" s="3">
        <f t="shared" si="1"/>
        <v>-995652.1739</v>
      </c>
      <c r="E14" s="4">
        <f t="shared" si="2"/>
        <v>209.3715181</v>
      </c>
      <c r="F14" s="3">
        <f t="shared" si="3"/>
        <v>0.0002102858042</v>
      </c>
      <c r="G14" s="3">
        <f t="shared" si="4"/>
        <v>0</v>
      </c>
      <c r="H14" s="2">
        <f t="shared" si="5"/>
        <v>0</v>
      </c>
      <c r="I14" s="3">
        <f t="shared" si="6"/>
        <v>0</v>
      </c>
      <c r="J14" s="3">
        <f t="shared" si="7"/>
        <v>0</v>
      </c>
      <c r="K14" s="3"/>
      <c r="L14" s="3">
        <f t="shared" si="8"/>
        <v>460.997083</v>
      </c>
      <c r="M14" s="30">
        <f t="shared" si="9"/>
        <v>456.948274</v>
      </c>
      <c r="N14" s="14">
        <f t="shared" si="10"/>
        <v>4.048809069</v>
      </c>
      <c r="O14" s="3"/>
      <c r="P14" s="23">
        <f t="shared" si="11"/>
        <v>209.3715181</v>
      </c>
      <c r="Q14" s="14">
        <f t="shared" si="12"/>
        <v>460.997083</v>
      </c>
      <c r="R14" s="2"/>
      <c r="S14" s="14">
        <f t="shared" si="13"/>
        <v>3.71800571</v>
      </c>
    </row>
    <row r="15">
      <c r="A15" s="11">
        <v>3.0</v>
      </c>
      <c r="B15" s="11">
        <v>1.41940869565217E9</v>
      </c>
      <c r="C15" s="2">
        <v>-102.1786118</v>
      </c>
      <c r="D15" s="3">
        <f t="shared" si="1"/>
        <v>-991304.3478</v>
      </c>
      <c r="E15" s="4">
        <f t="shared" si="2"/>
        <v>208.453222</v>
      </c>
      <c r="F15" s="3">
        <f t="shared" si="3"/>
        <v>0.000210281759</v>
      </c>
      <c r="G15" s="3">
        <f t="shared" si="4"/>
        <v>0</v>
      </c>
      <c r="H15" s="2">
        <f t="shared" si="5"/>
        <v>0</v>
      </c>
      <c r="I15" s="3">
        <f t="shared" si="6"/>
        <v>0</v>
      </c>
      <c r="J15" s="3">
        <f t="shared" si="7"/>
        <v>0</v>
      </c>
      <c r="K15" s="3"/>
      <c r="L15" s="3">
        <f t="shared" si="8"/>
        <v>460.5162795</v>
      </c>
      <c r="M15" s="30">
        <f t="shared" si="9"/>
        <v>456.8845417</v>
      </c>
      <c r="N15" s="14">
        <f t="shared" si="10"/>
        <v>3.631737807</v>
      </c>
      <c r="O15" s="3"/>
      <c r="P15" s="23">
        <f t="shared" si="11"/>
        <v>208.453222</v>
      </c>
      <c r="Q15" s="14">
        <f t="shared" si="12"/>
        <v>460.5162795</v>
      </c>
      <c r="R15" s="2"/>
      <c r="S15" s="14">
        <f t="shared" si="13"/>
        <v>3.335010775</v>
      </c>
    </row>
    <row r="16">
      <c r="A16" s="11">
        <v>4.0</v>
      </c>
      <c r="B16" s="11">
        <v>1.41941304347826E9</v>
      </c>
      <c r="C16" s="2">
        <v>-102.1689377</v>
      </c>
      <c r="D16" s="3">
        <f t="shared" si="1"/>
        <v>-986956.5217</v>
      </c>
      <c r="E16" s="4">
        <f t="shared" si="2"/>
        <v>207.5349259</v>
      </c>
      <c r="F16" s="3">
        <f t="shared" si="3"/>
        <v>0.0002102776782</v>
      </c>
      <c r="G16" s="3">
        <f t="shared" si="4"/>
        <v>0</v>
      </c>
      <c r="H16" s="2">
        <f t="shared" si="5"/>
        <v>0</v>
      </c>
      <c r="I16" s="3">
        <f t="shared" si="6"/>
        <v>0</v>
      </c>
      <c r="J16" s="3">
        <f t="shared" si="7"/>
        <v>0</v>
      </c>
      <c r="K16" s="3"/>
      <c r="L16" s="3">
        <f t="shared" si="8"/>
        <v>461.5432431</v>
      </c>
      <c r="M16" s="30">
        <f t="shared" si="9"/>
        <v>456.820595</v>
      </c>
      <c r="N16" s="14">
        <f t="shared" si="10"/>
        <v>4.72264807</v>
      </c>
      <c r="O16" s="3"/>
      <c r="P16" s="23">
        <f t="shared" si="11"/>
        <v>207.5349259</v>
      </c>
      <c r="Q16" s="14">
        <f t="shared" si="12"/>
        <v>461.5432431</v>
      </c>
      <c r="R16" s="2"/>
      <c r="S16" s="14">
        <f t="shared" si="13"/>
        <v>4.336789459</v>
      </c>
    </row>
    <row r="17">
      <c r="A17" s="11">
        <v>5.0</v>
      </c>
      <c r="B17" s="11">
        <v>1.41941739130434E9</v>
      </c>
      <c r="C17" s="2">
        <v>-102.1758347</v>
      </c>
      <c r="D17" s="3">
        <f t="shared" si="1"/>
        <v>-982608.6957</v>
      </c>
      <c r="E17" s="4">
        <f t="shared" si="2"/>
        <v>206.6166297</v>
      </c>
      <c r="F17" s="3">
        <f t="shared" si="3"/>
        <v>0.0002102735612</v>
      </c>
      <c r="G17" s="3">
        <f t="shared" si="4"/>
        <v>0</v>
      </c>
      <c r="H17" s="2">
        <f t="shared" si="5"/>
        <v>0</v>
      </c>
      <c r="I17" s="3">
        <f t="shared" si="6"/>
        <v>0</v>
      </c>
      <c r="J17" s="3">
        <f t="shared" si="7"/>
        <v>0</v>
      </c>
      <c r="K17" s="3"/>
      <c r="L17" s="3">
        <f t="shared" si="8"/>
        <v>460.8108513</v>
      </c>
      <c r="M17" s="30">
        <f t="shared" si="9"/>
        <v>456.7564345</v>
      </c>
      <c r="N17" s="14">
        <f t="shared" si="10"/>
        <v>4.05441674</v>
      </c>
      <c r="O17" s="3"/>
      <c r="P17" s="23">
        <f t="shared" si="11"/>
        <v>206.6166297</v>
      </c>
      <c r="Q17" s="14">
        <f t="shared" si="12"/>
        <v>460.8108513</v>
      </c>
      <c r="R17" s="2"/>
      <c r="S17" s="14">
        <f t="shared" si="13"/>
        <v>3.723155213</v>
      </c>
    </row>
    <row r="18">
      <c r="A18" s="11">
        <v>6.0</v>
      </c>
      <c r="B18" s="11">
        <v>1.41942173913043E9</v>
      </c>
      <c r="C18" s="2">
        <v>-102.2023849</v>
      </c>
      <c r="D18" s="3">
        <f t="shared" si="1"/>
        <v>-978260.8696</v>
      </c>
      <c r="E18" s="4">
        <f t="shared" si="2"/>
        <v>205.6983336</v>
      </c>
      <c r="F18" s="3">
        <f t="shared" si="3"/>
        <v>0.0002102694077</v>
      </c>
      <c r="G18" s="3">
        <f t="shared" si="4"/>
        <v>0</v>
      </c>
      <c r="H18" s="2">
        <f t="shared" si="5"/>
        <v>0</v>
      </c>
      <c r="I18" s="3">
        <f t="shared" si="6"/>
        <v>0</v>
      </c>
      <c r="J18" s="3">
        <f t="shared" si="7"/>
        <v>0</v>
      </c>
      <c r="K18" s="3"/>
      <c r="L18" s="3">
        <f t="shared" si="8"/>
        <v>458.0023194</v>
      </c>
      <c r="M18" s="30">
        <f t="shared" si="9"/>
        <v>456.6920607</v>
      </c>
      <c r="N18" s="14">
        <f t="shared" si="10"/>
        <v>1.310258684</v>
      </c>
      <c r="O18" s="3"/>
      <c r="P18" s="23">
        <f t="shared" si="11"/>
        <v>205.6983336</v>
      </c>
      <c r="Q18" s="14">
        <f t="shared" si="12"/>
        <v>458.0023194</v>
      </c>
      <c r="R18" s="2"/>
      <c r="S18" s="14">
        <f t="shared" si="13"/>
        <v>1.20320548</v>
      </c>
    </row>
    <row r="19">
      <c r="A19" s="11">
        <v>7.0</v>
      </c>
      <c r="B19" s="11">
        <v>1.41942608695652E9</v>
      </c>
      <c r="C19" s="2">
        <v>-102.2016983</v>
      </c>
      <c r="D19" s="3">
        <f t="shared" si="1"/>
        <v>-973913.0435</v>
      </c>
      <c r="E19" s="4">
        <f t="shared" si="2"/>
        <v>204.7800375</v>
      </c>
      <c r="F19" s="3">
        <f t="shared" si="3"/>
        <v>0.000210265217</v>
      </c>
      <c r="G19" s="3">
        <f t="shared" si="4"/>
        <v>0</v>
      </c>
      <c r="H19" s="2">
        <f t="shared" si="5"/>
        <v>0</v>
      </c>
      <c r="I19" s="3">
        <f t="shared" si="6"/>
        <v>0</v>
      </c>
      <c r="J19" s="3">
        <f t="shared" si="7"/>
        <v>0</v>
      </c>
      <c r="K19" s="3"/>
      <c r="L19" s="3">
        <f t="shared" si="8"/>
        <v>458.0747333</v>
      </c>
      <c r="M19" s="30">
        <f t="shared" si="9"/>
        <v>456.6274743</v>
      </c>
      <c r="N19" s="14">
        <f t="shared" si="10"/>
        <v>1.44725891</v>
      </c>
      <c r="O19" s="3"/>
      <c r="P19" s="23">
        <f t="shared" si="11"/>
        <v>204.7800375</v>
      </c>
      <c r="Q19" s="14">
        <f t="shared" si="12"/>
        <v>458.0747333</v>
      </c>
      <c r="R19" s="2"/>
      <c r="S19" s="14">
        <f t="shared" si="13"/>
        <v>1.32901226</v>
      </c>
    </row>
    <row r="20">
      <c r="A20" s="11">
        <v>8.0</v>
      </c>
      <c r="B20" s="11">
        <v>1.4194304347826E9</v>
      </c>
      <c r="C20" s="2">
        <v>-102.2481918</v>
      </c>
      <c r="D20" s="3">
        <f t="shared" si="1"/>
        <v>-969565.2174</v>
      </c>
      <c r="E20" s="4">
        <f t="shared" si="2"/>
        <v>203.8617413</v>
      </c>
      <c r="F20" s="3">
        <f t="shared" si="3"/>
        <v>0.0002102609888</v>
      </c>
      <c r="G20" s="3">
        <f t="shared" si="4"/>
        <v>0</v>
      </c>
      <c r="H20" s="2">
        <f t="shared" si="5"/>
        <v>0</v>
      </c>
      <c r="I20" s="3">
        <f t="shared" si="6"/>
        <v>0</v>
      </c>
      <c r="J20" s="3">
        <f t="shared" si="7"/>
        <v>0</v>
      </c>
      <c r="K20" s="3"/>
      <c r="L20" s="3">
        <f t="shared" si="8"/>
        <v>453.1969594</v>
      </c>
      <c r="M20" s="30">
        <f t="shared" si="9"/>
        <v>456.5626759</v>
      </c>
      <c r="N20" s="14">
        <f t="shared" si="10"/>
        <v>-3.365716568</v>
      </c>
      <c r="O20" s="3"/>
      <c r="P20" s="23">
        <f t="shared" si="11"/>
        <v>203.8617413</v>
      </c>
      <c r="Q20" s="14">
        <f t="shared" si="12"/>
        <v>453.1969594</v>
      </c>
      <c r="R20" s="2"/>
      <c r="S20" s="14">
        <f t="shared" si="13"/>
        <v>-3.090724508</v>
      </c>
    </row>
    <row r="21">
      <c r="A21" s="11">
        <v>9.0</v>
      </c>
      <c r="B21" s="11">
        <v>1.41943478260869E9</v>
      </c>
      <c r="C21" s="2">
        <v>-102.2570496</v>
      </c>
      <c r="D21" s="3">
        <f t="shared" si="1"/>
        <v>-965217.3913</v>
      </c>
      <c r="E21" s="4">
        <f t="shared" si="2"/>
        <v>202.9434452</v>
      </c>
      <c r="F21" s="3">
        <f t="shared" si="3"/>
        <v>0.0002102567225</v>
      </c>
      <c r="G21" s="3">
        <f t="shared" si="4"/>
        <v>0</v>
      </c>
      <c r="H21" s="2">
        <f t="shared" si="5"/>
        <v>0</v>
      </c>
      <c r="I21" s="3">
        <f t="shared" si="6"/>
        <v>0</v>
      </c>
      <c r="J21" s="3">
        <f t="shared" si="7"/>
        <v>0</v>
      </c>
      <c r="K21" s="3"/>
      <c r="L21" s="3">
        <f t="shared" si="8"/>
        <v>452.2735682</v>
      </c>
      <c r="M21" s="30">
        <f t="shared" si="9"/>
        <v>456.4976661</v>
      </c>
      <c r="N21" s="14">
        <f t="shared" si="10"/>
        <v>-4.224097927</v>
      </c>
      <c r="O21" s="3"/>
      <c r="P21" s="23">
        <f t="shared" si="11"/>
        <v>202.9434452</v>
      </c>
      <c r="Q21" s="14">
        <f t="shared" si="12"/>
        <v>452.2735682</v>
      </c>
      <c r="R21" s="2"/>
      <c r="S21" s="14">
        <f t="shared" si="13"/>
        <v>-3.878972791</v>
      </c>
    </row>
    <row r="22">
      <c r="A22" s="11">
        <v>10.0</v>
      </c>
      <c r="B22" s="11">
        <v>1.41943913043478E9</v>
      </c>
      <c r="C22" s="2">
        <v>-102.2791901</v>
      </c>
      <c r="D22" s="3">
        <f t="shared" si="1"/>
        <v>-960869.5652</v>
      </c>
      <c r="E22" s="4">
        <f t="shared" si="2"/>
        <v>202.0251491</v>
      </c>
      <c r="F22" s="3">
        <f t="shared" si="3"/>
        <v>0.0002102524176</v>
      </c>
      <c r="G22" s="3">
        <f t="shared" si="4"/>
        <v>0</v>
      </c>
      <c r="H22" s="2">
        <f t="shared" si="5"/>
        <v>0</v>
      </c>
      <c r="I22" s="3">
        <f t="shared" si="6"/>
        <v>0</v>
      </c>
      <c r="J22" s="3">
        <f t="shared" si="7"/>
        <v>0</v>
      </c>
      <c r="K22" s="3"/>
      <c r="L22" s="3">
        <f t="shared" si="8"/>
        <v>449.9737274</v>
      </c>
      <c r="M22" s="30">
        <f t="shared" si="9"/>
        <v>456.4324454</v>
      </c>
      <c r="N22" s="14">
        <f t="shared" si="10"/>
        <v>-6.458718032</v>
      </c>
      <c r="O22" s="3"/>
      <c r="P22" s="23">
        <f t="shared" si="11"/>
        <v>202.0251491</v>
      </c>
      <c r="Q22" s="14">
        <f t="shared" si="12"/>
        <v>449.9737274</v>
      </c>
      <c r="R22" s="2"/>
      <c r="S22" s="14">
        <f t="shared" si="13"/>
        <v>-5.931015778</v>
      </c>
      <c r="U22" s="11">
        <v>1.0</v>
      </c>
    </row>
    <row r="23">
      <c r="A23" s="11">
        <v>11.0</v>
      </c>
      <c r="B23" s="11">
        <v>1.41944347826087E9</v>
      </c>
      <c r="C23" s="2">
        <v>-102.2135162</v>
      </c>
      <c r="D23" s="3">
        <f t="shared" si="1"/>
        <v>-956521.7391</v>
      </c>
      <c r="E23" s="4">
        <f t="shared" si="2"/>
        <v>201.1068529</v>
      </c>
      <c r="F23" s="3">
        <f t="shared" si="3"/>
        <v>0.0002102480735</v>
      </c>
      <c r="G23" s="3">
        <f t="shared" si="4"/>
        <v>0</v>
      </c>
      <c r="H23" s="2">
        <f t="shared" si="5"/>
        <v>0</v>
      </c>
      <c r="I23" s="3">
        <f t="shared" si="6"/>
        <v>0</v>
      </c>
      <c r="J23" s="3">
        <f t="shared" si="7"/>
        <v>0</v>
      </c>
      <c r="K23" s="3"/>
      <c r="L23" s="3">
        <f t="shared" si="8"/>
        <v>456.8299275</v>
      </c>
      <c r="M23" s="30">
        <f t="shared" si="9"/>
        <v>456.3670146</v>
      </c>
      <c r="N23" s="14">
        <f t="shared" si="10"/>
        <v>0.4629129548</v>
      </c>
      <c r="O23" s="3"/>
      <c r="P23" s="23">
        <f t="shared" si="11"/>
        <v>201.1068529</v>
      </c>
      <c r="Q23" s="14">
        <f t="shared" si="12"/>
        <v>456.8299275</v>
      </c>
      <c r="R23" s="2"/>
      <c r="S23" s="14">
        <f t="shared" si="13"/>
        <v>0.4250911762</v>
      </c>
    </row>
    <row r="24">
      <c r="A24" s="11">
        <v>12.0</v>
      </c>
      <c r="B24" s="11">
        <v>1.41944782608695E9</v>
      </c>
      <c r="C24" s="2">
        <v>-102.2694397</v>
      </c>
      <c r="D24" s="3">
        <f t="shared" si="1"/>
        <v>-952173.913</v>
      </c>
      <c r="E24" s="4">
        <f t="shared" si="2"/>
        <v>200.1885568</v>
      </c>
      <c r="F24" s="3">
        <f t="shared" si="3"/>
        <v>0.0002102436898</v>
      </c>
      <c r="G24" s="3">
        <f t="shared" si="4"/>
        <v>0</v>
      </c>
      <c r="H24" s="2">
        <f t="shared" si="5"/>
        <v>0</v>
      </c>
      <c r="I24" s="3">
        <f t="shared" si="6"/>
        <v>0</v>
      </c>
      <c r="J24" s="3">
        <f t="shared" si="7"/>
        <v>0</v>
      </c>
      <c r="K24" s="3"/>
      <c r="L24" s="3">
        <f t="shared" si="8"/>
        <v>450.985104</v>
      </c>
      <c r="M24" s="30">
        <f t="shared" si="9"/>
        <v>456.3013741</v>
      </c>
      <c r="N24" s="14">
        <f t="shared" si="10"/>
        <v>-5.316270164</v>
      </c>
      <c r="O24" s="3"/>
      <c r="P24" s="23">
        <f t="shared" si="11"/>
        <v>200.1885568</v>
      </c>
      <c r="Q24" s="14">
        <f t="shared" si="12"/>
        <v>450.985104</v>
      </c>
      <c r="R24" s="2"/>
      <c r="S24" s="14">
        <f t="shared" si="13"/>
        <v>-4.881910332</v>
      </c>
    </row>
    <row r="25">
      <c r="A25" s="11">
        <v>13.0</v>
      </c>
      <c r="B25" s="11">
        <v>1.41945217391304E9</v>
      </c>
      <c r="C25" s="2">
        <v>-102.2294998</v>
      </c>
      <c r="D25" s="3">
        <f t="shared" si="1"/>
        <v>-947826.087</v>
      </c>
      <c r="E25" s="4">
        <f t="shared" si="2"/>
        <v>199.2702607</v>
      </c>
      <c r="F25" s="3">
        <f t="shared" si="3"/>
        <v>0.0002102392658</v>
      </c>
      <c r="G25" s="3">
        <f t="shared" si="4"/>
        <v>0</v>
      </c>
      <c r="H25" s="2">
        <f t="shared" si="5"/>
        <v>0</v>
      </c>
      <c r="I25" s="3">
        <f t="shared" si="6"/>
        <v>0</v>
      </c>
      <c r="J25" s="3">
        <f t="shared" si="7"/>
        <v>0</v>
      </c>
      <c r="K25" s="3"/>
      <c r="L25" s="3">
        <f t="shared" si="8"/>
        <v>455.1517191</v>
      </c>
      <c r="M25" s="30">
        <f t="shared" si="9"/>
        <v>456.2355247</v>
      </c>
      <c r="N25" s="14">
        <f t="shared" si="10"/>
        <v>-1.083805622</v>
      </c>
      <c r="O25" s="3"/>
      <c r="P25" s="23">
        <f t="shared" si="11"/>
        <v>199.2702607</v>
      </c>
      <c r="Q25" s="14">
        <f t="shared" si="12"/>
        <v>455.1517191</v>
      </c>
      <c r="R25" s="2"/>
      <c r="S25" s="14">
        <f t="shared" si="13"/>
        <v>-0.9952545087</v>
      </c>
    </row>
    <row r="26">
      <c r="A26" s="11">
        <v>14.0</v>
      </c>
      <c r="B26" s="11">
        <v>1.41945652173913E9</v>
      </c>
      <c r="C26" s="2">
        <v>-102.2797623</v>
      </c>
      <c r="D26" s="3">
        <f t="shared" si="1"/>
        <v>-943478.2609</v>
      </c>
      <c r="E26" s="4">
        <f t="shared" si="2"/>
        <v>198.3519645</v>
      </c>
      <c r="F26" s="3">
        <f t="shared" si="3"/>
        <v>0.0002102348011</v>
      </c>
      <c r="G26" s="3">
        <f t="shared" si="4"/>
        <v>0</v>
      </c>
      <c r="H26" s="2">
        <f t="shared" si="5"/>
        <v>0</v>
      </c>
      <c r="I26" s="3">
        <f t="shared" si="6"/>
        <v>0</v>
      </c>
      <c r="J26" s="3">
        <f t="shared" si="7"/>
        <v>0</v>
      </c>
      <c r="K26" s="3"/>
      <c r="L26" s="3">
        <f t="shared" si="8"/>
        <v>449.9144455</v>
      </c>
      <c r="M26" s="30">
        <f t="shared" si="9"/>
        <v>456.1694669</v>
      </c>
      <c r="N26" s="14">
        <f t="shared" si="10"/>
        <v>-6.255021396</v>
      </c>
      <c r="O26" s="3"/>
      <c r="P26" s="23">
        <f t="shared" si="11"/>
        <v>198.3519645</v>
      </c>
      <c r="Q26" s="14">
        <f t="shared" si="12"/>
        <v>449.9144455</v>
      </c>
      <c r="R26" s="2"/>
      <c r="S26" s="14">
        <f t="shared" si="13"/>
        <v>-5.743961958</v>
      </c>
    </row>
    <row r="27">
      <c r="A27" s="11">
        <v>15.0</v>
      </c>
      <c r="B27" s="11">
        <v>1.41946086956521E9</v>
      </c>
      <c r="C27" s="2">
        <v>-102.2702484</v>
      </c>
      <c r="D27" s="3">
        <f t="shared" si="1"/>
        <v>-939130.4348</v>
      </c>
      <c r="E27" s="4">
        <f t="shared" si="2"/>
        <v>197.4336684</v>
      </c>
      <c r="F27" s="3">
        <f t="shared" si="3"/>
        <v>0.0002102302951</v>
      </c>
      <c r="G27" s="3">
        <f t="shared" si="4"/>
        <v>0</v>
      </c>
      <c r="H27" s="2">
        <f t="shared" si="5"/>
        <v>0</v>
      </c>
      <c r="I27" s="3">
        <f t="shared" si="6"/>
        <v>0</v>
      </c>
      <c r="J27" s="3">
        <f t="shared" si="7"/>
        <v>0</v>
      </c>
      <c r="K27" s="3"/>
      <c r="L27" s="3">
        <f t="shared" si="8"/>
        <v>450.9011338</v>
      </c>
      <c r="M27" s="30">
        <f t="shared" si="9"/>
        <v>456.1032013</v>
      </c>
      <c r="N27" s="14">
        <f t="shared" si="10"/>
        <v>-5.202067491</v>
      </c>
      <c r="O27" s="3"/>
      <c r="P27" s="23">
        <f t="shared" si="11"/>
        <v>197.4336684</v>
      </c>
      <c r="Q27" s="14">
        <f t="shared" si="12"/>
        <v>450.9011338</v>
      </c>
      <c r="R27" s="2"/>
      <c r="S27" s="14">
        <f t="shared" si="13"/>
        <v>-4.777038459</v>
      </c>
    </row>
    <row r="28">
      <c r="A28" s="11">
        <v>16.0</v>
      </c>
      <c r="B28" s="11">
        <v>1.4194652173913E9</v>
      </c>
      <c r="C28" s="2">
        <v>-102.1949234</v>
      </c>
      <c r="D28" s="3">
        <f t="shared" si="1"/>
        <v>-934782.6087</v>
      </c>
      <c r="E28" s="4">
        <f t="shared" si="2"/>
        <v>196.5153723</v>
      </c>
      <c r="F28" s="3">
        <f t="shared" si="3"/>
        <v>0.0002102257471</v>
      </c>
      <c r="G28" s="3">
        <f t="shared" si="4"/>
        <v>0</v>
      </c>
      <c r="H28" s="2">
        <f t="shared" si="5"/>
        <v>0</v>
      </c>
      <c r="I28" s="3">
        <f t="shared" si="6"/>
        <v>0</v>
      </c>
      <c r="J28" s="3">
        <f t="shared" si="7"/>
        <v>0</v>
      </c>
      <c r="K28" s="3"/>
      <c r="L28" s="3">
        <f t="shared" si="8"/>
        <v>458.7898776</v>
      </c>
      <c r="M28" s="30">
        <f t="shared" si="9"/>
        <v>456.0367286</v>
      </c>
      <c r="N28" s="14">
        <f t="shared" si="10"/>
        <v>2.753149016</v>
      </c>
      <c r="O28" s="3"/>
      <c r="P28" s="23">
        <f t="shared" si="11"/>
        <v>196.5153723</v>
      </c>
      <c r="Q28" s="14">
        <f t="shared" si="12"/>
        <v>458.7898776</v>
      </c>
      <c r="R28" s="2"/>
      <c r="S28" s="14">
        <f t="shared" si="13"/>
        <v>2.528206088</v>
      </c>
    </row>
    <row r="29">
      <c r="A29" s="11">
        <v>17.0</v>
      </c>
      <c r="B29" s="11">
        <v>1.41946956521739E9</v>
      </c>
      <c r="C29" s="2">
        <v>-102.2133942</v>
      </c>
      <c r="D29" s="3">
        <f t="shared" si="1"/>
        <v>-930434.7826</v>
      </c>
      <c r="E29" s="4">
        <f t="shared" si="2"/>
        <v>195.5970761</v>
      </c>
      <c r="F29" s="3">
        <f t="shared" si="3"/>
        <v>0.0002102211566</v>
      </c>
      <c r="G29" s="3">
        <f t="shared" si="4"/>
        <v>0</v>
      </c>
      <c r="H29" s="2">
        <f t="shared" si="5"/>
        <v>0</v>
      </c>
      <c r="I29" s="3">
        <f t="shared" si="6"/>
        <v>0</v>
      </c>
      <c r="J29" s="3">
        <f t="shared" si="7"/>
        <v>0</v>
      </c>
      <c r="K29" s="3"/>
      <c r="L29" s="3">
        <f t="shared" si="8"/>
        <v>456.8427608</v>
      </c>
      <c r="M29" s="30">
        <f t="shared" si="9"/>
        <v>455.9700493</v>
      </c>
      <c r="N29" s="14">
        <f t="shared" si="10"/>
        <v>0.8727114873</v>
      </c>
      <c r="O29" s="3"/>
      <c r="P29" s="23">
        <f t="shared" si="11"/>
        <v>195.5970761</v>
      </c>
      <c r="Q29" s="14">
        <f t="shared" si="12"/>
        <v>456.8427608</v>
      </c>
      <c r="R29" s="2"/>
      <c r="S29" s="14">
        <f t="shared" si="13"/>
        <v>0.8014075839</v>
      </c>
    </row>
    <row r="30">
      <c r="A30" s="11">
        <v>18.0</v>
      </c>
      <c r="B30" s="11">
        <v>1.41947391304347E9</v>
      </c>
      <c r="C30" s="2">
        <v>-102.1679001</v>
      </c>
      <c r="D30" s="3">
        <f t="shared" si="1"/>
        <v>-926086.9565</v>
      </c>
      <c r="E30" s="4">
        <f t="shared" si="2"/>
        <v>194.67878</v>
      </c>
      <c r="F30" s="3">
        <f t="shared" si="3"/>
        <v>0.000210216523</v>
      </c>
      <c r="G30" s="3">
        <f t="shared" si="4"/>
        <v>0</v>
      </c>
      <c r="H30" s="2">
        <f t="shared" si="5"/>
        <v>0</v>
      </c>
      <c r="I30" s="3">
        <f t="shared" si="6"/>
        <v>0</v>
      </c>
      <c r="J30" s="3">
        <f t="shared" si="7"/>
        <v>0</v>
      </c>
      <c r="K30" s="3"/>
      <c r="L30" s="3">
        <f t="shared" si="8"/>
        <v>461.6535265</v>
      </c>
      <c r="M30" s="30">
        <f t="shared" si="9"/>
        <v>455.903164</v>
      </c>
      <c r="N30" s="14">
        <f t="shared" si="10"/>
        <v>5.750362417</v>
      </c>
      <c r="O30" s="3"/>
      <c r="P30" s="23">
        <f t="shared" si="11"/>
        <v>194.67878</v>
      </c>
      <c r="Q30" s="14">
        <f t="shared" si="12"/>
        <v>461.6535265</v>
      </c>
      <c r="R30" s="2"/>
      <c r="S30" s="14">
        <f t="shared" si="13"/>
        <v>5.28053557</v>
      </c>
    </row>
    <row r="31">
      <c r="A31" s="11">
        <v>19.0</v>
      </c>
      <c r="B31" s="11">
        <v>1.41947826086956E9</v>
      </c>
      <c r="C31" s="2">
        <v>-102.228775</v>
      </c>
      <c r="D31" s="3">
        <f t="shared" si="1"/>
        <v>-921739.1304</v>
      </c>
      <c r="E31" s="4">
        <f t="shared" si="2"/>
        <v>193.7604839</v>
      </c>
      <c r="F31" s="3">
        <f t="shared" si="3"/>
        <v>0.0002102118457</v>
      </c>
      <c r="G31" s="3">
        <f t="shared" si="4"/>
        <v>0</v>
      </c>
      <c r="H31" s="2">
        <f t="shared" si="5"/>
        <v>0</v>
      </c>
      <c r="I31" s="3">
        <f t="shared" si="6"/>
        <v>0</v>
      </c>
      <c r="J31" s="3">
        <f t="shared" si="7"/>
        <v>0</v>
      </c>
      <c r="K31" s="3"/>
      <c r="L31" s="3">
        <f t="shared" si="8"/>
        <v>455.2276863</v>
      </c>
      <c r="M31" s="30">
        <f t="shared" si="9"/>
        <v>455.8360735</v>
      </c>
      <c r="N31" s="14">
        <f t="shared" si="10"/>
        <v>-0.6083871426</v>
      </c>
      <c r="O31" s="3"/>
      <c r="P31" s="23">
        <f t="shared" si="11"/>
        <v>193.7604839</v>
      </c>
      <c r="Q31" s="14">
        <f t="shared" si="12"/>
        <v>455.2276863</v>
      </c>
      <c r="R31" s="2"/>
      <c r="S31" s="14">
        <f t="shared" si="13"/>
        <v>-0.558679559</v>
      </c>
    </row>
    <row r="32">
      <c r="A32" s="11">
        <v>20.0</v>
      </c>
      <c r="B32" s="11">
        <v>1.41948260869565E9</v>
      </c>
      <c r="C32" s="2">
        <v>-102.2152252</v>
      </c>
      <c r="D32" s="3">
        <f t="shared" si="1"/>
        <v>-917391.3043</v>
      </c>
      <c r="E32" s="4">
        <f t="shared" si="2"/>
        <v>192.8421878</v>
      </c>
      <c r="F32" s="3">
        <f t="shared" si="3"/>
        <v>0.0002102071241</v>
      </c>
      <c r="G32" s="3">
        <f t="shared" si="4"/>
        <v>0</v>
      </c>
      <c r="H32" s="2">
        <f t="shared" si="5"/>
        <v>0</v>
      </c>
      <c r="I32" s="3">
        <f t="shared" si="6"/>
        <v>0</v>
      </c>
      <c r="J32" s="3">
        <f t="shared" si="7"/>
        <v>0</v>
      </c>
      <c r="K32" s="3"/>
      <c r="L32" s="3">
        <f t="shared" si="8"/>
        <v>456.6501949</v>
      </c>
      <c r="M32" s="30">
        <f t="shared" si="9"/>
        <v>455.7687781</v>
      </c>
      <c r="N32" s="14">
        <f t="shared" si="10"/>
        <v>0.8814167921</v>
      </c>
      <c r="O32" s="3"/>
      <c r="P32" s="23">
        <f t="shared" si="11"/>
        <v>192.8421878</v>
      </c>
      <c r="Q32" s="14">
        <f t="shared" si="12"/>
        <v>456.6501949</v>
      </c>
      <c r="R32" s="2"/>
      <c r="S32" s="14">
        <f t="shared" si="13"/>
        <v>0.8094016315</v>
      </c>
    </row>
    <row r="33">
      <c r="A33" s="11">
        <v>21.0</v>
      </c>
      <c r="B33" s="11">
        <v>1.41948695652173E9</v>
      </c>
      <c r="C33" s="2">
        <v>-102.1760712</v>
      </c>
      <c r="D33" s="3">
        <f t="shared" si="1"/>
        <v>-913043.4783</v>
      </c>
      <c r="E33" s="4">
        <f t="shared" si="2"/>
        <v>191.9238916</v>
      </c>
      <c r="F33" s="3">
        <f t="shared" si="3"/>
        <v>0.0002102023575</v>
      </c>
      <c r="G33" s="3">
        <f t="shared" si="4"/>
        <v>0</v>
      </c>
      <c r="H33" s="2">
        <f t="shared" si="5"/>
        <v>0</v>
      </c>
      <c r="I33" s="3">
        <f t="shared" si="6"/>
        <v>0</v>
      </c>
      <c r="J33" s="3">
        <f t="shared" si="7"/>
        <v>0</v>
      </c>
      <c r="K33" s="3"/>
      <c r="L33" s="3">
        <f t="shared" si="8"/>
        <v>460.785758</v>
      </c>
      <c r="M33" s="30">
        <f t="shared" si="9"/>
        <v>455.7012787</v>
      </c>
      <c r="N33" s="14">
        <f t="shared" si="10"/>
        <v>5.084479251</v>
      </c>
      <c r="O33" s="3"/>
      <c r="P33" s="23">
        <f t="shared" si="11"/>
        <v>191.9238916</v>
      </c>
      <c r="Q33" s="14">
        <f t="shared" si="12"/>
        <v>460.785758</v>
      </c>
      <c r="R33" s="2"/>
      <c r="S33" s="14">
        <f t="shared" si="13"/>
        <v>4.669057633</v>
      </c>
    </row>
    <row r="34">
      <c r="A34" s="11">
        <v>22.0</v>
      </c>
      <c r="B34" s="11">
        <v>1.41949130434782E9</v>
      </c>
      <c r="C34" s="2">
        <v>-102.1876984</v>
      </c>
      <c r="D34" s="3">
        <f t="shared" si="1"/>
        <v>-908695.6522</v>
      </c>
      <c r="E34" s="4">
        <f t="shared" si="2"/>
        <v>191.0055955</v>
      </c>
      <c r="F34" s="3">
        <f t="shared" si="3"/>
        <v>0.0002101975453</v>
      </c>
      <c r="G34" s="3">
        <f t="shared" si="4"/>
        <v>0</v>
      </c>
      <c r="H34" s="2">
        <f t="shared" si="5"/>
        <v>0</v>
      </c>
      <c r="I34" s="3">
        <f t="shared" si="6"/>
        <v>0</v>
      </c>
      <c r="J34" s="3">
        <f t="shared" si="7"/>
        <v>0</v>
      </c>
      <c r="K34" s="3"/>
      <c r="L34" s="3">
        <f t="shared" si="8"/>
        <v>459.5537638</v>
      </c>
      <c r="M34" s="30">
        <f t="shared" si="9"/>
        <v>455.6335758</v>
      </c>
      <c r="N34" s="14">
        <f t="shared" si="10"/>
        <v>3.920188046</v>
      </c>
      <c r="O34" s="3"/>
      <c r="P34" s="23">
        <f t="shared" si="11"/>
        <v>191.0055955</v>
      </c>
      <c r="Q34" s="14">
        <f t="shared" si="12"/>
        <v>459.5537638</v>
      </c>
      <c r="R34" s="2"/>
      <c r="S34" s="14">
        <f t="shared" si="13"/>
        <v>3.599893523</v>
      </c>
    </row>
    <row r="35">
      <c r="A35" s="11">
        <v>23.0</v>
      </c>
      <c r="B35" s="11">
        <v>1.41949565217391E9</v>
      </c>
      <c r="C35" s="2">
        <v>-102.2734909</v>
      </c>
      <c r="D35" s="3">
        <f t="shared" si="1"/>
        <v>-904347.8261</v>
      </c>
      <c r="E35" s="4">
        <f t="shared" si="2"/>
        <v>190.0872994</v>
      </c>
      <c r="F35" s="3">
        <f t="shared" si="3"/>
        <v>0.0002101926868</v>
      </c>
      <c r="G35" s="3">
        <f t="shared" si="4"/>
        <v>0</v>
      </c>
      <c r="H35" s="2">
        <f t="shared" si="5"/>
        <v>0</v>
      </c>
      <c r="I35" s="3">
        <f t="shared" si="6"/>
        <v>0</v>
      </c>
      <c r="J35" s="3">
        <f t="shared" si="7"/>
        <v>0</v>
      </c>
      <c r="K35" s="3"/>
      <c r="L35" s="3">
        <f t="shared" si="8"/>
        <v>450.5646107</v>
      </c>
      <c r="M35" s="30">
        <f t="shared" si="9"/>
        <v>455.5656699</v>
      </c>
      <c r="N35" s="14">
        <f t="shared" si="10"/>
        <v>-5.001059167</v>
      </c>
      <c r="O35" s="3"/>
      <c r="P35" s="23">
        <f t="shared" si="11"/>
        <v>190.0872994</v>
      </c>
      <c r="Q35" s="14">
        <f t="shared" si="12"/>
        <v>450.5646107</v>
      </c>
      <c r="R35" s="2"/>
      <c r="S35" s="14">
        <f t="shared" si="13"/>
        <v>-4.592453282</v>
      </c>
    </row>
    <row r="36">
      <c r="A36" s="11">
        <v>24.0</v>
      </c>
      <c r="B36" s="11">
        <v>1.4195E9</v>
      </c>
      <c r="C36" s="2">
        <v>-102.2162476</v>
      </c>
      <c r="D36" s="3">
        <f t="shared" si="1"/>
        <v>-900000</v>
      </c>
      <c r="E36" s="4">
        <f t="shared" si="2"/>
        <v>189.1690032</v>
      </c>
      <c r="F36" s="3">
        <f t="shared" si="3"/>
        <v>0.0002101877814</v>
      </c>
      <c r="G36" s="3">
        <f t="shared" si="4"/>
        <v>0</v>
      </c>
      <c r="H36" s="2">
        <f t="shared" si="5"/>
        <v>0</v>
      </c>
      <c r="I36" s="3">
        <f t="shared" si="6"/>
        <v>0</v>
      </c>
      <c r="J36" s="3">
        <f t="shared" si="7"/>
        <v>0</v>
      </c>
      <c r="K36" s="3"/>
      <c r="L36" s="3">
        <f t="shared" si="8"/>
        <v>456.5427047</v>
      </c>
      <c r="M36" s="30">
        <f t="shared" si="9"/>
        <v>455.4975617</v>
      </c>
      <c r="N36" s="14">
        <f t="shared" si="10"/>
        <v>1.045142962</v>
      </c>
      <c r="O36" s="3"/>
      <c r="P36" s="23">
        <f t="shared" si="11"/>
        <v>189.1690032</v>
      </c>
      <c r="Q36" s="14">
        <f t="shared" si="12"/>
        <v>456.5427047</v>
      </c>
      <c r="R36" s="2"/>
      <c r="S36" s="14">
        <f t="shared" si="13"/>
        <v>0.9597507399</v>
      </c>
    </row>
    <row r="37">
      <c r="A37" s="11">
        <v>25.0</v>
      </c>
      <c r="B37" s="11">
        <v>1.41950434782608E9</v>
      </c>
      <c r="C37" s="2">
        <v>-102.2239075</v>
      </c>
      <c r="D37" s="3">
        <f t="shared" si="1"/>
        <v>-895652.1739</v>
      </c>
      <c r="E37" s="4">
        <f t="shared" si="2"/>
        <v>188.2507071</v>
      </c>
      <c r="F37" s="3">
        <f t="shared" si="3"/>
        <v>0.0002101828283</v>
      </c>
      <c r="G37" s="3">
        <f t="shared" si="4"/>
        <v>0</v>
      </c>
      <c r="H37" s="2">
        <f t="shared" si="5"/>
        <v>0</v>
      </c>
      <c r="I37" s="3">
        <f t="shared" si="6"/>
        <v>0</v>
      </c>
      <c r="J37" s="3">
        <f t="shared" si="7"/>
        <v>0</v>
      </c>
      <c r="K37" s="3"/>
      <c r="L37" s="3">
        <f t="shared" si="8"/>
        <v>455.7381839</v>
      </c>
      <c r="M37" s="30">
        <f t="shared" si="9"/>
        <v>455.4292519</v>
      </c>
      <c r="N37" s="14">
        <f t="shared" si="10"/>
        <v>0.3089320536</v>
      </c>
      <c r="O37" s="3"/>
      <c r="P37" s="23">
        <f t="shared" si="11"/>
        <v>188.2507071</v>
      </c>
      <c r="Q37" s="14">
        <f t="shared" si="12"/>
        <v>455.7381839</v>
      </c>
      <c r="R37" s="2"/>
      <c r="S37" s="14">
        <f t="shared" si="13"/>
        <v>0.2836911101</v>
      </c>
    </row>
    <row r="38">
      <c r="A38" s="11">
        <v>26.0</v>
      </c>
      <c r="B38" s="11">
        <v>1.41950869565217E9</v>
      </c>
      <c r="C38" s="2">
        <v>-102.2194366</v>
      </c>
      <c r="D38" s="3">
        <f t="shared" si="1"/>
        <v>-891304.3478</v>
      </c>
      <c r="E38" s="4">
        <f t="shared" si="2"/>
        <v>187.332411</v>
      </c>
      <c r="F38" s="3">
        <f t="shared" si="3"/>
        <v>0.0002101778269</v>
      </c>
      <c r="G38" s="3">
        <f t="shared" si="4"/>
        <v>0</v>
      </c>
      <c r="H38" s="2">
        <f t="shared" si="5"/>
        <v>0</v>
      </c>
      <c r="I38" s="3">
        <f t="shared" si="6"/>
        <v>0</v>
      </c>
      <c r="J38" s="3">
        <f t="shared" si="7"/>
        <v>0</v>
      </c>
      <c r="K38" s="3"/>
      <c r="L38" s="3">
        <f t="shared" si="8"/>
        <v>456.207591</v>
      </c>
      <c r="M38" s="30">
        <f t="shared" si="9"/>
        <v>455.3607409</v>
      </c>
      <c r="N38" s="14">
        <f t="shared" si="10"/>
        <v>0.8468500646</v>
      </c>
      <c r="O38" s="3"/>
      <c r="P38" s="23">
        <f t="shared" si="11"/>
        <v>187.332411</v>
      </c>
      <c r="Q38" s="14">
        <f t="shared" si="12"/>
        <v>456.207591</v>
      </c>
      <c r="R38" s="2"/>
      <c r="S38" s="14">
        <f t="shared" si="13"/>
        <v>0.7776591376</v>
      </c>
    </row>
    <row r="39">
      <c r="A39" s="11">
        <v>27.0</v>
      </c>
      <c r="B39" s="11">
        <v>1.41951304347826E9</v>
      </c>
      <c r="C39" s="2">
        <v>-102.1425629</v>
      </c>
      <c r="D39" s="3">
        <f t="shared" si="1"/>
        <v>-886956.5217</v>
      </c>
      <c r="E39" s="4">
        <f t="shared" si="2"/>
        <v>186.4141148</v>
      </c>
      <c r="F39" s="3">
        <f t="shared" si="3"/>
        <v>0.0002101727765</v>
      </c>
      <c r="G39" s="3">
        <f t="shared" si="4"/>
        <v>0</v>
      </c>
      <c r="H39" s="2">
        <f t="shared" si="5"/>
        <v>0</v>
      </c>
      <c r="I39" s="3">
        <f t="shared" si="6"/>
        <v>0</v>
      </c>
      <c r="J39" s="3">
        <f t="shared" si="7"/>
        <v>0</v>
      </c>
      <c r="K39" s="3"/>
      <c r="L39" s="3">
        <f t="shared" si="8"/>
        <v>464.3547339</v>
      </c>
      <c r="M39" s="30">
        <f t="shared" si="9"/>
        <v>455.2920295</v>
      </c>
      <c r="N39" s="14">
        <f t="shared" si="10"/>
        <v>9.06270441</v>
      </c>
      <c r="O39" s="3"/>
      <c r="P39" s="23">
        <f t="shared" si="11"/>
        <v>186.4141148</v>
      </c>
      <c r="Q39" s="14">
        <f t="shared" si="12"/>
        <v>464.3547339</v>
      </c>
      <c r="R39" s="2"/>
      <c r="S39" s="14">
        <f t="shared" si="13"/>
        <v>8.322246413</v>
      </c>
    </row>
    <row r="40">
      <c r="A40" s="11">
        <v>28.0</v>
      </c>
      <c r="B40" s="11">
        <v>1.41951739130434E9</v>
      </c>
      <c r="C40" s="2">
        <v>-102.2235947</v>
      </c>
      <c r="D40" s="3">
        <f t="shared" si="1"/>
        <v>-882608.6957</v>
      </c>
      <c r="E40" s="4">
        <f t="shared" si="2"/>
        <v>185.4958187</v>
      </c>
      <c r="F40" s="3">
        <f t="shared" si="3"/>
        <v>0.0002101676763</v>
      </c>
      <c r="G40" s="3">
        <f t="shared" si="4"/>
        <v>0</v>
      </c>
      <c r="H40" s="2">
        <f t="shared" si="5"/>
        <v>0</v>
      </c>
      <c r="I40" s="3">
        <f t="shared" si="6"/>
        <v>0</v>
      </c>
      <c r="J40" s="3">
        <f t="shared" si="7"/>
        <v>0</v>
      </c>
      <c r="K40" s="3"/>
      <c r="L40" s="3">
        <f t="shared" si="8"/>
        <v>455.7710096</v>
      </c>
      <c r="M40" s="30">
        <f t="shared" si="9"/>
        <v>455.2231182</v>
      </c>
      <c r="N40" s="14">
        <f t="shared" si="10"/>
        <v>0.5478913633</v>
      </c>
      <c r="O40" s="3"/>
      <c r="P40" s="23">
        <f t="shared" si="11"/>
        <v>185.4958187</v>
      </c>
      <c r="Q40" s="14">
        <f t="shared" si="12"/>
        <v>455.7710096</v>
      </c>
      <c r="R40" s="2"/>
      <c r="S40" s="14">
        <f t="shared" si="13"/>
        <v>0.5031265201</v>
      </c>
    </row>
    <row r="41">
      <c r="A41" s="11">
        <v>29.0</v>
      </c>
      <c r="B41" s="11">
        <v>1.41952173913043E9</v>
      </c>
      <c r="C41" s="2">
        <v>-102.1806259</v>
      </c>
      <c r="D41" s="3">
        <f t="shared" si="1"/>
        <v>-878260.8696</v>
      </c>
      <c r="E41" s="4">
        <f t="shared" si="2"/>
        <v>184.5775226</v>
      </c>
      <c r="F41" s="3">
        <f t="shared" si="3"/>
        <v>0.0002101625257</v>
      </c>
      <c r="G41" s="3">
        <f t="shared" si="4"/>
        <v>0</v>
      </c>
      <c r="H41" s="2">
        <f t="shared" si="5"/>
        <v>0</v>
      </c>
      <c r="I41" s="3">
        <f t="shared" si="6"/>
        <v>0</v>
      </c>
      <c r="J41" s="3">
        <f t="shared" si="7"/>
        <v>0</v>
      </c>
      <c r="K41" s="3"/>
      <c r="L41" s="3">
        <f t="shared" si="8"/>
        <v>460.3027583</v>
      </c>
      <c r="M41" s="30">
        <f t="shared" si="9"/>
        <v>455.1540077</v>
      </c>
      <c r="N41" s="14">
        <f t="shared" si="10"/>
        <v>5.148750654</v>
      </c>
      <c r="O41" s="3"/>
      <c r="P41" s="23">
        <f t="shared" si="11"/>
        <v>184.5775226</v>
      </c>
      <c r="Q41" s="14">
        <f t="shared" si="12"/>
        <v>460.3027583</v>
      </c>
      <c r="R41" s="2"/>
      <c r="S41" s="14">
        <f t="shared" si="13"/>
        <v>4.728077803</v>
      </c>
    </row>
    <row r="42">
      <c r="A42" s="11">
        <v>30.0</v>
      </c>
      <c r="B42" s="11">
        <v>1.41952608695652E9</v>
      </c>
      <c r="C42" s="2">
        <v>-102.2711334</v>
      </c>
      <c r="D42" s="3">
        <f t="shared" si="1"/>
        <v>-873913.0435</v>
      </c>
      <c r="E42" s="4">
        <f t="shared" si="2"/>
        <v>183.6592264</v>
      </c>
      <c r="F42" s="3">
        <f t="shared" si="3"/>
        <v>0.0002101573238</v>
      </c>
      <c r="G42" s="3">
        <f t="shared" si="4"/>
        <v>0</v>
      </c>
      <c r="H42" s="2">
        <f t="shared" si="5"/>
        <v>0</v>
      </c>
      <c r="I42" s="3">
        <f t="shared" si="6"/>
        <v>0</v>
      </c>
      <c r="J42" s="3">
        <f t="shared" si="7"/>
        <v>0</v>
      </c>
      <c r="K42" s="3"/>
      <c r="L42" s="3">
        <f t="shared" si="8"/>
        <v>450.8092591</v>
      </c>
      <c r="M42" s="30">
        <f t="shared" si="9"/>
        <v>455.0846985</v>
      </c>
      <c r="N42" s="14">
        <f t="shared" si="10"/>
        <v>-4.275439364</v>
      </c>
      <c r="O42" s="3"/>
      <c r="P42" s="23">
        <f t="shared" si="11"/>
        <v>183.6592264</v>
      </c>
      <c r="Q42" s="14">
        <f t="shared" si="12"/>
        <v>450.8092591</v>
      </c>
      <c r="R42" s="2"/>
      <c r="S42" s="14">
        <f t="shared" si="13"/>
        <v>-3.926119434</v>
      </c>
    </row>
    <row r="43">
      <c r="A43" s="11">
        <v>31.0</v>
      </c>
      <c r="B43" s="11">
        <v>1.4195304347826E9</v>
      </c>
      <c r="C43" s="2">
        <v>-102.2235718</v>
      </c>
      <c r="D43" s="3">
        <f t="shared" si="1"/>
        <v>-869565.2174</v>
      </c>
      <c r="E43" s="4">
        <f t="shared" si="2"/>
        <v>182.7409303</v>
      </c>
      <c r="F43" s="3">
        <f t="shared" si="3"/>
        <v>0.0002101520698</v>
      </c>
      <c r="G43" s="3">
        <f t="shared" si="4"/>
        <v>0</v>
      </c>
      <c r="H43" s="2">
        <f t="shared" si="5"/>
        <v>0</v>
      </c>
      <c r="I43" s="3">
        <f t="shared" si="6"/>
        <v>0</v>
      </c>
      <c r="J43" s="3">
        <f t="shared" si="7"/>
        <v>0</v>
      </c>
      <c r="K43" s="3"/>
      <c r="L43" s="3">
        <f t="shared" si="8"/>
        <v>455.7734128</v>
      </c>
      <c r="M43" s="30">
        <f t="shared" si="9"/>
        <v>455.0151912</v>
      </c>
      <c r="N43" s="14">
        <f t="shared" si="10"/>
        <v>0.7582216203</v>
      </c>
      <c r="O43" s="3"/>
      <c r="P43" s="23">
        <f t="shared" si="11"/>
        <v>182.7409303</v>
      </c>
      <c r="Q43" s="14">
        <f t="shared" si="12"/>
        <v>455.7734128</v>
      </c>
      <c r="R43" s="2"/>
      <c r="S43" s="14">
        <f t="shared" si="13"/>
        <v>0.6962719817</v>
      </c>
    </row>
    <row r="44">
      <c r="A44" s="11">
        <v>32.0</v>
      </c>
      <c r="B44" s="11">
        <v>1.41953478260869E9</v>
      </c>
      <c r="C44" s="2">
        <v>-102.2087021</v>
      </c>
      <c r="D44" s="3">
        <f t="shared" si="1"/>
        <v>-865217.3913</v>
      </c>
      <c r="E44" s="4">
        <f t="shared" si="2"/>
        <v>181.8226342</v>
      </c>
      <c r="F44" s="3">
        <f t="shared" si="3"/>
        <v>0.0002101467631</v>
      </c>
      <c r="G44" s="3">
        <f t="shared" si="4"/>
        <v>0</v>
      </c>
      <c r="H44" s="2">
        <f t="shared" si="5"/>
        <v>0</v>
      </c>
      <c r="I44" s="3">
        <f t="shared" si="6"/>
        <v>0</v>
      </c>
      <c r="J44" s="3">
        <f t="shared" si="7"/>
        <v>0</v>
      </c>
      <c r="K44" s="3"/>
      <c r="L44" s="3">
        <f t="shared" si="8"/>
        <v>457.3365986</v>
      </c>
      <c r="M44" s="30">
        <f t="shared" si="9"/>
        <v>454.9454865</v>
      </c>
      <c r="N44" s="14">
        <f t="shared" si="10"/>
        <v>2.391112034</v>
      </c>
      <c r="O44" s="3"/>
      <c r="P44" s="23">
        <f t="shared" si="11"/>
        <v>181.8226342</v>
      </c>
      <c r="Q44" s="14">
        <f t="shared" si="12"/>
        <v>457.3365986</v>
      </c>
      <c r="R44" s="2"/>
      <c r="S44" s="14">
        <f t="shared" si="13"/>
        <v>2.195748934</v>
      </c>
    </row>
    <row r="45">
      <c r="A45" s="11">
        <v>33.0</v>
      </c>
      <c r="B45" s="11">
        <v>1.41953913043478E9</v>
      </c>
      <c r="C45" s="2">
        <v>-102.2720718</v>
      </c>
      <c r="D45" s="3">
        <f t="shared" si="1"/>
        <v>-860869.5652</v>
      </c>
      <c r="E45" s="4">
        <f t="shared" si="2"/>
        <v>180.904338</v>
      </c>
      <c r="F45" s="3">
        <f t="shared" si="3"/>
        <v>0.0002101414028</v>
      </c>
      <c r="G45" s="3">
        <f t="shared" si="4"/>
        <v>0</v>
      </c>
      <c r="H45" s="2">
        <f t="shared" si="5"/>
        <v>0</v>
      </c>
      <c r="I45" s="3">
        <f t="shared" si="6"/>
        <v>0</v>
      </c>
      <c r="J45" s="3">
        <f t="shared" si="7"/>
        <v>0</v>
      </c>
      <c r="K45" s="3"/>
      <c r="L45" s="3">
        <f t="shared" si="8"/>
        <v>450.7118612</v>
      </c>
      <c r="M45" s="30">
        <f t="shared" si="9"/>
        <v>454.875585</v>
      </c>
      <c r="N45" s="14">
        <f t="shared" si="10"/>
        <v>-4.163723801</v>
      </c>
      <c r="O45" s="3"/>
      <c r="P45" s="23">
        <f t="shared" si="11"/>
        <v>180.904338</v>
      </c>
      <c r="Q45" s="14">
        <f t="shared" si="12"/>
        <v>450.7118612</v>
      </c>
      <c r="R45" s="2"/>
      <c r="S45" s="14">
        <f t="shared" si="13"/>
        <v>-3.823531455</v>
      </c>
    </row>
    <row r="46">
      <c r="A46" s="11">
        <v>34.0</v>
      </c>
      <c r="B46" s="11">
        <v>1.41954347826087E9</v>
      </c>
      <c r="C46" s="2">
        <v>-102.2290192</v>
      </c>
      <c r="D46" s="3">
        <f t="shared" si="1"/>
        <v>-856521.7391</v>
      </c>
      <c r="E46" s="4">
        <f t="shared" si="2"/>
        <v>179.9860419</v>
      </c>
      <c r="F46" s="3">
        <f t="shared" si="3"/>
        <v>0.000210135988</v>
      </c>
      <c r="G46" s="3">
        <f t="shared" si="4"/>
        <v>0</v>
      </c>
      <c r="H46" s="2">
        <f t="shared" si="5"/>
        <v>0</v>
      </c>
      <c r="I46" s="3">
        <f t="shared" si="6"/>
        <v>0</v>
      </c>
      <c r="J46" s="3">
        <f t="shared" si="7"/>
        <v>0</v>
      </c>
      <c r="K46" s="3"/>
      <c r="L46" s="3">
        <f t="shared" si="8"/>
        <v>455.20209</v>
      </c>
      <c r="M46" s="30">
        <f t="shared" si="9"/>
        <v>454.8054873</v>
      </c>
      <c r="N46" s="14">
        <f t="shared" si="10"/>
        <v>0.3966027179</v>
      </c>
      <c r="O46" s="3"/>
      <c r="P46" s="23">
        <f t="shared" si="11"/>
        <v>179.9860419</v>
      </c>
      <c r="Q46" s="14">
        <f t="shared" si="12"/>
        <v>455.20209</v>
      </c>
      <c r="R46" s="2"/>
      <c r="S46" s="14">
        <f t="shared" si="13"/>
        <v>0.3641987421</v>
      </c>
    </row>
    <row r="47">
      <c r="A47" s="11">
        <v>35.0</v>
      </c>
      <c r="B47" s="11">
        <v>1.41954782608695E9</v>
      </c>
      <c r="C47" s="2">
        <v>-102.3275833</v>
      </c>
      <c r="D47" s="3">
        <f t="shared" si="1"/>
        <v>-852173.913</v>
      </c>
      <c r="E47" s="4">
        <f t="shared" si="2"/>
        <v>179.0677458</v>
      </c>
      <c r="F47" s="3">
        <f t="shared" si="3"/>
        <v>0.000210130518</v>
      </c>
      <c r="G47" s="3">
        <f t="shared" si="4"/>
        <v>0</v>
      </c>
      <c r="H47" s="2">
        <f t="shared" si="5"/>
        <v>0</v>
      </c>
      <c r="I47" s="3">
        <f t="shared" si="6"/>
        <v>0</v>
      </c>
      <c r="J47" s="3">
        <f t="shared" si="7"/>
        <v>0</v>
      </c>
      <c r="K47" s="3"/>
      <c r="L47" s="3">
        <f t="shared" si="8"/>
        <v>444.9875265</v>
      </c>
      <c r="M47" s="30">
        <f t="shared" si="9"/>
        <v>454.7351939</v>
      </c>
      <c r="N47" s="14">
        <f t="shared" si="10"/>
        <v>-9.747667413</v>
      </c>
      <c r="O47" s="3"/>
      <c r="P47" s="23">
        <f t="shared" si="11"/>
        <v>179.0677458</v>
      </c>
      <c r="Q47" s="14">
        <f t="shared" si="12"/>
        <v>444.9875265</v>
      </c>
      <c r="R47" s="2"/>
      <c r="S47" s="14">
        <f t="shared" si="13"/>
        <v>-8.951245289</v>
      </c>
    </row>
    <row r="48">
      <c r="A48" s="11">
        <v>36.0</v>
      </c>
      <c r="B48" s="11">
        <v>1.41955217391304E9</v>
      </c>
      <c r="C48" s="2">
        <v>-102.307457</v>
      </c>
      <c r="D48" s="3">
        <f t="shared" si="1"/>
        <v>-847826.087</v>
      </c>
      <c r="E48" s="4">
        <f t="shared" si="2"/>
        <v>178.1494496</v>
      </c>
      <c r="F48" s="3">
        <f t="shared" si="3"/>
        <v>0.0002101249919</v>
      </c>
      <c r="G48" s="3">
        <f t="shared" si="4"/>
        <v>0</v>
      </c>
      <c r="H48" s="2">
        <f t="shared" si="5"/>
        <v>0</v>
      </c>
      <c r="I48" s="3">
        <f t="shared" si="6"/>
        <v>0</v>
      </c>
      <c r="J48" s="3">
        <f t="shared" si="7"/>
        <v>0</v>
      </c>
      <c r="K48" s="3"/>
      <c r="L48" s="3">
        <f t="shared" si="8"/>
        <v>447.0544965</v>
      </c>
      <c r="M48" s="30">
        <f t="shared" si="9"/>
        <v>454.6647055</v>
      </c>
      <c r="N48" s="14">
        <f t="shared" si="10"/>
        <v>-7.610209052</v>
      </c>
      <c r="O48" s="3"/>
      <c r="P48" s="23">
        <f t="shared" si="11"/>
        <v>178.1494496</v>
      </c>
      <c r="Q48" s="14">
        <f t="shared" si="12"/>
        <v>447.0544965</v>
      </c>
      <c r="R48" s="2"/>
      <c r="S48" s="14">
        <f t="shared" si="13"/>
        <v>-6.988425527</v>
      </c>
    </row>
    <row r="49">
      <c r="A49" s="11">
        <v>37.0</v>
      </c>
      <c r="B49" s="11">
        <v>1.41955652173913E9</v>
      </c>
      <c r="C49" s="2">
        <v>-102.1987686</v>
      </c>
      <c r="D49" s="3">
        <f t="shared" si="1"/>
        <v>-843478.2609</v>
      </c>
      <c r="E49" s="4">
        <f t="shared" si="2"/>
        <v>177.2311535</v>
      </c>
      <c r="F49" s="3">
        <f t="shared" si="3"/>
        <v>0.0002101194088</v>
      </c>
      <c r="G49" s="3">
        <f t="shared" si="4"/>
        <v>0</v>
      </c>
      <c r="H49" s="2">
        <f t="shared" si="5"/>
        <v>0</v>
      </c>
      <c r="I49" s="3">
        <f t="shared" si="6"/>
        <v>0</v>
      </c>
      <c r="J49" s="3">
        <f t="shared" si="7"/>
        <v>0</v>
      </c>
      <c r="K49" s="3"/>
      <c r="L49" s="3">
        <f t="shared" si="8"/>
        <v>458.3838494</v>
      </c>
      <c r="M49" s="30">
        <f t="shared" si="9"/>
        <v>454.5940228</v>
      </c>
      <c r="N49" s="14">
        <f t="shared" si="10"/>
        <v>3.789826625</v>
      </c>
      <c r="O49" s="3"/>
      <c r="P49" s="23">
        <f t="shared" si="11"/>
        <v>177.2311535</v>
      </c>
      <c r="Q49" s="14">
        <f t="shared" si="12"/>
        <v>458.3838494</v>
      </c>
      <c r="R49" s="2"/>
      <c r="S49" s="14">
        <f t="shared" si="13"/>
        <v>3.480183134</v>
      </c>
    </row>
    <row r="50">
      <c r="A50" s="11">
        <v>38.0</v>
      </c>
      <c r="B50" s="11">
        <v>1.41956086956521E9</v>
      </c>
      <c r="C50" s="2">
        <v>-102.2538147</v>
      </c>
      <c r="D50" s="3">
        <f t="shared" si="1"/>
        <v>-839130.4348</v>
      </c>
      <c r="E50" s="4">
        <f t="shared" si="2"/>
        <v>176.3128574</v>
      </c>
      <c r="F50" s="3">
        <f t="shared" si="3"/>
        <v>0.0002101137678</v>
      </c>
      <c r="G50" s="3">
        <f t="shared" si="4"/>
        <v>0</v>
      </c>
      <c r="H50" s="2">
        <f t="shared" si="5"/>
        <v>0</v>
      </c>
      <c r="I50" s="3">
        <f t="shared" si="6"/>
        <v>0</v>
      </c>
      <c r="J50" s="3">
        <f t="shared" si="7"/>
        <v>0</v>
      </c>
      <c r="K50" s="3"/>
      <c r="L50" s="3">
        <f t="shared" si="8"/>
        <v>452.6105756</v>
      </c>
      <c r="M50" s="30">
        <f t="shared" si="9"/>
        <v>454.5231462</v>
      </c>
      <c r="N50" s="14">
        <f t="shared" si="10"/>
        <v>-1.912570591</v>
      </c>
      <c r="O50" s="3"/>
      <c r="P50" s="23">
        <f t="shared" si="11"/>
        <v>176.3128574</v>
      </c>
      <c r="Q50" s="14">
        <f t="shared" si="12"/>
        <v>452.6105756</v>
      </c>
      <c r="R50" s="2"/>
      <c r="S50" s="14">
        <f t="shared" si="13"/>
        <v>-1.756306177</v>
      </c>
    </row>
    <row r="51">
      <c r="A51" s="11">
        <v>39.0</v>
      </c>
      <c r="B51" s="11">
        <v>1.4195652173913E9</v>
      </c>
      <c r="C51" s="2">
        <v>-102.3029251</v>
      </c>
      <c r="D51" s="3">
        <f t="shared" si="1"/>
        <v>-834782.6087</v>
      </c>
      <c r="E51" s="4">
        <f t="shared" si="2"/>
        <v>175.3945612</v>
      </c>
      <c r="F51" s="3">
        <f t="shared" si="3"/>
        <v>0.0002101080681</v>
      </c>
      <c r="G51" s="3">
        <f t="shared" si="4"/>
        <v>0</v>
      </c>
      <c r="H51" s="2">
        <f t="shared" si="5"/>
        <v>0</v>
      </c>
      <c r="I51" s="3">
        <f t="shared" si="6"/>
        <v>0</v>
      </c>
      <c r="J51" s="3">
        <f t="shared" si="7"/>
        <v>0</v>
      </c>
      <c r="K51" s="3"/>
      <c r="L51" s="3">
        <f t="shared" si="8"/>
        <v>447.5212452</v>
      </c>
      <c r="M51" s="30">
        <f t="shared" si="9"/>
        <v>454.4520765</v>
      </c>
      <c r="N51" s="14">
        <f t="shared" si="10"/>
        <v>-6.930831306</v>
      </c>
      <c r="O51" s="3"/>
      <c r="P51" s="23">
        <f t="shared" si="11"/>
        <v>175.3945612</v>
      </c>
      <c r="Q51" s="14">
        <f t="shared" si="12"/>
        <v>447.5212452</v>
      </c>
      <c r="R51" s="2"/>
      <c r="S51" s="14">
        <f t="shared" si="13"/>
        <v>-6.36455557</v>
      </c>
    </row>
    <row r="52">
      <c r="A52" s="11">
        <v>40.0</v>
      </c>
      <c r="B52" s="11">
        <v>1.41956956521739E9</v>
      </c>
      <c r="C52" s="2">
        <v>-102.2166595</v>
      </c>
      <c r="D52" s="3">
        <f t="shared" si="1"/>
        <v>-830434.7826</v>
      </c>
      <c r="E52" s="4">
        <f t="shared" si="2"/>
        <v>174.4762651</v>
      </c>
      <c r="F52" s="3">
        <f t="shared" si="3"/>
        <v>0.0002101023088</v>
      </c>
      <c r="G52" s="3">
        <f t="shared" si="4"/>
        <v>0</v>
      </c>
      <c r="H52" s="2">
        <f t="shared" si="5"/>
        <v>0</v>
      </c>
      <c r="I52" s="3">
        <f t="shared" si="6"/>
        <v>0</v>
      </c>
      <c r="J52" s="3">
        <f t="shared" si="7"/>
        <v>0</v>
      </c>
      <c r="K52" s="3"/>
      <c r="L52" s="3">
        <f t="shared" si="8"/>
        <v>456.4994066</v>
      </c>
      <c r="M52" s="30">
        <f t="shared" si="9"/>
        <v>454.3808141</v>
      </c>
      <c r="N52" s="14">
        <f t="shared" si="10"/>
        <v>2.118592513</v>
      </c>
      <c r="O52" s="3"/>
      <c r="P52" s="23">
        <f t="shared" si="11"/>
        <v>174.4762651</v>
      </c>
      <c r="Q52" s="14">
        <f t="shared" si="12"/>
        <v>456.4994066</v>
      </c>
      <c r="R52" s="2"/>
      <c r="S52" s="14">
        <f t="shared" si="13"/>
        <v>1.945495312</v>
      </c>
    </row>
    <row r="53">
      <c r="A53" s="11">
        <v>41.0</v>
      </c>
      <c r="B53" s="11">
        <v>1.41957391304347E9</v>
      </c>
      <c r="C53" s="2">
        <v>-102.2206039</v>
      </c>
      <c r="D53" s="3">
        <f t="shared" si="1"/>
        <v>-826086.9565</v>
      </c>
      <c r="E53" s="4">
        <f t="shared" si="2"/>
        <v>173.557969</v>
      </c>
      <c r="F53" s="3">
        <f t="shared" si="3"/>
        <v>0.0002100964888</v>
      </c>
      <c r="G53" s="3">
        <f t="shared" si="4"/>
        <v>0</v>
      </c>
      <c r="H53" s="2">
        <f t="shared" si="5"/>
        <v>0</v>
      </c>
      <c r="I53" s="3">
        <f t="shared" si="6"/>
        <v>0</v>
      </c>
      <c r="J53" s="3">
        <f t="shared" si="7"/>
        <v>0</v>
      </c>
      <c r="K53" s="3"/>
      <c r="L53" s="3">
        <f t="shared" si="8"/>
        <v>456.0849877</v>
      </c>
      <c r="M53" s="30">
        <f t="shared" si="9"/>
        <v>454.3093598</v>
      </c>
      <c r="N53" s="14">
        <f t="shared" si="10"/>
        <v>1.775627813</v>
      </c>
      <c r="O53" s="3"/>
      <c r="P53" s="23">
        <f t="shared" si="11"/>
        <v>173.557969</v>
      </c>
      <c r="Q53" s="14">
        <f t="shared" si="12"/>
        <v>456.0849877</v>
      </c>
      <c r="R53" s="2"/>
      <c r="S53" s="14">
        <f t="shared" si="13"/>
        <v>1.630552154</v>
      </c>
    </row>
    <row r="54">
      <c r="A54" s="11">
        <v>42.0</v>
      </c>
      <c r="B54" s="11">
        <v>1.41957826086956E9</v>
      </c>
      <c r="C54" s="2">
        <v>-102.267952</v>
      </c>
      <c r="D54" s="3">
        <f t="shared" si="1"/>
        <v>-821739.1304</v>
      </c>
      <c r="E54" s="4">
        <f t="shared" si="2"/>
        <v>172.6396728</v>
      </c>
      <c r="F54" s="3">
        <f t="shared" si="3"/>
        <v>0.0002100906072</v>
      </c>
      <c r="G54" s="3">
        <f t="shared" si="4"/>
        <v>0</v>
      </c>
      <c r="H54" s="2">
        <f t="shared" si="5"/>
        <v>0</v>
      </c>
      <c r="I54" s="3">
        <f t="shared" si="6"/>
        <v>0</v>
      </c>
      <c r="J54" s="3">
        <f t="shared" si="7"/>
        <v>0</v>
      </c>
      <c r="K54" s="3"/>
      <c r="L54" s="3">
        <f t="shared" si="8"/>
        <v>451.1396179</v>
      </c>
      <c r="M54" s="30">
        <f t="shared" si="9"/>
        <v>454.2377142</v>
      </c>
      <c r="N54" s="14">
        <f t="shared" si="10"/>
        <v>-3.098096283</v>
      </c>
      <c r="O54" s="3"/>
      <c r="P54" s="23">
        <f t="shared" si="11"/>
        <v>172.6396728</v>
      </c>
      <c r="Q54" s="14">
        <f t="shared" si="12"/>
        <v>451.1396179</v>
      </c>
      <c r="R54" s="2"/>
      <c r="S54" s="14">
        <f t="shared" si="13"/>
        <v>-2.844969829</v>
      </c>
    </row>
    <row r="55">
      <c r="A55" s="11">
        <v>43.0</v>
      </c>
      <c r="B55" s="11">
        <v>1.41958260869565E9</v>
      </c>
      <c r="C55" s="2">
        <v>-102.2642822</v>
      </c>
      <c r="D55" s="3">
        <f t="shared" si="1"/>
        <v>-817391.3043</v>
      </c>
      <c r="E55" s="4">
        <f t="shared" si="2"/>
        <v>171.7213767</v>
      </c>
      <c r="F55" s="3">
        <f t="shared" si="3"/>
        <v>0.000210084663</v>
      </c>
      <c r="G55" s="3">
        <f t="shared" si="4"/>
        <v>0</v>
      </c>
      <c r="H55" s="2">
        <f t="shared" si="5"/>
        <v>0</v>
      </c>
      <c r="I55" s="3">
        <f t="shared" si="6"/>
        <v>0</v>
      </c>
      <c r="J55" s="3">
        <f t="shared" si="7"/>
        <v>0</v>
      </c>
      <c r="K55" s="3"/>
      <c r="L55" s="3">
        <f t="shared" si="8"/>
        <v>451.5209932</v>
      </c>
      <c r="M55" s="30">
        <f t="shared" si="9"/>
        <v>454.1658778</v>
      </c>
      <c r="N55" s="14">
        <f t="shared" si="10"/>
        <v>-2.644884581</v>
      </c>
      <c r="O55" s="3"/>
      <c r="P55" s="23">
        <f t="shared" si="11"/>
        <v>171.7213767</v>
      </c>
      <c r="Q55" s="14">
        <f t="shared" si="12"/>
        <v>451.5209932</v>
      </c>
      <c r="R55" s="2"/>
      <c r="S55" s="14">
        <f t="shared" si="13"/>
        <v>-2.428787282</v>
      </c>
    </row>
    <row r="56">
      <c r="A56" s="11">
        <v>44.0</v>
      </c>
      <c r="B56" s="11">
        <v>1.41958695652173E9</v>
      </c>
      <c r="C56" s="2">
        <v>-102.2644653</v>
      </c>
      <c r="D56" s="3">
        <f t="shared" si="1"/>
        <v>-813043.4783</v>
      </c>
      <c r="E56" s="4">
        <f t="shared" si="2"/>
        <v>170.8030806</v>
      </c>
      <c r="F56" s="3">
        <f t="shared" si="3"/>
        <v>0.0002100786553</v>
      </c>
      <c r="G56" s="3">
        <f t="shared" si="4"/>
        <v>0</v>
      </c>
      <c r="H56" s="2">
        <f t="shared" si="5"/>
        <v>0</v>
      </c>
      <c r="I56" s="3">
        <f t="shared" si="6"/>
        <v>0</v>
      </c>
      <c r="J56" s="3">
        <f t="shared" si="7"/>
        <v>0</v>
      </c>
      <c r="K56" s="3"/>
      <c r="L56" s="3">
        <f t="shared" si="8"/>
        <v>451.5019573</v>
      </c>
      <c r="M56" s="30">
        <f t="shared" si="9"/>
        <v>454.0938512</v>
      </c>
      <c r="N56" s="14">
        <f t="shared" si="10"/>
        <v>-2.5918939</v>
      </c>
      <c r="O56" s="3"/>
      <c r="P56" s="23">
        <f t="shared" si="11"/>
        <v>170.8030806</v>
      </c>
      <c r="Q56" s="14">
        <f t="shared" si="12"/>
        <v>451.5019573</v>
      </c>
      <c r="R56" s="2"/>
      <c r="S56" s="14">
        <f t="shared" si="13"/>
        <v>-2.380126145</v>
      </c>
    </row>
    <row r="57">
      <c r="A57" s="11">
        <v>45.0</v>
      </c>
      <c r="B57" s="11">
        <v>1.41959130434782E9</v>
      </c>
      <c r="C57" s="2">
        <v>-102.1915054</v>
      </c>
      <c r="D57" s="3">
        <f t="shared" si="1"/>
        <v>-808695.6522</v>
      </c>
      <c r="E57" s="4">
        <f t="shared" si="2"/>
        <v>169.8847844</v>
      </c>
      <c r="F57" s="3">
        <f t="shared" si="3"/>
        <v>0.0002100725829</v>
      </c>
      <c r="G57" s="3">
        <f t="shared" si="4"/>
        <v>0</v>
      </c>
      <c r="H57" s="2">
        <f t="shared" si="5"/>
        <v>0</v>
      </c>
      <c r="I57" s="3">
        <f t="shared" si="6"/>
        <v>0</v>
      </c>
      <c r="J57" s="3">
        <f t="shared" si="7"/>
        <v>0</v>
      </c>
      <c r="K57" s="3"/>
      <c r="L57" s="3">
        <f t="shared" si="8"/>
        <v>459.1510982</v>
      </c>
      <c r="M57" s="30">
        <f t="shared" si="9"/>
        <v>454.0216351</v>
      </c>
      <c r="N57" s="14">
        <f t="shared" si="10"/>
        <v>5.129463046</v>
      </c>
      <c r="O57" s="3"/>
      <c r="P57" s="23">
        <f t="shared" si="11"/>
        <v>169.8847844</v>
      </c>
      <c r="Q57" s="14">
        <f t="shared" si="12"/>
        <v>459.1510982</v>
      </c>
      <c r="R57" s="2"/>
      <c r="S57" s="14">
        <f t="shared" si="13"/>
        <v>4.710366079</v>
      </c>
    </row>
    <row r="58">
      <c r="A58" s="11">
        <v>46.0</v>
      </c>
      <c r="B58" s="11">
        <v>1.41959565217391E9</v>
      </c>
      <c r="C58" s="2">
        <v>-102.3021927</v>
      </c>
      <c r="D58" s="3">
        <f t="shared" si="1"/>
        <v>-804347.8261</v>
      </c>
      <c r="E58" s="4">
        <f t="shared" si="2"/>
        <v>168.9664883</v>
      </c>
      <c r="F58" s="3">
        <f t="shared" si="3"/>
        <v>0.0002100664449</v>
      </c>
      <c r="G58" s="3">
        <f t="shared" si="4"/>
        <v>0</v>
      </c>
      <c r="H58" s="2">
        <f t="shared" si="5"/>
        <v>0</v>
      </c>
      <c r="I58" s="3">
        <f t="shared" si="6"/>
        <v>0</v>
      </c>
      <c r="J58" s="3">
        <f t="shared" si="7"/>
        <v>0</v>
      </c>
      <c r="K58" s="3"/>
      <c r="L58" s="3">
        <f t="shared" si="8"/>
        <v>447.5967221</v>
      </c>
      <c r="M58" s="30">
        <f t="shared" si="9"/>
        <v>453.9492301</v>
      </c>
      <c r="N58" s="14">
        <f t="shared" si="10"/>
        <v>-6.352508011</v>
      </c>
      <c r="O58" s="3"/>
      <c r="P58" s="23">
        <f t="shared" si="11"/>
        <v>168.9664883</v>
      </c>
      <c r="Q58" s="14">
        <f t="shared" si="12"/>
        <v>447.5967221</v>
      </c>
      <c r="R58" s="2"/>
      <c r="S58" s="14">
        <f t="shared" si="13"/>
        <v>-5.833483527</v>
      </c>
    </row>
    <row r="59">
      <c r="A59" s="11">
        <v>47.0</v>
      </c>
      <c r="B59" s="11">
        <v>1.4196E9</v>
      </c>
      <c r="C59" s="2">
        <v>-102.2091751</v>
      </c>
      <c r="D59" s="3">
        <f t="shared" si="1"/>
        <v>-800000</v>
      </c>
      <c r="E59" s="4">
        <f t="shared" si="2"/>
        <v>168.0481922</v>
      </c>
      <c r="F59" s="3">
        <f t="shared" si="3"/>
        <v>0.0002100602402</v>
      </c>
      <c r="G59" s="3">
        <f t="shared" si="4"/>
        <v>0</v>
      </c>
      <c r="H59" s="2">
        <f t="shared" si="5"/>
        <v>0</v>
      </c>
      <c r="I59" s="3">
        <f t="shared" si="6"/>
        <v>0</v>
      </c>
      <c r="J59" s="3">
        <f t="shared" si="7"/>
        <v>0</v>
      </c>
      <c r="K59" s="3"/>
      <c r="L59" s="3">
        <f t="shared" si="8"/>
        <v>457.2867917</v>
      </c>
      <c r="M59" s="30">
        <f t="shared" si="9"/>
        <v>453.8766368</v>
      </c>
      <c r="N59" s="14">
        <f t="shared" si="10"/>
        <v>3.410154948</v>
      </c>
      <c r="O59" s="3"/>
      <c r="P59" s="23">
        <f t="shared" si="11"/>
        <v>168.0481922</v>
      </c>
      <c r="Q59" s="14">
        <f t="shared" si="12"/>
        <v>457.2867917</v>
      </c>
      <c r="R59" s="2"/>
      <c r="S59" s="14">
        <f t="shared" si="13"/>
        <v>3.131532101</v>
      </c>
    </row>
    <row r="60">
      <c r="A60" s="11">
        <v>48.0</v>
      </c>
      <c r="B60" s="11">
        <v>1.41960434782608E9</v>
      </c>
      <c r="C60" s="2">
        <v>-102.2672958</v>
      </c>
      <c r="D60" s="3">
        <f t="shared" si="1"/>
        <v>-795652.1739</v>
      </c>
      <c r="E60" s="4">
        <f t="shared" si="2"/>
        <v>167.129896</v>
      </c>
      <c r="F60" s="3">
        <f t="shared" si="3"/>
        <v>0.0002100539677</v>
      </c>
      <c r="G60" s="3">
        <f t="shared" si="4"/>
        <v>0</v>
      </c>
      <c r="H60" s="2">
        <f t="shared" si="5"/>
        <v>0</v>
      </c>
      <c r="I60" s="3">
        <f t="shared" si="6"/>
        <v>0</v>
      </c>
      <c r="J60" s="3">
        <f t="shared" si="7"/>
        <v>0</v>
      </c>
      <c r="K60" s="3"/>
      <c r="L60" s="3">
        <f t="shared" si="8"/>
        <v>451.2077883</v>
      </c>
      <c r="M60" s="30">
        <f t="shared" si="9"/>
        <v>453.8038557</v>
      </c>
      <c r="N60" s="14">
        <f t="shared" si="10"/>
        <v>-2.596067417</v>
      </c>
      <c r="O60" s="3"/>
      <c r="P60" s="23">
        <f t="shared" si="11"/>
        <v>167.129896</v>
      </c>
      <c r="Q60" s="14">
        <f t="shared" si="12"/>
        <v>451.2077883</v>
      </c>
      <c r="R60" s="2"/>
      <c r="S60" s="14">
        <f t="shared" si="13"/>
        <v>-2.38395867</v>
      </c>
    </row>
    <row r="61">
      <c r="A61" s="11">
        <v>49.0</v>
      </c>
      <c r="B61" s="11">
        <v>1.41960869565217E9</v>
      </c>
      <c r="C61" s="2">
        <v>-102.2145844</v>
      </c>
      <c r="D61" s="3">
        <f t="shared" si="1"/>
        <v>-791304.3478</v>
      </c>
      <c r="E61" s="4">
        <f t="shared" si="2"/>
        <v>166.2115999</v>
      </c>
      <c r="F61" s="3">
        <f t="shared" si="3"/>
        <v>0.0002100476263</v>
      </c>
      <c r="G61" s="3">
        <f t="shared" si="4"/>
        <v>0</v>
      </c>
      <c r="H61" s="2">
        <f t="shared" si="5"/>
        <v>0</v>
      </c>
      <c r="I61" s="3">
        <f t="shared" si="6"/>
        <v>0</v>
      </c>
      <c r="J61" s="3">
        <f t="shared" si="7"/>
        <v>0</v>
      </c>
      <c r="K61" s="3"/>
      <c r="L61" s="3">
        <f t="shared" si="8"/>
        <v>456.7175785</v>
      </c>
      <c r="M61" s="30">
        <f t="shared" si="9"/>
        <v>453.7308875</v>
      </c>
      <c r="N61" s="14">
        <f t="shared" si="10"/>
        <v>2.986690961</v>
      </c>
      <c r="O61" s="3"/>
      <c r="P61" s="23">
        <f t="shared" si="11"/>
        <v>166.2115999</v>
      </c>
      <c r="Q61" s="14">
        <f t="shared" si="12"/>
        <v>456.7175785</v>
      </c>
      <c r="R61" s="2"/>
      <c r="S61" s="14">
        <f t="shared" si="13"/>
        <v>2.742666753</v>
      </c>
    </row>
    <row r="62">
      <c r="A62" s="11">
        <v>50.0</v>
      </c>
      <c r="B62" s="11">
        <v>1.41961304347826E9</v>
      </c>
      <c r="C62" s="2">
        <v>-102.251297</v>
      </c>
      <c r="D62" s="3">
        <f t="shared" si="1"/>
        <v>-786956.5217</v>
      </c>
      <c r="E62" s="4">
        <f t="shared" si="2"/>
        <v>165.2933038</v>
      </c>
      <c r="F62" s="3">
        <f t="shared" si="3"/>
        <v>0.0002100412148</v>
      </c>
      <c r="G62" s="3">
        <f t="shared" si="4"/>
        <v>0</v>
      </c>
      <c r="H62" s="2">
        <f t="shared" si="5"/>
        <v>0</v>
      </c>
      <c r="I62" s="3">
        <f t="shared" si="6"/>
        <v>0</v>
      </c>
      <c r="J62" s="3">
        <f t="shared" si="7"/>
        <v>0</v>
      </c>
      <c r="K62" s="3"/>
      <c r="L62" s="3">
        <f t="shared" si="8"/>
        <v>452.8730399</v>
      </c>
      <c r="M62" s="30">
        <f t="shared" si="9"/>
        <v>453.6577329</v>
      </c>
      <c r="N62" s="14">
        <f t="shared" si="10"/>
        <v>-0.784692934</v>
      </c>
      <c r="O62" s="3"/>
      <c r="P62" s="23">
        <f t="shared" si="11"/>
        <v>165.2933038</v>
      </c>
      <c r="Q62" s="14">
        <f t="shared" si="12"/>
        <v>452.8730399</v>
      </c>
      <c r="R62" s="2"/>
      <c r="S62" s="14">
        <f t="shared" si="13"/>
        <v>-0.7205804867</v>
      </c>
    </row>
    <row r="63">
      <c r="A63" s="11">
        <v>51.0</v>
      </c>
      <c r="B63" s="11">
        <v>1.41961739130434E9</v>
      </c>
      <c r="C63" s="2">
        <v>-102.1841354</v>
      </c>
      <c r="D63" s="3">
        <f t="shared" si="1"/>
        <v>-782608.6957</v>
      </c>
      <c r="E63" s="4">
        <f t="shared" si="2"/>
        <v>164.3750077</v>
      </c>
      <c r="F63" s="3">
        <f t="shared" si="3"/>
        <v>0.000210034732</v>
      </c>
      <c r="G63" s="3">
        <f t="shared" si="4"/>
        <v>0</v>
      </c>
      <c r="H63" s="2">
        <f t="shared" si="5"/>
        <v>0</v>
      </c>
      <c r="I63" s="3">
        <f t="shared" si="6"/>
        <v>0</v>
      </c>
      <c r="J63" s="3">
        <f t="shared" si="7"/>
        <v>0</v>
      </c>
      <c r="K63" s="3"/>
      <c r="L63" s="3">
        <f t="shared" si="8"/>
        <v>459.9309415</v>
      </c>
      <c r="M63" s="30">
        <f t="shared" si="9"/>
        <v>453.5843923</v>
      </c>
      <c r="N63" s="14">
        <f t="shared" si="10"/>
        <v>6.3465492</v>
      </c>
      <c r="O63" s="3"/>
      <c r="P63" s="23">
        <f t="shared" si="11"/>
        <v>164.3750077</v>
      </c>
      <c r="Q63" s="14">
        <f t="shared" si="12"/>
        <v>459.9309415</v>
      </c>
      <c r="R63" s="2"/>
      <c r="S63" s="14">
        <f t="shared" si="13"/>
        <v>5.828011587</v>
      </c>
    </row>
    <row r="64">
      <c r="A64" s="11">
        <v>52.0</v>
      </c>
      <c r="B64" s="11">
        <v>1.41962173913043E9</v>
      </c>
      <c r="C64" s="2">
        <v>-102.2506943</v>
      </c>
      <c r="D64" s="3">
        <f t="shared" si="1"/>
        <v>-778260.8696</v>
      </c>
      <c r="E64" s="4">
        <f t="shared" si="2"/>
        <v>163.4567115</v>
      </c>
      <c r="F64" s="3">
        <f t="shared" si="3"/>
        <v>0.0002100281768</v>
      </c>
      <c r="G64" s="3">
        <f t="shared" si="4"/>
        <v>0</v>
      </c>
      <c r="H64" s="2">
        <f t="shared" si="5"/>
        <v>0</v>
      </c>
      <c r="I64" s="3">
        <f t="shared" si="6"/>
        <v>0</v>
      </c>
      <c r="J64" s="3">
        <f t="shared" si="7"/>
        <v>0</v>
      </c>
      <c r="K64" s="3"/>
      <c r="L64" s="3">
        <f t="shared" si="8"/>
        <v>452.9358926</v>
      </c>
      <c r="M64" s="30">
        <f t="shared" si="9"/>
        <v>453.5108664</v>
      </c>
      <c r="N64" s="14">
        <f t="shared" si="10"/>
        <v>-0.5749738918</v>
      </c>
      <c r="O64" s="3"/>
      <c r="P64" s="23">
        <f t="shared" si="11"/>
        <v>163.4567115</v>
      </c>
      <c r="Q64" s="14">
        <f t="shared" si="12"/>
        <v>452.9358926</v>
      </c>
      <c r="R64" s="2"/>
      <c r="S64" s="14">
        <f t="shared" si="13"/>
        <v>-0.5279963</v>
      </c>
    </row>
    <row r="65">
      <c r="A65" s="11">
        <v>53.0</v>
      </c>
      <c r="B65" s="11">
        <v>1.41962608695652E9</v>
      </c>
      <c r="C65" s="2">
        <v>-102.2421875</v>
      </c>
      <c r="D65" s="3">
        <f t="shared" si="1"/>
        <v>-773913.0435</v>
      </c>
      <c r="E65" s="4">
        <f t="shared" si="2"/>
        <v>162.5384154</v>
      </c>
      <c r="F65" s="3">
        <f t="shared" si="3"/>
        <v>0.000210021548</v>
      </c>
      <c r="G65" s="3">
        <f t="shared" si="4"/>
        <v>0</v>
      </c>
      <c r="H65" s="2">
        <f t="shared" si="5"/>
        <v>0</v>
      </c>
      <c r="I65" s="3">
        <f t="shared" si="6"/>
        <v>0</v>
      </c>
      <c r="J65" s="3">
        <f t="shared" si="7"/>
        <v>0</v>
      </c>
      <c r="K65" s="3"/>
      <c r="L65" s="3">
        <f t="shared" si="8"/>
        <v>453.8239561</v>
      </c>
      <c r="M65" s="30">
        <f t="shared" si="9"/>
        <v>453.4371559</v>
      </c>
      <c r="N65" s="14">
        <f t="shared" si="10"/>
        <v>0.3868002073</v>
      </c>
      <c r="O65" s="3"/>
      <c r="P65" s="23">
        <f t="shared" si="11"/>
        <v>162.5384154</v>
      </c>
      <c r="Q65" s="14">
        <f t="shared" si="12"/>
        <v>453.8239561</v>
      </c>
      <c r="R65" s="2"/>
      <c r="S65" s="14">
        <f t="shared" si="13"/>
        <v>0.3551971345</v>
      </c>
    </row>
    <row r="66">
      <c r="A66" s="11">
        <v>54.0</v>
      </c>
      <c r="B66" s="11">
        <v>1.4196304347826E9</v>
      </c>
      <c r="C66" s="2">
        <v>-102.2170792</v>
      </c>
      <c r="D66" s="3">
        <f t="shared" si="1"/>
        <v>-769565.2174</v>
      </c>
      <c r="E66" s="4">
        <f t="shared" si="2"/>
        <v>161.6201193</v>
      </c>
      <c r="F66" s="3">
        <f t="shared" si="3"/>
        <v>0.0002100148442</v>
      </c>
      <c r="G66" s="3">
        <f t="shared" si="4"/>
        <v>0</v>
      </c>
      <c r="H66" s="2">
        <f t="shared" si="5"/>
        <v>0</v>
      </c>
      <c r="I66" s="3">
        <f t="shared" si="6"/>
        <v>0</v>
      </c>
      <c r="J66" s="3">
        <f t="shared" si="7"/>
        <v>0</v>
      </c>
      <c r="K66" s="3"/>
      <c r="L66" s="3">
        <f t="shared" si="8"/>
        <v>456.4552929</v>
      </c>
      <c r="M66" s="30">
        <f t="shared" si="9"/>
        <v>453.3632613</v>
      </c>
      <c r="N66" s="14">
        <f t="shared" si="10"/>
        <v>3.092031572</v>
      </c>
      <c r="O66" s="3"/>
      <c r="P66" s="23">
        <f t="shared" si="11"/>
        <v>161.6201193</v>
      </c>
      <c r="Q66" s="14">
        <f t="shared" si="12"/>
        <v>456.4552929</v>
      </c>
      <c r="R66" s="2"/>
      <c r="S66" s="14">
        <f t="shared" si="13"/>
        <v>2.839400635</v>
      </c>
    </row>
    <row r="67">
      <c r="A67" s="11">
        <v>55.0</v>
      </c>
      <c r="B67" s="11">
        <v>1.41963478260869E9</v>
      </c>
      <c r="C67" s="2">
        <v>-102.2170105</v>
      </c>
      <c r="D67" s="3">
        <f t="shared" si="1"/>
        <v>-765217.3913</v>
      </c>
      <c r="E67" s="4">
        <f t="shared" si="2"/>
        <v>160.7018231</v>
      </c>
      <c r="F67" s="3">
        <f t="shared" si="3"/>
        <v>0.0002100080643</v>
      </c>
      <c r="G67" s="3">
        <f t="shared" si="4"/>
        <v>0</v>
      </c>
      <c r="H67" s="2">
        <f t="shared" si="5"/>
        <v>0</v>
      </c>
      <c r="I67" s="3">
        <f t="shared" si="6"/>
        <v>0</v>
      </c>
      <c r="J67" s="3">
        <f t="shared" si="7"/>
        <v>0</v>
      </c>
      <c r="K67" s="3"/>
      <c r="L67" s="3">
        <f t="shared" si="8"/>
        <v>456.4625135</v>
      </c>
      <c r="M67" s="30">
        <f t="shared" si="9"/>
        <v>453.2891833</v>
      </c>
      <c r="N67" s="14">
        <f t="shared" si="10"/>
        <v>3.173330239</v>
      </c>
      <c r="O67" s="3"/>
      <c r="P67" s="23">
        <f t="shared" si="11"/>
        <v>160.7018231</v>
      </c>
      <c r="Q67" s="14">
        <f t="shared" si="12"/>
        <v>456.4625135</v>
      </c>
      <c r="R67" s="2"/>
      <c r="S67" s="14">
        <f t="shared" si="13"/>
        <v>2.914056886</v>
      </c>
    </row>
    <row r="68">
      <c r="A68" s="11">
        <v>56.0</v>
      </c>
      <c r="B68" s="11">
        <v>1.41963913043478E9</v>
      </c>
      <c r="C68" s="2">
        <v>-102.2313309</v>
      </c>
      <c r="D68" s="24">
        <f t="shared" si="1"/>
        <v>-760869.5652</v>
      </c>
      <c r="E68" s="25">
        <f t="shared" si="2"/>
        <v>159.783527</v>
      </c>
      <c r="F68" s="24">
        <f t="shared" si="3"/>
        <v>0.0002100012069</v>
      </c>
      <c r="G68" s="24">
        <f t="shared" si="4"/>
        <v>0</v>
      </c>
      <c r="H68" s="26">
        <f t="shared" si="5"/>
        <v>0</v>
      </c>
      <c r="I68" s="24">
        <f t="shared" si="6"/>
        <v>0</v>
      </c>
      <c r="J68" s="24">
        <f t="shared" si="7"/>
        <v>0</v>
      </c>
      <c r="K68" s="24"/>
      <c r="L68" s="24">
        <f t="shared" si="8"/>
        <v>454.9598556</v>
      </c>
      <c r="M68" s="30">
        <f t="shared" si="9"/>
        <v>453.2149224</v>
      </c>
      <c r="N68" s="27">
        <f t="shared" si="10"/>
        <v>1.744933201</v>
      </c>
      <c r="O68" s="24"/>
      <c r="P68" s="28">
        <f t="shared" ref="P68:P123" si="14">-((B418-$B$4)/$B$4)*(3*10^5)</f>
        <v>-160.7018231</v>
      </c>
      <c r="Q68" s="27">
        <f t="shared" ref="Q68:Q123" si="15">(1/(2*$K$13))*(I417)</f>
        <v>416.8489361</v>
      </c>
      <c r="R68" s="26"/>
      <c r="S68" s="14">
        <f t="shared" si="13"/>
        <v>1.602365407</v>
      </c>
    </row>
    <row r="69">
      <c r="A69" s="11">
        <v>57.0</v>
      </c>
      <c r="B69" s="11">
        <v>1.41964347826087E9</v>
      </c>
      <c r="C69" s="2">
        <v>-102.2464981</v>
      </c>
      <c r="D69" s="24">
        <f t="shared" si="1"/>
        <v>-756521.7391</v>
      </c>
      <c r="E69" s="25">
        <f t="shared" si="2"/>
        <v>158.8652309</v>
      </c>
      <c r="F69" s="24">
        <f t="shared" si="3"/>
        <v>0.0002099942707</v>
      </c>
      <c r="G69" s="24">
        <f t="shared" si="4"/>
        <v>0</v>
      </c>
      <c r="H69" s="26">
        <f t="shared" si="5"/>
        <v>0</v>
      </c>
      <c r="I69" s="24">
        <f t="shared" si="6"/>
        <v>0</v>
      </c>
      <c r="J69" s="24">
        <f t="shared" si="7"/>
        <v>0</v>
      </c>
      <c r="K69" s="24"/>
      <c r="L69" s="24">
        <f t="shared" si="8"/>
        <v>453.3737356</v>
      </c>
      <c r="M69" s="30">
        <f t="shared" si="9"/>
        <v>453.1404792</v>
      </c>
      <c r="N69" s="27">
        <f t="shared" si="10"/>
        <v>0.2332563568</v>
      </c>
      <c r="O69" s="24"/>
      <c r="P69" s="28">
        <f t="shared" si="14"/>
        <v>-161.6201193</v>
      </c>
      <c r="Q69" s="27">
        <f t="shared" si="15"/>
        <v>418.9036721</v>
      </c>
      <c r="R69" s="26"/>
      <c r="S69" s="14">
        <f t="shared" si="13"/>
        <v>0.2141984104</v>
      </c>
    </row>
    <row r="70">
      <c r="A70" s="11">
        <v>58.0</v>
      </c>
      <c r="B70" s="11">
        <v>1.41964782608695E9</v>
      </c>
      <c r="C70" s="2">
        <v>-102.224556</v>
      </c>
      <c r="D70" s="24">
        <f t="shared" si="1"/>
        <v>-752173.913</v>
      </c>
      <c r="E70" s="25">
        <f t="shared" si="2"/>
        <v>157.9469347</v>
      </c>
      <c r="F70" s="24">
        <f t="shared" si="3"/>
        <v>0.0002099872543</v>
      </c>
      <c r="G70" s="24">
        <f t="shared" si="4"/>
        <v>0</v>
      </c>
      <c r="H70" s="26">
        <f t="shared" si="5"/>
        <v>0</v>
      </c>
      <c r="I70" s="24">
        <f t="shared" si="6"/>
        <v>0</v>
      </c>
      <c r="J70" s="24">
        <f t="shared" si="7"/>
        <v>0</v>
      </c>
      <c r="K70" s="24"/>
      <c r="L70" s="24">
        <f t="shared" si="8"/>
        <v>455.670137</v>
      </c>
      <c r="M70" s="30">
        <f t="shared" si="9"/>
        <v>453.0658544</v>
      </c>
      <c r="N70" s="27">
        <f t="shared" si="10"/>
        <v>2.604282548</v>
      </c>
      <c r="O70" s="24"/>
      <c r="P70" s="28">
        <f t="shared" si="14"/>
        <v>-162.5384154</v>
      </c>
      <c r="Q70" s="27">
        <f t="shared" si="15"/>
        <v>421.298485</v>
      </c>
      <c r="R70" s="26"/>
      <c r="S70" s="14">
        <f t="shared" si="13"/>
        <v>2.391502592</v>
      </c>
    </row>
    <row r="71">
      <c r="A71" s="11">
        <v>59.0</v>
      </c>
      <c r="B71" s="11">
        <v>1.41965217391304E9</v>
      </c>
      <c r="C71" s="2">
        <v>-102.1782303</v>
      </c>
      <c r="D71" s="24">
        <f t="shared" si="1"/>
        <v>-747826.087</v>
      </c>
      <c r="E71" s="25">
        <f t="shared" si="2"/>
        <v>157.0286386</v>
      </c>
      <c r="F71" s="24">
        <f t="shared" si="3"/>
        <v>0.0002099801563</v>
      </c>
      <c r="G71" s="24">
        <f t="shared" si="4"/>
        <v>0</v>
      </c>
      <c r="H71" s="26">
        <f t="shared" si="5"/>
        <v>0</v>
      </c>
      <c r="I71" s="24">
        <f t="shared" si="6"/>
        <v>0</v>
      </c>
      <c r="J71" s="24">
        <f t="shared" si="7"/>
        <v>0</v>
      </c>
      <c r="K71" s="24"/>
      <c r="L71" s="24">
        <f t="shared" si="8"/>
        <v>460.5567347</v>
      </c>
      <c r="M71" s="30">
        <f t="shared" si="9"/>
        <v>452.9910486</v>
      </c>
      <c r="N71" s="27">
        <f t="shared" si="10"/>
        <v>7.565686116</v>
      </c>
      <c r="O71" s="24"/>
      <c r="P71" s="28">
        <f t="shared" si="14"/>
        <v>-163.4567115</v>
      </c>
      <c r="Q71" s="27">
        <f t="shared" si="15"/>
        <v>422.2379918</v>
      </c>
      <c r="R71" s="26"/>
      <c r="S71" s="14">
        <f t="shared" si="13"/>
        <v>6.947540286</v>
      </c>
    </row>
    <row r="72">
      <c r="A72" s="11">
        <v>60.0</v>
      </c>
      <c r="B72" s="11">
        <v>1.41965652173913E9</v>
      </c>
      <c r="C72" s="2">
        <v>-102.2726669</v>
      </c>
      <c r="D72" s="24">
        <f t="shared" si="1"/>
        <v>-743478.2609</v>
      </c>
      <c r="E72" s="25">
        <f t="shared" si="2"/>
        <v>156.1103425</v>
      </c>
      <c r="F72" s="24">
        <f t="shared" si="3"/>
        <v>0.0002099729752</v>
      </c>
      <c r="G72" s="24">
        <f t="shared" si="4"/>
        <v>0</v>
      </c>
      <c r="H72" s="26">
        <f t="shared" si="5"/>
        <v>0</v>
      </c>
      <c r="I72" s="24">
        <f t="shared" si="6"/>
        <v>0</v>
      </c>
      <c r="J72" s="24">
        <f t="shared" si="7"/>
        <v>0</v>
      </c>
      <c r="K72" s="24"/>
      <c r="L72" s="24">
        <f t="shared" si="8"/>
        <v>450.6501058</v>
      </c>
      <c r="M72" s="30">
        <f t="shared" si="9"/>
        <v>452.9160624</v>
      </c>
      <c r="N72" s="27">
        <f t="shared" si="10"/>
        <v>-2.26595655</v>
      </c>
      <c r="O72" s="24"/>
      <c r="P72" s="28">
        <f t="shared" si="14"/>
        <v>-164.3750077</v>
      </c>
      <c r="Q72" s="27">
        <f t="shared" si="15"/>
        <v>421.2622251</v>
      </c>
      <c r="R72" s="26"/>
      <c r="S72" s="14">
        <f t="shared" si="13"/>
        <v>-2.080819137</v>
      </c>
    </row>
    <row r="73">
      <c r="A73" s="11">
        <v>61.0</v>
      </c>
      <c r="B73" s="11">
        <v>1.41966086956521E9</v>
      </c>
      <c r="C73" s="2">
        <v>-102.3000946</v>
      </c>
      <c r="D73" s="24">
        <f t="shared" si="1"/>
        <v>-739130.4348</v>
      </c>
      <c r="E73" s="25">
        <f t="shared" si="2"/>
        <v>155.1920463</v>
      </c>
      <c r="F73" s="24">
        <f t="shared" si="3"/>
        <v>0.0002099657097</v>
      </c>
      <c r="G73" s="24">
        <f t="shared" si="4"/>
        <v>0</v>
      </c>
      <c r="H73" s="26">
        <f t="shared" si="5"/>
        <v>0</v>
      </c>
      <c r="I73" s="24">
        <f t="shared" si="6"/>
        <v>0</v>
      </c>
      <c r="J73" s="24">
        <f t="shared" si="7"/>
        <v>0</v>
      </c>
      <c r="K73" s="24"/>
      <c r="L73" s="24">
        <f t="shared" si="8"/>
        <v>447.8130107</v>
      </c>
      <c r="M73" s="30">
        <f t="shared" si="9"/>
        <v>452.8408963</v>
      </c>
      <c r="N73" s="27">
        <f t="shared" si="10"/>
        <v>-5.02788559</v>
      </c>
      <c r="O73" s="24"/>
      <c r="P73" s="28">
        <f t="shared" si="14"/>
        <v>-165.2933038</v>
      </c>
      <c r="Q73" s="27">
        <f t="shared" si="15"/>
        <v>416.5744191</v>
      </c>
      <c r="R73" s="26"/>
      <c r="S73" s="14">
        <f t="shared" si="13"/>
        <v>-4.617087893</v>
      </c>
    </row>
    <row r="74">
      <c r="A74" s="11">
        <v>62.0</v>
      </c>
      <c r="B74" s="11">
        <v>1.4196652173913E9</v>
      </c>
      <c r="C74" s="2">
        <v>-102.2067261</v>
      </c>
      <c r="D74" s="24">
        <f t="shared" si="1"/>
        <v>-734782.6087</v>
      </c>
      <c r="E74" s="25">
        <f t="shared" si="2"/>
        <v>154.2737502</v>
      </c>
      <c r="F74" s="24">
        <f t="shared" si="3"/>
        <v>0.0002099583583</v>
      </c>
      <c r="G74" s="24">
        <f t="shared" si="4"/>
        <v>0</v>
      </c>
      <c r="H74" s="26">
        <f t="shared" si="5"/>
        <v>0</v>
      </c>
      <c r="I74" s="24">
        <f t="shared" si="6"/>
        <v>0</v>
      </c>
      <c r="J74" s="24">
        <f t="shared" si="7"/>
        <v>0</v>
      </c>
      <c r="K74" s="24"/>
      <c r="L74" s="24">
        <f t="shared" si="8"/>
        <v>457.5447299</v>
      </c>
      <c r="M74" s="30">
        <f t="shared" si="9"/>
        <v>452.765551</v>
      </c>
      <c r="N74" s="27">
        <f t="shared" si="10"/>
        <v>4.779178817</v>
      </c>
      <c r="O74" s="24"/>
      <c r="P74" s="28">
        <f t="shared" si="14"/>
        <v>-166.2115999</v>
      </c>
      <c r="Q74" s="27">
        <f t="shared" si="15"/>
        <v>417.495316</v>
      </c>
      <c r="R74" s="26"/>
      <c r="S74" s="14">
        <f t="shared" si="13"/>
        <v>4.388701415</v>
      </c>
    </row>
    <row r="75">
      <c r="A75" s="11">
        <v>63.0</v>
      </c>
      <c r="B75" s="11">
        <v>1.41966956521739E9</v>
      </c>
      <c r="C75" s="2">
        <v>-102.27771</v>
      </c>
      <c r="D75" s="24">
        <f t="shared" si="1"/>
        <v>-730434.7826</v>
      </c>
      <c r="E75" s="25">
        <f t="shared" si="2"/>
        <v>153.3554541</v>
      </c>
      <c r="F75" s="24">
        <f t="shared" si="3"/>
        <v>0.0002099509193</v>
      </c>
      <c r="G75" s="24">
        <f t="shared" si="4"/>
        <v>0</v>
      </c>
      <c r="H75" s="26">
        <f t="shared" si="5"/>
        <v>0</v>
      </c>
      <c r="I75" s="24">
        <f t="shared" si="6"/>
        <v>0</v>
      </c>
      <c r="J75" s="24">
        <f t="shared" si="7"/>
        <v>0</v>
      </c>
      <c r="K75" s="24"/>
      <c r="L75" s="24">
        <f t="shared" si="8"/>
        <v>450.1271071</v>
      </c>
      <c r="M75" s="30">
        <f t="shared" si="9"/>
        <v>452.6900272</v>
      </c>
      <c r="N75" s="27">
        <f t="shared" si="10"/>
        <v>-2.562920069</v>
      </c>
      <c r="O75" s="24"/>
      <c r="P75" s="28">
        <f t="shared" si="14"/>
        <v>-167.129896</v>
      </c>
      <c r="Q75" s="27">
        <f t="shared" si="15"/>
        <v>422.4353441</v>
      </c>
      <c r="R75" s="26"/>
      <c r="S75" s="14">
        <f t="shared" si="13"/>
        <v>-2.353519588</v>
      </c>
    </row>
    <row r="76">
      <c r="A76" s="11">
        <v>64.0</v>
      </c>
      <c r="B76" s="11">
        <v>1.41967391304347E9</v>
      </c>
      <c r="C76" s="2">
        <v>-102.2204742</v>
      </c>
      <c r="D76" s="24">
        <f t="shared" si="1"/>
        <v>-726086.9565</v>
      </c>
      <c r="E76" s="25">
        <f t="shared" si="2"/>
        <v>152.4371579</v>
      </c>
      <c r="F76" s="24">
        <f t="shared" si="3"/>
        <v>0.0002099433912</v>
      </c>
      <c r="G76" s="24">
        <f t="shared" si="4"/>
        <v>0</v>
      </c>
      <c r="H76" s="26">
        <f t="shared" si="5"/>
        <v>0</v>
      </c>
      <c r="I76" s="24">
        <f t="shared" si="6"/>
        <v>0</v>
      </c>
      <c r="J76" s="24">
        <f t="shared" si="7"/>
        <v>0</v>
      </c>
      <c r="K76" s="24"/>
      <c r="L76" s="24">
        <f t="shared" si="8"/>
        <v>456.0986086</v>
      </c>
      <c r="M76" s="30">
        <f t="shared" si="9"/>
        <v>452.6143253</v>
      </c>
      <c r="N76" s="27">
        <f t="shared" si="10"/>
        <v>3.484283298</v>
      </c>
      <c r="O76" s="24"/>
      <c r="P76" s="28">
        <f t="shared" si="14"/>
        <v>-168.0481922</v>
      </c>
      <c r="Q76" s="27">
        <f t="shared" si="15"/>
        <v>420.5575533</v>
      </c>
      <c r="R76" s="26"/>
      <c r="S76" s="14">
        <f t="shared" si="13"/>
        <v>3.199603878</v>
      </c>
    </row>
    <row r="77">
      <c r="A77" s="11">
        <v>65.0</v>
      </c>
      <c r="B77" s="11">
        <v>1.41967826086956E9</v>
      </c>
      <c r="C77" s="2">
        <v>-102.2052155</v>
      </c>
      <c r="D77" s="24">
        <f t="shared" si="1"/>
        <v>-721739.1304</v>
      </c>
      <c r="E77" s="25">
        <f t="shared" si="2"/>
        <v>151.5188618</v>
      </c>
      <c r="F77" s="24">
        <f t="shared" si="3"/>
        <v>0.0002099357724</v>
      </c>
      <c r="G77" s="24">
        <f t="shared" si="4"/>
        <v>0</v>
      </c>
      <c r="H77" s="26">
        <f t="shared" si="5"/>
        <v>0</v>
      </c>
      <c r="I77" s="24">
        <f t="shared" si="6"/>
        <v>0</v>
      </c>
      <c r="J77" s="24">
        <f t="shared" si="7"/>
        <v>0</v>
      </c>
      <c r="K77" s="24"/>
      <c r="L77" s="24">
        <f t="shared" si="8"/>
        <v>457.7039046</v>
      </c>
      <c r="M77" s="30">
        <f t="shared" si="9"/>
        <v>452.5384461</v>
      </c>
      <c r="N77" s="27">
        <f t="shared" si="10"/>
        <v>5.165458559</v>
      </c>
      <c r="O77" s="24"/>
      <c r="P77" s="28">
        <f t="shared" si="14"/>
        <v>-168.9664883</v>
      </c>
      <c r="Q77" s="27">
        <f t="shared" si="15"/>
        <v>420.114506</v>
      </c>
      <c r="R77" s="26"/>
      <c r="S77" s="14">
        <f t="shared" si="13"/>
        <v>4.743420608</v>
      </c>
    </row>
    <row r="78">
      <c r="A78" s="11">
        <v>66.0</v>
      </c>
      <c r="B78" s="11">
        <v>1.41968260869565E9</v>
      </c>
      <c r="C78" s="2">
        <v>-102.2555084</v>
      </c>
      <c r="D78" s="24">
        <f t="shared" si="1"/>
        <v>-717391.3043</v>
      </c>
      <c r="E78" s="25">
        <f t="shared" si="2"/>
        <v>150.6005657</v>
      </c>
      <c r="F78" s="24">
        <f t="shared" si="3"/>
        <v>0.0002099280612</v>
      </c>
      <c r="G78" s="24">
        <f t="shared" si="4"/>
        <v>0</v>
      </c>
      <c r="H78" s="26">
        <f t="shared" si="5"/>
        <v>0</v>
      </c>
      <c r="I78" s="24">
        <f t="shared" si="6"/>
        <v>0</v>
      </c>
      <c r="J78" s="24">
        <f t="shared" si="7"/>
        <v>0</v>
      </c>
      <c r="K78" s="24"/>
      <c r="L78" s="24">
        <f t="shared" si="8"/>
        <v>452.434097</v>
      </c>
      <c r="M78" s="30">
        <f t="shared" si="9"/>
        <v>452.4623901</v>
      </c>
      <c r="N78" s="27">
        <f t="shared" si="10"/>
        <v>-0.02829311002</v>
      </c>
      <c r="O78" s="24"/>
      <c r="P78" s="28">
        <f t="shared" si="14"/>
        <v>-169.8847844</v>
      </c>
      <c r="Q78" s="27">
        <f t="shared" si="15"/>
        <v>418.7918268</v>
      </c>
      <c r="R78" s="26"/>
      <c r="S78" s="14">
        <f t="shared" si="13"/>
        <v>-0.02598145352</v>
      </c>
    </row>
    <row r="79">
      <c r="A79" s="11">
        <v>67.0</v>
      </c>
      <c r="B79" s="11">
        <v>1.41968695652173E9</v>
      </c>
      <c r="C79" s="2">
        <v>-102.2787094</v>
      </c>
      <c r="D79" s="24">
        <f t="shared" si="1"/>
        <v>-713043.4783</v>
      </c>
      <c r="E79" s="25">
        <f t="shared" si="2"/>
        <v>149.6822695</v>
      </c>
      <c r="F79" s="24">
        <f t="shared" si="3"/>
        <v>0.0002099202561</v>
      </c>
      <c r="G79" s="24">
        <f t="shared" si="4"/>
        <v>0</v>
      </c>
      <c r="H79" s="26">
        <f t="shared" si="5"/>
        <v>0</v>
      </c>
      <c r="I79" s="24">
        <f t="shared" si="6"/>
        <v>0</v>
      </c>
      <c r="J79" s="24">
        <f t="shared" si="7"/>
        <v>0</v>
      </c>
      <c r="K79" s="24"/>
      <c r="L79" s="24">
        <f t="shared" si="8"/>
        <v>450.0235356</v>
      </c>
      <c r="M79" s="30">
        <f t="shared" si="9"/>
        <v>452.3861579</v>
      </c>
      <c r="N79" s="27">
        <f t="shared" si="10"/>
        <v>-2.362622261</v>
      </c>
      <c r="O79" s="24"/>
      <c r="P79" s="28">
        <f t="shared" si="14"/>
        <v>-170.8030806</v>
      </c>
      <c r="Q79" s="27">
        <f t="shared" si="15"/>
        <v>421.9577009</v>
      </c>
      <c r="R79" s="26"/>
      <c r="S79" s="14">
        <f t="shared" si="13"/>
        <v>-2.169586886</v>
      </c>
    </row>
    <row r="80">
      <c r="A80" s="11">
        <v>68.0</v>
      </c>
      <c r="B80" s="11">
        <v>1.41969130434782E9</v>
      </c>
      <c r="C80" s="2">
        <v>-102.2151718</v>
      </c>
      <c r="D80" s="24">
        <f t="shared" si="1"/>
        <v>-708695.6522</v>
      </c>
      <c r="E80" s="25">
        <f t="shared" si="2"/>
        <v>148.7639734</v>
      </c>
      <c r="F80" s="24">
        <f t="shared" si="3"/>
        <v>0.0002099123551</v>
      </c>
      <c r="G80" s="24">
        <f t="shared" si="4"/>
        <v>0</v>
      </c>
      <c r="H80" s="26">
        <f t="shared" si="5"/>
        <v>0</v>
      </c>
      <c r="I80" s="24">
        <f t="shared" si="6"/>
        <v>0</v>
      </c>
      <c r="J80" s="24">
        <f t="shared" si="7"/>
        <v>0</v>
      </c>
      <c r="K80" s="24"/>
      <c r="L80" s="24">
        <f t="shared" si="8"/>
        <v>456.6558099</v>
      </c>
      <c r="M80" s="30">
        <f t="shared" si="9"/>
        <v>452.3097501</v>
      </c>
      <c r="N80" s="27">
        <f t="shared" si="10"/>
        <v>4.346059721</v>
      </c>
      <c r="O80" s="24"/>
      <c r="P80" s="28">
        <f t="shared" si="14"/>
        <v>-171.7213767</v>
      </c>
      <c r="Q80" s="27">
        <f t="shared" si="15"/>
        <v>418.7565155</v>
      </c>
      <c r="R80" s="26"/>
      <c r="S80" s="14">
        <f t="shared" si="13"/>
        <v>3.990969835</v>
      </c>
    </row>
    <row r="81">
      <c r="A81" s="11">
        <v>69.0</v>
      </c>
      <c r="B81" s="11">
        <v>1.41969565217391E9</v>
      </c>
      <c r="C81" s="2">
        <v>-102.253479</v>
      </c>
      <c r="D81" s="24">
        <f t="shared" si="1"/>
        <v>-704347.8261</v>
      </c>
      <c r="E81" s="25">
        <f t="shared" si="2"/>
        <v>147.8456773</v>
      </c>
      <c r="F81" s="24">
        <f t="shared" si="3"/>
        <v>0.0002099043566</v>
      </c>
      <c r="G81" s="24">
        <f t="shared" si="4"/>
        <v>0</v>
      </c>
      <c r="H81" s="26">
        <f t="shared" si="5"/>
        <v>0</v>
      </c>
      <c r="I81" s="24">
        <f t="shared" si="6"/>
        <v>0</v>
      </c>
      <c r="J81" s="24">
        <f t="shared" si="7"/>
        <v>0</v>
      </c>
      <c r="K81" s="24"/>
      <c r="L81" s="24">
        <f t="shared" si="8"/>
        <v>452.6455628</v>
      </c>
      <c r="M81" s="30">
        <f t="shared" si="9"/>
        <v>452.2331674</v>
      </c>
      <c r="N81" s="27">
        <f t="shared" si="10"/>
        <v>0.4123953238</v>
      </c>
      <c r="O81" s="24"/>
      <c r="P81" s="28">
        <f t="shared" si="14"/>
        <v>-172.6396728</v>
      </c>
      <c r="Q81" s="27">
        <f t="shared" si="15"/>
        <v>420.3647661</v>
      </c>
      <c r="R81" s="26"/>
      <c r="S81" s="14">
        <f t="shared" si="13"/>
        <v>0.3787010302</v>
      </c>
    </row>
    <row r="82">
      <c r="A82" s="11">
        <v>70.0</v>
      </c>
      <c r="B82" s="11">
        <v>1.4197E9</v>
      </c>
      <c r="C82" s="2">
        <v>-102.258522</v>
      </c>
      <c r="D82" s="24">
        <f t="shared" si="1"/>
        <v>-700000</v>
      </c>
      <c r="E82" s="25">
        <f t="shared" si="2"/>
        <v>146.9273811</v>
      </c>
      <c r="F82" s="24">
        <f t="shared" si="3"/>
        <v>0.0002098962588</v>
      </c>
      <c r="G82" s="24">
        <f t="shared" si="4"/>
        <v>0</v>
      </c>
      <c r="H82" s="26">
        <f t="shared" si="5"/>
        <v>0</v>
      </c>
      <c r="I82" s="24">
        <f t="shared" si="6"/>
        <v>0</v>
      </c>
      <c r="J82" s="24">
        <f t="shared" si="7"/>
        <v>0</v>
      </c>
      <c r="K82" s="24"/>
      <c r="L82" s="24">
        <f t="shared" si="8"/>
        <v>452.1202586</v>
      </c>
      <c r="M82" s="30">
        <f t="shared" si="9"/>
        <v>452.1564104</v>
      </c>
      <c r="N82" s="27">
        <f t="shared" si="10"/>
        <v>-0.03615174162</v>
      </c>
      <c r="O82" s="24"/>
      <c r="P82" s="28">
        <f t="shared" si="14"/>
        <v>-173.557969</v>
      </c>
      <c r="Q82" s="27">
        <f t="shared" si="15"/>
        <v>420.3308029</v>
      </c>
      <c r="R82" s="26"/>
      <c r="S82" s="14">
        <f t="shared" si="13"/>
        <v>-0.03319800452</v>
      </c>
    </row>
    <row r="83">
      <c r="A83" s="11">
        <v>71.0</v>
      </c>
      <c r="B83" s="11">
        <v>1.41970434782608E9</v>
      </c>
      <c r="C83" s="2">
        <v>-102.2460098</v>
      </c>
      <c r="D83" s="24">
        <f t="shared" si="1"/>
        <v>-695652.1739</v>
      </c>
      <c r="E83" s="25">
        <f t="shared" si="2"/>
        <v>146.009085</v>
      </c>
      <c r="F83" s="24">
        <f t="shared" si="3"/>
        <v>0.0002098880597</v>
      </c>
      <c r="G83" s="24">
        <f t="shared" si="4"/>
        <v>0</v>
      </c>
      <c r="H83" s="26">
        <f t="shared" si="5"/>
        <v>0</v>
      </c>
      <c r="I83" s="24">
        <f t="shared" si="6"/>
        <v>0</v>
      </c>
      <c r="J83" s="24">
        <f t="shared" si="7"/>
        <v>0</v>
      </c>
      <c r="K83" s="24"/>
      <c r="L83" s="24">
        <f t="shared" si="8"/>
        <v>453.4247136</v>
      </c>
      <c r="M83" s="30">
        <f t="shared" si="9"/>
        <v>452.0794796</v>
      </c>
      <c r="N83" s="27">
        <f t="shared" si="10"/>
        <v>1.345234017</v>
      </c>
      <c r="O83" s="24"/>
      <c r="P83" s="28">
        <f t="shared" si="14"/>
        <v>-174.4762651</v>
      </c>
      <c r="Q83" s="27">
        <f t="shared" si="15"/>
        <v>420.2621301</v>
      </c>
      <c r="R83" s="26"/>
      <c r="S83" s="14">
        <f t="shared" si="13"/>
        <v>1.235323196</v>
      </c>
    </row>
    <row r="84">
      <c r="A84" s="11">
        <v>72.0</v>
      </c>
      <c r="B84" s="11">
        <v>1.41970869565217E9</v>
      </c>
      <c r="C84" s="2">
        <v>-102.178566</v>
      </c>
      <c r="D84" s="24">
        <f t="shared" si="1"/>
        <v>-691304.3478</v>
      </c>
      <c r="E84" s="25">
        <f t="shared" si="2"/>
        <v>145.0907889</v>
      </c>
      <c r="F84" s="24">
        <f t="shared" si="3"/>
        <v>0.0002098797575</v>
      </c>
      <c r="G84" s="24">
        <f t="shared" si="4"/>
        <v>0</v>
      </c>
      <c r="H84" s="26">
        <f t="shared" si="5"/>
        <v>0</v>
      </c>
      <c r="I84" s="24">
        <f t="shared" si="6"/>
        <v>0</v>
      </c>
      <c r="J84" s="24">
        <f t="shared" si="7"/>
        <v>0</v>
      </c>
      <c r="K84" s="24"/>
      <c r="L84" s="24">
        <f t="shared" si="8"/>
        <v>460.5211361</v>
      </c>
      <c r="M84" s="30">
        <f t="shared" si="9"/>
        <v>452.0023757</v>
      </c>
      <c r="N84" s="27">
        <f t="shared" si="10"/>
        <v>8.518760393</v>
      </c>
      <c r="O84" s="24"/>
      <c r="P84" s="28">
        <f t="shared" si="14"/>
        <v>-175.3945612</v>
      </c>
      <c r="Q84" s="27">
        <f t="shared" si="15"/>
        <v>421.0173442</v>
      </c>
      <c r="R84" s="26"/>
      <c r="S84" s="14">
        <f t="shared" si="13"/>
        <v>7.822744706</v>
      </c>
    </row>
    <row r="85">
      <c r="A85" s="11">
        <v>73.0</v>
      </c>
      <c r="B85" s="11">
        <v>1.41971304347826E9</v>
      </c>
      <c r="C85" s="2">
        <v>-102.2349854</v>
      </c>
      <c r="D85" s="24">
        <f t="shared" si="1"/>
        <v>-686956.5217</v>
      </c>
      <c r="E85" s="25">
        <f t="shared" si="2"/>
        <v>144.1724927</v>
      </c>
      <c r="F85" s="24">
        <f t="shared" si="3"/>
        <v>0.0002098713502</v>
      </c>
      <c r="G85" s="24">
        <f t="shared" si="4"/>
        <v>0</v>
      </c>
      <c r="H85" s="26">
        <f t="shared" si="5"/>
        <v>0</v>
      </c>
      <c r="I85" s="24">
        <f t="shared" si="6"/>
        <v>0</v>
      </c>
      <c r="J85" s="24">
        <f t="shared" si="7"/>
        <v>0</v>
      </c>
      <c r="K85" s="24"/>
      <c r="L85" s="24">
        <f t="shared" si="8"/>
        <v>454.5771771</v>
      </c>
      <c r="M85" s="30">
        <f t="shared" si="9"/>
        <v>451.9250993</v>
      </c>
      <c r="N85" s="27">
        <f t="shared" si="10"/>
        <v>2.652077851</v>
      </c>
      <c r="O85" s="24"/>
      <c r="P85" s="28">
        <f t="shared" si="14"/>
        <v>-176.3128574</v>
      </c>
      <c r="Q85" s="27">
        <f t="shared" si="15"/>
        <v>417.5561911</v>
      </c>
      <c r="R85" s="26"/>
      <c r="S85" s="14">
        <f t="shared" si="13"/>
        <v>2.435392835</v>
      </c>
    </row>
    <row r="86">
      <c r="A86" s="11">
        <v>74.0</v>
      </c>
      <c r="B86" s="11">
        <v>1.41971739130434E9</v>
      </c>
      <c r="C86" s="2">
        <v>-102.2418594</v>
      </c>
      <c r="D86" s="24">
        <f t="shared" si="1"/>
        <v>-682608.6957</v>
      </c>
      <c r="E86" s="25">
        <f t="shared" si="2"/>
        <v>143.2541966</v>
      </c>
      <c r="F86" s="24">
        <f t="shared" si="3"/>
        <v>0.0002098628358</v>
      </c>
      <c r="G86" s="24">
        <f t="shared" si="4"/>
        <v>0</v>
      </c>
      <c r="H86" s="26">
        <f t="shared" si="5"/>
        <v>0</v>
      </c>
      <c r="I86" s="24">
        <f t="shared" si="6"/>
        <v>0</v>
      </c>
      <c r="J86" s="24">
        <f t="shared" si="7"/>
        <v>0</v>
      </c>
      <c r="K86" s="24"/>
      <c r="L86" s="24">
        <f t="shared" si="8"/>
        <v>453.8582428</v>
      </c>
      <c r="M86" s="30">
        <f t="shared" si="9"/>
        <v>451.8476509</v>
      </c>
      <c r="N86" s="27">
        <f t="shared" si="10"/>
        <v>2.010591925</v>
      </c>
      <c r="O86" s="24"/>
      <c r="P86" s="28">
        <f t="shared" si="14"/>
        <v>-177.2311535</v>
      </c>
      <c r="Q86" s="27">
        <f t="shared" si="15"/>
        <v>418.9257418</v>
      </c>
      <c r="R86" s="26"/>
      <c r="S86" s="14">
        <f t="shared" si="13"/>
        <v>1.846318789</v>
      </c>
    </row>
    <row r="87">
      <c r="A87" s="11">
        <v>75.0</v>
      </c>
      <c r="B87" s="11">
        <v>1.41972173913043E9</v>
      </c>
      <c r="C87" s="2">
        <v>-102.3044891</v>
      </c>
      <c r="D87" s="24">
        <f t="shared" si="1"/>
        <v>-678260.8696</v>
      </c>
      <c r="E87" s="25">
        <f t="shared" si="2"/>
        <v>142.3359005</v>
      </c>
      <c r="F87" s="24">
        <f t="shared" si="3"/>
        <v>0.0002098542122</v>
      </c>
      <c r="G87" s="24">
        <f t="shared" si="4"/>
        <v>0</v>
      </c>
      <c r="H87" s="26">
        <f t="shared" si="5"/>
        <v>0</v>
      </c>
      <c r="I87" s="24">
        <f t="shared" si="6"/>
        <v>0</v>
      </c>
      <c r="J87" s="24">
        <f t="shared" si="7"/>
        <v>0</v>
      </c>
      <c r="K87" s="24"/>
      <c r="L87" s="24">
        <f t="shared" si="8"/>
        <v>447.3601109</v>
      </c>
      <c r="M87" s="30">
        <f t="shared" si="9"/>
        <v>451.7700313</v>
      </c>
      <c r="N87" s="27">
        <f t="shared" si="10"/>
        <v>-4.409920369</v>
      </c>
      <c r="O87" s="24"/>
      <c r="P87" s="28">
        <f t="shared" si="14"/>
        <v>-178.1494496</v>
      </c>
      <c r="Q87" s="27">
        <f t="shared" si="15"/>
        <v>420.3957892</v>
      </c>
      <c r="R87" s="26"/>
      <c r="S87" s="14">
        <f t="shared" si="13"/>
        <v>-4.049612811</v>
      </c>
    </row>
    <row r="88">
      <c r="A88" s="11">
        <v>76.0</v>
      </c>
      <c r="B88" s="11">
        <v>1.41972608695652E9</v>
      </c>
      <c r="C88" s="2">
        <v>-102.2260818</v>
      </c>
      <c r="D88" s="24">
        <f t="shared" si="1"/>
        <v>-673913.0435</v>
      </c>
      <c r="E88" s="25">
        <f t="shared" si="2"/>
        <v>141.4176044</v>
      </c>
      <c r="F88" s="24">
        <f t="shared" si="3"/>
        <v>0.0002098454774</v>
      </c>
      <c r="G88" s="24">
        <f t="shared" si="4"/>
        <v>0</v>
      </c>
      <c r="H88" s="26">
        <f t="shared" si="5"/>
        <v>0</v>
      </c>
      <c r="I88" s="24">
        <f t="shared" si="6"/>
        <v>0</v>
      </c>
      <c r="J88" s="24">
        <f t="shared" si="7"/>
        <v>0</v>
      </c>
      <c r="K88" s="24"/>
      <c r="L88" s="24">
        <f t="shared" si="8"/>
        <v>455.5100752</v>
      </c>
      <c r="M88" s="30">
        <f t="shared" si="9"/>
        <v>451.6922409</v>
      </c>
      <c r="N88" s="27">
        <f t="shared" si="10"/>
        <v>3.817834319</v>
      </c>
      <c r="O88" s="24"/>
      <c r="P88" s="28">
        <f t="shared" si="14"/>
        <v>-179.0677458</v>
      </c>
      <c r="Q88" s="27">
        <f t="shared" si="15"/>
        <v>419.3741694</v>
      </c>
      <c r="R88" s="26"/>
      <c r="S88" s="14">
        <f t="shared" si="13"/>
        <v>3.505902491</v>
      </c>
    </row>
    <row r="89">
      <c r="A89" s="11">
        <v>77.0</v>
      </c>
      <c r="B89" s="11">
        <v>1.4197304347826E9</v>
      </c>
      <c r="C89" s="2">
        <v>-102.2307587</v>
      </c>
      <c r="D89" s="24">
        <f t="shared" si="1"/>
        <v>-669565.2174</v>
      </c>
      <c r="E89" s="25">
        <f t="shared" si="2"/>
        <v>140.4993082</v>
      </c>
      <c r="F89" s="24">
        <f t="shared" si="3"/>
        <v>0.0002098366292</v>
      </c>
      <c r="G89" s="24">
        <f t="shared" si="4"/>
        <v>0</v>
      </c>
      <c r="H89" s="26">
        <f t="shared" si="5"/>
        <v>0</v>
      </c>
      <c r="I89" s="24">
        <f t="shared" si="6"/>
        <v>0</v>
      </c>
      <c r="J89" s="24">
        <f t="shared" si="7"/>
        <v>0</v>
      </c>
      <c r="K89" s="24"/>
      <c r="L89" s="24">
        <f t="shared" si="8"/>
        <v>455.0198023</v>
      </c>
      <c r="M89" s="30">
        <f t="shared" si="9"/>
        <v>451.6142805</v>
      </c>
      <c r="N89" s="27">
        <f t="shared" si="10"/>
        <v>3.405521811</v>
      </c>
      <c r="O89" s="24"/>
      <c r="P89" s="28">
        <f t="shared" si="14"/>
        <v>-179.9860419</v>
      </c>
      <c r="Q89" s="27">
        <f t="shared" si="15"/>
        <v>422.7434306</v>
      </c>
      <c r="R89" s="26"/>
      <c r="S89" s="14">
        <f t="shared" si="13"/>
        <v>3.127277509</v>
      </c>
    </row>
    <row r="90">
      <c r="A90" s="11">
        <v>78.0</v>
      </c>
      <c r="B90" s="11">
        <v>1.41973478260869E9</v>
      </c>
      <c r="C90" s="2">
        <v>-102.2495651</v>
      </c>
      <c r="D90" s="24">
        <f t="shared" si="1"/>
        <v>-665217.3913</v>
      </c>
      <c r="E90" s="25">
        <f t="shared" si="2"/>
        <v>139.5810121</v>
      </c>
      <c r="F90" s="24">
        <f t="shared" si="3"/>
        <v>0.0002098276652</v>
      </c>
      <c r="G90" s="24">
        <f t="shared" si="4"/>
        <v>0</v>
      </c>
      <c r="H90" s="26">
        <f t="shared" si="5"/>
        <v>0</v>
      </c>
      <c r="I90" s="24">
        <f t="shared" si="6"/>
        <v>0</v>
      </c>
      <c r="J90" s="24">
        <f t="shared" si="7"/>
        <v>0</v>
      </c>
      <c r="K90" s="24"/>
      <c r="L90" s="24">
        <f t="shared" si="8"/>
        <v>453.0536748</v>
      </c>
      <c r="M90" s="30">
        <f t="shared" si="9"/>
        <v>451.5361505</v>
      </c>
      <c r="N90" s="27">
        <f t="shared" si="10"/>
        <v>1.517524255</v>
      </c>
      <c r="O90" s="24"/>
      <c r="P90" s="28">
        <f t="shared" si="14"/>
        <v>-180.904338</v>
      </c>
      <c r="Q90" s="27">
        <f t="shared" si="15"/>
        <v>419.5812451</v>
      </c>
      <c r="R90" s="26"/>
      <c r="S90" s="14">
        <f t="shared" si="13"/>
        <v>1.393536655</v>
      </c>
    </row>
    <row r="91">
      <c r="A91" s="11">
        <v>79.0</v>
      </c>
      <c r="B91" s="11">
        <v>1.41973913043478E9</v>
      </c>
      <c r="C91" s="2">
        <v>-102.3030777</v>
      </c>
      <c r="D91" s="24">
        <f t="shared" si="1"/>
        <v>-660869.5652</v>
      </c>
      <c r="E91" s="25">
        <f t="shared" si="2"/>
        <v>138.662716</v>
      </c>
      <c r="F91" s="24">
        <f t="shared" si="3"/>
        <v>0.0002098185833</v>
      </c>
      <c r="G91" s="24">
        <f t="shared" si="4"/>
        <v>0</v>
      </c>
      <c r="H91" s="26">
        <f t="shared" si="5"/>
        <v>0</v>
      </c>
      <c r="I91" s="24">
        <f t="shared" si="6"/>
        <v>0</v>
      </c>
      <c r="J91" s="24">
        <f t="shared" si="7"/>
        <v>0</v>
      </c>
      <c r="K91" s="24"/>
      <c r="L91" s="24">
        <f t="shared" si="8"/>
        <v>447.5055207</v>
      </c>
      <c r="M91" s="30">
        <f t="shared" si="9"/>
        <v>451.4578517</v>
      </c>
      <c r="N91" s="27">
        <f t="shared" si="10"/>
        <v>-3.95233105</v>
      </c>
      <c r="O91" s="24"/>
      <c r="P91" s="28">
        <f t="shared" si="14"/>
        <v>-181.8226342</v>
      </c>
      <c r="Q91" s="27">
        <f t="shared" si="15"/>
        <v>418.9647526</v>
      </c>
      <c r="R91" s="26"/>
      <c r="S91" s="14">
        <f t="shared" si="13"/>
        <v>-3.62941031</v>
      </c>
    </row>
    <row r="92">
      <c r="A92" s="11">
        <v>80.0</v>
      </c>
      <c r="B92" s="11">
        <v>1.41974347826087E9</v>
      </c>
      <c r="C92" s="2">
        <v>-102.3017044</v>
      </c>
      <c r="D92" s="24">
        <f t="shared" si="1"/>
        <v>-656521.7391</v>
      </c>
      <c r="E92" s="25">
        <f t="shared" si="2"/>
        <v>137.7444198</v>
      </c>
      <c r="F92" s="24">
        <f t="shared" si="3"/>
        <v>0.0002098093812</v>
      </c>
      <c r="G92" s="24">
        <f t="shared" si="4"/>
        <v>0</v>
      </c>
      <c r="H92" s="26">
        <f t="shared" si="5"/>
        <v>0</v>
      </c>
      <c r="I92" s="24">
        <f t="shared" si="6"/>
        <v>0</v>
      </c>
      <c r="J92" s="24">
        <f t="shared" si="7"/>
        <v>0</v>
      </c>
      <c r="K92" s="24"/>
      <c r="L92" s="24">
        <f t="shared" si="8"/>
        <v>447.6470506</v>
      </c>
      <c r="M92" s="30">
        <f t="shared" si="9"/>
        <v>451.3793847</v>
      </c>
      <c r="N92" s="27">
        <f t="shared" si="10"/>
        <v>-3.732334085</v>
      </c>
      <c r="O92" s="24"/>
      <c r="P92" s="28">
        <f t="shared" si="14"/>
        <v>-182.7409303</v>
      </c>
      <c r="Q92" s="27">
        <f t="shared" si="15"/>
        <v>416.8233094</v>
      </c>
      <c r="R92" s="26"/>
      <c r="S92" s="14">
        <f t="shared" si="13"/>
        <v>-3.427387957</v>
      </c>
    </row>
    <row r="93">
      <c r="A93" s="11">
        <v>81.0</v>
      </c>
      <c r="B93" s="11">
        <v>1.41974782608695E9</v>
      </c>
      <c r="C93" s="2">
        <v>-102.291153</v>
      </c>
      <c r="D93" s="24">
        <f t="shared" si="1"/>
        <v>-652173.913</v>
      </c>
      <c r="E93" s="25">
        <f t="shared" si="2"/>
        <v>136.8261237</v>
      </c>
      <c r="F93" s="24">
        <f t="shared" si="3"/>
        <v>0.0002098000563</v>
      </c>
      <c r="G93" s="24">
        <f t="shared" si="4"/>
        <v>0</v>
      </c>
      <c r="H93" s="26">
        <f t="shared" si="5"/>
        <v>0</v>
      </c>
      <c r="I93" s="24">
        <f t="shared" si="6"/>
        <v>0</v>
      </c>
      <c r="J93" s="24">
        <f t="shared" si="7"/>
        <v>0</v>
      </c>
      <c r="K93" s="24"/>
      <c r="L93" s="24">
        <f t="shared" si="8"/>
        <v>448.7359535</v>
      </c>
      <c r="M93" s="30">
        <f t="shared" si="9"/>
        <v>451.3007499</v>
      </c>
      <c r="N93" s="27">
        <f t="shared" si="10"/>
        <v>-2.564796387</v>
      </c>
      <c r="O93" s="24"/>
      <c r="P93" s="28">
        <f t="shared" si="14"/>
        <v>-183.6592264</v>
      </c>
      <c r="Q93" s="27">
        <f t="shared" si="15"/>
        <v>415.3066616</v>
      </c>
      <c r="R93" s="26"/>
      <c r="S93" s="14">
        <f t="shared" si="13"/>
        <v>-2.355242604</v>
      </c>
    </row>
    <row r="94">
      <c r="A94" s="11">
        <v>82.0</v>
      </c>
      <c r="B94" s="11">
        <v>1.41975217391304E9</v>
      </c>
      <c r="C94" s="2">
        <v>-102.3323898</v>
      </c>
      <c r="D94" s="24">
        <f t="shared" si="1"/>
        <v>-647826.087</v>
      </c>
      <c r="E94" s="25">
        <f t="shared" si="2"/>
        <v>135.9078276</v>
      </c>
      <c r="F94" s="24">
        <f t="shared" si="3"/>
        <v>0.0002097906063</v>
      </c>
      <c r="G94" s="24">
        <f t="shared" si="4"/>
        <v>0</v>
      </c>
      <c r="H94" s="26">
        <f t="shared" si="5"/>
        <v>0</v>
      </c>
      <c r="I94" s="24">
        <f t="shared" si="6"/>
        <v>0</v>
      </c>
      <c r="J94" s="24">
        <f t="shared" si="7"/>
        <v>0</v>
      </c>
      <c r="K94" s="24"/>
      <c r="L94" s="24">
        <f t="shared" si="8"/>
        <v>444.4953145</v>
      </c>
      <c r="M94" s="30">
        <f t="shared" si="9"/>
        <v>451.2219481</v>
      </c>
      <c r="N94" s="27">
        <f t="shared" si="10"/>
        <v>-6.726633609</v>
      </c>
      <c r="O94" s="24"/>
      <c r="P94" s="28">
        <f t="shared" si="14"/>
        <v>-184.5775226</v>
      </c>
      <c r="Q94" s="27">
        <f t="shared" si="15"/>
        <v>417.2665465</v>
      </c>
      <c r="R94" s="26"/>
      <c r="S94" s="14">
        <f t="shared" si="13"/>
        <v>-6.177041616</v>
      </c>
    </row>
    <row r="95">
      <c r="A95" s="11">
        <v>83.0</v>
      </c>
      <c r="B95" s="11">
        <v>1.41975652173913E9</v>
      </c>
      <c r="C95" s="2">
        <v>-102.2841873</v>
      </c>
      <c r="D95" s="24">
        <f t="shared" si="1"/>
        <v>-643478.2609</v>
      </c>
      <c r="E95" s="25">
        <f t="shared" si="2"/>
        <v>134.9895314</v>
      </c>
      <c r="F95" s="24">
        <f t="shared" si="3"/>
        <v>0.0002097810286</v>
      </c>
      <c r="G95" s="24">
        <f t="shared" si="4"/>
        <v>0</v>
      </c>
      <c r="H95" s="26">
        <f t="shared" si="5"/>
        <v>0</v>
      </c>
      <c r="I95" s="24">
        <f t="shared" si="6"/>
        <v>0</v>
      </c>
      <c r="J95" s="24">
        <f t="shared" si="7"/>
        <v>0</v>
      </c>
      <c r="K95" s="24"/>
      <c r="L95" s="24">
        <f t="shared" si="8"/>
        <v>449.4562639</v>
      </c>
      <c r="M95" s="30">
        <f t="shared" si="9"/>
        <v>451.1429799</v>
      </c>
      <c r="N95" s="27">
        <f t="shared" si="10"/>
        <v>-1.686716022</v>
      </c>
      <c r="O95" s="24"/>
      <c r="P95" s="28">
        <f t="shared" si="14"/>
        <v>-185.4958187</v>
      </c>
      <c r="Q95" s="27">
        <f t="shared" si="15"/>
        <v>417.3845868</v>
      </c>
      <c r="R95" s="26"/>
      <c r="S95" s="14">
        <f t="shared" si="13"/>
        <v>-1.5489048</v>
      </c>
    </row>
    <row r="96">
      <c r="A96" s="11">
        <v>84.0</v>
      </c>
      <c r="B96" s="11">
        <v>1.41976086956521E9</v>
      </c>
      <c r="C96" s="2">
        <v>-102.2775803</v>
      </c>
      <c r="D96" s="24">
        <f t="shared" si="1"/>
        <v>-639130.4348</v>
      </c>
      <c r="E96" s="25">
        <f t="shared" si="2"/>
        <v>134.0712353</v>
      </c>
      <c r="F96" s="24">
        <f t="shared" si="3"/>
        <v>0.0002097713205</v>
      </c>
      <c r="G96" s="24">
        <f t="shared" si="4"/>
        <v>0</v>
      </c>
      <c r="H96" s="26">
        <f t="shared" si="5"/>
        <v>0</v>
      </c>
      <c r="I96" s="24">
        <f t="shared" si="6"/>
        <v>0</v>
      </c>
      <c r="J96" s="24">
        <f t="shared" si="7"/>
        <v>0</v>
      </c>
      <c r="K96" s="24"/>
      <c r="L96" s="24">
        <f t="shared" si="8"/>
        <v>450.1405501</v>
      </c>
      <c r="M96" s="30">
        <f t="shared" si="9"/>
        <v>451.0638458</v>
      </c>
      <c r="N96" s="27">
        <f t="shared" si="10"/>
        <v>-0.9232956859</v>
      </c>
      <c r="O96" s="24"/>
      <c r="P96" s="28">
        <f t="shared" si="14"/>
        <v>-186.4141148</v>
      </c>
      <c r="Q96" s="27">
        <f t="shared" si="15"/>
        <v>410.8135573</v>
      </c>
      <c r="R96" s="26"/>
      <c r="S96" s="14">
        <f t="shared" si="13"/>
        <v>-0.8478588578</v>
      </c>
    </row>
    <row r="97">
      <c r="A97" s="11">
        <v>85.0</v>
      </c>
      <c r="B97" s="11">
        <v>1.4197652173913E9</v>
      </c>
      <c r="C97" s="2">
        <v>-102.2612534</v>
      </c>
      <c r="D97" s="24">
        <f t="shared" si="1"/>
        <v>-634782.6087</v>
      </c>
      <c r="E97" s="25">
        <f t="shared" si="2"/>
        <v>133.1529392</v>
      </c>
      <c r="F97" s="24">
        <f t="shared" si="3"/>
        <v>0.0002097614795</v>
      </c>
      <c r="G97" s="24">
        <f t="shared" si="4"/>
        <v>0</v>
      </c>
      <c r="H97" s="26">
        <f t="shared" si="5"/>
        <v>0</v>
      </c>
      <c r="I97" s="24">
        <f t="shared" si="6"/>
        <v>0</v>
      </c>
      <c r="J97" s="24">
        <f t="shared" si="7"/>
        <v>0</v>
      </c>
      <c r="K97" s="24"/>
      <c r="L97" s="24">
        <f t="shared" si="8"/>
        <v>451.8359969</v>
      </c>
      <c r="M97" s="30">
        <f t="shared" si="9"/>
        <v>450.9845465</v>
      </c>
      <c r="N97" s="27">
        <f t="shared" si="10"/>
        <v>0.8514503832</v>
      </c>
      <c r="O97" s="24"/>
      <c r="P97" s="28">
        <f t="shared" si="14"/>
        <v>-187.332411</v>
      </c>
      <c r="Q97" s="27">
        <f t="shared" si="15"/>
        <v>419.3646</v>
      </c>
      <c r="R97" s="26"/>
      <c r="S97" s="14">
        <f t="shared" si="13"/>
        <v>0.7818835923</v>
      </c>
    </row>
    <row r="98">
      <c r="A98" s="11">
        <v>86.0</v>
      </c>
      <c r="B98" s="11">
        <v>1.41976956521739E9</v>
      </c>
      <c r="C98" s="2">
        <v>-102.2670822</v>
      </c>
      <c r="D98" s="24">
        <f t="shared" si="1"/>
        <v>-630434.7826</v>
      </c>
      <c r="E98" s="25">
        <f t="shared" si="2"/>
        <v>132.234643</v>
      </c>
      <c r="F98" s="24">
        <f t="shared" si="3"/>
        <v>0.0002097515027</v>
      </c>
      <c r="G98" s="24">
        <f t="shared" si="4"/>
        <v>0</v>
      </c>
      <c r="H98" s="26">
        <f t="shared" si="5"/>
        <v>0</v>
      </c>
      <c r="I98" s="24">
        <f t="shared" si="6"/>
        <v>0</v>
      </c>
      <c r="J98" s="24">
        <f t="shared" si="7"/>
        <v>0</v>
      </c>
      <c r="K98" s="24"/>
      <c r="L98" s="24">
        <f t="shared" si="8"/>
        <v>451.2299807</v>
      </c>
      <c r="M98" s="30">
        <f t="shared" si="9"/>
        <v>450.9050826</v>
      </c>
      <c r="N98" s="27">
        <f t="shared" si="10"/>
        <v>0.3248980625</v>
      </c>
      <c r="O98" s="24"/>
      <c r="P98" s="28">
        <f t="shared" si="14"/>
        <v>-188.2507071</v>
      </c>
      <c r="Q98" s="27">
        <f t="shared" si="15"/>
        <v>418.5520539</v>
      </c>
      <c r="R98" s="26"/>
      <c r="S98" s="14">
        <f t="shared" si="13"/>
        <v>0.2983526343</v>
      </c>
    </row>
    <row r="99">
      <c r="A99" s="11">
        <v>87.0</v>
      </c>
      <c r="B99" s="11">
        <v>1.41977391304347E9</v>
      </c>
      <c r="C99" s="2">
        <v>-102.2534485</v>
      </c>
      <c r="D99" s="24">
        <f t="shared" si="1"/>
        <v>-626086.9565</v>
      </c>
      <c r="E99" s="25">
        <f t="shared" si="2"/>
        <v>131.3163469</v>
      </c>
      <c r="F99" s="24">
        <f t="shared" si="3"/>
        <v>0.0002097413874</v>
      </c>
      <c r="G99" s="24">
        <f t="shared" si="4"/>
        <v>0</v>
      </c>
      <c r="H99" s="26">
        <f t="shared" si="5"/>
        <v>0</v>
      </c>
      <c r="I99" s="24">
        <f t="shared" si="6"/>
        <v>0</v>
      </c>
      <c r="J99" s="24">
        <f t="shared" si="7"/>
        <v>0</v>
      </c>
      <c r="K99" s="24"/>
      <c r="L99" s="24">
        <f t="shared" si="8"/>
        <v>452.6487416</v>
      </c>
      <c r="M99" s="30">
        <f t="shared" si="9"/>
        <v>450.8254547</v>
      </c>
      <c r="N99" s="27">
        <f t="shared" si="10"/>
        <v>1.823286967</v>
      </c>
      <c r="O99" s="24"/>
      <c r="P99" s="28">
        <f t="shared" si="14"/>
        <v>-189.1690032</v>
      </c>
      <c r="Q99" s="27">
        <f t="shared" si="15"/>
        <v>417.2562853</v>
      </c>
      <c r="R99" s="26"/>
      <c r="S99" s="14">
        <f t="shared" si="13"/>
        <v>1.674317371</v>
      </c>
    </row>
    <row r="100">
      <c r="A100" s="11">
        <v>88.0</v>
      </c>
      <c r="B100" s="11">
        <v>1.41977826086956E9</v>
      </c>
      <c r="C100" s="2">
        <v>-102.2789993</v>
      </c>
      <c r="D100" s="24">
        <f t="shared" si="1"/>
        <v>-621739.1304</v>
      </c>
      <c r="E100" s="25">
        <f t="shared" si="2"/>
        <v>130.3980508</v>
      </c>
      <c r="F100" s="24">
        <f t="shared" si="3"/>
        <v>0.0002097311306</v>
      </c>
      <c r="G100" s="24">
        <f t="shared" si="4"/>
        <v>0</v>
      </c>
      <c r="H100" s="26">
        <f t="shared" si="5"/>
        <v>0</v>
      </c>
      <c r="I100" s="24">
        <f t="shared" si="6"/>
        <v>0</v>
      </c>
      <c r="J100" s="24">
        <f t="shared" si="7"/>
        <v>0</v>
      </c>
      <c r="K100" s="24"/>
      <c r="L100" s="24">
        <f t="shared" si="8"/>
        <v>449.9934967</v>
      </c>
      <c r="M100" s="30">
        <f t="shared" si="9"/>
        <v>450.7456633</v>
      </c>
      <c r="N100" s="27">
        <f t="shared" si="10"/>
        <v>-0.752166664</v>
      </c>
      <c r="O100" s="24"/>
      <c r="P100" s="28">
        <f t="shared" si="14"/>
        <v>-190.0872994</v>
      </c>
      <c r="Q100" s="27">
        <f t="shared" si="15"/>
        <v>414.7496301</v>
      </c>
      <c r="R100" s="26"/>
      <c r="S100" s="14">
        <f t="shared" si="13"/>
        <v>-0.6907117371</v>
      </c>
    </row>
    <row r="101">
      <c r="A101" s="11">
        <v>89.0</v>
      </c>
      <c r="B101" s="11">
        <v>1.41978260869565E9</v>
      </c>
      <c r="C101" s="2">
        <v>-102.2463074</v>
      </c>
      <c r="D101" s="24">
        <f t="shared" si="1"/>
        <v>-617391.3043</v>
      </c>
      <c r="E101" s="25">
        <f t="shared" si="2"/>
        <v>129.4797546</v>
      </c>
      <c r="F101" s="24">
        <f t="shared" si="3"/>
        <v>0.0002097207293</v>
      </c>
      <c r="G101" s="24">
        <f t="shared" si="4"/>
        <v>0</v>
      </c>
      <c r="H101" s="26">
        <f t="shared" si="5"/>
        <v>0</v>
      </c>
      <c r="I101" s="24">
        <f t="shared" si="6"/>
        <v>0</v>
      </c>
      <c r="J101" s="24">
        <f t="shared" si="7"/>
        <v>0</v>
      </c>
      <c r="K101" s="24"/>
      <c r="L101" s="24">
        <f t="shared" si="8"/>
        <v>453.3936438</v>
      </c>
      <c r="M101" s="30">
        <f t="shared" si="9"/>
        <v>450.6657092</v>
      </c>
      <c r="N101" s="27">
        <f t="shared" si="10"/>
        <v>2.72793459</v>
      </c>
      <c r="O101" s="24"/>
      <c r="P101" s="28">
        <f t="shared" si="14"/>
        <v>-191.0055955</v>
      </c>
      <c r="Q101" s="27">
        <f t="shared" si="15"/>
        <v>414.0849511</v>
      </c>
      <c r="R101" s="26"/>
      <c r="S101" s="14">
        <f t="shared" si="13"/>
        <v>2.505051785</v>
      </c>
    </row>
    <row r="102">
      <c r="A102" s="11">
        <v>90.0</v>
      </c>
      <c r="B102" s="11">
        <v>1.41978695652173E9</v>
      </c>
      <c r="C102" s="2">
        <v>-102.2282791</v>
      </c>
      <c r="D102" s="24">
        <f t="shared" si="1"/>
        <v>-613043.4783</v>
      </c>
      <c r="E102" s="25">
        <f t="shared" si="2"/>
        <v>128.5614585</v>
      </c>
      <c r="F102" s="24">
        <f t="shared" si="3"/>
        <v>0.0002097101805</v>
      </c>
      <c r="G102" s="24">
        <f t="shared" si="4"/>
        <v>0</v>
      </c>
      <c r="H102" s="26">
        <f t="shared" si="5"/>
        <v>0</v>
      </c>
      <c r="I102" s="24">
        <f t="shared" si="6"/>
        <v>0</v>
      </c>
      <c r="J102" s="24">
        <f t="shared" si="7"/>
        <v>0</v>
      </c>
      <c r="K102" s="24"/>
      <c r="L102" s="24">
        <f t="shared" si="8"/>
        <v>455.2796695</v>
      </c>
      <c r="M102" s="30">
        <f t="shared" si="9"/>
        <v>450.5855929</v>
      </c>
      <c r="N102" s="27">
        <f t="shared" si="10"/>
        <v>4.694076675</v>
      </c>
      <c r="O102" s="24"/>
      <c r="P102" s="28">
        <f t="shared" si="14"/>
        <v>-191.9238916</v>
      </c>
      <c r="Q102" s="27">
        <f t="shared" si="15"/>
        <v>418.7087025</v>
      </c>
      <c r="R102" s="26"/>
      <c r="S102" s="14">
        <f t="shared" si="13"/>
        <v>4.310552458</v>
      </c>
    </row>
    <row r="103">
      <c r="A103" s="11">
        <v>91.0</v>
      </c>
      <c r="B103" s="11">
        <v>1.41979130434782E9</v>
      </c>
      <c r="C103" s="2">
        <v>-102.2596817</v>
      </c>
      <c r="D103" s="24">
        <f t="shared" si="1"/>
        <v>-608695.6522</v>
      </c>
      <c r="E103" s="25">
        <f t="shared" si="2"/>
        <v>127.6431624</v>
      </c>
      <c r="F103" s="24">
        <f t="shared" si="3"/>
        <v>0.000209699481</v>
      </c>
      <c r="G103" s="24">
        <f t="shared" si="4"/>
        <v>0</v>
      </c>
      <c r="H103" s="26">
        <f t="shared" si="5"/>
        <v>0</v>
      </c>
      <c r="I103" s="24">
        <f t="shared" si="6"/>
        <v>0</v>
      </c>
      <c r="J103" s="24">
        <f t="shared" si="7"/>
        <v>0</v>
      </c>
      <c r="K103" s="24"/>
      <c r="L103" s="24">
        <f t="shared" si="8"/>
        <v>451.9995447</v>
      </c>
      <c r="M103" s="30">
        <f t="shared" si="9"/>
        <v>450.505315</v>
      </c>
      <c r="N103" s="27">
        <f t="shared" si="10"/>
        <v>1.494229775</v>
      </c>
      <c r="O103" s="24"/>
      <c r="P103" s="28">
        <f t="shared" si="14"/>
        <v>-192.8421877</v>
      </c>
      <c r="Q103" s="27">
        <f t="shared" si="15"/>
        <v>418.955916</v>
      </c>
      <c r="R103" s="26"/>
      <c r="S103" s="14">
        <f t="shared" si="13"/>
        <v>1.372145424</v>
      </c>
    </row>
    <row r="104">
      <c r="A104" s="11">
        <v>92.0</v>
      </c>
      <c r="B104" s="11">
        <v>1.41979565217391E9</v>
      </c>
      <c r="C104" s="2">
        <v>-102.2399902</v>
      </c>
      <c r="D104" s="24">
        <f t="shared" si="1"/>
        <v>-604347.8261</v>
      </c>
      <c r="E104" s="25">
        <f t="shared" si="2"/>
        <v>126.7248662</v>
      </c>
      <c r="F104" s="24">
        <f t="shared" si="3"/>
        <v>0.0002096886276</v>
      </c>
      <c r="G104" s="24">
        <f t="shared" si="4"/>
        <v>0</v>
      </c>
      <c r="H104" s="26">
        <f t="shared" si="5"/>
        <v>0</v>
      </c>
      <c r="I104" s="24">
        <f t="shared" si="6"/>
        <v>0</v>
      </c>
      <c r="J104" s="24">
        <f t="shared" si="7"/>
        <v>0</v>
      </c>
      <c r="K104" s="24"/>
      <c r="L104" s="24">
        <f t="shared" si="8"/>
        <v>454.0536251</v>
      </c>
      <c r="M104" s="30">
        <f t="shared" si="9"/>
        <v>450.4248761</v>
      </c>
      <c r="N104" s="27">
        <f t="shared" si="10"/>
        <v>3.628749036</v>
      </c>
      <c r="O104" s="24"/>
      <c r="P104" s="28">
        <f t="shared" si="14"/>
        <v>-193.7604839</v>
      </c>
      <c r="Q104" s="27">
        <f t="shared" si="15"/>
        <v>417.7990685</v>
      </c>
      <c r="R104" s="26"/>
      <c r="S104" s="14">
        <f t="shared" si="13"/>
        <v>3.332266199</v>
      </c>
    </row>
    <row r="105">
      <c r="A105" s="11">
        <v>93.0</v>
      </c>
      <c r="B105" s="11">
        <v>1.4198E9</v>
      </c>
      <c r="C105" s="2">
        <v>-102.2524567</v>
      </c>
      <c r="D105" s="24">
        <f t="shared" si="1"/>
        <v>-600000</v>
      </c>
      <c r="E105" s="25">
        <f t="shared" si="2"/>
        <v>125.8065701</v>
      </c>
      <c r="F105" s="24">
        <f t="shared" si="3"/>
        <v>0.0002096776168</v>
      </c>
      <c r="G105" s="24">
        <f t="shared" si="4"/>
        <v>0</v>
      </c>
      <c r="H105" s="26">
        <f t="shared" si="5"/>
        <v>0</v>
      </c>
      <c r="I105" s="24">
        <f t="shared" si="6"/>
        <v>0</v>
      </c>
      <c r="J105" s="24">
        <f t="shared" si="7"/>
        <v>0</v>
      </c>
      <c r="K105" s="24"/>
      <c r="L105" s="24">
        <f t="shared" si="8"/>
        <v>452.752125</v>
      </c>
      <c r="M105" s="30">
        <f t="shared" si="9"/>
        <v>450.3442768</v>
      </c>
      <c r="N105" s="27">
        <f t="shared" si="10"/>
        <v>2.407848204</v>
      </c>
      <c r="O105" s="24"/>
      <c r="P105" s="28">
        <f t="shared" si="14"/>
        <v>-194.67878</v>
      </c>
      <c r="Q105" s="27">
        <f t="shared" si="15"/>
        <v>415.2913328</v>
      </c>
      <c r="R105" s="26"/>
      <c r="S105" s="14">
        <f t="shared" si="13"/>
        <v>2.211117694</v>
      </c>
    </row>
    <row r="106">
      <c r="A106" s="11">
        <v>94.0</v>
      </c>
      <c r="B106" s="11">
        <v>1.41980434782608E9</v>
      </c>
      <c r="C106" s="2">
        <v>-102.3066788</v>
      </c>
      <c r="D106" s="24">
        <f t="shared" si="1"/>
        <v>-595652.1739</v>
      </c>
      <c r="E106" s="25">
        <f t="shared" si="2"/>
        <v>124.888274</v>
      </c>
      <c r="F106" s="24">
        <f t="shared" si="3"/>
        <v>0.0002096664454</v>
      </c>
      <c r="G106" s="24">
        <f t="shared" si="4"/>
        <v>0</v>
      </c>
      <c r="H106" s="26">
        <f t="shared" si="5"/>
        <v>0</v>
      </c>
      <c r="I106" s="24">
        <f t="shared" si="6"/>
        <v>0</v>
      </c>
      <c r="J106" s="24">
        <f t="shared" si="7"/>
        <v>0</v>
      </c>
      <c r="K106" s="24"/>
      <c r="L106" s="24">
        <f t="shared" si="8"/>
        <v>447.1346101</v>
      </c>
      <c r="M106" s="30">
        <f t="shared" si="9"/>
        <v>450.2635178</v>
      </c>
      <c r="N106" s="27">
        <f t="shared" si="10"/>
        <v>-3.128907711</v>
      </c>
      <c r="O106" s="24"/>
      <c r="P106" s="28">
        <f t="shared" si="14"/>
        <v>-195.5970761</v>
      </c>
      <c r="Q106" s="27">
        <f t="shared" si="15"/>
        <v>410.4593635</v>
      </c>
      <c r="R106" s="26"/>
      <c r="S106" s="14">
        <f t="shared" si="13"/>
        <v>-2.873263851</v>
      </c>
    </row>
    <row r="107">
      <c r="A107" s="11">
        <v>95.0</v>
      </c>
      <c r="B107" s="11">
        <v>1.41980869565217E9</v>
      </c>
      <c r="C107" s="2">
        <v>-102.273468</v>
      </c>
      <c r="D107" s="24">
        <f t="shared" si="1"/>
        <v>-591304.3478</v>
      </c>
      <c r="E107" s="25">
        <f t="shared" si="2"/>
        <v>123.9699778</v>
      </c>
      <c r="F107" s="24">
        <f t="shared" si="3"/>
        <v>0.0002096551096</v>
      </c>
      <c r="G107" s="24">
        <f t="shared" si="4"/>
        <v>0</v>
      </c>
      <c r="H107" s="26">
        <f t="shared" si="5"/>
        <v>0</v>
      </c>
      <c r="I107" s="24">
        <f t="shared" si="6"/>
        <v>0</v>
      </c>
      <c r="J107" s="24">
        <f t="shared" si="7"/>
        <v>0</v>
      </c>
      <c r="K107" s="24"/>
      <c r="L107" s="24">
        <f t="shared" si="8"/>
        <v>450.5669865</v>
      </c>
      <c r="M107" s="30">
        <f t="shared" si="9"/>
        <v>450.1825996</v>
      </c>
      <c r="N107" s="27">
        <f t="shared" si="10"/>
        <v>0.3843868903</v>
      </c>
      <c r="O107" s="24"/>
      <c r="P107" s="28">
        <f t="shared" si="14"/>
        <v>-196.5153723</v>
      </c>
      <c r="Q107" s="27">
        <f t="shared" si="15"/>
        <v>413.7119422</v>
      </c>
      <c r="R107" s="26"/>
      <c r="S107" s="14">
        <f t="shared" si="13"/>
        <v>0.352980994</v>
      </c>
    </row>
    <row r="108">
      <c r="A108" s="11">
        <v>96.0</v>
      </c>
      <c r="B108" s="11">
        <v>1.41981304347826E9</v>
      </c>
      <c r="C108" s="2">
        <v>-102.2547226</v>
      </c>
      <c r="D108" s="24">
        <f t="shared" si="1"/>
        <v>-586956.5217</v>
      </c>
      <c r="E108" s="25">
        <f t="shared" si="2"/>
        <v>123.0516817</v>
      </c>
      <c r="F108" s="24">
        <f t="shared" si="3"/>
        <v>0.0002096436059</v>
      </c>
      <c r="G108" s="24">
        <f t="shared" si="4"/>
        <v>0</v>
      </c>
      <c r="H108" s="26">
        <f t="shared" si="5"/>
        <v>0</v>
      </c>
      <c r="I108" s="24">
        <f t="shared" si="6"/>
        <v>0</v>
      </c>
      <c r="J108" s="24">
        <f t="shared" si="7"/>
        <v>0</v>
      </c>
      <c r="K108" s="24"/>
      <c r="L108" s="24">
        <f t="shared" si="8"/>
        <v>452.5159665</v>
      </c>
      <c r="M108" s="30">
        <f t="shared" si="9"/>
        <v>450.1015229</v>
      </c>
      <c r="N108" s="27">
        <f t="shared" si="10"/>
        <v>2.41444357</v>
      </c>
      <c r="O108" s="24"/>
      <c r="P108" s="28">
        <f t="shared" si="14"/>
        <v>-197.4336684</v>
      </c>
      <c r="Q108" s="27">
        <f t="shared" si="15"/>
        <v>412.9473442</v>
      </c>
      <c r="R108" s="26"/>
      <c r="S108" s="14">
        <f t="shared" si="13"/>
        <v>2.217174193</v>
      </c>
    </row>
    <row r="109">
      <c r="A109" s="11">
        <v>97.0</v>
      </c>
      <c r="B109" s="11">
        <v>1.41981739130434E9</v>
      </c>
      <c r="C109" s="2">
        <v>-102.2827148</v>
      </c>
      <c r="D109" s="24">
        <f t="shared" si="1"/>
        <v>-582608.6957</v>
      </c>
      <c r="E109" s="25">
        <f t="shared" si="2"/>
        <v>122.1333856</v>
      </c>
      <c r="F109" s="24">
        <f t="shared" si="3"/>
        <v>0.0002096319305</v>
      </c>
      <c r="G109" s="24">
        <f t="shared" si="4"/>
        <v>0</v>
      </c>
      <c r="H109" s="26">
        <f t="shared" si="5"/>
        <v>0</v>
      </c>
      <c r="I109" s="24">
        <f t="shared" si="6"/>
        <v>0</v>
      </c>
      <c r="J109" s="24">
        <f t="shared" si="7"/>
        <v>0</v>
      </c>
      <c r="K109" s="24"/>
      <c r="L109" s="24">
        <f t="shared" si="8"/>
        <v>449.6086804</v>
      </c>
      <c r="M109" s="30">
        <f t="shared" si="9"/>
        <v>450.0202883</v>
      </c>
      <c r="N109" s="27">
        <f t="shared" si="10"/>
        <v>-0.4116078705</v>
      </c>
      <c r="O109" s="24"/>
      <c r="P109" s="28">
        <f t="shared" si="14"/>
        <v>-198.3519645</v>
      </c>
      <c r="Q109" s="27">
        <f t="shared" si="15"/>
        <v>417.3523251</v>
      </c>
      <c r="R109" s="26"/>
      <c r="S109" s="14">
        <f t="shared" si="13"/>
        <v>-0.3779779157</v>
      </c>
    </row>
    <row r="110">
      <c r="A110" s="11">
        <v>98.0</v>
      </c>
      <c r="B110" s="11">
        <v>1.41982173913043E9</v>
      </c>
      <c r="C110" s="2">
        <v>-102.2856674</v>
      </c>
      <c r="D110" s="24">
        <f t="shared" si="1"/>
        <v>-578260.8696</v>
      </c>
      <c r="E110" s="25">
        <f t="shared" si="2"/>
        <v>121.2150894</v>
      </c>
      <c r="F110" s="24">
        <f t="shared" si="3"/>
        <v>0.0002096200795</v>
      </c>
      <c r="G110" s="24">
        <f t="shared" si="4"/>
        <v>0</v>
      </c>
      <c r="H110" s="26">
        <f t="shared" si="5"/>
        <v>0</v>
      </c>
      <c r="I110" s="24">
        <f t="shared" si="6"/>
        <v>0</v>
      </c>
      <c r="J110" s="24">
        <f t="shared" si="7"/>
        <v>0</v>
      </c>
      <c r="K110" s="24"/>
      <c r="L110" s="24">
        <f t="shared" si="8"/>
        <v>449.3031128</v>
      </c>
      <c r="M110" s="30">
        <f t="shared" si="9"/>
        <v>449.9388963</v>
      </c>
      <c r="N110" s="27">
        <f t="shared" si="10"/>
        <v>-0.6357835395</v>
      </c>
      <c r="O110" s="24"/>
      <c r="P110" s="28">
        <f t="shared" si="14"/>
        <v>-199.2702607</v>
      </c>
      <c r="Q110" s="27">
        <f t="shared" si="15"/>
        <v>415.3132218</v>
      </c>
      <c r="R110" s="26"/>
      <c r="S110" s="14">
        <f t="shared" si="13"/>
        <v>-0.5838375642</v>
      </c>
    </row>
    <row r="111">
      <c r="A111" s="11">
        <v>99.0</v>
      </c>
      <c r="B111" s="11">
        <v>1.41982608695652E9</v>
      </c>
      <c r="C111" s="2">
        <v>-102.2481689</v>
      </c>
      <c r="D111" s="24">
        <f t="shared" si="1"/>
        <v>-573913.0435</v>
      </c>
      <c r="E111" s="25">
        <f t="shared" si="2"/>
        <v>120.2967933</v>
      </c>
      <c r="F111" s="24">
        <f t="shared" si="3"/>
        <v>0.000209608049</v>
      </c>
      <c r="G111" s="24">
        <f t="shared" si="4"/>
        <v>0</v>
      </c>
      <c r="H111" s="26">
        <f t="shared" si="5"/>
        <v>0</v>
      </c>
      <c r="I111" s="24">
        <f t="shared" si="6"/>
        <v>0</v>
      </c>
      <c r="J111" s="24">
        <f t="shared" si="7"/>
        <v>0</v>
      </c>
      <c r="K111" s="24"/>
      <c r="L111" s="24">
        <f t="shared" si="8"/>
        <v>453.199349</v>
      </c>
      <c r="M111" s="30">
        <f t="shared" si="9"/>
        <v>449.8573476</v>
      </c>
      <c r="N111" s="27">
        <f t="shared" si="10"/>
        <v>3.342001437</v>
      </c>
      <c r="O111" s="24"/>
      <c r="P111" s="28">
        <f t="shared" si="14"/>
        <v>-200.1885568</v>
      </c>
      <c r="Q111" s="27">
        <f t="shared" si="15"/>
        <v>412.9466216</v>
      </c>
      <c r="R111" s="26"/>
      <c r="S111" s="14">
        <f t="shared" si="13"/>
        <v>3.068946996</v>
      </c>
    </row>
    <row r="112">
      <c r="A112" s="11">
        <v>100.0</v>
      </c>
      <c r="B112" s="11">
        <v>1.4198304347826E9</v>
      </c>
      <c r="C112" s="2">
        <v>-102.2616577</v>
      </c>
      <c r="D112" s="24">
        <f t="shared" si="1"/>
        <v>-569565.2174</v>
      </c>
      <c r="E112" s="25">
        <f t="shared" si="2"/>
        <v>119.3784972</v>
      </c>
      <c r="F112" s="24">
        <f t="shared" si="3"/>
        <v>0.0002095958347</v>
      </c>
      <c r="G112" s="24">
        <f t="shared" si="4"/>
        <v>0</v>
      </c>
      <c r="H112" s="26">
        <f t="shared" si="5"/>
        <v>0</v>
      </c>
      <c r="I112" s="24">
        <f t="shared" si="6"/>
        <v>0</v>
      </c>
      <c r="J112" s="24">
        <f t="shared" si="7"/>
        <v>0</v>
      </c>
      <c r="K112" s="24"/>
      <c r="L112" s="24">
        <f t="shared" si="8"/>
        <v>451.7939359</v>
      </c>
      <c r="M112" s="30">
        <f t="shared" si="9"/>
        <v>449.7756428</v>
      </c>
      <c r="N112" s="27">
        <f t="shared" si="10"/>
        <v>2.01829309</v>
      </c>
      <c r="O112" s="24"/>
      <c r="P112" s="28">
        <f t="shared" si="14"/>
        <v>-201.1068529</v>
      </c>
      <c r="Q112" s="27">
        <f t="shared" si="15"/>
        <v>423.9661149</v>
      </c>
      <c r="R112" s="26"/>
      <c r="S112" s="14">
        <f t="shared" si="13"/>
        <v>1.853390739</v>
      </c>
      <c r="U112" s="21"/>
      <c r="V112" s="21"/>
    </row>
    <row r="113">
      <c r="A113" s="11">
        <v>101.0</v>
      </c>
      <c r="B113" s="11">
        <v>1.41983478260869E9</v>
      </c>
      <c r="C113" s="2">
        <v>-102.2672653</v>
      </c>
      <c r="D113" s="24">
        <f t="shared" si="1"/>
        <v>-565217.3913</v>
      </c>
      <c r="E113" s="25">
        <f t="shared" si="2"/>
        <v>118.460201</v>
      </c>
      <c r="F113" s="24">
        <f t="shared" si="3"/>
        <v>0.0002095834326</v>
      </c>
      <c r="G113" s="24">
        <f t="shared" si="4"/>
        <v>0</v>
      </c>
      <c r="H113" s="26">
        <f t="shared" si="5"/>
        <v>0</v>
      </c>
      <c r="I113" s="24">
        <f t="shared" si="6"/>
        <v>0</v>
      </c>
      <c r="J113" s="24">
        <f t="shared" si="7"/>
        <v>0</v>
      </c>
      <c r="K113" s="24"/>
      <c r="L113" s="24">
        <f t="shared" si="8"/>
        <v>451.2109571</v>
      </c>
      <c r="M113" s="30">
        <f t="shared" si="9"/>
        <v>449.6937825</v>
      </c>
      <c r="N113" s="27">
        <f t="shared" si="10"/>
        <v>1.517174607</v>
      </c>
      <c r="O113" s="24"/>
      <c r="P113" s="28">
        <f t="shared" si="14"/>
        <v>-202.0251491</v>
      </c>
      <c r="Q113" s="27">
        <f t="shared" si="15"/>
        <v>421.6168579</v>
      </c>
      <c r="R113" s="26"/>
      <c r="S113" s="14">
        <f t="shared" si="13"/>
        <v>1.393215574</v>
      </c>
      <c r="U113" s="21"/>
      <c r="V113" s="21"/>
    </row>
    <row r="114">
      <c r="A114" s="11">
        <v>102.0</v>
      </c>
      <c r="B114" s="11">
        <v>1.41983913043478E9</v>
      </c>
      <c r="C114" s="2">
        <v>-102.2960205</v>
      </c>
      <c r="D114" s="24">
        <f t="shared" si="1"/>
        <v>-560869.5652</v>
      </c>
      <c r="E114" s="25">
        <f t="shared" si="2"/>
        <v>117.5419049</v>
      </c>
      <c r="F114" s="24">
        <f t="shared" si="3"/>
        <v>0.0002095708382</v>
      </c>
      <c r="G114" s="24">
        <f t="shared" si="4"/>
        <v>0</v>
      </c>
      <c r="H114" s="26">
        <f t="shared" si="5"/>
        <v>0</v>
      </c>
      <c r="I114" s="24">
        <f t="shared" si="6"/>
        <v>0</v>
      </c>
      <c r="J114" s="24">
        <f t="shared" si="7"/>
        <v>0</v>
      </c>
      <c r="K114" s="24"/>
      <c r="L114" s="24">
        <f t="shared" si="8"/>
        <v>448.2332995</v>
      </c>
      <c r="M114" s="30">
        <f t="shared" si="9"/>
        <v>449.6117672</v>
      </c>
      <c r="N114" s="27">
        <f t="shared" si="10"/>
        <v>-1.378467742</v>
      </c>
      <c r="O114" s="24"/>
      <c r="P114" s="28">
        <f t="shared" si="14"/>
        <v>-202.9434452</v>
      </c>
      <c r="Q114" s="27">
        <f t="shared" si="15"/>
        <v>417.4718509</v>
      </c>
      <c r="R114" s="26"/>
      <c r="S114" s="14">
        <f t="shared" si="13"/>
        <v>-1.265841594</v>
      </c>
      <c r="U114" s="21"/>
      <c r="V114" s="21"/>
    </row>
    <row r="115">
      <c r="A115" s="11">
        <v>103.0</v>
      </c>
      <c r="B115" s="11">
        <v>1.41984347826087E9</v>
      </c>
      <c r="C115" s="2">
        <v>-102.287468</v>
      </c>
      <c r="D115" s="24">
        <f t="shared" si="1"/>
        <v>-556521.7391</v>
      </c>
      <c r="E115" s="25">
        <f t="shared" si="2"/>
        <v>116.6236088</v>
      </c>
      <c r="F115" s="24">
        <f t="shared" si="3"/>
        <v>0.000209558047</v>
      </c>
      <c r="G115" s="24">
        <f t="shared" si="4"/>
        <v>0</v>
      </c>
      <c r="H115" s="26">
        <f t="shared" si="5"/>
        <v>0</v>
      </c>
      <c r="I115" s="24">
        <f t="shared" si="6"/>
        <v>0</v>
      </c>
      <c r="J115" s="24">
        <f t="shared" si="7"/>
        <v>0</v>
      </c>
      <c r="K115" s="24"/>
      <c r="L115" s="24">
        <f t="shared" si="8"/>
        <v>449.1168687</v>
      </c>
      <c r="M115" s="30">
        <f t="shared" si="9"/>
        <v>449.5295977</v>
      </c>
      <c r="N115" s="27">
        <f t="shared" si="10"/>
        <v>-0.4127290037</v>
      </c>
      <c r="O115" s="24"/>
      <c r="P115" s="28">
        <f t="shared" si="14"/>
        <v>-203.8617413</v>
      </c>
      <c r="Q115" s="27">
        <f t="shared" si="15"/>
        <v>416.868709</v>
      </c>
      <c r="R115" s="26"/>
      <c r="S115" s="14">
        <f t="shared" si="13"/>
        <v>-0.379007448</v>
      </c>
      <c r="U115" s="21"/>
      <c r="V115" s="21"/>
    </row>
    <row r="116">
      <c r="A116" s="11">
        <v>104.0</v>
      </c>
      <c r="B116" s="11">
        <v>1.41984782608695E9</v>
      </c>
      <c r="C116" s="2">
        <v>-102.2232208</v>
      </c>
      <c r="D116" s="24">
        <f t="shared" si="1"/>
        <v>-552173.913</v>
      </c>
      <c r="E116" s="25">
        <f t="shared" si="2"/>
        <v>115.7053126</v>
      </c>
      <c r="F116" s="24">
        <f t="shared" si="3"/>
        <v>0.0002095450544</v>
      </c>
      <c r="G116" s="24">
        <f t="shared" si="4"/>
        <v>0</v>
      </c>
      <c r="H116" s="26">
        <f t="shared" si="5"/>
        <v>0</v>
      </c>
      <c r="I116" s="24">
        <f t="shared" si="6"/>
        <v>0</v>
      </c>
      <c r="J116" s="24">
        <f t="shared" si="7"/>
        <v>0</v>
      </c>
      <c r="K116" s="24"/>
      <c r="L116" s="24">
        <f t="shared" si="8"/>
        <v>455.8102503</v>
      </c>
      <c r="M116" s="30">
        <f t="shared" si="9"/>
        <v>449.4472746</v>
      </c>
      <c r="N116" s="27">
        <f t="shared" si="10"/>
        <v>6.362975723</v>
      </c>
      <c r="O116" s="24"/>
      <c r="P116" s="28">
        <f t="shared" si="14"/>
        <v>-204.7800375</v>
      </c>
      <c r="Q116" s="27">
        <f t="shared" si="15"/>
        <v>416.4032087</v>
      </c>
      <c r="R116" s="26"/>
      <c r="S116" s="14">
        <f t="shared" si="13"/>
        <v>5.843095999</v>
      </c>
      <c r="U116" s="21"/>
      <c r="V116" s="21"/>
    </row>
    <row r="117">
      <c r="A117" s="11">
        <v>105.0</v>
      </c>
      <c r="B117" s="11">
        <v>1.41985217391304E9</v>
      </c>
      <c r="C117" s="2">
        <v>-102.2497559</v>
      </c>
      <c r="D117" s="24">
        <f t="shared" si="1"/>
        <v>-547826.087</v>
      </c>
      <c r="E117" s="25">
        <f t="shared" si="2"/>
        <v>114.7870165</v>
      </c>
      <c r="F117" s="24">
        <f t="shared" si="3"/>
        <v>0.0002095318555</v>
      </c>
      <c r="G117" s="24">
        <f t="shared" si="4"/>
        <v>0</v>
      </c>
      <c r="H117" s="26">
        <f t="shared" si="5"/>
        <v>0</v>
      </c>
      <c r="I117" s="24">
        <f t="shared" si="6"/>
        <v>0</v>
      </c>
      <c r="J117" s="24">
        <f t="shared" si="7"/>
        <v>0</v>
      </c>
      <c r="K117" s="24"/>
      <c r="L117" s="24">
        <f t="shared" si="8"/>
        <v>453.0337711</v>
      </c>
      <c r="M117" s="30">
        <f t="shared" si="9"/>
        <v>449.3647983</v>
      </c>
      <c r="N117" s="27">
        <f t="shared" si="10"/>
        <v>3.668972781</v>
      </c>
      <c r="O117" s="24"/>
      <c r="P117" s="28">
        <f t="shared" si="14"/>
        <v>-205.6983336</v>
      </c>
      <c r="Q117" s="27">
        <f t="shared" si="15"/>
        <v>415.1213857</v>
      </c>
      <c r="R117" s="26"/>
      <c r="S117" s="14">
        <f t="shared" si="13"/>
        <v>3.369203509</v>
      </c>
      <c r="U117" s="21"/>
      <c r="V117" s="21"/>
    </row>
    <row r="118">
      <c r="A118" s="11">
        <v>106.0</v>
      </c>
      <c r="B118" s="11">
        <v>1.41985652173913E9</v>
      </c>
      <c r="C118" s="2">
        <v>-102.279274</v>
      </c>
      <c r="D118" s="24">
        <f t="shared" si="1"/>
        <v>-543478.2609</v>
      </c>
      <c r="E118" s="25">
        <f t="shared" si="2"/>
        <v>113.8687204</v>
      </c>
      <c r="F118" s="24">
        <f t="shared" si="3"/>
        <v>0.0002095184455</v>
      </c>
      <c r="G118" s="24">
        <f t="shared" si="4"/>
        <v>0</v>
      </c>
      <c r="H118" s="26">
        <f t="shared" si="5"/>
        <v>0</v>
      </c>
      <c r="I118" s="24">
        <f t="shared" si="6"/>
        <v>0</v>
      </c>
      <c r="J118" s="24">
        <f t="shared" si="7"/>
        <v>0</v>
      </c>
      <c r="K118" s="24"/>
      <c r="L118" s="24">
        <f t="shared" si="8"/>
        <v>449.9650346</v>
      </c>
      <c r="M118" s="30">
        <f t="shared" si="9"/>
        <v>449.2821696</v>
      </c>
      <c r="N118" s="27">
        <f t="shared" si="10"/>
        <v>0.6828650291</v>
      </c>
      <c r="O118" s="24"/>
      <c r="P118" s="28">
        <f t="shared" si="14"/>
        <v>-206.6166297</v>
      </c>
      <c r="Q118" s="27">
        <f t="shared" si="15"/>
        <v>418.9743225</v>
      </c>
      <c r="R118" s="26"/>
      <c r="S118" s="14">
        <f t="shared" si="13"/>
        <v>0.6270723154</v>
      </c>
      <c r="U118" s="21"/>
      <c r="V118" s="21"/>
    </row>
    <row r="119">
      <c r="A119" s="11">
        <v>107.0</v>
      </c>
      <c r="B119" s="11">
        <v>1.41986086956521E9</v>
      </c>
      <c r="C119" s="2">
        <v>-102.2757568</v>
      </c>
      <c r="D119" s="24">
        <f t="shared" si="1"/>
        <v>-539130.4348</v>
      </c>
      <c r="E119" s="25">
        <f t="shared" si="2"/>
        <v>112.9504243</v>
      </c>
      <c r="F119" s="24">
        <f t="shared" si="3"/>
        <v>0.0002095048192</v>
      </c>
      <c r="G119" s="24">
        <f t="shared" si="4"/>
        <v>0</v>
      </c>
      <c r="H119" s="26">
        <f t="shared" si="5"/>
        <v>0</v>
      </c>
      <c r="I119" s="24">
        <f t="shared" si="6"/>
        <v>0</v>
      </c>
      <c r="J119" s="24">
        <f t="shared" si="7"/>
        <v>0</v>
      </c>
      <c r="K119" s="24"/>
      <c r="L119" s="24">
        <f t="shared" si="8"/>
        <v>450.3295932</v>
      </c>
      <c r="M119" s="30">
        <f t="shared" si="9"/>
        <v>449.199389</v>
      </c>
      <c r="N119" s="27">
        <f t="shared" si="10"/>
        <v>1.130204258</v>
      </c>
      <c r="O119" s="24"/>
      <c r="P119" s="28">
        <f t="shared" si="14"/>
        <v>-207.5349259</v>
      </c>
      <c r="Q119" s="27">
        <f t="shared" si="15"/>
        <v>412.134933</v>
      </c>
      <c r="R119" s="26"/>
      <c r="S119" s="14">
        <f t="shared" si="13"/>
        <v>1.0378622</v>
      </c>
      <c r="U119" s="21"/>
      <c r="V119" s="21"/>
    </row>
    <row r="120">
      <c r="A120" s="11">
        <v>108.0</v>
      </c>
      <c r="B120" s="11">
        <v>1.4198652173913E9</v>
      </c>
      <c r="C120" s="2">
        <v>-102.3008499</v>
      </c>
      <c r="D120" s="24">
        <f t="shared" si="1"/>
        <v>-534782.6087</v>
      </c>
      <c r="E120" s="25">
        <f t="shared" si="2"/>
        <v>112.0321281</v>
      </c>
      <c r="F120" s="24">
        <f t="shared" si="3"/>
        <v>0.0002094909713</v>
      </c>
      <c r="G120" s="24">
        <f t="shared" si="4"/>
        <v>0</v>
      </c>
      <c r="H120" s="26">
        <f t="shared" si="5"/>
        <v>0</v>
      </c>
      <c r="I120" s="24">
        <f t="shared" si="6"/>
        <v>0</v>
      </c>
      <c r="J120" s="24">
        <f t="shared" si="7"/>
        <v>0</v>
      </c>
      <c r="K120" s="24"/>
      <c r="L120" s="24">
        <f t="shared" si="8"/>
        <v>447.7351364</v>
      </c>
      <c r="M120" s="30">
        <f t="shared" si="9"/>
        <v>449.1164571</v>
      </c>
      <c r="N120" s="27">
        <f t="shared" si="10"/>
        <v>-1.381320691</v>
      </c>
      <c r="O120" s="24"/>
      <c r="P120" s="28">
        <f t="shared" si="14"/>
        <v>-208.453222</v>
      </c>
      <c r="Q120" s="27">
        <f t="shared" si="15"/>
        <v>415.8746586</v>
      </c>
      <c r="R120" s="26"/>
      <c r="S120" s="14">
        <f t="shared" si="13"/>
        <v>-1.268461446</v>
      </c>
      <c r="U120" s="21"/>
      <c r="V120" s="21"/>
    </row>
    <row r="121">
      <c r="A121" s="11">
        <v>109.0</v>
      </c>
      <c r="B121" s="11">
        <v>1.41986956521739E9</v>
      </c>
      <c r="C121" s="2">
        <v>-102.3457336</v>
      </c>
      <c r="D121" s="24">
        <f t="shared" si="1"/>
        <v>-530434.7826</v>
      </c>
      <c r="E121" s="25">
        <f t="shared" si="2"/>
        <v>111.113832</v>
      </c>
      <c r="F121" s="24">
        <f t="shared" si="3"/>
        <v>0.0002094768964</v>
      </c>
      <c r="G121" s="24">
        <f t="shared" si="4"/>
        <v>0</v>
      </c>
      <c r="H121" s="26">
        <f t="shared" si="5"/>
        <v>0</v>
      </c>
      <c r="I121" s="24">
        <f t="shared" si="6"/>
        <v>0</v>
      </c>
      <c r="J121" s="24">
        <f t="shared" si="7"/>
        <v>0</v>
      </c>
      <c r="K121" s="24"/>
      <c r="L121" s="24">
        <f t="shared" si="8"/>
        <v>443.1316882</v>
      </c>
      <c r="M121" s="30">
        <f t="shared" si="9"/>
        <v>449.0333746</v>
      </c>
      <c r="N121" s="27">
        <f t="shared" si="10"/>
        <v>-5.901686447</v>
      </c>
      <c r="O121" s="24"/>
      <c r="P121" s="28">
        <f t="shared" si="14"/>
        <v>-209.3715181</v>
      </c>
      <c r="Q121" s="27">
        <f t="shared" si="15"/>
        <v>414.2602924</v>
      </c>
      <c r="R121" s="26"/>
      <c r="S121" s="14">
        <f t="shared" si="13"/>
        <v>-5.419495842</v>
      </c>
      <c r="U121" s="21"/>
      <c r="V121" s="21"/>
    </row>
    <row r="122">
      <c r="A122" s="11">
        <v>110.0</v>
      </c>
      <c r="B122" s="11">
        <v>1.41987391304347E9</v>
      </c>
      <c r="C122" s="2">
        <v>-102.2580414</v>
      </c>
      <c r="D122" s="24">
        <f t="shared" si="1"/>
        <v>-526086.9565</v>
      </c>
      <c r="E122" s="25">
        <f t="shared" si="2"/>
        <v>110.1955359</v>
      </c>
      <c r="F122" s="24">
        <f t="shared" si="3"/>
        <v>0.0002094625888</v>
      </c>
      <c r="G122" s="24">
        <f t="shared" si="4"/>
        <v>0</v>
      </c>
      <c r="H122" s="26">
        <f t="shared" si="5"/>
        <v>0</v>
      </c>
      <c r="I122" s="24">
        <f t="shared" si="6"/>
        <v>0</v>
      </c>
      <c r="J122" s="24">
        <f t="shared" si="7"/>
        <v>0</v>
      </c>
      <c r="K122" s="24"/>
      <c r="L122" s="24">
        <f t="shared" si="8"/>
        <v>452.1702941</v>
      </c>
      <c r="M122" s="30">
        <f t="shared" si="9"/>
        <v>448.9501421</v>
      </c>
      <c r="N122" s="27">
        <f t="shared" si="10"/>
        <v>3.220151951</v>
      </c>
      <c r="O122" s="24"/>
      <c r="P122" s="28">
        <f t="shared" si="14"/>
        <v>-210.2898143</v>
      </c>
      <c r="Q122" s="27">
        <f t="shared" si="15"/>
        <v>415.9068061</v>
      </c>
      <c r="R122" s="26"/>
      <c r="S122" s="14">
        <f t="shared" si="13"/>
        <v>2.957053084</v>
      </c>
      <c r="U122" s="21"/>
      <c r="V122" s="21"/>
    </row>
    <row r="123">
      <c r="A123" s="11">
        <v>111.0</v>
      </c>
      <c r="B123" s="11">
        <v>1.41987826086956E9</v>
      </c>
      <c r="C123" s="2">
        <v>-102.3390427</v>
      </c>
      <c r="D123" s="24">
        <f t="shared" si="1"/>
        <v>-521739.1304</v>
      </c>
      <c r="E123" s="25">
        <f t="shared" si="2"/>
        <v>109.2772397</v>
      </c>
      <c r="F123" s="24">
        <f t="shared" si="3"/>
        <v>0.0002094480428</v>
      </c>
      <c r="G123" s="24">
        <f t="shared" si="4"/>
        <v>0</v>
      </c>
      <c r="H123" s="26">
        <f t="shared" si="5"/>
        <v>0</v>
      </c>
      <c r="I123" s="24">
        <f t="shared" si="6"/>
        <v>0</v>
      </c>
      <c r="J123" s="24">
        <f t="shared" si="7"/>
        <v>0</v>
      </c>
      <c r="K123" s="24"/>
      <c r="L123" s="24">
        <f t="shared" si="8"/>
        <v>443.8149193</v>
      </c>
      <c r="M123" s="30">
        <f t="shared" si="9"/>
        <v>448.8667602</v>
      </c>
      <c r="N123" s="27">
        <f t="shared" si="10"/>
        <v>-5.051840877</v>
      </c>
      <c r="O123" s="24"/>
      <c r="P123" s="28">
        <f t="shared" si="14"/>
        <v>-211.2081104</v>
      </c>
      <c r="Q123" s="27">
        <f t="shared" si="15"/>
        <v>414.2493803</v>
      </c>
      <c r="R123" s="26"/>
      <c r="S123" s="14">
        <f t="shared" si="13"/>
        <v>-4.639085929</v>
      </c>
      <c r="U123" s="21"/>
      <c r="V123" s="21"/>
    </row>
    <row r="124">
      <c r="A124" s="11">
        <v>112.0</v>
      </c>
      <c r="B124" s="11">
        <v>1.41988260869565E9</v>
      </c>
      <c r="C124" s="2">
        <v>-102.2989502</v>
      </c>
      <c r="D124" s="24">
        <f t="shared" si="1"/>
        <v>-517391.3043</v>
      </c>
      <c r="E124" s="25">
        <f t="shared" si="2"/>
        <v>108.3589436</v>
      </c>
      <c r="F124" s="24">
        <f t="shared" si="3"/>
        <v>0.0002094332523</v>
      </c>
      <c r="G124" s="24">
        <f t="shared" si="4"/>
        <v>0</v>
      </c>
      <c r="H124" s="26">
        <f t="shared" si="5"/>
        <v>0</v>
      </c>
      <c r="I124" s="24">
        <f t="shared" si="6"/>
        <v>0</v>
      </c>
      <c r="J124" s="24">
        <f t="shared" si="7"/>
        <v>0</v>
      </c>
      <c r="K124" s="24"/>
      <c r="L124" s="24">
        <f t="shared" si="8"/>
        <v>447.9310285</v>
      </c>
      <c r="M124" s="30">
        <f t="shared" si="9"/>
        <v>448.7832294</v>
      </c>
      <c r="N124" s="27">
        <f t="shared" si="10"/>
        <v>-0.852200874</v>
      </c>
      <c r="O124" s="24"/>
      <c r="P124" s="28"/>
      <c r="Q124" s="27"/>
      <c r="R124" s="26"/>
      <c r="S124" s="14">
        <f t="shared" si="13"/>
        <v>-0.782572767</v>
      </c>
      <c r="U124" s="21"/>
      <c r="V124" s="21"/>
    </row>
    <row r="125">
      <c r="A125" s="11">
        <v>113.0</v>
      </c>
      <c r="B125" s="11">
        <v>1.41988695652173E9</v>
      </c>
      <c r="C125" s="2">
        <v>-102.2823868</v>
      </c>
      <c r="D125" s="24">
        <f t="shared" si="1"/>
        <v>-513043.4783</v>
      </c>
      <c r="E125" s="25">
        <f t="shared" si="2"/>
        <v>107.4406475</v>
      </c>
      <c r="F125" s="24">
        <f t="shared" si="3"/>
        <v>0.0002094182111</v>
      </c>
      <c r="G125" s="24">
        <f t="shared" si="4"/>
        <v>0</v>
      </c>
      <c r="H125" s="26">
        <f t="shared" si="5"/>
        <v>0</v>
      </c>
      <c r="I125" s="24">
        <f t="shared" si="6"/>
        <v>0</v>
      </c>
      <c r="J125" s="24">
        <f t="shared" si="7"/>
        <v>0</v>
      </c>
      <c r="K125" s="24"/>
      <c r="L125" s="24">
        <f t="shared" si="8"/>
        <v>449.6426383</v>
      </c>
      <c r="M125" s="30">
        <f t="shared" si="9"/>
        <v>448.6995504</v>
      </c>
      <c r="N125" s="27">
        <f t="shared" si="10"/>
        <v>0.9430878926</v>
      </c>
      <c r="O125" s="24"/>
      <c r="P125" s="24"/>
      <c r="Q125" s="24"/>
      <c r="R125" s="26"/>
      <c r="S125" s="14">
        <f t="shared" si="13"/>
        <v>0.8660339646</v>
      </c>
      <c r="U125" s="21"/>
      <c r="V125" s="21"/>
    </row>
    <row r="126">
      <c r="A126" s="11">
        <v>114.0</v>
      </c>
      <c r="B126" s="11">
        <v>1.41989130434782E9</v>
      </c>
      <c r="C126" s="2">
        <v>-102.345726</v>
      </c>
      <c r="D126" s="24">
        <f t="shared" si="1"/>
        <v>-508695.6522</v>
      </c>
      <c r="E126" s="25">
        <f t="shared" si="2"/>
        <v>106.5223513</v>
      </c>
      <c r="F126" s="24">
        <f t="shared" si="3"/>
        <v>0.0002094029129</v>
      </c>
      <c r="G126" s="24">
        <f t="shared" si="4"/>
        <v>0</v>
      </c>
      <c r="H126" s="26">
        <f t="shared" si="5"/>
        <v>0</v>
      </c>
      <c r="I126" s="24">
        <f t="shared" si="6"/>
        <v>0</v>
      </c>
      <c r="J126" s="24">
        <f t="shared" si="7"/>
        <v>0</v>
      </c>
      <c r="K126" s="24"/>
      <c r="L126" s="24">
        <f t="shared" si="8"/>
        <v>443.1324636</v>
      </c>
      <c r="M126" s="30">
        <f t="shared" si="9"/>
        <v>448.6157238</v>
      </c>
      <c r="N126" s="27">
        <f t="shared" si="10"/>
        <v>-5.483260153</v>
      </c>
      <c r="O126" s="24"/>
      <c r="P126" s="24"/>
      <c r="Q126" s="24"/>
      <c r="R126" s="26"/>
      <c r="S126" s="14">
        <f t="shared" si="13"/>
        <v>-5.035256594</v>
      </c>
      <c r="U126" s="21"/>
      <c r="V126" s="21"/>
    </row>
    <row r="127">
      <c r="A127" s="11">
        <v>115.0</v>
      </c>
      <c r="B127" s="11">
        <v>1.41989565217391E9</v>
      </c>
      <c r="C127" s="2">
        <v>-102.3113022</v>
      </c>
      <c r="D127" s="24">
        <f t="shared" si="1"/>
        <v>-504347.8261</v>
      </c>
      <c r="E127" s="25">
        <f t="shared" si="2"/>
        <v>105.6040552</v>
      </c>
      <c r="F127" s="24">
        <f t="shared" si="3"/>
        <v>0.0002093873508</v>
      </c>
      <c r="G127" s="24">
        <f t="shared" si="4"/>
        <v>0</v>
      </c>
      <c r="H127" s="26">
        <f t="shared" si="5"/>
        <v>0</v>
      </c>
      <c r="I127" s="24">
        <f t="shared" si="6"/>
        <v>0</v>
      </c>
      <c r="J127" s="24">
        <f t="shared" si="7"/>
        <v>0</v>
      </c>
      <c r="K127" s="24"/>
      <c r="L127" s="24">
        <f t="shared" si="8"/>
        <v>446.6588541</v>
      </c>
      <c r="M127" s="30">
        <f t="shared" si="9"/>
        <v>448.5317502</v>
      </c>
      <c r="N127" s="27">
        <f t="shared" si="10"/>
        <v>-1.872896145</v>
      </c>
      <c r="O127" s="24"/>
      <c r="P127" s="24"/>
      <c r="Q127" s="24"/>
      <c r="R127" s="26"/>
      <c r="S127" s="14">
        <f t="shared" si="13"/>
        <v>-1.719873283</v>
      </c>
      <c r="U127" s="21"/>
      <c r="V127" s="21"/>
    </row>
    <row r="128">
      <c r="A128" s="11">
        <v>116.0</v>
      </c>
      <c r="B128" s="11">
        <v>1.4199E9</v>
      </c>
      <c r="C128" s="2">
        <v>-102.3179779</v>
      </c>
      <c r="D128" s="24">
        <f t="shared" si="1"/>
        <v>-500000</v>
      </c>
      <c r="E128" s="25">
        <f t="shared" si="2"/>
        <v>104.6857591</v>
      </c>
      <c r="F128" s="24">
        <f t="shared" si="3"/>
        <v>0.0002093715181</v>
      </c>
      <c r="G128" s="24">
        <f t="shared" si="4"/>
        <v>0</v>
      </c>
      <c r="H128" s="26">
        <f t="shared" si="5"/>
        <v>0</v>
      </c>
      <c r="I128" s="24">
        <f t="shared" si="6"/>
        <v>0</v>
      </c>
      <c r="J128" s="24">
        <f t="shared" si="7"/>
        <v>0</v>
      </c>
      <c r="K128" s="24"/>
      <c r="L128" s="24">
        <f t="shared" si="8"/>
        <v>445.9728057</v>
      </c>
      <c r="M128" s="30">
        <f t="shared" si="9"/>
        <v>448.4476302</v>
      </c>
      <c r="N128" s="27">
        <f t="shared" si="10"/>
        <v>-2.474824486</v>
      </c>
      <c r="O128" s="24"/>
      <c r="P128" s="24"/>
      <c r="Q128" s="24"/>
      <c r="R128" s="26"/>
      <c r="S128" s="14">
        <f t="shared" si="13"/>
        <v>-2.272621755</v>
      </c>
      <c r="U128" s="21"/>
      <c r="V128" s="21"/>
    </row>
    <row r="129">
      <c r="A129" s="11">
        <v>117.0</v>
      </c>
      <c r="B129" s="11">
        <v>1.41990434782608E9</v>
      </c>
      <c r="C129" s="2">
        <v>-102.3381042</v>
      </c>
      <c r="D129" s="24">
        <f t="shared" si="1"/>
        <v>-495652.1739</v>
      </c>
      <c r="E129" s="25">
        <f t="shared" si="2"/>
        <v>103.7674629</v>
      </c>
      <c r="F129" s="24">
        <f t="shared" si="3"/>
        <v>0.0002093554077</v>
      </c>
      <c r="G129" s="24">
        <f t="shared" si="4"/>
        <v>0</v>
      </c>
      <c r="H129" s="26">
        <f t="shared" si="5"/>
        <v>0</v>
      </c>
      <c r="I129" s="24">
        <f t="shared" si="6"/>
        <v>0</v>
      </c>
      <c r="J129" s="24">
        <f t="shared" si="7"/>
        <v>0</v>
      </c>
      <c r="K129" s="24"/>
      <c r="L129" s="24">
        <f t="shared" si="8"/>
        <v>443.910837</v>
      </c>
      <c r="M129" s="30">
        <f t="shared" si="9"/>
        <v>448.3633645</v>
      </c>
      <c r="N129" s="27">
        <f t="shared" si="10"/>
        <v>-4.452527486</v>
      </c>
      <c r="O129" s="24"/>
      <c r="P129" s="24"/>
      <c r="Q129" s="24"/>
      <c r="R129" s="26"/>
      <c r="S129" s="14">
        <f t="shared" si="13"/>
        <v>-4.088738771</v>
      </c>
      <c r="U129" s="21"/>
      <c r="V129" s="21"/>
    </row>
    <row r="130">
      <c r="A130" s="11">
        <v>118.0</v>
      </c>
      <c r="B130" s="11">
        <v>1.41990869565217E9</v>
      </c>
      <c r="C130" s="2">
        <v>-102.3115234</v>
      </c>
      <c r="D130" s="24">
        <f t="shared" si="1"/>
        <v>-491304.3478</v>
      </c>
      <c r="E130" s="25">
        <f t="shared" si="2"/>
        <v>102.8491668</v>
      </c>
      <c r="F130" s="24">
        <f t="shared" si="3"/>
        <v>0.0002093390121</v>
      </c>
      <c r="G130" s="24">
        <f t="shared" si="4"/>
        <v>0</v>
      </c>
      <c r="H130" s="26">
        <f t="shared" si="5"/>
        <v>0</v>
      </c>
      <c r="I130" s="24">
        <f t="shared" si="6"/>
        <v>0</v>
      </c>
      <c r="J130" s="24">
        <f t="shared" si="7"/>
        <v>0</v>
      </c>
      <c r="K130" s="24"/>
      <c r="L130" s="24">
        <f t="shared" si="8"/>
        <v>446.6361049</v>
      </c>
      <c r="M130" s="30">
        <f t="shared" si="9"/>
        <v>448.2789535</v>
      </c>
      <c r="N130" s="27">
        <f t="shared" si="10"/>
        <v>-1.642848644</v>
      </c>
      <c r="O130" s="24"/>
      <c r="P130" s="24"/>
      <c r="Q130" s="24"/>
      <c r="R130" s="26"/>
      <c r="S130" s="14">
        <f t="shared" si="13"/>
        <v>-1.508621553</v>
      </c>
      <c r="U130" s="21"/>
      <c r="V130" s="21"/>
    </row>
    <row r="131">
      <c r="A131" s="11">
        <v>119.0</v>
      </c>
      <c r="B131" s="11">
        <v>1.41991304347826E9</v>
      </c>
      <c r="C131" s="2">
        <v>-102.3192902</v>
      </c>
      <c r="D131" s="24">
        <f t="shared" si="1"/>
        <v>-486956.5217</v>
      </c>
      <c r="E131" s="25">
        <f t="shared" si="2"/>
        <v>101.9308707</v>
      </c>
      <c r="F131" s="24">
        <f t="shared" si="3"/>
        <v>0.0002093223237</v>
      </c>
      <c r="G131" s="24">
        <f t="shared" si="4"/>
        <v>0</v>
      </c>
      <c r="H131" s="26">
        <f t="shared" si="5"/>
        <v>0</v>
      </c>
      <c r="I131" s="24">
        <f t="shared" si="6"/>
        <v>0</v>
      </c>
      <c r="J131" s="24">
        <f t="shared" si="7"/>
        <v>0</v>
      </c>
      <c r="K131" s="24"/>
      <c r="L131" s="24">
        <f t="shared" si="8"/>
        <v>445.8380673</v>
      </c>
      <c r="M131" s="30">
        <f t="shared" si="9"/>
        <v>448.194398</v>
      </c>
      <c r="N131" s="27">
        <f t="shared" si="10"/>
        <v>-2.356330745</v>
      </c>
      <c r="O131" s="24"/>
      <c r="P131" s="24"/>
      <c r="Q131" s="24"/>
      <c r="R131" s="26"/>
      <c r="S131" s="14">
        <f t="shared" si="13"/>
        <v>-2.16380941</v>
      </c>
      <c r="U131" s="21"/>
      <c r="V131" s="21"/>
    </row>
    <row r="132">
      <c r="A132" s="11">
        <v>120.0</v>
      </c>
      <c r="B132" s="11">
        <v>1.41991739130434E9</v>
      </c>
      <c r="C132" s="2">
        <v>-102.3156509</v>
      </c>
      <c r="D132" s="24">
        <f t="shared" si="1"/>
        <v>-482608.6957</v>
      </c>
      <c r="E132" s="25">
        <f t="shared" si="2"/>
        <v>101.0125745</v>
      </c>
      <c r="F132" s="24">
        <f t="shared" si="3"/>
        <v>0.0002093053346</v>
      </c>
      <c r="G132" s="24">
        <f t="shared" si="4"/>
        <v>0</v>
      </c>
      <c r="H132" s="26">
        <f t="shared" si="5"/>
        <v>0</v>
      </c>
      <c r="I132" s="24">
        <f t="shared" si="6"/>
        <v>0</v>
      </c>
      <c r="J132" s="24">
        <f t="shared" si="7"/>
        <v>0</v>
      </c>
      <c r="K132" s="24"/>
      <c r="L132" s="24">
        <f t="shared" si="8"/>
        <v>446.2118272</v>
      </c>
      <c r="M132" s="30">
        <f t="shared" si="9"/>
        <v>448.1096986</v>
      </c>
      <c r="N132" s="27">
        <f t="shared" si="10"/>
        <v>-1.897871411</v>
      </c>
      <c r="O132" s="24"/>
      <c r="P132" s="24"/>
      <c r="Q132" s="24"/>
      <c r="R132" s="26"/>
      <c r="S132" s="14">
        <f t="shared" si="13"/>
        <v>-1.742807977</v>
      </c>
      <c r="U132" s="21"/>
      <c r="V132" s="21"/>
    </row>
    <row r="133">
      <c r="A133" s="11">
        <v>121.0</v>
      </c>
      <c r="B133" s="11">
        <v>1.41992173913043E9</v>
      </c>
      <c r="C133" s="2">
        <v>-102.2628098</v>
      </c>
      <c r="D133" s="24">
        <f t="shared" si="1"/>
        <v>-478260.8696</v>
      </c>
      <c r="E133" s="25">
        <f t="shared" si="2"/>
        <v>100.0942784</v>
      </c>
      <c r="F133" s="24">
        <f t="shared" si="3"/>
        <v>0.0002092880367</v>
      </c>
      <c r="G133" s="24">
        <f t="shared" si="4"/>
        <v>0</v>
      </c>
      <c r="H133" s="26">
        <f t="shared" si="5"/>
        <v>0</v>
      </c>
      <c r="I133" s="24">
        <f t="shared" si="6"/>
        <v>0</v>
      </c>
      <c r="J133" s="24">
        <f t="shared" si="7"/>
        <v>0</v>
      </c>
      <c r="K133" s="24"/>
      <c r="L133" s="24">
        <f t="shared" si="8"/>
        <v>451.6740995</v>
      </c>
      <c r="M133" s="30">
        <f t="shared" si="9"/>
        <v>448.0248558</v>
      </c>
      <c r="N133" s="27">
        <f t="shared" si="10"/>
        <v>3.649243745</v>
      </c>
      <c r="O133" s="24"/>
      <c r="P133" s="24"/>
      <c r="Q133" s="24"/>
      <c r="R133" s="26"/>
      <c r="S133" s="14">
        <f t="shared" si="13"/>
        <v>3.351086411</v>
      </c>
      <c r="U133" s="21"/>
      <c r="V133" s="21"/>
    </row>
    <row r="134">
      <c r="A134" s="11">
        <v>122.0</v>
      </c>
      <c r="B134" s="11">
        <v>1.41992608695652E9</v>
      </c>
      <c r="C134" s="2">
        <v>-102.2814178</v>
      </c>
      <c r="D134" s="24">
        <f t="shared" si="1"/>
        <v>-473913.0435</v>
      </c>
      <c r="E134" s="25">
        <f t="shared" si="2"/>
        <v>99.17598227</v>
      </c>
      <c r="F134" s="24">
        <f t="shared" si="3"/>
        <v>0.0002092704213</v>
      </c>
      <c r="G134" s="24">
        <f t="shared" si="4"/>
        <v>0</v>
      </c>
      <c r="H134" s="26">
        <f t="shared" si="5"/>
        <v>0</v>
      </c>
      <c r="I134" s="24">
        <f t="shared" si="6"/>
        <v>0</v>
      </c>
      <c r="J134" s="24">
        <f t="shared" si="7"/>
        <v>0</v>
      </c>
      <c r="K134" s="24"/>
      <c r="L134" s="24">
        <f t="shared" si="8"/>
        <v>449.742974</v>
      </c>
      <c r="M134" s="30">
        <f t="shared" si="9"/>
        <v>447.9398702</v>
      </c>
      <c r="N134" s="27">
        <f t="shared" si="10"/>
        <v>1.803103771</v>
      </c>
      <c r="O134" s="24"/>
      <c r="P134" s="24"/>
      <c r="Q134" s="24"/>
      <c r="R134" s="26"/>
      <c r="S134" s="14">
        <f t="shared" si="13"/>
        <v>1.65578322</v>
      </c>
      <c r="U134" s="21"/>
      <c r="V134" s="21"/>
    </row>
    <row r="135">
      <c r="A135" s="11">
        <v>123.0</v>
      </c>
      <c r="B135" s="11">
        <v>1.4199304347826E9</v>
      </c>
      <c r="C135" s="2">
        <v>-102.3222809</v>
      </c>
      <c r="D135" s="24">
        <f t="shared" si="1"/>
        <v>-469565.2174</v>
      </c>
      <c r="E135" s="25">
        <f t="shared" si="2"/>
        <v>98.25768614</v>
      </c>
      <c r="F135" s="24">
        <f t="shared" si="3"/>
        <v>0.0002092524797</v>
      </c>
      <c r="G135" s="24">
        <f t="shared" si="4"/>
        <v>0</v>
      </c>
      <c r="H135" s="26">
        <f t="shared" si="5"/>
        <v>0</v>
      </c>
      <c r="I135" s="24">
        <f t="shared" si="6"/>
        <v>0</v>
      </c>
      <c r="J135" s="24">
        <f t="shared" si="7"/>
        <v>0</v>
      </c>
      <c r="K135" s="24"/>
      <c r="L135" s="24">
        <f t="shared" si="8"/>
        <v>445.5311537</v>
      </c>
      <c r="M135" s="30">
        <f t="shared" si="9"/>
        <v>447.8547425</v>
      </c>
      <c r="N135" s="27">
        <f t="shared" si="10"/>
        <v>-2.323588837</v>
      </c>
      <c r="O135" s="24"/>
      <c r="P135" s="24"/>
      <c r="Q135" s="24"/>
      <c r="R135" s="26"/>
      <c r="S135" s="14">
        <f t="shared" si="13"/>
        <v>-2.133742643</v>
      </c>
      <c r="U135" s="21"/>
      <c r="V135" s="21"/>
    </row>
    <row r="136">
      <c r="A136" s="11">
        <v>124.0</v>
      </c>
      <c r="B136" s="11">
        <v>1.41993478260869E9</v>
      </c>
      <c r="C136" s="2">
        <v>-102.2791595</v>
      </c>
      <c r="D136" s="24">
        <f t="shared" si="1"/>
        <v>-465217.3913</v>
      </c>
      <c r="E136" s="25">
        <f t="shared" si="2"/>
        <v>97.33939001</v>
      </c>
      <c r="F136" s="24">
        <f t="shared" si="3"/>
        <v>0.0002092342028</v>
      </c>
      <c r="G136" s="24">
        <f t="shared" si="4"/>
        <v>0</v>
      </c>
      <c r="H136" s="26">
        <f t="shared" si="5"/>
        <v>0</v>
      </c>
      <c r="I136" s="24">
        <f t="shared" si="6"/>
        <v>0</v>
      </c>
      <c r="J136" s="24">
        <f t="shared" si="7"/>
        <v>0</v>
      </c>
      <c r="K136" s="24"/>
      <c r="L136" s="24">
        <f t="shared" si="8"/>
        <v>449.9768979</v>
      </c>
      <c r="M136" s="30">
        <f t="shared" si="9"/>
        <v>447.7694733</v>
      </c>
      <c r="N136" s="27">
        <f t="shared" si="10"/>
        <v>2.207424605</v>
      </c>
      <c r="O136" s="24"/>
      <c r="P136" s="24"/>
      <c r="Q136" s="24"/>
      <c r="R136" s="26"/>
      <c r="S136" s="14">
        <f t="shared" si="13"/>
        <v>2.027069478</v>
      </c>
      <c r="U136" s="21"/>
      <c r="V136" s="21"/>
    </row>
    <row r="137">
      <c r="A137" s="11">
        <v>125.0</v>
      </c>
      <c r="B137" s="11">
        <v>1.41993913043478E9</v>
      </c>
      <c r="C137" s="2">
        <v>-102.2952194</v>
      </c>
      <c r="D137" s="24">
        <f t="shared" si="1"/>
        <v>-460869.5652</v>
      </c>
      <c r="E137" s="25">
        <f t="shared" si="2"/>
        <v>96.42109387</v>
      </c>
      <c r="F137" s="24">
        <f t="shared" si="3"/>
        <v>0.000209215581</v>
      </c>
      <c r="G137" s="24">
        <f t="shared" si="4"/>
        <v>0</v>
      </c>
      <c r="H137" s="26">
        <f t="shared" si="5"/>
        <v>0</v>
      </c>
      <c r="I137" s="24">
        <f t="shared" si="6"/>
        <v>0</v>
      </c>
      <c r="J137" s="24">
        <f t="shared" si="7"/>
        <v>0</v>
      </c>
      <c r="K137" s="24"/>
      <c r="L137" s="24">
        <f t="shared" si="8"/>
        <v>448.3159883</v>
      </c>
      <c r="M137" s="30">
        <f t="shared" si="9"/>
        <v>447.6840631</v>
      </c>
      <c r="N137" s="27">
        <f t="shared" si="10"/>
        <v>0.6319251468</v>
      </c>
      <c r="O137" s="24"/>
      <c r="P137" s="24"/>
      <c r="Q137" s="24"/>
      <c r="R137" s="26"/>
      <c r="S137" s="14">
        <f t="shared" si="13"/>
        <v>0.5802944172</v>
      </c>
      <c r="U137" s="21"/>
      <c r="V137" s="21"/>
    </row>
    <row r="138">
      <c r="A138" s="11">
        <v>126.0</v>
      </c>
      <c r="B138" s="11">
        <v>1.41994347826087E9</v>
      </c>
      <c r="C138" s="2">
        <v>-102.3515625</v>
      </c>
      <c r="D138" s="24">
        <f t="shared" si="1"/>
        <v>-456521.7391</v>
      </c>
      <c r="E138" s="25">
        <f t="shared" si="2"/>
        <v>95.50279774</v>
      </c>
      <c r="F138" s="24">
        <f t="shared" si="3"/>
        <v>0.0002091966046</v>
      </c>
      <c r="G138" s="24">
        <f t="shared" si="4"/>
        <v>0</v>
      </c>
      <c r="H138" s="26">
        <f t="shared" si="5"/>
        <v>0</v>
      </c>
      <c r="I138" s="24">
        <f t="shared" si="6"/>
        <v>0</v>
      </c>
      <c r="J138" s="24">
        <f t="shared" si="7"/>
        <v>0</v>
      </c>
      <c r="K138" s="24"/>
      <c r="L138" s="24">
        <f t="shared" si="8"/>
        <v>442.5373362</v>
      </c>
      <c r="M138" s="30">
        <f t="shared" si="9"/>
        <v>447.5985127</v>
      </c>
      <c r="N138" s="27">
        <f t="shared" si="10"/>
        <v>-5.061176447</v>
      </c>
      <c r="O138" s="24"/>
      <c r="P138" s="24"/>
      <c r="Q138" s="24"/>
      <c r="R138" s="26"/>
      <c r="S138" s="14">
        <f t="shared" si="13"/>
        <v>-4.647658759</v>
      </c>
      <c r="U138" s="21"/>
      <c r="V138" s="21"/>
    </row>
    <row r="139">
      <c r="A139" s="11">
        <v>127.0</v>
      </c>
      <c r="B139" s="11">
        <v>1.41994782608695E9</v>
      </c>
      <c r="C139" s="2">
        <v>-102.3635712</v>
      </c>
      <c r="D139" s="24">
        <f t="shared" si="1"/>
        <v>-452173.913</v>
      </c>
      <c r="E139" s="25">
        <f t="shared" si="2"/>
        <v>94.58450161</v>
      </c>
      <c r="F139" s="24">
        <f t="shared" si="3"/>
        <v>0.0002091772632</v>
      </c>
      <c r="G139" s="24">
        <f t="shared" si="4"/>
        <v>0</v>
      </c>
      <c r="H139" s="26">
        <f t="shared" si="5"/>
        <v>0</v>
      </c>
      <c r="I139" s="24">
        <f t="shared" si="6"/>
        <v>0</v>
      </c>
      <c r="J139" s="24">
        <f t="shared" si="7"/>
        <v>0</v>
      </c>
      <c r="K139" s="24"/>
      <c r="L139" s="24">
        <f t="shared" si="8"/>
        <v>441.3153641</v>
      </c>
      <c r="M139" s="30">
        <f t="shared" si="9"/>
        <v>447.5128225</v>
      </c>
      <c r="N139" s="27">
        <f t="shared" si="10"/>
        <v>-6.197458429</v>
      </c>
      <c r="O139" s="24"/>
      <c r="P139" s="24"/>
      <c r="Q139" s="24"/>
      <c r="R139" s="26"/>
      <c r="S139" s="14">
        <f t="shared" si="13"/>
        <v>-5.691102108</v>
      </c>
      <c r="U139" s="21"/>
      <c r="V139" s="21"/>
    </row>
    <row r="140">
      <c r="A140" s="11">
        <v>128.0</v>
      </c>
      <c r="B140" s="11">
        <v>1.41995217391304E9</v>
      </c>
      <c r="C140" s="2">
        <v>-102.3214493</v>
      </c>
      <c r="D140" s="24">
        <f t="shared" si="1"/>
        <v>-447826.087</v>
      </c>
      <c r="E140" s="25">
        <f t="shared" si="2"/>
        <v>93.66620548</v>
      </c>
      <c r="F140" s="24">
        <f t="shared" si="3"/>
        <v>0.0002091575462</v>
      </c>
      <c r="G140" s="24">
        <f t="shared" si="4"/>
        <v>0</v>
      </c>
      <c r="H140" s="26">
        <f t="shared" si="5"/>
        <v>0</v>
      </c>
      <c r="I140" s="24">
        <f t="shared" si="6"/>
        <v>0</v>
      </c>
      <c r="J140" s="24">
        <f t="shared" si="7"/>
        <v>0</v>
      </c>
      <c r="K140" s="24"/>
      <c r="L140" s="24">
        <f t="shared" si="8"/>
        <v>445.6164735</v>
      </c>
      <c r="M140" s="30">
        <f t="shared" si="9"/>
        <v>447.4269933</v>
      </c>
      <c r="N140" s="27">
        <f t="shared" si="10"/>
        <v>-1.810519802</v>
      </c>
      <c r="O140" s="24"/>
      <c r="P140" s="24"/>
      <c r="Q140" s="24"/>
      <c r="R140" s="26"/>
      <c r="S140" s="14">
        <f t="shared" si="13"/>
        <v>-1.662593328</v>
      </c>
      <c r="U140" s="21"/>
      <c r="V140" s="21"/>
    </row>
    <row r="141">
      <c r="A141" s="11">
        <v>129.0</v>
      </c>
      <c r="B141" s="11">
        <v>1.41995652173913E9</v>
      </c>
      <c r="C141" s="2">
        <v>-102.3232193</v>
      </c>
      <c r="D141" s="24">
        <f t="shared" si="1"/>
        <v>-443478.2609</v>
      </c>
      <c r="E141" s="25">
        <f t="shared" si="2"/>
        <v>92.74790935</v>
      </c>
      <c r="F141" s="24">
        <f t="shared" si="3"/>
        <v>0.0002091374426</v>
      </c>
      <c r="G141" s="24">
        <f t="shared" si="4"/>
        <v>0</v>
      </c>
      <c r="H141" s="26">
        <f t="shared" si="5"/>
        <v>0</v>
      </c>
      <c r="I141" s="24">
        <f t="shared" si="6"/>
        <v>0</v>
      </c>
      <c r="J141" s="24">
        <f t="shared" si="7"/>
        <v>0</v>
      </c>
      <c r="K141" s="24"/>
      <c r="L141" s="24">
        <f t="shared" si="8"/>
        <v>445.4348961</v>
      </c>
      <c r="M141" s="30">
        <f t="shared" si="9"/>
        <v>447.3410255</v>
      </c>
      <c r="N141" s="27">
        <f t="shared" si="10"/>
        <v>-1.906129414</v>
      </c>
      <c r="O141" s="24"/>
      <c r="P141" s="24"/>
      <c r="Q141" s="24"/>
      <c r="R141" s="26"/>
      <c r="S141" s="14">
        <f t="shared" si="13"/>
        <v>-1.75039127</v>
      </c>
      <c r="U141" s="21"/>
      <c r="V141" s="21"/>
    </row>
    <row r="142">
      <c r="A142" s="11">
        <v>130.0</v>
      </c>
      <c r="B142" s="11">
        <v>1.41996086956521E9</v>
      </c>
      <c r="C142" s="2">
        <v>-102.3472672</v>
      </c>
      <c r="D142" s="24">
        <f t="shared" si="1"/>
        <v>-439130.4348</v>
      </c>
      <c r="E142" s="25">
        <f t="shared" si="2"/>
        <v>91.82961321</v>
      </c>
      <c r="F142" s="24">
        <f t="shared" si="3"/>
        <v>0.000209116941</v>
      </c>
      <c r="G142" s="24">
        <f t="shared" si="4"/>
        <v>0</v>
      </c>
      <c r="H142" s="26">
        <f t="shared" si="5"/>
        <v>0</v>
      </c>
      <c r="I142" s="24">
        <f t="shared" si="6"/>
        <v>0</v>
      </c>
      <c r="J142" s="24">
        <f t="shared" si="7"/>
        <v>0</v>
      </c>
      <c r="K142" s="24"/>
      <c r="L142" s="24">
        <f t="shared" si="8"/>
        <v>442.9752352</v>
      </c>
      <c r="M142" s="30">
        <f t="shared" si="9"/>
        <v>447.2549199</v>
      </c>
      <c r="N142" s="27">
        <f t="shared" si="10"/>
        <v>-4.279684718</v>
      </c>
      <c r="O142" s="24"/>
      <c r="P142" s="24"/>
      <c r="Q142" s="24"/>
      <c r="R142" s="26"/>
      <c r="S142" s="14">
        <f t="shared" si="13"/>
        <v>-3.930017927</v>
      </c>
      <c r="U142" s="21"/>
      <c r="V142" s="21"/>
    </row>
    <row r="143">
      <c r="A143" s="11">
        <v>131.0</v>
      </c>
      <c r="B143" s="11">
        <v>1.4199652173913E9</v>
      </c>
      <c r="C143" s="2">
        <v>-102.2998123</v>
      </c>
      <c r="D143" s="24">
        <f t="shared" si="1"/>
        <v>-434782.6087</v>
      </c>
      <c r="E143" s="25">
        <f t="shared" si="2"/>
        <v>90.91131708</v>
      </c>
      <c r="F143" s="24">
        <f t="shared" si="3"/>
        <v>0.0002090960293</v>
      </c>
      <c r="G143" s="24">
        <f t="shared" si="4"/>
        <v>0</v>
      </c>
      <c r="H143" s="26">
        <f t="shared" si="5"/>
        <v>0</v>
      </c>
      <c r="I143" s="24">
        <f t="shared" si="6"/>
        <v>0</v>
      </c>
      <c r="J143" s="24">
        <f t="shared" si="7"/>
        <v>0</v>
      </c>
      <c r="K143" s="24"/>
      <c r="L143" s="24">
        <f t="shared" si="8"/>
        <v>447.8421204</v>
      </c>
      <c r="M143" s="30">
        <f t="shared" si="9"/>
        <v>447.168677</v>
      </c>
      <c r="N143" s="27">
        <f t="shared" si="10"/>
        <v>0.6734434062</v>
      </c>
      <c r="O143" s="24"/>
      <c r="P143" s="24"/>
      <c r="Q143" s="24"/>
      <c r="R143" s="26"/>
      <c r="S143" s="14">
        <f t="shared" si="13"/>
        <v>0.6184204741</v>
      </c>
      <c r="U143" s="21"/>
      <c r="V143" s="21"/>
    </row>
    <row r="144">
      <c r="A144" s="11">
        <v>132.0</v>
      </c>
      <c r="B144" s="11">
        <v>1.41996956521739E9</v>
      </c>
      <c r="C144" s="2">
        <v>-102.3098068</v>
      </c>
      <c r="D144" s="24">
        <f t="shared" si="1"/>
        <v>-430434.7826</v>
      </c>
      <c r="E144" s="25">
        <f t="shared" si="2"/>
        <v>89.99302095</v>
      </c>
      <c r="F144" s="24">
        <f t="shared" si="3"/>
        <v>0.0002090746951</v>
      </c>
      <c r="G144" s="24">
        <f t="shared" si="4"/>
        <v>0</v>
      </c>
      <c r="H144" s="26">
        <f t="shared" si="5"/>
        <v>0</v>
      </c>
      <c r="I144" s="24">
        <f t="shared" si="6"/>
        <v>0</v>
      </c>
      <c r="J144" s="24">
        <f t="shared" si="7"/>
        <v>0</v>
      </c>
      <c r="K144" s="24"/>
      <c r="L144" s="24">
        <f t="shared" si="8"/>
        <v>446.812678</v>
      </c>
      <c r="M144" s="30">
        <f t="shared" si="9"/>
        <v>447.0822974</v>
      </c>
      <c r="N144" s="27">
        <f t="shared" si="10"/>
        <v>-0.2696194665</v>
      </c>
      <c r="O144" s="24"/>
      <c r="P144" s="24"/>
      <c r="Q144" s="24"/>
      <c r="R144" s="26"/>
      <c r="S144" s="14">
        <f t="shared" si="13"/>
        <v>-0.2475905134</v>
      </c>
      <c r="U144" s="21"/>
      <c r="V144" s="21"/>
    </row>
    <row r="145">
      <c r="A145" s="11">
        <v>133.0</v>
      </c>
      <c r="B145" s="11">
        <v>1.41997391304347E9</v>
      </c>
      <c r="C145" s="2">
        <v>-102.3353806</v>
      </c>
      <c r="D145" s="24">
        <f t="shared" si="1"/>
        <v>-426086.9565</v>
      </c>
      <c r="E145" s="25">
        <f t="shared" si="2"/>
        <v>89.07472482</v>
      </c>
      <c r="F145" s="24">
        <f t="shared" si="3"/>
        <v>0.0002090529256</v>
      </c>
      <c r="G145" s="24">
        <f t="shared" si="4"/>
        <v>0</v>
      </c>
      <c r="H145" s="26">
        <f t="shared" si="5"/>
        <v>0</v>
      </c>
      <c r="I145" s="24">
        <f t="shared" si="6"/>
        <v>0</v>
      </c>
      <c r="J145" s="24">
        <f t="shared" si="7"/>
        <v>0</v>
      </c>
      <c r="K145" s="24"/>
      <c r="L145" s="24">
        <f t="shared" si="8"/>
        <v>444.189315</v>
      </c>
      <c r="M145" s="30">
        <f t="shared" si="9"/>
        <v>446.9957818</v>
      </c>
      <c r="N145" s="27">
        <f t="shared" si="10"/>
        <v>-2.806466773</v>
      </c>
      <c r="O145" s="24"/>
      <c r="P145" s="24"/>
      <c r="Q145" s="24"/>
      <c r="R145" s="26"/>
      <c r="S145" s="14">
        <f t="shared" si="13"/>
        <v>-2.577167584</v>
      </c>
      <c r="U145" s="21"/>
      <c r="V145" s="21"/>
    </row>
    <row r="146">
      <c r="A146" s="11">
        <v>134.0</v>
      </c>
      <c r="B146" s="11">
        <v>1.41997826086956E9</v>
      </c>
      <c r="C146" s="2">
        <v>-102.3077393</v>
      </c>
      <c r="D146" s="24">
        <f t="shared" si="1"/>
        <v>-421739.1304</v>
      </c>
      <c r="E146" s="25">
        <f t="shared" si="2"/>
        <v>88.15642869</v>
      </c>
      <c r="F146" s="24">
        <f t="shared" si="3"/>
        <v>0.0002090307072</v>
      </c>
      <c r="G146" s="24">
        <f t="shared" si="4"/>
        <v>0</v>
      </c>
      <c r="H146" s="26">
        <f t="shared" si="5"/>
        <v>0</v>
      </c>
      <c r="I146" s="24">
        <f t="shared" si="6"/>
        <v>0</v>
      </c>
      <c r="J146" s="24">
        <f t="shared" si="7"/>
        <v>0</v>
      </c>
      <c r="K146" s="24"/>
      <c r="L146" s="24">
        <f t="shared" si="8"/>
        <v>447.025438</v>
      </c>
      <c r="M146" s="30">
        <f t="shared" si="9"/>
        <v>446.9091307</v>
      </c>
      <c r="N146" s="27">
        <f t="shared" si="10"/>
        <v>0.1163072847</v>
      </c>
      <c r="O146" s="24"/>
      <c r="P146" s="24"/>
      <c r="Q146" s="24"/>
      <c r="R146" s="26"/>
      <c r="S146" s="14">
        <f t="shared" si="13"/>
        <v>0.1068045295</v>
      </c>
      <c r="U146" s="21"/>
      <c r="V146" s="21"/>
    </row>
    <row r="147">
      <c r="A147" s="11">
        <v>135.0</v>
      </c>
      <c r="B147" s="11">
        <v>1.41998260869565E9</v>
      </c>
      <c r="C147" s="2">
        <v>-102.3029251</v>
      </c>
      <c r="D147" s="24">
        <f t="shared" si="1"/>
        <v>-417391.3043</v>
      </c>
      <c r="E147" s="25">
        <f t="shared" si="2"/>
        <v>87.23813255</v>
      </c>
      <c r="F147" s="24">
        <f t="shared" si="3"/>
        <v>0.0002090080259</v>
      </c>
      <c r="G147" s="24">
        <f t="shared" si="4"/>
        <v>0</v>
      </c>
      <c r="H147" s="26">
        <f t="shared" si="5"/>
        <v>0</v>
      </c>
      <c r="I147" s="24">
        <f t="shared" si="6"/>
        <v>0</v>
      </c>
      <c r="J147" s="24">
        <f t="shared" si="7"/>
        <v>0</v>
      </c>
      <c r="K147" s="24"/>
      <c r="L147" s="24">
        <f t="shared" si="8"/>
        <v>447.5212452</v>
      </c>
      <c r="M147" s="30">
        <f t="shared" si="9"/>
        <v>446.8223448</v>
      </c>
      <c r="N147" s="27">
        <f t="shared" si="10"/>
        <v>0.698900358</v>
      </c>
      <c r="O147" s="24"/>
      <c r="P147" s="24"/>
      <c r="Q147" s="24"/>
      <c r="R147" s="26"/>
      <c r="S147" s="14">
        <f t="shared" si="13"/>
        <v>0.641797496</v>
      </c>
      <c r="U147" s="21"/>
      <c r="V147" s="21"/>
    </row>
    <row r="148">
      <c r="A148" s="11">
        <v>136.0</v>
      </c>
      <c r="B148" s="11">
        <v>1.41998695652173E9</v>
      </c>
      <c r="C148" s="2">
        <v>-102.3249588</v>
      </c>
      <c r="D148" s="24">
        <f t="shared" si="1"/>
        <v>-413043.4783</v>
      </c>
      <c r="E148" s="25">
        <f t="shared" si="2"/>
        <v>86.31983642</v>
      </c>
      <c r="F148" s="24">
        <f t="shared" si="3"/>
        <v>0.0002089848671</v>
      </c>
      <c r="G148" s="24">
        <f t="shared" si="4"/>
        <v>0</v>
      </c>
      <c r="H148" s="26">
        <f t="shared" si="5"/>
        <v>0</v>
      </c>
      <c r="I148" s="24">
        <f t="shared" si="6"/>
        <v>0</v>
      </c>
      <c r="J148" s="24">
        <f t="shared" si="7"/>
        <v>0</v>
      </c>
      <c r="K148" s="24"/>
      <c r="L148" s="24">
        <f t="shared" si="8"/>
        <v>445.2565197</v>
      </c>
      <c r="M148" s="30">
        <f t="shared" si="9"/>
        <v>446.7354246</v>
      </c>
      <c r="N148" s="27">
        <f t="shared" si="10"/>
        <v>-1.478904926</v>
      </c>
      <c r="O148" s="24"/>
      <c r="P148" s="24"/>
      <c r="Q148" s="24"/>
      <c r="R148" s="26"/>
      <c r="S148" s="14">
        <f t="shared" si="13"/>
        <v>-1.358072674</v>
      </c>
      <c r="U148" s="21"/>
      <c r="V148" s="21"/>
    </row>
    <row r="149">
      <c r="A149" s="11">
        <v>137.0</v>
      </c>
      <c r="B149" s="11">
        <v>1.41999130434782E9</v>
      </c>
      <c r="C149" s="2">
        <v>-102.3807983</v>
      </c>
      <c r="D149" s="24">
        <f t="shared" si="1"/>
        <v>-408695.6522</v>
      </c>
      <c r="E149" s="25">
        <f t="shared" si="2"/>
        <v>85.40154029</v>
      </c>
      <c r="F149" s="24">
        <f t="shared" si="3"/>
        <v>0.0002089612156</v>
      </c>
      <c r="G149" s="24">
        <f t="shared" si="4"/>
        <v>0</v>
      </c>
      <c r="H149" s="26">
        <f t="shared" si="5"/>
        <v>0</v>
      </c>
      <c r="I149" s="24">
        <f t="shared" si="6"/>
        <v>0</v>
      </c>
      <c r="J149" s="24">
        <f t="shared" si="7"/>
        <v>0</v>
      </c>
      <c r="K149" s="24"/>
      <c r="L149" s="24">
        <f t="shared" si="8"/>
        <v>439.5682718</v>
      </c>
      <c r="M149" s="30">
        <f t="shared" si="9"/>
        <v>446.6483709</v>
      </c>
      <c r="N149" s="27">
        <f t="shared" si="10"/>
        <v>-7.080099018</v>
      </c>
      <c r="O149" s="24"/>
      <c r="P149" s="24"/>
      <c r="Q149" s="24"/>
      <c r="R149" s="26"/>
      <c r="S149" s="14">
        <f t="shared" si="13"/>
        <v>-6.501627548</v>
      </c>
      <c r="U149" s="21"/>
      <c r="V149" s="21"/>
    </row>
    <row r="150">
      <c r="A150" s="11">
        <v>138.0</v>
      </c>
      <c r="B150" s="11">
        <v>1.41999565217391E9</v>
      </c>
      <c r="C150" s="2">
        <v>-102.3526306</v>
      </c>
      <c r="D150" s="24">
        <f t="shared" si="1"/>
        <v>-404347.8261</v>
      </c>
      <c r="E150" s="25">
        <f t="shared" si="2"/>
        <v>84.48324416</v>
      </c>
      <c r="F150" s="24">
        <f t="shared" si="3"/>
        <v>0.0002089370554</v>
      </c>
      <c r="G150" s="24">
        <f t="shared" si="4"/>
        <v>0</v>
      </c>
      <c r="H150" s="26">
        <f t="shared" si="5"/>
        <v>0</v>
      </c>
      <c r="I150" s="24">
        <f t="shared" si="6"/>
        <v>0</v>
      </c>
      <c r="J150" s="24">
        <f t="shared" si="7"/>
        <v>0</v>
      </c>
      <c r="K150" s="24"/>
      <c r="L150" s="24">
        <f t="shared" si="8"/>
        <v>442.4285124</v>
      </c>
      <c r="M150" s="30">
        <f t="shared" si="9"/>
        <v>446.561184</v>
      </c>
      <c r="N150" s="27">
        <f t="shared" si="10"/>
        <v>-4.132671666</v>
      </c>
      <c r="O150" s="24"/>
      <c r="P150" s="24"/>
      <c r="Q150" s="24"/>
      <c r="R150" s="26"/>
      <c r="S150" s="14">
        <f t="shared" si="13"/>
        <v>-3.7950164</v>
      </c>
      <c r="U150" s="21"/>
      <c r="V150" s="21"/>
    </row>
    <row r="151">
      <c r="A151" s="11">
        <v>139.0</v>
      </c>
      <c r="B151" s="11">
        <v>1.42E9</v>
      </c>
      <c r="C151" s="2">
        <v>-102.3834534</v>
      </c>
      <c r="D151" s="24">
        <f t="shared" si="1"/>
        <v>-400000</v>
      </c>
      <c r="E151" s="25">
        <f t="shared" si="2"/>
        <v>83.56494803</v>
      </c>
      <c r="F151" s="24">
        <f t="shared" si="3"/>
        <v>0.0002089123701</v>
      </c>
      <c r="G151" s="24">
        <f t="shared" si="4"/>
        <v>0</v>
      </c>
      <c r="H151" s="26">
        <f t="shared" si="5"/>
        <v>0</v>
      </c>
      <c r="I151" s="24">
        <f t="shared" si="6"/>
        <v>0</v>
      </c>
      <c r="J151" s="24">
        <f t="shared" si="7"/>
        <v>0</v>
      </c>
      <c r="K151" s="24"/>
      <c r="L151" s="24">
        <f t="shared" si="8"/>
        <v>439.2996198</v>
      </c>
      <c r="M151" s="30">
        <f t="shared" si="9"/>
        <v>446.4738648</v>
      </c>
      <c r="N151" s="27">
        <f t="shared" si="10"/>
        <v>-7.174245047</v>
      </c>
      <c r="O151" s="24"/>
      <c r="P151" s="24"/>
      <c r="Q151" s="24"/>
      <c r="R151" s="26"/>
      <c r="S151" s="14">
        <f t="shared" si="13"/>
        <v>-6.588081482</v>
      </c>
      <c r="U151" s="21"/>
      <c r="V151" s="21"/>
    </row>
    <row r="152">
      <c r="A152" s="11">
        <v>140.0</v>
      </c>
      <c r="B152" s="11">
        <v>1.42000434782608E9</v>
      </c>
      <c r="C152" s="2">
        <v>-102.3521423</v>
      </c>
      <c r="D152" s="24">
        <f t="shared" si="1"/>
        <v>-395652.1739</v>
      </c>
      <c r="E152" s="25">
        <f t="shared" si="2"/>
        <v>82.64665189</v>
      </c>
      <c r="F152" s="24">
        <f t="shared" si="3"/>
        <v>0.0002088871421</v>
      </c>
      <c r="G152" s="24">
        <f t="shared" si="4"/>
        <v>0</v>
      </c>
      <c r="H152" s="26">
        <f t="shared" si="5"/>
        <v>0</v>
      </c>
      <c r="I152" s="24">
        <f t="shared" si="6"/>
        <v>0</v>
      </c>
      <c r="J152" s="24">
        <f t="shared" si="7"/>
        <v>0</v>
      </c>
      <c r="K152" s="24"/>
      <c r="L152" s="24">
        <f t="shared" si="8"/>
        <v>442.4782597</v>
      </c>
      <c r="M152" s="30">
        <f t="shared" si="9"/>
        <v>446.3864138</v>
      </c>
      <c r="N152" s="27">
        <f t="shared" si="10"/>
        <v>-3.908154079</v>
      </c>
      <c r="O152" s="24"/>
      <c r="P152" s="24"/>
      <c r="Q152" s="24"/>
      <c r="R152" s="26"/>
      <c r="S152" s="14">
        <f t="shared" si="13"/>
        <v>-3.588842777</v>
      </c>
      <c r="U152" s="21"/>
      <c r="V152" s="21"/>
    </row>
    <row r="153">
      <c r="A153" s="11">
        <v>141.0</v>
      </c>
      <c r="B153" s="11">
        <v>1.42000869565217E9</v>
      </c>
      <c r="C153" s="2">
        <v>-102.3594666</v>
      </c>
      <c r="D153" s="24">
        <f t="shared" si="1"/>
        <v>-391304.3478</v>
      </c>
      <c r="E153" s="25">
        <f t="shared" si="2"/>
        <v>81.72835576</v>
      </c>
      <c r="F153" s="24">
        <f t="shared" si="3"/>
        <v>0.0002088613536</v>
      </c>
      <c r="G153" s="24">
        <f t="shared" si="4"/>
        <v>0</v>
      </c>
      <c r="H153" s="26">
        <f t="shared" si="5"/>
        <v>0</v>
      </c>
      <c r="I153" s="24">
        <f t="shared" si="6"/>
        <v>0</v>
      </c>
      <c r="J153" s="24">
        <f t="shared" si="7"/>
        <v>0</v>
      </c>
      <c r="K153" s="24"/>
      <c r="L153" s="24">
        <f t="shared" si="8"/>
        <v>441.7326568</v>
      </c>
      <c r="M153" s="30">
        <f t="shared" si="9"/>
        <v>446.2988316</v>
      </c>
      <c r="N153" s="27">
        <f t="shared" si="10"/>
        <v>-4.566174757</v>
      </c>
      <c r="O153" s="24"/>
      <c r="P153" s="24"/>
      <c r="Q153" s="24"/>
      <c r="R153" s="26"/>
      <c r="S153" s="14">
        <f t="shared" si="13"/>
        <v>-4.193100611</v>
      </c>
      <c r="U153" s="21"/>
      <c r="V153" s="21"/>
    </row>
    <row r="154">
      <c r="A154" s="11">
        <v>142.0</v>
      </c>
      <c r="B154" s="11">
        <v>1.42001304347826E9</v>
      </c>
      <c r="C154" s="2">
        <v>-102.3860168</v>
      </c>
      <c r="D154" s="24">
        <f t="shared" si="1"/>
        <v>-386956.5217</v>
      </c>
      <c r="E154" s="25">
        <f t="shared" si="2"/>
        <v>80.81005963</v>
      </c>
      <c r="F154" s="24">
        <f t="shared" si="3"/>
        <v>0.0002088349856</v>
      </c>
      <c r="G154" s="24">
        <f t="shared" si="4"/>
        <v>0</v>
      </c>
      <c r="H154" s="26">
        <f t="shared" si="5"/>
        <v>0</v>
      </c>
      <c r="I154" s="24">
        <f t="shared" si="6"/>
        <v>0</v>
      </c>
      <c r="J154" s="24">
        <f t="shared" si="7"/>
        <v>0</v>
      </c>
      <c r="K154" s="24"/>
      <c r="L154" s="24">
        <f t="shared" si="8"/>
        <v>439.040402</v>
      </c>
      <c r="M154" s="30">
        <f t="shared" si="9"/>
        <v>446.2111188</v>
      </c>
      <c r="N154" s="27">
        <f t="shared" si="10"/>
        <v>-7.170716746</v>
      </c>
      <c r="O154" s="24"/>
      <c r="P154" s="24"/>
      <c r="Q154" s="24"/>
      <c r="R154" s="26"/>
      <c r="S154" s="14">
        <f t="shared" si="13"/>
        <v>-6.584841457</v>
      </c>
      <c r="U154" s="21"/>
      <c r="V154" s="21"/>
    </row>
    <row r="155">
      <c r="A155" s="11">
        <v>143.0</v>
      </c>
      <c r="B155" s="11">
        <v>1.42001739130434E9</v>
      </c>
      <c r="C155" s="2">
        <v>-102.3685532</v>
      </c>
      <c r="D155" s="24">
        <f t="shared" si="1"/>
        <v>-382608.6957</v>
      </c>
      <c r="E155" s="25">
        <f t="shared" si="2"/>
        <v>79.8917635</v>
      </c>
      <c r="F155" s="24">
        <f t="shared" si="3"/>
        <v>0.0002088080182</v>
      </c>
      <c r="G155" s="24">
        <f t="shared" si="4"/>
        <v>0</v>
      </c>
      <c r="H155" s="26">
        <f t="shared" si="5"/>
        <v>0</v>
      </c>
      <c r="I155" s="24">
        <f t="shared" si="6"/>
        <v>0</v>
      </c>
      <c r="J155" s="24">
        <f t="shared" si="7"/>
        <v>0</v>
      </c>
      <c r="K155" s="24"/>
      <c r="L155" s="24">
        <f t="shared" si="8"/>
        <v>440.8094004</v>
      </c>
      <c r="M155" s="30">
        <f t="shared" si="9"/>
        <v>446.123276</v>
      </c>
      <c r="N155" s="27">
        <f t="shared" si="10"/>
        <v>-5.313875621</v>
      </c>
      <c r="O155" s="24"/>
      <c r="P155" s="24"/>
      <c r="Q155" s="24"/>
      <c r="R155" s="26"/>
      <c r="S155" s="14">
        <f t="shared" si="13"/>
        <v>-4.879711433</v>
      </c>
      <c r="U155" s="21"/>
      <c r="V155" s="21"/>
    </row>
    <row r="156">
      <c r="A156" s="11">
        <v>144.0</v>
      </c>
      <c r="B156" s="11">
        <v>1.42002173913043E9</v>
      </c>
      <c r="C156" s="2">
        <v>-102.3330688</v>
      </c>
      <c r="D156" s="24">
        <f t="shared" si="1"/>
        <v>-378260.8696</v>
      </c>
      <c r="E156" s="25">
        <f t="shared" si="2"/>
        <v>78.97346736</v>
      </c>
      <c r="F156" s="24">
        <f t="shared" si="3"/>
        <v>0.000208780431</v>
      </c>
      <c r="G156" s="24">
        <f t="shared" si="4"/>
        <v>0</v>
      </c>
      <c r="H156" s="26">
        <f t="shared" si="5"/>
        <v>0</v>
      </c>
      <c r="I156" s="24">
        <f t="shared" si="6"/>
        <v>0</v>
      </c>
      <c r="J156" s="24">
        <f t="shared" si="7"/>
        <v>0</v>
      </c>
      <c r="K156" s="24"/>
      <c r="L156" s="24">
        <f t="shared" si="8"/>
        <v>444.4258251</v>
      </c>
      <c r="M156" s="30">
        <f t="shared" si="9"/>
        <v>446.0353038</v>
      </c>
      <c r="N156" s="27">
        <f t="shared" si="10"/>
        <v>-1.609478729</v>
      </c>
      <c r="O156" s="24"/>
      <c r="P156" s="24"/>
      <c r="Q156" s="24"/>
      <c r="R156" s="26"/>
      <c r="S156" s="14">
        <f t="shared" si="13"/>
        <v>-1.477978089</v>
      </c>
      <c r="U156" s="21"/>
      <c r="V156" s="21"/>
    </row>
    <row r="157">
      <c r="A157" s="11">
        <v>145.0</v>
      </c>
      <c r="B157" s="11">
        <v>1.42002608695652E9</v>
      </c>
      <c r="C157" s="2">
        <v>-102.3129196</v>
      </c>
      <c r="D157" s="24">
        <f t="shared" si="1"/>
        <v>-373913.0435</v>
      </c>
      <c r="E157" s="25">
        <f t="shared" si="2"/>
        <v>78.05517123</v>
      </c>
      <c r="F157" s="24">
        <f t="shared" si="3"/>
        <v>0.0002087522021</v>
      </c>
      <c r="G157" s="24">
        <f t="shared" si="4"/>
        <v>0</v>
      </c>
      <c r="H157" s="26">
        <f t="shared" si="5"/>
        <v>0</v>
      </c>
      <c r="I157" s="24">
        <f t="shared" si="6"/>
        <v>0</v>
      </c>
      <c r="J157" s="24">
        <f t="shared" si="7"/>
        <v>0</v>
      </c>
      <c r="K157" s="24"/>
      <c r="L157" s="24">
        <f t="shared" si="8"/>
        <v>446.4925403</v>
      </c>
      <c r="M157" s="30">
        <f t="shared" si="9"/>
        <v>445.9472029</v>
      </c>
      <c r="N157" s="27">
        <f t="shared" si="10"/>
        <v>0.5453373985</v>
      </c>
      <c r="O157" s="24"/>
      <c r="P157" s="24"/>
      <c r="Q157" s="24"/>
      <c r="R157" s="26"/>
      <c r="S157" s="14">
        <f t="shared" si="13"/>
        <v>0.5007812241</v>
      </c>
      <c r="U157" s="21"/>
      <c r="V157" s="21"/>
    </row>
    <row r="158">
      <c r="A158" s="11">
        <v>146.0</v>
      </c>
      <c r="B158" s="11">
        <v>1.4200304347826E9</v>
      </c>
      <c r="C158" s="2">
        <v>-102.326416</v>
      </c>
      <c r="D158" s="24">
        <f t="shared" si="1"/>
        <v>-369565.2174</v>
      </c>
      <c r="E158" s="25">
        <f t="shared" si="2"/>
        <v>77.1368751</v>
      </c>
      <c r="F158" s="24">
        <f t="shared" si="3"/>
        <v>0.0002087233091</v>
      </c>
      <c r="G158" s="24">
        <f t="shared" si="4"/>
        <v>0</v>
      </c>
      <c r="H158" s="26">
        <f t="shared" si="5"/>
        <v>0</v>
      </c>
      <c r="I158" s="24">
        <f t="shared" si="6"/>
        <v>0</v>
      </c>
      <c r="J158" s="24">
        <f t="shared" si="7"/>
        <v>0</v>
      </c>
      <c r="K158" s="24"/>
      <c r="L158" s="24">
        <f t="shared" si="8"/>
        <v>445.1071466</v>
      </c>
      <c r="M158" s="30">
        <f t="shared" si="9"/>
        <v>445.8589738</v>
      </c>
      <c r="N158" s="27">
        <f t="shared" si="10"/>
        <v>-0.7518271621</v>
      </c>
      <c r="O158" s="24"/>
      <c r="P158" s="24"/>
      <c r="Q158" s="24"/>
      <c r="R158" s="26"/>
      <c r="S158" s="14">
        <f t="shared" si="13"/>
        <v>-0.6903999754</v>
      </c>
      <c r="U158" s="21"/>
      <c r="V158" s="21"/>
    </row>
    <row r="159">
      <c r="A159" s="11">
        <v>147.0</v>
      </c>
      <c r="B159" s="11">
        <v>1.42003478260869E9</v>
      </c>
      <c r="C159" s="2">
        <v>-102.3366699</v>
      </c>
      <c r="D159" s="24">
        <f t="shared" si="1"/>
        <v>-365217.3913</v>
      </c>
      <c r="E159" s="25">
        <f t="shared" si="2"/>
        <v>76.21857897</v>
      </c>
      <c r="F159" s="24">
        <f t="shared" si="3"/>
        <v>0.0002086937281</v>
      </c>
      <c r="G159" s="24">
        <f t="shared" si="4"/>
        <v>0</v>
      </c>
      <c r="H159" s="26">
        <f t="shared" si="5"/>
        <v>0</v>
      </c>
      <c r="I159" s="24">
        <f t="shared" si="6"/>
        <v>0</v>
      </c>
      <c r="J159" s="24">
        <f t="shared" si="7"/>
        <v>0</v>
      </c>
      <c r="K159" s="24"/>
      <c r="L159" s="24">
        <f t="shared" si="8"/>
        <v>444.0574671</v>
      </c>
      <c r="M159" s="30">
        <f t="shared" si="9"/>
        <v>445.7706172</v>
      </c>
      <c r="N159" s="27">
        <f t="shared" si="10"/>
        <v>-1.713150082</v>
      </c>
      <c r="O159" s="24"/>
      <c r="P159" s="24"/>
      <c r="Q159" s="24"/>
      <c r="R159" s="26"/>
      <c r="S159" s="14">
        <f t="shared" si="13"/>
        <v>-1.573179096</v>
      </c>
      <c r="U159" s="21"/>
      <c r="V159" s="21"/>
    </row>
    <row r="160">
      <c r="A160" s="11">
        <v>148.0</v>
      </c>
      <c r="B160" s="11">
        <v>1.42003913043478E9</v>
      </c>
      <c r="C160" s="2">
        <v>-102.3284912</v>
      </c>
      <c r="D160" s="24">
        <f t="shared" si="1"/>
        <v>-360869.5652</v>
      </c>
      <c r="E160" s="25">
        <f t="shared" si="2"/>
        <v>75.30028284</v>
      </c>
      <c r="F160" s="24">
        <f t="shared" si="3"/>
        <v>0.0002086634344</v>
      </c>
      <c r="G160" s="24">
        <f t="shared" si="4"/>
        <v>0</v>
      </c>
      <c r="H160" s="26">
        <f t="shared" si="5"/>
        <v>0</v>
      </c>
      <c r="I160" s="24">
        <f t="shared" si="6"/>
        <v>0</v>
      </c>
      <c r="J160" s="24">
        <f t="shared" si="7"/>
        <v>0</v>
      </c>
      <c r="K160" s="24"/>
      <c r="L160" s="24">
        <f t="shared" si="8"/>
        <v>444.8945108</v>
      </c>
      <c r="M160" s="30">
        <f t="shared" si="9"/>
        <v>445.6821336</v>
      </c>
      <c r="N160" s="27">
        <f t="shared" si="10"/>
        <v>-0.7876227797</v>
      </c>
      <c r="O160" s="24"/>
      <c r="P160" s="24"/>
      <c r="Q160" s="24"/>
      <c r="R160" s="26"/>
      <c r="S160" s="14">
        <f t="shared" si="13"/>
        <v>-0.723270951</v>
      </c>
      <c r="U160" s="21"/>
      <c r="V160" s="21"/>
    </row>
    <row r="161">
      <c r="A161" s="11">
        <v>149.0</v>
      </c>
      <c r="B161" s="11">
        <v>1.42004347826087E9</v>
      </c>
      <c r="C161" s="2">
        <v>-102.3830948</v>
      </c>
      <c r="D161" s="24">
        <f t="shared" si="1"/>
        <v>-356521.7391</v>
      </c>
      <c r="E161" s="25">
        <f t="shared" si="2"/>
        <v>74.3819867</v>
      </c>
      <c r="F161" s="24">
        <f t="shared" si="3"/>
        <v>0.0002086324017</v>
      </c>
      <c r="G161" s="24">
        <f t="shared" si="4"/>
        <v>0</v>
      </c>
      <c r="H161" s="26">
        <f t="shared" si="5"/>
        <v>0</v>
      </c>
      <c r="I161" s="24">
        <f t="shared" si="6"/>
        <v>0</v>
      </c>
      <c r="J161" s="24">
        <f t="shared" si="7"/>
        <v>0</v>
      </c>
      <c r="K161" s="24"/>
      <c r="L161" s="24">
        <f t="shared" si="8"/>
        <v>439.3358946</v>
      </c>
      <c r="M161" s="30">
        <f t="shared" si="9"/>
        <v>445.5935237</v>
      </c>
      <c r="N161" s="27">
        <f t="shared" si="10"/>
        <v>-6.25762912</v>
      </c>
      <c r="O161" s="24"/>
      <c r="P161" s="24"/>
      <c r="Q161" s="24"/>
      <c r="R161" s="26"/>
      <c r="S161" s="14">
        <f t="shared" si="13"/>
        <v>-5.746356621</v>
      </c>
      <c r="U161" s="21"/>
      <c r="V161" s="21"/>
    </row>
    <row r="162">
      <c r="A162" s="11">
        <v>150.0</v>
      </c>
      <c r="B162" s="11">
        <v>1.42004782608695E9</v>
      </c>
      <c r="C162" s="2">
        <v>-102.3585815</v>
      </c>
      <c r="D162" s="24">
        <f t="shared" si="1"/>
        <v>-352173.913</v>
      </c>
      <c r="E162" s="25">
        <f t="shared" si="2"/>
        <v>73.46369057</v>
      </c>
      <c r="F162" s="24">
        <f t="shared" si="3"/>
        <v>0.0002086006029</v>
      </c>
      <c r="G162" s="24">
        <f t="shared" si="4"/>
        <v>0</v>
      </c>
      <c r="H162" s="26">
        <f t="shared" si="5"/>
        <v>0</v>
      </c>
      <c r="I162" s="24">
        <f t="shared" si="6"/>
        <v>0</v>
      </c>
      <c r="J162" s="24">
        <f t="shared" si="7"/>
        <v>0</v>
      </c>
      <c r="K162" s="24"/>
      <c r="L162" s="24">
        <f t="shared" si="8"/>
        <v>441.8226919</v>
      </c>
      <c r="M162" s="30">
        <f t="shared" si="9"/>
        <v>445.504788</v>
      </c>
      <c r="N162" s="27">
        <f t="shared" si="10"/>
        <v>-3.682096116</v>
      </c>
      <c r="O162" s="24"/>
      <c r="P162" s="24"/>
      <c r="Q162" s="24"/>
      <c r="R162" s="26"/>
      <c r="S162" s="14">
        <f t="shared" si="13"/>
        <v>-3.381254624</v>
      </c>
      <c r="U162" s="21"/>
      <c r="V162" s="21"/>
    </row>
    <row r="163">
      <c r="A163" s="11">
        <v>151.0</v>
      </c>
      <c r="B163" s="11">
        <v>1.42005217391304E9</v>
      </c>
      <c r="C163" s="2">
        <v>-102.2599411</v>
      </c>
      <c r="D163" s="24">
        <f t="shared" si="1"/>
        <v>-347826.087</v>
      </c>
      <c r="E163" s="25">
        <f t="shared" si="2"/>
        <v>72.54539444</v>
      </c>
      <c r="F163" s="24">
        <f t="shared" si="3"/>
        <v>0.000208568009</v>
      </c>
      <c r="G163" s="24">
        <f t="shared" si="4"/>
        <v>0</v>
      </c>
      <c r="H163" s="26">
        <f t="shared" si="5"/>
        <v>0</v>
      </c>
      <c r="I163" s="24">
        <f t="shared" si="6"/>
        <v>0</v>
      </c>
      <c r="J163" s="24">
        <f t="shared" si="7"/>
        <v>0</v>
      </c>
      <c r="K163" s="24"/>
      <c r="L163" s="24">
        <f t="shared" si="8"/>
        <v>451.972548</v>
      </c>
      <c r="M163" s="30">
        <f t="shared" si="9"/>
        <v>445.4159273</v>
      </c>
      <c r="N163" s="27">
        <f t="shared" si="10"/>
        <v>6.556620762</v>
      </c>
      <c r="O163" s="24"/>
      <c r="P163" s="24"/>
      <c r="Q163" s="24"/>
      <c r="R163" s="26"/>
      <c r="S163" s="14">
        <f t="shared" si="13"/>
        <v>6.020919477</v>
      </c>
      <c r="U163" s="21"/>
      <c r="V163" s="21"/>
    </row>
    <row r="164">
      <c r="A164" s="11">
        <v>152.0</v>
      </c>
      <c r="B164" s="11">
        <v>1.42005652173913E9</v>
      </c>
      <c r="C164" s="2">
        <v>-102.3288879</v>
      </c>
      <c r="D164" s="24">
        <f t="shared" si="1"/>
        <v>-343478.2609</v>
      </c>
      <c r="E164" s="25">
        <f t="shared" si="2"/>
        <v>71.62709831</v>
      </c>
      <c r="F164" s="24">
        <f t="shared" si="3"/>
        <v>0.00020853459</v>
      </c>
      <c r="G164" s="24">
        <f t="shared" si="4"/>
        <v>0</v>
      </c>
      <c r="H164" s="26">
        <f t="shared" si="5"/>
        <v>0</v>
      </c>
      <c r="I164" s="24">
        <f t="shared" si="6"/>
        <v>0</v>
      </c>
      <c r="J164" s="24">
        <f t="shared" si="7"/>
        <v>0</v>
      </c>
      <c r="K164" s="24"/>
      <c r="L164" s="24">
        <f t="shared" si="8"/>
        <v>444.8538744</v>
      </c>
      <c r="M164" s="30">
        <f t="shared" si="9"/>
        <v>445.326942</v>
      </c>
      <c r="N164" s="27">
        <f t="shared" si="10"/>
        <v>-0.4730675727</v>
      </c>
      <c r="O164" s="24"/>
      <c r="P164" s="24"/>
      <c r="Q164" s="24"/>
      <c r="R164" s="26"/>
      <c r="S164" s="14">
        <f t="shared" si="13"/>
        <v>-0.4344161225</v>
      </c>
      <c r="U164" s="21"/>
      <c r="V164" s="21"/>
    </row>
    <row r="165">
      <c r="A165" s="11">
        <v>153.0</v>
      </c>
      <c r="B165" s="11">
        <v>1.42006086956521E9</v>
      </c>
      <c r="C165" s="2">
        <v>-102.3442688</v>
      </c>
      <c r="D165" s="24">
        <f t="shared" si="1"/>
        <v>-339130.4348</v>
      </c>
      <c r="E165" s="25">
        <f t="shared" si="2"/>
        <v>70.70880218</v>
      </c>
      <c r="F165" s="24">
        <f t="shared" si="3"/>
        <v>0.0002085003141</v>
      </c>
      <c r="G165" s="24">
        <f t="shared" si="4"/>
        <v>0</v>
      </c>
      <c r="H165" s="26">
        <f t="shared" si="5"/>
        <v>0</v>
      </c>
      <c r="I165" s="24">
        <f t="shared" si="6"/>
        <v>0</v>
      </c>
      <c r="J165" s="24">
        <f t="shared" si="7"/>
        <v>0</v>
      </c>
      <c r="K165" s="24"/>
      <c r="L165" s="24">
        <f t="shared" si="8"/>
        <v>443.281174</v>
      </c>
      <c r="M165" s="30">
        <f t="shared" si="9"/>
        <v>445.2378328</v>
      </c>
      <c r="N165" s="27">
        <f t="shared" si="10"/>
        <v>-1.956658792</v>
      </c>
      <c r="O165" s="24"/>
      <c r="P165" s="24"/>
      <c r="Q165" s="24"/>
      <c r="R165" s="26"/>
      <c r="S165" s="14">
        <f t="shared" si="13"/>
        <v>-1.796792202</v>
      </c>
      <c r="U165" s="21"/>
      <c r="V165" s="21"/>
    </row>
    <row r="166">
      <c r="A166" s="11">
        <v>154.0</v>
      </c>
      <c r="B166" s="11">
        <v>1.4200652173913E9</v>
      </c>
      <c r="C166" s="2">
        <v>-102.3253174</v>
      </c>
      <c r="D166" s="24">
        <f t="shared" si="1"/>
        <v>-334782.6087</v>
      </c>
      <c r="E166" s="25">
        <f t="shared" si="2"/>
        <v>69.79050604</v>
      </c>
      <c r="F166" s="24">
        <f t="shared" si="3"/>
        <v>0.0002084651479</v>
      </c>
      <c r="G166" s="24">
        <f t="shared" si="4"/>
        <v>0</v>
      </c>
      <c r="H166" s="26">
        <f t="shared" si="5"/>
        <v>0</v>
      </c>
      <c r="I166" s="24">
        <f t="shared" si="6"/>
        <v>0</v>
      </c>
      <c r="J166" s="24">
        <f t="shared" si="7"/>
        <v>0</v>
      </c>
      <c r="K166" s="24"/>
      <c r="L166" s="24">
        <f t="shared" si="8"/>
        <v>445.2197561</v>
      </c>
      <c r="M166" s="30">
        <f t="shared" si="9"/>
        <v>445.1486003</v>
      </c>
      <c r="N166" s="27">
        <f t="shared" si="10"/>
        <v>0.07115574095</v>
      </c>
      <c r="O166" s="24"/>
      <c r="P166" s="24"/>
      <c r="Q166" s="24"/>
      <c r="R166" s="26"/>
      <c r="S166" s="14">
        <f t="shared" si="13"/>
        <v>0.06534204159</v>
      </c>
      <c r="U166" s="21"/>
      <c r="V166" s="21"/>
    </row>
    <row r="167">
      <c r="A167" s="11">
        <v>155.0</v>
      </c>
      <c r="B167" s="11">
        <v>1.42006956521739E9</v>
      </c>
      <c r="C167" s="2">
        <v>-102.3303528</v>
      </c>
      <c r="D167" s="24">
        <f t="shared" si="1"/>
        <v>-330434.7826</v>
      </c>
      <c r="E167" s="25">
        <f t="shared" si="2"/>
        <v>68.87220991</v>
      </c>
      <c r="F167" s="24">
        <f t="shared" si="3"/>
        <v>0.0002084290563</v>
      </c>
      <c r="G167" s="24">
        <f t="shared" si="4"/>
        <v>0</v>
      </c>
      <c r="H167" s="26">
        <f t="shared" si="5"/>
        <v>0</v>
      </c>
      <c r="I167" s="24">
        <f t="shared" si="6"/>
        <v>0</v>
      </c>
      <c r="J167" s="24">
        <f t="shared" si="7"/>
        <v>0</v>
      </c>
      <c r="K167" s="24"/>
      <c r="L167" s="24">
        <f t="shared" si="8"/>
        <v>444.703848</v>
      </c>
      <c r="M167" s="30">
        <f t="shared" si="9"/>
        <v>445.0592452</v>
      </c>
      <c r="N167" s="27">
        <f t="shared" si="10"/>
        <v>-0.3553971948</v>
      </c>
      <c r="O167" s="24"/>
      <c r="P167" s="24"/>
      <c r="Q167" s="24"/>
      <c r="R167" s="26"/>
      <c r="S167" s="14">
        <f t="shared" si="13"/>
        <v>-0.3263598696</v>
      </c>
      <c r="U167" s="21"/>
      <c r="V167" s="21"/>
    </row>
    <row r="168">
      <c r="A168" s="11">
        <v>156.0</v>
      </c>
      <c r="B168" s="11">
        <v>1.42007391304347E9</v>
      </c>
      <c r="C168" s="2">
        <v>-102.3467865</v>
      </c>
      <c r="D168" s="24">
        <f t="shared" si="1"/>
        <v>-326086.9565</v>
      </c>
      <c r="E168" s="25">
        <f t="shared" si="2"/>
        <v>67.95391378</v>
      </c>
      <c r="F168" s="24">
        <f t="shared" si="3"/>
        <v>0.0002083920023</v>
      </c>
      <c r="G168" s="24">
        <f t="shared" si="4"/>
        <v>0</v>
      </c>
      <c r="H168" s="26">
        <f t="shared" si="5"/>
        <v>0</v>
      </c>
      <c r="I168" s="24">
        <f t="shared" si="6"/>
        <v>0</v>
      </c>
      <c r="J168" s="24">
        <f t="shared" si="7"/>
        <v>0</v>
      </c>
      <c r="K168" s="24"/>
      <c r="L168" s="24">
        <f t="shared" si="8"/>
        <v>443.0242687</v>
      </c>
      <c r="M168" s="30">
        <f t="shared" si="9"/>
        <v>444.9697679</v>
      </c>
      <c r="N168" s="27">
        <f t="shared" si="10"/>
        <v>-1.945499216</v>
      </c>
      <c r="O168" s="24"/>
      <c r="P168" s="24"/>
      <c r="Q168" s="24"/>
      <c r="R168" s="26"/>
      <c r="S168" s="14">
        <f t="shared" si="13"/>
        <v>-1.786544407</v>
      </c>
      <c r="U168" s="21"/>
      <c r="V168" s="21"/>
    </row>
    <row r="169">
      <c r="A169" s="11">
        <v>157.0</v>
      </c>
      <c r="B169" s="11">
        <v>1.42007826086956E9</v>
      </c>
      <c r="C169" s="2">
        <v>-102.2972717</v>
      </c>
      <c r="D169" s="24">
        <f t="shared" si="1"/>
        <v>-321739.1304</v>
      </c>
      <c r="E169" s="25">
        <f t="shared" si="2"/>
        <v>67.03561765</v>
      </c>
      <c r="F169" s="24">
        <f t="shared" si="3"/>
        <v>0.0002083539467</v>
      </c>
      <c r="G169" s="24">
        <f t="shared" si="4"/>
        <v>0</v>
      </c>
      <c r="H169" s="26">
        <f t="shared" si="5"/>
        <v>0</v>
      </c>
      <c r="I169" s="24">
        <f t="shared" si="6"/>
        <v>0</v>
      </c>
      <c r="J169" s="24">
        <f t="shared" si="7"/>
        <v>0</v>
      </c>
      <c r="K169" s="24"/>
      <c r="L169" s="24">
        <f t="shared" si="8"/>
        <v>448.1041823</v>
      </c>
      <c r="M169" s="30">
        <f t="shared" si="9"/>
        <v>444.8801692</v>
      </c>
      <c r="N169" s="27">
        <f t="shared" si="10"/>
        <v>3.224013121</v>
      </c>
      <c r="O169" s="24"/>
      <c r="P169" s="24"/>
      <c r="Q169" s="24"/>
      <c r="R169" s="26"/>
      <c r="S169" s="14">
        <f t="shared" si="13"/>
        <v>2.960598775</v>
      </c>
      <c r="U169" s="21"/>
      <c r="V169" s="21"/>
    </row>
    <row r="170">
      <c r="A170" s="11">
        <v>158.0</v>
      </c>
      <c r="B170" s="11">
        <v>1.42008260869565E9</v>
      </c>
      <c r="C170" s="2">
        <v>-102.3683014</v>
      </c>
      <c r="D170" s="24">
        <f t="shared" si="1"/>
        <v>-317391.3043</v>
      </c>
      <c r="E170" s="25">
        <f t="shared" si="2"/>
        <v>66.11732152</v>
      </c>
      <c r="F170" s="24">
        <f t="shared" si="3"/>
        <v>0.0002083148486</v>
      </c>
      <c r="G170" s="24">
        <f t="shared" si="4"/>
        <v>0</v>
      </c>
      <c r="H170" s="26">
        <f t="shared" si="5"/>
        <v>0</v>
      </c>
      <c r="I170" s="24">
        <f t="shared" si="6"/>
        <v>0</v>
      </c>
      <c r="J170" s="24">
        <f t="shared" si="7"/>
        <v>0</v>
      </c>
      <c r="K170" s="24"/>
      <c r="L170" s="24">
        <f t="shared" si="8"/>
        <v>440.8349588</v>
      </c>
      <c r="M170" s="30">
        <f t="shared" si="9"/>
        <v>444.7904496</v>
      </c>
      <c r="N170" s="27">
        <f t="shared" si="10"/>
        <v>-3.955490795</v>
      </c>
      <c r="O170" s="24"/>
      <c r="P170" s="24"/>
      <c r="Q170" s="24"/>
      <c r="R170" s="26"/>
      <c r="S170" s="14">
        <f t="shared" si="13"/>
        <v>-3.6323119</v>
      </c>
      <c r="U170" s="21"/>
      <c r="V170" s="21"/>
    </row>
    <row r="171">
      <c r="A171" s="11">
        <v>159.0</v>
      </c>
      <c r="B171" s="11">
        <v>1.42008695652173E9</v>
      </c>
      <c r="C171" s="2">
        <v>-102.3102875</v>
      </c>
      <c r="D171" s="24">
        <f t="shared" si="1"/>
        <v>-313043.4783</v>
      </c>
      <c r="E171" s="25">
        <f t="shared" si="2"/>
        <v>65.19902538</v>
      </c>
      <c r="F171" s="24">
        <f t="shared" si="3"/>
        <v>0.0002082746644</v>
      </c>
      <c r="G171" s="24">
        <f t="shared" si="4"/>
        <v>0</v>
      </c>
      <c r="H171" s="26">
        <f t="shared" si="5"/>
        <v>0</v>
      </c>
      <c r="I171" s="24">
        <f t="shared" si="6"/>
        <v>0</v>
      </c>
      <c r="J171" s="24">
        <f t="shared" si="7"/>
        <v>0</v>
      </c>
      <c r="K171" s="24"/>
      <c r="L171" s="24">
        <f t="shared" si="8"/>
        <v>446.7632251</v>
      </c>
      <c r="M171" s="30">
        <f t="shared" si="9"/>
        <v>444.7006098</v>
      </c>
      <c r="N171" s="27">
        <f t="shared" si="10"/>
        <v>2.062615319</v>
      </c>
      <c r="O171" s="24"/>
      <c r="P171" s="24"/>
      <c r="Q171" s="24"/>
      <c r="R171" s="26"/>
      <c r="S171" s="14">
        <f t="shared" si="13"/>
        <v>1.894091671</v>
      </c>
      <c r="U171" s="21"/>
      <c r="V171" s="21"/>
    </row>
    <row r="172">
      <c r="A172" s="11">
        <v>160.0</v>
      </c>
      <c r="B172" s="11">
        <v>1.42009130434782E9</v>
      </c>
      <c r="C172" s="2">
        <v>-102.3550186</v>
      </c>
      <c r="D172" s="24">
        <f t="shared" si="1"/>
        <v>-308695.6522</v>
      </c>
      <c r="E172" s="25">
        <f t="shared" si="2"/>
        <v>64.28072925</v>
      </c>
      <c r="F172" s="24">
        <f t="shared" si="3"/>
        <v>0.0002082333483</v>
      </c>
      <c r="G172" s="24">
        <f t="shared" si="4"/>
        <v>0</v>
      </c>
      <c r="H172" s="26">
        <f t="shared" si="5"/>
        <v>0</v>
      </c>
      <c r="I172" s="24">
        <f t="shared" si="6"/>
        <v>0</v>
      </c>
      <c r="J172" s="24">
        <f t="shared" si="7"/>
        <v>0</v>
      </c>
      <c r="K172" s="24"/>
      <c r="L172" s="24">
        <f t="shared" si="8"/>
        <v>442.1853067</v>
      </c>
      <c r="M172" s="30">
        <f t="shared" si="9"/>
        <v>444.6106503</v>
      </c>
      <c r="N172" s="27">
        <f t="shared" si="10"/>
        <v>-2.425343607</v>
      </c>
      <c r="O172" s="24"/>
      <c r="P172" s="24"/>
      <c r="Q172" s="24"/>
      <c r="R172" s="26"/>
      <c r="S172" s="14">
        <f t="shared" si="13"/>
        <v>-2.227183655</v>
      </c>
      <c r="U172" s="21"/>
      <c r="V172" s="21"/>
    </row>
    <row r="173">
      <c r="A173" s="11">
        <v>161.0</v>
      </c>
      <c r="B173" s="11">
        <v>1.42009565217391E9</v>
      </c>
      <c r="C173" s="2">
        <v>-102.368309</v>
      </c>
      <c r="D173" s="24">
        <f t="shared" si="1"/>
        <v>-304347.8261</v>
      </c>
      <c r="E173" s="25">
        <f t="shared" si="2"/>
        <v>63.36243312</v>
      </c>
      <c r="F173" s="24">
        <f t="shared" si="3"/>
        <v>0.0002081908517</v>
      </c>
      <c r="G173" s="24">
        <f t="shared" si="4"/>
        <v>0</v>
      </c>
      <c r="H173" s="26">
        <f t="shared" si="5"/>
        <v>0</v>
      </c>
      <c r="I173" s="24">
        <f t="shared" si="6"/>
        <v>0</v>
      </c>
      <c r="J173" s="24">
        <f t="shared" si="7"/>
        <v>0</v>
      </c>
      <c r="K173" s="24"/>
      <c r="L173" s="24">
        <f t="shared" si="8"/>
        <v>440.8341874</v>
      </c>
      <c r="M173" s="30">
        <f t="shared" si="9"/>
        <v>444.5205718</v>
      </c>
      <c r="N173" s="27">
        <f t="shared" si="10"/>
        <v>-3.686384373</v>
      </c>
      <c r="O173" s="24"/>
      <c r="P173" s="24"/>
      <c r="Q173" s="24"/>
      <c r="R173" s="26"/>
      <c r="S173" s="14">
        <f t="shared" si="13"/>
        <v>-3.385192506</v>
      </c>
      <c r="U173" s="21"/>
      <c r="V173" s="21"/>
    </row>
    <row r="174">
      <c r="A174" s="11">
        <v>162.0</v>
      </c>
      <c r="B174" s="11">
        <v>1.4201E9</v>
      </c>
      <c r="C174" s="2">
        <v>-102.3305435</v>
      </c>
      <c r="D174" s="24">
        <f t="shared" si="1"/>
        <v>-300000</v>
      </c>
      <c r="E174" s="25">
        <f t="shared" si="2"/>
        <v>62.44413699</v>
      </c>
      <c r="F174" s="24">
        <f t="shared" si="3"/>
        <v>0.0002081471233</v>
      </c>
      <c r="G174" s="24">
        <f t="shared" si="4"/>
        <v>0</v>
      </c>
      <c r="H174" s="26">
        <f t="shared" si="5"/>
        <v>0</v>
      </c>
      <c r="I174" s="24">
        <f t="shared" si="6"/>
        <v>0</v>
      </c>
      <c r="J174" s="24">
        <f t="shared" si="7"/>
        <v>0</v>
      </c>
      <c r="K174" s="24"/>
      <c r="L174" s="24">
        <f t="shared" si="8"/>
        <v>444.6843213</v>
      </c>
      <c r="M174" s="30">
        <f t="shared" si="9"/>
        <v>444.4303748</v>
      </c>
      <c r="N174" s="27">
        <f t="shared" si="10"/>
        <v>0.2539465365</v>
      </c>
      <c r="O174" s="24"/>
      <c r="P174" s="24"/>
      <c r="Q174" s="24"/>
      <c r="R174" s="26"/>
      <c r="S174" s="14">
        <f t="shared" si="13"/>
        <v>0.2331981224</v>
      </c>
      <c r="U174" s="21"/>
      <c r="V174" s="21"/>
    </row>
    <row r="175">
      <c r="A175" s="11">
        <v>163.0</v>
      </c>
      <c r="B175" s="11">
        <v>1.42010434782608E9</v>
      </c>
      <c r="C175" s="2">
        <v>-102.3494644</v>
      </c>
      <c r="D175" s="24">
        <f t="shared" si="1"/>
        <v>-295652.1739</v>
      </c>
      <c r="E175" s="25">
        <f t="shared" si="2"/>
        <v>61.52584085</v>
      </c>
      <c r="F175" s="24">
        <f t="shared" si="3"/>
        <v>0.0002081021088</v>
      </c>
      <c r="G175" s="24">
        <f t="shared" si="4"/>
        <v>0</v>
      </c>
      <c r="H175" s="26">
        <f t="shared" si="5"/>
        <v>0</v>
      </c>
      <c r="I175" s="24">
        <f t="shared" si="6"/>
        <v>0</v>
      </c>
      <c r="J175" s="24">
        <f t="shared" si="7"/>
        <v>0</v>
      </c>
      <c r="K175" s="24"/>
      <c r="L175" s="24">
        <f t="shared" si="8"/>
        <v>442.7511801</v>
      </c>
      <c r="M175" s="30">
        <f t="shared" si="9"/>
        <v>444.34006</v>
      </c>
      <c r="N175" s="27">
        <f t="shared" si="10"/>
        <v>-1.588879949</v>
      </c>
      <c r="O175" s="24"/>
      <c r="P175" s="24"/>
      <c r="Q175" s="24"/>
      <c r="R175" s="26"/>
      <c r="S175" s="14">
        <f t="shared" si="13"/>
        <v>-1.459062313</v>
      </c>
      <c r="U175" s="21"/>
      <c r="V175" s="21"/>
    </row>
    <row r="176">
      <c r="A176" s="11">
        <v>164.0</v>
      </c>
      <c r="B176" s="11">
        <v>1.42010869565217E9</v>
      </c>
      <c r="C176" s="2">
        <v>-102.3898392</v>
      </c>
      <c r="D176" s="24">
        <f t="shared" si="1"/>
        <v>-291304.3478</v>
      </c>
      <c r="E176" s="25">
        <f t="shared" si="2"/>
        <v>60.60754472</v>
      </c>
      <c r="F176" s="24">
        <f t="shared" si="3"/>
        <v>0.0002080557505</v>
      </c>
      <c r="G176" s="24">
        <f t="shared" si="4"/>
        <v>0</v>
      </c>
      <c r="H176" s="26">
        <f t="shared" si="5"/>
        <v>0</v>
      </c>
      <c r="I176" s="24">
        <f t="shared" si="6"/>
        <v>0</v>
      </c>
      <c r="J176" s="24">
        <f t="shared" si="7"/>
        <v>0</v>
      </c>
      <c r="K176" s="24"/>
      <c r="L176" s="24">
        <f t="shared" si="8"/>
        <v>438.654155</v>
      </c>
      <c r="M176" s="30">
        <f t="shared" si="9"/>
        <v>444.249628</v>
      </c>
      <c r="N176" s="27">
        <f t="shared" si="10"/>
        <v>-5.595473029</v>
      </c>
      <c r="O176" s="24"/>
      <c r="P176" s="24"/>
      <c r="Q176" s="24"/>
      <c r="R176" s="26"/>
      <c r="S176" s="14">
        <f t="shared" si="13"/>
        <v>-5.138301232</v>
      </c>
      <c r="U176" s="21"/>
      <c r="V176" s="21"/>
    </row>
    <row r="177">
      <c r="A177" s="11">
        <v>165.0</v>
      </c>
      <c r="B177" s="11">
        <v>1.42011304347826E9</v>
      </c>
      <c r="C177" s="2">
        <v>-102.3167419</v>
      </c>
      <c r="D177" s="24">
        <f t="shared" si="1"/>
        <v>-286956.5217</v>
      </c>
      <c r="E177" s="25">
        <f t="shared" si="2"/>
        <v>59.68924859</v>
      </c>
      <c r="F177" s="24">
        <f t="shared" si="3"/>
        <v>0.0002080079875</v>
      </c>
      <c r="G177" s="24">
        <f t="shared" si="4"/>
        <v>0</v>
      </c>
      <c r="H177" s="26">
        <f t="shared" si="5"/>
        <v>0</v>
      </c>
      <c r="I177" s="24">
        <f t="shared" si="6"/>
        <v>0</v>
      </c>
      <c r="J177" s="24">
        <f t="shared" si="7"/>
        <v>0</v>
      </c>
      <c r="K177" s="24"/>
      <c r="L177" s="24">
        <f t="shared" si="8"/>
        <v>446.0997475</v>
      </c>
      <c r="M177" s="30">
        <f t="shared" si="9"/>
        <v>444.1590794</v>
      </c>
      <c r="N177" s="27">
        <f t="shared" si="10"/>
        <v>1.940668091</v>
      </c>
      <c r="O177" s="24"/>
      <c r="P177" s="24"/>
      <c r="Q177" s="24"/>
      <c r="R177" s="26"/>
      <c r="S177" s="14">
        <f t="shared" si="13"/>
        <v>1.782108003</v>
      </c>
      <c r="U177" s="21"/>
      <c r="V177" s="21"/>
    </row>
    <row r="178">
      <c r="A178" s="11">
        <v>166.0</v>
      </c>
      <c r="B178" s="11">
        <v>1.42011739130434E9</v>
      </c>
      <c r="C178" s="2">
        <v>-102.3471603</v>
      </c>
      <c r="D178" s="24">
        <f t="shared" si="1"/>
        <v>-282608.6957</v>
      </c>
      <c r="E178" s="25">
        <f t="shared" si="2"/>
        <v>58.77095246</v>
      </c>
      <c r="F178" s="24">
        <f t="shared" si="3"/>
        <v>0.0002079587548</v>
      </c>
      <c r="G178" s="24">
        <f t="shared" si="4"/>
        <v>0</v>
      </c>
      <c r="H178" s="26">
        <f t="shared" si="5"/>
        <v>0</v>
      </c>
      <c r="I178" s="24">
        <f t="shared" si="6"/>
        <v>0</v>
      </c>
      <c r="J178" s="24">
        <f t="shared" si="7"/>
        <v>0</v>
      </c>
      <c r="K178" s="24"/>
      <c r="L178" s="24">
        <f t="shared" si="8"/>
        <v>442.986139</v>
      </c>
      <c r="M178" s="30">
        <f t="shared" si="9"/>
        <v>444.0684147</v>
      </c>
      <c r="N178" s="27">
        <f t="shared" si="10"/>
        <v>-1.082275752</v>
      </c>
      <c r="O178" s="24"/>
      <c r="P178" s="24"/>
      <c r="Q178" s="24"/>
      <c r="R178" s="26"/>
      <c r="S178" s="14">
        <f t="shared" si="13"/>
        <v>-0.9938496377</v>
      </c>
      <c r="U178" s="21"/>
      <c r="V178" s="21"/>
    </row>
    <row r="179">
      <c r="A179" s="11">
        <v>167.0</v>
      </c>
      <c r="B179" s="11">
        <v>1.42012173913043E9</v>
      </c>
      <c r="C179" s="2">
        <v>-102.3758545</v>
      </c>
      <c r="D179" s="24">
        <f t="shared" si="1"/>
        <v>-278260.8696</v>
      </c>
      <c r="E179" s="25">
        <f t="shared" si="2"/>
        <v>57.85265632</v>
      </c>
      <c r="F179" s="24">
        <f t="shared" si="3"/>
        <v>0.0002079079837</v>
      </c>
      <c r="G179" s="24">
        <f t="shared" si="4"/>
        <v>0</v>
      </c>
      <c r="H179" s="26">
        <f t="shared" si="5"/>
        <v>0</v>
      </c>
      <c r="I179" s="24">
        <f t="shared" si="6"/>
        <v>0</v>
      </c>
      <c r="J179" s="24">
        <f t="shared" si="7"/>
        <v>0</v>
      </c>
      <c r="K179" s="24"/>
      <c r="L179" s="24">
        <f t="shared" si="8"/>
        <v>440.0689402</v>
      </c>
      <c r="M179" s="30">
        <f t="shared" si="9"/>
        <v>443.9776347</v>
      </c>
      <c r="N179" s="27">
        <f t="shared" si="10"/>
        <v>-3.908694532</v>
      </c>
      <c r="O179" s="24"/>
      <c r="P179" s="24"/>
      <c r="Q179" s="24"/>
      <c r="R179" s="26"/>
      <c r="S179" s="14">
        <f t="shared" si="13"/>
        <v>-3.589339064</v>
      </c>
      <c r="U179" s="21"/>
      <c r="V179" s="21"/>
    </row>
    <row r="180">
      <c r="A180" s="11">
        <v>168.0</v>
      </c>
      <c r="B180" s="11">
        <v>1.42012608695652E9</v>
      </c>
      <c r="C180" s="2">
        <v>-102.3935471</v>
      </c>
      <c r="D180" s="24">
        <f t="shared" si="1"/>
        <v>-273913.0435</v>
      </c>
      <c r="E180" s="25">
        <f t="shared" si="2"/>
        <v>56.93436019</v>
      </c>
      <c r="F180" s="24">
        <f t="shared" si="3"/>
        <v>0.0002078556007</v>
      </c>
      <c r="G180" s="24">
        <f t="shared" si="4"/>
        <v>0</v>
      </c>
      <c r="H180" s="26">
        <f t="shared" si="5"/>
        <v>0</v>
      </c>
      <c r="I180" s="24">
        <f t="shared" si="6"/>
        <v>0</v>
      </c>
      <c r="J180" s="24">
        <f t="shared" si="7"/>
        <v>0</v>
      </c>
      <c r="K180" s="24"/>
      <c r="L180" s="24">
        <f t="shared" si="8"/>
        <v>438.2798026</v>
      </c>
      <c r="M180" s="30">
        <f t="shared" si="9"/>
        <v>443.8867399</v>
      </c>
      <c r="N180" s="27">
        <f t="shared" si="10"/>
        <v>-5.606937287</v>
      </c>
      <c r="O180" s="24"/>
      <c r="P180" s="24"/>
      <c r="Q180" s="24"/>
      <c r="R180" s="26"/>
      <c r="S180" s="14">
        <f t="shared" si="13"/>
        <v>-5.148828828</v>
      </c>
      <c r="U180" s="21"/>
      <c r="V180" s="21"/>
    </row>
    <row r="181">
      <c r="A181" s="11">
        <v>169.0</v>
      </c>
      <c r="B181" s="11">
        <v>1.4201304347826E9</v>
      </c>
      <c r="C181" s="2">
        <v>-102.4040909</v>
      </c>
      <c r="D181" s="24">
        <f t="shared" si="1"/>
        <v>-269565.2174</v>
      </c>
      <c r="E181" s="25">
        <f t="shared" si="2"/>
        <v>56.01606406</v>
      </c>
      <c r="F181" s="24">
        <f t="shared" si="3"/>
        <v>0.000207801528</v>
      </c>
      <c r="G181" s="24">
        <f t="shared" si="4"/>
        <v>0</v>
      </c>
      <c r="H181" s="26">
        <f t="shared" si="5"/>
        <v>0</v>
      </c>
      <c r="I181" s="24">
        <f t="shared" si="6"/>
        <v>0</v>
      </c>
      <c r="J181" s="24">
        <f t="shared" si="7"/>
        <v>0</v>
      </c>
      <c r="K181" s="24"/>
      <c r="L181" s="24">
        <f t="shared" si="8"/>
        <v>437.2170377</v>
      </c>
      <c r="M181" s="30">
        <f t="shared" si="9"/>
        <v>443.7957309</v>
      </c>
      <c r="N181" s="27">
        <f t="shared" si="10"/>
        <v>-6.578693241</v>
      </c>
      <c r="O181" s="24"/>
      <c r="P181" s="24"/>
      <c r="Q181" s="24"/>
      <c r="R181" s="26"/>
      <c r="S181" s="14">
        <f t="shared" si="13"/>
        <v>-6.041188562</v>
      </c>
      <c r="U181" s="21"/>
      <c r="V181" s="21"/>
    </row>
    <row r="182">
      <c r="A182" s="11">
        <v>170.0</v>
      </c>
      <c r="B182" s="11">
        <v>1.42013478260869E9</v>
      </c>
      <c r="C182" s="2">
        <v>-102.3326187</v>
      </c>
      <c r="D182" s="24">
        <f t="shared" si="1"/>
        <v>-265217.3913</v>
      </c>
      <c r="E182" s="25">
        <f t="shared" si="2"/>
        <v>55.09776793</v>
      </c>
      <c r="F182" s="24">
        <f t="shared" si="3"/>
        <v>0.0002077456823</v>
      </c>
      <c r="G182" s="24">
        <f t="shared" si="4"/>
        <v>0</v>
      </c>
      <c r="H182" s="26">
        <f t="shared" si="5"/>
        <v>0</v>
      </c>
      <c r="I182" s="24">
        <f t="shared" si="6"/>
        <v>0</v>
      </c>
      <c r="J182" s="24">
        <f t="shared" si="7"/>
        <v>0</v>
      </c>
      <c r="K182" s="24"/>
      <c r="L182" s="24">
        <f t="shared" si="8"/>
        <v>444.4718875</v>
      </c>
      <c r="M182" s="30">
        <f t="shared" si="9"/>
        <v>443.7046083</v>
      </c>
      <c r="N182" s="27">
        <f t="shared" si="10"/>
        <v>0.7672791586</v>
      </c>
      <c r="O182" s="24"/>
      <c r="P182" s="24"/>
      <c r="Q182" s="24"/>
      <c r="R182" s="26"/>
      <c r="S182" s="14">
        <f t="shared" si="13"/>
        <v>0.7045894841</v>
      </c>
      <c r="U182" s="21"/>
      <c r="V182" s="21"/>
    </row>
    <row r="183">
      <c r="A183" s="11">
        <v>171.0</v>
      </c>
      <c r="B183" s="11">
        <v>1.42013913043478E9</v>
      </c>
      <c r="C183" s="2">
        <v>-102.3798599</v>
      </c>
      <c r="D183" s="24">
        <f t="shared" si="1"/>
        <v>-260869.5652</v>
      </c>
      <c r="E183" s="25">
        <f t="shared" si="2"/>
        <v>54.1794718</v>
      </c>
      <c r="F183" s="24">
        <f t="shared" si="3"/>
        <v>0.0002076879752</v>
      </c>
      <c r="G183" s="24">
        <f t="shared" si="4"/>
        <v>0</v>
      </c>
      <c r="H183" s="26">
        <f t="shared" si="5"/>
        <v>0</v>
      </c>
      <c r="I183" s="24">
        <f t="shared" si="6"/>
        <v>0</v>
      </c>
      <c r="J183" s="24">
        <f t="shared" si="7"/>
        <v>0</v>
      </c>
      <c r="K183" s="24"/>
      <c r="L183" s="24">
        <f t="shared" si="8"/>
        <v>439.6632616</v>
      </c>
      <c r="M183" s="30">
        <f t="shared" si="9"/>
        <v>443.6133728</v>
      </c>
      <c r="N183" s="27">
        <f t="shared" si="10"/>
        <v>-3.950111173</v>
      </c>
      <c r="O183" s="24"/>
      <c r="P183" s="24"/>
      <c r="Q183" s="24"/>
      <c r="R183" s="26"/>
      <c r="S183" s="14">
        <f t="shared" si="13"/>
        <v>-3.627371806</v>
      </c>
      <c r="U183" s="21"/>
      <c r="V183" s="21"/>
    </row>
    <row r="184">
      <c r="A184" s="11">
        <v>172.0</v>
      </c>
      <c r="B184" s="11">
        <v>1.42014347826087E9</v>
      </c>
      <c r="C184" s="2">
        <v>-102.3694305</v>
      </c>
      <c r="D184" s="24">
        <f t="shared" si="1"/>
        <v>-256521.7391</v>
      </c>
      <c r="E184" s="25">
        <f t="shared" si="2"/>
        <v>53.26117567</v>
      </c>
      <c r="F184" s="24">
        <f t="shared" si="3"/>
        <v>0.0002076283119</v>
      </c>
      <c r="G184" s="24">
        <f t="shared" si="4"/>
        <v>0</v>
      </c>
      <c r="H184" s="26">
        <f t="shared" si="5"/>
        <v>0</v>
      </c>
      <c r="I184" s="24">
        <f t="shared" si="6"/>
        <v>0</v>
      </c>
      <c r="J184" s="24">
        <f t="shared" si="7"/>
        <v>0</v>
      </c>
      <c r="K184" s="24"/>
      <c r="L184" s="24">
        <f t="shared" si="8"/>
        <v>440.7203633</v>
      </c>
      <c r="M184" s="30">
        <f t="shared" si="9"/>
        <v>443.5220249</v>
      </c>
      <c r="N184" s="27">
        <f t="shared" si="10"/>
        <v>-2.801661599</v>
      </c>
      <c r="O184" s="24"/>
      <c r="P184" s="24"/>
      <c r="Q184" s="24"/>
      <c r="R184" s="26"/>
      <c r="S184" s="14">
        <f t="shared" si="13"/>
        <v>-2.572755012</v>
      </c>
      <c r="U184" s="21"/>
      <c r="V184" s="21"/>
    </row>
    <row r="185">
      <c r="A185" s="11">
        <v>173.0</v>
      </c>
      <c r="B185" s="11">
        <v>1.42014782608695E9</v>
      </c>
      <c r="C185" s="2">
        <v>-102.3563385</v>
      </c>
      <c r="D185" s="24">
        <f t="shared" si="1"/>
        <v>-252173.913</v>
      </c>
      <c r="E185" s="25">
        <f t="shared" si="2"/>
        <v>52.34287953</v>
      </c>
      <c r="F185" s="24">
        <f t="shared" si="3"/>
        <v>0.0002075665912</v>
      </c>
      <c r="G185" s="24">
        <f t="shared" si="4"/>
        <v>0</v>
      </c>
      <c r="H185" s="26">
        <f t="shared" si="5"/>
        <v>0</v>
      </c>
      <c r="I185" s="24">
        <f t="shared" si="6"/>
        <v>0</v>
      </c>
      <c r="J185" s="24">
        <f t="shared" si="7"/>
        <v>0</v>
      </c>
      <c r="K185" s="24"/>
      <c r="L185" s="24">
        <f t="shared" si="8"/>
        <v>442.0509389</v>
      </c>
      <c r="M185" s="30">
        <f t="shared" si="9"/>
        <v>443.4305653</v>
      </c>
      <c r="N185" s="27">
        <f t="shared" si="10"/>
        <v>-1.379626323</v>
      </c>
      <c r="O185" s="24"/>
      <c r="P185" s="24"/>
      <c r="Q185" s="24"/>
      <c r="R185" s="26"/>
      <c r="S185" s="14">
        <f t="shared" si="13"/>
        <v>-1.266905517</v>
      </c>
      <c r="U185" s="21"/>
      <c r="V185" s="21"/>
    </row>
    <row r="186">
      <c r="A186" s="11">
        <v>174.0</v>
      </c>
      <c r="B186" s="11">
        <v>1.42015217391304E9</v>
      </c>
      <c r="C186" s="2">
        <v>-102.4006195</v>
      </c>
      <c r="D186" s="24">
        <f t="shared" si="1"/>
        <v>-247826.087</v>
      </c>
      <c r="E186" s="25">
        <f t="shared" si="2"/>
        <v>51.4245834</v>
      </c>
      <c r="F186" s="24">
        <f t="shared" si="3"/>
        <v>0.0002075027049</v>
      </c>
      <c r="G186" s="24">
        <f t="shared" si="4"/>
        <v>0</v>
      </c>
      <c r="H186" s="26">
        <f t="shared" si="5"/>
        <v>0</v>
      </c>
      <c r="I186" s="24">
        <f t="shared" si="6"/>
        <v>0</v>
      </c>
      <c r="J186" s="24">
        <f t="shared" si="7"/>
        <v>0</v>
      </c>
      <c r="K186" s="24"/>
      <c r="L186" s="24">
        <f t="shared" si="8"/>
        <v>437.5666534</v>
      </c>
      <c r="M186" s="30">
        <f t="shared" si="9"/>
        <v>443.3389945</v>
      </c>
      <c r="N186" s="27">
        <f t="shared" si="10"/>
        <v>-5.772341066</v>
      </c>
      <c r="O186" s="24"/>
      <c r="P186" s="24"/>
      <c r="Q186" s="24"/>
      <c r="R186" s="26"/>
      <c r="S186" s="14">
        <f t="shared" si="13"/>
        <v>-5.300718466</v>
      </c>
      <c r="U186" s="21"/>
      <c r="V186" s="21"/>
    </row>
    <row r="187">
      <c r="A187" s="11">
        <v>175.0</v>
      </c>
      <c r="B187" s="11">
        <v>1.42015652173913E9</v>
      </c>
      <c r="C187" s="2">
        <v>-102.3273163</v>
      </c>
      <c r="D187" s="24">
        <f t="shared" si="1"/>
        <v>-243478.2609</v>
      </c>
      <c r="E187" s="25">
        <f t="shared" si="2"/>
        <v>50.50628727</v>
      </c>
      <c r="F187" s="24">
        <f t="shared" si="3"/>
        <v>0.000207436537</v>
      </c>
      <c r="G187" s="24">
        <f t="shared" si="4"/>
        <v>0</v>
      </c>
      <c r="H187" s="26">
        <f t="shared" si="5"/>
        <v>0</v>
      </c>
      <c r="I187" s="24">
        <f t="shared" si="6"/>
        <v>0</v>
      </c>
      <c r="J187" s="24">
        <f t="shared" si="7"/>
        <v>0</v>
      </c>
      <c r="K187" s="24"/>
      <c r="L187" s="24">
        <f t="shared" si="8"/>
        <v>445.0148847</v>
      </c>
      <c r="M187" s="30">
        <f t="shared" si="9"/>
        <v>443.2473132</v>
      </c>
      <c r="N187" s="27">
        <f t="shared" si="10"/>
        <v>1.767571554</v>
      </c>
      <c r="O187" s="24"/>
      <c r="P187" s="24"/>
      <c r="Q187" s="24"/>
      <c r="R187" s="26"/>
      <c r="S187" s="14">
        <f t="shared" si="13"/>
        <v>1.623154123</v>
      </c>
      <c r="U187" s="21"/>
      <c r="V187" s="21"/>
    </row>
    <row r="188">
      <c r="A188" s="11">
        <v>176.0</v>
      </c>
      <c r="B188" s="11">
        <v>1.42016086956521E9</v>
      </c>
      <c r="C188" s="2">
        <v>-102.3413467</v>
      </c>
      <c r="D188" s="24">
        <f t="shared" si="1"/>
        <v>-239130.4348</v>
      </c>
      <c r="E188" s="25">
        <f t="shared" si="2"/>
        <v>49.58799114</v>
      </c>
      <c r="F188" s="24">
        <f t="shared" si="3"/>
        <v>0.0002073679629</v>
      </c>
      <c r="G188" s="24">
        <f t="shared" si="4"/>
        <v>0</v>
      </c>
      <c r="H188" s="26">
        <f t="shared" si="5"/>
        <v>0</v>
      </c>
      <c r="I188" s="24">
        <f t="shared" si="6"/>
        <v>0</v>
      </c>
      <c r="J188" s="24">
        <f t="shared" si="7"/>
        <v>0</v>
      </c>
      <c r="K188" s="24"/>
      <c r="L188" s="24">
        <f t="shared" si="8"/>
        <v>443.579531</v>
      </c>
      <c r="M188" s="30">
        <f t="shared" si="9"/>
        <v>443.1555219</v>
      </c>
      <c r="N188" s="27">
        <f t="shared" si="10"/>
        <v>0.4240090482</v>
      </c>
      <c r="O188" s="24"/>
      <c r="P188" s="24"/>
      <c r="Q188" s="24"/>
      <c r="R188" s="26"/>
      <c r="S188" s="14">
        <f t="shared" si="13"/>
        <v>0.3893658693</v>
      </c>
      <c r="U188" s="21"/>
      <c r="V188" s="21"/>
    </row>
    <row r="189">
      <c r="A189" s="11">
        <v>177.0</v>
      </c>
      <c r="B189" s="11">
        <v>1.4201652173913E9</v>
      </c>
      <c r="C189" s="2">
        <v>-102.3557892</v>
      </c>
      <c r="D189" s="24">
        <f t="shared" si="1"/>
        <v>-234782.6087</v>
      </c>
      <c r="E189" s="25">
        <f t="shared" si="2"/>
        <v>48.669695</v>
      </c>
      <c r="F189" s="24">
        <f t="shared" si="3"/>
        <v>0.0002072968491</v>
      </c>
      <c r="G189" s="24">
        <f t="shared" si="4"/>
        <v>0</v>
      </c>
      <c r="H189" s="26">
        <f t="shared" si="5"/>
        <v>0</v>
      </c>
      <c r="I189" s="24">
        <f t="shared" si="6"/>
        <v>0</v>
      </c>
      <c r="J189" s="24">
        <f t="shared" si="7"/>
        <v>0</v>
      </c>
      <c r="K189" s="24"/>
      <c r="L189" s="24">
        <f t="shared" si="8"/>
        <v>442.1068535</v>
      </c>
      <c r="M189" s="30">
        <f t="shared" si="9"/>
        <v>443.0636214</v>
      </c>
      <c r="N189" s="27">
        <f t="shared" si="10"/>
        <v>-0.9567678428</v>
      </c>
      <c r="O189" s="24"/>
      <c r="P189" s="24"/>
      <c r="Q189" s="24"/>
      <c r="R189" s="26"/>
      <c r="S189" s="14">
        <f t="shared" si="13"/>
        <v>-0.878596208</v>
      </c>
      <c r="U189" s="21"/>
      <c r="V189" s="21"/>
    </row>
    <row r="190">
      <c r="A190" s="11">
        <v>178.0</v>
      </c>
      <c r="B190" s="11">
        <v>1.42016956521739E9</v>
      </c>
      <c r="C190" s="2">
        <v>-102.3256378</v>
      </c>
      <c r="D190" s="24">
        <f t="shared" si="1"/>
        <v>-230434.7826</v>
      </c>
      <c r="E190" s="25">
        <f t="shared" si="2"/>
        <v>47.75139887</v>
      </c>
      <c r="F190" s="24">
        <f t="shared" si="3"/>
        <v>0.0002072230517</v>
      </c>
      <c r="G190" s="24">
        <f t="shared" si="4"/>
        <v>0</v>
      </c>
      <c r="H190" s="26">
        <f t="shared" si="5"/>
        <v>0</v>
      </c>
      <c r="I190" s="24">
        <f t="shared" si="6"/>
        <v>0</v>
      </c>
      <c r="J190" s="24">
        <f t="shared" si="7"/>
        <v>0</v>
      </c>
      <c r="K190" s="24"/>
      <c r="L190" s="24">
        <f t="shared" si="8"/>
        <v>445.1869113</v>
      </c>
      <c r="M190" s="30">
        <f t="shared" si="9"/>
        <v>442.9716121</v>
      </c>
      <c r="N190" s="27">
        <f t="shared" si="10"/>
        <v>2.215299187</v>
      </c>
      <c r="O190" s="24"/>
      <c r="P190" s="24"/>
      <c r="Q190" s="24"/>
      <c r="R190" s="26"/>
      <c r="S190" s="14">
        <f t="shared" si="13"/>
        <v>2.034300676</v>
      </c>
      <c r="U190" s="21"/>
      <c r="V190" s="21"/>
    </row>
    <row r="191">
      <c r="A191" s="11">
        <v>179.0</v>
      </c>
      <c r="B191" s="11">
        <v>1.42017391304347E9</v>
      </c>
      <c r="C191" s="2">
        <v>-102.4291153</v>
      </c>
      <c r="D191" s="24">
        <f t="shared" si="1"/>
        <v>-226086.9565</v>
      </c>
      <c r="E191" s="25">
        <f t="shared" si="2"/>
        <v>46.83310274</v>
      </c>
      <c r="F191" s="24">
        <f t="shared" si="3"/>
        <v>0.000207146416</v>
      </c>
      <c r="G191" s="24">
        <f t="shared" si="4"/>
        <v>0</v>
      </c>
      <c r="H191" s="26">
        <f t="shared" si="5"/>
        <v>0</v>
      </c>
      <c r="I191" s="24">
        <f t="shared" si="6"/>
        <v>0</v>
      </c>
      <c r="J191" s="24">
        <f t="shared" si="7"/>
        <v>0</v>
      </c>
      <c r="K191" s="24"/>
      <c r="L191" s="24">
        <f t="shared" si="8"/>
        <v>434.7050019</v>
      </c>
      <c r="M191" s="30">
        <f t="shared" si="9"/>
        <v>442.8794947</v>
      </c>
      <c r="N191" s="27">
        <f t="shared" si="10"/>
        <v>-8.174492841</v>
      </c>
      <c r="O191" s="24"/>
      <c r="P191" s="24"/>
      <c r="Q191" s="24"/>
      <c r="R191" s="26"/>
      <c r="S191" s="14">
        <f t="shared" si="13"/>
        <v>-7.506605164</v>
      </c>
      <c r="U191" s="21"/>
      <c r="V191" s="21"/>
    </row>
    <row r="192">
      <c r="A192" s="11">
        <v>180.0</v>
      </c>
      <c r="B192" s="11">
        <v>1.42017826086956E9</v>
      </c>
      <c r="C192" s="2">
        <v>-102.3411255</v>
      </c>
      <c r="D192" s="24">
        <f t="shared" si="1"/>
        <v>-221739.1304</v>
      </c>
      <c r="E192" s="25">
        <f t="shared" si="2"/>
        <v>45.91480661</v>
      </c>
      <c r="F192" s="24">
        <f t="shared" si="3"/>
        <v>0.0002070667749</v>
      </c>
      <c r="G192" s="24">
        <f t="shared" si="4"/>
        <v>0</v>
      </c>
      <c r="H192" s="26">
        <f t="shared" si="5"/>
        <v>0</v>
      </c>
      <c r="I192" s="24">
        <f t="shared" si="6"/>
        <v>0</v>
      </c>
      <c r="J192" s="24">
        <f t="shared" si="7"/>
        <v>0</v>
      </c>
      <c r="K192" s="24"/>
      <c r="L192" s="24">
        <f t="shared" si="8"/>
        <v>443.6021245</v>
      </c>
      <c r="M192" s="30">
        <f t="shared" si="9"/>
        <v>442.7872699</v>
      </c>
      <c r="N192" s="27">
        <f t="shared" si="10"/>
        <v>0.8148546192</v>
      </c>
      <c r="O192" s="24"/>
      <c r="P192" s="24"/>
      <c r="Q192" s="24"/>
      <c r="R192" s="26"/>
      <c r="S192" s="14">
        <f t="shared" si="13"/>
        <v>0.7482778439</v>
      </c>
      <c r="U192" s="21"/>
      <c r="V192" s="21"/>
    </row>
    <row r="193">
      <c r="A193" s="11">
        <v>181.0</v>
      </c>
      <c r="B193" s="11">
        <v>1.42018260869565E9</v>
      </c>
      <c r="C193" s="2">
        <v>-102.331131</v>
      </c>
      <c r="D193" s="24">
        <f t="shared" si="1"/>
        <v>-217391.3043</v>
      </c>
      <c r="E193" s="25">
        <f t="shared" si="2"/>
        <v>44.99651048</v>
      </c>
      <c r="F193" s="24">
        <f t="shared" si="3"/>
        <v>0.0002069839482</v>
      </c>
      <c r="G193" s="24">
        <f t="shared" si="4"/>
        <v>0</v>
      </c>
      <c r="H193" s="26">
        <f t="shared" si="5"/>
        <v>0</v>
      </c>
      <c r="I193" s="24">
        <f t="shared" si="6"/>
        <v>0</v>
      </c>
      <c r="J193" s="24">
        <f t="shared" si="7"/>
        <v>0</v>
      </c>
      <c r="K193" s="24"/>
      <c r="L193" s="24">
        <f t="shared" si="8"/>
        <v>444.6241699</v>
      </c>
      <c r="M193" s="30">
        <f t="shared" si="9"/>
        <v>442.6949381</v>
      </c>
      <c r="N193" s="27">
        <f t="shared" si="10"/>
        <v>1.929231804</v>
      </c>
      <c r="O193" s="24"/>
      <c r="P193" s="24"/>
      <c r="Q193" s="24"/>
      <c r="R193" s="26"/>
      <c r="S193" s="14">
        <f t="shared" si="13"/>
        <v>1.771606105</v>
      </c>
      <c r="U193" s="21"/>
      <c r="V193" s="21"/>
    </row>
    <row r="194">
      <c r="A194" s="11">
        <v>182.0</v>
      </c>
      <c r="B194" s="11">
        <v>1.42018695652173E9</v>
      </c>
      <c r="C194" s="2">
        <v>-102.3646317</v>
      </c>
      <c r="D194" s="24">
        <f t="shared" si="1"/>
        <v>-213043.4783</v>
      </c>
      <c r="E194" s="25">
        <f t="shared" si="2"/>
        <v>44.07821434</v>
      </c>
      <c r="F194" s="24">
        <f t="shared" si="3"/>
        <v>0.0002068977408</v>
      </c>
      <c r="G194" s="24">
        <f t="shared" si="4"/>
        <v>0</v>
      </c>
      <c r="H194" s="26">
        <f t="shared" si="5"/>
        <v>0</v>
      </c>
      <c r="I194" s="24">
        <f t="shared" si="6"/>
        <v>0</v>
      </c>
      <c r="J194" s="24">
        <f t="shared" si="7"/>
        <v>0</v>
      </c>
      <c r="K194" s="24"/>
      <c r="L194" s="24">
        <f t="shared" si="8"/>
        <v>441.2076128</v>
      </c>
      <c r="M194" s="30">
        <f t="shared" si="9"/>
        <v>442.6025001</v>
      </c>
      <c r="N194" s="27">
        <f t="shared" si="10"/>
        <v>-1.394887227</v>
      </c>
      <c r="O194" s="24"/>
      <c r="P194" s="24"/>
      <c r="Q194" s="24"/>
      <c r="R194" s="26"/>
      <c r="S194" s="14">
        <f t="shared" si="13"/>
        <v>-1.280919546</v>
      </c>
      <c r="U194" s="21"/>
      <c r="V194" s="21"/>
    </row>
    <row r="195">
      <c r="A195" s="11">
        <v>183.0</v>
      </c>
      <c r="B195" s="11">
        <v>1.42019130434782E9</v>
      </c>
      <c r="C195" s="2">
        <v>-102.3182907</v>
      </c>
      <c r="D195" s="24">
        <f t="shared" si="1"/>
        <v>-208695.6522</v>
      </c>
      <c r="E195" s="25">
        <f t="shared" si="2"/>
        <v>43.15991821</v>
      </c>
      <c r="F195" s="24">
        <f t="shared" si="3"/>
        <v>0.0002068079414</v>
      </c>
      <c r="G195" s="24">
        <f t="shared" si="4"/>
        <v>0</v>
      </c>
      <c r="H195" s="26">
        <f t="shared" si="5"/>
        <v>0</v>
      </c>
      <c r="I195" s="24">
        <f t="shared" si="6"/>
        <v>0</v>
      </c>
      <c r="J195" s="24">
        <f t="shared" si="7"/>
        <v>0</v>
      </c>
      <c r="K195" s="24"/>
      <c r="L195" s="24">
        <f t="shared" si="8"/>
        <v>445.9406858</v>
      </c>
      <c r="M195" s="30">
        <f t="shared" si="9"/>
        <v>442.5099563</v>
      </c>
      <c r="N195" s="27">
        <f t="shared" si="10"/>
        <v>3.430729428</v>
      </c>
      <c r="O195" s="24"/>
      <c r="P195" s="24"/>
      <c r="Q195" s="24"/>
      <c r="R195" s="26"/>
      <c r="S195" s="14">
        <f t="shared" si="13"/>
        <v>3.150425566</v>
      </c>
      <c r="U195" s="21"/>
      <c r="V195" s="21"/>
    </row>
    <row r="196">
      <c r="A196" s="11">
        <v>184.0</v>
      </c>
      <c r="B196" s="11">
        <v>1.42019565217391E9</v>
      </c>
      <c r="C196" s="2">
        <v>-102.3098068</v>
      </c>
      <c r="D196" s="24">
        <f t="shared" si="1"/>
        <v>-204347.8261</v>
      </c>
      <c r="E196" s="25">
        <f t="shared" si="2"/>
        <v>42.24162208</v>
      </c>
      <c r="F196" s="24">
        <f t="shared" si="3"/>
        <v>0.0002067143208</v>
      </c>
      <c r="G196" s="24">
        <f t="shared" si="4"/>
        <v>0</v>
      </c>
      <c r="H196" s="26">
        <f t="shared" si="5"/>
        <v>0</v>
      </c>
      <c r="I196" s="24">
        <f t="shared" si="6"/>
        <v>0</v>
      </c>
      <c r="J196" s="24">
        <f t="shared" si="7"/>
        <v>0</v>
      </c>
      <c r="K196" s="24"/>
      <c r="L196" s="24">
        <f t="shared" si="8"/>
        <v>446.812678</v>
      </c>
      <c r="M196" s="30">
        <f t="shared" si="9"/>
        <v>442.4173076</v>
      </c>
      <c r="N196" s="27">
        <f t="shared" si="10"/>
        <v>4.395370385</v>
      </c>
      <c r="O196" s="24"/>
      <c r="P196" s="24"/>
      <c r="Q196" s="24"/>
      <c r="R196" s="26"/>
      <c r="S196" s="14">
        <f t="shared" si="13"/>
        <v>4.036251618</v>
      </c>
      <c r="U196" s="21"/>
      <c r="V196" s="21"/>
    </row>
    <row r="197">
      <c r="A197" s="11">
        <v>185.0</v>
      </c>
      <c r="B197" s="11">
        <v>1.4202E9</v>
      </c>
      <c r="C197" s="2">
        <v>-102.3731842</v>
      </c>
      <c r="D197" s="24">
        <f t="shared" si="1"/>
        <v>-200000</v>
      </c>
      <c r="E197" s="25">
        <f t="shared" si="2"/>
        <v>41.32332595</v>
      </c>
      <c r="F197" s="24">
        <f t="shared" si="3"/>
        <v>0.0002066166297</v>
      </c>
      <c r="G197" s="24">
        <f t="shared" si="4"/>
        <v>0</v>
      </c>
      <c r="H197" s="26">
        <f t="shared" si="5"/>
        <v>0</v>
      </c>
      <c r="I197" s="24">
        <f t="shared" si="6"/>
        <v>0</v>
      </c>
      <c r="J197" s="24">
        <f t="shared" si="7"/>
        <v>0</v>
      </c>
      <c r="K197" s="24"/>
      <c r="L197" s="24">
        <f t="shared" si="8"/>
        <v>440.3396039</v>
      </c>
      <c r="M197" s="30">
        <f t="shared" si="9"/>
        <v>442.3245543</v>
      </c>
      <c r="N197" s="27">
        <f t="shared" si="10"/>
        <v>-1.984950479</v>
      </c>
      <c r="O197" s="24"/>
      <c r="P197" s="24"/>
      <c r="Q197" s="24"/>
      <c r="R197" s="26"/>
      <c r="S197" s="14">
        <f t="shared" si="13"/>
        <v>-1.822772349</v>
      </c>
      <c r="U197" s="21"/>
      <c r="V197" s="21"/>
    </row>
    <row r="198">
      <c r="A198" s="11">
        <v>186.0</v>
      </c>
      <c r="B198" s="11">
        <v>1.42020434782608E9</v>
      </c>
      <c r="C198" s="2">
        <v>-102.308197</v>
      </c>
      <c r="D198" s="24">
        <f t="shared" si="1"/>
        <v>-195652.1739</v>
      </c>
      <c r="E198" s="25">
        <f t="shared" si="2"/>
        <v>40.40502981</v>
      </c>
      <c r="F198" s="24">
        <f t="shared" si="3"/>
        <v>0.0002065145968</v>
      </c>
      <c r="G198" s="24">
        <f t="shared" si="4"/>
        <v>0</v>
      </c>
      <c r="H198" s="26">
        <f t="shared" si="5"/>
        <v>0</v>
      </c>
      <c r="I198" s="24">
        <f t="shared" si="6"/>
        <v>0</v>
      </c>
      <c r="J198" s="24">
        <f t="shared" si="7"/>
        <v>0</v>
      </c>
      <c r="K198" s="24"/>
      <c r="L198" s="24">
        <f t="shared" si="8"/>
        <v>446.9783288</v>
      </c>
      <c r="M198" s="30">
        <f t="shared" si="9"/>
        <v>442.2316973</v>
      </c>
      <c r="N198" s="27">
        <f t="shared" si="10"/>
        <v>4.74663152</v>
      </c>
      <c r="O198" s="24"/>
      <c r="P198" s="24"/>
      <c r="Q198" s="24"/>
      <c r="R198" s="26"/>
      <c r="S198" s="14">
        <f t="shared" si="13"/>
        <v>4.358813369</v>
      </c>
      <c r="U198" s="21"/>
      <c r="V198" s="21"/>
    </row>
    <row r="199">
      <c r="A199" s="11">
        <v>187.0</v>
      </c>
      <c r="B199" s="11">
        <v>1.42020869565217E9</v>
      </c>
      <c r="C199" s="2">
        <v>-102.3040924</v>
      </c>
      <c r="D199" s="24">
        <f t="shared" si="1"/>
        <v>-191304.3478</v>
      </c>
      <c r="E199" s="25">
        <f t="shared" si="2"/>
        <v>39.48673368</v>
      </c>
      <c r="F199" s="24">
        <f t="shared" si="3"/>
        <v>0.0002064079261</v>
      </c>
      <c r="G199" s="24">
        <f t="shared" si="4"/>
        <v>0</v>
      </c>
      <c r="H199" s="26">
        <f t="shared" si="5"/>
        <v>0</v>
      </c>
      <c r="I199" s="24">
        <f t="shared" si="6"/>
        <v>0</v>
      </c>
      <c r="J199" s="24">
        <f t="shared" si="7"/>
        <v>0</v>
      </c>
      <c r="K199" s="24"/>
      <c r="L199" s="24">
        <f t="shared" si="8"/>
        <v>447.4009762</v>
      </c>
      <c r="M199" s="30">
        <f t="shared" si="9"/>
        <v>442.1387369</v>
      </c>
      <c r="N199" s="27">
        <f t="shared" si="10"/>
        <v>5.262239284</v>
      </c>
      <c r="O199" s="24"/>
      <c r="P199" s="24"/>
      <c r="Q199" s="24"/>
      <c r="R199" s="26"/>
      <c r="S199" s="14">
        <f t="shared" si="13"/>
        <v>4.832293973</v>
      </c>
      <c r="U199" s="21"/>
      <c r="V199" s="21"/>
    </row>
    <row r="200">
      <c r="A200" s="11">
        <v>188.0</v>
      </c>
      <c r="B200" s="11">
        <v>1.42021304347826E9</v>
      </c>
      <c r="C200" s="2">
        <v>-102.2998352</v>
      </c>
      <c r="D200" s="24">
        <f t="shared" si="1"/>
        <v>-186956.5217</v>
      </c>
      <c r="E200" s="25">
        <f t="shared" si="2"/>
        <v>38.56843755</v>
      </c>
      <c r="F200" s="24">
        <f t="shared" si="3"/>
        <v>0.0002062962939</v>
      </c>
      <c r="G200" s="24">
        <f t="shared" si="4"/>
        <v>0</v>
      </c>
      <c r="H200" s="26">
        <f t="shared" si="5"/>
        <v>0</v>
      </c>
      <c r="I200" s="24">
        <f t="shared" si="6"/>
        <v>0</v>
      </c>
      <c r="J200" s="24">
        <f t="shared" si="7"/>
        <v>0</v>
      </c>
      <c r="K200" s="24"/>
      <c r="L200" s="24">
        <f t="shared" si="8"/>
        <v>447.839759</v>
      </c>
      <c r="M200" s="30">
        <f t="shared" si="9"/>
        <v>442.045674</v>
      </c>
      <c r="N200" s="27">
        <f t="shared" si="10"/>
        <v>5.794084993</v>
      </c>
      <c r="O200" s="24"/>
      <c r="P200" s="24"/>
      <c r="Q200" s="24"/>
      <c r="R200" s="26"/>
      <c r="S200" s="14">
        <f t="shared" si="13"/>
        <v>5.320685842</v>
      </c>
      <c r="U200" s="21"/>
      <c r="V200" s="21"/>
    </row>
    <row r="201">
      <c r="A201" s="11">
        <v>189.0</v>
      </c>
      <c r="B201" s="11">
        <v>1.42021739130434E9</v>
      </c>
      <c r="C201" s="2">
        <v>-102.3164063</v>
      </c>
      <c r="D201" s="24">
        <f t="shared" si="1"/>
        <v>-182608.6957</v>
      </c>
      <c r="E201" s="25">
        <f t="shared" si="2"/>
        <v>37.65014142</v>
      </c>
      <c r="F201" s="24">
        <f t="shared" si="3"/>
        <v>0.0002061793459</v>
      </c>
      <c r="G201" s="24">
        <f t="shared" si="4"/>
        <v>0</v>
      </c>
      <c r="H201" s="26">
        <f t="shared" si="5"/>
        <v>0</v>
      </c>
      <c r="I201" s="24">
        <f t="shared" si="6"/>
        <v>0</v>
      </c>
      <c r="J201" s="24">
        <f t="shared" si="7"/>
        <v>0</v>
      </c>
      <c r="K201" s="24"/>
      <c r="L201" s="24">
        <f t="shared" si="8"/>
        <v>446.134221</v>
      </c>
      <c r="M201" s="30">
        <f t="shared" si="9"/>
        <v>441.952509</v>
      </c>
      <c r="N201" s="27">
        <f t="shared" si="10"/>
        <v>4.181712044</v>
      </c>
      <c r="O201" s="24"/>
      <c r="P201" s="24"/>
      <c r="Q201" s="24"/>
      <c r="R201" s="26"/>
      <c r="S201" s="14">
        <f t="shared" si="13"/>
        <v>3.840049999</v>
      </c>
      <c r="U201" s="21"/>
      <c r="V201" s="21"/>
    </row>
    <row r="202">
      <c r="A202" s="11">
        <v>190.0</v>
      </c>
      <c r="B202" s="11">
        <v>1.42022173913043E9</v>
      </c>
      <c r="C202" s="2">
        <v>-102.2963867</v>
      </c>
      <c r="D202" s="24">
        <f t="shared" si="1"/>
        <v>-178260.8696</v>
      </c>
      <c r="E202" s="25">
        <f t="shared" si="2"/>
        <v>36.73184529</v>
      </c>
      <c r="F202" s="24">
        <f t="shared" si="3"/>
        <v>0.0002060566931</v>
      </c>
      <c r="G202" s="24">
        <f t="shared" si="4"/>
        <v>0</v>
      </c>
      <c r="H202" s="26">
        <f t="shared" si="5"/>
        <v>0</v>
      </c>
      <c r="I202" s="24">
        <f t="shared" si="6"/>
        <v>0</v>
      </c>
      <c r="J202" s="24">
        <f t="shared" si="7"/>
        <v>0</v>
      </c>
      <c r="K202" s="24"/>
      <c r="L202" s="24">
        <f t="shared" si="8"/>
        <v>448.1955058</v>
      </c>
      <c r="M202" s="30">
        <f t="shared" si="9"/>
        <v>441.8592426</v>
      </c>
      <c r="N202" s="27">
        <f t="shared" si="10"/>
        <v>6.336263178</v>
      </c>
      <c r="O202" s="24"/>
      <c r="P202" s="24"/>
      <c r="Q202" s="24"/>
      <c r="R202" s="26"/>
      <c r="S202" s="14">
        <f t="shared" si="13"/>
        <v>5.818565959</v>
      </c>
      <c r="U202" s="21"/>
      <c r="V202" s="21"/>
    </row>
    <row r="203">
      <c r="A203" s="11">
        <v>191.0</v>
      </c>
      <c r="B203" s="11">
        <v>1.42022608695652E9</v>
      </c>
      <c r="C203" s="2">
        <v>-102.3287964</v>
      </c>
      <c r="D203" s="24">
        <f t="shared" si="1"/>
        <v>-173913.0435</v>
      </c>
      <c r="E203" s="25">
        <f t="shared" si="2"/>
        <v>35.81354916</v>
      </c>
      <c r="F203" s="24">
        <f t="shared" si="3"/>
        <v>0.0002059279076</v>
      </c>
      <c r="G203" s="24">
        <f t="shared" si="4"/>
        <v>0</v>
      </c>
      <c r="H203" s="26">
        <f t="shared" si="5"/>
        <v>0</v>
      </c>
      <c r="I203" s="24">
        <f t="shared" si="6"/>
        <v>0</v>
      </c>
      <c r="J203" s="24">
        <f t="shared" si="7"/>
        <v>0</v>
      </c>
      <c r="K203" s="24"/>
      <c r="L203" s="24">
        <f t="shared" si="8"/>
        <v>444.863247</v>
      </c>
      <c r="M203" s="30">
        <f t="shared" si="9"/>
        <v>441.7658754</v>
      </c>
      <c r="N203" s="27">
        <f t="shared" si="10"/>
        <v>3.097371619</v>
      </c>
      <c r="O203" s="24"/>
      <c r="P203" s="24"/>
      <c r="Q203" s="24"/>
      <c r="R203" s="26"/>
      <c r="S203" s="14">
        <f t="shared" si="13"/>
        <v>2.844304379</v>
      </c>
      <c r="U203" s="21"/>
      <c r="V203" s="21"/>
    </row>
    <row r="204">
      <c r="A204" s="11">
        <v>192.0</v>
      </c>
      <c r="B204" s="11">
        <v>1.4202304347826E9</v>
      </c>
      <c r="C204" s="2">
        <v>-102.2969818</v>
      </c>
      <c r="D204" s="24">
        <f t="shared" si="1"/>
        <v>-169565.2174</v>
      </c>
      <c r="E204" s="25">
        <f t="shared" si="2"/>
        <v>34.89525302</v>
      </c>
      <c r="F204" s="24">
        <f t="shared" si="3"/>
        <v>0.0002057925178</v>
      </c>
      <c r="G204" s="24">
        <f t="shared" si="4"/>
        <v>0</v>
      </c>
      <c r="H204" s="26">
        <f t="shared" si="5"/>
        <v>0</v>
      </c>
      <c r="I204" s="24">
        <f t="shared" si="6"/>
        <v>0</v>
      </c>
      <c r="J204" s="24">
        <f t="shared" si="7"/>
        <v>0</v>
      </c>
      <c r="K204" s="24"/>
      <c r="L204" s="24">
        <f t="shared" si="8"/>
        <v>448.1340952</v>
      </c>
      <c r="M204" s="30">
        <f t="shared" si="9"/>
        <v>441.672408</v>
      </c>
      <c r="N204" s="27">
        <f t="shared" si="10"/>
        <v>6.461687199</v>
      </c>
      <c r="O204" s="24"/>
      <c r="P204" s="24"/>
      <c r="Q204" s="24"/>
      <c r="R204" s="26"/>
      <c r="S204" s="14">
        <f t="shared" si="13"/>
        <v>5.933742366</v>
      </c>
      <c r="U204" s="21"/>
      <c r="V204" s="21"/>
    </row>
    <row r="205">
      <c r="A205" s="11">
        <v>193.0</v>
      </c>
      <c r="B205" s="11">
        <v>1.42023478260869E9</v>
      </c>
      <c r="C205" s="2">
        <v>-102.3527679</v>
      </c>
      <c r="D205" s="24">
        <f t="shared" si="1"/>
        <v>-165217.3913</v>
      </c>
      <c r="E205" s="25">
        <f t="shared" si="2"/>
        <v>33.97695689</v>
      </c>
      <c r="F205" s="24">
        <f t="shared" si="3"/>
        <v>0.0002056500022</v>
      </c>
      <c r="G205" s="24">
        <f t="shared" si="4"/>
        <v>0</v>
      </c>
      <c r="H205" s="26">
        <f t="shared" si="5"/>
        <v>0</v>
      </c>
      <c r="I205" s="24">
        <f t="shared" si="6"/>
        <v>0</v>
      </c>
      <c r="J205" s="24">
        <f t="shared" si="7"/>
        <v>0</v>
      </c>
      <c r="K205" s="24"/>
      <c r="L205" s="24">
        <f t="shared" si="8"/>
        <v>442.4145254</v>
      </c>
      <c r="M205" s="30">
        <f t="shared" si="9"/>
        <v>441.578841</v>
      </c>
      <c r="N205" s="27">
        <f t="shared" si="10"/>
        <v>0.8356844957</v>
      </c>
      <c r="O205" s="24"/>
      <c r="P205" s="24"/>
      <c r="Q205" s="24"/>
      <c r="R205" s="26"/>
      <c r="S205" s="14">
        <f t="shared" si="13"/>
        <v>0.7674058406</v>
      </c>
      <c r="U205" s="21"/>
      <c r="V205" s="21"/>
    </row>
    <row r="206">
      <c r="A206" s="11">
        <v>194.0</v>
      </c>
      <c r="B206" s="11">
        <v>1.42023913043478E9</v>
      </c>
      <c r="C206" s="2">
        <v>-102.409462</v>
      </c>
      <c r="D206" s="24">
        <f t="shared" si="1"/>
        <v>-160869.5652</v>
      </c>
      <c r="E206" s="25">
        <f t="shared" si="2"/>
        <v>33.05866076</v>
      </c>
      <c r="F206" s="24">
        <f t="shared" si="3"/>
        <v>0.0002054997831</v>
      </c>
      <c r="G206" s="24">
        <f t="shared" si="4"/>
        <v>0</v>
      </c>
      <c r="H206" s="26">
        <f t="shared" si="5"/>
        <v>0</v>
      </c>
      <c r="I206" s="24">
        <f t="shared" si="6"/>
        <v>0</v>
      </c>
      <c r="J206" s="24">
        <f t="shared" si="7"/>
        <v>0</v>
      </c>
      <c r="K206" s="24"/>
      <c r="L206" s="24">
        <f t="shared" si="8"/>
        <v>436.6766474</v>
      </c>
      <c r="M206" s="30">
        <f t="shared" si="9"/>
        <v>441.485175</v>
      </c>
      <c r="N206" s="27">
        <f t="shared" si="10"/>
        <v>-4.80852751</v>
      </c>
      <c r="O206" s="24"/>
      <c r="P206" s="24"/>
      <c r="Q206" s="24"/>
      <c r="R206" s="26"/>
      <c r="S206" s="14">
        <f t="shared" si="13"/>
        <v>-4.415652207</v>
      </c>
      <c r="U206" s="21"/>
      <c r="V206" s="21"/>
    </row>
    <row r="207">
      <c r="A207" s="11">
        <v>195.0</v>
      </c>
      <c r="B207" s="11">
        <v>1.42024347826087E9</v>
      </c>
      <c r="C207" s="2">
        <v>-102.3397903</v>
      </c>
      <c r="D207" s="24">
        <f t="shared" si="1"/>
        <v>-156521.7391</v>
      </c>
      <c r="E207" s="25">
        <f t="shared" si="2"/>
        <v>32.14036463</v>
      </c>
      <c r="F207" s="24">
        <f t="shared" si="3"/>
        <v>0.0002053412184</v>
      </c>
      <c r="G207" s="24">
        <f t="shared" si="4"/>
        <v>0</v>
      </c>
      <c r="H207" s="26">
        <f t="shared" si="5"/>
        <v>0</v>
      </c>
      <c r="I207" s="24">
        <f t="shared" si="6"/>
        <v>0</v>
      </c>
      <c r="J207" s="24">
        <f t="shared" si="7"/>
        <v>0</v>
      </c>
      <c r="K207" s="24"/>
      <c r="L207" s="24">
        <f t="shared" si="8"/>
        <v>443.738527</v>
      </c>
      <c r="M207" s="30">
        <f t="shared" si="9"/>
        <v>441.3914106</v>
      </c>
      <c r="N207" s="27">
        <f t="shared" si="10"/>
        <v>2.347116415</v>
      </c>
      <c r="O207" s="24"/>
      <c r="P207" s="24"/>
      <c r="Q207" s="24"/>
      <c r="R207" s="26"/>
      <c r="S207" s="14">
        <f t="shared" si="13"/>
        <v>2.155347927</v>
      </c>
      <c r="U207" s="21"/>
      <c r="V207" s="21"/>
    </row>
    <row r="208">
      <c r="A208" s="11">
        <v>196.0</v>
      </c>
      <c r="B208" s="11">
        <v>1.42024782608695E9</v>
      </c>
      <c r="C208" s="2">
        <v>-102.3757324</v>
      </c>
      <c r="D208" s="24">
        <f t="shared" si="1"/>
        <v>-152173.913</v>
      </c>
      <c r="E208" s="25">
        <f t="shared" si="2"/>
        <v>31.22206849</v>
      </c>
      <c r="F208" s="24">
        <f t="shared" si="3"/>
        <v>0.0002051735929</v>
      </c>
      <c r="G208" s="24">
        <f t="shared" si="4"/>
        <v>0</v>
      </c>
      <c r="H208" s="26">
        <f t="shared" si="5"/>
        <v>0</v>
      </c>
      <c r="I208" s="24">
        <f t="shared" si="6"/>
        <v>0</v>
      </c>
      <c r="J208" s="24">
        <f t="shared" si="7"/>
        <v>0</v>
      </c>
      <c r="K208" s="24"/>
      <c r="L208" s="24">
        <f t="shared" si="8"/>
        <v>440.0813127</v>
      </c>
      <c r="M208" s="30">
        <f t="shared" si="9"/>
        <v>441.2975484</v>
      </c>
      <c r="N208" s="27">
        <f t="shared" si="10"/>
        <v>-1.216235731</v>
      </c>
      <c r="O208" s="24"/>
      <c r="P208" s="24"/>
      <c r="Q208" s="24"/>
      <c r="R208" s="26"/>
      <c r="S208" s="14">
        <f t="shared" si="13"/>
        <v>-1.116864568</v>
      </c>
      <c r="U208" s="21"/>
      <c r="V208" s="21"/>
    </row>
    <row r="209">
      <c r="A209" s="11">
        <v>197.0</v>
      </c>
      <c r="B209" s="11">
        <v>1.42025217391304E9</v>
      </c>
      <c r="C209" s="2">
        <v>-102.2976151</v>
      </c>
      <c r="D209" s="24">
        <f t="shared" si="1"/>
        <v>-147826.087</v>
      </c>
      <c r="E209" s="25">
        <f t="shared" si="2"/>
        <v>30.30377236</v>
      </c>
      <c r="F209" s="24">
        <f t="shared" si="3"/>
        <v>0.0002049961071</v>
      </c>
      <c r="G209" s="24">
        <f t="shared" si="4"/>
        <v>0</v>
      </c>
      <c r="H209" s="26">
        <f t="shared" si="5"/>
        <v>0</v>
      </c>
      <c r="I209" s="24">
        <f t="shared" si="6"/>
        <v>0</v>
      </c>
      <c r="J209" s="24">
        <f t="shared" si="7"/>
        <v>0</v>
      </c>
      <c r="K209" s="24"/>
      <c r="L209" s="24">
        <f t="shared" si="8"/>
        <v>448.0687518</v>
      </c>
      <c r="M209" s="30">
        <f t="shared" si="9"/>
        <v>441.2035891</v>
      </c>
      <c r="N209" s="27">
        <f t="shared" si="10"/>
        <v>6.865162682</v>
      </c>
      <c r="O209" s="24"/>
      <c r="P209" s="24"/>
      <c r="Q209" s="24"/>
      <c r="R209" s="26"/>
      <c r="S209" s="14">
        <f t="shared" si="13"/>
        <v>6.304252327</v>
      </c>
      <c r="U209" s="21"/>
      <c r="V209" s="21"/>
    </row>
    <row r="210">
      <c r="A210" s="11">
        <v>198.0</v>
      </c>
      <c r="B210" s="11">
        <v>1.42025652173913E9</v>
      </c>
      <c r="C210" s="2">
        <v>-102.3320007</v>
      </c>
      <c r="D210" s="24">
        <f t="shared" si="1"/>
        <v>-143478.2609</v>
      </c>
      <c r="E210" s="25">
        <f t="shared" si="2"/>
        <v>29.38547623</v>
      </c>
      <c r="F210" s="24">
        <f t="shared" si="3"/>
        <v>0.0002048078646</v>
      </c>
      <c r="G210" s="24">
        <f t="shared" si="4"/>
        <v>0</v>
      </c>
      <c r="H210" s="26">
        <f t="shared" si="5"/>
        <v>0</v>
      </c>
      <c r="I210" s="24">
        <f t="shared" si="6"/>
        <v>0</v>
      </c>
      <c r="J210" s="24">
        <f t="shared" si="7"/>
        <v>0</v>
      </c>
      <c r="K210" s="24"/>
      <c r="L210" s="24">
        <f t="shared" si="8"/>
        <v>444.5351402</v>
      </c>
      <c r="M210" s="30">
        <f t="shared" si="9"/>
        <v>441.1095332</v>
      </c>
      <c r="N210" s="27">
        <f t="shared" si="10"/>
        <v>3.42560699</v>
      </c>
      <c r="O210" s="24"/>
      <c r="P210" s="24"/>
      <c r="Q210" s="24"/>
      <c r="R210" s="26"/>
      <c r="S210" s="14">
        <f t="shared" si="13"/>
        <v>3.145721651</v>
      </c>
      <c r="U210" s="21"/>
      <c r="V210" s="21"/>
    </row>
    <row r="211">
      <c r="A211" s="11">
        <v>199.0</v>
      </c>
      <c r="B211" s="11">
        <v>1.42026086956521E9</v>
      </c>
      <c r="C211" s="2">
        <v>-102.2602463</v>
      </c>
      <c r="D211" s="24">
        <f t="shared" si="1"/>
        <v>-139130.4348</v>
      </c>
      <c r="E211" s="25">
        <f t="shared" si="2"/>
        <v>28.4671801</v>
      </c>
      <c r="F211" s="24">
        <f t="shared" si="3"/>
        <v>0.0002046078569</v>
      </c>
      <c r="G211" s="24">
        <f t="shared" si="4"/>
        <v>0</v>
      </c>
      <c r="H211" s="26">
        <f t="shared" si="5"/>
        <v>0</v>
      </c>
      <c r="I211" s="24">
        <f t="shared" si="6"/>
        <v>0</v>
      </c>
      <c r="J211" s="24">
        <f t="shared" si="7"/>
        <v>0</v>
      </c>
      <c r="K211" s="24"/>
      <c r="L211" s="24">
        <f t="shared" si="8"/>
        <v>451.9407868</v>
      </c>
      <c r="M211" s="30">
        <f t="shared" si="9"/>
        <v>441.0153814</v>
      </c>
      <c r="N211" s="27">
        <f t="shared" si="10"/>
        <v>10.9254054</v>
      </c>
      <c r="O211" s="24"/>
      <c r="P211" s="24"/>
      <c r="Q211" s="24"/>
      <c r="R211" s="26"/>
      <c r="S211" s="14">
        <f t="shared" si="13"/>
        <v>10.03275753</v>
      </c>
      <c r="U211" s="21"/>
      <c r="V211" s="21"/>
    </row>
    <row r="212">
      <c r="A212" s="11">
        <v>200.0</v>
      </c>
      <c r="B212" s="11">
        <v>1.4202652173913E9</v>
      </c>
      <c r="C212" s="2">
        <v>-102.2929382</v>
      </c>
      <c r="D212" s="24">
        <f t="shared" si="1"/>
        <v>-134782.6087</v>
      </c>
      <c r="E212" s="25">
        <f t="shared" si="2"/>
        <v>27.54888396</v>
      </c>
      <c r="F212" s="24">
        <f t="shared" si="3"/>
        <v>0.0002043949455</v>
      </c>
      <c r="G212" s="24">
        <f t="shared" si="4"/>
        <v>0</v>
      </c>
      <c r="H212" s="26">
        <f t="shared" si="5"/>
        <v>0</v>
      </c>
      <c r="I212" s="24">
        <f t="shared" si="6"/>
        <v>0</v>
      </c>
      <c r="J212" s="24">
        <f t="shared" si="7"/>
        <v>0</v>
      </c>
      <c r="K212" s="24"/>
      <c r="L212" s="24">
        <f t="shared" si="8"/>
        <v>448.5515352</v>
      </c>
      <c r="M212" s="30">
        <f t="shared" si="9"/>
        <v>440.9211343</v>
      </c>
      <c r="N212" s="27">
        <f t="shared" si="10"/>
        <v>7.630400894</v>
      </c>
      <c r="O212" s="24"/>
      <c r="P212" s="24"/>
      <c r="Q212" s="24"/>
      <c r="R212" s="26"/>
      <c r="S212" s="14">
        <f t="shared" si="13"/>
        <v>7.006967617</v>
      </c>
      <c r="U212" s="21"/>
      <c r="V212" s="21"/>
    </row>
    <row r="213">
      <c r="A213" s="11">
        <v>201.0</v>
      </c>
      <c r="B213" s="11">
        <v>1.42026956521739E9</v>
      </c>
      <c r="C213" s="2">
        <v>-102.3417816</v>
      </c>
      <c r="D213" s="24">
        <f t="shared" si="1"/>
        <v>-130434.7826</v>
      </c>
      <c r="E213" s="25">
        <f t="shared" si="2"/>
        <v>26.63058783</v>
      </c>
      <c r="F213" s="24">
        <f t="shared" si="3"/>
        <v>0.0002041678401</v>
      </c>
      <c r="G213" s="24">
        <f t="shared" si="4"/>
        <v>0</v>
      </c>
      <c r="H213" s="26">
        <f t="shared" si="5"/>
        <v>0</v>
      </c>
      <c r="I213" s="24">
        <f t="shared" si="6"/>
        <v>0</v>
      </c>
      <c r="J213" s="24">
        <f t="shared" si="7"/>
        <v>0</v>
      </c>
      <c r="K213" s="24"/>
      <c r="L213" s="24">
        <f t="shared" si="8"/>
        <v>443.5351134</v>
      </c>
      <c r="M213" s="30">
        <f t="shared" si="9"/>
        <v>440.8267924</v>
      </c>
      <c r="N213" s="27">
        <f t="shared" si="10"/>
        <v>2.708321033</v>
      </c>
      <c r="O213" s="24"/>
      <c r="P213" s="24"/>
      <c r="Q213" s="24"/>
      <c r="R213" s="26"/>
      <c r="S213" s="14">
        <f t="shared" si="13"/>
        <v>2.487040731</v>
      </c>
      <c r="U213" s="21"/>
      <c r="V213" s="21"/>
    </row>
    <row r="214">
      <c r="A214" s="11">
        <v>202.0</v>
      </c>
      <c r="B214" s="11">
        <v>1.42027391304347E9</v>
      </c>
      <c r="C214" s="2">
        <v>-102.2846298</v>
      </c>
      <c r="D214" s="24">
        <f t="shared" si="1"/>
        <v>-126086.9565</v>
      </c>
      <c r="E214" s="25">
        <f t="shared" si="2"/>
        <v>25.7122917</v>
      </c>
      <c r="F214" s="24">
        <f t="shared" si="3"/>
        <v>0.0002039250721</v>
      </c>
      <c r="G214" s="24">
        <f t="shared" si="4"/>
        <v>0</v>
      </c>
      <c r="H214" s="26">
        <f t="shared" si="5"/>
        <v>0</v>
      </c>
      <c r="I214" s="24">
        <f t="shared" si="6"/>
        <v>0</v>
      </c>
      <c r="J214" s="24">
        <f t="shared" si="7"/>
        <v>0</v>
      </c>
      <c r="K214" s="24"/>
      <c r="L214" s="24">
        <f t="shared" si="8"/>
        <v>449.4104714</v>
      </c>
      <c r="M214" s="30">
        <f t="shared" si="9"/>
        <v>440.7323564</v>
      </c>
      <c r="N214" s="27">
        <f t="shared" si="10"/>
        <v>8.678115032</v>
      </c>
      <c r="O214" s="24"/>
      <c r="P214" s="24"/>
      <c r="Q214" s="24"/>
      <c r="R214" s="26"/>
      <c r="S214" s="14">
        <f t="shared" si="13"/>
        <v>7.969079474</v>
      </c>
      <c r="U214" s="21"/>
      <c r="V214" s="21"/>
    </row>
    <row r="215">
      <c r="A215" s="11">
        <v>203.0</v>
      </c>
      <c r="B215" s="11">
        <v>1.42027826086956E9</v>
      </c>
      <c r="C215" s="2">
        <v>-102.3344116</v>
      </c>
      <c r="D215" s="24">
        <f t="shared" si="1"/>
        <v>-121739.1304</v>
      </c>
      <c r="E215" s="25">
        <f t="shared" si="2"/>
        <v>24.79399557</v>
      </c>
      <c r="F215" s="24">
        <f t="shared" si="3"/>
        <v>0.0002036649636</v>
      </c>
      <c r="G215" s="24">
        <f t="shared" si="4"/>
        <v>0</v>
      </c>
      <c r="H215" s="26">
        <f t="shared" si="5"/>
        <v>0</v>
      </c>
      <c r="I215" s="24">
        <f t="shared" si="6"/>
        <v>0</v>
      </c>
      <c r="J215" s="24">
        <f t="shared" si="7"/>
        <v>0</v>
      </c>
      <c r="K215" s="24"/>
      <c r="L215" s="24">
        <f t="shared" si="8"/>
        <v>444.2884338</v>
      </c>
      <c r="M215" s="30">
        <f t="shared" si="9"/>
        <v>440.6378268</v>
      </c>
      <c r="N215" s="27">
        <f t="shared" si="10"/>
        <v>3.650607002</v>
      </c>
      <c r="O215" s="24"/>
      <c r="P215" s="24"/>
      <c r="Q215" s="24"/>
      <c r="R215" s="26"/>
      <c r="S215" s="14">
        <f t="shared" si="13"/>
        <v>3.352338285</v>
      </c>
      <c r="U215" s="21"/>
      <c r="V215" s="21"/>
    </row>
    <row r="216">
      <c r="A216" s="11">
        <v>204.0</v>
      </c>
      <c r="B216" s="11">
        <v>1.42028260869565E9</v>
      </c>
      <c r="C216" s="2">
        <v>-102.323555</v>
      </c>
      <c r="D216" s="24">
        <f t="shared" si="1"/>
        <v>-117391.3043</v>
      </c>
      <c r="E216" s="25">
        <f t="shared" si="2"/>
        <v>23.87569944</v>
      </c>
      <c r="F216" s="24">
        <f t="shared" si="3"/>
        <v>0.0002033855878</v>
      </c>
      <c r="G216" s="24">
        <f t="shared" si="4"/>
        <v>0</v>
      </c>
      <c r="H216" s="26">
        <f t="shared" si="5"/>
        <v>0</v>
      </c>
      <c r="I216" s="24">
        <f t="shared" si="6"/>
        <v>0</v>
      </c>
      <c r="J216" s="24">
        <f t="shared" si="7"/>
        <v>0</v>
      </c>
      <c r="K216" s="24"/>
      <c r="L216" s="24">
        <f t="shared" si="8"/>
        <v>445.4004663</v>
      </c>
      <c r="M216" s="30">
        <f t="shared" si="9"/>
        <v>440.5432044</v>
      </c>
      <c r="N216" s="27">
        <f t="shared" si="10"/>
        <v>4.857261939</v>
      </c>
      <c r="O216" s="24"/>
      <c r="P216" s="24"/>
      <c r="Q216" s="24"/>
      <c r="R216" s="26"/>
      <c r="S216" s="14">
        <f t="shared" si="13"/>
        <v>4.460404855</v>
      </c>
      <c r="U216" s="21"/>
      <c r="V216" s="21"/>
    </row>
    <row r="217">
      <c r="A217" s="11">
        <v>205.0</v>
      </c>
      <c r="B217" s="11">
        <v>1.42028695652173E9</v>
      </c>
      <c r="C217" s="2">
        <v>-102.3321304</v>
      </c>
      <c r="D217" s="24">
        <f t="shared" si="1"/>
        <v>-113043.4783</v>
      </c>
      <c r="E217" s="25">
        <f t="shared" si="2"/>
        <v>22.9574033</v>
      </c>
      <c r="F217" s="24">
        <f t="shared" si="3"/>
        <v>0.0002030847215</v>
      </c>
      <c r="G217" s="24">
        <f t="shared" si="4"/>
        <v>0</v>
      </c>
      <c r="H217" s="26">
        <f t="shared" si="5"/>
        <v>0</v>
      </c>
      <c r="I217" s="24">
        <f t="shared" si="6"/>
        <v>0</v>
      </c>
      <c r="J217" s="24">
        <f t="shared" si="7"/>
        <v>0</v>
      </c>
      <c r="K217" s="24"/>
      <c r="L217" s="24">
        <f t="shared" si="8"/>
        <v>444.5218646</v>
      </c>
      <c r="M217" s="30">
        <f t="shared" si="9"/>
        <v>440.4484896</v>
      </c>
      <c r="N217" s="27">
        <f t="shared" si="10"/>
        <v>4.07337498</v>
      </c>
      <c r="O217" s="24"/>
      <c r="P217" s="24"/>
      <c r="Q217" s="24"/>
      <c r="R217" s="26"/>
      <c r="S217" s="14">
        <f t="shared" si="13"/>
        <v>3.740564491</v>
      </c>
      <c r="U217" s="21"/>
      <c r="V217" s="21"/>
    </row>
    <row r="218">
      <c r="A218" s="11">
        <v>206.0</v>
      </c>
      <c r="B218" s="11">
        <v>1.42029130434782E9</v>
      </c>
      <c r="C218" s="2">
        <v>-102.2645645</v>
      </c>
      <c r="D218" s="24">
        <f t="shared" si="1"/>
        <v>-108695.6522</v>
      </c>
      <c r="E218" s="25">
        <f t="shared" si="2"/>
        <v>22.03910717</v>
      </c>
      <c r="F218" s="24">
        <f t="shared" si="3"/>
        <v>0.000202759786</v>
      </c>
      <c r="G218" s="24">
        <f t="shared" si="4"/>
        <v>0</v>
      </c>
      <c r="H218" s="26">
        <f t="shared" si="5"/>
        <v>0</v>
      </c>
      <c r="I218" s="24">
        <f t="shared" si="6"/>
        <v>0</v>
      </c>
      <c r="J218" s="24">
        <f t="shared" si="7"/>
        <v>0</v>
      </c>
      <c r="K218" s="24"/>
      <c r="L218" s="24">
        <f t="shared" si="8"/>
        <v>451.4916444</v>
      </c>
      <c r="M218" s="30">
        <f t="shared" si="9"/>
        <v>440.3536832</v>
      </c>
      <c r="N218" s="27">
        <f t="shared" si="10"/>
        <v>11.13796122</v>
      </c>
      <c r="O218" s="24"/>
      <c r="P218" s="24"/>
      <c r="Q218" s="24"/>
      <c r="R218" s="26"/>
      <c r="S218" s="14">
        <f t="shared" si="13"/>
        <v>10.22794671</v>
      </c>
      <c r="U218" s="21"/>
      <c r="V218" s="21"/>
    </row>
    <row r="219">
      <c r="A219" s="11">
        <v>207.0</v>
      </c>
      <c r="B219" s="11">
        <v>1.42029565217391E9</v>
      </c>
      <c r="C219" s="2">
        <v>-102.3303604</v>
      </c>
      <c r="D219" s="24">
        <f t="shared" si="1"/>
        <v>-104347.8261</v>
      </c>
      <c r="E219" s="25">
        <f t="shared" si="2"/>
        <v>21.12081104</v>
      </c>
      <c r="F219" s="24">
        <f t="shared" si="3"/>
        <v>0.0002024077725</v>
      </c>
      <c r="G219" s="24">
        <f t="shared" si="4"/>
        <v>0</v>
      </c>
      <c r="H219" s="26">
        <f t="shared" si="5"/>
        <v>0</v>
      </c>
      <c r="I219" s="24">
        <f t="shared" si="6"/>
        <v>0</v>
      </c>
      <c r="J219" s="24">
        <f t="shared" si="7"/>
        <v>0</v>
      </c>
      <c r="K219" s="24"/>
      <c r="L219" s="24">
        <f t="shared" si="8"/>
        <v>444.7030698</v>
      </c>
      <c r="M219" s="30">
        <f t="shared" si="9"/>
        <v>440.2587856</v>
      </c>
      <c r="N219" s="27">
        <f t="shared" si="10"/>
        <v>4.444284126</v>
      </c>
      <c r="O219" s="24"/>
      <c r="P219" s="24"/>
      <c r="Q219" s="24"/>
      <c r="R219" s="26"/>
      <c r="S219" s="14">
        <f t="shared" si="13"/>
        <v>4.081168916</v>
      </c>
      <c r="U219" s="21"/>
      <c r="V219" s="21"/>
    </row>
    <row r="220">
      <c r="A220" s="11">
        <v>208.0</v>
      </c>
      <c r="B220" s="11">
        <v>1.4203E9</v>
      </c>
      <c r="C220" s="2">
        <v>-102.2888794</v>
      </c>
      <c r="D220" s="24">
        <f t="shared" si="1"/>
        <v>-100000</v>
      </c>
      <c r="E220" s="25">
        <f t="shared" si="2"/>
        <v>20.20251491</v>
      </c>
      <c r="F220" s="24">
        <f t="shared" si="3"/>
        <v>0.0002020251491</v>
      </c>
      <c r="G220" s="24">
        <f t="shared" si="4"/>
        <v>0</v>
      </c>
      <c r="H220" s="26">
        <f t="shared" si="5"/>
        <v>0</v>
      </c>
      <c r="I220" s="24">
        <f t="shared" si="6"/>
        <v>0</v>
      </c>
      <c r="J220" s="24">
        <f t="shared" si="7"/>
        <v>0</v>
      </c>
      <c r="K220" s="24"/>
      <c r="L220" s="24">
        <f t="shared" si="8"/>
        <v>448.9709354</v>
      </c>
      <c r="M220" s="30">
        <f t="shared" si="9"/>
        <v>440.1637976</v>
      </c>
      <c r="N220" s="27">
        <f t="shared" si="10"/>
        <v>8.807137736</v>
      </c>
      <c r="O220" s="24"/>
      <c r="P220" s="24"/>
      <c r="Q220" s="24"/>
      <c r="R220" s="26"/>
      <c r="S220" s="14">
        <f t="shared" si="13"/>
        <v>8.087560523</v>
      </c>
      <c r="U220" s="21"/>
      <c r="V220" s="21"/>
    </row>
    <row r="221">
      <c r="A221" s="11">
        <v>209.0</v>
      </c>
      <c r="B221" s="11">
        <v>1.42030434782608E9</v>
      </c>
      <c r="C221" s="2">
        <v>-102.353508</v>
      </c>
      <c r="D221" s="24">
        <f t="shared" si="1"/>
        <v>-95652.17392</v>
      </c>
      <c r="E221" s="25">
        <f t="shared" si="2"/>
        <v>19.28421878</v>
      </c>
      <c r="F221" s="24">
        <f t="shared" si="3"/>
        <v>0.0002016077417</v>
      </c>
      <c r="G221" s="24">
        <f t="shared" si="4"/>
        <v>0</v>
      </c>
      <c r="H221" s="26">
        <f t="shared" si="5"/>
        <v>0</v>
      </c>
      <c r="I221" s="24">
        <f t="shared" si="6"/>
        <v>0</v>
      </c>
      <c r="J221" s="24">
        <f t="shared" si="7"/>
        <v>0</v>
      </c>
      <c r="K221" s="24"/>
      <c r="L221" s="24">
        <f t="shared" si="8"/>
        <v>442.3391381</v>
      </c>
      <c r="M221" s="30">
        <f t="shared" si="9"/>
        <v>440.0687198</v>
      </c>
      <c r="N221" s="27">
        <f t="shared" si="10"/>
        <v>2.270418348</v>
      </c>
      <c r="O221" s="24"/>
      <c r="P221" s="24"/>
      <c r="Q221" s="24"/>
      <c r="R221" s="26"/>
      <c r="S221" s="14">
        <f t="shared" si="13"/>
        <v>2.084916388</v>
      </c>
      <c r="U221" s="21"/>
      <c r="V221" s="21"/>
    </row>
    <row r="222">
      <c r="A222" s="11">
        <v>210.0</v>
      </c>
      <c r="B222" s="11">
        <v>1.42030869565217E9</v>
      </c>
      <c r="C222" s="2">
        <v>-102.3246536</v>
      </c>
      <c r="D222" s="24">
        <f t="shared" si="1"/>
        <v>-91304.34783</v>
      </c>
      <c r="E222" s="25">
        <f t="shared" si="2"/>
        <v>18.36592264</v>
      </c>
      <c r="F222" s="24">
        <f t="shared" si="3"/>
        <v>0.0002011505813</v>
      </c>
      <c r="G222" s="24">
        <f t="shared" si="4"/>
        <v>0</v>
      </c>
      <c r="H222" s="26">
        <f t="shared" si="5"/>
        <v>0</v>
      </c>
      <c r="I222" s="24">
        <f t="shared" si="6"/>
        <v>0</v>
      </c>
      <c r="J222" s="24">
        <f t="shared" si="7"/>
        <v>0</v>
      </c>
      <c r="K222" s="24"/>
      <c r="L222" s="24">
        <f t="shared" si="8"/>
        <v>445.2878112</v>
      </c>
      <c r="M222" s="30">
        <f t="shared" si="9"/>
        <v>439.9735526</v>
      </c>
      <c r="N222" s="27">
        <f t="shared" si="10"/>
        <v>5.31425856</v>
      </c>
      <c r="O222" s="24"/>
      <c r="P222" s="24"/>
      <c r="Q222" s="24"/>
      <c r="R222" s="26"/>
      <c r="S222" s="14">
        <f t="shared" si="13"/>
        <v>4.880063072</v>
      </c>
      <c r="U222" s="21"/>
      <c r="V222" s="21"/>
    </row>
    <row r="223">
      <c r="A223" s="11">
        <v>211.0</v>
      </c>
      <c r="B223" s="11">
        <v>1.42031304347826E9</v>
      </c>
      <c r="C223" s="2">
        <v>-102.2981644</v>
      </c>
      <c r="D223" s="24">
        <f t="shared" si="1"/>
        <v>-86956.52174</v>
      </c>
      <c r="E223" s="25">
        <f t="shared" si="2"/>
        <v>17.44762651</v>
      </c>
      <c r="F223" s="24">
        <f t="shared" si="3"/>
        <v>0.0002006477049</v>
      </c>
      <c r="G223" s="24">
        <f t="shared" si="4"/>
        <v>0</v>
      </c>
      <c r="H223" s="26">
        <f t="shared" si="5"/>
        <v>0</v>
      </c>
      <c r="I223" s="24">
        <f t="shared" si="6"/>
        <v>0</v>
      </c>
      <c r="J223" s="24">
        <f t="shared" si="7"/>
        <v>0</v>
      </c>
      <c r="K223" s="24"/>
      <c r="L223" s="24">
        <f t="shared" si="8"/>
        <v>448.0120832</v>
      </c>
      <c r="M223" s="30">
        <f t="shared" si="9"/>
        <v>439.8782968</v>
      </c>
      <c r="N223" s="27">
        <f t="shared" si="10"/>
        <v>8.133786392</v>
      </c>
      <c r="O223" s="24"/>
      <c r="P223" s="24"/>
      <c r="Q223" s="24"/>
      <c r="R223" s="26"/>
      <c r="S223" s="14">
        <f t="shared" si="13"/>
        <v>7.469224589</v>
      </c>
      <c r="U223" s="21"/>
      <c r="V223" s="21"/>
    </row>
    <row r="224">
      <c r="A224" s="11">
        <v>212.0</v>
      </c>
      <c r="B224" s="11">
        <v>1.42031739130434E9</v>
      </c>
      <c r="C224" s="2">
        <v>-102.2595139</v>
      </c>
      <c r="D224" s="24">
        <f t="shared" si="1"/>
        <v>-82608.69566</v>
      </c>
      <c r="E224" s="25">
        <f t="shared" si="2"/>
        <v>16.52933038</v>
      </c>
      <c r="F224" s="24">
        <f t="shared" si="3"/>
        <v>0.000200091894</v>
      </c>
      <c r="G224" s="24">
        <f t="shared" si="4"/>
        <v>0</v>
      </c>
      <c r="H224" s="26">
        <f t="shared" si="5"/>
        <v>0</v>
      </c>
      <c r="I224" s="24">
        <f t="shared" si="6"/>
        <v>0</v>
      </c>
      <c r="J224" s="24">
        <f t="shared" si="7"/>
        <v>0</v>
      </c>
      <c r="K224" s="24"/>
      <c r="L224" s="24">
        <f t="shared" si="8"/>
        <v>452.0170091</v>
      </c>
      <c r="M224" s="30">
        <f t="shared" si="9"/>
        <v>439.782953</v>
      </c>
      <c r="N224" s="27">
        <f t="shared" si="10"/>
        <v>12.2340562</v>
      </c>
      <c r="O224" s="24"/>
      <c r="P224" s="24"/>
      <c r="Q224" s="24"/>
      <c r="R224" s="26"/>
      <c r="S224" s="14">
        <f t="shared" si="13"/>
        <v>11.23448649</v>
      </c>
      <c r="U224" s="21"/>
      <c r="V224" s="21"/>
    </row>
    <row r="225">
      <c r="A225" s="11">
        <v>213.0</v>
      </c>
      <c r="B225" s="11">
        <v>1.42032173913043E9</v>
      </c>
      <c r="C225" s="2">
        <v>-102.2557373</v>
      </c>
      <c r="D225" s="24">
        <f t="shared" si="1"/>
        <v>-78260.86957</v>
      </c>
      <c r="E225" s="25">
        <f t="shared" si="2"/>
        <v>15.61103425</v>
      </c>
      <c r="F225" s="24">
        <f t="shared" si="3"/>
        <v>0.0001994743265</v>
      </c>
      <c r="G225" s="24">
        <f t="shared" si="4"/>
        <v>0</v>
      </c>
      <c r="H225" s="26">
        <f t="shared" si="5"/>
        <v>0</v>
      </c>
      <c r="I225" s="24">
        <f t="shared" si="6"/>
        <v>0</v>
      </c>
      <c r="J225" s="24">
        <f t="shared" si="7"/>
        <v>0</v>
      </c>
      <c r="K225" s="24"/>
      <c r="L225" s="24">
        <f t="shared" si="8"/>
        <v>452.4102515</v>
      </c>
      <c r="M225" s="30">
        <f t="shared" si="9"/>
        <v>439.6875217</v>
      </c>
      <c r="N225" s="27">
        <f t="shared" si="10"/>
        <v>12.72272985</v>
      </c>
      <c r="O225" s="24"/>
      <c r="P225" s="24"/>
      <c r="Q225" s="24"/>
      <c r="R225" s="26"/>
      <c r="S225" s="14">
        <f t="shared" si="13"/>
        <v>11.68323359</v>
      </c>
      <c r="U225" s="21"/>
      <c r="V225" s="21"/>
    </row>
    <row r="226">
      <c r="A226" s="11">
        <v>214.0</v>
      </c>
      <c r="B226" s="11">
        <v>1.42032608695652E9</v>
      </c>
      <c r="C226" s="2">
        <v>-102.2338257</v>
      </c>
      <c r="D226" s="24">
        <f t="shared" si="1"/>
        <v>-73913.04348</v>
      </c>
      <c r="E226" s="25">
        <f t="shared" si="2"/>
        <v>14.69273812</v>
      </c>
      <c r="F226" s="24">
        <f t="shared" si="3"/>
        <v>0.0001987841039</v>
      </c>
      <c r="G226" s="24">
        <f t="shared" si="4"/>
        <v>0</v>
      </c>
      <c r="H226" s="26">
        <f t="shared" si="5"/>
        <v>0</v>
      </c>
      <c r="I226" s="24">
        <f t="shared" si="6"/>
        <v>0</v>
      </c>
      <c r="J226" s="24">
        <f t="shared" si="7"/>
        <v>0</v>
      </c>
      <c r="K226" s="24"/>
      <c r="L226" s="24">
        <f t="shared" si="8"/>
        <v>454.6985794</v>
      </c>
      <c r="M226" s="30">
        <f t="shared" si="9"/>
        <v>439.5920035</v>
      </c>
      <c r="N226" s="27">
        <f t="shared" si="10"/>
        <v>15.10657589</v>
      </c>
      <c r="O226" s="24"/>
      <c r="P226" s="24"/>
      <c r="Q226" s="24"/>
      <c r="R226" s="26"/>
      <c r="S226" s="14">
        <f t="shared" si="13"/>
        <v>13.87231022</v>
      </c>
      <c r="U226" s="21"/>
      <c r="V226" s="21"/>
    </row>
    <row r="227">
      <c r="A227" s="11">
        <v>215.0</v>
      </c>
      <c r="B227" s="11">
        <v>1.4203304347826E9</v>
      </c>
      <c r="C227" s="2">
        <v>-102.2451706</v>
      </c>
      <c r="D227" s="24">
        <f t="shared" si="1"/>
        <v>-69565.2174</v>
      </c>
      <c r="E227" s="25">
        <f t="shared" si="2"/>
        <v>13.77444198</v>
      </c>
      <c r="F227" s="24">
        <f t="shared" si="3"/>
        <v>0.0001980076035</v>
      </c>
      <c r="G227" s="24">
        <f t="shared" si="4"/>
        <v>0</v>
      </c>
      <c r="H227" s="26">
        <f t="shared" si="5"/>
        <v>0</v>
      </c>
      <c r="I227" s="24">
        <f t="shared" si="6"/>
        <v>0</v>
      </c>
      <c r="J227" s="24">
        <f t="shared" si="7"/>
        <v>0</v>
      </c>
      <c r="K227" s="24"/>
      <c r="L227" s="24">
        <f t="shared" si="8"/>
        <v>453.5123387</v>
      </c>
      <c r="M227" s="30">
        <f t="shared" si="9"/>
        <v>439.4963992</v>
      </c>
      <c r="N227" s="27">
        <f t="shared" si="10"/>
        <v>14.01593949</v>
      </c>
      <c r="O227" s="24"/>
      <c r="P227" s="24"/>
      <c r="Q227" s="24"/>
      <c r="R227" s="26"/>
      <c r="S227" s="14">
        <f t="shared" si="13"/>
        <v>12.87078303</v>
      </c>
      <c r="U227" s="21"/>
      <c r="V227" s="21"/>
    </row>
    <row r="228">
      <c r="A228" s="11">
        <v>216.0</v>
      </c>
      <c r="B228" s="11">
        <v>1.42033478260869E9</v>
      </c>
      <c r="C228" s="2">
        <v>-102.2256317</v>
      </c>
      <c r="D228" s="24">
        <f t="shared" si="1"/>
        <v>-65217.39131</v>
      </c>
      <c r="E228" s="25">
        <f t="shared" si="2"/>
        <v>12.85614585</v>
      </c>
      <c r="F228" s="24">
        <f t="shared" si="3"/>
        <v>0.0001971275697</v>
      </c>
      <c r="G228" s="24">
        <f t="shared" si="4"/>
        <v>0</v>
      </c>
      <c r="H228" s="26">
        <f t="shared" si="5"/>
        <v>0</v>
      </c>
      <c r="I228" s="24">
        <f t="shared" si="6"/>
        <v>0</v>
      </c>
      <c r="J228" s="24">
        <f t="shared" si="7"/>
        <v>0</v>
      </c>
      <c r="K228" s="24"/>
      <c r="L228" s="24">
        <f t="shared" si="8"/>
        <v>455.5572864</v>
      </c>
      <c r="M228" s="30">
        <f t="shared" si="9"/>
        <v>439.4007092</v>
      </c>
      <c r="N228" s="27">
        <f t="shared" si="10"/>
        <v>16.15657722</v>
      </c>
      <c r="O228" s="24"/>
      <c r="P228" s="24"/>
      <c r="Q228" s="24"/>
      <c r="R228" s="26"/>
      <c r="S228" s="14">
        <f t="shared" si="13"/>
        <v>14.83652238</v>
      </c>
      <c r="U228" s="21"/>
      <c r="V228" s="21"/>
    </row>
    <row r="229">
      <c r="A229" s="11">
        <v>217.0</v>
      </c>
      <c r="B229" s="11">
        <v>1.42033913043478E9</v>
      </c>
      <c r="C229" s="2">
        <v>-102.2109833</v>
      </c>
      <c r="D229" s="24">
        <f t="shared" si="1"/>
        <v>-60869.56522</v>
      </c>
      <c r="E229" s="25">
        <f t="shared" si="2"/>
        <v>11.93784972</v>
      </c>
      <c r="F229" s="24">
        <f t="shared" si="3"/>
        <v>0.0001961218168</v>
      </c>
      <c r="G229" s="24">
        <f t="shared" si="4"/>
        <v>0</v>
      </c>
      <c r="H229" s="26">
        <f t="shared" si="5"/>
        <v>0</v>
      </c>
      <c r="I229" s="24">
        <f t="shared" si="6"/>
        <v>0</v>
      </c>
      <c r="J229" s="24">
        <f t="shared" si="7"/>
        <v>0</v>
      </c>
      <c r="K229" s="24"/>
      <c r="L229" s="24">
        <f t="shared" si="8"/>
        <v>457.0964384</v>
      </c>
      <c r="M229" s="30">
        <f t="shared" si="9"/>
        <v>439.3049342</v>
      </c>
      <c r="N229" s="27">
        <f t="shared" si="10"/>
        <v>17.79150416</v>
      </c>
      <c r="O229" s="24"/>
      <c r="P229" s="24"/>
      <c r="Q229" s="24"/>
      <c r="R229" s="26"/>
      <c r="S229" s="14">
        <f t="shared" si="13"/>
        <v>16.33786943</v>
      </c>
      <c r="U229" s="21"/>
      <c r="V229" s="21"/>
    </row>
    <row r="230">
      <c r="A230" s="11">
        <v>218.0</v>
      </c>
      <c r="B230" s="11">
        <v>1.42034347826087E9</v>
      </c>
      <c r="C230" s="2">
        <v>-102.2658234</v>
      </c>
      <c r="D230" s="24">
        <f t="shared" si="1"/>
        <v>-56521.73913</v>
      </c>
      <c r="E230" s="25">
        <f t="shared" si="2"/>
        <v>11.01955359</v>
      </c>
      <c r="F230" s="24">
        <f t="shared" si="3"/>
        <v>0.0001949613327</v>
      </c>
      <c r="G230" s="24">
        <f t="shared" si="4"/>
        <v>0</v>
      </c>
      <c r="H230" s="26">
        <f t="shared" si="5"/>
        <v>0</v>
      </c>
      <c r="I230" s="24">
        <f t="shared" si="6"/>
        <v>0</v>
      </c>
      <c r="J230" s="24">
        <f t="shared" si="7"/>
        <v>0</v>
      </c>
      <c r="K230" s="24"/>
      <c r="L230" s="24">
        <f t="shared" si="8"/>
        <v>451.3607884</v>
      </c>
      <c r="M230" s="30">
        <f t="shared" si="9"/>
        <v>439.2090749</v>
      </c>
      <c r="N230" s="27">
        <f t="shared" si="10"/>
        <v>12.15171351</v>
      </c>
      <c r="O230" s="24"/>
      <c r="P230" s="24"/>
      <c r="Q230" s="24"/>
      <c r="R230" s="26"/>
      <c r="S230" s="14">
        <f t="shared" si="13"/>
        <v>11.15887152</v>
      </c>
      <c r="U230" s="21"/>
      <c r="V230" s="21"/>
    </row>
    <row r="231">
      <c r="A231" s="11">
        <v>219.0</v>
      </c>
      <c r="B231" s="11">
        <v>1.42034782608695E9</v>
      </c>
      <c r="C231" s="2">
        <v>-102.2338638</v>
      </c>
      <c r="D231" s="24">
        <f t="shared" si="1"/>
        <v>-52173.91305</v>
      </c>
      <c r="E231" s="25">
        <f t="shared" si="2"/>
        <v>10.10125745</v>
      </c>
      <c r="F231" s="24">
        <f t="shared" si="3"/>
        <v>0.0001936074345</v>
      </c>
      <c r="G231" s="24">
        <f t="shared" si="4"/>
        <v>0</v>
      </c>
      <c r="H231" s="26">
        <f t="shared" si="5"/>
        <v>0</v>
      </c>
      <c r="I231" s="24">
        <f t="shared" si="6"/>
        <v>0</v>
      </c>
      <c r="J231" s="24">
        <f t="shared" si="7"/>
        <v>0</v>
      </c>
      <c r="K231" s="24"/>
      <c r="L231" s="24">
        <f t="shared" si="8"/>
        <v>454.6945904</v>
      </c>
      <c r="M231" s="30">
        <f t="shared" si="9"/>
        <v>439.1131317</v>
      </c>
      <c r="N231" s="27">
        <f t="shared" si="10"/>
        <v>15.58145874</v>
      </c>
      <c r="O231" s="24"/>
      <c r="P231" s="24"/>
      <c r="Q231" s="24"/>
      <c r="R231" s="26"/>
      <c r="S231" s="14">
        <f t="shared" si="13"/>
        <v>14.30839331</v>
      </c>
      <c r="U231" s="21"/>
      <c r="V231" s="21"/>
    </row>
    <row r="232">
      <c r="A232" s="11">
        <v>220.0</v>
      </c>
      <c r="B232" s="11">
        <v>1.42035217391304E9</v>
      </c>
      <c r="C232" s="2">
        <v>-102.2431259</v>
      </c>
      <c r="D232" s="24">
        <f t="shared" si="1"/>
        <v>-47826.08696</v>
      </c>
      <c r="E232" s="25">
        <f t="shared" si="2"/>
        <v>9.182961321</v>
      </c>
      <c r="F232" s="24">
        <f t="shared" si="3"/>
        <v>0.0001920073731</v>
      </c>
      <c r="G232" s="24">
        <f t="shared" si="4"/>
        <v>0</v>
      </c>
      <c r="H232" s="26">
        <f t="shared" si="5"/>
        <v>0</v>
      </c>
      <c r="I232" s="24">
        <f t="shared" si="6"/>
        <v>0</v>
      </c>
      <c r="J232" s="24">
        <f t="shared" si="7"/>
        <v>0</v>
      </c>
      <c r="K232" s="24"/>
      <c r="L232" s="24">
        <f t="shared" si="8"/>
        <v>453.7259069</v>
      </c>
      <c r="M232" s="30">
        <f t="shared" si="9"/>
        <v>439.0171053</v>
      </c>
      <c r="N232" s="27">
        <f t="shared" si="10"/>
        <v>14.70880157</v>
      </c>
      <c r="O232" s="24"/>
      <c r="P232" s="24"/>
      <c r="Q232" s="24"/>
      <c r="R232" s="26"/>
      <c r="S232" s="14">
        <f t="shared" si="13"/>
        <v>13.50703556</v>
      </c>
      <c r="U232" s="21"/>
      <c r="V232" s="21"/>
    </row>
    <row r="233">
      <c r="A233" s="11">
        <v>221.0</v>
      </c>
      <c r="B233" s="11">
        <v>1.42035652173913E9</v>
      </c>
      <c r="C233" s="2">
        <v>-102.17939</v>
      </c>
      <c r="D233" s="24">
        <f t="shared" si="1"/>
        <v>-43478.26087</v>
      </c>
      <c r="E233" s="25">
        <f t="shared" si="2"/>
        <v>8.264665191</v>
      </c>
      <c r="F233" s="24">
        <f t="shared" si="3"/>
        <v>0.0001900872994</v>
      </c>
      <c r="G233" s="24">
        <f t="shared" si="4"/>
        <v>0</v>
      </c>
      <c r="H233" s="26">
        <f t="shared" si="5"/>
        <v>0</v>
      </c>
      <c r="I233" s="24">
        <f t="shared" si="6"/>
        <v>0</v>
      </c>
      <c r="J233" s="24">
        <f t="shared" si="7"/>
        <v>0</v>
      </c>
      <c r="K233" s="24"/>
      <c r="L233" s="24">
        <f t="shared" si="8"/>
        <v>460.4337683</v>
      </c>
      <c r="M233" s="30">
        <f t="shared" si="9"/>
        <v>438.9209964</v>
      </c>
      <c r="N233" s="27">
        <f t="shared" si="10"/>
        <v>21.51277191</v>
      </c>
      <c r="O233" s="24"/>
      <c r="P233" s="24"/>
      <c r="Q233" s="24"/>
      <c r="R233" s="26"/>
      <c r="S233" s="14">
        <f t="shared" si="13"/>
        <v>19.75509525</v>
      </c>
      <c r="U233" s="21"/>
      <c r="V233" s="21"/>
    </row>
    <row r="234">
      <c r="A234" s="11">
        <v>222.0</v>
      </c>
      <c r="B234" s="11">
        <v>1.42036086956521E9</v>
      </c>
      <c r="C234" s="2">
        <v>-102.1780472</v>
      </c>
      <c r="D234" s="24">
        <f t="shared" si="1"/>
        <v>-39130.43479</v>
      </c>
      <c r="E234" s="25">
        <f t="shared" si="2"/>
        <v>7.346369058</v>
      </c>
      <c r="F234" s="24">
        <f t="shared" si="3"/>
        <v>0.0001877405426</v>
      </c>
      <c r="G234" s="24">
        <f t="shared" si="4"/>
        <v>0</v>
      </c>
      <c r="H234" s="26">
        <f t="shared" si="5"/>
        <v>0</v>
      </c>
      <c r="I234" s="24">
        <f t="shared" si="6"/>
        <v>0</v>
      </c>
      <c r="J234" s="24">
        <f t="shared" si="7"/>
        <v>0</v>
      </c>
      <c r="K234" s="24"/>
      <c r="L234" s="24">
        <f t="shared" si="8"/>
        <v>460.5761524</v>
      </c>
      <c r="M234" s="30">
        <f t="shared" si="9"/>
        <v>438.8248055</v>
      </c>
      <c r="N234" s="27">
        <f t="shared" si="10"/>
        <v>21.75134687</v>
      </c>
      <c r="O234" s="24"/>
      <c r="P234" s="24"/>
      <c r="Q234" s="24"/>
      <c r="R234" s="26"/>
      <c r="S234" s="14">
        <f t="shared" si="13"/>
        <v>19.97417771</v>
      </c>
      <c r="U234" s="21"/>
      <c r="V234" s="21"/>
    </row>
    <row r="235">
      <c r="A235" s="11">
        <v>223.0</v>
      </c>
      <c r="B235" s="11">
        <v>1.4203652173913E9</v>
      </c>
      <c r="C235" s="2">
        <v>-102.1665573</v>
      </c>
      <c r="D235" s="24">
        <f t="shared" si="1"/>
        <v>-34782.6087</v>
      </c>
      <c r="E235" s="25">
        <f t="shared" si="2"/>
        <v>6.428072925</v>
      </c>
      <c r="F235" s="24">
        <f t="shared" si="3"/>
        <v>0.0001848070966</v>
      </c>
      <c r="G235" s="24">
        <f t="shared" si="4"/>
        <v>0</v>
      </c>
      <c r="H235" s="26">
        <f t="shared" si="5"/>
        <v>0</v>
      </c>
      <c r="I235" s="24">
        <f t="shared" si="6"/>
        <v>0</v>
      </c>
      <c r="J235" s="24">
        <f t="shared" si="7"/>
        <v>0</v>
      </c>
      <c r="K235" s="24"/>
      <c r="L235" s="24">
        <f t="shared" si="8"/>
        <v>461.7962877</v>
      </c>
      <c r="M235" s="30">
        <f t="shared" si="9"/>
        <v>438.7285332</v>
      </c>
      <c r="N235" s="27">
        <f t="shared" si="10"/>
        <v>23.06775448</v>
      </c>
      <c r="O235" s="24"/>
      <c r="P235" s="24"/>
      <c r="Q235" s="24"/>
      <c r="R235" s="26"/>
      <c r="S235" s="14">
        <f t="shared" si="13"/>
        <v>21.18302969</v>
      </c>
      <c r="U235" s="21"/>
      <c r="V235" s="21"/>
    </row>
    <row r="236">
      <c r="A236" s="11">
        <v>224.0</v>
      </c>
      <c r="B236" s="11">
        <v>1.42036956521739E9</v>
      </c>
      <c r="C236" s="2">
        <v>-102.1863708</v>
      </c>
      <c r="D236" s="24">
        <f t="shared" si="1"/>
        <v>-30434.78261</v>
      </c>
      <c r="E236" s="25">
        <f t="shared" si="2"/>
        <v>5.509776795</v>
      </c>
      <c r="F236" s="24">
        <f t="shared" si="3"/>
        <v>0.0001810355232</v>
      </c>
      <c r="G236" s="24">
        <f t="shared" si="4"/>
        <v>0</v>
      </c>
      <c r="H236" s="26">
        <f t="shared" si="5"/>
        <v>0</v>
      </c>
      <c r="I236" s="24">
        <f t="shared" si="6"/>
        <v>0</v>
      </c>
      <c r="J236" s="24">
        <f t="shared" si="7"/>
        <v>0</v>
      </c>
      <c r="K236" s="24"/>
      <c r="L236" s="24">
        <f t="shared" si="8"/>
        <v>459.6942668</v>
      </c>
      <c r="M236" s="30">
        <f t="shared" si="9"/>
        <v>438.6321802</v>
      </c>
      <c r="N236" s="27">
        <f t="shared" si="10"/>
        <v>21.06208663</v>
      </c>
      <c r="O236" s="24"/>
      <c r="P236" s="24"/>
      <c r="Q236" s="24"/>
      <c r="R236" s="26"/>
      <c r="S236" s="14">
        <f t="shared" si="13"/>
        <v>19.3412327</v>
      </c>
      <c r="U236" s="21"/>
      <c r="V236" s="21"/>
    </row>
    <row r="237">
      <c r="A237" s="11">
        <v>225.0</v>
      </c>
      <c r="B237" s="11">
        <v>1.42037391304347E9</v>
      </c>
      <c r="C237" s="2">
        <v>-102.1968231</v>
      </c>
      <c r="D237" s="24">
        <f t="shared" si="1"/>
        <v>-26086.95653</v>
      </c>
      <c r="E237" s="25">
        <f t="shared" si="2"/>
        <v>4.591480662</v>
      </c>
      <c r="F237" s="24">
        <f t="shared" si="3"/>
        <v>0.0001760067586</v>
      </c>
      <c r="G237" s="24">
        <f t="shared" si="4"/>
        <v>0</v>
      </c>
      <c r="H237" s="26">
        <f t="shared" si="5"/>
        <v>0</v>
      </c>
      <c r="I237" s="24">
        <f t="shared" si="6"/>
        <v>0</v>
      </c>
      <c r="J237" s="24">
        <f t="shared" si="7"/>
        <v>0</v>
      </c>
      <c r="K237" s="24"/>
      <c r="L237" s="24">
        <f t="shared" si="8"/>
        <v>458.5892367</v>
      </c>
      <c r="M237" s="30">
        <f t="shared" si="9"/>
        <v>438.535747</v>
      </c>
      <c r="N237" s="27">
        <f t="shared" si="10"/>
        <v>20.05348964</v>
      </c>
      <c r="O237" s="24"/>
      <c r="P237" s="24"/>
      <c r="Q237" s="24"/>
      <c r="R237" s="26"/>
      <c r="S237" s="14">
        <f t="shared" si="13"/>
        <v>18.41504199</v>
      </c>
      <c r="U237" s="21"/>
      <c r="V237" s="21"/>
    </row>
    <row r="238">
      <c r="A238" s="11">
        <v>226.0</v>
      </c>
      <c r="B238" s="11">
        <v>1.42037826086956E9</v>
      </c>
      <c r="C238" s="2">
        <v>-102.1610184</v>
      </c>
      <c r="D238" s="24">
        <f t="shared" si="1"/>
        <v>-21739.13044</v>
      </c>
      <c r="E238" s="25">
        <f t="shared" si="2"/>
        <v>3.673184529</v>
      </c>
      <c r="F238" s="24">
        <f t="shared" si="3"/>
        <v>0.0001689664883</v>
      </c>
      <c r="G238" s="24">
        <f t="shared" si="4"/>
        <v>0</v>
      </c>
      <c r="H238" s="26">
        <f t="shared" si="5"/>
        <v>0</v>
      </c>
      <c r="I238" s="24">
        <f t="shared" si="6"/>
        <v>0</v>
      </c>
      <c r="J238" s="24">
        <f t="shared" si="7"/>
        <v>0</v>
      </c>
      <c r="K238" s="24"/>
      <c r="L238" s="24">
        <f t="shared" si="8"/>
        <v>462.3856287</v>
      </c>
      <c r="M238" s="30">
        <f t="shared" si="9"/>
        <v>438.4392343</v>
      </c>
      <c r="N238" s="27">
        <f t="shared" si="10"/>
        <v>23.94639436</v>
      </c>
      <c r="O238" s="24"/>
      <c r="P238" s="24"/>
      <c r="Q238" s="24"/>
      <c r="R238" s="26"/>
      <c r="S238" s="14">
        <f t="shared" si="13"/>
        <v>21.98988129</v>
      </c>
      <c r="U238" s="21"/>
      <c r="V238" s="21"/>
    </row>
    <row r="239">
      <c r="A239" s="11">
        <v>227.0</v>
      </c>
      <c r="B239" s="11">
        <v>1.42038260869565E9</v>
      </c>
      <c r="C239" s="2">
        <v>-102.140564</v>
      </c>
      <c r="D239" s="24">
        <f t="shared" si="1"/>
        <v>-17391.30435</v>
      </c>
      <c r="E239" s="25">
        <f t="shared" si="2"/>
        <v>2.754888398</v>
      </c>
      <c r="F239" s="24">
        <f t="shared" si="3"/>
        <v>0.0001584060829</v>
      </c>
      <c r="G239" s="24">
        <f t="shared" si="4"/>
        <v>0</v>
      </c>
      <c r="H239" s="26">
        <f t="shared" si="5"/>
        <v>0</v>
      </c>
      <c r="I239" s="24">
        <f t="shared" si="6"/>
        <v>0</v>
      </c>
      <c r="J239" s="24">
        <f t="shared" si="7"/>
        <v>0</v>
      </c>
      <c r="K239" s="24"/>
      <c r="L239" s="24">
        <f t="shared" si="8"/>
        <v>464.5685088</v>
      </c>
      <c r="M239" s="30">
        <f t="shared" si="9"/>
        <v>438.3426426</v>
      </c>
      <c r="N239" s="27">
        <f t="shared" si="10"/>
        <v>26.22586611</v>
      </c>
      <c r="O239" s="24"/>
      <c r="P239" s="24"/>
      <c r="Q239" s="24"/>
      <c r="R239" s="26"/>
      <c r="S239" s="14">
        <f t="shared" si="13"/>
        <v>24.08311143</v>
      </c>
      <c r="U239" s="21"/>
      <c r="V239" s="21"/>
    </row>
    <row r="240">
      <c r="A240" s="11">
        <v>228.0</v>
      </c>
      <c r="B240" s="11">
        <v>1.42038695652173E9</v>
      </c>
      <c r="C240" s="2">
        <v>-102.142067</v>
      </c>
      <c r="D240" s="24">
        <f t="shared" si="1"/>
        <v>-13043.47827</v>
      </c>
      <c r="E240" s="25">
        <f t="shared" si="2"/>
        <v>1.836592266</v>
      </c>
      <c r="F240" s="24">
        <f t="shared" si="3"/>
        <v>0.0001408054069</v>
      </c>
      <c r="G240" s="24">
        <f t="shared" si="4"/>
        <v>0</v>
      </c>
      <c r="H240" s="26">
        <f t="shared" si="5"/>
        <v>0</v>
      </c>
      <c r="I240" s="24">
        <f t="shared" si="6"/>
        <v>0</v>
      </c>
      <c r="J240" s="24">
        <f t="shared" si="7"/>
        <v>0</v>
      </c>
      <c r="K240" s="24"/>
      <c r="L240" s="24">
        <f t="shared" si="8"/>
        <v>464.4077594</v>
      </c>
      <c r="M240" s="30">
        <f t="shared" si="9"/>
        <v>438.2459727</v>
      </c>
      <c r="N240" s="27">
        <f t="shared" si="10"/>
        <v>26.16178671</v>
      </c>
      <c r="O240" s="24"/>
      <c r="P240" s="24"/>
      <c r="Q240" s="24"/>
      <c r="R240" s="26"/>
      <c r="S240" s="14">
        <f t="shared" si="13"/>
        <v>24.02426756</v>
      </c>
      <c r="U240" s="21"/>
      <c r="V240" s="21"/>
    </row>
    <row r="241">
      <c r="A241" s="11">
        <v>229.0</v>
      </c>
      <c r="B241" s="11">
        <v>1.42039130434782E9</v>
      </c>
      <c r="C241" s="2">
        <v>-102.0908356</v>
      </c>
      <c r="D241" s="24">
        <f t="shared" si="1"/>
        <v>-8695.65218</v>
      </c>
      <c r="E241" s="25">
        <f t="shared" si="2"/>
        <v>0.9182961328</v>
      </c>
      <c r="F241" s="24">
        <f t="shared" si="3"/>
        <v>0.0001056040552</v>
      </c>
      <c r="G241" s="24">
        <f t="shared" si="4"/>
        <v>0</v>
      </c>
      <c r="H241" s="26">
        <f t="shared" si="5"/>
        <v>0</v>
      </c>
      <c r="I241" s="24">
        <f t="shared" si="6"/>
        <v>0</v>
      </c>
      <c r="J241" s="24">
        <f t="shared" si="7"/>
        <v>0</v>
      </c>
      <c r="K241" s="24"/>
      <c r="L241" s="24">
        <f t="shared" si="8"/>
        <v>469.9185698</v>
      </c>
      <c r="M241" s="30">
        <f t="shared" si="9"/>
        <v>438.149225</v>
      </c>
      <c r="N241" s="27">
        <f t="shared" si="10"/>
        <v>31.76934479</v>
      </c>
      <c r="O241" s="24"/>
      <c r="P241" s="24"/>
      <c r="Q241" s="24"/>
      <c r="R241" s="26"/>
      <c r="S241" s="14">
        <f t="shared" si="13"/>
        <v>29.17366646</v>
      </c>
      <c r="U241" s="21"/>
      <c r="V241" s="21"/>
    </row>
    <row r="242">
      <c r="A242" s="11">
        <v>230.0</v>
      </c>
      <c r="B242" s="11">
        <v>1.42039565217391E9</v>
      </c>
      <c r="C242" s="2">
        <v>-102.0876007</v>
      </c>
      <c r="D242" s="24">
        <f t="shared" si="1"/>
        <v>-4347.82609</v>
      </c>
      <c r="E242" s="25">
        <f t="shared" si="2"/>
        <v>0</v>
      </c>
      <c r="F242" s="24">
        <f t="shared" si="3"/>
        <v>0</v>
      </c>
      <c r="G242" s="24">
        <f t="shared" si="4"/>
        <v>0</v>
      </c>
      <c r="H242" s="26">
        <f t="shared" si="5"/>
        <v>0</v>
      </c>
      <c r="I242" s="24">
        <f t="shared" si="6"/>
        <v>0</v>
      </c>
      <c r="J242" s="24" t="str">
        <f t="shared" si="7"/>
        <v>#DIV/0!</v>
      </c>
      <c r="K242" s="24"/>
      <c r="L242" s="24">
        <f t="shared" si="8"/>
        <v>470.2687252</v>
      </c>
      <c r="M242" s="30">
        <f t="shared" si="9"/>
        <v>438.0524002</v>
      </c>
      <c r="N242" s="27">
        <f t="shared" si="10"/>
        <v>32.21632506</v>
      </c>
      <c r="O242" s="24"/>
      <c r="P242" s="24"/>
      <c r="Q242" s="24"/>
      <c r="R242" s="26"/>
      <c r="S242" s="14">
        <f t="shared" si="13"/>
        <v>29.58412664</v>
      </c>
      <c r="U242" s="21"/>
      <c r="V242" s="21"/>
    </row>
    <row r="243">
      <c r="A243" s="11">
        <v>231.0</v>
      </c>
      <c r="B243" s="11">
        <v>1.4204E9</v>
      </c>
      <c r="C243" s="2">
        <v>-102.0941315</v>
      </c>
      <c r="D243" s="24">
        <f t="shared" si="1"/>
        <v>0</v>
      </c>
      <c r="E243" s="25">
        <f t="shared" si="2"/>
        <v>-0.9182961307</v>
      </c>
      <c r="F243" s="24" t="str">
        <f t="shared" si="3"/>
        <v>#DIV/0!</v>
      </c>
      <c r="G243" s="24">
        <f t="shared" si="4"/>
        <v>0</v>
      </c>
      <c r="H243" s="26">
        <f t="shared" si="5"/>
        <v>0</v>
      </c>
      <c r="I243" s="24">
        <f t="shared" si="6"/>
        <v>0</v>
      </c>
      <c r="J243" s="24" t="str">
        <f t="shared" si="7"/>
        <v>#DIV/0!</v>
      </c>
      <c r="K243" s="24"/>
      <c r="L243" s="24">
        <f t="shared" si="8"/>
        <v>469.5620796</v>
      </c>
      <c r="M243" s="30">
        <f t="shared" si="9"/>
        <v>437.9554989</v>
      </c>
      <c r="N243" s="27">
        <f t="shared" si="10"/>
        <v>31.60658074</v>
      </c>
      <c r="O243" s="24"/>
      <c r="P243" s="24"/>
      <c r="Q243" s="24"/>
      <c r="R243" s="26"/>
      <c r="S243" s="14">
        <f t="shared" si="13"/>
        <v>29.02420086</v>
      </c>
      <c r="U243" s="21"/>
      <c r="V243" s="21"/>
    </row>
    <row r="244">
      <c r="A244" s="11">
        <v>232.0</v>
      </c>
      <c r="B244" s="11">
        <v>1.42040434782608E9</v>
      </c>
      <c r="C244" s="2">
        <v>-102.0070343</v>
      </c>
      <c r="D244" s="24">
        <f t="shared" si="1"/>
        <v>4347.82608</v>
      </c>
      <c r="E244" s="25">
        <f t="shared" si="2"/>
        <v>-1.836592263</v>
      </c>
      <c r="F244" s="24">
        <f t="shared" si="3"/>
        <v>0.0004224162213</v>
      </c>
      <c r="G244" s="24">
        <f t="shared" si="4"/>
        <v>0</v>
      </c>
      <c r="H244" s="26">
        <f t="shared" si="5"/>
        <v>0</v>
      </c>
      <c r="I244" s="24">
        <f t="shared" si="6"/>
        <v>0</v>
      </c>
      <c r="J244" s="24">
        <f t="shared" si="7"/>
        <v>0</v>
      </c>
      <c r="K244" s="24"/>
      <c r="L244" s="24">
        <f t="shared" si="8"/>
        <v>479.0741496</v>
      </c>
      <c r="M244" s="30">
        <f t="shared" si="9"/>
        <v>437.8585217</v>
      </c>
      <c r="N244" s="27">
        <f t="shared" si="10"/>
        <v>41.21562793</v>
      </c>
      <c r="O244" s="24"/>
      <c r="P244" s="24"/>
      <c r="Q244" s="24"/>
      <c r="R244" s="26"/>
      <c r="S244" s="14">
        <f t="shared" si="13"/>
        <v>37.84815174</v>
      </c>
      <c r="U244" s="21"/>
      <c r="V244" s="21"/>
    </row>
    <row r="245">
      <c r="A245" s="11">
        <v>233.0</v>
      </c>
      <c r="B245" s="11">
        <v>1.42040869565217E9</v>
      </c>
      <c r="C245" s="2">
        <v>-101.9763336</v>
      </c>
      <c r="D245" s="24">
        <f t="shared" si="1"/>
        <v>8695.65217</v>
      </c>
      <c r="E245" s="25">
        <f t="shared" si="2"/>
        <v>-2.754888396</v>
      </c>
      <c r="F245" s="24">
        <f t="shared" si="3"/>
        <v>0.0003168121657</v>
      </c>
      <c r="G245" s="24">
        <f t="shared" si="4"/>
        <v>0</v>
      </c>
      <c r="H245" s="26">
        <f t="shared" si="5"/>
        <v>0</v>
      </c>
      <c r="I245" s="24">
        <f t="shared" si="6"/>
        <v>0</v>
      </c>
      <c r="J245" s="24">
        <f t="shared" si="7"/>
        <v>0</v>
      </c>
      <c r="K245" s="24"/>
      <c r="L245" s="24">
        <f t="shared" si="8"/>
        <v>482.4727699</v>
      </c>
      <c r="M245" s="30">
        <f t="shared" si="9"/>
        <v>437.7614692</v>
      </c>
      <c r="N245" s="27">
        <f t="shared" si="10"/>
        <v>44.71130068</v>
      </c>
      <c r="O245" s="24"/>
      <c r="P245" s="24"/>
      <c r="Q245" s="24"/>
      <c r="R245" s="26"/>
      <c r="S245" s="14">
        <f t="shared" si="13"/>
        <v>41.05821441</v>
      </c>
      <c r="U245" s="21"/>
      <c r="V245" s="21"/>
    </row>
    <row r="246">
      <c r="A246" s="11">
        <v>234.0</v>
      </c>
      <c r="B246" s="11">
        <v>1.42041304347826E9</v>
      </c>
      <c r="C246" s="2">
        <v>-101.9739914</v>
      </c>
      <c r="D246" s="24">
        <f t="shared" si="1"/>
        <v>13043.47826</v>
      </c>
      <c r="E246" s="25">
        <f t="shared" si="2"/>
        <v>-3.673184527</v>
      </c>
      <c r="F246" s="24">
        <f t="shared" si="3"/>
        <v>0.0002816108137</v>
      </c>
      <c r="G246" s="24">
        <f t="shared" si="4"/>
        <v>0</v>
      </c>
      <c r="H246" s="26">
        <f t="shared" si="5"/>
        <v>0</v>
      </c>
      <c r="I246" s="24">
        <f t="shared" si="6"/>
        <v>0</v>
      </c>
      <c r="J246" s="24">
        <f t="shared" si="7"/>
        <v>0</v>
      </c>
      <c r="K246" s="24"/>
      <c r="L246" s="24">
        <f t="shared" si="8"/>
        <v>482.7330432</v>
      </c>
      <c r="M246" s="30">
        <f t="shared" si="9"/>
        <v>437.664342</v>
      </c>
      <c r="N246" s="27">
        <f t="shared" si="10"/>
        <v>45.06870113</v>
      </c>
      <c r="O246" s="24"/>
      <c r="P246" s="24"/>
      <c r="Q246" s="24"/>
      <c r="R246" s="26"/>
      <c r="S246" s="14">
        <f t="shared" si="13"/>
        <v>41.38641395</v>
      </c>
      <c r="U246" s="21"/>
      <c r="V246" s="21"/>
    </row>
    <row r="247">
      <c r="A247" s="11">
        <v>235.0</v>
      </c>
      <c r="B247" s="11">
        <v>1.42041739130434E9</v>
      </c>
      <c r="C247" s="2">
        <v>-101.9084091</v>
      </c>
      <c r="D247" s="24">
        <f t="shared" si="1"/>
        <v>17391.30434</v>
      </c>
      <c r="E247" s="25">
        <f t="shared" si="2"/>
        <v>-4.59148066</v>
      </c>
      <c r="F247" s="24">
        <f t="shared" si="3"/>
        <v>0.0002640101381</v>
      </c>
      <c r="G247" s="24">
        <f t="shared" si="4"/>
        <v>0</v>
      </c>
      <c r="H247" s="26">
        <f t="shared" si="5"/>
        <v>0</v>
      </c>
      <c r="I247" s="24">
        <f t="shared" si="6"/>
        <v>0</v>
      </c>
      <c r="J247" s="24">
        <f t="shared" si="7"/>
        <v>0</v>
      </c>
      <c r="K247" s="24"/>
      <c r="L247" s="24">
        <f t="shared" si="8"/>
        <v>490.0780567</v>
      </c>
      <c r="M247" s="30">
        <f t="shared" si="9"/>
        <v>437.5671408</v>
      </c>
      <c r="N247" s="27">
        <f t="shared" si="10"/>
        <v>52.5109159</v>
      </c>
      <c r="O247" s="24"/>
      <c r="P247" s="24"/>
      <c r="Q247" s="24"/>
      <c r="R247" s="26"/>
      <c r="S247" s="14">
        <f t="shared" si="13"/>
        <v>48.220571</v>
      </c>
      <c r="U247" s="21"/>
      <c r="V247" s="21"/>
    </row>
    <row r="248">
      <c r="A248" s="11">
        <v>236.0</v>
      </c>
      <c r="B248" s="11">
        <v>1.42042173913043E9</v>
      </c>
      <c r="C248" s="2">
        <v>-101.8143539</v>
      </c>
      <c r="D248" s="24">
        <f t="shared" si="1"/>
        <v>21739.13043</v>
      </c>
      <c r="E248" s="25">
        <f t="shared" si="2"/>
        <v>-5.509776792</v>
      </c>
      <c r="F248" s="24">
        <f t="shared" si="3"/>
        <v>0.0002534497325</v>
      </c>
      <c r="G248" s="24">
        <f t="shared" si="4"/>
        <v>0</v>
      </c>
      <c r="H248" s="26">
        <f t="shared" si="5"/>
        <v>0</v>
      </c>
      <c r="I248" s="24">
        <f t="shared" si="6"/>
        <v>0</v>
      </c>
      <c r="J248" s="24">
        <f t="shared" si="7"/>
        <v>0</v>
      </c>
      <c r="K248" s="24"/>
      <c r="L248" s="24">
        <f t="shared" si="8"/>
        <v>500.8074461</v>
      </c>
      <c r="M248" s="30">
        <f t="shared" si="9"/>
        <v>437.4698661</v>
      </c>
      <c r="N248" s="27">
        <f t="shared" si="10"/>
        <v>63.33757993</v>
      </c>
      <c r="O248" s="24"/>
      <c r="P248" s="24"/>
      <c r="Q248" s="24"/>
      <c r="R248" s="26"/>
      <c r="S248" s="14">
        <f t="shared" si="13"/>
        <v>58.16265457</v>
      </c>
      <c r="U248" s="21"/>
      <c r="V248" s="21"/>
    </row>
    <row r="249">
      <c r="A249" s="11">
        <v>237.0</v>
      </c>
      <c r="B249" s="11">
        <v>1.42042608695652E9</v>
      </c>
      <c r="C249" s="2">
        <v>-101.7920074</v>
      </c>
      <c r="D249" s="24">
        <f t="shared" si="1"/>
        <v>26086.95652</v>
      </c>
      <c r="E249" s="25">
        <f t="shared" si="2"/>
        <v>-6.428072923</v>
      </c>
      <c r="F249" s="24">
        <f t="shared" si="3"/>
        <v>0.0002464094621</v>
      </c>
      <c r="G249" s="24">
        <f t="shared" si="4"/>
        <v>0</v>
      </c>
      <c r="H249" s="26">
        <f t="shared" si="5"/>
        <v>0</v>
      </c>
      <c r="I249" s="24">
        <f t="shared" si="6"/>
        <v>0</v>
      </c>
      <c r="J249" s="24">
        <f t="shared" si="7"/>
        <v>0</v>
      </c>
      <c r="K249" s="24"/>
      <c r="L249" s="24">
        <f t="shared" si="8"/>
        <v>503.3909777</v>
      </c>
      <c r="M249" s="30">
        <f t="shared" si="9"/>
        <v>437.3725186</v>
      </c>
      <c r="N249" s="27">
        <f t="shared" si="10"/>
        <v>66.0184591</v>
      </c>
      <c r="O249" s="24"/>
      <c r="P249" s="24"/>
      <c r="Q249" s="24"/>
      <c r="R249" s="26"/>
      <c r="S249" s="14">
        <f t="shared" si="13"/>
        <v>60.62449569</v>
      </c>
      <c r="U249" s="21"/>
      <c r="V249" s="21"/>
    </row>
    <row r="250">
      <c r="A250" s="11">
        <v>238.0</v>
      </c>
      <c r="B250" s="11">
        <v>1.4204304347826E9</v>
      </c>
      <c r="C250" s="2">
        <v>-101.7728577</v>
      </c>
      <c r="D250" s="24">
        <f t="shared" si="1"/>
        <v>30434.7826</v>
      </c>
      <c r="E250" s="25">
        <f t="shared" si="2"/>
        <v>-7.346369056</v>
      </c>
      <c r="F250" s="24">
        <f t="shared" si="3"/>
        <v>0.0002413806976</v>
      </c>
      <c r="G250" s="24">
        <f t="shared" si="4"/>
        <v>0</v>
      </c>
      <c r="H250" s="26">
        <f t="shared" si="5"/>
        <v>0</v>
      </c>
      <c r="I250" s="24">
        <f t="shared" si="6"/>
        <v>0</v>
      </c>
      <c r="J250" s="24">
        <f t="shared" si="7"/>
        <v>0</v>
      </c>
      <c r="K250" s="24"/>
      <c r="L250" s="24">
        <f t="shared" si="8"/>
        <v>505.6155213</v>
      </c>
      <c r="M250" s="30">
        <f t="shared" si="9"/>
        <v>437.2750988</v>
      </c>
      <c r="N250" s="27">
        <f t="shared" si="10"/>
        <v>68.34042252</v>
      </c>
      <c r="O250" s="24"/>
      <c r="P250" s="24"/>
      <c r="Q250" s="24"/>
      <c r="R250" s="26"/>
      <c r="S250" s="14">
        <f t="shared" si="13"/>
        <v>62.75674571</v>
      </c>
      <c r="U250" s="21"/>
      <c r="V250" s="21"/>
    </row>
    <row r="251">
      <c r="A251" s="11">
        <v>239.0</v>
      </c>
      <c r="B251" s="11">
        <v>1.42043478260869E9</v>
      </c>
      <c r="C251" s="2">
        <v>-101.7185898</v>
      </c>
      <c r="D251" s="24">
        <f t="shared" si="1"/>
        <v>34782.60869</v>
      </c>
      <c r="E251" s="25">
        <f t="shared" si="2"/>
        <v>-8.264665189</v>
      </c>
      <c r="F251" s="24">
        <f t="shared" si="3"/>
        <v>0.0002376091242</v>
      </c>
      <c r="G251" s="24">
        <f t="shared" si="4"/>
        <v>0</v>
      </c>
      <c r="H251" s="26">
        <f t="shared" si="5"/>
        <v>0</v>
      </c>
      <c r="I251" s="24">
        <f t="shared" si="6"/>
        <v>0</v>
      </c>
      <c r="J251" s="24">
        <f t="shared" si="7"/>
        <v>0</v>
      </c>
      <c r="K251" s="24"/>
      <c r="L251" s="24">
        <f t="shared" si="8"/>
        <v>511.9731524</v>
      </c>
      <c r="M251" s="30">
        <f t="shared" si="9"/>
        <v>437.1776073</v>
      </c>
      <c r="N251" s="27">
        <f t="shared" si="10"/>
        <v>74.79554503</v>
      </c>
      <c r="O251" s="24"/>
      <c r="P251" s="24"/>
      <c r="Q251" s="24"/>
      <c r="R251" s="26"/>
      <c r="S251" s="14">
        <f t="shared" si="13"/>
        <v>68.68445975</v>
      </c>
      <c r="U251" s="21"/>
      <c r="V251" s="21"/>
    </row>
    <row r="252">
      <c r="A252" s="11">
        <v>240.0</v>
      </c>
      <c r="B252" s="11">
        <v>1.42043913043478E9</v>
      </c>
      <c r="C252" s="2">
        <v>-101.6965256</v>
      </c>
      <c r="D252" s="24">
        <f t="shared" si="1"/>
        <v>39130.43478</v>
      </c>
      <c r="E252" s="25">
        <f t="shared" si="2"/>
        <v>-9.182961321</v>
      </c>
      <c r="F252" s="24">
        <f t="shared" si="3"/>
        <v>0.0002346756782</v>
      </c>
      <c r="G252" s="24">
        <f t="shared" si="4"/>
        <v>0</v>
      </c>
      <c r="H252" s="26">
        <f t="shared" si="5"/>
        <v>0</v>
      </c>
      <c r="I252" s="24">
        <f t="shared" si="6"/>
        <v>0</v>
      </c>
      <c r="J252" s="24">
        <f t="shared" si="7"/>
        <v>0</v>
      </c>
      <c r="K252" s="24"/>
      <c r="L252" s="24">
        <f t="shared" si="8"/>
        <v>514.580835</v>
      </c>
      <c r="M252" s="30">
        <f t="shared" si="9"/>
        <v>437.0800449</v>
      </c>
      <c r="N252" s="27">
        <f t="shared" si="10"/>
        <v>77.50079016</v>
      </c>
      <c r="O252" s="24"/>
      <c r="P252" s="24"/>
      <c r="Q252" s="24"/>
      <c r="R252" s="26"/>
      <c r="S252" s="14">
        <f t="shared" si="13"/>
        <v>71.16867573</v>
      </c>
      <c r="U252" s="21"/>
      <c r="V252" s="21"/>
    </row>
    <row r="253">
      <c r="A253" s="11">
        <v>241.0</v>
      </c>
      <c r="B253" s="11">
        <v>1.42044347826087E9</v>
      </c>
      <c r="C253" s="2">
        <v>-101.6110458</v>
      </c>
      <c r="D253" s="24">
        <f t="shared" si="1"/>
        <v>43478.26087</v>
      </c>
      <c r="E253" s="25">
        <f t="shared" si="2"/>
        <v>-10.10125745</v>
      </c>
      <c r="F253" s="24">
        <f t="shared" si="3"/>
        <v>0.0002323289214</v>
      </c>
      <c r="G253" s="24">
        <f t="shared" si="4"/>
        <v>0</v>
      </c>
      <c r="H253" s="26">
        <f t="shared" si="5"/>
        <v>0</v>
      </c>
      <c r="I253" s="24">
        <f t="shared" si="6"/>
        <v>0</v>
      </c>
      <c r="J253" s="24">
        <f t="shared" si="7"/>
        <v>0</v>
      </c>
      <c r="K253" s="24"/>
      <c r="L253" s="24">
        <f t="shared" si="8"/>
        <v>524.8093785</v>
      </c>
      <c r="M253" s="30">
        <f t="shared" si="9"/>
        <v>436.982412</v>
      </c>
      <c r="N253" s="27">
        <f t="shared" si="10"/>
        <v>87.82696648</v>
      </c>
      <c r="O253" s="24"/>
      <c r="P253" s="24"/>
      <c r="Q253" s="24"/>
      <c r="R253" s="26"/>
      <c r="S253" s="14">
        <f t="shared" si="13"/>
        <v>80.65116367</v>
      </c>
      <c r="U253" s="21"/>
      <c r="V253" s="21"/>
    </row>
    <row r="254">
      <c r="A254" s="11">
        <v>242.0</v>
      </c>
      <c r="B254" s="11">
        <v>1.42044782608695E9</v>
      </c>
      <c r="C254" s="2">
        <v>-101.6007004</v>
      </c>
      <c r="D254" s="24">
        <f t="shared" si="1"/>
        <v>47826.08695</v>
      </c>
      <c r="E254" s="25">
        <f t="shared" si="2"/>
        <v>-11.01955358</v>
      </c>
      <c r="F254" s="24">
        <f t="shared" si="3"/>
        <v>0.0002304088477</v>
      </c>
      <c r="G254" s="24">
        <f t="shared" si="4"/>
        <v>0</v>
      </c>
      <c r="H254" s="26">
        <f t="shared" si="5"/>
        <v>0</v>
      </c>
      <c r="I254" s="24">
        <f t="shared" si="6"/>
        <v>0</v>
      </c>
      <c r="J254" s="24">
        <f t="shared" si="7"/>
        <v>0</v>
      </c>
      <c r="K254" s="24"/>
      <c r="L254" s="24">
        <f t="shared" si="8"/>
        <v>526.0610257</v>
      </c>
      <c r="M254" s="30">
        <f t="shared" si="9"/>
        <v>436.8847093</v>
      </c>
      <c r="N254" s="27">
        <f t="shared" si="10"/>
        <v>89.1763164</v>
      </c>
      <c r="O254" s="24"/>
      <c r="P254" s="24"/>
      <c r="Q254" s="24"/>
      <c r="R254" s="26"/>
      <c r="S254" s="14">
        <f t="shared" si="13"/>
        <v>81.89026649</v>
      </c>
      <c r="U254" s="21"/>
      <c r="V254" s="21"/>
    </row>
    <row r="255">
      <c r="A255" s="11">
        <v>243.0</v>
      </c>
      <c r="B255" s="11">
        <v>1.42045217391304E9</v>
      </c>
      <c r="C255" s="2">
        <v>-101.5662918</v>
      </c>
      <c r="D255" s="24">
        <f t="shared" si="1"/>
        <v>52173.91304</v>
      </c>
      <c r="E255" s="25">
        <f t="shared" si="2"/>
        <v>-11.93784972</v>
      </c>
      <c r="F255" s="24">
        <f t="shared" si="3"/>
        <v>0.0002288087863</v>
      </c>
      <c r="G255" s="24">
        <f t="shared" si="4"/>
        <v>0</v>
      </c>
      <c r="H255" s="26">
        <f t="shared" si="5"/>
        <v>0</v>
      </c>
      <c r="I255" s="24">
        <f t="shared" si="6"/>
        <v>0</v>
      </c>
      <c r="J255" s="24">
        <f t="shared" si="7"/>
        <v>0</v>
      </c>
      <c r="K255" s="24"/>
      <c r="L255" s="24">
        <f t="shared" si="8"/>
        <v>530.245495</v>
      </c>
      <c r="M255" s="30">
        <f t="shared" si="9"/>
        <v>436.7869374</v>
      </c>
      <c r="N255" s="27">
        <f t="shared" si="10"/>
        <v>93.45855761</v>
      </c>
      <c r="O255" s="24"/>
      <c r="P255" s="24"/>
      <c r="Q255" s="24"/>
      <c r="R255" s="26"/>
      <c r="S255" s="14">
        <f t="shared" si="13"/>
        <v>85.82263183</v>
      </c>
      <c r="U255" s="21"/>
      <c r="V255" s="21"/>
    </row>
    <row r="256">
      <c r="A256" s="11">
        <v>244.0</v>
      </c>
      <c r="B256" s="11">
        <v>1.42045652173913E9</v>
      </c>
      <c r="C256" s="2">
        <v>-101.4867249</v>
      </c>
      <c r="D256" s="24">
        <f t="shared" si="1"/>
        <v>56521.73913</v>
      </c>
      <c r="E256" s="25">
        <f t="shared" si="2"/>
        <v>-12.85614585</v>
      </c>
      <c r="F256" s="24">
        <f t="shared" si="3"/>
        <v>0.0002274548881</v>
      </c>
      <c r="G256" s="24">
        <f t="shared" si="4"/>
        <v>0</v>
      </c>
      <c r="H256" s="26">
        <f t="shared" si="5"/>
        <v>0</v>
      </c>
      <c r="I256" s="24">
        <f t="shared" si="6"/>
        <v>0</v>
      </c>
      <c r="J256" s="24">
        <f t="shared" si="7"/>
        <v>0</v>
      </c>
      <c r="K256" s="24"/>
      <c r="L256" s="24">
        <f t="shared" si="8"/>
        <v>540.0496356</v>
      </c>
      <c r="M256" s="30">
        <f t="shared" si="9"/>
        <v>436.6890968</v>
      </c>
      <c r="N256" s="27">
        <f t="shared" si="10"/>
        <v>103.3605388</v>
      </c>
      <c r="O256" s="24"/>
      <c r="P256" s="24"/>
      <c r="Q256" s="24"/>
      <c r="R256" s="26"/>
      <c r="S256" s="14">
        <f t="shared" si="13"/>
        <v>94.91558304</v>
      </c>
      <c r="U256" s="21"/>
      <c r="V256" s="21"/>
    </row>
    <row r="257">
      <c r="A257" s="11">
        <v>245.0</v>
      </c>
      <c r="B257" s="11">
        <v>1.42046086956521E9</v>
      </c>
      <c r="C257" s="2">
        <v>-101.419342</v>
      </c>
      <c r="D257" s="24">
        <f t="shared" si="1"/>
        <v>60869.56521</v>
      </c>
      <c r="E257" s="25">
        <f t="shared" si="2"/>
        <v>-13.77444198</v>
      </c>
      <c r="F257" s="24">
        <f t="shared" si="3"/>
        <v>0.000226294404</v>
      </c>
      <c r="G257" s="24">
        <f t="shared" si="4"/>
        <v>0</v>
      </c>
      <c r="H257" s="26">
        <f t="shared" si="5"/>
        <v>0</v>
      </c>
      <c r="I257" s="24">
        <f t="shared" si="6"/>
        <v>0</v>
      </c>
      <c r="J257" s="24">
        <f t="shared" si="7"/>
        <v>0</v>
      </c>
      <c r="K257" s="24"/>
      <c r="L257" s="24">
        <f t="shared" si="8"/>
        <v>548.4941089</v>
      </c>
      <c r="M257" s="30">
        <f t="shared" si="9"/>
        <v>436.5911883</v>
      </c>
      <c r="N257" s="27">
        <f t="shared" si="10"/>
        <v>111.9029206</v>
      </c>
      <c r="O257" s="24"/>
      <c r="P257" s="24"/>
      <c r="Q257" s="24"/>
      <c r="R257" s="26"/>
      <c r="S257" s="14">
        <f t="shared" si="13"/>
        <v>102.7600192</v>
      </c>
      <c r="U257" s="21"/>
      <c r="V257" s="21"/>
    </row>
    <row r="258">
      <c r="A258" s="11">
        <v>246.0</v>
      </c>
      <c r="B258" s="11">
        <v>1.4204652173913E9</v>
      </c>
      <c r="C258" s="2">
        <v>-101.4243546</v>
      </c>
      <c r="D258" s="24">
        <f t="shared" si="1"/>
        <v>65217.3913</v>
      </c>
      <c r="E258" s="25">
        <f t="shared" si="2"/>
        <v>-14.69273811</v>
      </c>
      <c r="F258" s="24">
        <f t="shared" si="3"/>
        <v>0.0002252886511</v>
      </c>
      <c r="G258" s="24">
        <f t="shared" si="4"/>
        <v>0</v>
      </c>
      <c r="H258" s="26">
        <f t="shared" si="5"/>
        <v>0</v>
      </c>
      <c r="I258" s="24">
        <f t="shared" si="6"/>
        <v>0</v>
      </c>
      <c r="J258" s="24">
        <f t="shared" si="7"/>
        <v>0</v>
      </c>
      <c r="K258" s="24"/>
      <c r="L258" s="24">
        <f t="shared" si="8"/>
        <v>547.8614056</v>
      </c>
      <c r="M258" s="30">
        <f t="shared" si="9"/>
        <v>436.4932124</v>
      </c>
      <c r="N258" s="27">
        <f t="shared" si="10"/>
        <v>111.3681932</v>
      </c>
      <c r="O258" s="24"/>
      <c r="P258" s="24"/>
      <c r="Q258" s="24"/>
      <c r="R258" s="26"/>
      <c r="S258" s="14">
        <f t="shared" si="13"/>
        <v>102.2689808</v>
      </c>
      <c r="U258" s="21"/>
      <c r="V258" s="21"/>
    </row>
    <row r="259">
      <c r="A259" s="11">
        <v>247.0</v>
      </c>
      <c r="B259" s="11">
        <v>1.42046956521739E9</v>
      </c>
      <c r="C259" s="2">
        <v>-101.4964752</v>
      </c>
      <c r="D259" s="24">
        <f t="shared" si="1"/>
        <v>69565.21739</v>
      </c>
      <c r="E259" s="25">
        <f t="shared" si="2"/>
        <v>-15.61103424</v>
      </c>
      <c r="F259" s="24">
        <f t="shared" si="3"/>
        <v>0.0002244086173</v>
      </c>
      <c r="G259" s="24">
        <f t="shared" si="4"/>
        <v>0</v>
      </c>
      <c r="H259" s="26">
        <f t="shared" si="5"/>
        <v>0</v>
      </c>
      <c r="I259" s="24">
        <f t="shared" si="6"/>
        <v>0</v>
      </c>
      <c r="J259" s="24">
        <f t="shared" si="7"/>
        <v>0</v>
      </c>
      <c r="K259" s="24"/>
      <c r="L259" s="24">
        <f t="shared" si="8"/>
        <v>538.8385358</v>
      </c>
      <c r="M259" s="30">
        <f t="shared" si="9"/>
        <v>436.3951697</v>
      </c>
      <c r="N259" s="27">
        <f t="shared" si="10"/>
        <v>102.4433661</v>
      </c>
      <c r="O259" s="24"/>
      <c r="P259" s="24"/>
      <c r="Q259" s="24"/>
      <c r="R259" s="26"/>
      <c r="S259" s="14">
        <f t="shared" si="13"/>
        <v>94.07334692</v>
      </c>
      <c r="U259" s="21"/>
      <c r="V259" s="21"/>
    </row>
    <row r="260">
      <c r="A260" s="11">
        <v>248.0</v>
      </c>
      <c r="B260" s="11">
        <v>1.42047391304347E9</v>
      </c>
      <c r="C260" s="2">
        <v>-101.3769226</v>
      </c>
      <c r="D260" s="24">
        <f t="shared" si="1"/>
        <v>73913.04347</v>
      </c>
      <c r="E260" s="25">
        <f t="shared" si="2"/>
        <v>-16.52933038</v>
      </c>
      <c r="F260" s="24">
        <f t="shared" si="3"/>
        <v>0.0002236321169</v>
      </c>
      <c r="G260" s="24">
        <f t="shared" si="4"/>
        <v>0</v>
      </c>
      <c r="H260" s="26">
        <f t="shared" si="5"/>
        <v>0</v>
      </c>
      <c r="I260" s="24">
        <f t="shared" si="6"/>
        <v>0</v>
      </c>
      <c r="J260" s="24">
        <f t="shared" si="7"/>
        <v>0</v>
      </c>
      <c r="K260" s="24"/>
      <c r="L260" s="24">
        <f t="shared" si="8"/>
        <v>553.8777348</v>
      </c>
      <c r="M260" s="30">
        <f t="shared" si="9"/>
        <v>436.2970609</v>
      </c>
      <c r="N260" s="27">
        <f t="shared" si="10"/>
        <v>117.5806739</v>
      </c>
      <c r="O260" s="24"/>
      <c r="P260" s="24"/>
      <c r="Q260" s="24"/>
      <c r="R260" s="26"/>
      <c r="S260" s="14">
        <f t="shared" si="13"/>
        <v>107.9738781</v>
      </c>
      <c r="U260" s="21"/>
      <c r="V260" s="21"/>
    </row>
    <row r="261">
      <c r="A261" s="11">
        <v>249.0</v>
      </c>
      <c r="B261" s="11">
        <v>1.42047826086956E9</v>
      </c>
      <c r="C261" s="2">
        <v>-101.4680328</v>
      </c>
      <c r="D261" s="24">
        <f t="shared" si="1"/>
        <v>78260.86956</v>
      </c>
      <c r="E261" s="25">
        <f t="shared" si="2"/>
        <v>-17.44762651</v>
      </c>
      <c r="F261" s="24">
        <f t="shared" si="3"/>
        <v>0.0002229418943</v>
      </c>
      <c r="G261" s="24">
        <f t="shared" si="4"/>
        <v>0</v>
      </c>
      <c r="H261" s="26">
        <f t="shared" si="5"/>
        <v>0</v>
      </c>
      <c r="I261" s="24">
        <f t="shared" si="6"/>
        <v>0</v>
      </c>
      <c r="J261" s="24">
        <f t="shared" si="7"/>
        <v>0</v>
      </c>
      <c r="K261" s="24"/>
      <c r="L261" s="24">
        <f t="shared" si="8"/>
        <v>542.3790267</v>
      </c>
      <c r="M261" s="30">
        <f t="shared" si="9"/>
        <v>436.1988865</v>
      </c>
      <c r="N261" s="27">
        <f t="shared" si="10"/>
        <v>106.1801402</v>
      </c>
      <c r="O261" s="24"/>
      <c r="P261" s="24"/>
      <c r="Q261" s="24"/>
      <c r="R261" s="26"/>
      <c r="S261" s="14">
        <f t="shared" si="13"/>
        <v>97.50481186</v>
      </c>
      <c r="U261" s="21"/>
      <c r="V261" s="21"/>
    </row>
    <row r="262">
      <c r="A262" s="11">
        <v>250.0</v>
      </c>
      <c r="B262" s="11">
        <v>1.42048260869565E9</v>
      </c>
      <c r="C262" s="2">
        <v>-101.4201965</v>
      </c>
      <c r="D262" s="24">
        <f t="shared" si="1"/>
        <v>82608.69565</v>
      </c>
      <c r="E262" s="25">
        <f t="shared" si="2"/>
        <v>-18.36592264</v>
      </c>
      <c r="F262" s="24">
        <f t="shared" si="3"/>
        <v>0.0002223243267</v>
      </c>
      <c r="G262" s="24">
        <f t="shared" si="4"/>
        <v>0</v>
      </c>
      <c r="H262" s="26">
        <f t="shared" si="5"/>
        <v>0</v>
      </c>
      <c r="I262" s="24">
        <f t="shared" si="6"/>
        <v>0</v>
      </c>
      <c r="J262" s="24">
        <f t="shared" si="7"/>
        <v>0</v>
      </c>
      <c r="K262" s="24"/>
      <c r="L262" s="24">
        <f t="shared" si="8"/>
        <v>548.3862</v>
      </c>
      <c r="M262" s="30">
        <f t="shared" si="9"/>
        <v>436.1006471</v>
      </c>
      <c r="N262" s="27">
        <f t="shared" si="10"/>
        <v>112.2855529</v>
      </c>
      <c r="O262" s="24"/>
      <c r="P262" s="24"/>
      <c r="Q262" s="24"/>
      <c r="R262" s="26"/>
      <c r="S262" s="14">
        <f t="shared" si="13"/>
        <v>103.111389</v>
      </c>
      <c r="U262" s="21"/>
      <c r="V262" s="21"/>
    </row>
    <row r="263">
      <c r="A263" s="11">
        <v>251.0</v>
      </c>
      <c r="B263" s="11">
        <v>1.42048695652173E9</v>
      </c>
      <c r="C263" s="2">
        <v>-101.3017883</v>
      </c>
      <c r="D263" s="24">
        <f t="shared" si="1"/>
        <v>86956.52173</v>
      </c>
      <c r="E263" s="25">
        <f t="shared" si="2"/>
        <v>-19.28421877</v>
      </c>
      <c r="F263" s="24">
        <f t="shared" si="3"/>
        <v>0.0002217685159</v>
      </c>
      <c r="G263" s="24">
        <f t="shared" si="4"/>
        <v>0</v>
      </c>
      <c r="H263" s="26">
        <f t="shared" si="5"/>
        <v>0</v>
      </c>
      <c r="I263" s="24">
        <f t="shared" si="6"/>
        <v>0</v>
      </c>
      <c r="J263" s="24">
        <f t="shared" si="7"/>
        <v>0</v>
      </c>
      <c r="K263" s="24"/>
      <c r="L263" s="24">
        <f t="shared" si="8"/>
        <v>563.5433604</v>
      </c>
      <c r="M263" s="30">
        <f t="shared" si="9"/>
        <v>436.0023434</v>
      </c>
      <c r="N263" s="27">
        <f t="shared" si="10"/>
        <v>127.541017</v>
      </c>
      <c r="O263" s="24"/>
      <c r="P263" s="24"/>
      <c r="Q263" s="24"/>
      <c r="R263" s="26"/>
      <c r="S263" s="14">
        <f t="shared" si="13"/>
        <v>117.1204227</v>
      </c>
      <c r="U263" s="21"/>
      <c r="V263" s="21"/>
    </row>
    <row r="264">
      <c r="A264" s="11">
        <v>252.0</v>
      </c>
      <c r="B264" s="11">
        <v>1.42049130434782E9</v>
      </c>
      <c r="C264" s="2">
        <v>-101.3337784</v>
      </c>
      <c r="D264" s="24">
        <f t="shared" si="1"/>
        <v>91304.34782</v>
      </c>
      <c r="E264" s="25">
        <f t="shared" si="2"/>
        <v>-20.20251491</v>
      </c>
      <c r="F264" s="24">
        <f t="shared" si="3"/>
        <v>0.0002212656395</v>
      </c>
      <c r="G264" s="24">
        <f t="shared" si="4"/>
        <v>0</v>
      </c>
      <c r="H264" s="26">
        <f t="shared" si="5"/>
        <v>0</v>
      </c>
      <c r="I264" s="24">
        <f t="shared" si="6"/>
        <v>0</v>
      </c>
      <c r="J264" s="24">
        <f t="shared" si="7"/>
        <v>0</v>
      </c>
      <c r="K264" s="24"/>
      <c r="L264" s="24">
        <f t="shared" si="8"/>
        <v>559.407555</v>
      </c>
      <c r="M264" s="30">
        <f t="shared" si="9"/>
        <v>435.903976</v>
      </c>
      <c r="N264" s="27">
        <f t="shared" si="10"/>
        <v>123.503579</v>
      </c>
      <c r="O264" s="24"/>
      <c r="P264" s="24"/>
      <c r="Q264" s="24"/>
      <c r="R264" s="26"/>
      <c r="S264" s="14">
        <f t="shared" si="13"/>
        <v>113.412859</v>
      </c>
      <c r="U264" s="21"/>
      <c r="V264" s="21"/>
    </row>
    <row r="265">
      <c r="A265" s="11">
        <v>253.0</v>
      </c>
      <c r="B265" s="11">
        <v>1.42049565217391E9</v>
      </c>
      <c r="C265" s="2">
        <v>-101.2316589</v>
      </c>
      <c r="D265" s="24">
        <f t="shared" si="1"/>
        <v>95652.17391</v>
      </c>
      <c r="E265" s="25">
        <f t="shared" si="2"/>
        <v>-21.12081104</v>
      </c>
      <c r="F265" s="24">
        <f t="shared" si="3"/>
        <v>0.0002208084791</v>
      </c>
      <c r="G265" s="24">
        <f t="shared" si="4"/>
        <v>0</v>
      </c>
      <c r="H265" s="26">
        <f t="shared" si="5"/>
        <v>0</v>
      </c>
      <c r="I265" s="24">
        <f t="shared" si="6"/>
        <v>0</v>
      </c>
      <c r="J265" s="24">
        <f t="shared" si="7"/>
        <v>0</v>
      </c>
      <c r="K265" s="24"/>
      <c r="L265" s="24">
        <f t="shared" si="8"/>
        <v>572.7172675</v>
      </c>
      <c r="M265" s="30">
        <f t="shared" si="9"/>
        <v>435.8055454</v>
      </c>
      <c r="N265" s="27">
        <f t="shared" si="10"/>
        <v>136.9117222</v>
      </c>
      <c r="O265" s="24"/>
      <c r="P265" s="24"/>
      <c r="Q265" s="24"/>
      <c r="R265" s="26"/>
      <c r="S265" s="14">
        <f t="shared" si="13"/>
        <v>125.7255047</v>
      </c>
      <c r="U265" s="21"/>
      <c r="V265" s="21"/>
    </row>
    <row r="266">
      <c r="A266" s="11">
        <v>254.0</v>
      </c>
      <c r="B266" s="11">
        <v>1.4205E9</v>
      </c>
      <c r="C266" s="2">
        <v>-101.2296143</v>
      </c>
      <c r="D266" s="24">
        <f t="shared" si="1"/>
        <v>100000</v>
      </c>
      <c r="E266" s="25">
        <f t="shared" si="2"/>
        <v>-22.03910717</v>
      </c>
      <c r="F266" s="24">
        <f t="shared" si="3"/>
        <v>0.0002203910717</v>
      </c>
      <c r="G266" s="24">
        <f t="shared" si="4"/>
        <v>0</v>
      </c>
      <c r="H266" s="26">
        <f t="shared" si="5"/>
        <v>0</v>
      </c>
      <c r="I266" s="24">
        <f t="shared" si="6"/>
        <v>0</v>
      </c>
      <c r="J266" s="24">
        <f t="shared" si="7"/>
        <v>0</v>
      </c>
      <c r="K266" s="24"/>
      <c r="L266" s="24">
        <f t="shared" si="8"/>
        <v>572.9869586</v>
      </c>
      <c r="M266" s="30">
        <f t="shared" si="9"/>
        <v>435.7070523</v>
      </c>
      <c r="N266" s="27">
        <f t="shared" si="10"/>
        <v>137.2799063</v>
      </c>
      <c r="O266" s="24"/>
      <c r="P266" s="24"/>
      <c r="Q266" s="24"/>
      <c r="R266" s="26"/>
      <c r="S266" s="14">
        <f t="shared" si="13"/>
        <v>126.0636071</v>
      </c>
      <c r="U266" s="21"/>
      <c r="V266" s="21"/>
    </row>
    <row r="267">
      <c r="A267" s="11">
        <v>255.0</v>
      </c>
      <c r="B267" s="11">
        <v>1.42050434782608E9</v>
      </c>
      <c r="C267" s="2">
        <v>-101.1505356</v>
      </c>
      <c r="D267" s="24">
        <f t="shared" si="1"/>
        <v>104347.8261</v>
      </c>
      <c r="E267" s="25">
        <f t="shared" si="2"/>
        <v>-22.9574033</v>
      </c>
      <c r="F267" s="24">
        <f t="shared" si="3"/>
        <v>0.0002200084483</v>
      </c>
      <c r="G267" s="24">
        <f t="shared" si="4"/>
        <v>0</v>
      </c>
      <c r="H267" s="26">
        <f t="shared" si="5"/>
        <v>0</v>
      </c>
      <c r="I267" s="24">
        <f t="shared" si="6"/>
        <v>0</v>
      </c>
      <c r="J267" s="24">
        <f t="shared" si="7"/>
        <v>0</v>
      </c>
      <c r="K267" s="24"/>
      <c r="L267" s="24">
        <f t="shared" si="8"/>
        <v>583.515783</v>
      </c>
      <c r="M267" s="30">
        <f t="shared" si="9"/>
        <v>435.6084973</v>
      </c>
      <c r="N267" s="27">
        <f t="shared" si="10"/>
        <v>147.9072857</v>
      </c>
      <c r="O267" s="24"/>
      <c r="P267" s="24"/>
      <c r="Q267" s="24"/>
      <c r="R267" s="26"/>
      <c r="S267" s="14">
        <f t="shared" si="13"/>
        <v>135.8226885</v>
      </c>
      <c r="U267" s="21"/>
      <c r="V267" s="21"/>
    </row>
    <row r="268">
      <c r="A268" s="11">
        <v>256.0</v>
      </c>
      <c r="B268" s="11">
        <v>1.42050869565217E9</v>
      </c>
      <c r="C268" s="2">
        <v>-101.0856171</v>
      </c>
      <c r="D268" s="24">
        <f t="shared" si="1"/>
        <v>108695.6522</v>
      </c>
      <c r="E268" s="25">
        <f t="shared" si="2"/>
        <v>-23.87569944</v>
      </c>
      <c r="F268" s="24">
        <f t="shared" si="3"/>
        <v>0.0002196564348</v>
      </c>
      <c r="G268" s="24">
        <f t="shared" si="4"/>
        <v>0</v>
      </c>
      <c r="H268" s="26">
        <f t="shared" si="5"/>
        <v>0</v>
      </c>
      <c r="I268" s="24">
        <f t="shared" si="6"/>
        <v>0</v>
      </c>
      <c r="J268" s="24">
        <f t="shared" si="7"/>
        <v>0</v>
      </c>
      <c r="K268" s="24"/>
      <c r="L268" s="24">
        <f t="shared" si="8"/>
        <v>592.3037161</v>
      </c>
      <c r="M268" s="30">
        <f t="shared" si="9"/>
        <v>435.5098809</v>
      </c>
      <c r="N268" s="27">
        <f t="shared" si="10"/>
        <v>156.7938351</v>
      </c>
      <c r="O268" s="24"/>
      <c r="P268" s="24"/>
      <c r="Q268" s="24"/>
      <c r="R268" s="26"/>
      <c r="S268" s="14">
        <f t="shared" si="13"/>
        <v>143.9831721</v>
      </c>
      <c r="U268" s="21"/>
      <c r="V268" s="21"/>
    </row>
    <row r="269">
      <c r="A269" s="11">
        <v>257.0</v>
      </c>
      <c r="B269" s="11">
        <v>1.42051304347826E9</v>
      </c>
      <c r="C269" s="2">
        <v>-100.9974594</v>
      </c>
      <c r="D269" s="24">
        <f t="shared" si="1"/>
        <v>113043.4783</v>
      </c>
      <c r="E269" s="25">
        <f t="shared" si="2"/>
        <v>-24.79399557</v>
      </c>
      <c r="F269" s="24">
        <f t="shared" si="3"/>
        <v>0.0002193314992</v>
      </c>
      <c r="G269" s="24">
        <f t="shared" si="4"/>
        <v>0</v>
      </c>
      <c r="H269" s="26">
        <f t="shared" si="5"/>
        <v>0</v>
      </c>
      <c r="I269" s="24">
        <f t="shared" si="6"/>
        <v>0</v>
      </c>
      <c r="J269" s="24">
        <f t="shared" si="7"/>
        <v>0</v>
      </c>
      <c r="K269" s="24"/>
      <c r="L269" s="24">
        <f t="shared" si="8"/>
        <v>604.4497849</v>
      </c>
      <c r="M269" s="30">
        <f t="shared" si="9"/>
        <v>435.4112039</v>
      </c>
      <c r="N269" s="27">
        <f t="shared" si="10"/>
        <v>169.038581</v>
      </c>
      <c r="O269" s="24"/>
      <c r="P269" s="24"/>
      <c r="Q269" s="24"/>
      <c r="R269" s="26"/>
      <c r="S269" s="14">
        <f t="shared" si="13"/>
        <v>155.2274752</v>
      </c>
      <c r="U269" s="21"/>
      <c r="V269" s="21"/>
    </row>
    <row r="270">
      <c r="A270" s="11">
        <v>258.0</v>
      </c>
      <c r="B270" s="11">
        <v>1.42051739130434E9</v>
      </c>
      <c r="C270" s="2">
        <v>-100.9745331</v>
      </c>
      <c r="D270" s="24">
        <f t="shared" si="1"/>
        <v>117391.3043</v>
      </c>
      <c r="E270" s="25">
        <f t="shared" si="2"/>
        <v>-25.7122917</v>
      </c>
      <c r="F270" s="24">
        <f t="shared" si="3"/>
        <v>0.000219030633</v>
      </c>
      <c r="G270" s="24">
        <f t="shared" si="4"/>
        <v>0</v>
      </c>
      <c r="H270" s="26">
        <f t="shared" si="5"/>
        <v>0</v>
      </c>
      <c r="I270" s="24">
        <f t="shared" si="6"/>
        <v>0</v>
      </c>
      <c r="J270" s="24">
        <f t="shared" si="7"/>
        <v>0</v>
      </c>
      <c r="K270" s="24"/>
      <c r="L270" s="24">
        <f t="shared" si="8"/>
        <v>607.6490977</v>
      </c>
      <c r="M270" s="30">
        <f t="shared" si="9"/>
        <v>435.3124668</v>
      </c>
      <c r="N270" s="27">
        <f t="shared" si="10"/>
        <v>172.336631</v>
      </c>
      <c r="O270" s="24"/>
      <c r="P270" s="24"/>
      <c r="Q270" s="24"/>
      <c r="R270" s="26"/>
      <c r="S270" s="14">
        <f t="shared" si="13"/>
        <v>158.2560618</v>
      </c>
      <c r="U270" s="21"/>
      <c r="V270" s="21"/>
    </row>
    <row r="271">
      <c r="A271" s="11">
        <v>259.0</v>
      </c>
      <c r="B271" s="11">
        <v>1.42052173913043E9</v>
      </c>
      <c r="C271" s="2">
        <v>-100.8820572</v>
      </c>
      <c r="D271" s="24">
        <f t="shared" si="1"/>
        <v>121739.1304</v>
      </c>
      <c r="E271" s="25">
        <f t="shared" si="2"/>
        <v>-26.63058783</v>
      </c>
      <c r="F271" s="24">
        <f t="shared" si="3"/>
        <v>0.0002187512572</v>
      </c>
      <c r="G271" s="24">
        <f t="shared" si="4"/>
        <v>0</v>
      </c>
      <c r="H271" s="26">
        <f t="shared" si="5"/>
        <v>0</v>
      </c>
      <c r="I271" s="24">
        <f t="shared" si="6"/>
        <v>0</v>
      </c>
      <c r="J271" s="24">
        <f t="shared" si="7"/>
        <v>0</v>
      </c>
      <c r="K271" s="24"/>
      <c r="L271" s="24">
        <f t="shared" si="8"/>
        <v>620.7267297</v>
      </c>
      <c r="M271" s="30">
        <f t="shared" si="9"/>
        <v>435.2136702</v>
      </c>
      <c r="N271" s="27">
        <f t="shared" si="10"/>
        <v>185.5130596</v>
      </c>
      <c r="O271" s="24"/>
      <c r="P271" s="24"/>
      <c r="Q271" s="24"/>
      <c r="R271" s="26"/>
      <c r="S271" s="14">
        <f t="shared" si="13"/>
        <v>170.3559248</v>
      </c>
      <c r="U271" s="21"/>
      <c r="V271" s="21"/>
    </row>
    <row r="272">
      <c r="A272" s="11">
        <v>260.0</v>
      </c>
      <c r="B272" s="11">
        <v>1.42052608695652E9</v>
      </c>
      <c r="C272" s="2">
        <v>-100.8603592</v>
      </c>
      <c r="D272" s="24">
        <f t="shared" si="1"/>
        <v>126086.9565</v>
      </c>
      <c r="E272" s="25">
        <f t="shared" si="2"/>
        <v>-27.54888396</v>
      </c>
      <c r="F272" s="24">
        <f t="shared" si="3"/>
        <v>0.0002184911487</v>
      </c>
      <c r="G272" s="24">
        <f t="shared" si="4"/>
        <v>0</v>
      </c>
      <c r="H272" s="26">
        <f t="shared" si="5"/>
        <v>0</v>
      </c>
      <c r="I272" s="24">
        <f t="shared" si="6"/>
        <v>0</v>
      </c>
      <c r="J272" s="24">
        <f t="shared" si="7"/>
        <v>0</v>
      </c>
      <c r="K272" s="24"/>
      <c r="L272" s="24">
        <f t="shared" si="8"/>
        <v>623.8357331</v>
      </c>
      <c r="M272" s="30">
        <f t="shared" si="9"/>
        <v>435.1148147</v>
      </c>
      <c r="N272" s="27">
        <f t="shared" si="10"/>
        <v>188.7209184</v>
      </c>
      <c r="O272" s="24"/>
      <c r="P272" s="24"/>
      <c r="Q272" s="24"/>
      <c r="R272" s="26"/>
      <c r="S272" s="14">
        <f t="shared" si="13"/>
        <v>173.3016896</v>
      </c>
      <c r="U272" s="21"/>
      <c r="V272" s="21"/>
    </row>
    <row r="273">
      <c r="A273" s="11">
        <v>261.0</v>
      </c>
      <c r="B273" s="11">
        <v>1.4205304347826E9</v>
      </c>
      <c r="C273" s="2">
        <v>-100.9396744</v>
      </c>
      <c r="D273" s="24">
        <f t="shared" si="1"/>
        <v>130434.7826</v>
      </c>
      <c r="E273" s="25">
        <f t="shared" si="2"/>
        <v>-28.4671801</v>
      </c>
      <c r="F273" s="24">
        <f t="shared" si="3"/>
        <v>0.0002182483807</v>
      </c>
      <c r="G273" s="24">
        <f t="shared" si="4"/>
        <v>0</v>
      </c>
      <c r="H273" s="26">
        <f t="shared" si="5"/>
        <v>0</v>
      </c>
      <c r="I273" s="24">
        <f t="shared" si="6"/>
        <v>0</v>
      </c>
      <c r="J273" s="24">
        <f t="shared" si="7"/>
        <v>0</v>
      </c>
      <c r="K273" s="24"/>
      <c r="L273" s="24">
        <f t="shared" si="8"/>
        <v>612.546027</v>
      </c>
      <c r="M273" s="30">
        <f t="shared" si="9"/>
        <v>435.0159009</v>
      </c>
      <c r="N273" s="27">
        <f t="shared" si="10"/>
        <v>177.5301261</v>
      </c>
      <c r="O273" s="24"/>
      <c r="P273" s="24"/>
      <c r="Q273" s="24"/>
      <c r="R273" s="26"/>
      <c r="S273" s="14">
        <f t="shared" si="13"/>
        <v>163.0252283</v>
      </c>
      <c r="U273" s="21"/>
      <c r="V273" s="21"/>
    </row>
    <row r="274">
      <c r="A274" s="11">
        <v>262.0</v>
      </c>
      <c r="B274" s="11">
        <v>1.42053478260869E9</v>
      </c>
      <c r="C274" s="2">
        <v>-100.9034042</v>
      </c>
      <c r="D274" s="24">
        <f t="shared" si="1"/>
        <v>134782.6087</v>
      </c>
      <c r="E274" s="25">
        <f t="shared" si="2"/>
        <v>-29.38547623</v>
      </c>
      <c r="F274" s="24">
        <f t="shared" si="3"/>
        <v>0.0002180212752</v>
      </c>
      <c r="G274" s="24">
        <f t="shared" si="4"/>
        <v>0</v>
      </c>
      <c r="H274" s="26">
        <f t="shared" si="5"/>
        <v>0</v>
      </c>
      <c r="I274" s="24">
        <f t="shared" si="6"/>
        <v>0</v>
      </c>
      <c r="J274" s="24">
        <f t="shared" si="7"/>
        <v>0</v>
      </c>
      <c r="K274" s="24"/>
      <c r="L274" s="24">
        <f t="shared" si="8"/>
        <v>617.6831403</v>
      </c>
      <c r="M274" s="30">
        <f t="shared" si="9"/>
        <v>434.9169295</v>
      </c>
      <c r="N274" s="27">
        <f t="shared" si="10"/>
        <v>182.7662108</v>
      </c>
      <c r="O274" s="24"/>
      <c r="P274" s="24"/>
      <c r="Q274" s="24"/>
      <c r="R274" s="26"/>
      <c r="S274" s="14">
        <f t="shared" si="13"/>
        <v>167.8335046</v>
      </c>
      <c r="U274" s="21"/>
      <c r="V274" s="21"/>
    </row>
    <row r="275">
      <c r="A275" s="11">
        <v>263.0</v>
      </c>
      <c r="B275" s="11">
        <v>1.42053913043478E9</v>
      </c>
      <c r="C275" s="2">
        <v>-100.9813309</v>
      </c>
      <c r="D275" s="24">
        <f t="shared" si="1"/>
        <v>139130.4348</v>
      </c>
      <c r="E275" s="25">
        <f t="shared" si="2"/>
        <v>-30.30377236</v>
      </c>
      <c r="F275" s="24">
        <f t="shared" si="3"/>
        <v>0.0002178083638</v>
      </c>
      <c r="G275" s="24">
        <f t="shared" si="4"/>
        <v>0</v>
      </c>
      <c r="H275" s="26">
        <f t="shared" si="5"/>
        <v>0</v>
      </c>
      <c r="I275" s="24">
        <f t="shared" si="6"/>
        <v>0</v>
      </c>
      <c r="J275" s="24">
        <f t="shared" si="7"/>
        <v>0</v>
      </c>
      <c r="K275" s="24"/>
      <c r="L275" s="24">
        <f t="shared" si="8"/>
        <v>606.6987182</v>
      </c>
      <c r="M275" s="30">
        <f t="shared" si="9"/>
        <v>434.817901</v>
      </c>
      <c r="N275" s="27">
        <f t="shared" si="10"/>
        <v>171.8808172</v>
      </c>
      <c r="O275" s="24"/>
      <c r="P275" s="24"/>
      <c r="Q275" s="24"/>
      <c r="R275" s="26"/>
      <c r="S275" s="14">
        <f t="shared" si="13"/>
        <v>157.8374893</v>
      </c>
      <c r="U275" s="21"/>
      <c r="V275" s="21"/>
    </row>
    <row r="276">
      <c r="A276" s="11">
        <v>264.0</v>
      </c>
      <c r="B276" s="11">
        <v>1.42054347826087E9</v>
      </c>
      <c r="C276" s="2">
        <v>-101.10923</v>
      </c>
      <c r="D276" s="24">
        <f t="shared" si="1"/>
        <v>143478.2609</v>
      </c>
      <c r="E276" s="25">
        <f t="shared" si="2"/>
        <v>-31.22206849</v>
      </c>
      <c r="F276" s="24">
        <f t="shared" si="3"/>
        <v>0.0002176083562</v>
      </c>
      <c r="G276" s="24">
        <f t="shared" si="4"/>
        <v>0</v>
      </c>
      <c r="H276" s="26">
        <f t="shared" si="5"/>
        <v>0</v>
      </c>
      <c r="I276" s="24">
        <f t="shared" si="6"/>
        <v>0</v>
      </c>
      <c r="J276" s="24">
        <f t="shared" si="7"/>
        <v>0</v>
      </c>
      <c r="K276" s="24"/>
      <c r="L276" s="24">
        <f t="shared" si="8"/>
        <v>589.0920575</v>
      </c>
      <c r="M276" s="30">
        <f t="shared" si="9"/>
        <v>434.7188161</v>
      </c>
      <c r="N276" s="27">
        <f t="shared" si="10"/>
        <v>154.3732414</v>
      </c>
      <c r="O276" s="24"/>
      <c r="P276" s="24"/>
      <c r="Q276" s="24"/>
      <c r="R276" s="26"/>
      <c r="S276" s="14">
        <f t="shared" si="13"/>
        <v>141.7603506</v>
      </c>
      <c r="U276" s="21"/>
      <c r="V276" s="21"/>
    </row>
    <row r="277">
      <c r="A277" s="11">
        <v>265.0</v>
      </c>
      <c r="B277" s="11">
        <v>1.42054782608695E9</v>
      </c>
      <c r="C277" s="2">
        <v>-101.1836395</v>
      </c>
      <c r="D277" s="24">
        <f t="shared" si="1"/>
        <v>147826.087</v>
      </c>
      <c r="E277" s="25">
        <f t="shared" si="2"/>
        <v>-32.14036462</v>
      </c>
      <c r="F277" s="24">
        <f t="shared" si="3"/>
        <v>0.0002174201136</v>
      </c>
      <c r="G277" s="24">
        <f t="shared" si="4"/>
        <v>0</v>
      </c>
      <c r="H277" s="26">
        <f t="shared" si="5"/>
        <v>0</v>
      </c>
      <c r="I277" s="24">
        <f t="shared" si="6"/>
        <v>0</v>
      </c>
      <c r="J277" s="24">
        <f t="shared" si="7"/>
        <v>0</v>
      </c>
      <c r="K277" s="24"/>
      <c r="L277" s="24">
        <f t="shared" si="8"/>
        <v>579.0848691</v>
      </c>
      <c r="M277" s="30">
        <f t="shared" si="9"/>
        <v>434.6196753</v>
      </c>
      <c r="N277" s="27">
        <f t="shared" si="10"/>
        <v>144.4651937</v>
      </c>
      <c r="O277" s="24"/>
      <c r="P277" s="24"/>
      <c r="Q277" s="24"/>
      <c r="R277" s="26"/>
      <c r="S277" s="14">
        <f t="shared" si="13"/>
        <v>132.6618287</v>
      </c>
      <c r="U277" s="21"/>
      <c r="V277" s="21"/>
    </row>
    <row r="278">
      <c r="A278" s="11">
        <v>266.0</v>
      </c>
      <c r="B278" s="11">
        <v>1.42055217391304E9</v>
      </c>
      <c r="C278" s="2">
        <v>-101.3453598</v>
      </c>
      <c r="D278" s="24">
        <f t="shared" si="1"/>
        <v>152173.913</v>
      </c>
      <c r="E278" s="25">
        <f t="shared" si="2"/>
        <v>-33.05866076</v>
      </c>
      <c r="F278" s="24">
        <f t="shared" si="3"/>
        <v>0.0002172426278</v>
      </c>
      <c r="G278" s="24">
        <f t="shared" si="4"/>
        <v>0</v>
      </c>
      <c r="H278" s="26">
        <f t="shared" si="5"/>
        <v>0</v>
      </c>
      <c r="I278" s="24">
        <f t="shared" si="6"/>
        <v>0</v>
      </c>
      <c r="J278" s="24">
        <f t="shared" si="7"/>
        <v>0</v>
      </c>
      <c r="K278" s="24"/>
      <c r="L278" s="24">
        <f t="shared" si="8"/>
        <v>557.9177613</v>
      </c>
      <c r="M278" s="30">
        <f t="shared" si="9"/>
        <v>434.5204794</v>
      </c>
      <c r="N278" s="27">
        <f t="shared" si="10"/>
        <v>123.3972819</v>
      </c>
      <c r="O278" s="24"/>
      <c r="P278" s="24"/>
      <c r="Q278" s="24"/>
      <c r="R278" s="26"/>
      <c r="S278" s="14">
        <f t="shared" si="13"/>
        <v>113.3152465</v>
      </c>
      <c r="U278" s="21"/>
      <c r="V278" s="21"/>
    </row>
    <row r="279">
      <c r="A279" s="11">
        <v>267.0</v>
      </c>
      <c r="B279" s="11">
        <v>1.42055652173913E9</v>
      </c>
      <c r="C279" s="2">
        <v>-101.4313278</v>
      </c>
      <c r="D279" s="24">
        <f t="shared" si="1"/>
        <v>156521.7391</v>
      </c>
      <c r="E279" s="25">
        <f t="shared" si="2"/>
        <v>-33.97695689</v>
      </c>
      <c r="F279" s="24">
        <f t="shared" si="3"/>
        <v>0.0002170750023</v>
      </c>
      <c r="G279" s="24">
        <f t="shared" si="4"/>
        <v>0</v>
      </c>
      <c r="H279" s="26">
        <f t="shared" si="5"/>
        <v>0</v>
      </c>
      <c r="I279" s="24">
        <f t="shared" si="6"/>
        <v>0</v>
      </c>
      <c r="J279" s="24">
        <f t="shared" si="7"/>
        <v>0</v>
      </c>
      <c r="K279" s="24"/>
      <c r="L279" s="24">
        <f t="shared" si="8"/>
        <v>546.982444</v>
      </c>
      <c r="M279" s="30">
        <f t="shared" si="9"/>
        <v>434.4212287</v>
      </c>
      <c r="N279" s="27">
        <f t="shared" si="10"/>
        <v>112.5612152</v>
      </c>
      <c r="O279" s="24"/>
      <c r="P279" s="24"/>
      <c r="Q279" s="24"/>
      <c r="R279" s="26"/>
      <c r="S279" s="14">
        <f t="shared" si="13"/>
        <v>103.3645286</v>
      </c>
      <c r="U279" s="21"/>
      <c r="V279" s="21"/>
    </row>
    <row r="280">
      <c r="A280" s="11">
        <v>268.0</v>
      </c>
      <c r="B280" s="11">
        <v>1.42056086956521E9</v>
      </c>
      <c r="C280" s="2">
        <v>-101.5445175</v>
      </c>
      <c r="D280" s="24">
        <f t="shared" si="1"/>
        <v>160869.5652</v>
      </c>
      <c r="E280" s="25">
        <f t="shared" si="2"/>
        <v>-34.89525302</v>
      </c>
      <c r="F280" s="24">
        <f t="shared" si="3"/>
        <v>0.0002169164377</v>
      </c>
      <c r="G280" s="24">
        <f t="shared" si="4"/>
        <v>0</v>
      </c>
      <c r="H280" s="26">
        <f t="shared" si="5"/>
        <v>0</v>
      </c>
      <c r="I280" s="24">
        <f t="shared" si="6"/>
        <v>0</v>
      </c>
      <c r="J280" s="24">
        <f t="shared" si="7"/>
        <v>0</v>
      </c>
      <c r="K280" s="24"/>
      <c r="L280" s="24">
        <f t="shared" si="8"/>
        <v>532.9106719</v>
      </c>
      <c r="M280" s="30">
        <f t="shared" si="9"/>
        <v>434.3219241</v>
      </c>
      <c r="N280" s="27">
        <f t="shared" si="10"/>
        <v>98.5887478</v>
      </c>
      <c r="O280" s="24"/>
      <c r="P280" s="24"/>
      <c r="Q280" s="24"/>
      <c r="R280" s="26"/>
      <c r="S280" s="14">
        <f t="shared" si="13"/>
        <v>90.53366584</v>
      </c>
      <c r="U280" s="21"/>
      <c r="V280" s="21"/>
    </row>
    <row r="281">
      <c r="A281" s="11">
        <v>269.0</v>
      </c>
      <c r="B281" s="11">
        <v>1.4205652173913E9</v>
      </c>
      <c r="C281" s="2">
        <v>-101.6787643</v>
      </c>
      <c r="D281" s="24">
        <f t="shared" si="1"/>
        <v>165217.3913</v>
      </c>
      <c r="E281" s="25">
        <f t="shared" si="2"/>
        <v>-35.81354915</v>
      </c>
      <c r="F281" s="24">
        <f t="shared" si="3"/>
        <v>0.0002167662186</v>
      </c>
      <c r="G281" s="24">
        <f t="shared" si="4"/>
        <v>0</v>
      </c>
      <c r="H281" s="26">
        <f t="shared" si="5"/>
        <v>0</v>
      </c>
      <c r="I281" s="24">
        <f t="shared" si="6"/>
        <v>0</v>
      </c>
      <c r="J281" s="24">
        <f t="shared" si="7"/>
        <v>0</v>
      </c>
      <c r="K281" s="24"/>
      <c r="L281" s="24">
        <f t="shared" si="8"/>
        <v>516.6896206</v>
      </c>
      <c r="M281" s="30">
        <f t="shared" si="9"/>
        <v>434.2225661</v>
      </c>
      <c r="N281" s="27">
        <f t="shared" si="10"/>
        <v>82.46705449</v>
      </c>
      <c r="O281" s="24"/>
      <c r="P281" s="24"/>
      <c r="Q281" s="24"/>
      <c r="R281" s="26"/>
      <c r="S281" s="14">
        <f t="shared" si="13"/>
        <v>75.72917704</v>
      </c>
      <c r="U281" s="21"/>
      <c r="V281" s="21"/>
    </row>
    <row r="282">
      <c r="A282" s="11">
        <v>270.0</v>
      </c>
      <c r="B282" s="11">
        <v>1.42056956521739E9</v>
      </c>
      <c r="C282" s="2">
        <v>-101.7554092</v>
      </c>
      <c r="D282" s="24">
        <f t="shared" si="1"/>
        <v>169565.2174</v>
      </c>
      <c r="E282" s="25">
        <f t="shared" si="2"/>
        <v>-36.73184528</v>
      </c>
      <c r="F282" s="24">
        <f t="shared" si="3"/>
        <v>0.000216623703</v>
      </c>
      <c r="G282" s="24">
        <f t="shared" si="4"/>
        <v>0</v>
      </c>
      <c r="H282" s="26">
        <f t="shared" si="5"/>
        <v>0</v>
      </c>
      <c r="I282" s="24">
        <f t="shared" si="6"/>
        <v>0</v>
      </c>
      <c r="J282" s="24">
        <f t="shared" si="7"/>
        <v>0</v>
      </c>
      <c r="K282" s="24"/>
      <c r="L282" s="24">
        <f t="shared" si="8"/>
        <v>507.6510016</v>
      </c>
      <c r="M282" s="30">
        <f t="shared" si="9"/>
        <v>434.1231552</v>
      </c>
      <c r="N282" s="27">
        <f t="shared" si="10"/>
        <v>73.52784636</v>
      </c>
      <c r="O282" s="24"/>
      <c r="P282" s="24"/>
      <c r="Q282" s="24"/>
      <c r="R282" s="26"/>
      <c r="S282" s="14">
        <f t="shared" si="13"/>
        <v>67.52033696</v>
      </c>
      <c r="U282" s="21"/>
      <c r="V282" s="21"/>
    </row>
    <row r="283">
      <c r="A283" s="11">
        <v>271.0</v>
      </c>
      <c r="B283" s="11">
        <v>1.42057391304347E9</v>
      </c>
      <c r="C283" s="2">
        <v>-101.9044495</v>
      </c>
      <c r="D283" s="24">
        <f t="shared" si="1"/>
        <v>173913.0435</v>
      </c>
      <c r="E283" s="25">
        <f t="shared" si="2"/>
        <v>-37.65014142</v>
      </c>
      <c r="F283" s="24">
        <f t="shared" si="3"/>
        <v>0.0002164883132</v>
      </c>
      <c r="G283" s="24">
        <f t="shared" si="4"/>
        <v>0</v>
      </c>
      <c r="H283" s="26">
        <f t="shared" si="5"/>
        <v>0</v>
      </c>
      <c r="I283" s="24">
        <f t="shared" si="6"/>
        <v>0</v>
      </c>
      <c r="J283" s="24">
        <f t="shared" si="7"/>
        <v>0</v>
      </c>
      <c r="K283" s="24"/>
      <c r="L283" s="24">
        <f t="shared" si="8"/>
        <v>490.5250801</v>
      </c>
      <c r="M283" s="30">
        <f t="shared" si="9"/>
        <v>434.0236922</v>
      </c>
      <c r="N283" s="27">
        <f t="shared" si="10"/>
        <v>56.50138791</v>
      </c>
      <c r="O283" s="24"/>
      <c r="P283" s="24"/>
      <c r="Q283" s="24"/>
      <c r="R283" s="26"/>
      <c r="S283" s="14">
        <f t="shared" si="13"/>
        <v>51.88500602</v>
      </c>
      <c r="U283" s="21"/>
      <c r="V283" s="21"/>
    </row>
    <row r="284">
      <c r="A284" s="11">
        <v>272.0</v>
      </c>
      <c r="B284" s="11">
        <v>1.42057826086956E9</v>
      </c>
      <c r="C284" s="2">
        <v>-101.9034271</v>
      </c>
      <c r="D284" s="24">
        <f t="shared" si="1"/>
        <v>178260.8696</v>
      </c>
      <c r="E284" s="25">
        <f t="shared" si="2"/>
        <v>-38.56843755</v>
      </c>
      <c r="F284" s="24">
        <f t="shared" si="3"/>
        <v>0.0002163595277</v>
      </c>
      <c r="G284" s="24">
        <f t="shared" si="4"/>
        <v>0</v>
      </c>
      <c r="H284" s="26">
        <f t="shared" si="5"/>
        <v>0</v>
      </c>
      <c r="I284" s="24">
        <f t="shared" si="6"/>
        <v>0</v>
      </c>
      <c r="J284" s="24">
        <f t="shared" si="7"/>
        <v>0</v>
      </c>
      <c r="K284" s="24"/>
      <c r="L284" s="24">
        <f t="shared" si="8"/>
        <v>490.6405713</v>
      </c>
      <c r="M284" s="30">
        <f t="shared" si="9"/>
        <v>433.9241776</v>
      </c>
      <c r="N284" s="27">
        <f t="shared" si="10"/>
        <v>56.71639372</v>
      </c>
      <c r="O284" s="24"/>
      <c r="P284" s="24"/>
      <c r="Q284" s="24"/>
      <c r="R284" s="26"/>
      <c r="S284" s="14">
        <f t="shared" si="13"/>
        <v>52.0824449</v>
      </c>
      <c r="U284" s="21"/>
      <c r="V284" s="21"/>
    </row>
    <row r="285">
      <c r="A285" s="11">
        <v>273.0</v>
      </c>
      <c r="B285" s="11">
        <v>1.42058260869565E9</v>
      </c>
      <c r="C285" s="2">
        <v>-102.0671539</v>
      </c>
      <c r="D285" s="24">
        <f t="shared" si="1"/>
        <v>182608.6957</v>
      </c>
      <c r="E285" s="25">
        <f t="shared" si="2"/>
        <v>-39.48673368</v>
      </c>
      <c r="F285" s="24">
        <f t="shared" si="3"/>
        <v>0.0002162368749</v>
      </c>
      <c r="G285" s="24">
        <f t="shared" si="4"/>
        <v>0</v>
      </c>
      <c r="H285" s="26">
        <f t="shared" si="5"/>
        <v>0</v>
      </c>
      <c r="I285" s="24">
        <f t="shared" si="6"/>
        <v>0</v>
      </c>
      <c r="J285" s="24">
        <f t="shared" si="7"/>
        <v>0</v>
      </c>
      <c r="K285" s="24"/>
      <c r="L285" s="24">
        <f t="shared" si="8"/>
        <v>472.4879939</v>
      </c>
      <c r="M285" s="30">
        <f t="shared" si="9"/>
        <v>433.824612</v>
      </c>
      <c r="N285" s="27">
        <f t="shared" si="10"/>
        <v>38.66338188</v>
      </c>
      <c r="O285" s="24"/>
      <c r="P285" s="24"/>
      <c r="Q285" s="24"/>
      <c r="R285" s="26"/>
      <c r="S285" s="14">
        <f t="shared" si="13"/>
        <v>35.50443406</v>
      </c>
      <c r="U285" s="21"/>
      <c r="V285" s="21"/>
    </row>
    <row r="286">
      <c r="A286" s="11">
        <v>274.0</v>
      </c>
      <c r="B286" s="11">
        <v>1.42058695652173E9</v>
      </c>
      <c r="C286" s="2">
        <v>-102.0969315</v>
      </c>
      <c r="D286" s="24">
        <f t="shared" si="1"/>
        <v>186956.5217</v>
      </c>
      <c r="E286" s="25">
        <f t="shared" si="2"/>
        <v>-40.40502981</v>
      </c>
      <c r="F286" s="24">
        <f t="shared" si="3"/>
        <v>0.0002161199269</v>
      </c>
      <c r="G286" s="24">
        <f t="shared" si="4"/>
        <v>0</v>
      </c>
      <c r="H286" s="26">
        <f t="shared" si="5"/>
        <v>0</v>
      </c>
      <c r="I286" s="24">
        <f t="shared" si="6"/>
        <v>0</v>
      </c>
      <c r="J286" s="24">
        <f t="shared" si="7"/>
        <v>0</v>
      </c>
      <c r="K286" s="24"/>
      <c r="L286" s="24">
        <f t="shared" si="8"/>
        <v>469.2594393</v>
      </c>
      <c r="M286" s="30">
        <f t="shared" si="9"/>
        <v>433.724996</v>
      </c>
      <c r="N286" s="27">
        <f t="shared" si="10"/>
        <v>35.5344433</v>
      </c>
      <c r="O286" s="24"/>
      <c r="P286" s="24"/>
      <c r="Q286" s="24"/>
      <c r="R286" s="26"/>
      <c r="S286" s="14">
        <f t="shared" si="13"/>
        <v>32.63114186</v>
      </c>
      <c r="U286" s="21"/>
      <c r="V286" s="21"/>
    </row>
    <row r="287">
      <c r="A287" s="11">
        <v>275.0</v>
      </c>
      <c r="B287" s="11">
        <v>1.42059130434782E9</v>
      </c>
      <c r="C287" s="2">
        <v>-102.1521683</v>
      </c>
      <c r="D287" s="24">
        <f t="shared" si="1"/>
        <v>191304.3478</v>
      </c>
      <c r="E287" s="25">
        <f t="shared" si="2"/>
        <v>-41.32332595</v>
      </c>
      <c r="F287" s="24">
        <f t="shared" si="3"/>
        <v>0.0002160082947</v>
      </c>
      <c r="G287" s="24">
        <f t="shared" si="4"/>
        <v>0</v>
      </c>
      <c r="H287" s="26">
        <f t="shared" si="5"/>
        <v>0</v>
      </c>
      <c r="I287" s="24">
        <f t="shared" si="6"/>
        <v>0</v>
      </c>
      <c r="J287" s="24">
        <f t="shared" si="7"/>
        <v>0</v>
      </c>
      <c r="K287" s="24"/>
      <c r="L287" s="24">
        <f t="shared" si="8"/>
        <v>463.3288438</v>
      </c>
      <c r="M287" s="30">
        <f t="shared" si="9"/>
        <v>433.6253303</v>
      </c>
      <c r="N287" s="27">
        <f t="shared" si="10"/>
        <v>29.70351351</v>
      </c>
      <c r="O287" s="24"/>
      <c r="P287" s="24"/>
      <c r="Q287" s="24"/>
      <c r="R287" s="26"/>
      <c r="S287" s="14">
        <f t="shared" si="13"/>
        <v>27.27662159</v>
      </c>
      <c r="U287" s="21"/>
      <c r="V287" s="21"/>
    </row>
    <row r="288">
      <c r="A288" s="11">
        <v>276.0</v>
      </c>
      <c r="B288" s="11">
        <v>1.42059565217391E9</v>
      </c>
      <c r="C288" s="2">
        <v>-102.1839752</v>
      </c>
      <c r="D288" s="24">
        <f t="shared" si="1"/>
        <v>195652.1739</v>
      </c>
      <c r="E288" s="25">
        <f t="shared" si="2"/>
        <v>-42.24162208</v>
      </c>
      <c r="F288" s="24">
        <f t="shared" si="3"/>
        <v>0.000215901624</v>
      </c>
      <c r="G288" s="24">
        <f t="shared" si="4"/>
        <v>0</v>
      </c>
      <c r="H288" s="26">
        <f t="shared" si="5"/>
        <v>0</v>
      </c>
      <c r="I288" s="24">
        <f t="shared" si="6"/>
        <v>0</v>
      </c>
      <c r="J288" s="24">
        <f t="shared" si="7"/>
        <v>0</v>
      </c>
      <c r="K288" s="24"/>
      <c r="L288" s="24">
        <f t="shared" si="8"/>
        <v>459.9479075</v>
      </c>
      <c r="M288" s="30">
        <f t="shared" si="9"/>
        <v>433.5256154</v>
      </c>
      <c r="N288" s="27">
        <f t="shared" si="10"/>
        <v>26.42229204</v>
      </c>
      <c r="O288" s="24"/>
      <c r="P288" s="24"/>
      <c r="Q288" s="24"/>
      <c r="R288" s="26"/>
      <c r="S288" s="14">
        <f t="shared" si="13"/>
        <v>24.26348854</v>
      </c>
      <c r="U288" s="21"/>
      <c r="V288" s="21"/>
    </row>
    <row r="289">
      <c r="A289" s="11">
        <v>277.0</v>
      </c>
      <c r="B289" s="11">
        <v>1.4206E9</v>
      </c>
      <c r="C289" s="2">
        <v>-102.2487869</v>
      </c>
      <c r="D289" s="24">
        <f t="shared" si="1"/>
        <v>200000</v>
      </c>
      <c r="E289" s="25">
        <f t="shared" si="2"/>
        <v>-43.15991821</v>
      </c>
      <c r="F289" s="24">
        <f t="shared" si="3"/>
        <v>0.000215799591</v>
      </c>
      <c r="G289" s="24">
        <f t="shared" si="4"/>
        <v>0</v>
      </c>
      <c r="H289" s="26">
        <f t="shared" si="5"/>
        <v>0</v>
      </c>
      <c r="I289" s="24">
        <f t="shared" si="6"/>
        <v>0</v>
      </c>
      <c r="J289" s="24">
        <f t="shared" si="7"/>
        <v>0</v>
      </c>
      <c r="K289" s="24"/>
      <c r="L289" s="24">
        <f t="shared" si="8"/>
        <v>453.1348635</v>
      </c>
      <c r="M289" s="30">
        <f t="shared" si="9"/>
        <v>433.425852</v>
      </c>
      <c r="N289" s="27">
        <f t="shared" si="10"/>
        <v>19.70901145</v>
      </c>
      <c r="O289" s="24"/>
      <c r="P289" s="24"/>
      <c r="Q289" s="24"/>
      <c r="R289" s="26"/>
      <c r="S289" s="14">
        <f t="shared" si="13"/>
        <v>18.098709</v>
      </c>
      <c r="U289" s="21"/>
      <c r="V289" s="21"/>
    </row>
    <row r="290">
      <c r="A290" s="11">
        <v>278.0</v>
      </c>
      <c r="B290" s="11">
        <v>1.42060434782608E9</v>
      </c>
      <c r="C290" s="2">
        <v>-102.2295303</v>
      </c>
      <c r="D290" s="24">
        <f t="shared" si="1"/>
        <v>204347.8261</v>
      </c>
      <c r="E290" s="25">
        <f t="shared" si="2"/>
        <v>-44.07821434</v>
      </c>
      <c r="F290" s="24">
        <f t="shared" si="3"/>
        <v>0.0002157019</v>
      </c>
      <c r="G290" s="24">
        <f t="shared" si="4"/>
        <v>0</v>
      </c>
      <c r="H290" s="26">
        <f t="shared" si="5"/>
        <v>0</v>
      </c>
      <c r="I290" s="24">
        <f t="shared" si="6"/>
        <v>0</v>
      </c>
      <c r="J290" s="24">
        <f t="shared" si="7"/>
        <v>0</v>
      </c>
      <c r="K290" s="24"/>
      <c r="L290" s="24">
        <f t="shared" si="8"/>
        <v>455.1485226</v>
      </c>
      <c r="M290" s="30">
        <f t="shared" si="9"/>
        <v>433.3260406</v>
      </c>
      <c r="N290" s="27">
        <f t="shared" si="10"/>
        <v>21.82248197</v>
      </c>
      <c r="O290" s="24"/>
      <c r="P290" s="24"/>
      <c r="Q290" s="24"/>
      <c r="R290" s="26"/>
      <c r="S290" s="14">
        <f t="shared" si="13"/>
        <v>20.0395008</v>
      </c>
      <c r="U290" s="21"/>
      <c r="V290" s="21"/>
    </row>
    <row r="291">
      <c r="A291" s="11">
        <v>279.0</v>
      </c>
      <c r="B291" s="11">
        <v>1.42060869565217E9</v>
      </c>
      <c r="C291" s="2">
        <v>-102.3365326</v>
      </c>
      <c r="D291" s="24">
        <f t="shared" si="1"/>
        <v>208695.6522</v>
      </c>
      <c r="E291" s="25">
        <f t="shared" si="2"/>
        <v>-44.99651047</v>
      </c>
      <c r="F291" s="24">
        <f t="shared" si="3"/>
        <v>0.0002156082794</v>
      </c>
      <c r="G291" s="24">
        <f t="shared" si="4"/>
        <v>0</v>
      </c>
      <c r="H291" s="26">
        <f t="shared" si="5"/>
        <v>0</v>
      </c>
      <c r="I291" s="24">
        <f t="shared" si="6"/>
        <v>0</v>
      </c>
      <c r="J291" s="24">
        <f t="shared" si="7"/>
        <v>0</v>
      </c>
      <c r="K291" s="24"/>
      <c r="L291" s="24">
        <f t="shared" si="8"/>
        <v>444.071506</v>
      </c>
      <c r="M291" s="30">
        <f t="shared" si="9"/>
        <v>433.226182</v>
      </c>
      <c r="N291" s="27">
        <f t="shared" si="10"/>
        <v>10.84532401</v>
      </c>
      <c r="O291" s="24"/>
      <c r="P291" s="24"/>
      <c r="Q291" s="24"/>
      <c r="R291" s="26"/>
      <c r="S291" s="14">
        <f t="shared" si="13"/>
        <v>9.959219074</v>
      </c>
      <c r="U291" s="21"/>
      <c r="V291" s="21"/>
    </row>
    <row r="292">
      <c r="A292" s="11">
        <v>280.0</v>
      </c>
      <c r="B292" s="11">
        <v>1.42061304347826E9</v>
      </c>
      <c r="C292" s="2">
        <v>-102.3093109</v>
      </c>
      <c r="D292" s="24">
        <f t="shared" si="1"/>
        <v>213043.4783</v>
      </c>
      <c r="E292" s="25">
        <f t="shared" si="2"/>
        <v>-45.91480661</v>
      </c>
      <c r="F292" s="24">
        <f t="shared" si="3"/>
        <v>0.00021551848</v>
      </c>
      <c r="G292" s="24">
        <f t="shared" si="4"/>
        <v>0</v>
      </c>
      <c r="H292" s="26">
        <f t="shared" si="5"/>
        <v>0</v>
      </c>
      <c r="I292" s="24">
        <f t="shared" si="6"/>
        <v>0</v>
      </c>
      <c r="J292" s="24">
        <f t="shared" si="7"/>
        <v>0</v>
      </c>
      <c r="K292" s="24"/>
      <c r="L292" s="24">
        <f t="shared" si="8"/>
        <v>446.8637003</v>
      </c>
      <c r="M292" s="30">
        <f t="shared" si="9"/>
        <v>433.1262765</v>
      </c>
      <c r="N292" s="27">
        <f t="shared" si="10"/>
        <v>13.73742372</v>
      </c>
      <c r="O292" s="24"/>
      <c r="P292" s="24"/>
      <c r="Q292" s="24"/>
      <c r="R292" s="26"/>
      <c r="S292" s="14">
        <f t="shared" si="13"/>
        <v>12.61502308</v>
      </c>
      <c r="U292" s="21"/>
      <c r="V292" s="21"/>
    </row>
    <row r="293">
      <c r="A293" s="11">
        <v>281.0</v>
      </c>
      <c r="B293" s="11">
        <v>1.42061739130434E9</v>
      </c>
      <c r="C293" s="2">
        <v>-102.3330765</v>
      </c>
      <c r="D293" s="24">
        <f t="shared" si="1"/>
        <v>217391.3043</v>
      </c>
      <c r="E293" s="25">
        <f t="shared" si="2"/>
        <v>-46.83310274</v>
      </c>
      <c r="F293" s="24">
        <f t="shared" si="3"/>
        <v>0.0002154322726</v>
      </c>
      <c r="G293" s="24">
        <f t="shared" si="4"/>
        <v>0</v>
      </c>
      <c r="H293" s="26">
        <f t="shared" si="5"/>
        <v>0</v>
      </c>
      <c r="I293" s="24">
        <f t="shared" si="6"/>
        <v>0</v>
      </c>
      <c r="J293" s="24">
        <f t="shared" si="7"/>
        <v>0</v>
      </c>
      <c r="K293" s="24"/>
      <c r="L293" s="24">
        <f t="shared" si="8"/>
        <v>444.4250371</v>
      </c>
      <c r="M293" s="30">
        <f t="shared" si="9"/>
        <v>433.026325</v>
      </c>
      <c r="N293" s="27">
        <f t="shared" si="10"/>
        <v>11.39871213</v>
      </c>
      <c r="O293" s="24"/>
      <c r="P293" s="24"/>
      <c r="Q293" s="24"/>
      <c r="R293" s="26"/>
      <c r="S293" s="14">
        <f t="shared" si="13"/>
        <v>10.46739327</v>
      </c>
      <c r="U293" s="21"/>
      <c r="V293" s="21"/>
    </row>
    <row r="294">
      <c r="A294" s="11">
        <v>282.0</v>
      </c>
      <c r="B294" s="11">
        <v>1.42062173913043E9</v>
      </c>
      <c r="C294" s="2">
        <v>-102.3447037</v>
      </c>
      <c r="D294" s="24">
        <f t="shared" si="1"/>
        <v>221739.1304</v>
      </c>
      <c r="E294" s="25">
        <f t="shared" si="2"/>
        <v>-47.75139887</v>
      </c>
      <c r="F294" s="24">
        <f t="shared" si="3"/>
        <v>0.0002153494459</v>
      </c>
      <c r="G294" s="24">
        <f t="shared" si="4"/>
        <v>0</v>
      </c>
      <c r="H294" s="26">
        <f t="shared" si="5"/>
        <v>0</v>
      </c>
      <c r="I294" s="24">
        <f t="shared" si="6"/>
        <v>0</v>
      </c>
      <c r="J294" s="24">
        <f t="shared" si="7"/>
        <v>0</v>
      </c>
      <c r="K294" s="24"/>
      <c r="L294" s="24">
        <f t="shared" si="8"/>
        <v>443.2367863</v>
      </c>
      <c r="M294" s="30">
        <f t="shared" si="9"/>
        <v>432.926328</v>
      </c>
      <c r="N294" s="27">
        <f t="shared" si="10"/>
        <v>10.31045836</v>
      </c>
      <c r="O294" s="24"/>
      <c r="P294" s="24"/>
      <c r="Q294" s="24"/>
      <c r="R294" s="26"/>
      <c r="S294" s="14">
        <f t="shared" si="13"/>
        <v>9.468054016</v>
      </c>
      <c r="U294" s="21"/>
      <c r="V294" s="21"/>
    </row>
    <row r="295">
      <c r="A295" s="11">
        <v>283.0</v>
      </c>
      <c r="B295" s="11">
        <v>1.42062608695652E9</v>
      </c>
      <c r="C295" s="2">
        <v>-102.2699127</v>
      </c>
      <c r="D295" s="24">
        <f t="shared" si="1"/>
        <v>226086.9565</v>
      </c>
      <c r="E295" s="25">
        <f t="shared" si="2"/>
        <v>-48.669695</v>
      </c>
      <c r="F295" s="24">
        <f t="shared" si="3"/>
        <v>0.0002152698048</v>
      </c>
      <c r="G295" s="24">
        <f t="shared" si="4"/>
        <v>0</v>
      </c>
      <c r="H295" s="26">
        <f t="shared" si="5"/>
        <v>0</v>
      </c>
      <c r="I295" s="24">
        <f t="shared" si="6"/>
        <v>0</v>
      </c>
      <c r="J295" s="24">
        <f t="shared" si="7"/>
        <v>0</v>
      </c>
      <c r="K295" s="24"/>
      <c r="L295" s="24">
        <f t="shared" si="8"/>
        <v>450.9359888</v>
      </c>
      <c r="M295" s="30">
        <f t="shared" si="9"/>
        <v>432.826286</v>
      </c>
      <c r="N295" s="27">
        <f t="shared" si="10"/>
        <v>18.10970281</v>
      </c>
      <c r="O295" s="24"/>
      <c r="P295" s="24"/>
      <c r="Q295" s="24"/>
      <c r="R295" s="26"/>
      <c r="S295" s="14">
        <f t="shared" si="13"/>
        <v>16.63007005</v>
      </c>
      <c r="U295" s="21"/>
      <c r="V295" s="21"/>
    </row>
    <row r="296">
      <c r="A296" s="11">
        <v>284.0</v>
      </c>
      <c r="B296" s="11">
        <v>1.4206304347826E9</v>
      </c>
      <c r="C296" s="2">
        <v>-102.2877121</v>
      </c>
      <c r="D296" s="24">
        <f t="shared" si="1"/>
        <v>230434.7826</v>
      </c>
      <c r="E296" s="25">
        <f t="shared" si="2"/>
        <v>-49.58799113</v>
      </c>
      <c r="F296" s="24">
        <f t="shared" si="3"/>
        <v>0.0002151931691</v>
      </c>
      <c r="G296" s="24">
        <f t="shared" si="4"/>
        <v>0</v>
      </c>
      <c r="H296" s="26">
        <f t="shared" si="5"/>
        <v>0</v>
      </c>
      <c r="I296" s="24">
        <f t="shared" si="6"/>
        <v>0</v>
      </c>
      <c r="J296" s="24">
        <f t="shared" si="7"/>
        <v>0</v>
      </c>
      <c r="K296" s="24"/>
      <c r="L296" s="24">
        <f t="shared" si="8"/>
        <v>449.0916263</v>
      </c>
      <c r="M296" s="30">
        <f t="shared" si="9"/>
        <v>432.7261998</v>
      </c>
      <c r="N296" s="27">
        <f t="shared" si="10"/>
        <v>16.36542654</v>
      </c>
      <c r="O296" s="24"/>
      <c r="P296" s="24"/>
      <c r="Q296" s="24"/>
      <c r="R296" s="26"/>
      <c r="S296" s="14">
        <f t="shared" si="13"/>
        <v>15.0283079</v>
      </c>
      <c r="U296" s="21"/>
      <c r="V296" s="21"/>
    </row>
    <row r="297">
      <c r="A297" s="11">
        <v>285.0</v>
      </c>
      <c r="B297" s="11">
        <v>1.42063478260869E9</v>
      </c>
      <c r="C297" s="2">
        <v>-102.3304596</v>
      </c>
      <c r="D297" s="24">
        <f t="shared" si="1"/>
        <v>234782.6087</v>
      </c>
      <c r="E297" s="25">
        <f t="shared" si="2"/>
        <v>-50.50628727</v>
      </c>
      <c r="F297" s="24">
        <f t="shared" si="3"/>
        <v>0.0002151193717</v>
      </c>
      <c r="G297" s="24">
        <f t="shared" si="4"/>
        <v>0</v>
      </c>
      <c r="H297" s="26">
        <f t="shared" si="5"/>
        <v>0</v>
      </c>
      <c r="I297" s="24">
        <f t="shared" si="6"/>
        <v>0</v>
      </c>
      <c r="J297" s="24">
        <f t="shared" si="7"/>
        <v>0</v>
      </c>
      <c r="K297" s="24"/>
      <c r="L297" s="24">
        <f t="shared" si="8"/>
        <v>444.6929121</v>
      </c>
      <c r="M297" s="30">
        <f t="shared" si="9"/>
        <v>432.6260699</v>
      </c>
      <c r="N297" s="27">
        <f t="shared" si="10"/>
        <v>12.06684225</v>
      </c>
      <c r="O297" s="24"/>
      <c r="P297" s="24"/>
      <c r="Q297" s="24"/>
      <c r="R297" s="26"/>
      <c r="S297" s="14">
        <f t="shared" si="13"/>
        <v>11.08093458</v>
      </c>
      <c r="U297" s="21"/>
      <c r="V297" s="21"/>
    </row>
    <row r="298">
      <c r="A298" s="11">
        <v>286.0</v>
      </c>
      <c r="B298" s="11">
        <v>1.42063913043478E9</v>
      </c>
      <c r="C298" s="2">
        <v>-102.3057556</v>
      </c>
      <c r="D298" s="24">
        <f t="shared" si="1"/>
        <v>239130.4348</v>
      </c>
      <c r="E298" s="25">
        <f t="shared" si="2"/>
        <v>-51.4245834</v>
      </c>
      <c r="F298" s="24">
        <f t="shared" si="3"/>
        <v>0.0002150482579</v>
      </c>
      <c r="G298" s="24">
        <f t="shared" si="4"/>
        <v>0</v>
      </c>
      <c r="H298" s="26">
        <f t="shared" si="5"/>
        <v>0</v>
      </c>
      <c r="I298" s="24">
        <f t="shared" si="6"/>
        <v>0</v>
      </c>
      <c r="J298" s="24">
        <f t="shared" si="7"/>
        <v>0</v>
      </c>
      <c r="K298" s="24"/>
      <c r="L298" s="24">
        <f t="shared" si="8"/>
        <v>447.2296697</v>
      </c>
      <c r="M298" s="30">
        <f t="shared" si="9"/>
        <v>432.5258969</v>
      </c>
      <c r="N298" s="27">
        <f t="shared" si="10"/>
        <v>14.70377279</v>
      </c>
      <c r="O298" s="24"/>
      <c r="P298" s="24"/>
      <c r="Q298" s="24"/>
      <c r="R298" s="26"/>
      <c r="S298" s="14">
        <f t="shared" si="13"/>
        <v>13.50241766</v>
      </c>
      <c r="U298" s="21"/>
      <c r="V298" s="21"/>
    </row>
    <row r="299">
      <c r="A299" s="11">
        <v>287.0</v>
      </c>
      <c r="B299" s="11">
        <v>1.42064347826087E9</v>
      </c>
      <c r="C299" s="2">
        <v>-102.346756</v>
      </c>
      <c r="D299" s="24">
        <f t="shared" si="1"/>
        <v>243478.2609</v>
      </c>
      <c r="E299" s="25">
        <f t="shared" si="2"/>
        <v>-52.34287953</v>
      </c>
      <c r="F299" s="24">
        <f t="shared" si="3"/>
        <v>0.0002149796838</v>
      </c>
      <c r="G299" s="24">
        <f t="shared" si="4"/>
        <v>0</v>
      </c>
      <c r="H299" s="26">
        <f t="shared" si="5"/>
        <v>0</v>
      </c>
      <c r="I299" s="24">
        <f t="shared" si="6"/>
        <v>0</v>
      </c>
      <c r="J299" s="24">
        <f t="shared" si="7"/>
        <v>0</v>
      </c>
      <c r="K299" s="24"/>
      <c r="L299" s="24">
        <f t="shared" si="8"/>
        <v>443.02738</v>
      </c>
      <c r="M299" s="30">
        <f t="shared" si="9"/>
        <v>432.4256814</v>
      </c>
      <c r="N299" s="27">
        <f t="shared" si="10"/>
        <v>10.60169861</v>
      </c>
      <c r="O299" s="24"/>
      <c r="P299" s="24"/>
      <c r="Q299" s="24"/>
      <c r="R299" s="26"/>
      <c r="S299" s="14">
        <f t="shared" si="13"/>
        <v>9.735498833</v>
      </c>
      <c r="U299" s="21"/>
      <c r="V299" s="21"/>
    </row>
    <row r="300">
      <c r="A300" s="11">
        <v>288.0</v>
      </c>
      <c r="B300" s="11">
        <v>1.42064782608695E9</v>
      </c>
      <c r="C300" s="2">
        <v>-102.4139633</v>
      </c>
      <c r="D300" s="24">
        <f t="shared" si="1"/>
        <v>247826.087</v>
      </c>
      <c r="E300" s="25">
        <f t="shared" si="2"/>
        <v>-53.26117566</v>
      </c>
      <c r="F300" s="24">
        <f t="shared" si="3"/>
        <v>0.0002149135158</v>
      </c>
      <c r="G300" s="24">
        <f t="shared" si="4"/>
        <v>0</v>
      </c>
      <c r="H300" s="26">
        <f t="shared" si="5"/>
        <v>0</v>
      </c>
      <c r="I300" s="24">
        <f t="shared" si="6"/>
        <v>0</v>
      </c>
      <c r="J300" s="24">
        <f t="shared" si="7"/>
        <v>0</v>
      </c>
      <c r="K300" s="24"/>
      <c r="L300" s="24">
        <f t="shared" si="8"/>
        <v>436.2242829</v>
      </c>
      <c r="M300" s="30">
        <f t="shared" si="9"/>
        <v>432.3254241</v>
      </c>
      <c r="N300" s="27">
        <f t="shared" si="10"/>
        <v>3.898858781</v>
      </c>
      <c r="O300" s="24"/>
      <c r="P300" s="24"/>
      <c r="Q300" s="24"/>
      <c r="R300" s="26"/>
      <c r="S300" s="14">
        <f t="shared" si="13"/>
        <v>3.580306941</v>
      </c>
      <c r="U300" s="21"/>
      <c r="V300" s="21"/>
    </row>
    <row r="301">
      <c r="A301" s="11">
        <v>289.0</v>
      </c>
      <c r="B301" s="11">
        <v>1.42065217391304E9</v>
      </c>
      <c r="C301" s="2">
        <v>-102.3663864</v>
      </c>
      <c r="D301" s="24">
        <f t="shared" si="1"/>
        <v>252173.913</v>
      </c>
      <c r="E301" s="25">
        <f t="shared" si="2"/>
        <v>-54.1794718</v>
      </c>
      <c r="F301" s="24">
        <f t="shared" si="3"/>
        <v>0.0002148496295</v>
      </c>
      <c r="G301" s="24">
        <f t="shared" si="4"/>
        <v>0</v>
      </c>
      <c r="H301" s="26">
        <f t="shared" si="5"/>
        <v>0</v>
      </c>
      <c r="I301" s="24">
        <f t="shared" si="6"/>
        <v>0</v>
      </c>
      <c r="J301" s="24">
        <f t="shared" si="7"/>
        <v>0</v>
      </c>
      <c r="K301" s="24"/>
      <c r="L301" s="24">
        <f t="shared" si="8"/>
        <v>441.0293857</v>
      </c>
      <c r="M301" s="30">
        <f t="shared" si="9"/>
        <v>432.2251255</v>
      </c>
      <c r="N301" s="27">
        <f t="shared" si="10"/>
        <v>8.804260161</v>
      </c>
      <c r="O301" s="24"/>
      <c r="P301" s="24"/>
      <c r="Q301" s="24"/>
      <c r="R301" s="26"/>
      <c r="S301" s="14">
        <f t="shared" si="13"/>
        <v>8.08491804</v>
      </c>
      <c r="U301" s="21"/>
      <c r="V301" s="21"/>
    </row>
    <row r="302">
      <c r="A302" s="11">
        <v>290.0</v>
      </c>
      <c r="B302" s="11">
        <v>1.42065652173913E9</v>
      </c>
      <c r="C302" s="2">
        <v>-102.3617935</v>
      </c>
      <c r="D302" s="24">
        <f t="shared" si="1"/>
        <v>256521.7391</v>
      </c>
      <c r="E302" s="25">
        <f t="shared" si="2"/>
        <v>-55.09776793</v>
      </c>
      <c r="F302" s="24">
        <f t="shared" si="3"/>
        <v>0.0002147879089</v>
      </c>
      <c r="G302" s="24">
        <f t="shared" si="4"/>
        <v>0</v>
      </c>
      <c r="H302" s="26">
        <f t="shared" si="5"/>
        <v>0</v>
      </c>
      <c r="I302" s="24">
        <f t="shared" si="6"/>
        <v>0</v>
      </c>
      <c r="J302" s="24">
        <f t="shared" si="7"/>
        <v>0</v>
      </c>
      <c r="K302" s="24"/>
      <c r="L302" s="24">
        <f t="shared" si="8"/>
        <v>441.4960449</v>
      </c>
      <c r="M302" s="30">
        <f t="shared" si="9"/>
        <v>432.1247863</v>
      </c>
      <c r="N302" s="27">
        <f t="shared" si="10"/>
        <v>9.371258625</v>
      </c>
      <c r="O302" s="24"/>
      <c r="P302" s="24"/>
      <c r="Q302" s="24"/>
      <c r="R302" s="26"/>
      <c r="S302" s="14">
        <f t="shared" si="13"/>
        <v>8.605590554</v>
      </c>
      <c r="U302" s="21"/>
      <c r="V302" s="21"/>
    </row>
    <row r="303">
      <c r="A303" s="11">
        <v>291.0</v>
      </c>
      <c r="B303" s="11">
        <v>1.42066086956521E9</v>
      </c>
      <c r="C303" s="2">
        <v>-102.3152008</v>
      </c>
      <c r="D303" s="24">
        <f t="shared" si="1"/>
        <v>260869.5652</v>
      </c>
      <c r="E303" s="25">
        <f t="shared" si="2"/>
        <v>-56.01606406</v>
      </c>
      <c r="F303" s="24">
        <f t="shared" si="3"/>
        <v>0.0002147282456</v>
      </c>
      <c r="G303" s="24">
        <f t="shared" si="4"/>
        <v>0</v>
      </c>
      <c r="H303" s="26">
        <f t="shared" si="5"/>
        <v>0</v>
      </c>
      <c r="I303" s="24">
        <f t="shared" si="6"/>
        <v>0</v>
      </c>
      <c r="J303" s="24">
        <f t="shared" si="7"/>
        <v>0</v>
      </c>
      <c r="K303" s="24"/>
      <c r="L303" s="24">
        <f t="shared" si="8"/>
        <v>446.2580747</v>
      </c>
      <c r="M303" s="30">
        <f t="shared" si="9"/>
        <v>432.0244071</v>
      </c>
      <c r="N303" s="27">
        <f t="shared" si="10"/>
        <v>14.23366761</v>
      </c>
      <c r="O303" s="24"/>
      <c r="P303" s="24"/>
      <c r="Q303" s="24"/>
      <c r="R303" s="26"/>
      <c r="S303" s="14">
        <f t="shared" si="13"/>
        <v>13.07072192</v>
      </c>
      <c r="U303" s="21"/>
      <c r="V303" s="21"/>
    </row>
    <row r="304">
      <c r="A304" s="11">
        <v>292.0</v>
      </c>
      <c r="B304" s="11">
        <v>1.4206652173913E9</v>
      </c>
      <c r="C304" s="2">
        <v>-102.3711014</v>
      </c>
      <c r="D304" s="24">
        <f t="shared" si="1"/>
        <v>265217.3913</v>
      </c>
      <c r="E304" s="25">
        <f t="shared" si="2"/>
        <v>-56.93436019</v>
      </c>
      <c r="F304" s="24">
        <f t="shared" si="3"/>
        <v>0.0002146705384</v>
      </c>
      <c r="G304" s="24">
        <f t="shared" si="4"/>
        <v>0</v>
      </c>
      <c r="H304" s="26">
        <f t="shared" si="5"/>
        <v>0</v>
      </c>
      <c r="I304" s="24">
        <f t="shared" si="6"/>
        <v>0</v>
      </c>
      <c r="J304" s="24">
        <f t="shared" si="7"/>
        <v>0</v>
      </c>
      <c r="K304" s="24"/>
      <c r="L304" s="24">
        <f t="shared" si="8"/>
        <v>440.5508336</v>
      </c>
      <c r="M304" s="30">
        <f t="shared" si="9"/>
        <v>431.9239884</v>
      </c>
      <c r="N304" s="27">
        <f t="shared" si="10"/>
        <v>8.626845279</v>
      </c>
      <c r="O304" s="24"/>
      <c r="P304" s="24"/>
      <c r="Q304" s="24"/>
      <c r="R304" s="26"/>
      <c r="S304" s="14">
        <f t="shared" si="13"/>
        <v>7.921998639</v>
      </c>
      <c r="U304" s="21"/>
      <c r="V304" s="21"/>
    </row>
    <row r="305">
      <c r="A305" s="11">
        <v>293.0</v>
      </c>
      <c r="B305" s="11">
        <v>1.42066956521739E9</v>
      </c>
      <c r="C305" s="2">
        <v>-102.3613968</v>
      </c>
      <c r="D305" s="24">
        <f t="shared" si="1"/>
        <v>269565.2174</v>
      </c>
      <c r="E305" s="25">
        <f t="shared" si="2"/>
        <v>-57.85265632</v>
      </c>
      <c r="F305" s="24">
        <f t="shared" si="3"/>
        <v>0.0002146146928</v>
      </c>
      <c r="G305" s="24">
        <f t="shared" si="4"/>
        <v>0</v>
      </c>
      <c r="H305" s="26">
        <f t="shared" si="5"/>
        <v>0</v>
      </c>
      <c r="I305" s="24">
        <f t="shared" si="6"/>
        <v>0</v>
      </c>
      <c r="J305" s="24">
        <f t="shared" si="7"/>
        <v>0</v>
      </c>
      <c r="K305" s="24"/>
      <c r="L305" s="24">
        <f t="shared" si="8"/>
        <v>441.5363746</v>
      </c>
      <c r="M305" s="30">
        <f t="shared" si="9"/>
        <v>431.8235308</v>
      </c>
      <c r="N305" s="27">
        <f t="shared" si="10"/>
        <v>9.712843745</v>
      </c>
      <c r="O305" s="24"/>
      <c r="P305" s="24"/>
      <c r="Q305" s="24"/>
      <c r="R305" s="26"/>
      <c r="S305" s="14">
        <f t="shared" si="13"/>
        <v>8.91926685</v>
      </c>
      <c r="U305" s="21"/>
      <c r="V305" s="21"/>
    </row>
    <row r="306">
      <c r="A306" s="11">
        <v>294.0</v>
      </c>
      <c r="B306" s="11">
        <v>1.42067391304347E9</v>
      </c>
      <c r="C306" s="2">
        <v>-102.4089203</v>
      </c>
      <c r="D306" s="24">
        <f t="shared" si="1"/>
        <v>273913.0435</v>
      </c>
      <c r="E306" s="25">
        <f t="shared" si="2"/>
        <v>-58.77095246</v>
      </c>
      <c r="F306" s="24">
        <f t="shared" si="3"/>
        <v>0.0002145606201</v>
      </c>
      <c r="G306" s="24">
        <f t="shared" si="4"/>
        <v>0</v>
      </c>
      <c r="H306" s="26">
        <f t="shared" si="5"/>
        <v>0</v>
      </c>
      <c r="I306" s="24">
        <f t="shared" si="6"/>
        <v>0</v>
      </c>
      <c r="J306" s="24">
        <f t="shared" si="7"/>
        <v>0</v>
      </c>
      <c r="K306" s="24"/>
      <c r="L306" s="24">
        <f t="shared" si="8"/>
        <v>436.731118</v>
      </c>
      <c r="M306" s="30">
        <f t="shared" si="9"/>
        <v>431.7230351</v>
      </c>
      <c r="N306" s="27">
        <f t="shared" si="10"/>
        <v>5.008082851</v>
      </c>
      <c r="O306" s="24"/>
      <c r="P306" s="24"/>
      <c r="Q306" s="24"/>
      <c r="R306" s="26"/>
      <c r="S306" s="14">
        <f t="shared" si="13"/>
        <v>4.598903115</v>
      </c>
      <c r="U306" s="21"/>
      <c r="V306" s="21"/>
    </row>
    <row r="307">
      <c r="A307" s="11">
        <v>295.0</v>
      </c>
      <c r="B307" s="11">
        <v>1.42067826086956E9</v>
      </c>
      <c r="C307" s="2">
        <v>-102.3103867</v>
      </c>
      <c r="D307" s="24">
        <f t="shared" si="1"/>
        <v>278260.8696</v>
      </c>
      <c r="E307" s="25">
        <f t="shared" si="2"/>
        <v>-59.68924859</v>
      </c>
      <c r="F307" s="24">
        <f t="shared" si="3"/>
        <v>0.0002145082371</v>
      </c>
      <c r="G307" s="24">
        <f t="shared" si="4"/>
        <v>0</v>
      </c>
      <c r="H307" s="26">
        <f t="shared" si="5"/>
        <v>0</v>
      </c>
      <c r="I307" s="24">
        <f t="shared" si="6"/>
        <v>0</v>
      </c>
      <c r="J307" s="24">
        <f t="shared" si="7"/>
        <v>0</v>
      </c>
      <c r="K307" s="24"/>
      <c r="L307" s="24">
        <f t="shared" si="8"/>
        <v>446.7530204</v>
      </c>
      <c r="M307" s="30">
        <f t="shared" si="9"/>
        <v>431.6225018</v>
      </c>
      <c r="N307" s="27">
        <f t="shared" si="10"/>
        <v>15.13051864</v>
      </c>
      <c r="O307" s="24"/>
      <c r="P307" s="24"/>
      <c r="Q307" s="24"/>
      <c r="R307" s="26"/>
      <c r="S307" s="14">
        <f t="shared" si="13"/>
        <v>13.89429672</v>
      </c>
      <c r="U307" s="21"/>
      <c r="V307" s="21"/>
    </row>
    <row r="308">
      <c r="A308" s="11">
        <v>296.0</v>
      </c>
      <c r="B308" s="11">
        <v>1.42068260869565E9</v>
      </c>
      <c r="C308" s="2">
        <v>-102.358078</v>
      </c>
      <c r="D308" s="24">
        <f t="shared" si="1"/>
        <v>282608.6957</v>
      </c>
      <c r="E308" s="25">
        <f t="shared" si="2"/>
        <v>-60.60754472</v>
      </c>
      <c r="F308" s="24">
        <f t="shared" si="3"/>
        <v>0.0002144574659</v>
      </c>
      <c r="G308" s="24">
        <f t="shared" si="4"/>
        <v>0</v>
      </c>
      <c r="H308" s="26">
        <f t="shared" si="5"/>
        <v>0</v>
      </c>
      <c r="I308" s="24">
        <f t="shared" si="6"/>
        <v>0</v>
      </c>
      <c r="J308" s="24">
        <f t="shared" si="7"/>
        <v>0</v>
      </c>
      <c r="K308" s="24"/>
      <c r="L308" s="24">
        <f t="shared" si="8"/>
        <v>441.8739177</v>
      </c>
      <c r="M308" s="30">
        <f t="shared" si="9"/>
        <v>431.5219315</v>
      </c>
      <c r="N308" s="27">
        <f t="shared" si="10"/>
        <v>10.35198622</v>
      </c>
      <c r="O308" s="24"/>
      <c r="P308" s="24"/>
      <c r="Q308" s="24"/>
      <c r="R308" s="26"/>
      <c r="S308" s="14">
        <f t="shared" si="13"/>
        <v>9.506188914</v>
      </c>
      <c r="U308" s="21"/>
      <c r="V308" s="21"/>
    </row>
    <row r="309">
      <c r="A309" s="11">
        <v>297.0</v>
      </c>
      <c r="B309" s="11">
        <v>1.42068695652173E9</v>
      </c>
      <c r="C309" s="2">
        <v>-102.4041214</v>
      </c>
      <c r="D309" s="24">
        <f t="shared" si="1"/>
        <v>286956.5217</v>
      </c>
      <c r="E309" s="25">
        <f t="shared" si="2"/>
        <v>-61.52584085</v>
      </c>
      <c r="F309" s="24">
        <f t="shared" si="3"/>
        <v>0.0002144082333</v>
      </c>
      <c r="G309" s="24">
        <f t="shared" si="4"/>
        <v>0</v>
      </c>
      <c r="H309" s="26">
        <f t="shared" si="5"/>
        <v>0</v>
      </c>
      <c r="I309" s="24">
        <f t="shared" si="6"/>
        <v>0</v>
      </c>
      <c r="J309" s="24">
        <f t="shared" si="7"/>
        <v>0</v>
      </c>
      <c r="K309" s="24"/>
      <c r="L309" s="24">
        <f t="shared" si="8"/>
        <v>437.2139671</v>
      </c>
      <c r="M309" s="30">
        <f t="shared" si="9"/>
        <v>431.4213247</v>
      </c>
      <c r="N309" s="27">
        <f t="shared" si="10"/>
        <v>5.792642421</v>
      </c>
      <c r="O309" s="24"/>
      <c r="P309" s="24"/>
      <c r="Q309" s="24"/>
      <c r="R309" s="26"/>
      <c r="S309" s="14">
        <f t="shared" si="13"/>
        <v>5.319361134</v>
      </c>
      <c r="U309" s="21"/>
      <c r="V309" s="21"/>
    </row>
    <row r="310">
      <c r="A310" s="11">
        <v>298.0</v>
      </c>
      <c r="B310" s="11">
        <v>1.42069130434782E9</v>
      </c>
      <c r="C310" s="2">
        <v>-102.3264008</v>
      </c>
      <c r="D310" s="24">
        <f t="shared" si="1"/>
        <v>291304.3478</v>
      </c>
      <c r="E310" s="25">
        <f t="shared" si="2"/>
        <v>-62.44413698</v>
      </c>
      <c r="F310" s="24">
        <f t="shared" si="3"/>
        <v>0.0002143604703</v>
      </c>
      <c r="G310" s="24">
        <f t="shared" si="4"/>
        <v>0</v>
      </c>
      <c r="H310" s="26">
        <f t="shared" si="5"/>
        <v>0</v>
      </c>
      <c r="I310" s="24">
        <f t="shared" si="6"/>
        <v>0</v>
      </c>
      <c r="J310" s="24">
        <f t="shared" si="7"/>
        <v>0</v>
      </c>
      <c r="K310" s="24"/>
      <c r="L310" s="24">
        <f t="shared" si="8"/>
        <v>445.1087045</v>
      </c>
      <c r="M310" s="30">
        <f t="shared" si="9"/>
        <v>431.3206822</v>
      </c>
      <c r="N310" s="27">
        <f t="shared" si="10"/>
        <v>13.78802228</v>
      </c>
      <c r="O310" s="24"/>
      <c r="P310" s="24"/>
      <c r="Q310" s="24"/>
      <c r="R310" s="26"/>
      <c r="S310" s="14">
        <f t="shared" si="13"/>
        <v>12.66148754</v>
      </c>
      <c r="U310" s="21"/>
      <c r="V310" s="21"/>
    </row>
    <row r="311">
      <c r="A311" s="11">
        <v>299.0</v>
      </c>
      <c r="B311" s="11">
        <v>1.42069565217391E9</v>
      </c>
      <c r="C311" s="2">
        <v>-102.379364</v>
      </c>
      <c r="D311" s="24">
        <f t="shared" si="1"/>
        <v>295652.1739</v>
      </c>
      <c r="E311" s="25">
        <f t="shared" si="2"/>
        <v>-63.36243312</v>
      </c>
      <c r="F311" s="24">
        <f t="shared" si="3"/>
        <v>0.000214314112</v>
      </c>
      <c r="G311" s="24">
        <f t="shared" si="4"/>
        <v>0</v>
      </c>
      <c r="H311" s="26">
        <f t="shared" si="5"/>
        <v>0</v>
      </c>
      <c r="I311" s="24">
        <f t="shared" si="6"/>
        <v>0</v>
      </c>
      <c r="J311" s="24">
        <f t="shared" si="7"/>
        <v>0</v>
      </c>
      <c r="K311" s="24"/>
      <c r="L311" s="24">
        <f t="shared" si="8"/>
        <v>439.7134675</v>
      </c>
      <c r="M311" s="30">
        <f t="shared" si="9"/>
        <v>431.2200045</v>
      </c>
      <c r="N311" s="27">
        <f t="shared" si="10"/>
        <v>8.493463001</v>
      </c>
      <c r="O311" s="24"/>
      <c r="P311" s="24"/>
      <c r="Q311" s="24"/>
      <c r="R311" s="26"/>
      <c r="S311" s="14">
        <f t="shared" si="13"/>
        <v>7.79951421</v>
      </c>
      <c r="U311" s="21"/>
      <c r="V311" s="21"/>
    </row>
    <row r="312">
      <c r="A312" s="11">
        <v>300.0</v>
      </c>
      <c r="B312" s="11">
        <v>1.4207E9</v>
      </c>
      <c r="C312" s="2">
        <v>-102.305336</v>
      </c>
      <c r="D312" s="24">
        <f t="shared" si="1"/>
        <v>300000</v>
      </c>
      <c r="E312" s="25">
        <f t="shared" si="2"/>
        <v>-64.28072925</v>
      </c>
      <c r="F312" s="24">
        <f t="shared" si="3"/>
        <v>0.0002142690975</v>
      </c>
      <c r="G312" s="24">
        <f t="shared" si="4"/>
        <v>0</v>
      </c>
      <c r="H312" s="26">
        <f t="shared" si="5"/>
        <v>0</v>
      </c>
      <c r="I312" s="24">
        <f t="shared" si="6"/>
        <v>0</v>
      </c>
      <c r="J312" s="24">
        <f t="shared" si="7"/>
        <v>0</v>
      </c>
      <c r="K312" s="24"/>
      <c r="L312" s="24">
        <f t="shared" si="8"/>
        <v>447.2728815</v>
      </c>
      <c r="M312" s="30">
        <f t="shared" si="9"/>
        <v>431.1192923</v>
      </c>
      <c r="N312" s="27">
        <f t="shared" si="10"/>
        <v>16.15358925</v>
      </c>
      <c r="O312" s="24"/>
      <c r="P312" s="24"/>
      <c r="Q312" s="24"/>
      <c r="R312" s="26"/>
      <c r="S312" s="14">
        <f t="shared" si="13"/>
        <v>14.83377853</v>
      </c>
      <c r="U312" s="21"/>
      <c r="V312" s="21"/>
    </row>
    <row r="313">
      <c r="A313" s="11">
        <v>301.0</v>
      </c>
      <c r="B313" s="11">
        <v>1.42070434782608E9</v>
      </c>
      <c r="C313" s="2">
        <v>-102.3462982</v>
      </c>
      <c r="D313" s="24">
        <f t="shared" si="1"/>
        <v>304347.8261</v>
      </c>
      <c r="E313" s="25">
        <f t="shared" si="2"/>
        <v>-65.19902538</v>
      </c>
      <c r="F313" s="24">
        <f t="shared" si="3"/>
        <v>0.0002142253691</v>
      </c>
      <c r="G313" s="24">
        <f t="shared" si="4"/>
        <v>0</v>
      </c>
      <c r="H313" s="26">
        <f t="shared" si="5"/>
        <v>0</v>
      </c>
      <c r="I313" s="24">
        <f t="shared" si="6"/>
        <v>0</v>
      </c>
      <c r="J313" s="24">
        <f t="shared" si="7"/>
        <v>0</v>
      </c>
      <c r="K313" s="24"/>
      <c r="L313" s="24">
        <f t="shared" si="8"/>
        <v>443.0740831</v>
      </c>
      <c r="M313" s="30">
        <f t="shared" si="9"/>
        <v>431.0185461</v>
      </c>
      <c r="N313" s="27">
        <f t="shared" si="10"/>
        <v>12.055537</v>
      </c>
      <c r="O313" s="24"/>
      <c r="P313" s="24"/>
      <c r="Q313" s="24"/>
      <c r="R313" s="26"/>
      <c r="S313" s="14">
        <f t="shared" si="13"/>
        <v>11.070553</v>
      </c>
      <c r="U313" s="21"/>
      <c r="V313" s="21"/>
    </row>
    <row r="314">
      <c r="A314" s="11">
        <v>302.0</v>
      </c>
      <c r="B314" s="11">
        <v>1.42070869565217E9</v>
      </c>
      <c r="C314" s="2">
        <v>-102.343895</v>
      </c>
      <c r="D314" s="24">
        <f t="shared" si="1"/>
        <v>308695.6522</v>
      </c>
      <c r="E314" s="25">
        <f t="shared" si="2"/>
        <v>-66.11732151</v>
      </c>
      <c r="F314" s="24">
        <f t="shared" si="3"/>
        <v>0.0002141828725</v>
      </c>
      <c r="G314" s="24">
        <f t="shared" si="4"/>
        <v>0</v>
      </c>
      <c r="H314" s="26">
        <f t="shared" si="5"/>
        <v>0</v>
      </c>
      <c r="I314" s="24">
        <f t="shared" si="6"/>
        <v>0</v>
      </c>
      <c r="J314" s="24">
        <f t="shared" si="7"/>
        <v>0</v>
      </c>
      <c r="K314" s="24"/>
      <c r="L314" s="24">
        <f t="shared" si="8"/>
        <v>443.3193292</v>
      </c>
      <c r="M314" s="30">
        <f t="shared" si="9"/>
        <v>430.9177665</v>
      </c>
      <c r="N314" s="27">
        <f t="shared" si="10"/>
        <v>12.40156267</v>
      </c>
      <c r="O314" s="24"/>
      <c r="P314" s="24"/>
      <c r="Q314" s="24"/>
      <c r="R314" s="26"/>
      <c r="S314" s="14">
        <f t="shared" si="13"/>
        <v>11.38830701</v>
      </c>
      <c r="U314" s="21"/>
      <c r="V314" s="21"/>
    </row>
    <row r="315">
      <c r="A315" s="11">
        <v>303.0</v>
      </c>
      <c r="B315" s="11">
        <v>1.42071304347826E9</v>
      </c>
      <c r="C315" s="2">
        <v>-102.3919144</v>
      </c>
      <c r="D315" s="24">
        <f t="shared" si="1"/>
        <v>313043.4783</v>
      </c>
      <c r="E315" s="25">
        <f t="shared" si="2"/>
        <v>-67.03561764</v>
      </c>
      <c r="F315" s="24">
        <f t="shared" si="3"/>
        <v>0.0002141415564</v>
      </c>
      <c r="G315" s="24">
        <f t="shared" si="4"/>
        <v>0</v>
      </c>
      <c r="H315" s="26">
        <f t="shared" si="5"/>
        <v>0</v>
      </c>
      <c r="I315" s="24">
        <f t="shared" si="6"/>
        <v>0</v>
      </c>
      <c r="J315" s="24">
        <f t="shared" si="7"/>
        <v>0</v>
      </c>
      <c r="K315" s="24"/>
      <c r="L315" s="24">
        <f t="shared" si="8"/>
        <v>438.4446018</v>
      </c>
      <c r="M315" s="30">
        <f t="shared" si="9"/>
        <v>430.8169542</v>
      </c>
      <c r="N315" s="27">
        <f t="shared" si="10"/>
        <v>7.627647662</v>
      </c>
      <c r="O315" s="24"/>
      <c r="P315" s="24"/>
      <c r="Q315" s="24"/>
      <c r="R315" s="26"/>
      <c r="S315" s="14">
        <f t="shared" si="13"/>
        <v>7.004439351</v>
      </c>
      <c r="U315" s="21"/>
      <c r="V315" s="21"/>
    </row>
    <row r="316">
      <c r="A316" s="11">
        <v>304.0</v>
      </c>
      <c r="B316" s="11">
        <v>1.42071739130434E9</v>
      </c>
      <c r="C316" s="2">
        <v>-102.3820877</v>
      </c>
      <c r="D316" s="24">
        <f t="shared" si="1"/>
        <v>317391.3043</v>
      </c>
      <c r="E316" s="25">
        <f t="shared" si="2"/>
        <v>-67.95391378</v>
      </c>
      <c r="F316" s="24">
        <f t="shared" si="3"/>
        <v>0.0002141013722</v>
      </c>
      <c r="G316" s="24">
        <f t="shared" si="4"/>
        <v>0</v>
      </c>
      <c r="H316" s="26">
        <f t="shared" si="5"/>
        <v>0</v>
      </c>
      <c r="I316" s="24">
        <f t="shared" si="6"/>
        <v>0</v>
      </c>
      <c r="J316" s="24">
        <f t="shared" si="7"/>
        <v>0</v>
      </c>
      <c r="K316" s="24"/>
      <c r="L316" s="24">
        <f t="shared" si="8"/>
        <v>439.4377854</v>
      </c>
      <c r="M316" s="30">
        <f t="shared" si="9"/>
        <v>430.7161097</v>
      </c>
      <c r="N316" s="27">
        <f t="shared" si="10"/>
        <v>8.721675718</v>
      </c>
      <c r="O316" s="24"/>
      <c r="P316" s="24"/>
      <c r="Q316" s="24"/>
      <c r="R316" s="26"/>
      <c r="S316" s="14">
        <f t="shared" si="13"/>
        <v>8.009081084</v>
      </c>
      <c r="U316" s="21"/>
      <c r="V316" s="21"/>
    </row>
    <row r="317">
      <c r="A317" s="11">
        <v>305.0</v>
      </c>
      <c r="B317" s="11">
        <v>1.42072173913043E9</v>
      </c>
      <c r="C317" s="2">
        <v>-102.3733597</v>
      </c>
      <c r="D317" s="24">
        <f t="shared" si="1"/>
        <v>321739.1304</v>
      </c>
      <c r="E317" s="25">
        <f t="shared" si="2"/>
        <v>-68.87220991</v>
      </c>
      <c r="F317" s="24">
        <f t="shared" si="3"/>
        <v>0.000214062274</v>
      </c>
      <c r="G317" s="24">
        <f t="shared" si="4"/>
        <v>0</v>
      </c>
      <c r="H317" s="26">
        <f t="shared" si="5"/>
        <v>0</v>
      </c>
      <c r="I317" s="24">
        <f t="shared" si="6"/>
        <v>0</v>
      </c>
      <c r="J317" s="24">
        <f t="shared" si="7"/>
        <v>0</v>
      </c>
      <c r="K317" s="24"/>
      <c r="L317" s="24">
        <f t="shared" si="8"/>
        <v>440.3218099</v>
      </c>
      <c r="M317" s="30">
        <f t="shared" si="9"/>
        <v>430.6152337</v>
      </c>
      <c r="N317" s="27">
        <f t="shared" si="10"/>
        <v>9.706576191</v>
      </c>
      <c r="O317" s="24"/>
      <c r="P317" s="24"/>
      <c r="Q317" s="24"/>
      <c r="R317" s="26"/>
      <c r="S317" s="14">
        <f t="shared" si="13"/>
        <v>8.913511358</v>
      </c>
      <c r="U317" s="21"/>
      <c r="V317" s="21"/>
    </row>
    <row r="318">
      <c r="A318" s="11">
        <v>306.0</v>
      </c>
      <c r="B318" s="11">
        <v>1.42072608695652E9</v>
      </c>
      <c r="C318" s="2">
        <v>-102.3994446</v>
      </c>
      <c r="D318" s="24">
        <f t="shared" si="1"/>
        <v>326086.9565</v>
      </c>
      <c r="E318" s="25">
        <f t="shared" si="2"/>
        <v>-69.79050604</v>
      </c>
      <c r="F318" s="24">
        <f t="shared" si="3"/>
        <v>0.0002140242185</v>
      </c>
      <c r="G318" s="24">
        <f t="shared" si="4"/>
        <v>0</v>
      </c>
      <c r="H318" s="26">
        <f t="shared" si="5"/>
        <v>0</v>
      </c>
      <c r="I318" s="24">
        <f t="shared" si="6"/>
        <v>0</v>
      </c>
      <c r="J318" s="24">
        <f t="shared" si="7"/>
        <v>0</v>
      </c>
      <c r="K318" s="24"/>
      <c r="L318" s="24">
        <f t="shared" si="8"/>
        <v>437.6850447</v>
      </c>
      <c r="M318" s="30">
        <f t="shared" si="9"/>
        <v>430.5143268</v>
      </c>
      <c r="N318" s="27">
        <f t="shared" si="10"/>
        <v>7.170717823</v>
      </c>
      <c r="O318" s="24"/>
      <c r="P318" s="24"/>
      <c r="Q318" s="24"/>
      <c r="R318" s="26"/>
      <c r="S318" s="14">
        <f t="shared" si="13"/>
        <v>6.584842446</v>
      </c>
      <c r="U318" s="21"/>
      <c r="V318" s="21"/>
    </row>
    <row r="319">
      <c r="A319" s="11">
        <v>307.0</v>
      </c>
      <c r="B319" s="11">
        <v>1.4207304347826E9</v>
      </c>
      <c r="C319" s="2">
        <v>-102.4159927</v>
      </c>
      <c r="D319" s="24">
        <f t="shared" si="1"/>
        <v>330434.7826</v>
      </c>
      <c r="E319" s="25">
        <f t="shared" si="2"/>
        <v>-70.70880217</v>
      </c>
      <c r="F319" s="24">
        <f t="shared" si="3"/>
        <v>0.0002139871645</v>
      </c>
      <c r="G319" s="24">
        <f t="shared" si="4"/>
        <v>0</v>
      </c>
      <c r="H319" s="26">
        <f t="shared" si="5"/>
        <v>0</v>
      </c>
      <c r="I319" s="24">
        <f t="shared" si="6"/>
        <v>0</v>
      </c>
      <c r="J319" s="24">
        <f t="shared" si="7"/>
        <v>0</v>
      </c>
      <c r="K319" s="24"/>
      <c r="L319" s="24">
        <f t="shared" si="8"/>
        <v>436.0204887</v>
      </c>
      <c r="M319" s="30">
        <f t="shared" si="9"/>
        <v>430.4133896</v>
      </c>
      <c r="N319" s="27">
        <f t="shared" si="10"/>
        <v>5.607099118</v>
      </c>
      <c r="O319" s="24"/>
      <c r="P319" s="24"/>
      <c r="Q319" s="24"/>
      <c r="R319" s="26"/>
      <c r="S319" s="14">
        <f t="shared" si="13"/>
        <v>5.148977436</v>
      </c>
      <c r="U319" s="21"/>
      <c r="V319" s="21"/>
    </row>
    <row r="320">
      <c r="A320" s="11">
        <v>308.0</v>
      </c>
      <c r="B320" s="11">
        <v>1.42073478260869E9</v>
      </c>
      <c r="C320" s="2">
        <v>-102.3487701</v>
      </c>
      <c r="D320" s="24">
        <f t="shared" si="1"/>
        <v>334782.6087</v>
      </c>
      <c r="E320" s="25">
        <f t="shared" si="2"/>
        <v>-71.62709831</v>
      </c>
      <c r="F320" s="24">
        <f t="shared" si="3"/>
        <v>0.0002139510729</v>
      </c>
      <c r="G320" s="24">
        <f t="shared" si="4"/>
        <v>0</v>
      </c>
      <c r="H320" s="26">
        <f t="shared" si="5"/>
        <v>0</v>
      </c>
      <c r="I320" s="24">
        <f t="shared" si="6"/>
        <v>0</v>
      </c>
      <c r="J320" s="24">
        <f t="shared" si="7"/>
        <v>0</v>
      </c>
      <c r="K320" s="24"/>
      <c r="L320" s="24">
        <f t="shared" si="8"/>
        <v>442.8219677</v>
      </c>
      <c r="M320" s="30">
        <f t="shared" si="9"/>
        <v>430.3124227</v>
      </c>
      <c r="N320" s="27">
        <f t="shared" si="10"/>
        <v>12.50954498</v>
      </c>
      <c r="O320" s="24"/>
      <c r="P320" s="24"/>
      <c r="Q320" s="24"/>
      <c r="R320" s="26"/>
      <c r="S320" s="14">
        <f t="shared" si="13"/>
        <v>11.48746678</v>
      </c>
      <c r="U320" s="21"/>
      <c r="V320" s="21"/>
    </row>
    <row r="321">
      <c r="A321" s="11">
        <v>309.0</v>
      </c>
      <c r="B321" s="11">
        <v>1.42073913043478E9</v>
      </c>
      <c r="C321" s="2">
        <v>-102.3367767</v>
      </c>
      <c r="D321" s="24">
        <f t="shared" si="1"/>
        <v>339130.4348</v>
      </c>
      <c r="E321" s="25">
        <f t="shared" si="2"/>
        <v>-72.54539444</v>
      </c>
      <c r="F321" s="24">
        <f t="shared" si="3"/>
        <v>0.0002139159067</v>
      </c>
      <c r="G321" s="24">
        <f t="shared" si="4"/>
        <v>0</v>
      </c>
      <c r="H321" s="26">
        <f t="shared" si="5"/>
        <v>0</v>
      </c>
      <c r="I321" s="24">
        <f t="shared" si="6"/>
        <v>0</v>
      </c>
      <c r="J321" s="24">
        <f t="shared" si="7"/>
        <v>0</v>
      </c>
      <c r="K321" s="24"/>
      <c r="L321" s="24">
        <f t="shared" si="8"/>
        <v>444.0465471</v>
      </c>
      <c r="M321" s="30">
        <f t="shared" si="9"/>
        <v>430.2114267</v>
      </c>
      <c r="N321" s="27">
        <f t="shared" si="10"/>
        <v>13.83512047</v>
      </c>
      <c r="O321" s="24"/>
      <c r="P321" s="24"/>
      <c r="Q321" s="24"/>
      <c r="R321" s="26"/>
      <c r="S321" s="14">
        <f t="shared" si="13"/>
        <v>12.70473759</v>
      </c>
      <c r="U321" s="21"/>
      <c r="V321" s="21"/>
    </row>
    <row r="322">
      <c r="A322" s="11">
        <v>310.0</v>
      </c>
      <c r="B322" s="11">
        <v>1.42074347826087E9</v>
      </c>
      <c r="C322" s="2">
        <v>-102.3388138</v>
      </c>
      <c r="D322" s="24">
        <f t="shared" si="1"/>
        <v>343478.2609</v>
      </c>
      <c r="E322" s="25">
        <f t="shared" si="2"/>
        <v>-73.46369057</v>
      </c>
      <c r="F322" s="24">
        <f t="shared" si="3"/>
        <v>0.0002138816308</v>
      </c>
      <c r="G322" s="24">
        <f t="shared" si="4"/>
        <v>0</v>
      </c>
      <c r="H322" s="26">
        <f t="shared" si="5"/>
        <v>0</v>
      </c>
      <c r="I322" s="24">
        <f t="shared" si="6"/>
        <v>0</v>
      </c>
      <c r="J322" s="24">
        <f t="shared" si="7"/>
        <v>0</v>
      </c>
      <c r="K322" s="24"/>
      <c r="L322" s="24">
        <f t="shared" si="8"/>
        <v>443.8383117</v>
      </c>
      <c r="M322" s="30">
        <f t="shared" si="9"/>
        <v>430.1104022</v>
      </c>
      <c r="N322" s="27">
        <f t="shared" si="10"/>
        <v>13.72790953</v>
      </c>
      <c r="O322" s="24"/>
      <c r="P322" s="24"/>
      <c r="Q322" s="24"/>
      <c r="R322" s="26"/>
      <c r="S322" s="14">
        <f t="shared" si="13"/>
        <v>12.60628623</v>
      </c>
      <c r="U322" s="21"/>
      <c r="V322" s="21"/>
    </row>
    <row r="323">
      <c r="A323" s="11">
        <v>311.0</v>
      </c>
      <c r="B323" s="11">
        <v>1.42074782608695E9</v>
      </c>
      <c r="C323" s="2">
        <v>-102.3574753</v>
      </c>
      <c r="D323" s="24">
        <f t="shared" si="1"/>
        <v>347826.087</v>
      </c>
      <c r="E323" s="25">
        <f t="shared" si="2"/>
        <v>-74.3819867</v>
      </c>
      <c r="F323" s="24">
        <f t="shared" si="3"/>
        <v>0.0002138482118</v>
      </c>
      <c r="G323" s="24">
        <f t="shared" si="4"/>
        <v>0</v>
      </c>
      <c r="H323" s="26">
        <f t="shared" si="5"/>
        <v>0</v>
      </c>
      <c r="I323" s="24">
        <f t="shared" si="6"/>
        <v>0</v>
      </c>
      <c r="J323" s="24">
        <f t="shared" si="7"/>
        <v>0</v>
      </c>
      <c r="K323" s="24"/>
      <c r="L323" s="24">
        <f t="shared" si="8"/>
        <v>441.9352438</v>
      </c>
      <c r="M323" s="30">
        <f t="shared" si="9"/>
        <v>430.0093498</v>
      </c>
      <c r="N323" s="27">
        <f t="shared" si="10"/>
        <v>11.92589402</v>
      </c>
      <c r="O323" s="24"/>
      <c r="P323" s="24"/>
      <c r="Q323" s="24"/>
      <c r="R323" s="26"/>
      <c r="S323" s="14">
        <f t="shared" si="13"/>
        <v>10.95150236</v>
      </c>
      <c r="U323" s="21"/>
      <c r="V323" s="21"/>
    </row>
    <row r="324">
      <c r="A324" s="11">
        <v>312.0</v>
      </c>
      <c r="B324" s="11">
        <v>1.42075217391304E9</v>
      </c>
      <c r="C324" s="2">
        <v>-102.4168701</v>
      </c>
      <c r="D324" s="24">
        <f t="shared" si="1"/>
        <v>352173.913</v>
      </c>
      <c r="E324" s="25">
        <f t="shared" si="2"/>
        <v>-75.30028284</v>
      </c>
      <c r="F324" s="24">
        <f t="shared" si="3"/>
        <v>0.0002138156179</v>
      </c>
      <c r="G324" s="24">
        <f t="shared" si="4"/>
        <v>0</v>
      </c>
      <c r="H324" s="26">
        <f t="shared" si="5"/>
        <v>0</v>
      </c>
      <c r="I324" s="24">
        <f t="shared" si="6"/>
        <v>0</v>
      </c>
      <c r="J324" s="24">
        <f t="shared" si="7"/>
        <v>0</v>
      </c>
      <c r="K324" s="24"/>
      <c r="L324" s="24">
        <f t="shared" si="8"/>
        <v>435.9324089</v>
      </c>
      <c r="M324" s="30">
        <f t="shared" si="9"/>
        <v>429.9082701</v>
      </c>
      <c r="N324" s="27">
        <f t="shared" si="10"/>
        <v>6.024138852</v>
      </c>
      <c r="O324" s="24"/>
      <c r="P324" s="24"/>
      <c r="Q324" s="24"/>
      <c r="R324" s="26"/>
      <c r="S324" s="14">
        <f t="shared" si="13"/>
        <v>5.531943398</v>
      </c>
      <c r="U324" s="21"/>
      <c r="V324" s="21"/>
    </row>
    <row r="325">
      <c r="A325" s="11">
        <v>313.0</v>
      </c>
      <c r="B325" s="11">
        <v>1.42075652173913E9</v>
      </c>
      <c r="C325" s="2">
        <v>-102.3972092</v>
      </c>
      <c r="D325" s="24">
        <f t="shared" si="1"/>
        <v>356521.7391</v>
      </c>
      <c r="E325" s="25">
        <f t="shared" si="2"/>
        <v>-76.21857897</v>
      </c>
      <c r="F325" s="24">
        <f t="shared" si="3"/>
        <v>0.0002137838191</v>
      </c>
      <c r="G325" s="24">
        <f t="shared" si="4"/>
        <v>0</v>
      </c>
      <c r="H325" s="26">
        <f t="shared" si="5"/>
        <v>0</v>
      </c>
      <c r="I325" s="24">
        <f t="shared" si="6"/>
        <v>0</v>
      </c>
      <c r="J325" s="24">
        <f t="shared" si="7"/>
        <v>0</v>
      </c>
      <c r="K325" s="24"/>
      <c r="L325" s="24">
        <f t="shared" si="8"/>
        <v>437.9103878</v>
      </c>
      <c r="M325" s="30">
        <f t="shared" si="9"/>
        <v>429.8071637</v>
      </c>
      <c r="N325" s="27">
        <f t="shared" si="10"/>
        <v>8.103224103</v>
      </c>
      <c r="O325" s="24"/>
      <c r="P325" s="24"/>
      <c r="Q325" s="24"/>
      <c r="R325" s="26"/>
      <c r="S325" s="14">
        <f t="shared" si="13"/>
        <v>7.441159356</v>
      </c>
      <c r="U325" s="21"/>
      <c r="V325" s="21"/>
    </row>
    <row r="326">
      <c r="A326" s="11">
        <v>314.0</v>
      </c>
      <c r="B326" s="11">
        <v>1.42076086956521E9</v>
      </c>
      <c r="C326" s="2">
        <v>-102.4078598</v>
      </c>
      <c r="D326" s="24">
        <f t="shared" si="1"/>
        <v>360869.5652</v>
      </c>
      <c r="E326" s="25">
        <f t="shared" si="2"/>
        <v>-77.1368751</v>
      </c>
      <c r="F326" s="24">
        <f t="shared" si="3"/>
        <v>0.0002137527864</v>
      </c>
      <c r="G326" s="24">
        <f t="shared" si="4"/>
        <v>0</v>
      </c>
      <c r="H326" s="26">
        <f t="shared" si="5"/>
        <v>0</v>
      </c>
      <c r="I326" s="24">
        <f t="shared" si="6"/>
        <v>0</v>
      </c>
      <c r="J326" s="24">
        <f t="shared" si="7"/>
        <v>0</v>
      </c>
      <c r="K326" s="24"/>
      <c r="L326" s="24">
        <f t="shared" si="8"/>
        <v>436.837776</v>
      </c>
      <c r="M326" s="30">
        <f t="shared" si="9"/>
        <v>429.7060313</v>
      </c>
      <c r="N326" s="27">
        <f t="shared" si="10"/>
        <v>7.131744659</v>
      </c>
      <c r="O326" s="24"/>
      <c r="P326" s="24"/>
      <c r="Q326" s="24"/>
      <c r="R326" s="26"/>
      <c r="S326" s="14">
        <f t="shared" si="13"/>
        <v>6.549053541</v>
      </c>
      <c r="U326" s="21"/>
      <c r="V326" s="21"/>
    </row>
    <row r="327">
      <c r="A327" s="11">
        <v>315.0</v>
      </c>
      <c r="B327" s="11">
        <v>1.4207652173913E9</v>
      </c>
      <c r="C327" s="2">
        <v>-102.3937836</v>
      </c>
      <c r="D327" s="24">
        <f t="shared" si="1"/>
        <v>365217.3913</v>
      </c>
      <c r="E327" s="25">
        <f t="shared" si="2"/>
        <v>-78.05517123</v>
      </c>
      <c r="F327" s="24">
        <f t="shared" si="3"/>
        <v>0.0002137224927</v>
      </c>
      <c r="G327" s="24">
        <f t="shared" si="4"/>
        <v>0</v>
      </c>
      <c r="H327" s="26">
        <f t="shared" si="5"/>
        <v>0</v>
      </c>
      <c r="I327" s="24">
        <f t="shared" si="6"/>
        <v>0</v>
      </c>
      <c r="J327" s="24">
        <f t="shared" si="7"/>
        <v>0</v>
      </c>
      <c r="K327" s="24"/>
      <c r="L327" s="24">
        <f t="shared" si="8"/>
        <v>438.2559362</v>
      </c>
      <c r="M327" s="30">
        <f t="shared" si="9"/>
        <v>429.6048735</v>
      </c>
      <c r="N327" s="27">
        <f t="shared" si="10"/>
        <v>8.651062755</v>
      </c>
      <c r="O327" s="24"/>
      <c r="P327" s="24"/>
      <c r="Q327" s="24"/>
      <c r="R327" s="26"/>
      <c r="S327" s="14">
        <f t="shared" si="13"/>
        <v>7.944237454</v>
      </c>
      <c r="U327" s="21"/>
      <c r="V327" s="21"/>
    </row>
    <row r="328">
      <c r="A328" s="11">
        <v>316.0</v>
      </c>
      <c r="B328" s="11">
        <v>1.42076956521739E9</v>
      </c>
      <c r="C328" s="2">
        <v>-102.425766</v>
      </c>
      <c r="D328" s="24">
        <f t="shared" si="1"/>
        <v>369565.2174</v>
      </c>
      <c r="E328" s="25">
        <f t="shared" si="2"/>
        <v>-78.97346736</v>
      </c>
      <c r="F328" s="24">
        <f t="shared" si="3"/>
        <v>0.0002136929117</v>
      </c>
      <c r="G328" s="24">
        <f t="shared" si="4"/>
        <v>0</v>
      </c>
      <c r="H328" s="26">
        <f t="shared" si="5"/>
        <v>0</v>
      </c>
      <c r="I328" s="24">
        <f t="shared" si="6"/>
        <v>0</v>
      </c>
      <c r="J328" s="24">
        <f t="shared" si="7"/>
        <v>0</v>
      </c>
      <c r="K328" s="24"/>
      <c r="L328" s="24">
        <f t="shared" si="8"/>
        <v>435.0403778</v>
      </c>
      <c r="M328" s="30">
        <f t="shared" si="9"/>
        <v>429.5036908</v>
      </c>
      <c r="N328" s="27">
        <f t="shared" si="10"/>
        <v>5.536687007</v>
      </c>
      <c r="O328" s="24"/>
      <c r="P328" s="24"/>
      <c r="Q328" s="24"/>
      <c r="R328" s="26"/>
      <c r="S328" s="14">
        <f t="shared" si="13"/>
        <v>5.084318267</v>
      </c>
      <c r="U328" s="21"/>
      <c r="V328" s="21"/>
    </row>
    <row r="329">
      <c r="A329" s="11">
        <v>317.0</v>
      </c>
      <c r="B329" s="11">
        <v>1.42077391304347E9</v>
      </c>
      <c r="C329" s="2">
        <v>-102.4383621</v>
      </c>
      <c r="D329" s="24">
        <f t="shared" si="1"/>
        <v>373913.0435</v>
      </c>
      <c r="E329" s="25">
        <f t="shared" si="2"/>
        <v>-79.89176349</v>
      </c>
      <c r="F329" s="24">
        <f t="shared" si="3"/>
        <v>0.0002136640187</v>
      </c>
      <c r="G329" s="24">
        <f t="shared" si="4"/>
        <v>0</v>
      </c>
      <c r="H329" s="26">
        <f t="shared" si="5"/>
        <v>0</v>
      </c>
      <c r="I329" s="24">
        <f t="shared" si="6"/>
        <v>0</v>
      </c>
      <c r="J329" s="24">
        <f t="shared" si="7"/>
        <v>0</v>
      </c>
      <c r="K329" s="24"/>
      <c r="L329" s="24">
        <f t="shared" si="8"/>
        <v>433.7804324</v>
      </c>
      <c r="M329" s="30">
        <f t="shared" si="9"/>
        <v>429.4024838</v>
      </c>
      <c r="N329" s="27">
        <f t="shared" si="10"/>
        <v>4.37794861</v>
      </c>
      <c r="O329" s="24"/>
      <c r="P329" s="24"/>
      <c r="Q329" s="24"/>
      <c r="R329" s="26"/>
      <c r="S329" s="14">
        <f t="shared" si="13"/>
        <v>4.020253278</v>
      </c>
      <c r="U329" s="21"/>
      <c r="V329" s="21"/>
    </row>
    <row r="330">
      <c r="A330" s="11">
        <v>318.0</v>
      </c>
      <c r="B330" s="11">
        <v>1.42077826086956E9</v>
      </c>
      <c r="C330" s="2">
        <v>-102.4254456</v>
      </c>
      <c r="D330" s="24">
        <f t="shared" si="1"/>
        <v>378260.8696</v>
      </c>
      <c r="E330" s="25">
        <f t="shared" si="2"/>
        <v>-80.81005963</v>
      </c>
      <c r="F330" s="24">
        <f t="shared" si="3"/>
        <v>0.0002136357898</v>
      </c>
      <c r="G330" s="24">
        <f t="shared" si="4"/>
        <v>0</v>
      </c>
      <c r="H330" s="26">
        <f t="shared" si="5"/>
        <v>0</v>
      </c>
      <c r="I330" s="24">
        <f t="shared" si="6"/>
        <v>0</v>
      </c>
      <c r="J330" s="24">
        <f t="shared" si="7"/>
        <v>0</v>
      </c>
      <c r="K330" s="24"/>
      <c r="L330" s="24">
        <f t="shared" si="8"/>
        <v>435.072474</v>
      </c>
      <c r="M330" s="30">
        <f t="shared" si="9"/>
        <v>429.3012533</v>
      </c>
      <c r="N330" s="27">
        <f t="shared" si="10"/>
        <v>5.771220726</v>
      </c>
      <c r="O330" s="24"/>
      <c r="P330" s="24"/>
      <c r="Q330" s="24"/>
      <c r="R330" s="26"/>
      <c r="S330" s="14">
        <f t="shared" si="13"/>
        <v>5.299689662</v>
      </c>
      <c r="U330" s="21"/>
      <c r="V330" s="21"/>
    </row>
    <row r="331">
      <c r="A331" s="11">
        <v>319.0</v>
      </c>
      <c r="B331" s="11">
        <v>1.42078260869565E9</v>
      </c>
      <c r="C331" s="2">
        <v>-102.3847885</v>
      </c>
      <c r="D331" s="24">
        <f t="shared" si="1"/>
        <v>382608.6957</v>
      </c>
      <c r="E331" s="25">
        <f t="shared" si="2"/>
        <v>-81.72835576</v>
      </c>
      <c r="F331" s="24">
        <f t="shared" si="3"/>
        <v>0.0002136082026</v>
      </c>
      <c r="G331" s="24">
        <f t="shared" si="4"/>
        <v>0</v>
      </c>
      <c r="H331" s="26">
        <f t="shared" si="5"/>
        <v>0</v>
      </c>
      <c r="I331" s="24">
        <f t="shared" si="6"/>
        <v>0</v>
      </c>
      <c r="J331" s="24">
        <f t="shared" si="7"/>
        <v>0</v>
      </c>
      <c r="K331" s="24"/>
      <c r="L331" s="24">
        <f t="shared" si="8"/>
        <v>439.1645919</v>
      </c>
      <c r="M331" s="30">
        <f t="shared" si="9"/>
        <v>429.1999997</v>
      </c>
      <c r="N331" s="27">
        <f t="shared" si="10"/>
        <v>9.964592187</v>
      </c>
      <c r="O331" s="24"/>
      <c r="P331" s="24"/>
      <c r="Q331" s="24"/>
      <c r="R331" s="26"/>
      <c r="S331" s="14">
        <f t="shared" si="13"/>
        <v>9.15044647</v>
      </c>
      <c r="U331" s="21"/>
      <c r="V331" s="21"/>
    </row>
    <row r="332">
      <c r="A332" s="11">
        <v>320.0</v>
      </c>
      <c r="B332" s="11">
        <v>1.42078695652173E9</v>
      </c>
      <c r="C332" s="2">
        <v>-102.4428177</v>
      </c>
      <c r="D332" s="24">
        <f t="shared" si="1"/>
        <v>386956.5217</v>
      </c>
      <c r="E332" s="25">
        <f t="shared" si="2"/>
        <v>-82.64665189</v>
      </c>
      <c r="F332" s="24">
        <f t="shared" si="3"/>
        <v>0.0002135812352</v>
      </c>
      <c r="G332" s="24">
        <f t="shared" si="4"/>
        <v>0</v>
      </c>
      <c r="H332" s="26">
        <f t="shared" si="5"/>
        <v>0</v>
      </c>
      <c r="I332" s="24">
        <f t="shared" si="6"/>
        <v>0</v>
      </c>
      <c r="J332" s="24">
        <f t="shared" si="7"/>
        <v>0</v>
      </c>
      <c r="K332" s="24"/>
      <c r="L332" s="24">
        <f t="shared" si="8"/>
        <v>433.335628</v>
      </c>
      <c r="M332" s="30">
        <f t="shared" si="9"/>
        <v>429.0987237</v>
      </c>
      <c r="N332" s="27">
        <f t="shared" si="10"/>
        <v>4.236904365</v>
      </c>
      <c r="O332" s="24"/>
      <c r="P332" s="24"/>
      <c r="Q332" s="24"/>
      <c r="R332" s="26"/>
      <c r="S332" s="14">
        <f t="shared" si="13"/>
        <v>3.890732893</v>
      </c>
      <c r="U332" s="21"/>
      <c r="V332" s="21"/>
    </row>
    <row r="333">
      <c r="A333" s="11">
        <v>321.0</v>
      </c>
      <c r="B333" s="11">
        <v>1.42079130434782E9</v>
      </c>
      <c r="C333" s="2">
        <v>-102.4696808</v>
      </c>
      <c r="D333" s="24">
        <f t="shared" si="1"/>
        <v>391304.3478</v>
      </c>
      <c r="E333" s="25">
        <f t="shared" si="2"/>
        <v>-83.56494802</v>
      </c>
      <c r="F333" s="24">
        <f t="shared" si="3"/>
        <v>0.0002135548672</v>
      </c>
      <c r="G333" s="24">
        <f t="shared" si="4"/>
        <v>0</v>
      </c>
      <c r="H333" s="26">
        <f t="shared" si="5"/>
        <v>0</v>
      </c>
      <c r="I333" s="24">
        <f t="shared" si="6"/>
        <v>0</v>
      </c>
      <c r="J333" s="24">
        <f t="shared" si="7"/>
        <v>0</v>
      </c>
      <c r="K333" s="24"/>
      <c r="L333" s="24">
        <f t="shared" si="8"/>
        <v>430.6635216</v>
      </c>
      <c r="M333" s="30">
        <f t="shared" si="9"/>
        <v>428.9974259</v>
      </c>
      <c r="N333" s="27">
        <f t="shared" si="10"/>
        <v>1.666095744</v>
      </c>
      <c r="O333" s="24"/>
      <c r="P333" s="24"/>
      <c r="Q333" s="24"/>
      <c r="R333" s="26"/>
      <c r="S333" s="14">
        <f t="shared" si="13"/>
        <v>1.529969279</v>
      </c>
      <c r="U333" s="21"/>
      <c r="V333" s="21"/>
    </row>
    <row r="334">
      <c r="A334" s="11">
        <v>322.0</v>
      </c>
      <c r="B334" s="11">
        <v>1.42079565217391E9</v>
      </c>
      <c r="C334" s="2">
        <v>-102.4379425</v>
      </c>
      <c r="D334" s="24">
        <f t="shared" si="1"/>
        <v>395652.1739</v>
      </c>
      <c r="E334" s="25">
        <f t="shared" si="2"/>
        <v>-84.48324416</v>
      </c>
      <c r="F334" s="24">
        <f t="shared" si="3"/>
        <v>0.0002135290786</v>
      </c>
      <c r="G334" s="24">
        <f t="shared" si="4"/>
        <v>0</v>
      </c>
      <c r="H334" s="26">
        <f t="shared" si="5"/>
        <v>0</v>
      </c>
      <c r="I334" s="24">
        <f t="shared" si="6"/>
        <v>0</v>
      </c>
      <c r="J334" s="24">
        <f t="shared" si="7"/>
        <v>0</v>
      </c>
      <c r="K334" s="24"/>
      <c r="L334" s="24">
        <f t="shared" si="8"/>
        <v>433.8223448</v>
      </c>
      <c r="M334" s="30">
        <f t="shared" si="9"/>
        <v>428.8961069</v>
      </c>
      <c r="N334" s="27">
        <f t="shared" si="10"/>
        <v>4.926237948</v>
      </c>
      <c r="O334" s="24"/>
      <c r="P334" s="24"/>
      <c r="Q334" s="24"/>
      <c r="R334" s="26"/>
      <c r="S334" s="14">
        <f t="shared" si="13"/>
        <v>4.523745247</v>
      </c>
      <c r="U334" s="21"/>
      <c r="V334" s="21"/>
    </row>
    <row r="335">
      <c r="A335" s="11">
        <v>323.0</v>
      </c>
      <c r="B335" s="11">
        <v>1.4208E9</v>
      </c>
      <c r="C335" s="2">
        <v>-102.378685</v>
      </c>
      <c r="D335" s="24">
        <f t="shared" si="1"/>
        <v>400000</v>
      </c>
      <c r="E335" s="25">
        <f t="shared" si="2"/>
        <v>-85.40154029</v>
      </c>
      <c r="F335" s="24">
        <f t="shared" si="3"/>
        <v>0.0002135038507</v>
      </c>
      <c r="G335" s="24">
        <f t="shared" si="4"/>
        <v>0</v>
      </c>
      <c r="H335" s="26">
        <f t="shared" si="5"/>
        <v>0</v>
      </c>
      <c r="I335" s="24">
        <f t="shared" si="6"/>
        <v>0</v>
      </c>
      <c r="J335" s="24">
        <f t="shared" si="7"/>
        <v>0</v>
      </c>
      <c r="K335" s="24"/>
      <c r="L335" s="24">
        <f t="shared" si="8"/>
        <v>439.7822201</v>
      </c>
      <c r="M335" s="30">
        <f t="shared" si="9"/>
        <v>428.7947673</v>
      </c>
      <c r="N335" s="27">
        <f t="shared" si="10"/>
        <v>10.98745288</v>
      </c>
      <c r="O335" s="24"/>
      <c r="P335" s="24"/>
      <c r="Q335" s="24"/>
      <c r="R335" s="26"/>
      <c r="S335" s="14">
        <f t="shared" si="13"/>
        <v>10.08973549</v>
      </c>
      <c r="U335" s="21"/>
      <c r="V335" s="21"/>
    </row>
    <row r="336">
      <c r="A336" s="11">
        <v>324.0</v>
      </c>
      <c r="B336" s="11">
        <v>1.42080434782608E9</v>
      </c>
      <c r="C336" s="2">
        <v>-102.4344482</v>
      </c>
      <c r="D336" s="24">
        <f t="shared" si="1"/>
        <v>404347.8261</v>
      </c>
      <c r="E336" s="25">
        <f t="shared" si="2"/>
        <v>-86.31983642</v>
      </c>
      <c r="F336" s="24">
        <f t="shared" si="3"/>
        <v>0.0002134791653</v>
      </c>
      <c r="G336" s="24">
        <f t="shared" si="4"/>
        <v>0</v>
      </c>
      <c r="H336" s="26">
        <f t="shared" si="5"/>
        <v>0</v>
      </c>
      <c r="I336" s="24">
        <f t="shared" si="6"/>
        <v>0</v>
      </c>
      <c r="J336" s="24">
        <f t="shared" si="7"/>
        <v>0</v>
      </c>
      <c r="K336" s="24"/>
      <c r="L336" s="24">
        <f t="shared" si="8"/>
        <v>434.1715354</v>
      </c>
      <c r="M336" s="30">
        <f t="shared" si="9"/>
        <v>428.6934077</v>
      </c>
      <c r="N336" s="27">
        <f t="shared" si="10"/>
        <v>5.478127711</v>
      </c>
      <c r="O336" s="24"/>
      <c r="P336" s="24"/>
      <c r="Q336" s="24"/>
      <c r="R336" s="26"/>
      <c r="S336" s="14">
        <f t="shared" si="13"/>
        <v>5.030543492</v>
      </c>
      <c r="U336" s="21"/>
      <c r="V336" s="21"/>
    </row>
    <row r="337">
      <c r="A337" s="11">
        <v>325.0</v>
      </c>
      <c r="B337" s="11">
        <v>1.42080869565217E9</v>
      </c>
      <c r="C337" s="2">
        <v>-102.5059052</v>
      </c>
      <c r="D337" s="24">
        <f t="shared" si="1"/>
        <v>408695.6522</v>
      </c>
      <c r="E337" s="25">
        <f t="shared" si="2"/>
        <v>-87.23813255</v>
      </c>
      <c r="F337" s="24">
        <f t="shared" si="3"/>
        <v>0.0002134550052</v>
      </c>
      <c r="G337" s="24">
        <f t="shared" si="4"/>
        <v>0</v>
      </c>
      <c r="H337" s="26">
        <f t="shared" si="5"/>
        <v>0</v>
      </c>
      <c r="I337" s="24">
        <f t="shared" si="6"/>
        <v>0</v>
      </c>
      <c r="J337" s="24">
        <f t="shared" si="7"/>
        <v>0</v>
      </c>
      <c r="K337" s="24"/>
      <c r="L337" s="24">
        <f t="shared" si="8"/>
        <v>427.0863068</v>
      </c>
      <c r="M337" s="30">
        <f t="shared" si="9"/>
        <v>428.5920287</v>
      </c>
      <c r="N337" s="27">
        <f t="shared" si="10"/>
        <v>-1.505721882</v>
      </c>
      <c r="O337" s="24"/>
      <c r="P337" s="24"/>
      <c r="Q337" s="24"/>
      <c r="R337" s="26"/>
      <c r="S337" s="14">
        <f t="shared" si="13"/>
        <v>-1.382698578</v>
      </c>
      <c r="U337" s="21"/>
      <c r="V337" s="21"/>
    </row>
    <row r="338">
      <c r="A338" s="11">
        <v>326.0</v>
      </c>
      <c r="B338" s="11">
        <v>1.42081304347826E9</v>
      </c>
      <c r="C338" s="2">
        <v>-102.46875</v>
      </c>
      <c r="D338" s="24">
        <f t="shared" si="1"/>
        <v>413043.4783</v>
      </c>
      <c r="E338" s="25">
        <f t="shared" si="2"/>
        <v>-88.15642868</v>
      </c>
      <c r="F338" s="24">
        <f t="shared" si="3"/>
        <v>0.0002134313537</v>
      </c>
      <c r="G338" s="24">
        <f t="shared" si="4"/>
        <v>0</v>
      </c>
      <c r="H338" s="26">
        <f t="shared" si="5"/>
        <v>0</v>
      </c>
      <c r="I338" s="24">
        <f t="shared" si="6"/>
        <v>0</v>
      </c>
      <c r="J338" s="24">
        <f t="shared" si="7"/>
        <v>0</v>
      </c>
      <c r="K338" s="24"/>
      <c r="L338" s="24">
        <f t="shared" si="8"/>
        <v>430.7558333</v>
      </c>
      <c r="M338" s="30">
        <f t="shared" si="9"/>
        <v>428.490631</v>
      </c>
      <c r="N338" s="27">
        <f t="shared" si="10"/>
        <v>2.265202306</v>
      </c>
      <c r="O338" s="24"/>
      <c r="P338" s="24"/>
      <c r="Q338" s="24"/>
      <c r="R338" s="26"/>
      <c r="S338" s="14">
        <f t="shared" si="13"/>
        <v>2.080126517</v>
      </c>
      <c r="U338" s="21"/>
      <c r="V338" s="21"/>
    </row>
    <row r="339">
      <c r="A339" s="11">
        <v>327.0</v>
      </c>
      <c r="B339" s="11">
        <v>1.42081739130434E9</v>
      </c>
      <c r="C339" s="2">
        <v>-102.4517288</v>
      </c>
      <c r="D339" s="24">
        <f t="shared" si="1"/>
        <v>417391.3043</v>
      </c>
      <c r="E339" s="25">
        <f t="shared" si="2"/>
        <v>-89.07472482</v>
      </c>
      <c r="F339" s="24">
        <f t="shared" si="3"/>
        <v>0.0002134081949</v>
      </c>
      <c r="G339" s="24">
        <f t="shared" si="4"/>
        <v>0</v>
      </c>
      <c r="H339" s="26">
        <f t="shared" si="5"/>
        <v>0</v>
      </c>
      <c r="I339" s="24">
        <f t="shared" si="6"/>
        <v>0</v>
      </c>
      <c r="J339" s="24">
        <f t="shared" si="7"/>
        <v>0</v>
      </c>
      <c r="K339" s="24"/>
      <c r="L339" s="24">
        <f t="shared" si="8"/>
        <v>432.447397</v>
      </c>
      <c r="M339" s="30">
        <f t="shared" si="9"/>
        <v>428.3892151</v>
      </c>
      <c r="N339" s="27">
        <f t="shared" si="10"/>
        <v>4.058181938</v>
      </c>
      <c r="O339" s="24"/>
      <c r="P339" s="24"/>
      <c r="Q339" s="24"/>
      <c r="R339" s="26"/>
      <c r="S339" s="14">
        <f t="shared" si="13"/>
        <v>3.72661278</v>
      </c>
      <c r="U339" s="21"/>
      <c r="V339" s="21"/>
    </row>
    <row r="340">
      <c r="A340" s="11">
        <v>328.0</v>
      </c>
      <c r="B340" s="11">
        <v>1.42082173913043E9</v>
      </c>
      <c r="C340" s="2">
        <v>-102.4993744</v>
      </c>
      <c r="D340" s="24">
        <f t="shared" si="1"/>
        <v>421739.1304</v>
      </c>
      <c r="E340" s="25">
        <f t="shared" si="2"/>
        <v>-89.99302095</v>
      </c>
      <c r="F340" s="24">
        <f t="shared" si="3"/>
        <v>0.0002133855136</v>
      </c>
      <c r="G340" s="24">
        <f t="shared" si="4"/>
        <v>0</v>
      </c>
      <c r="H340" s="26">
        <f t="shared" si="5"/>
        <v>0</v>
      </c>
      <c r="I340" s="24">
        <f t="shared" si="6"/>
        <v>0</v>
      </c>
      <c r="J340" s="24">
        <f t="shared" si="7"/>
        <v>0</v>
      </c>
      <c r="K340" s="24"/>
      <c r="L340" s="24">
        <f t="shared" si="8"/>
        <v>427.7290305</v>
      </c>
      <c r="M340" s="30">
        <f t="shared" si="9"/>
        <v>428.2877817</v>
      </c>
      <c r="N340" s="27">
        <f t="shared" si="10"/>
        <v>-0.558751153</v>
      </c>
      <c r="O340" s="24"/>
      <c r="P340" s="24"/>
      <c r="Q340" s="24"/>
      <c r="R340" s="26"/>
      <c r="S340" s="14">
        <f t="shared" si="13"/>
        <v>-0.5130990218</v>
      </c>
      <c r="U340" s="21"/>
      <c r="V340" s="21"/>
    </row>
    <row r="341">
      <c r="A341" s="11">
        <v>329.0</v>
      </c>
      <c r="B341" s="11">
        <v>1.42082608695652E9</v>
      </c>
      <c r="C341" s="2">
        <v>-102.4414902</v>
      </c>
      <c r="D341" s="24">
        <f t="shared" si="1"/>
        <v>426086.9565</v>
      </c>
      <c r="E341" s="25">
        <f t="shared" si="2"/>
        <v>-90.91131708</v>
      </c>
      <c r="F341" s="24">
        <f t="shared" si="3"/>
        <v>0.0002133632952</v>
      </c>
      <c r="G341" s="24">
        <f t="shared" si="4"/>
        <v>0</v>
      </c>
      <c r="H341" s="26">
        <f t="shared" si="5"/>
        <v>0</v>
      </c>
      <c r="I341" s="24">
        <f t="shared" si="6"/>
        <v>0</v>
      </c>
      <c r="J341" s="24">
        <f t="shared" si="7"/>
        <v>0</v>
      </c>
      <c r="K341" s="24"/>
      <c r="L341" s="24">
        <f t="shared" si="8"/>
        <v>433.4681052</v>
      </c>
      <c r="M341" s="30">
        <f t="shared" si="9"/>
        <v>428.1863313</v>
      </c>
      <c r="N341" s="27">
        <f t="shared" si="10"/>
        <v>5.281773909</v>
      </c>
      <c r="O341" s="24"/>
      <c r="P341" s="24"/>
      <c r="Q341" s="24"/>
      <c r="R341" s="26"/>
      <c r="S341" s="14">
        <f t="shared" si="13"/>
        <v>4.850232555</v>
      </c>
      <c r="U341" s="21"/>
      <c r="V341" s="21"/>
    </row>
    <row r="342">
      <c r="A342" s="11">
        <v>330.0</v>
      </c>
      <c r="B342" s="11">
        <v>1.4208304347826E9</v>
      </c>
      <c r="C342" s="2">
        <v>-102.5265427</v>
      </c>
      <c r="D342" s="24">
        <f t="shared" si="1"/>
        <v>430434.7826</v>
      </c>
      <c r="E342" s="25">
        <f t="shared" si="2"/>
        <v>-91.82961321</v>
      </c>
      <c r="F342" s="24">
        <f t="shared" si="3"/>
        <v>0.0002133415256</v>
      </c>
      <c r="G342" s="24">
        <f t="shared" si="4"/>
        <v>0</v>
      </c>
      <c r="H342" s="26">
        <f t="shared" si="5"/>
        <v>0</v>
      </c>
      <c r="I342" s="24">
        <f t="shared" si="6"/>
        <v>0</v>
      </c>
      <c r="J342" s="24">
        <f t="shared" si="7"/>
        <v>0</v>
      </c>
      <c r="K342" s="24"/>
      <c r="L342" s="24">
        <f t="shared" si="8"/>
        <v>425.0616242</v>
      </c>
      <c r="M342" s="30">
        <f t="shared" si="9"/>
        <v>428.0848646</v>
      </c>
      <c r="N342" s="27">
        <f t="shared" si="10"/>
        <v>-3.023240357</v>
      </c>
      <c r="O342" s="24"/>
      <c r="P342" s="24"/>
      <c r="Q342" s="24"/>
      <c r="R342" s="26"/>
      <c r="S342" s="14">
        <f t="shared" si="13"/>
        <v>-2.776229928</v>
      </c>
      <c r="U342" s="21"/>
      <c r="V342" s="21"/>
    </row>
    <row r="343">
      <c r="A343" s="11">
        <v>331.0</v>
      </c>
      <c r="B343" s="11">
        <v>1.42083478260869E9</v>
      </c>
      <c r="C343" s="2">
        <v>-102.3999023</v>
      </c>
      <c r="D343" s="24">
        <f t="shared" si="1"/>
        <v>434782.6087</v>
      </c>
      <c r="E343" s="25">
        <f t="shared" si="2"/>
        <v>-92.74790935</v>
      </c>
      <c r="F343" s="24">
        <f t="shared" si="3"/>
        <v>0.0002133201915</v>
      </c>
      <c r="G343" s="24">
        <f t="shared" si="4"/>
        <v>0</v>
      </c>
      <c r="H343" s="26">
        <f t="shared" si="5"/>
        <v>0</v>
      </c>
      <c r="I343" s="24">
        <f t="shared" si="6"/>
        <v>0</v>
      </c>
      <c r="J343" s="24">
        <f t="shared" si="7"/>
        <v>0</v>
      </c>
      <c r="K343" s="24"/>
      <c r="L343" s="24">
        <f t="shared" si="8"/>
        <v>437.6389198</v>
      </c>
      <c r="M343" s="30">
        <f t="shared" si="9"/>
        <v>427.9833821</v>
      </c>
      <c r="N343" s="27">
        <f t="shared" si="10"/>
        <v>9.655537642</v>
      </c>
      <c r="O343" s="24"/>
      <c r="P343" s="24"/>
      <c r="Q343" s="24"/>
      <c r="R343" s="26"/>
      <c r="S343" s="14">
        <f t="shared" si="13"/>
        <v>8.866642876</v>
      </c>
      <c r="U343" s="21"/>
      <c r="V343" s="21"/>
    </row>
    <row r="344">
      <c r="A344" s="11">
        <v>332.0</v>
      </c>
      <c r="B344" s="11">
        <v>1.42083913043478E9</v>
      </c>
      <c r="C344" s="2">
        <v>-102.5015717</v>
      </c>
      <c r="D344" s="24">
        <f t="shared" si="1"/>
        <v>439130.4348</v>
      </c>
      <c r="E344" s="25">
        <f t="shared" si="2"/>
        <v>-93.66620548</v>
      </c>
      <c r="F344" s="24">
        <f t="shared" si="3"/>
        <v>0.0002132992798</v>
      </c>
      <c r="G344" s="24">
        <f t="shared" si="4"/>
        <v>0</v>
      </c>
      <c r="H344" s="26">
        <f t="shared" si="5"/>
        <v>0</v>
      </c>
      <c r="I344" s="24">
        <f t="shared" si="6"/>
        <v>0</v>
      </c>
      <c r="J344" s="24">
        <f t="shared" si="7"/>
        <v>0</v>
      </c>
      <c r="K344" s="24"/>
      <c r="L344" s="24">
        <f t="shared" si="8"/>
        <v>427.512677</v>
      </c>
      <c r="M344" s="30">
        <f t="shared" si="9"/>
        <v>427.8818846</v>
      </c>
      <c r="N344" s="27">
        <f t="shared" si="10"/>
        <v>-0.3692075267</v>
      </c>
      <c r="O344" s="24"/>
      <c r="P344" s="24"/>
      <c r="Q344" s="24"/>
      <c r="R344" s="26"/>
      <c r="S344" s="14">
        <f t="shared" si="13"/>
        <v>-0.3390418432</v>
      </c>
      <c r="U344" s="21"/>
      <c r="V344" s="21"/>
    </row>
    <row r="345">
      <c r="A345" s="11">
        <v>333.0</v>
      </c>
      <c r="B345" s="11">
        <v>1.42084347826087E9</v>
      </c>
      <c r="C345" s="2">
        <v>-102.4379959</v>
      </c>
      <c r="D345" s="24">
        <f t="shared" si="1"/>
        <v>443478.2609</v>
      </c>
      <c r="E345" s="25">
        <f t="shared" si="2"/>
        <v>-94.58450161</v>
      </c>
      <c r="F345" s="24">
        <f t="shared" si="3"/>
        <v>0.0002132787781</v>
      </c>
      <c r="G345" s="24">
        <f t="shared" si="4"/>
        <v>0</v>
      </c>
      <c r="H345" s="26">
        <f t="shared" si="5"/>
        <v>0</v>
      </c>
      <c r="I345" s="24">
        <f t="shared" si="6"/>
        <v>0</v>
      </c>
      <c r="J345" s="24">
        <f t="shared" si="7"/>
        <v>0</v>
      </c>
      <c r="K345" s="24"/>
      <c r="L345" s="24">
        <f t="shared" si="8"/>
        <v>433.8170106</v>
      </c>
      <c r="M345" s="30">
        <f t="shared" si="9"/>
        <v>427.7803725</v>
      </c>
      <c r="N345" s="27">
        <f t="shared" si="10"/>
        <v>6.036638178</v>
      </c>
      <c r="O345" s="24"/>
      <c r="P345" s="24"/>
      <c r="Q345" s="24"/>
      <c r="R345" s="26"/>
      <c r="S345" s="14">
        <f t="shared" si="13"/>
        <v>5.543421493</v>
      </c>
      <c r="U345" s="21"/>
      <c r="V345" s="21"/>
    </row>
    <row r="346">
      <c r="A346" s="11">
        <v>334.0</v>
      </c>
      <c r="B346" s="11">
        <v>1.42084782608695E9</v>
      </c>
      <c r="C346" s="2">
        <v>-102.447197</v>
      </c>
      <c r="D346" s="24">
        <f t="shared" si="1"/>
        <v>447826.087</v>
      </c>
      <c r="E346" s="25">
        <f t="shared" si="2"/>
        <v>-95.50279774</v>
      </c>
      <c r="F346" s="24">
        <f t="shared" si="3"/>
        <v>0.0002132586746</v>
      </c>
      <c r="G346" s="24">
        <f t="shared" si="4"/>
        <v>0</v>
      </c>
      <c r="H346" s="26">
        <f t="shared" si="5"/>
        <v>0</v>
      </c>
      <c r="I346" s="24">
        <f t="shared" si="6"/>
        <v>0</v>
      </c>
      <c r="J346" s="24">
        <f t="shared" si="7"/>
        <v>0</v>
      </c>
      <c r="K346" s="24"/>
      <c r="L346" s="24">
        <f t="shared" si="8"/>
        <v>432.8988852</v>
      </c>
      <c r="M346" s="30">
        <f t="shared" si="9"/>
        <v>427.6788465</v>
      </c>
      <c r="N346" s="27">
        <f t="shared" si="10"/>
        <v>5.220038681</v>
      </c>
      <c r="O346" s="24"/>
      <c r="P346" s="24"/>
      <c r="Q346" s="24"/>
      <c r="R346" s="26"/>
      <c r="S346" s="14">
        <f t="shared" si="13"/>
        <v>4.793541334</v>
      </c>
      <c r="U346" s="21"/>
      <c r="V346" s="21"/>
    </row>
    <row r="347">
      <c r="A347" s="11">
        <v>335.0</v>
      </c>
      <c r="B347" s="11">
        <v>1.42085217391304E9</v>
      </c>
      <c r="C347" s="2">
        <v>-102.5190048</v>
      </c>
      <c r="D347" s="24">
        <f t="shared" si="1"/>
        <v>452173.913</v>
      </c>
      <c r="E347" s="25">
        <f t="shared" si="2"/>
        <v>-96.42109387</v>
      </c>
      <c r="F347" s="24">
        <f t="shared" si="3"/>
        <v>0.0002132389576</v>
      </c>
      <c r="G347" s="24">
        <f t="shared" si="4"/>
        <v>0</v>
      </c>
      <c r="H347" s="26">
        <f t="shared" si="5"/>
        <v>0</v>
      </c>
      <c r="I347" s="24">
        <f t="shared" si="6"/>
        <v>0</v>
      </c>
      <c r="J347" s="24">
        <f t="shared" si="7"/>
        <v>0</v>
      </c>
      <c r="K347" s="24"/>
      <c r="L347" s="24">
        <f t="shared" si="8"/>
        <v>425.8000297</v>
      </c>
      <c r="M347" s="30">
        <f t="shared" si="9"/>
        <v>427.5773072</v>
      </c>
      <c r="N347" s="27">
        <f t="shared" si="10"/>
        <v>-1.777277506</v>
      </c>
      <c r="O347" s="24"/>
      <c r="P347" s="24"/>
      <c r="Q347" s="24"/>
      <c r="R347" s="26"/>
      <c r="S347" s="14">
        <f t="shared" si="13"/>
        <v>-1.632067057</v>
      </c>
      <c r="U347" s="21"/>
      <c r="V347" s="21"/>
    </row>
    <row r="348">
      <c r="A348" s="11">
        <v>336.0</v>
      </c>
      <c r="B348" s="11">
        <v>1.42085652173913E9</v>
      </c>
      <c r="C348" s="2">
        <v>-102.4806213</v>
      </c>
      <c r="D348" s="24">
        <f t="shared" si="1"/>
        <v>456521.7391</v>
      </c>
      <c r="E348" s="25">
        <f t="shared" si="2"/>
        <v>-97.33939</v>
      </c>
      <c r="F348" s="24">
        <f t="shared" si="3"/>
        <v>0.0002132196162</v>
      </c>
      <c r="G348" s="24">
        <f t="shared" si="4"/>
        <v>0</v>
      </c>
      <c r="H348" s="26">
        <f t="shared" si="5"/>
        <v>0</v>
      </c>
      <c r="I348" s="24">
        <f t="shared" si="6"/>
        <v>0</v>
      </c>
      <c r="J348" s="24">
        <f t="shared" si="7"/>
        <v>0</v>
      </c>
      <c r="K348" s="24"/>
      <c r="L348" s="24">
        <f t="shared" si="8"/>
        <v>429.5799839</v>
      </c>
      <c r="M348" s="30">
        <f t="shared" si="9"/>
        <v>427.4757552</v>
      </c>
      <c r="N348" s="27">
        <f t="shared" si="10"/>
        <v>2.104228673</v>
      </c>
      <c r="O348" s="24"/>
      <c r="P348" s="24"/>
      <c r="Q348" s="24"/>
      <c r="R348" s="26"/>
      <c r="S348" s="14">
        <f t="shared" si="13"/>
        <v>1.932305053</v>
      </c>
      <c r="U348" s="21"/>
      <c r="V348" s="21"/>
    </row>
    <row r="349">
      <c r="A349" s="11">
        <v>337.0</v>
      </c>
      <c r="B349" s="11">
        <v>1.42086086956521E9</v>
      </c>
      <c r="C349" s="2">
        <v>-102.4671555</v>
      </c>
      <c r="D349" s="24">
        <f t="shared" si="1"/>
        <v>460869.5652</v>
      </c>
      <c r="E349" s="25">
        <f t="shared" si="2"/>
        <v>-98.25768614</v>
      </c>
      <c r="F349" s="24">
        <f t="shared" si="3"/>
        <v>0.0002132006397</v>
      </c>
      <c r="G349" s="24">
        <f t="shared" si="4"/>
        <v>0</v>
      </c>
      <c r="H349" s="26">
        <f t="shared" si="5"/>
        <v>0</v>
      </c>
      <c r="I349" s="24">
        <f t="shared" si="6"/>
        <v>0</v>
      </c>
      <c r="J349" s="24">
        <f t="shared" si="7"/>
        <v>0</v>
      </c>
      <c r="K349" s="24"/>
      <c r="L349" s="24">
        <f t="shared" si="8"/>
        <v>430.9140131</v>
      </c>
      <c r="M349" s="30">
        <f t="shared" si="9"/>
        <v>427.3741912</v>
      </c>
      <c r="N349" s="27">
        <f t="shared" si="10"/>
        <v>3.539821977</v>
      </c>
      <c r="O349" s="24"/>
      <c r="P349" s="24"/>
      <c r="Q349" s="24"/>
      <c r="R349" s="26"/>
      <c r="S349" s="14">
        <f t="shared" si="13"/>
        <v>3.250604833</v>
      </c>
      <c r="U349" s="21"/>
      <c r="V349" s="21"/>
    </row>
    <row r="350">
      <c r="A350" s="11">
        <v>338.0</v>
      </c>
      <c r="B350" s="11">
        <v>1.4208652173913E9</v>
      </c>
      <c r="C350" s="2">
        <v>-102.4671097</v>
      </c>
      <c r="D350" s="24">
        <f t="shared" si="1"/>
        <v>465217.3913</v>
      </c>
      <c r="E350" s="25">
        <f t="shared" si="2"/>
        <v>-99.17598227</v>
      </c>
      <c r="F350" s="24">
        <f t="shared" si="3"/>
        <v>0.000213182018</v>
      </c>
      <c r="G350" s="24">
        <f t="shared" si="4"/>
        <v>0</v>
      </c>
      <c r="H350" s="26">
        <f t="shared" si="5"/>
        <v>0</v>
      </c>
      <c r="I350" s="24">
        <f t="shared" si="6"/>
        <v>0</v>
      </c>
      <c r="J350" s="24">
        <f t="shared" si="7"/>
        <v>0</v>
      </c>
      <c r="K350" s="24"/>
      <c r="L350" s="24">
        <f t="shared" si="8"/>
        <v>430.9185575</v>
      </c>
      <c r="M350" s="30">
        <f t="shared" si="9"/>
        <v>427.2726156</v>
      </c>
      <c r="N350" s="27">
        <f t="shared" si="10"/>
        <v>3.645941887</v>
      </c>
      <c r="O350" s="24"/>
      <c r="P350" s="24"/>
      <c r="Q350" s="24"/>
      <c r="R350" s="26"/>
      <c r="S350" s="14">
        <f t="shared" si="13"/>
        <v>3.348054327</v>
      </c>
      <c r="U350" s="21"/>
      <c r="V350" s="21"/>
    </row>
    <row r="351">
      <c r="A351" s="11">
        <v>339.0</v>
      </c>
      <c r="B351" s="11">
        <v>1.42086956521739E9</v>
      </c>
      <c r="C351" s="2">
        <v>-102.4399643</v>
      </c>
      <c r="D351" s="24">
        <f t="shared" si="1"/>
        <v>469565.2174</v>
      </c>
      <c r="E351" s="25">
        <f t="shared" si="2"/>
        <v>-100.0942784</v>
      </c>
      <c r="F351" s="24">
        <f t="shared" si="3"/>
        <v>0.000213163741</v>
      </c>
      <c r="G351" s="24">
        <f t="shared" si="4"/>
        <v>0</v>
      </c>
      <c r="H351" s="26">
        <f t="shared" si="5"/>
        <v>0</v>
      </c>
      <c r="I351" s="24">
        <f t="shared" si="6"/>
        <v>0</v>
      </c>
      <c r="J351" s="24">
        <f t="shared" si="7"/>
        <v>0</v>
      </c>
      <c r="K351" s="24"/>
      <c r="L351" s="24">
        <f t="shared" si="8"/>
        <v>433.6204316</v>
      </c>
      <c r="M351" s="30">
        <f t="shared" si="9"/>
        <v>427.1710292</v>
      </c>
      <c r="N351" s="27">
        <f t="shared" si="10"/>
        <v>6.449402392</v>
      </c>
      <c r="O351" s="24"/>
      <c r="P351" s="24"/>
      <c r="Q351" s="24"/>
      <c r="R351" s="26"/>
      <c r="S351" s="14">
        <f t="shared" si="13"/>
        <v>5.922461275</v>
      </c>
      <c r="U351" s="21"/>
      <c r="V351" s="21"/>
    </row>
    <row r="352">
      <c r="A352" s="11">
        <v>340.0</v>
      </c>
      <c r="B352" s="11">
        <v>1.42087391304347E9</v>
      </c>
      <c r="C352" s="2">
        <v>-102.4374084</v>
      </c>
      <c r="D352" s="24">
        <f t="shared" si="1"/>
        <v>473913.0435</v>
      </c>
      <c r="E352" s="25">
        <f t="shared" si="2"/>
        <v>-101.0125745</v>
      </c>
      <c r="F352" s="24">
        <f t="shared" si="3"/>
        <v>0.0002131457995</v>
      </c>
      <c r="G352" s="24">
        <f t="shared" si="4"/>
        <v>0</v>
      </c>
      <c r="H352" s="26">
        <f t="shared" si="5"/>
        <v>0</v>
      </c>
      <c r="I352" s="24">
        <f t="shared" si="6"/>
        <v>0</v>
      </c>
      <c r="J352" s="24">
        <f t="shared" si="7"/>
        <v>0</v>
      </c>
      <c r="K352" s="24"/>
      <c r="L352" s="24">
        <f t="shared" si="8"/>
        <v>433.8757</v>
      </c>
      <c r="M352" s="30">
        <f t="shared" si="9"/>
        <v>427.0694326</v>
      </c>
      <c r="N352" s="27">
        <f t="shared" si="10"/>
        <v>6.806267471</v>
      </c>
      <c r="O352" s="24"/>
      <c r="P352" s="24"/>
      <c r="Q352" s="24"/>
      <c r="R352" s="26"/>
      <c r="S352" s="14">
        <f t="shared" si="13"/>
        <v>6.250169098</v>
      </c>
      <c r="U352" s="21"/>
      <c r="V352" s="21"/>
    </row>
    <row r="353">
      <c r="A353" s="11">
        <v>341.0</v>
      </c>
      <c r="B353" s="11">
        <v>1.42087826086956E9</v>
      </c>
      <c r="C353" s="2">
        <v>-102.5387344</v>
      </c>
      <c r="D353" s="24">
        <f t="shared" si="1"/>
        <v>478260.8696</v>
      </c>
      <c r="E353" s="25">
        <f t="shared" si="2"/>
        <v>-101.9308707</v>
      </c>
      <c r="F353" s="24">
        <f t="shared" si="3"/>
        <v>0.0002131281841</v>
      </c>
      <c r="G353" s="24">
        <f t="shared" si="4"/>
        <v>0</v>
      </c>
      <c r="H353" s="26">
        <f t="shared" si="5"/>
        <v>0</v>
      </c>
      <c r="I353" s="24">
        <f t="shared" si="6"/>
        <v>0</v>
      </c>
      <c r="J353" s="24">
        <f t="shared" si="7"/>
        <v>0</v>
      </c>
      <c r="K353" s="24"/>
      <c r="L353" s="24">
        <f t="shared" si="8"/>
        <v>423.8700464</v>
      </c>
      <c r="M353" s="30">
        <f t="shared" si="9"/>
        <v>426.9678262</v>
      </c>
      <c r="N353" s="27">
        <f t="shared" si="10"/>
        <v>-3.097779848</v>
      </c>
      <c r="O353" s="24"/>
      <c r="P353" s="24"/>
      <c r="Q353" s="24"/>
      <c r="R353" s="26"/>
      <c r="S353" s="14">
        <f t="shared" si="13"/>
        <v>-2.844679248</v>
      </c>
      <c r="U353" s="21"/>
      <c r="V353" s="21"/>
    </row>
    <row r="354">
      <c r="A354" s="11">
        <v>342.0</v>
      </c>
      <c r="B354" s="11">
        <v>1.42088260869565E9</v>
      </c>
      <c r="C354" s="2">
        <v>-102.5022736</v>
      </c>
      <c r="D354" s="24">
        <f t="shared" si="1"/>
        <v>482608.6957</v>
      </c>
      <c r="E354" s="25">
        <f t="shared" si="2"/>
        <v>-102.8491668</v>
      </c>
      <c r="F354" s="24">
        <f t="shared" si="3"/>
        <v>0.0002131108862</v>
      </c>
      <c r="G354" s="24">
        <f t="shared" si="4"/>
        <v>0</v>
      </c>
      <c r="H354" s="26">
        <f t="shared" si="5"/>
        <v>0</v>
      </c>
      <c r="I354" s="24">
        <f t="shared" si="6"/>
        <v>0</v>
      </c>
      <c r="J354" s="24">
        <f t="shared" si="7"/>
        <v>0</v>
      </c>
      <c r="K354" s="24"/>
      <c r="L354" s="24">
        <f t="shared" si="8"/>
        <v>427.4435887</v>
      </c>
      <c r="M354" s="30">
        <f t="shared" si="9"/>
        <v>426.8662109</v>
      </c>
      <c r="N354" s="27">
        <f t="shared" si="10"/>
        <v>0.577377791</v>
      </c>
      <c r="O354" s="24"/>
      <c r="P354" s="24"/>
      <c r="Q354" s="24"/>
      <c r="R354" s="26"/>
      <c r="S354" s="14">
        <f t="shared" si="13"/>
        <v>0.5302037926</v>
      </c>
      <c r="U354" s="21"/>
      <c r="V354" s="21"/>
    </row>
    <row r="355">
      <c r="A355" s="11">
        <v>343.0</v>
      </c>
      <c r="B355" s="11">
        <v>1.42088695652173E9</v>
      </c>
      <c r="C355" s="2">
        <v>-102.5021896</v>
      </c>
      <c r="D355" s="24">
        <f t="shared" si="1"/>
        <v>486956.5217</v>
      </c>
      <c r="E355" s="25">
        <f t="shared" si="2"/>
        <v>-103.7674629</v>
      </c>
      <c r="F355" s="24">
        <f t="shared" si="3"/>
        <v>0.0002130938971</v>
      </c>
      <c r="G355" s="24">
        <f t="shared" si="4"/>
        <v>0</v>
      </c>
      <c r="H355" s="26">
        <f t="shared" si="5"/>
        <v>0</v>
      </c>
      <c r="I355" s="24">
        <f t="shared" si="6"/>
        <v>0</v>
      </c>
      <c r="J355" s="24">
        <f t="shared" si="7"/>
        <v>0</v>
      </c>
      <c r="K355" s="24"/>
      <c r="L355" s="24">
        <f t="shared" si="8"/>
        <v>427.4518562</v>
      </c>
      <c r="M355" s="30">
        <f t="shared" si="9"/>
        <v>426.7645871</v>
      </c>
      <c r="N355" s="27">
        <f t="shared" si="10"/>
        <v>0.6872691575</v>
      </c>
      <c r="O355" s="24"/>
      <c r="P355" s="24"/>
      <c r="Q355" s="24"/>
      <c r="R355" s="26"/>
      <c r="S355" s="14">
        <f t="shared" si="13"/>
        <v>0.6311166095</v>
      </c>
      <c r="U355" s="21"/>
      <c r="V355" s="21"/>
    </row>
    <row r="356">
      <c r="A356" s="11">
        <v>344.0</v>
      </c>
      <c r="B356" s="11">
        <v>1.42089130434782E9</v>
      </c>
      <c r="C356" s="2">
        <v>-102.5058823</v>
      </c>
      <c r="D356" s="24">
        <f t="shared" si="1"/>
        <v>491304.3478</v>
      </c>
      <c r="E356" s="25">
        <f t="shared" si="2"/>
        <v>-104.6857591</v>
      </c>
      <c r="F356" s="24">
        <f t="shared" si="3"/>
        <v>0.0002130772087</v>
      </c>
      <c r="G356" s="24">
        <f t="shared" si="4"/>
        <v>0</v>
      </c>
      <c r="H356" s="26">
        <f t="shared" si="5"/>
        <v>0</v>
      </c>
      <c r="I356" s="24">
        <f t="shared" si="6"/>
        <v>0</v>
      </c>
      <c r="J356" s="24">
        <f t="shared" si="7"/>
        <v>0</v>
      </c>
      <c r="K356" s="24"/>
      <c r="L356" s="24">
        <f t="shared" si="8"/>
        <v>427.0885588</v>
      </c>
      <c r="M356" s="30">
        <f t="shared" si="9"/>
        <v>426.6629555</v>
      </c>
      <c r="N356" s="27">
        <f t="shared" si="10"/>
        <v>0.4256033716</v>
      </c>
      <c r="O356" s="24"/>
      <c r="P356" s="24"/>
      <c r="Q356" s="24"/>
      <c r="R356" s="26"/>
      <c r="S356" s="14">
        <f t="shared" si="13"/>
        <v>0.3908299303</v>
      </c>
      <c r="U356" s="21"/>
      <c r="V356" s="21"/>
    </row>
    <row r="357">
      <c r="A357" s="11">
        <v>345.0</v>
      </c>
      <c r="B357" s="11">
        <v>1.42089565217391E9</v>
      </c>
      <c r="C357" s="2">
        <v>-102.5235596</v>
      </c>
      <c r="D357" s="24">
        <f t="shared" si="1"/>
        <v>495652.1739</v>
      </c>
      <c r="E357" s="25">
        <f t="shared" si="2"/>
        <v>-105.6040552</v>
      </c>
      <c r="F357" s="24">
        <f t="shared" si="3"/>
        <v>0.0002130608131</v>
      </c>
      <c r="G357" s="24">
        <f t="shared" si="4"/>
        <v>0</v>
      </c>
      <c r="H357" s="26">
        <f t="shared" si="5"/>
        <v>0</v>
      </c>
      <c r="I357" s="24">
        <f t="shared" si="6"/>
        <v>0</v>
      </c>
      <c r="J357" s="24">
        <f t="shared" si="7"/>
        <v>0</v>
      </c>
      <c r="K357" s="24"/>
      <c r="L357" s="24">
        <f t="shared" si="8"/>
        <v>425.3536926</v>
      </c>
      <c r="M357" s="30">
        <f t="shared" si="9"/>
        <v>426.5613166</v>
      </c>
      <c r="N357" s="27">
        <f t="shared" si="10"/>
        <v>-1.207624014</v>
      </c>
      <c r="O357" s="24"/>
      <c r="P357" s="24"/>
      <c r="Q357" s="24"/>
      <c r="R357" s="26"/>
      <c r="S357" s="14">
        <f t="shared" si="13"/>
        <v>-1.108956459</v>
      </c>
      <c r="U357" s="21"/>
      <c r="V357" s="21"/>
    </row>
    <row r="358">
      <c r="A358" s="11">
        <v>346.0</v>
      </c>
      <c r="B358" s="11">
        <v>1.4209E9</v>
      </c>
      <c r="C358" s="2">
        <v>-102.5171356</v>
      </c>
      <c r="D358" s="24">
        <f t="shared" si="1"/>
        <v>500000</v>
      </c>
      <c r="E358" s="25">
        <f t="shared" si="2"/>
        <v>-106.5223513</v>
      </c>
      <c r="F358" s="24">
        <f t="shared" si="3"/>
        <v>0.0002130447027</v>
      </c>
      <c r="G358" s="24">
        <f t="shared" si="4"/>
        <v>0</v>
      </c>
      <c r="H358" s="26">
        <f t="shared" si="5"/>
        <v>0</v>
      </c>
      <c r="I358" s="24">
        <f t="shared" si="6"/>
        <v>0</v>
      </c>
      <c r="J358" s="24">
        <f t="shared" si="7"/>
        <v>0</v>
      </c>
      <c r="K358" s="24"/>
      <c r="L358" s="24">
        <f t="shared" si="8"/>
        <v>425.9833331</v>
      </c>
      <c r="M358" s="30">
        <f t="shared" si="9"/>
        <v>426.4596712</v>
      </c>
      <c r="N358" s="27">
        <f t="shared" si="10"/>
        <v>-0.4763380381</v>
      </c>
      <c r="O358" s="24"/>
      <c r="P358" s="24"/>
      <c r="Q358" s="24"/>
      <c r="R358" s="26"/>
      <c r="S358" s="14">
        <f t="shared" si="13"/>
        <v>-0.4374193783</v>
      </c>
      <c r="U358" s="21"/>
      <c r="V358" s="21"/>
    </row>
    <row r="359">
      <c r="A359" s="11">
        <v>347.0</v>
      </c>
      <c r="B359" s="11">
        <v>1.42090434782608E9</v>
      </c>
      <c r="C359" s="2">
        <v>-102.4571609</v>
      </c>
      <c r="D359" s="24">
        <f t="shared" si="1"/>
        <v>504347.8261</v>
      </c>
      <c r="E359" s="25">
        <f t="shared" si="2"/>
        <v>-107.4406475</v>
      </c>
      <c r="F359" s="24">
        <f t="shared" si="3"/>
        <v>0.00021302887</v>
      </c>
      <c r="G359" s="24">
        <f t="shared" si="4"/>
        <v>0</v>
      </c>
      <c r="H359" s="26">
        <f t="shared" si="5"/>
        <v>0</v>
      </c>
      <c r="I359" s="24">
        <f t="shared" si="6"/>
        <v>0</v>
      </c>
      <c r="J359" s="24">
        <f t="shared" si="7"/>
        <v>0</v>
      </c>
      <c r="K359" s="24"/>
      <c r="L359" s="24">
        <f t="shared" si="8"/>
        <v>431.9068355</v>
      </c>
      <c r="M359" s="30">
        <f t="shared" si="9"/>
        <v>426.3580197</v>
      </c>
      <c r="N359" s="27">
        <f t="shared" si="10"/>
        <v>5.548815791</v>
      </c>
      <c r="O359" s="24"/>
      <c r="P359" s="24"/>
      <c r="Q359" s="24"/>
      <c r="R359" s="26"/>
      <c r="S359" s="14">
        <f t="shared" si="13"/>
        <v>5.095456083</v>
      </c>
      <c r="U359" s="21"/>
      <c r="V359" s="21"/>
    </row>
    <row r="360">
      <c r="A360" s="11">
        <v>348.0</v>
      </c>
      <c r="B360" s="11">
        <v>1.42090869565217E9</v>
      </c>
      <c r="C360" s="2">
        <v>-102.5251694</v>
      </c>
      <c r="D360" s="24">
        <f t="shared" si="1"/>
        <v>508695.6522</v>
      </c>
      <c r="E360" s="25">
        <f t="shared" si="2"/>
        <v>-108.3589436</v>
      </c>
      <c r="F360" s="24">
        <f t="shared" si="3"/>
        <v>0.0002130133079</v>
      </c>
      <c r="G360" s="24">
        <f t="shared" si="4"/>
        <v>0</v>
      </c>
      <c r="H360" s="26">
        <f t="shared" si="5"/>
        <v>0</v>
      </c>
      <c r="I360" s="24">
        <f t="shared" si="6"/>
        <v>0</v>
      </c>
      <c r="J360" s="24">
        <f t="shared" si="7"/>
        <v>0</v>
      </c>
      <c r="K360" s="24"/>
      <c r="L360" s="24">
        <f t="shared" si="8"/>
        <v>425.1960559</v>
      </c>
      <c r="M360" s="30">
        <f t="shared" si="9"/>
        <v>426.2563628</v>
      </c>
      <c r="N360" s="27">
        <f t="shared" si="10"/>
        <v>-1.060306932</v>
      </c>
      <c r="O360" s="24"/>
      <c r="P360" s="24"/>
      <c r="Q360" s="24"/>
      <c r="R360" s="26"/>
      <c r="S360" s="14">
        <f t="shared" si="13"/>
        <v>-0.9736757532</v>
      </c>
      <c r="U360" s="21"/>
      <c r="V360" s="21"/>
    </row>
    <row r="361">
      <c r="A361" s="11">
        <v>349.0</v>
      </c>
      <c r="B361" s="11">
        <v>1.42091304347826E9</v>
      </c>
      <c r="C361" s="2">
        <v>-102.4423981</v>
      </c>
      <c r="D361" s="24">
        <f t="shared" si="1"/>
        <v>513043.4783</v>
      </c>
      <c r="E361" s="25">
        <f t="shared" si="2"/>
        <v>-109.2772397</v>
      </c>
      <c r="F361" s="24">
        <f t="shared" si="3"/>
        <v>0.0002129980096</v>
      </c>
      <c r="G361" s="24">
        <f t="shared" si="4"/>
        <v>0</v>
      </c>
      <c r="H361" s="26">
        <f t="shared" si="5"/>
        <v>0</v>
      </c>
      <c r="I361" s="24">
        <f t="shared" si="6"/>
        <v>0</v>
      </c>
      <c r="J361" s="24">
        <f t="shared" si="7"/>
        <v>0</v>
      </c>
      <c r="K361" s="24"/>
      <c r="L361" s="24">
        <f t="shared" si="8"/>
        <v>433.3774974</v>
      </c>
      <c r="M361" s="30">
        <f t="shared" si="9"/>
        <v>426.1547012</v>
      </c>
      <c r="N361" s="27">
        <f t="shared" si="10"/>
        <v>7.222796235</v>
      </c>
      <c r="O361" s="24"/>
      <c r="P361" s="24"/>
      <c r="Q361" s="24"/>
      <c r="R361" s="26"/>
      <c r="S361" s="14">
        <f t="shared" si="13"/>
        <v>6.632665851</v>
      </c>
      <c r="U361" s="21"/>
      <c r="V361" s="21"/>
    </row>
    <row r="362">
      <c r="A362" s="11">
        <v>350.0</v>
      </c>
      <c r="B362" s="11">
        <v>1.42091739130434E9</v>
      </c>
      <c r="C362" s="2">
        <v>-102.5391388</v>
      </c>
      <c r="D362" s="24">
        <f t="shared" si="1"/>
        <v>517391.3043</v>
      </c>
      <c r="E362" s="25">
        <f t="shared" si="2"/>
        <v>-110.1955359</v>
      </c>
      <c r="F362" s="24">
        <f t="shared" si="3"/>
        <v>0.0002129829685</v>
      </c>
      <c r="G362" s="24">
        <f t="shared" si="4"/>
        <v>0</v>
      </c>
      <c r="H362" s="26">
        <f t="shared" si="5"/>
        <v>0</v>
      </c>
      <c r="I362" s="24">
        <f t="shared" si="6"/>
        <v>0</v>
      </c>
      <c r="J362" s="24">
        <f t="shared" si="7"/>
        <v>0</v>
      </c>
      <c r="K362" s="24"/>
      <c r="L362" s="24">
        <f t="shared" si="8"/>
        <v>423.8305789</v>
      </c>
      <c r="M362" s="30">
        <f t="shared" si="9"/>
        <v>426.0530354</v>
      </c>
      <c r="N362" s="27">
        <f t="shared" si="10"/>
        <v>-2.22245644</v>
      </c>
      <c r="O362" s="24"/>
      <c r="P362" s="24"/>
      <c r="Q362" s="24"/>
      <c r="R362" s="26"/>
      <c r="S362" s="14">
        <f t="shared" si="13"/>
        <v>-2.040873154</v>
      </c>
      <c r="U362" s="21"/>
      <c r="V362" s="21"/>
    </row>
    <row r="363">
      <c r="A363" s="11">
        <v>351.0</v>
      </c>
      <c r="B363" s="11">
        <v>1.42092173913043E9</v>
      </c>
      <c r="C363" s="2">
        <v>-102.5376663</v>
      </c>
      <c r="D363" s="24">
        <f t="shared" si="1"/>
        <v>521739.1304</v>
      </c>
      <c r="E363" s="25">
        <f t="shared" si="2"/>
        <v>-111.113832</v>
      </c>
      <c r="F363" s="24">
        <f t="shared" si="3"/>
        <v>0.000212968178</v>
      </c>
      <c r="G363" s="24">
        <f t="shared" si="4"/>
        <v>0</v>
      </c>
      <c r="H363" s="26">
        <f t="shared" si="5"/>
        <v>0</v>
      </c>
      <c r="I363" s="24">
        <f t="shared" si="6"/>
        <v>0</v>
      </c>
      <c r="J363" s="24">
        <f t="shared" si="7"/>
        <v>0</v>
      </c>
      <c r="K363" s="24"/>
      <c r="L363" s="24">
        <f t="shared" si="8"/>
        <v>423.9743054</v>
      </c>
      <c r="M363" s="30">
        <f t="shared" si="9"/>
        <v>425.9513659</v>
      </c>
      <c r="N363" s="27">
        <f t="shared" si="10"/>
        <v>-1.977060514</v>
      </c>
      <c r="O363" s="24"/>
      <c r="P363" s="24"/>
      <c r="Q363" s="24"/>
      <c r="R363" s="26"/>
      <c r="S363" s="14">
        <f t="shared" si="13"/>
        <v>-1.81552702</v>
      </c>
      <c r="U363" s="21"/>
      <c r="V363" s="21"/>
    </row>
    <row r="364">
      <c r="A364" s="11">
        <v>352.0</v>
      </c>
      <c r="B364" s="11">
        <v>1.42092608695652E9</v>
      </c>
      <c r="C364" s="2">
        <v>-102.5037994</v>
      </c>
      <c r="D364" s="24">
        <f t="shared" si="1"/>
        <v>526086.9565</v>
      </c>
      <c r="E364" s="25">
        <f t="shared" si="2"/>
        <v>-112.0321281</v>
      </c>
      <c r="F364" s="24">
        <f t="shared" si="3"/>
        <v>0.000212953632</v>
      </c>
      <c r="G364" s="24">
        <f t="shared" si="4"/>
        <v>0</v>
      </c>
      <c r="H364" s="26">
        <f t="shared" si="5"/>
        <v>0</v>
      </c>
      <c r="I364" s="24">
        <f t="shared" si="6"/>
        <v>0</v>
      </c>
      <c r="J364" s="24">
        <f t="shared" si="7"/>
        <v>0</v>
      </c>
      <c r="K364" s="24"/>
      <c r="L364" s="24">
        <f t="shared" si="8"/>
        <v>427.293442</v>
      </c>
      <c r="M364" s="30">
        <f t="shared" si="9"/>
        <v>425.8496936</v>
      </c>
      <c r="N364" s="27">
        <f t="shared" si="10"/>
        <v>1.443748388</v>
      </c>
      <c r="O364" s="24"/>
      <c r="P364" s="24"/>
      <c r="Q364" s="24"/>
      <c r="R364" s="26"/>
      <c r="S364" s="14">
        <f t="shared" si="13"/>
        <v>1.325788562</v>
      </c>
      <c r="U364" s="21"/>
      <c r="V364" s="21"/>
    </row>
    <row r="365">
      <c r="A365" s="11">
        <v>353.0</v>
      </c>
      <c r="B365" s="11">
        <v>1.4209304347826E9</v>
      </c>
      <c r="C365" s="2">
        <v>-102.5867157</v>
      </c>
      <c r="D365" s="24">
        <f t="shared" si="1"/>
        <v>530434.7826</v>
      </c>
      <c r="E365" s="25">
        <f t="shared" si="2"/>
        <v>-112.9504243</v>
      </c>
      <c r="F365" s="24">
        <f t="shared" si="3"/>
        <v>0.0002129393244</v>
      </c>
      <c r="G365" s="24">
        <f t="shared" si="4"/>
        <v>0</v>
      </c>
      <c r="H365" s="26">
        <f t="shared" si="5"/>
        <v>0</v>
      </c>
      <c r="I365" s="24">
        <f t="shared" si="6"/>
        <v>0</v>
      </c>
      <c r="J365" s="24">
        <f t="shared" si="7"/>
        <v>0</v>
      </c>
      <c r="K365" s="24"/>
      <c r="L365" s="24">
        <f t="shared" si="8"/>
        <v>419.2128605</v>
      </c>
      <c r="M365" s="30">
        <f t="shared" si="9"/>
        <v>425.7480188</v>
      </c>
      <c r="N365" s="27">
        <f t="shared" si="10"/>
        <v>-6.535158312</v>
      </c>
      <c r="O365" s="24"/>
      <c r="P365" s="24"/>
      <c r="Q365" s="24"/>
      <c r="R365" s="26"/>
      <c r="S365" s="14">
        <f t="shared" si="13"/>
        <v>-6.001210605</v>
      </c>
      <c r="U365" s="21"/>
      <c r="V365" s="21"/>
    </row>
    <row r="366">
      <c r="A366" s="11">
        <v>354.0</v>
      </c>
      <c r="B366" s="11">
        <v>1.42093478260869E9</v>
      </c>
      <c r="C366" s="2">
        <v>-102.5036011</v>
      </c>
      <c r="D366" s="24">
        <f t="shared" si="1"/>
        <v>534782.6087</v>
      </c>
      <c r="E366" s="25">
        <f t="shared" si="2"/>
        <v>-113.8687204</v>
      </c>
      <c r="F366" s="24">
        <f t="shared" si="3"/>
        <v>0.0002129252495</v>
      </c>
      <c r="G366" s="24">
        <f t="shared" si="4"/>
        <v>0</v>
      </c>
      <c r="H366" s="26">
        <f t="shared" si="5"/>
        <v>0</v>
      </c>
      <c r="I366" s="24">
        <f t="shared" si="6"/>
        <v>0</v>
      </c>
      <c r="J366" s="24">
        <f t="shared" si="7"/>
        <v>0</v>
      </c>
      <c r="K366" s="24"/>
      <c r="L366" s="24">
        <f t="shared" si="8"/>
        <v>427.3129527</v>
      </c>
      <c r="M366" s="30">
        <f t="shared" si="9"/>
        <v>425.6463424</v>
      </c>
      <c r="N366" s="27">
        <f t="shared" si="10"/>
        <v>1.666610382</v>
      </c>
      <c r="O366" s="24"/>
      <c r="P366" s="24"/>
      <c r="Q366" s="24"/>
      <c r="R366" s="26"/>
      <c r="S366" s="14">
        <f t="shared" si="13"/>
        <v>1.530441869</v>
      </c>
      <c r="U366" s="21"/>
      <c r="V366" s="21"/>
    </row>
    <row r="367">
      <c r="A367" s="11">
        <v>355.0</v>
      </c>
      <c r="B367" s="11">
        <v>1.42093913043478E9</v>
      </c>
      <c r="C367" s="2">
        <v>-102.5282364</v>
      </c>
      <c r="D367" s="24">
        <f t="shared" si="1"/>
        <v>539130.4348</v>
      </c>
      <c r="E367" s="25">
        <f t="shared" si="2"/>
        <v>-114.7870165</v>
      </c>
      <c r="F367" s="24">
        <f t="shared" si="3"/>
        <v>0.0002129114016</v>
      </c>
      <c r="G367" s="24">
        <f t="shared" si="4"/>
        <v>0</v>
      </c>
      <c r="H367" s="26">
        <f t="shared" si="5"/>
        <v>0</v>
      </c>
      <c r="I367" s="24">
        <f t="shared" si="6"/>
        <v>0</v>
      </c>
      <c r="J367" s="24">
        <f t="shared" si="7"/>
        <v>0</v>
      </c>
      <c r="K367" s="24"/>
      <c r="L367" s="24">
        <f t="shared" si="8"/>
        <v>424.8958872</v>
      </c>
      <c r="M367" s="30">
        <f t="shared" si="9"/>
        <v>425.5446647</v>
      </c>
      <c r="N367" s="27">
        <f t="shared" si="10"/>
        <v>-0.6487774846</v>
      </c>
      <c r="O367" s="24"/>
      <c r="P367" s="24"/>
      <c r="Q367" s="24"/>
      <c r="R367" s="26"/>
      <c r="S367" s="14">
        <f t="shared" si="13"/>
        <v>-0.5957698538</v>
      </c>
      <c r="U367" s="21"/>
      <c r="V367" s="21"/>
    </row>
    <row r="368">
      <c r="A368" s="11">
        <v>356.0</v>
      </c>
      <c r="B368" s="11">
        <v>1.42094347826087E9</v>
      </c>
      <c r="C368" s="2">
        <v>-102.4954224</v>
      </c>
      <c r="D368" s="24">
        <f t="shared" si="1"/>
        <v>543478.2609</v>
      </c>
      <c r="E368" s="25">
        <f t="shared" si="2"/>
        <v>-115.7053126</v>
      </c>
      <c r="F368" s="24">
        <f t="shared" si="3"/>
        <v>0.0002128977753</v>
      </c>
      <c r="G368" s="24">
        <f t="shared" si="4"/>
        <v>0</v>
      </c>
      <c r="H368" s="26">
        <f t="shared" si="5"/>
        <v>0</v>
      </c>
      <c r="I368" s="24">
        <f t="shared" si="6"/>
        <v>0</v>
      </c>
      <c r="J368" s="24">
        <f t="shared" si="7"/>
        <v>0</v>
      </c>
      <c r="K368" s="24"/>
      <c r="L368" s="24">
        <f t="shared" si="8"/>
        <v>428.1184332</v>
      </c>
      <c r="M368" s="30">
        <f t="shared" si="9"/>
        <v>425.4429866</v>
      </c>
      <c r="N368" s="27">
        <f t="shared" si="10"/>
        <v>2.675446661</v>
      </c>
      <c r="O368" s="24"/>
      <c r="P368" s="24"/>
      <c r="Q368" s="24"/>
      <c r="R368" s="26"/>
      <c r="S368" s="14">
        <f t="shared" si="13"/>
        <v>2.456852322</v>
      </c>
      <c r="U368" s="21"/>
      <c r="V368" s="21"/>
    </row>
    <row r="369">
      <c r="A369" s="11">
        <v>357.0</v>
      </c>
      <c r="B369" s="11">
        <v>1.42094782608695E9</v>
      </c>
      <c r="C369" s="2">
        <v>-102.461937</v>
      </c>
      <c r="D369" s="24">
        <f t="shared" si="1"/>
        <v>547826.087</v>
      </c>
      <c r="E369" s="25">
        <f t="shared" si="2"/>
        <v>-116.6236088</v>
      </c>
      <c r="F369" s="24">
        <f t="shared" si="3"/>
        <v>0.0002128843652</v>
      </c>
      <c r="G369" s="24">
        <f t="shared" si="4"/>
        <v>0</v>
      </c>
      <c r="H369" s="26">
        <f t="shared" si="5"/>
        <v>0</v>
      </c>
      <c r="I369" s="24">
        <f t="shared" si="6"/>
        <v>0</v>
      </c>
      <c r="J369" s="24">
        <f t="shared" si="7"/>
        <v>0</v>
      </c>
      <c r="K369" s="24"/>
      <c r="L369" s="24">
        <f t="shared" si="8"/>
        <v>431.4321124</v>
      </c>
      <c r="M369" s="30">
        <f t="shared" si="9"/>
        <v>425.3413085</v>
      </c>
      <c r="N369" s="27">
        <f t="shared" si="10"/>
        <v>6.090803887</v>
      </c>
      <c r="O369" s="24"/>
      <c r="P369" s="24"/>
      <c r="Q369" s="24"/>
      <c r="R369" s="26"/>
      <c r="S369" s="14">
        <f t="shared" si="13"/>
        <v>5.593161655</v>
      </c>
      <c r="U369" s="21"/>
      <c r="V369" s="21"/>
    </row>
    <row r="370">
      <c r="A370" s="11">
        <v>358.0</v>
      </c>
      <c r="B370" s="11">
        <v>1.42095217391304E9</v>
      </c>
      <c r="C370" s="2">
        <v>-102.5041733</v>
      </c>
      <c r="D370" s="24">
        <f t="shared" si="1"/>
        <v>552173.913</v>
      </c>
      <c r="E370" s="25">
        <f t="shared" si="2"/>
        <v>-117.5419049</v>
      </c>
      <c r="F370" s="24">
        <f t="shared" si="3"/>
        <v>0.0002128711664</v>
      </c>
      <c r="G370" s="24">
        <f t="shared" si="4"/>
        <v>0</v>
      </c>
      <c r="H370" s="26">
        <f t="shared" si="5"/>
        <v>0</v>
      </c>
      <c r="I370" s="24">
        <f t="shared" si="6"/>
        <v>0</v>
      </c>
      <c r="J370" s="24">
        <f t="shared" si="7"/>
        <v>0</v>
      </c>
      <c r="K370" s="24"/>
      <c r="L370" s="24">
        <f t="shared" si="8"/>
        <v>427.2566563</v>
      </c>
      <c r="M370" s="30">
        <f t="shared" si="9"/>
        <v>425.2396311</v>
      </c>
      <c r="N370" s="27">
        <f t="shared" si="10"/>
        <v>2.017025233</v>
      </c>
      <c r="O370" s="24"/>
      <c r="P370" s="24"/>
      <c r="Q370" s="24"/>
      <c r="R370" s="26"/>
      <c r="S370" s="14">
        <f t="shared" si="13"/>
        <v>1.852226467</v>
      </c>
      <c r="U370" s="21"/>
      <c r="V370" s="21"/>
    </row>
    <row r="371">
      <c r="A371" s="11">
        <v>359.0</v>
      </c>
      <c r="B371" s="11">
        <v>1.42095652173913E9</v>
      </c>
      <c r="C371" s="2">
        <v>-102.5045166</v>
      </c>
      <c r="D371" s="24">
        <f t="shared" si="1"/>
        <v>556521.7391</v>
      </c>
      <c r="E371" s="25">
        <f t="shared" si="2"/>
        <v>-118.460201</v>
      </c>
      <c r="F371" s="24">
        <f t="shared" si="3"/>
        <v>0.0002128581738</v>
      </c>
      <c r="G371" s="24">
        <f t="shared" si="4"/>
        <v>0</v>
      </c>
      <c r="H371" s="26">
        <f t="shared" si="5"/>
        <v>0</v>
      </c>
      <c r="I371" s="24">
        <f t="shared" si="6"/>
        <v>0</v>
      </c>
      <c r="J371" s="24">
        <f t="shared" si="7"/>
        <v>0</v>
      </c>
      <c r="K371" s="24"/>
      <c r="L371" s="24">
        <f t="shared" si="8"/>
        <v>427.222884</v>
      </c>
      <c r="M371" s="30">
        <f t="shared" si="9"/>
        <v>425.1379549</v>
      </c>
      <c r="N371" s="27">
        <f t="shared" si="10"/>
        <v>2.084929018</v>
      </c>
      <c r="O371" s="24"/>
      <c r="P371" s="24"/>
      <c r="Q371" s="24"/>
      <c r="R371" s="26"/>
      <c r="S371" s="14">
        <f t="shared" si="13"/>
        <v>1.914582254</v>
      </c>
      <c r="U371" s="21"/>
      <c r="V371" s="21"/>
    </row>
    <row r="372">
      <c r="A372" s="11">
        <v>360.0</v>
      </c>
      <c r="B372" s="11">
        <v>1.42096086956521E9</v>
      </c>
      <c r="C372" s="2">
        <v>-102.5404663</v>
      </c>
      <c r="D372" s="24">
        <f t="shared" si="1"/>
        <v>560869.5652</v>
      </c>
      <c r="E372" s="25">
        <f t="shared" si="2"/>
        <v>-119.3784972</v>
      </c>
      <c r="F372" s="24">
        <f t="shared" si="3"/>
        <v>0.0002128453826</v>
      </c>
      <c r="G372" s="24">
        <f t="shared" si="4"/>
        <v>0</v>
      </c>
      <c r="H372" s="26">
        <f t="shared" si="5"/>
        <v>0</v>
      </c>
      <c r="I372" s="24">
        <f t="shared" si="6"/>
        <v>0</v>
      </c>
      <c r="J372" s="24">
        <f t="shared" si="7"/>
        <v>0</v>
      </c>
      <c r="K372" s="24"/>
      <c r="L372" s="24">
        <f t="shared" si="8"/>
        <v>423.7010472</v>
      </c>
      <c r="M372" s="30">
        <f t="shared" si="9"/>
        <v>425.0362807</v>
      </c>
      <c r="N372" s="27">
        <f t="shared" si="10"/>
        <v>-1.335233506</v>
      </c>
      <c r="O372" s="24"/>
      <c r="P372" s="24"/>
      <c r="Q372" s="24"/>
      <c r="R372" s="26"/>
      <c r="S372" s="14">
        <f t="shared" si="13"/>
        <v>-1.226139765</v>
      </c>
      <c r="U372" s="21"/>
      <c r="V372" s="21"/>
    </row>
    <row r="373">
      <c r="A373" s="11">
        <v>361.0</v>
      </c>
      <c r="B373" s="11">
        <v>1.4209652173913E9</v>
      </c>
      <c r="C373" s="2">
        <v>-102.5044937</v>
      </c>
      <c r="D373" s="24">
        <f t="shared" si="1"/>
        <v>565217.3913</v>
      </c>
      <c r="E373" s="25">
        <f t="shared" si="2"/>
        <v>-120.2967933</v>
      </c>
      <c r="F373" s="24">
        <f t="shared" si="3"/>
        <v>0.0002128327882</v>
      </c>
      <c r="G373" s="24">
        <f t="shared" si="4"/>
        <v>0</v>
      </c>
      <c r="H373" s="26">
        <f t="shared" si="5"/>
        <v>0</v>
      </c>
      <c r="I373" s="24">
        <f t="shared" si="6"/>
        <v>0</v>
      </c>
      <c r="J373" s="24">
        <f t="shared" si="7"/>
        <v>0</v>
      </c>
      <c r="K373" s="24"/>
      <c r="L373" s="24">
        <f t="shared" si="8"/>
        <v>427.2251367</v>
      </c>
      <c r="M373" s="30">
        <f t="shared" si="9"/>
        <v>424.934609</v>
      </c>
      <c r="N373" s="27">
        <f t="shared" si="10"/>
        <v>2.290527694</v>
      </c>
      <c r="O373" s="24"/>
      <c r="P373" s="24"/>
      <c r="Q373" s="24"/>
      <c r="R373" s="26"/>
      <c r="S373" s="14">
        <f t="shared" si="13"/>
        <v>2.103382719</v>
      </c>
      <c r="U373" s="21"/>
      <c r="V373" s="21"/>
    </row>
    <row r="374">
      <c r="A374" s="11">
        <v>362.0</v>
      </c>
      <c r="B374" s="11">
        <v>1.42096956521739E9</v>
      </c>
      <c r="C374" s="2">
        <v>-102.5056915</v>
      </c>
      <c r="D374" s="24">
        <f t="shared" si="1"/>
        <v>569565.2174</v>
      </c>
      <c r="E374" s="25">
        <f t="shared" si="2"/>
        <v>-121.2150894</v>
      </c>
      <c r="F374" s="24">
        <f t="shared" si="3"/>
        <v>0.000212820386</v>
      </c>
      <c r="G374" s="24">
        <f t="shared" si="4"/>
        <v>0</v>
      </c>
      <c r="H374" s="26">
        <f t="shared" si="5"/>
        <v>0</v>
      </c>
      <c r="I374" s="24">
        <f t="shared" si="6"/>
        <v>0</v>
      </c>
      <c r="J374" s="24">
        <f t="shared" si="7"/>
        <v>0</v>
      </c>
      <c r="K374" s="24"/>
      <c r="L374" s="24">
        <f t="shared" si="8"/>
        <v>427.1073227</v>
      </c>
      <c r="M374" s="30">
        <f t="shared" si="9"/>
        <v>424.8329404</v>
      </c>
      <c r="N374" s="27">
        <f t="shared" si="10"/>
        <v>2.274382311</v>
      </c>
      <c r="O374" s="24"/>
      <c r="P374" s="24"/>
      <c r="Q374" s="24"/>
      <c r="R374" s="26"/>
      <c r="S374" s="14">
        <f t="shared" si="13"/>
        <v>2.08855648</v>
      </c>
    </row>
    <row r="375">
      <c r="A375" s="11">
        <v>363.0</v>
      </c>
      <c r="B375" s="11">
        <v>1.42097391304347E9</v>
      </c>
      <c r="C375" s="2">
        <v>-102.4944763</v>
      </c>
      <c r="D375" s="24">
        <f t="shared" si="1"/>
        <v>573913.0435</v>
      </c>
      <c r="E375" s="25">
        <f t="shared" si="2"/>
        <v>-122.1333856</v>
      </c>
      <c r="F375" s="24">
        <f t="shared" si="3"/>
        <v>0.0002128081718</v>
      </c>
      <c r="G375" s="24">
        <f t="shared" si="4"/>
        <v>0</v>
      </c>
      <c r="H375" s="26">
        <f t="shared" si="5"/>
        <v>0</v>
      </c>
      <c r="I375" s="24">
        <f t="shared" si="6"/>
        <v>0</v>
      </c>
      <c r="J375" s="24">
        <f t="shared" si="7"/>
        <v>0</v>
      </c>
      <c r="K375" s="24"/>
      <c r="L375" s="24">
        <f t="shared" si="8"/>
        <v>428.2117079</v>
      </c>
      <c r="M375" s="30">
        <f t="shared" si="9"/>
        <v>424.7312755</v>
      </c>
      <c r="N375" s="27">
        <f t="shared" si="10"/>
        <v>3.48043249</v>
      </c>
      <c r="O375" s="24"/>
      <c r="P375" s="24"/>
      <c r="Q375" s="24"/>
      <c r="R375" s="26"/>
      <c r="S375" s="14">
        <f t="shared" si="13"/>
        <v>3.196067696</v>
      </c>
    </row>
    <row r="376">
      <c r="A376" s="11">
        <v>364.0</v>
      </c>
      <c r="B376" s="11">
        <v>1.42097826086956E9</v>
      </c>
      <c r="C376" s="2">
        <v>-102.4993896</v>
      </c>
      <c r="D376" s="24">
        <f t="shared" si="1"/>
        <v>578260.8696</v>
      </c>
      <c r="E376" s="25">
        <f t="shared" si="2"/>
        <v>-123.0516817</v>
      </c>
      <c r="F376" s="24">
        <f t="shared" si="3"/>
        <v>0.0002127961413</v>
      </c>
      <c r="G376" s="24">
        <f t="shared" si="4"/>
        <v>0</v>
      </c>
      <c r="H376" s="26">
        <f t="shared" si="5"/>
        <v>0</v>
      </c>
      <c r="I376" s="24">
        <f t="shared" si="6"/>
        <v>0</v>
      </c>
      <c r="J376" s="24">
        <f t="shared" si="7"/>
        <v>0</v>
      </c>
      <c r="K376" s="24"/>
      <c r="L376" s="24">
        <f t="shared" si="8"/>
        <v>427.7275335</v>
      </c>
      <c r="M376" s="30">
        <f t="shared" si="9"/>
        <v>424.6296149</v>
      </c>
      <c r="N376" s="27">
        <f t="shared" si="10"/>
        <v>3.097918615</v>
      </c>
      <c r="O376" s="24"/>
      <c r="P376" s="24"/>
      <c r="Q376" s="24"/>
      <c r="R376" s="26"/>
      <c r="S376" s="14">
        <f t="shared" si="13"/>
        <v>2.844806678</v>
      </c>
    </row>
    <row r="377">
      <c r="A377" s="11">
        <v>365.0</v>
      </c>
      <c r="B377" s="11">
        <v>1.42098260869565E9</v>
      </c>
      <c r="C377" s="2">
        <v>-102.5036697</v>
      </c>
      <c r="D377" s="24">
        <f t="shared" si="1"/>
        <v>582608.6957</v>
      </c>
      <c r="E377" s="25">
        <f t="shared" si="2"/>
        <v>-123.9699778</v>
      </c>
      <c r="F377" s="24">
        <f t="shared" si="3"/>
        <v>0.0002127842903</v>
      </c>
      <c r="G377" s="24">
        <f t="shared" si="4"/>
        <v>0</v>
      </c>
      <c r="H377" s="26">
        <f t="shared" si="5"/>
        <v>0</v>
      </c>
      <c r="I377" s="24">
        <f t="shared" si="6"/>
        <v>0</v>
      </c>
      <c r="J377" s="24">
        <f t="shared" si="7"/>
        <v>0</v>
      </c>
      <c r="K377" s="24"/>
      <c r="L377" s="24">
        <f t="shared" si="8"/>
        <v>427.3062031</v>
      </c>
      <c r="M377" s="30">
        <f t="shared" si="9"/>
        <v>424.5279592</v>
      </c>
      <c r="N377" s="27">
        <f t="shared" si="10"/>
        <v>2.778243827</v>
      </c>
      <c r="O377" s="24"/>
      <c r="P377" s="24"/>
      <c r="Q377" s="24"/>
      <c r="R377" s="26"/>
      <c r="S377" s="14">
        <f t="shared" si="13"/>
        <v>2.551250563</v>
      </c>
    </row>
    <row r="378">
      <c r="A378" s="11">
        <v>366.0</v>
      </c>
      <c r="B378" s="11">
        <v>1.42098695652173E9</v>
      </c>
      <c r="C378" s="2">
        <v>-102.5366516</v>
      </c>
      <c r="D378" s="24">
        <f t="shared" si="1"/>
        <v>586956.5217</v>
      </c>
      <c r="E378" s="25">
        <f t="shared" si="2"/>
        <v>-124.888274</v>
      </c>
      <c r="F378" s="24">
        <f t="shared" si="3"/>
        <v>0.0002127726149</v>
      </c>
      <c r="G378" s="24">
        <f t="shared" si="4"/>
        <v>0</v>
      </c>
      <c r="H378" s="26">
        <f t="shared" si="5"/>
        <v>0</v>
      </c>
      <c r="I378" s="24">
        <f t="shared" si="6"/>
        <v>0</v>
      </c>
      <c r="J378" s="24">
        <f t="shared" si="7"/>
        <v>0</v>
      </c>
      <c r="K378" s="24"/>
      <c r="L378" s="24">
        <f t="shared" si="8"/>
        <v>424.0733758</v>
      </c>
      <c r="M378" s="30">
        <f t="shared" si="9"/>
        <v>424.4263091</v>
      </c>
      <c r="N378" s="27">
        <f t="shared" si="10"/>
        <v>-0.352933377</v>
      </c>
      <c r="O378" s="24"/>
      <c r="P378" s="24"/>
      <c r="Q378" s="24"/>
      <c r="R378" s="26"/>
      <c r="S378" s="14">
        <f t="shared" si="13"/>
        <v>-0.3240973552</v>
      </c>
    </row>
    <row r="379">
      <c r="A379" s="11">
        <v>367.0</v>
      </c>
      <c r="B379" s="11">
        <v>1.42099130434782E9</v>
      </c>
      <c r="C379" s="2">
        <v>-102.514595</v>
      </c>
      <c r="D379" s="24">
        <f t="shared" si="1"/>
        <v>591304.3478</v>
      </c>
      <c r="E379" s="25">
        <f t="shared" si="2"/>
        <v>-125.8065701</v>
      </c>
      <c r="F379" s="24">
        <f t="shared" si="3"/>
        <v>0.0002127611112</v>
      </c>
      <c r="G379" s="24">
        <f t="shared" si="4"/>
        <v>0</v>
      </c>
      <c r="H379" s="26">
        <f t="shared" si="5"/>
        <v>0</v>
      </c>
      <c r="I379" s="24">
        <f t="shared" si="6"/>
        <v>0</v>
      </c>
      <c r="J379" s="24">
        <f t="shared" si="7"/>
        <v>0</v>
      </c>
      <c r="K379" s="24"/>
      <c r="L379" s="24">
        <f t="shared" si="8"/>
        <v>426.232604</v>
      </c>
      <c r="M379" s="30">
        <f t="shared" si="9"/>
        <v>424.3246652</v>
      </c>
      <c r="N379" s="27">
        <f t="shared" si="10"/>
        <v>1.907938855</v>
      </c>
      <c r="O379" s="24"/>
      <c r="P379" s="24"/>
      <c r="Q379" s="24"/>
      <c r="R379" s="26"/>
      <c r="S379" s="14">
        <f t="shared" si="13"/>
        <v>1.752052872</v>
      </c>
    </row>
    <row r="380">
      <c r="A380" s="11">
        <v>368.0</v>
      </c>
      <c r="B380" s="11">
        <v>1.42099565217391E9</v>
      </c>
      <c r="C380" s="2">
        <v>-102.5976563</v>
      </c>
      <c r="D380" s="24">
        <f t="shared" si="1"/>
        <v>595652.1739</v>
      </c>
      <c r="E380" s="25">
        <f t="shared" si="2"/>
        <v>-126.7248662</v>
      </c>
      <c r="F380" s="24">
        <f t="shared" si="3"/>
        <v>0.0002127497754</v>
      </c>
      <c r="G380" s="24">
        <f t="shared" si="4"/>
        <v>0</v>
      </c>
      <c r="H380" s="26">
        <f t="shared" si="5"/>
        <v>0</v>
      </c>
      <c r="I380" s="24">
        <f t="shared" si="6"/>
        <v>0</v>
      </c>
      <c r="J380" s="24">
        <f t="shared" si="7"/>
        <v>0</v>
      </c>
      <c r="K380" s="24"/>
      <c r="L380" s="24">
        <f t="shared" si="8"/>
        <v>418.1581227</v>
      </c>
      <c r="M380" s="30">
        <f t="shared" si="9"/>
        <v>424.223028</v>
      </c>
      <c r="N380" s="27">
        <f t="shared" si="10"/>
        <v>-6.064905273</v>
      </c>
      <c r="O380" s="24"/>
      <c r="P380" s="24"/>
      <c r="Q380" s="24"/>
      <c r="R380" s="26"/>
      <c r="S380" s="14">
        <f t="shared" si="13"/>
        <v>-5.569379045</v>
      </c>
    </row>
    <row r="381">
      <c r="A381" s="11">
        <v>369.0</v>
      </c>
      <c r="B381" s="11">
        <v>1.421E9</v>
      </c>
      <c r="C381" s="2">
        <v>-102.5445633</v>
      </c>
      <c r="D381" s="24">
        <f t="shared" si="1"/>
        <v>600000</v>
      </c>
      <c r="E381" s="25">
        <f t="shared" si="2"/>
        <v>-127.6431624</v>
      </c>
      <c r="F381" s="24">
        <f t="shared" si="3"/>
        <v>0.0002127386039</v>
      </c>
      <c r="G381" s="24">
        <f t="shared" si="4"/>
        <v>0</v>
      </c>
      <c r="H381" s="26">
        <f t="shared" si="5"/>
        <v>0</v>
      </c>
      <c r="I381" s="24">
        <f t="shared" si="6"/>
        <v>0</v>
      </c>
      <c r="J381" s="24">
        <f t="shared" si="7"/>
        <v>0</v>
      </c>
      <c r="K381" s="24"/>
      <c r="L381" s="24">
        <f t="shared" si="8"/>
        <v>423.3015292</v>
      </c>
      <c r="M381" s="30">
        <f t="shared" si="9"/>
        <v>424.1213982</v>
      </c>
      <c r="N381" s="27">
        <f t="shared" si="10"/>
        <v>-0.8198689825</v>
      </c>
      <c r="O381" s="24"/>
      <c r="P381" s="24"/>
      <c r="Q381" s="24"/>
      <c r="R381" s="26"/>
      <c r="S381" s="14">
        <f t="shared" si="13"/>
        <v>-0.752882516</v>
      </c>
    </row>
    <row r="382">
      <c r="A382" s="11">
        <v>370.0</v>
      </c>
      <c r="B382" s="11">
        <v>1.42100434782608E9</v>
      </c>
      <c r="C382" s="2">
        <v>-102.5026398</v>
      </c>
      <c r="D382" s="24">
        <f t="shared" si="1"/>
        <v>604347.8261</v>
      </c>
      <c r="E382" s="25">
        <f t="shared" si="2"/>
        <v>-128.5614585</v>
      </c>
      <c r="F382" s="24">
        <f t="shared" si="3"/>
        <v>0.0002127275932</v>
      </c>
      <c r="G382" s="24">
        <f t="shared" si="4"/>
        <v>0</v>
      </c>
      <c r="H382" s="26">
        <f t="shared" si="5"/>
        <v>0</v>
      </c>
      <c r="I382" s="24">
        <f t="shared" si="6"/>
        <v>0</v>
      </c>
      <c r="J382" s="24">
        <f t="shared" si="7"/>
        <v>0</v>
      </c>
      <c r="K382" s="24"/>
      <c r="L382" s="24">
        <f t="shared" si="8"/>
        <v>427.4075479</v>
      </c>
      <c r="M382" s="30">
        <f t="shared" si="9"/>
        <v>424.0197763</v>
      </c>
      <c r="N382" s="27">
        <f t="shared" si="10"/>
        <v>3.387771547</v>
      </c>
      <c r="O382" s="24"/>
      <c r="P382" s="24"/>
      <c r="Q382" s="24"/>
      <c r="R382" s="26"/>
      <c r="S382" s="14">
        <f t="shared" si="13"/>
        <v>3.11097751</v>
      </c>
    </row>
    <row r="383">
      <c r="A383" s="11">
        <v>371.0</v>
      </c>
      <c r="B383" s="11">
        <v>1.42100869565217E9</v>
      </c>
      <c r="C383" s="2">
        <v>-102.5446625</v>
      </c>
      <c r="D383" s="24">
        <f t="shared" si="1"/>
        <v>608695.6522</v>
      </c>
      <c r="E383" s="25">
        <f t="shared" si="2"/>
        <v>-129.4797546</v>
      </c>
      <c r="F383" s="24">
        <f t="shared" si="3"/>
        <v>0.0002127167398</v>
      </c>
      <c r="G383" s="24">
        <f t="shared" si="4"/>
        <v>0</v>
      </c>
      <c r="H383" s="26">
        <f t="shared" si="5"/>
        <v>0</v>
      </c>
      <c r="I383" s="24">
        <f t="shared" si="6"/>
        <v>0</v>
      </c>
      <c r="J383" s="24">
        <f t="shared" si="7"/>
        <v>0</v>
      </c>
      <c r="K383" s="24"/>
      <c r="L383" s="24">
        <f t="shared" si="8"/>
        <v>423.2918604</v>
      </c>
      <c r="M383" s="30">
        <f t="shared" si="9"/>
        <v>423.918163</v>
      </c>
      <c r="N383" s="27">
        <f t="shared" si="10"/>
        <v>-0.6263026422</v>
      </c>
      <c r="O383" s="24"/>
      <c r="P383" s="24"/>
      <c r="Q383" s="24"/>
      <c r="R383" s="26"/>
      <c r="S383" s="14">
        <f t="shared" si="13"/>
        <v>-0.575131293</v>
      </c>
    </row>
    <row r="384">
      <c r="A384" s="11">
        <v>372.0</v>
      </c>
      <c r="B384" s="11">
        <v>1.42101304347826E9</v>
      </c>
      <c r="C384" s="2">
        <v>-102.5676498</v>
      </c>
      <c r="D384" s="24">
        <f t="shared" si="1"/>
        <v>613043.4783</v>
      </c>
      <c r="E384" s="25">
        <f t="shared" si="2"/>
        <v>-130.3980508</v>
      </c>
      <c r="F384" s="24">
        <f t="shared" si="3"/>
        <v>0.0002127060402</v>
      </c>
      <c r="G384" s="24">
        <f t="shared" si="4"/>
        <v>0</v>
      </c>
      <c r="H384" s="26">
        <f t="shared" si="5"/>
        <v>0</v>
      </c>
      <c r="I384" s="24">
        <f t="shared" si="6"/>
        <v>0</v>
      </c>
      <c r="J384" s="24">
        <f t="shared" si="7"/>
        <v>0</v>
      </c>
      <c r="K384" s="24"/>
      <c r="L384" s="24">
        <f t="shared" si="8"/>
        <v>421.0572866</v>
      </c>
      <c r="M384" s="30">
        <f t="shared" si="9"/>
        <v>423.816559</v>
      </c>
      <c r="N384" s="27">
        <f t="shared" si="10"/>
        <v>-2.759272402</v>
      </c>
      <c r="O384" s="24"/>
      <c r="P384" s="24"/>
      <c r="Q384" s="24"/>
      <c r="R384" s="26"/>
      <c r="S384" s="14">
        <f t="shared" si="13"/>
        <v>-2.533829176</v>
      </c>
    </row>
    <row r="385">
      <c r="A385" s="11">
        <v>373.0</v>
      </c>
      <c r="B385" s="11">
        <v>1.42101739130434E9</v>
      </c>
      <c r="C385" s="2">
        <v>-102.5748138</v>
      </c>
      <c r="D385" s="24">
        <f t="shared" si="1"/>
        <v>617391.3043</v>
      </c>
      <c r="E385" s="25">
        <f t="shared" si="2"/>
        <v>-131.3163469</v>
      </c>
      <c r="F385" s="24">
        <f t="shared" si="3"/>
        <v>0.0002126954915</v>
      </c>
      <c r="G385" s="24">
        <f t="shared" si="4"/>
        <v>0</v>
      </c>
      <c r="H385" s="26">
        <f t="shared" si="5"/>
        <v>0</v>
      </c>
      <c r="I385" s="24">
        <f t="shared" si="6"/>
        <v>0</v>
      </c>
      <c r="J385" s="24">
        <f t="shared" si="7"/>
        <v>0</v>
      </c>
      <c r="K385" s="24"/>
      <c r="L385" s="24">
        <f t="shared" si="8"/>
        <v>420.3632948</v>
      </c>
      <c r="M385" s="30">
        <f t="shared" si="9"/>
        <v>423.7149647</v>
      </c>
      <c r="N385" s="27">
        <f t="shared" si="10"/>
        <v>-3.35166985</v>
      </c>
      <c r="O385" s="24"/>
      <c r="P385" s="24"/>
      <c r="Q385" s="24"/>
      <c r="R385" s="26"/>
      <c r="S385" s="14">
        <f t="shared" si="13"/>
        <v>-3.077825462</v>
      </c>
    </row>
    <row r="386">
      <c r="A386" s="11">
        <v>374.0</v>
      </c>
      <c r="B386" s="11">
        <v>1.42102173913043E9</v>
      </c>
      <c r="C386" s="2">
        <v>-102.552536</v>
      </c>
      <c r="D386" s="24">
        <f t="shared" si="1"/>
        <v>621739.1304</v>
      </c>
      <c r="E386" s="25">
        <f t="shared" si="2"/>
        <v>-132.234643</v>
      </c>
      <c r="F386" s="24">
        <f t="shared" si="3"/>
        <v>0.0002126850902</v>
      </c>
      <c r="G386" s="24">
        <f t="shared" si="4"/>
        <v>0</v>
      </c>
      <c r="H386" s="26">
        <f t="shared" si="5"/>
        <v>0</v>
      </c>
      <c r="I386" s="24">
        <f t="shared" si="6"/>
        <v>0</v>
      </c>
      <c r="J386" s="24">
        <f t="shared" si="7"/>
        <v>0</v>
      </c>
      <c r="K386" s="24"/>
      <c r="L386" s="24">
        <f t="shared" si="8"/>
        <v>422.5251527</v>
      </c>
      <c r="M386" s="30">
        <f t="shared" si="9"/>
        <v>423.6133808</v>
      </c>
      <c r="N386" s="27">
        <f t="shared" si="10"/>
        <v>-1.088228066</v>
      </c>
      <c r="O386" s="24"/>
      <c r="P386" s="24"/>
      <c r="Q386" s="24"/>
      <c r="R386" s="26"/>
      <c r="S386" s="14">
        <f t="shared" si="13"/>
        <v>-0.9993156221</v>
      </c>
    </row>
    <row r="387">
      <c r="A387" s="11">
        <v>375.0</v>
      </c>
      <c r="B387" s="11">
        <v>1.42102608695652E9</v>
      </c>
      <c r="C387" s="2">
        <v>-102.5463257</v>
      </c>
      <c r="D387" s="24">
        <f t="shared" si="1"/>
        <v>626086.9565</v>
      </c>
      <c r="E387" s="25">
        <f t="shared" si="2"/>
        <v>-133.1529392</v>
      </c>
      <c r="F387" s="24">
        <f t="shared" si="3"/>
        <v>0.0002126748334</v>
      </c>
      <c r="G387" s="24">
        <f t="shared" si="4"/>
        <v>0</v>
      </c>
      <c r="H387" s="26">
        <f t="shared" si="5"/>
        <v>0</v>
      </c>
      <c r="I387" s="24">
        <f t="shared" si="6"/>
        <v>0</v>
      </c>
      <c r="J387" s="24">
        <f t="shared" si="7"/>
        <v>0</v>
      </c>
      <c r="K387" s="24"/>
      <c r="L387" s="24">
        <f t="shared" si="8"/>
        <v>423.1297851</v>
      </c>
      <c r="M387" s="30">
        <f t="shared" si="9"/>
        <v>423.5118079</v>
      </c>
      <c r="N387" s="27">
        <f t="shared" si="10"/>
        <v>-0.3820228251</v>
      </c>
      <c r="O387" s="24"/>
      <c r="P387" s="24"/>
      <c r="Q387" s="24"/>
      <c r="R387" s="26"/>
      <c r="S387" s="14">
        <f t="shared" si="13"/>
        <v>-0.3508100829</v>
      </c>
    </row>
    <row r="388">
      <c r="A388" s="11">
        <v>376.0</v>
      </c>
      <c r="B388" s="11">
        <v>1.4210304347826E9</v>
      </c>
      <c r="C388" s="2">
        <v>-102.5367279</v>
      </c>
      <c r="D388" s="24">
        <f t="shared" si="1"/>
        <v>630434.7826</v>
      </c>
      <c r="E388" s="25">
        <f t="shared" si="2"/>
        <v>-134.0712353</v>
      </c>
      <c r="F388" s="24">
        <f t="shared" si="3"/>
        <v>0.0002126647181</v>
      </c>
      <c r="G388" s="24">
        <f t="shared" si="4"/>
        <v>0</v>
      </c>
      <c r="H388" s="26">
        <f t="shared" si="5"/>
        <v>0</v>
      </c>
      <c r="I388" s="24">
        <f t="shared" si="6"/>
        <v>0</v>
      </c>
      <c r="J388" s="24">
        <f t="shared" si="7"/>
        <v>0</v>
      </c>
      <c r="K388" s="24"/>
      <c r="L388" s="24">
        <f t="shared" si="8"/>
        <v>424.0659254</v>
      </c>
      <c r="M388" s="30">
        <f t="shared" si="9"/>
        <v>423.4102466</v>
      </c>
      <c r="N388" s="27">
        <f t="shared" si="10"/>
        <v>0.6556787759</v>
      </c>
      <c r="O388" s="24"/>
      <c r="P388" s="24"/>
      <c r="Q388" s="24"/>
      <c r="R388" s="26"/>
      <c r="S388" s="14">
        <f t="shared" si="13"/>
        <v>0.6021072842</v>
      </c>
    </row>
    <row r="389">
      <c r="A389" s="11">
        <v>377.0</v>
      </c>
      <c r="B389" s="11">
        <v>1.42103478260869E9</v>
      </c>
      <c r="C389" s="2">
        <v>-102.5825806</v>
      </c>
      <c r="D389" s="24">
        <f t="shared" si="1"/>
        <v>634782.6087</v>
      </c>
      <c r="E389" s="25">
        <f t="shared" si="2"/>
        <v>-134.9895314</v>
      </c>
      <c r="F389" s="24">
        <f t="shared" si="3"/>
        <v>0.0002126547413</v>
      </c>
      <c r="G389" s="24">
        <f t="shared" si="4"/>
        <v>0</v>
      </c>
      <c r="H389" s="26">
        <f t="shared" si="5"/>
        <v>0</v>
      </c>
      <c r="I389" s="24">
        <f t="shared" si="6"/>
        <v>0</v>
      </c>
      <c r="J389" s="24">
        <f t="shared" si="7"/>
        <v>0</v>
      </c>
      <c r="K389" s="24"/>
      <c r="L389" s="24">
        <f t="shared" si="8"/>
        <v>419.6122008</v>
      </c>
      <c r="M389" s="30">
        <f t="shared" si="9"/>
        <v>423.3086976</v>
      </c>
      <c r="N389" s="27">
        <f t="shared" si="10"/>
        <v>-3.696496826</v>
      </c>
      <c r="O389" s="24"/>
      <c r="P389" s="24"/>
      <c r="Q389" s="24"/>
      <c r="R389" s="26"/>
      <c r="S389" s="14">
        <f t="shared" si="13"/>
        <v>-3.39447874</v>
      </c>
    </row>
    <row r="390">
      <c r="A390" s="11">
        <v>378.0</v>
      </c>
      <c r="B390" s="11">
        <v>1.42103913043478E9</v>
      </c>
      <c r="C390" s="2">
        <v>-102.551178</v>
      </c>
      <c r="D390" s="24">
        <f t="shared" si="1"/>
        <v>639130.4348</v>
      </c>
      <c r="E390" s="25">
        <f t="shared" si="2"/>
        <v>-135.9078276</v>
      </c>
      <c r="F390" s="24">
        <f t="shared" si="3"/>
        <v>0.0002126449003</v>
      </c>
      <c r="G390" s="24">
        <f t="shared" si="4"/>
        <v>0</v>
      </c>
      <c r="H390" s="26">
        <f t="shared" si="5"/>
        <v>0</v>
      </c>
      <c r="I390" s="24">
        <f t="shared" si="6"/>
        <v>0</v>
      </c>
      <c r="J390" s="24">
        <f t="shared" si="7"/>
        <v>0</v>
      </c>
      <c r="K390" s="24"/>
      <c r="L390" s="24">
        <f t="shared" si="8"/>
        <v>422.6572932</v>
      </c>
      <c r="M390" s="30">
        <f t="shared" si="9"/>
        <v>423.2071614</v>
      </c>
      <c r="N390" s="27">
        <f t="shared" si="10"/>
        <v>-0.5498681964</v>
      </c>
      <c r="O390" s="24"/>
      <c r="P390" s="24"/>
      <c r="Q390" s="24"/>
      <c r="R390" s="26"/>
      <c r="S390" s="14">
        <f t="shared" si="13"/>
        <v>-0.5049418372</v>
      </c>
    </row>
    <row r="391">
      <c r="A391" s="11">
        <v>379.0</v>
      </c>
      <c r="B391" s="11">
        <v>1.42104347826087E9</v>
      </c>
      <c r="C391" s="2">
        <v>-102.5303726</v>
      </c>
      <c r="D391" s="24">
        <f t="shared" si="1"/>
        <v>643478.2609</v>
      </c>
      <c r="E391" s="25">
        <f t="shared" si="2"/>
        <v>-136.8261237</v>
      </c>
      <c r="F391" s="24">
        <f t="shared" si="3"/>
        <v>0.0002126351922</v>
      </c>
      <c r="G391" s="24">
        <f t="shared" si="4"/>
        <v>0</v>
      </c>
      <c r="H391" s="26">
        <f t="shared" si="5"/>
        <v>0</v>
      </c>
      <c r="I391" s="24">
        <f t="shared" si="6"/>
        <v>0</v>
      </c>
      <c r="J391" s="24">
        <f t="shared" si="7"/>
        <v>0</v>
      </c>
      <c r="K391" s="24"/>
      <c r="L391" s="24">
        <f t="shared" si="8"/>
        <v>424.6869416</v>
      </c>
      <c r="M391" s="30">
        <f t="shared" si="9"/>
        <v>423.1056386</v>
      </c>
      <c r="N391" s="27">
        <f t="shared" si="10"/>
        <v>1.581302964</v>
      </c>
      <c r="O391" s="24"/>
      <c r="P391" s="24"/>
      <c r="Q391" s="24"/>
      <c r="R391" s="26"/>
      <c r="S391" s="14">
        <f t="shared" si="13"/>
        <v>1.452104397</v>
      </c>
    </row>
    <row r="392">
      <c r="A392" s="11">
        <v>380.0</v>
      </c>
      <c r="B392" s="11">
        <v>1.42104782608695E9</v>
      </c>
      <c r="C392" s="2">
        <v>-102.5289764</v>
      </c>
      <c r="D392" s="24">
        <f t="shared" si="1"/>
        <v>647826.087</v>
      </c>
      <c r="E392" s="25">
        <f t="shared" si="2"/>
        <v>-137.7444198</v>
      </c>
      <c r="F392" s="24">
        <f t="shared" si="3"/>
        <v>0.0002126256145</v>
      </c>
      <c r="G392" s="24">
        <f t="shared" si="4"/>
        <v>0</v>
      </c>
      <c r="H392" s="26">
        <f t="shared" si="5"/>
        <v>0</v>
      </c>
      <c r="I392" s="24">
        <f t="shared" si="6"/>
        <v>0</v>
      </c>
      <c r="J392" s="24">
        <f t="shared" si="7"/>
        <v>0</v>
      </c>
      <c r="K392" s="24"/>
      <c r="L392" s="24">
        <f t="shared" si="8"/>
        <v>424.8234948</v>
      </c>
      <c r="M392" s="30">
        <f t="shared" si="9"/>
        <v>423.0041299</v>
      </c>
      <c r="N392" s="27">
        <f t="shared" si="10"/>
        <v>1.819364924</v>
      </c>
      <c r="O392" s="24"/>
      <c r="P392" s="24"/>
      <c r="Q392" s="24"/>
      <c r="R392" s="26"/>
      <c r="S392" s="14">
        <f t="shared" si="13"/>
        <v>1.670715774</v>
      </c>
    </row>
    <row r="393">
      <c r="A393" s="11">
        <v>381.0</v>
      </c>
      <c r="B393" s="11">
        <v>1.42105217391304E9</v>
      </c>
      <c r="C393" s="2">
        <v>-102.5761337</v>
      </c>
      <c r="D393" s="24">
        <f t="shared" si="1"/>
        <v>652173.913</v>
      </c>
      <c r="E393" s="25">
        <f t="shared" si="2"/>
        <v>-138.662716</v>
      </c>
      <c r="F393" s="24">
        <f t="shared" si="3"/>
        <v>0.0002126161645</v>
      </c>
      <c r="G393" s="24">
        <f t="shared" si="4"/>
        <v>0</v>
      </c>
      <c r="H393" s="26">
        <f t="shared" si="5"/>
        <v>0</v>
      </c>
      <c r="I393" s="24">
        <f t="shared" si="6"/>
        <v>0</v>
      </c>
      <c r="J393" s="24">
        <f t="shared" si="7"/>
        <v>0</v>
      </c>
      <c r="K393" s="24"/>
      <c r="L393" s="24">
        <f t="shared" si="8"/>
        <v>420.2355582</v>
      </c>
      <c r="M393" s="30">
        <f t="shared" si="9"/>
        <v>422.9026359</v>
      </c>
      <c r="N393" s="27">
        <f t="shared" si="10"/>
        <v>-2.667077712</v>
      </c>
      <c r="O393" s="24"/>
      <c r="P393" s="24"/>
      <c r="Q393" s="24"/>
      <c r="R393" s="26"/>
      <c r="S393" s="14">
        <f t="shared" si="13"/>
        <v>-2.449167143</v>
      </c>
    </row>
    <row r="394">
      <c r="A394" s="11">
        <v>382.0</v>
      </c>
      <c r="B394" s="11">
        <v>1.42105652173913E9</v>
      </c>
      <c r="C394" s="2">
        <v>-102.5479507</v>
      </c>
      <c r="D394" s="24">
        <f t="shared" si="1"/>
        <v>656521.7391</v>
      </c>
      <c r="E394" s="25">
        <f t="shared" si="2"/>
        <v>-139.5810121</v>
      </c>
      <c r="F394" s="24">
        <f t="shared" si="3"/>
        <v>0.0002126068396</v>
      </c>
      <c r="G394" s="24">
        <f t="shared" si="4"/>
        <v>0</v>
      </c>
      <c r="H394" s="26">
        <f t="shared" si="5"/>
        <v>0</v>
      </c>
      <c r="I394" s="24">
        <f t="shared" si="6"/>
        <v>0</v>
      </c>
      <c r="J394" s="24">
        <f t="shared" si="7"/>
        <v>0</v>
      </c>
      <c r="K394" s="24"/>
      <c r="L394" s="24">
        <f t="shared" si="8"/>
        <v>422.9714922</v>
      </c>
      <c r="M394" s="30">
        <f t="shared" si="9"/>
        <v>422.8011571</v>
      </c>
      <c r="N394" s="27">
        <f t="shared" si="10"/>
        <v>0.1703350891</v>
      </c>
      <c r="O394" s="24"/>
      <c r="P394" s="24"/>
      <c r="Q394" s="24"/>
      <c r="R394" s="26"/>
      <c r="S394" s="14">
        <f t="shared" si="13"/>
        <v>0.1564180536</v>
      </c>
    </row>
    <row r="395">
      <c r="A395" s="11">
        <v>383.0</v>
      </c>
      <c r="B395" s="11">
        <v>1.42106086956521E9</v>
      </c>
      <c r="C395" s="2">
        <v>-102.5585861</v>
      </c>
      <c r="D395" s="24">
        <f t="shared" si="1"/>
        <v>660869.5652</v>
      </c>
      <c r="E395" s="25">
        <f t="shared" si="2"/>
        <v>-140.4993082</v>
      </c>
      <c r="F395" s="24">
        <f t="shared" si="3"/>
        <v>0.0002125976374</v>
      </c>
      <c r="G395" s="24">
        <f t="shared" si="4"/>
        <v>0</v>
      </c>
      <c r="H395" s="26">
        <f t="shared" si="5"/>
        <v>0</v>
      </c>
      <c r="I395" s="24">
        <f t="shared" si="6"/>
        <v>0</v>
      </c>
      <c r="J395" s="24">
        <f t="shared" si="7"/>
        <v>0</v>
      </c>
      <c r="K395" s="24"/>
      <c r="L395" s="24">
        <f t="shared" si="8"/>
        <v>421.9369482</v>
      </c>
      <c r="M395" s="30">
        <f t="shared" si="9"/>
        <v>422.6996942</v>
      </c>
      <c r="N395" s="27">
        <f t="shared" si="10"/>
        <v>-0.7627459649</v>
      </c>
      <c r="O395" s="24"/>
      <c r="P395" s="24"/>
      <c r="Q395" s="24"/>
      <c r="R395" s="26"/>
      <c r="S395" s="14">
        <f t="shared" si="13"/>
        <v>-0.7004266699</v>
      </c>
    </row>
    <row r="396">
      <c r="A396" s="11">
        <v>384.0</v>
      </c>
      <c r="B396" s="11">
        <v>1.4210652173913E9</v>
      </c>
      <c r="C396" s="2">
        <v>-102.5199203</v>
      </c>
      <c r="D396" s="24">
        <f t="shared" si="1"/>
        <v>665217.3913</v>
      </c>
      <c r="E396" s="25">
        <f t="shared" si="2"/>
        <v>-141.4176043</v>
      </c>
      <c r="F396" s="24">
        <f t="shared" si="3"/>
        <v>0.0002125885556</v>
      </c>
      <c r="G396" s="24">
        <f t="shared" si="4"/>
        <v>0</v>
      </c>
      <c r="H396" s="26">
        <f t="shared" si="5"/>
        <v>0</v>
      </c>
      <c r="I396" s="24">
        <f t="shared" si="6"/>
        <v>0</v>
      </c>
      <c r="J396" s="24">
        <f t="shared" si="7"/>
        <v>0</v>
      </c>
      <c r="K396" s="24"/>
      <c r="L396" s="24">
        <f t="shared" si="8"/>
        <v>425.7102798</v>
      </c>
      <c r="M396" s="30">
        <f t="shared" si="9"/>
        <v>422.5982477</v>
      </c>
      <c r="N396" s="27">
        <f t="shared" si="10"/>
        <v>3.112032052</v>
      </c>
      <c r="O396" s="24"/>
      <c r="P396" s="24"/>
      <c r="Q396" s="24"/>
      <c r="R396" s="26"/>
      <c r="S396" s="14">
        <f t="shared" si="13"/>
        <v>2.857766992</v>
      </c>
    </row>
    <row r="397">
      <c r="A397" s="11">
        <v>385.0</v>
      </c>
      <c r="B397" s="11">
        <v>1.42106956521739E9</v>
      </c>
      <c r="C397" s="2">
        <v>-102.5741959</v>
      </c>
      <c r="D397" s="24">
        <f t="shared" si="1"/>
        <v>669565.2174</v>
      </c>
      <c r="E397" s="25">
        <f t="shared" si="2"/>
        <v>-142.3359005</v>
      </c>
      <c r="F397" s="24">
        <f t="shared" si="3"/>
        <v>0.0002125795916</v>
      </c>
      <c r="G397" s="24">
        <f t="shared" si="4"/>
        <v>0</v>
      </c>
      <c r="H397" s="26">
        <f t="shared" si="5"/>
        <v>0</v>
      </c>
      <c r="I397" s="24">
        <f t="shared" si="6"/>
        <v>0</v>
      </c>
      <c r="J397" s="24">
        <f t="shared" si="7"/>
        <v>0</v>
      </c>
      <c r="K397" s="24"/>
      <c r="L397" s="24">
        <f t="shared" si="8"/>
        <v>420.423107</v>
      </c>
      <c r="M397" s="30">
        <f t="shared" si="9"/>
        <v>422.4968184</v>
      </c>
      <c r="N397" s="27">
        <f t="shared" si="10"/>
        <v>-2.073711413</v>
      </c>
      <c r="O397" s="24"/>
      <c r="P397" s="24"/>
      <c r="Q397" s="24"/>
      <c r="R397" s="26"/>
      <c r="S397" s="14">
        <f t="shared" si="13"/>
        <v>-1.904281171</v>
      </c>
    </row>
    <row r="398">
      <c r="A398" s="11">
        <v>386.0</v>
      </c>
      <c r="B398" s="11">
        <v>1.42107391304347E9</v>
      </c>
      <c r="C398" s="2">
        <v>-102.5508118</v>
      </c>
      <c r="D398" s="24">
        <f t="shared" si="1"/>
        <v>673913.0435</v>
      </c>
      <c r="E398" s="25">
        <f t="shared" si="2"/>
        <v>-143.2541966</v>
      </c>
      <c r="F398" s="24">
        <f t="shared" si="3"/>
        <v>0.0002125707434</v>
      </c>
      <c r="G398" s="24">
        <f t="shared" si="4"/>
        <v>0</v>
      </c>
      <c r="H398" s="26">
        <f t="shared" si="5"/>
        <v>0</v>
      </c>
      <c r="I398" s="24">
        <f t="shared" si="6"/>
        <v>0</v>
      </c>
      <c r="J398" s="24">
        <f t="shared" si="7"/>
        <v>0</v>
      </c>
      <c r="K398" s="24"/>
      <c r="L398" s="24">
        <f t="shared" si="8"/>
        <v>422.6929334</v>
      </c>
      <c r="M398" s="30">
        <f t="shared" si="9"/>
        <v>422.3954067</v>
      </c>
      <c r="N398" s="27">
        <f t="shared" si="10"/>
        <v>0.2975267022</v>
      </c>
      <c r="O398" s="24"/>
      <c r="P398" s="24"/>
      <c r="Q398" s="24"/>
      <c r="R398" s="26"/>
      <c r="S398" s="14">
        <f t="shared" si="13"/>
        <v>0.27321762</v>
      </c>
    </row>
    <row r="399">
      <c r="A399" s="11">
        <v>387.0</v>
      </c>
      <c r="B399" s="11">
        <v>1.42107826086956E9</v>
      </c>
      <c r="C399" s="2">
        <v>-102.5529022</v>
      </c>
      <c r="D399" s="24">
        <f t="shared" si="1"/>
        <v>678260.8696</v>
      </c>
      <c r="E399" s="25">
        <f t="shared" si="2"/>
        <v>-144.1724927</v>
      </c>
      <c r="F399" s="24">
        <f t="shared" si="3"/>
        <v>0.0002125620085</v>
      </c>
      <c r="G399" s="24">
        <f t="shared" si="4"/>
        <v>0</v>
      </c>
      <c r="H399" s="26">
        <f t="shared" si="5"/>
        <v>0</v>
      </c>
      <c r="I399" s="24">
        <f t="shared" si="6"/>
        <v>0</v>
      </c>
      <c r="J399" s="24">
        <f t="shared" si="7"/>
        <v>0</v>
      </c>
      <c r="K399" s="24"/>
      <c r="L399" s="24">
        <f t="shared" si="8"/>
        <v>422.4895266</v>
      </c>
      <c r="M399" s="30">
        <f t="shared" si="9"/>
        <v>422.2940134</v>
      </c>
      <c r="N399" s="27">
        <f t="shared" si="10"/>
        <v>0.195513207</v>
      </c>
      <c r="O399" s="24"/>
      <c r="P399" s="24"/>
      <c r="Q399" s="24"/>
      <c r="R399" s="26"/>
      <c r="S399" s="14">
        <f t="shared" si="13"/>
        <v>0.1795390215</v>
      </c>
    </row>
    <row r="400">
      <c r="A400" s="11">
        <v>388.0</v>
      </c>
      <c r="B400" s="11">
        <v>1.42108260869565E9</v>
      </c>
      <c r="C400" s="2">
        <v>-102.5600128</v>
      </c>
      <c r="D400" s="24">
        <f t="shared" si="1"/>
        <v>682608.6957</v>
      </c>
      <c r="E400" s="25">
        <f t="shared" si="2"/>
        <v>-145.0907889</v>
      </c>
      <c r="F400" s="24">
        <f t="shared" si="3"/>
        <v>0.000212553385</v>
      </c>
      <c r="G400" s="24">
        <f t="shared" si="4"/>
        <v>0</v>
      </c>
      <c r="H400" s="26">
        <f t="shared" si="5"/>
        <v>0</v>
      </c>
      <c r="I400" s="24">
        <f t="shared" si="6"/>
        <v>0</v>
      </c>
      <c r="J400" s="24">
        <f t="shared" si="7"/>
        <v>0</v>
      </c>
      <c r="K400" s="24"/>
      <c r="L400" s="24">
        <f t="shared" si="8"/>
        <v>421.7983605</v>
      </c>
      <c r="M400" s="30">
        <f t="shared" si="9"/>
        <v>422.192639</v>
      </c>
      <c r="N400" s="27">
        <f t="shared" si="10"/>
        <v>-0.3942784167</v>
      </c>
      <c r="O400" s="24"/>
      <c r="P400" s="24"/>
      <c r="Q400" s="24"/>
      <c r="R400" s="26"/>
      <c r="S400" s="14">
        <f t="shared" si="13"/>
        <v>-0.3620643453</v>
      </c>
    </row>
    <row r="401">
      <c r="A401" s="11">
        <v>389.0</v>
      </c>
      <c r="B401" s="11">
        <v>1.42108695652173E9</v>
      </c>
      <c r="C401" s="2">
        <v>-102.5589676</v>
      </c>
      <c r="D401" s="24">
        <f t="shared" si="1"/>
        <v>686956.5217</v>
      </c>
      <c r="E401" s="25">
        <f t="shared" si="2"/>
        <v>-146.009085</v>
      </c>
      <c r="F401" s="24">
        <f t="shared" si="3"/>
        <v>0.0002125448706</v>
      </c>
      <c r="G401" s="24">
        <f t="shared" si="4"/>
        <v>0</v>
      </c>
      <c r="H401" s="26">
        <f t="shared" si="5"/>
        <v>0</v>
      </c>
      <c r="I401" s="24">
        <f t="shared" si="6"/>
        <v>0</v>
      </c>
      <c r="J401" s="24">
        <f t="shared" si="7"/>
        <v>0</v>
      </c>
      <c r="K401" s="24"/>
      <c r="L401" s="24">
        <f t="shared" si="8"/>
        <v>421.8998854</v>
      </c>
      <c r="M401" s="30">
        <f t="shared" si="9"/>
        <v>422.091284</v>
      </c>
      <c r="N401" s="27">
        <f t="shared" si="10"/>
        <v>-0.1913986779</v>
      </c>
      <c r="O401" s="24"/>
      <c r="P401" s="24"/>
      <c r="Q401" s="24"/>
      <c r="R401" s="26"/>
      <c r="S401" s="14">
        <f t="shared" si="13"/>
        <v>-0.1757606658</v>
      </c>
    </row>
    <row r="402">
      <c r="A402" s="11">
        <v>390.0</v>
      </c>
      <c r="B402" s="11">
        <v>1.42109130434782E9</v>
      </c>
      <c r="C402" s="2">
        <v>-102.5447159</v>
      </c>
      <c r="D402" s="24">
        <f t="shared" si="1"/>
        <v>691304.3478</v>
      </c>
      <c r="E402" s="25">
        <f t="shared" si="2"/>
        <v>-146.9273811</v>
      </c>
      <c r="F402" s="24">
        <f t="shared" si="3"/>
        <v>0.0002125364633</v>
      </c>
      <c r="G402" s="24">
        <f t="shared" si="4"/>
        <v>0</v>
      </c>
      <c r="H402" s="26">
        <f t="shared" si="5"/>
        <v>0</v>
      </c>
      <c r="I402" s="24">
        <f t="shared" si="6"/>
        <v>0</v>
      </c>
      <c r="J402" s="24">
        <f t="shared" si="7"/>
        <v>0</v>
      </c>
      <c r="K402" s="24"/>
      <c r="L402" s="24">
        <f t="shared" si="8"/>
        <v>423.2866557</v>
      </c>
      <c r="M402" s="30">
        <f t="shared" si="9"/>
        <v>421.9899493</v>
      </c>
      <c r="N402" s="27">
        <f t="shared" si="10"/>
        <v>1.296706462</v>
      </c>
      <c r="O402" s="24"/>
      <c r="P402" s="24"/>
      <c r="Q402" s="24"/>
      <c r="R402" s="26"/>
      <c r="S402" s="14">
        <f t="shared" si="13"/>
        <v>1.19076053</v>
      </c>
    </row>
    <row r="403">
      <c r="A403" s="11">
        <v>391.0</v>
      </c>
      <c r="B403" s="11">
        <v>1.42109565217391E9</v>
      </c>
      <c r="C403" s="2">
        <v>-102.5501556</v>
      </c>
      <c r="D403" s="24">
        <f t="shared" si="1"/>
        <v>695652.1739</v>
      </c>
      <c r="E403" s="25">
        <f t="shared" si="2"/>
        <v>-147.8456773</v>
      </c>
      <c r="F403" s="24">
        <f t="shared" si="3"/>
        <v>0.0002125281611</v>
      </c>
      <c r="G403" s="24">
        <f t="shared" si="4"/>
        <v>0</v>
      </c>
      <c r="H403" s="26">
        <f t="shared" si="5"/>
        <v>0</v>
      </c>
      <c r="I403" s="24">
        <f t="shared" si="6"/>
        <v>0</v>
      </c>
      <c r="J403" s="24">
        <f t="shared" si="7"/>
        <v>0</v>
      </c>
      <c r="K403" s="24"/>
      <c r="L403" s="24">
        <f t="shared" si="8"/>
        <v>422.7568053</v>
      </c>
      <c r="M403" s="30">
        <f t="shared" si="9"/>
        <v>421.8886352</v>
      </c>
      <c r="N403" s="27">
        <f t="shared" si="10"/>
        <v>0.8681701275</v>
      </c>
      <c r="O403" s="24"/>
      <c r="P403" s="24"/>
      <c r="Q403" s="24"/>
      <c r="R403" s="26"/>
      <c r="S403" s="14">
        <f t="shared" si="13"/>
        <v>0.7972372688</v>
      </c>
    </row>
    <row r="404">
      <c r="A404" s="11">
        <v>392.0</v>
      </c>
      <c r="B404" s="11">
        <v>1.4211E9</v>
      </c>
      <c r="C404" s="2">
        <v>-102.5494995</v>
      </c>
      <c r="D404" s="24">
        <f t="shared" si="1"/>
        <v>700000</v>
      </c>
      <c r="E404" s="25">
        <f t="shared" si="2"/>
        <v>-148.7639734</v>
      </c>
      <c r="F404" s="24">
        <f t="shared" si="3"/>
        <v>0.000212519962</v>
      </c>
      <c r="G404" s="24">
        <f t="shared" si="4"/>
        <v>0</v>
      </c>
      <c r="H404" s="26">
        <f t="shared" si="5"/>
        <v>0</v>
      </c>
      <c r="I404" s="24">
        <f t="shared" si="6"/>
        <v>0</v>
      </c>
      <c r="J404" s="24">
        <f t="shared" si="7"/>
        <v>0</v>
      </c>
      <c r="K404" s="24"/>
      <c r="L404" s="24">
        <f t="shared" si="8"/>
        <v>422.8206771</v>
      </c>
      <c r="M404" s="30">
        <f t="shared" si="9"/>
        <v>421.7873425</v>
      </c>
      <c r="N404" s="27">
        <f t="shared" si="10"/>
        <v>1.033334638</v>
      </c>
      <c r="O404" s="24"/>
      <c r="P404" s="24"/>
      <c r="Q404" s="24"/>
      <c r="R404" s="26"/>
      <c r="S404" s="14">
        <f t="shared" si="13"/>
        <v>0.9489072019</v>
      </c>
    </row>
    <row r="405">
      <c r="A405" s="11">
        <v>393.0</v>
      </c>
      <c r="B405" s="11">
        <v>1.42110434782608E9</v>
      </c>
      <c r="C405" s="2">
        <v>-102.6088028</v>
      </c>
      <c r="D405" s="24">
        <f t="shared" si="1"/>
        <v>704347.8261</v>
      </c>
      <c r="E405" s="25">
        <f t="shared" si="2"/>
        <v>-149.6822695</v>
      </c>
      <c r="F405" s="24">
        <f t="shared" si="3"/>
        <v>0.0002125118642</v>
      </c>
      <c r="G405" s="24">
        <f t="shared" si="4"/>
        <v>0</v>
      </c>
      <c r="H405" s="26">
        <f t="shared" si="5"/>
        <v>0</v>
      </c>
      <c r="I405" s="24">
        <f t="shared" si="6"/>
        <v>0</v>
      </c>
      <c r="J405" s="24">
        <f t="shared" si="7"/>
        <v>0</v>
      </c>
      <c r="K405" s="24"/>
      <c r="L405" s="24">
        <f t="shared" si="8"/>
        <v>417.086264</v>
      </c>
      <c r="M405" s="30">
        <f t="shared" si="9"/>
        <v>421.6860717</v>
      </c>
      <c r="N405" s="27">
        <f t="shared" si="10"/>
        <v>-4.599807703</v>
      </c>
      <c r="O405" s="24"/>
      <c r="P405" s="24"/>
      <c r="Q405" s="24"/>
      <c r="R405" s="26"/>
      <c r="S405" s="14">
        <f t="shared" si="13"/>
        <v>-4.223985625</v>
      </c>
    </row>
    <row r="406">
      <c r="A406" s="11">
        <v>394.0</v>
      </c>
      <c r="B406" s="11">
        <v>1.42110869565217E9</v>
      </c>
      <c r="C406" s="2">
        <v>-102.5415649</v>
      </c>
      <c r="D406" s="24">
        <f t="shared" si="1"/>
        <v>708695.6522</v>
      </c>
      <c r="E406" s="25">
        <f t="shared" si="2"/>
        <v>-150.6005657</v>
      </c>
      <c r="F406" s="24">
        <f t="shared" si="3"/>
        <v>0.0002125038657</v>
      </c>
      <c r="G406" s="24">
        <f t="shared" si="4"/>
        <v>0</v>
      </c>
      <c r="H406" s="26">
        <f t="shared" si="5"/>
        <v>0</v>
      </c>
      <c r="I406" s="24">
        <f t="shared" si="6"/>
        <v>0</v>
      </c>
      <c r="J406" s="24">
        <f t="shared" si="7"/>
        <v>0</v>
      </c>
      <c r="K406" s="24"/>
      <c r="L406" s="24">
        <f t="shared" si="8"/>
        <v>423.5938805</v>
      </c>
      <c r="M406" s="30">
        <f t="shared" si="9"/>
        <v>421.5848235</v>
      </c>
      <c r="N406" s="27">
        <f t="shared" si="10"/>
        <v>2.00905697</v>
      </c>
      <c r="O406" s="24"/>
      <c r="P406" s="24"/>
      <c r="Q406" s="24"/>
      <c r="R406" s="26"/>
      <c r="S406" s="14">
        <f t="shared" si="13"/>
        <v>1.844909242</v>
      </c>
    </row>
    <row r="407">
      <c r="A407" s="11">
        <v>395.0</v>
      </c>
      <c r="B407" s="11">
        <v>1.42111304347826E9</v>
      </c>
      <c r="C407" s="2">
        <v>-102.6211624</v>
      </c>
      <c r="D407" s="24">
        <f t="shared" si="1"/>
        <v>713043.4783</v>
      </c>
      <c r="E407" s="25">
        <f t="shared" si="2"/>
        <v>-151.5188618</v>
      </c>
      <c r="F407" s="24">
        <f t="shared" si="3"/>
        <v>0.0002124959647</v>
      </c>
      <c r="G407" s="24">
        <f t="shared" si="4"/>
        <v>0</v>
      </c>
      <c r="H407" s="26">
        <f t="shared" si="5"/>
        <v>0</v>
      </c>
      <c r="I407" s="24">
        <f t="shared" si="6"/>
        <v>0</v>
      </c>
      <c r="J407" s="24">
        <f t="shared" si="7"/>
        <v>0</v>
      </c>
      <c r="K407" s="24"/>
      <c r="L407" s="24">
        <f t="shared" si="8"/>
        <v>415.9009644</v>
      </c>
      <c r="M407" s="30">
        <f t="shared" si="9"/>
        <v>421.4835985</v>
      </c>
      <c r="N407" s="27">
        <f t="shared" si="10"/>
        <v>-5.582634113</v>
      </c>
      <c r="O407" s="24"/>
      <c r="P407" s="24"/>
      <c r="Q407" s="24"/>
      <c r="R407" s="26"/>
      <c r="S407" s="14">
        <f t="shared" si="13"/>
        <v>-5.126511317</v>
      </c>
    </row>
    <row r="408">
      <c r="A408" s="11">
        <v>396.0</v>
      </c>
      <c r="B408" s="11">
        <v>1.42111739130434E9</v>
      </c>
      <c r="C408" s="2">
        <v>-102.5855942</v>
      </c>
      <c r="D408" s="24">
        <f t="shared" si="1"/>
        <v>717391.3043</v>
      </c>
      <c r="E408" s="25">
        <f t="shared" si="2"/>
        <v>-152.4371579</v>
      </c>
      <c r="F408" s="24">
        <f t="shared" si="3"/>
        <v>0.0002124881595</v>
      </c>
      <c r="G408" s="24">
        <f t="shared" si="4"/>
        <v>0</v>
      </c>
      <c r="H408" s="26">
        <f t="shared" si="5"/>
        <v>0</v>
      </c>
      <c r="I408" s="24">
        <f t="shared" si="6"/>
        <v>0</v>
      </c>
      <c r="J408" s="24">
        <f t="shared" si="7"/>
        <v>0</v>
      </c>
      <c r="K408" s="24"/>
      <c r="L408" s="24">
        <f t="shared" si="8"/>
        <v>419.3211299</v>
      </c>
      <c r="M408" s="30">
        <f t="shared" si="9"/>
        <v>421.3823972</v>
      </c>
      <c r="N408" s="27">
        <f t="shared" si="10"/>
        <v>-2.061267303</v>
      </c>
      <c r="O408" s="24"/>
      <c r="P408" s="24"/>
      <c r="Q408" s="24"/>
      <c r="R408" s="26"/>
      <c r="S408" s="14">
        <f t="shared" si="13"/>
        <v>-1.892853793</v>
      </c>
    </row>
    <row r="409">
      <c r="A409" s="11">
        <v>397.0</v>
      </c>
      <c r="B409" s="11">
        <v>1.42112173913043E9</v>
      </c>
      <c r="C409" s="2">
        <v>-102.5582352</v>
      </c>
      <c r="D409" s="24">
        <f t="shared" si="1"/>
        <v>721739.1304</v>
      </c>
      <c r="E409" s="25">
        <f t="shared" si="2"/>
        <v>-153.3554541</v>
      </c>
      <c r="F409" s="24">
        <f t="shared" si="3"/>
        <v>0.0002124804484</v>
      </c>
      <c r="G409" s="24">
        <f t="shared" si="4"/>
        <v>0</v>
      </c>
      <c r="H409" s="26">
        <f t="shared" si="5"/>
        <v>0</v>
      </c>
      <c r="I409" s="24">
        <f t="shared" si="6"/>
        <v>0</v>
      </c>
      <c r="J409" s="24">
        <f t="shared" si="7"/>
        <v>0</v>
      </c>
      <c r="K409" s="24"/>
      <c r="L409" s="24">
        <f t="shared" si="8"/>
        <v>421.9710411</v>
      </c>
      <c r="M409" s="30">
        <f t="shared" si="9"/>
        <v>421.2812203</v>
      </c>
      <c r="N409" s="27">
        <f t="shared" si="10"/>
        <v>0.6898208008</v>
      </c>
      <c r="O409" s="24"/>
      <c r="P409" s="24"/>
      <c r="Q409" s="24"/>
      <c r="R409" s="26"/>
      <c r="S409" s="14">
        <f t="shared" si="13"/>
        <v>0.6334597722</v>
      </c>
    </row>
    <row r="410">
      <c r="A410" s="11">
        <v>398.0</v>
      </c>
      <c r="B410" s="11">
        <v>1.42112608695652E9</v>
      </c>
      <c r="C410" s="2">
        <v>-102.605835</v>
      </c>
      <c r="D410" s="24">
        <f t="shared" si="1"/>
        <v>726086.9565</v>
      </c>
      <c r="E410" s="25">
        <f t="shared" si="2"/>
        <v>-154.2737502</v>
      </c>
      <c r="F410" s="24">
        <f t="shared" si="3"/>
        <v>0.0002124728296</v>
      </c>
      <c r="G410" s="24">
        <f t="shared" si="4"/>
        <v>0</v>
      </c>
      <c r="H410" s="26">
        <f t="shared" si="5"/>
        <v>0</v>
      </c>
      <c r="I410" s="24">
        <f t="shared" si="6"/>
        <v>0</v>
      </c>
      <c r="J410" s="24">
        <f t="shared" si="7"/>
        <v>0</v>
      </c>
      <c r="K410" s="24"/>
      <c r="L410" s="24">
        <f t="shared" si="8"/>
        <v>417.371382</v>
      </c>
      <c r="M410" s="30">
        <f t="shared" si="9"/>
        <v>421.1800684</v>
      </c>
      <c r="N410" s="27">
        <f t="shared" si="10"/>
        <v>-3.808686426</v>
      </c>
      <c r="O410" s="24"/>
      <c r="P410" s="24"/>
      <c r="Q410" s="24"/>
      <c r="R410" s="26"/>
      <c r="S410" s="14">
        <f t="shared" si="13"/>
        <v>-3.497502016</v>
      </c>
    </row>
    <row r="411">
      <c r="A411" s="11">
        <v>399.0</v>
      </c>
      <c r="B411" s="11">
        <v>1.4211304347826E9</v>
      </c>
      <c r="C411" s="2">
        <v>-102.5652466</v>
      </c>
      <c r="D411" s="24">
        <f t="shared" si="1"/>
        <v>730434.7826</v>
      </c>
      <c r="E411" s="25">
        <f t="shared" si="2"/>
        <v>-155.1920463</v>
      </c>
      <c r="F411" s="24">
        <f t="shared" si="3"/>
        <v>0.0002124653015</v>
      </c>
      <c r="G411" s="24">
        <f t="shared" si="4"/>
        <v>0</v>
      </c>
      <c r="H411" s="26">
        <f t="shared" si="5"/>
        <v>0</v>
      </c>
      <c r="I411" s="24">
        <f t="shared" si="6"/>
        <v>0</v>
      </c>
      <c r="J411" s="24">
        <f t="shared" si="7"/>
        <v>0</v>
      </c>
      <c r="K411" s="24"/>
      <c r="L411" s="24">
        <f t="shared" si="8"/>
        <v>421.2903461</v>
      </c>
      <c r="M411" s="30">
        <f t="shared" si="9"/>
        <v>421.0789421</v>
      </c>
      <c r="N411" s="27">
        <f t="shared" si="10"/>
        <v>0.2114040047</v>
      </c>
      <c r="O411" s="24"/>
      <c r="P411" s="24"/>
      <c r="Q411" s="24"/>
      <c r="R411" s="26"/>
      <c r="S411" s="14">
        <f t="shared" si="13"/>
        <v>0.19413148</v>
      </c>
    </row>
    <row r="412">
      <c r="A412" s="11">
        <v>400.0</v>
      </c>
      <c r="B412" s="11">
        <v>1.42113478260869E9</v>
      </c>
      <c r="C412" s="2">
        <v>-102.5229874</v>
      </c>
      <c r="D412" s="24">
        <f t="shared" si="1"/>
        <v>734782.6087</v>
      </c>
      <c r="E412" s="25">
        <f t="shared" si="2"/>
        <v>-156.1103425</v>
      </c>
      <c r="F412" s="24">
        <f t="shared" si="3"/>
        <v>0.0002124578625</v>
      </c>
      <c r="G412" s="24">
        <f t="shared" si="4"/>
        <v>0</v>
      </c>
      <c r="H412" s="26">
        <f t="shared" si="5"/>
        <v>0</v>
      </c>
      <c r="I412" s="24">
        <f t="shared" si="6"/>
        <v>0</v>
      </c>
      <c r="J412" s="24">
        <f t="shared" si="7"/>
        <v>0</v>
      </c>
      <c r="K412" s="24"/>
      <c r="L412" s="24">
        <f t="shared" si="8"/>
        <v>425.4097383</v>
      </c>
      <c r="M412" s="30">
        <f t="shared" si="9"/>
        <v>420.977842</v>
      </c>
      <c r="N412" s="27">
        <f t="shared" si="10"/>
        <v>4.431896287</v>
      </c>
      <c r="O412" s="24"/>
      <c r="P412" s="24"/>
      <c r="Q412" s="24"/>
      <c r="R412" s="26"/>
      <c r="S412" s="14">
        <f t="shared" si="13"/>
        <v>4.069793221</v>
      </c>
    </row>
    <row r="413">
      <c r="A413" s="11">
        <v>401.0</v>
      </c>
      <c r="B413" s="11">
        <v>1.42113913043478E9</v>
      </c>
      <c r="C413" s="2">
        <v>-102.5686874</v>
      </c>
      <c r="D413" s="24">
        <f t="shared" si="1"/>
        <v>739130.4348</v>
      </c>
      <c r="E413" s="25">
        <f t="shared" si="2"/>
        <v>-157.0286386</v>
      </c>
      <c r="F413" s="24">
        <f t="shared" si="3"/>
        <v>0.000212450511</v>
      </c>
      <c r="G413" s="24">
        <f t="shared" si="4"/>
        <v>0</v>
      </c>
      <c r="H413" s="26">
        <f t="shared" si="5"/>
        <v>0</v>
      </c>
      <c r="I413" s="24">
        <f t="shared" si="6"/>
        <v>0</v>
      </c>
      <c r="J413" s="24">
        <f t="shared" si="7"/>
        <v>0</v>
      </c>
      <c r="K413" s="24"/>
      <c r="L413" s="24">
        <f t="shared" si="8"/>
        <v>420.9567011</v>
      </c>
      <c r="M413" s="30">
        <f t="shared" si="9"/>
        <v>420.8767687</v>
      </c>
      <c r="N413" s="27">
        <f t="shared" si="10"/>
        <v>0.07993240666</v>
      </c>
      <c r="O413" s="24"/>
      <c r="P413" s="24"/>
      <c r="Q413" s="24"/>
      <c r="R413" s="26"/>
      <c r="S413" s="14">
        <f t="shared" si="13"/>
        <v>0.07340161975</v>
      </c>
    </row>
    <row r="414">
      <c r="A414" s="11">
        <v>402.0</v>
      </c>
      <c r="B414" s="11">
        <v>1.42114347826087E9</v>
      </c>
      <c r="C414" s="2">
        <v>-102.5314941</v>
      </c>
      <c r="D414" s="24">
        <f t="shared" si="1"/>
        <v>743478.2609</v>
      </c>
      <c r="E414" s="25">
        <f t="shared" si="2"/>
        <v>-157.9469347</v>
      </c>
      <c r="F414" s="24">
        <f t="shared" si="3"/>
        <v>0.0002124432455</v>
      </c>
      <c r="G414" s="24">
        <f t="shared" si="4"/>
        <v>0</v>
      </c>
      <c r="H414" s="26">
        <f t="shared" si="5"/>
        <v>0</v>
      </c>
      <c r="I414" s="24">
        <f t="shared" si="6"/>
        <v>0</v>
      </c>
      <c r="J414" s="24">
        <f t="shared" si="7"/>
        <v>0</v>
      </c>
      <c r="K414" s="24"/>
      <c r="L414" s="24">
        <f t="shared" si="8"/>
        <v>424.5772868</v>
      </c>
      <c r="M414" s="30">
        <f t="shared" si="9"/>
        <v>420.7757229</v>
      </c>
      <c r="N414" s="27">
        <f t="shared" si="10"/>
        <v>3.801563886</v>
      </c>
      <c r="O414" s="24"/>
      <c r="P414" s="24"/>
      <c r="Q414" s="24"/>
      <c r="R414" s="26"/>
      <c r="S414" s="14">
        <f t="shared" si="13"/>
        <v>3.490961415</v>
      </c>
    </row>
    <row r="415">
      <c r="A415" s="11">
        <v>403.0</v>
      </c>
      <c r="B415" s="11">
        <v>1.42114782608695E9</v>
      </c>
      <c r="C415" s="2">
        <v>-102.5483932</v>
      </c>
      <c r="D415" s="24">
        <f t="shared" si="1"/>
        <v>747826.087</v>
      </c>
      <c r="E415" s="25">
        <f t="shared" si="2"/>
        <v>-158.8652309</v>
      </c>
      <c r="F415" s="24">
        <f t="shared" si="3"/>
        <v>0.0002124360645</v>
      </c>
      <c r="G415" s="24">
        <f t="shared" si="4"/>
        <v>0</v>
      </c>
      <c r="H415" s="26">
        <f t="shared" si="5"/>
        <v>0</v>
      </c>
      <c r="I415" s="24">
        <f t="shared" si="6"/>
        <v>0</v>
      </c>
      <c r="J415" s="24">
        <f t="shared" si="7"/>
        <v>0</v>
      </c>
      <c r="K415" s="24"/>
      <c r="L415" s="24">
        <f t="shared" si="8"/>
        <v>422.9283981</v>
      </c>
      <c r="M415" s="30">
        <f t="shared" si="9"/>
        <v>420.674705</v>
      </c>
      <c r="N415" s="27">
        <f t="shared" si="10"/>
        <v>2.253693029</v>
      </c>
      <c r="O415" s="24"/>
      <c r="P415" s="24"/>
      <c r="Q415" s="24"/>
      <c r="R415" s="26"/>
      <c r="S415" s="14">
        <f t="shared" si="13"/>
        <v>2.069557593</v>
      </c>
    </row>
    <row r="416">
      <c r="A416" s="11">
        <v>404.0</v>
      </c>
      <c r="B416" s="11">
        <v>1.42115217391304E9</v>
      </c>
      <c r="C416" s="2">
        <v>-102.5830612</v>
      </c>
      <c r="D416" s="24">
        <f t="shared" si="1"/>
        <v>752173.913</v>
      </c>
      <c r="E416" s="25">
        <f t="shared" si="2"/>
        <v>-159.783527</v>
      </c>
      <c r="F416" s="24">
        <f t="shared" si="3"/>
        <v>0.0002124289665</v>
      </c>
      <c r="G416" s="24">
        <f t="shared" si="4"/>
        <v>0</v>
      </c>
      <c r="H416" s="26">
        <f t="shared" si="5"/>
        <v>0</v>
      </c>
      <c r="I416" s="24">
        <f t="shared" si="6"/>
        <v>0</v>
      </c>
      <c r="J416" s="24">
        <f t="shared" si="7"/>
        <v>0</v>
      </c>
      <c r="K416" s="24"/>
      <c r="L416" s="24">
        <f t="shared" si="8"/>
        <v>419.5657681</v>
      </c>
      <c r="M416" s="30">
        <f t="shared" si="9"/>
        <v>420.5737158</v>
      </c>
      <c r="N416" s="27">
        <f t="shared" si="10"/>
        <v>-1.007947719</v>
      </c>
      <c r="O416" s="24"/>
      <c r="P416" s="24"/>
      <c r="Q416" s="24"/>
      <c r="R416" s="26"/>
      <c r="S416" s="14">
        <f t="shared" si="13"/>
        <v>-0.92559449</v>
      </c>
    </row>
    <row r="417">
      <c r="A417" s="11">
        <v>405.0</v>
      </c>
      <c r="B417" s="11">
        <v>1.42115652173913E9</v>
      </c>
      <c r="C417" s="2">
        <v>-102.6112747</v>
      </c>
      <c r="D417" s="3">
        <f t="shared" si="1"/>
        <v>756521.7391</v>
      </c>
      <c r="E417" s="4">
        <f t="shared" si="2"/>
        <v>-160.7018231</v>
      </c>
      <c r="F417" s="3">
        <f t="shared" si="3"/>
        <v>0.0002124219501</v>
      </c>
      <c r="G417" s="3">
        <f t="shared" si="4"/>
        <v>0</v>
      </c>
      <c r="H417" s="2">
        <f t="shared" si="5"/>
        <v>0</v>
      </c>
      <c r="I417" s="3">
        <f t="shared" si="6"/>
        <v>0</v>
      </c>
      <c r="J417" s="3">
        <f t="shared" si="7"/>
        <v>0</v>
      </c>
      <c r="K417" s="3"/>
      <c r="L417" s="3">
        <f t="shared" si="8"/>
        <v>416.8489361</v>
      </c>
      <c r="M417" s="30">
        <f t="shared" si="9"/>
        <v>420.4727559</v>
      </c>
      <c r="N417" s="14">
        <f t="shared" si="10"/>
        <v>-3.623819797</v>
      </c>
      <c r="O417" s="3"/>
      <c r="P417" s="3"/>
      <c r="Q417" s="3"/>
      <c r="R417" s="2"/>
      <c r="S417" s="14">
        <f t="shared" si="13"/>
        <v>-3.327739705</v>
      </c>
    </row>
    <row r="418">
      <c r="A418" s="11">
        <v>406.0</v>
      </c>
      <c r="B418" s="11">
        <v>1.42116086956521E9</v>
      </c>
      <c r="C418" s="2">
        <v>-102.58992</v>
      </c>
      <c r="D418" s="3">
        <f t="shared" si="1"/>
        <v>760869.5652</v>
      </c>
      <c r="E418" s="4">
        <f t="shared" si="2"/>
        <v>-161.6201193</v>
      </c>
      <c r="F418" s="3">
        <f t="shared" si="3"/>
        <v>0.0002124150139</v>
      </c>
      <c r="G418" s="3">
        <f t="shared" si="4"/>
        <v>0</v>
      </c>
      <c r="H418" s="2">
        <f t="shared" si="5"/>
        <v>0</v>
      </c>
      <c r="I418" s="3">
        <f t="shared" si="6"/>
        <v>0</v>
      </c>
      <c r="J418" s="3">
        <f t="shared" si="7"/>
        <v>0</v>
      </c>
      <c r="K418" s="3"/>
      <c r="L418" s="3">
        <f t="shared" si="8"/>
        <v>418.9036721</v>
      </c>
      <c r="M418" s="30">
        <f t="shared" si="9"/>
        <v>420.3718258</v>
      </c>
      <c r="N418" s="14">
        <f t="shared" si="10"/>
        <v>-1.46815367</v>
      </c>
      <c r="O418" s="3"/>
      <c r="P418" s="3"/>
      <c r="Q418" s="3"/>
      <c r="R418" s="2"/>
      <c r="S418" s="14">
        <f t="shared" si="13"/>
        <v>-1.348199838</v>
      </c>
    </row>
    <row r="419">
      <c r="A419" s="11">
        <v>407.0</v>
      </c>
      <c r="B419" s="11">
        <v>1.4211652173913E9</v>
      </c>
      <c r="C419" s="2">
        <v>-102.5651627</v>
      </c>
      <c r="D419" s="3">
        <f t="shared" si="1"/>
        <v>765217.3913</v>
      </c>
      <c r="E419" s="4">
        <f t="shared" si="2"/>
        <v>-162.5384154</v>
      </c>
      <c r="F419" s="3">
        <f t="shared" si="3"/>
        <v>0.0002124081565</v>
      </c>
      <c r="G419" s="3">
        <f t="shared" si="4"/>
        <v>0</v>
      </c>
      <c r="H419" s="2">
        <f t="shared" si="5"/>
        <v>0</v>
      </c>
      <c r="I419" s="3">
        <f t="shared" si="6"/>
        <v>0</v>
      </c>
      <c r="J419" s="3">
        <f t="shared" si="7"/>
        <v>0</v>
      </c>
      <c r="K419" s="3"/>
      <c r="L419" s="3">
        <f t="shared" si="8"/>
        <v>421.298485</v>
      </c>
      <c r="M419" s="30">
        <f t="shared" si="9"/>
        <v>420.2709261</v>
      </c>
      <c r="N419" s="14">
        <f t="shared" si="10"/>
        <v>1.027558881</v>
      </c>
      <c r="O419" s="3"/>
      <c r="P419" s="3"/>
      <c r="Q419" s="3"/>
      <c r="R419" s="2"/>
      <c r="S419" s="14">
        <f t="shared" si="13"/>
        <v>0.9436033444</v>
      </c>
    </row>
    <row r="420">
      <c r="A420" s="11">
        <v>408.0</v>
      </c>
      <c r="B420" s="11">
        <v>1.42116956521739E9</v>
      </c>
      <c r="C420" s="2">
        <v>-102.5554886</v>
      </c>
      <c r="D420" s="3">
        <f t="shared" si="1"/>
        <v>769565.2174</v>
      </c>
      <c r="E420" s="4">
        <f t="shared" si="2"/>
        <v>-163.4567115</v>
      </c>
      <c r="F420" s="3">
        <f t="shared" si="3"/>
        <v>0.0002124013765</v>
      </c>
      <c r="G420" s="3">
        <f t="shared" si="4"/>
        <v>0</v>
      </c>
      <c r="H420" s="2">
        <f t="shared" si="5"/>
        <v>0</v>
      </c>
      <c r="I420" s="3">
        <f t="shared" si="6"/>
        <v>0</v>
      </c>
      <c r="J420" s="3">
        <f t="shared" si="7"/>
        <v>0</v>
      </c>
      <c r="K420" s="3"/>
      <c r="L420" s="3">
        <f t="shared" si="8"/>
        <v>422.2379918</v>
      </c>
      <c r="M420" s="30">
        <f t="shared" si="9"/>
        <v>420.1700575</v>
      </c>
      <c r="N420" s="14">
        <f t="shared" si="10"/>
        <v>2.067934323</v>
      </c>
      <c r="O420" s="3"/>
      <c r="P420" s="3"/>
      <c r="Q420" s="3"/>
      <c r="R420" s="2"/>
      <c r="S420" s="14">
        <f t="shared" si="13"/>
        <v>1.898976092</v>
      </c>
    </row>
    <row r="421">
      <c r="A421" s="11">
        <v>409.0</v>
      </c>
      <c r="B421" s="11">
        <v>1.42117391304347E9</v>
      </c>
      <c r="C421" s="2">
        <v>-102.5655365</v>
      </c>
      <c r="D421" s="3">
        <f t="shared" si="1"/>
        <v>773913.0435</v>
      </c>
      <c r="E421" s="4">
        <f t="shared" si="2"/>
        <v>-164.3750077</v>
      </c>
      <c r="F421" s="3">
        <f t="shared" si="3"/>
        <v>0.0002123946728</v>
      </c>
      <c r="G421" s="3">
        <f t="shared" si="4"/>
        <v>0</v>
      </c>
      <c r="H421" s="2">
        <f t="shared" si="5"/>
        <v>0</v>
      </c>
      <c r="I421" s="3">
        <f t="shared" si="6"/>
        <v>0</v>
      </c>
      <c r="J421" s="3">
        <f t="shared" si="7"/>
        <v>0</v>
      </c>
      <c r="K421" s="3"/>
      <c r="L421" s="3">
        <f t="shared" si="8"/>
        <v>421.2622251</v>
      </c>
      <c r="M421" s="30">
        <f t="shared" si="9"/>
        <v>420.0692206</v>
      </c>
      <c r="N421" s="14">
        <f t="shared" si="10"/>
        <v>1.193004517</v>
      </c>
      <c r="O421" s="3"/>
      <c r="P421" s="3"/>
      <c r="Q421" s="3"/>
      <c r="R421" s="2"/>
      <c r="S421" s="14">
        <f t="shared" si="13"/>
        <v>1.095531434</v>
      </c>
    </row>
    <row r="422">
      <c r="A422" s="11">
        <v>410.0</v>
      </c>
      <c r="B422" s="11">
        <v>1.42117826086956E9</v>
      </c>
      <c r="C422" s="2">
        <v>-102.6141357</v>
      </c>
      <c r="D422" s="3">
        <f t="shared" si="1"/>
        <v>778260.8696</v>
      </c>
      <c r="E422" s="4">
        <f t="shared" si="2"/>
        <v>-165.2933038</v>
      </c>
      <c r="F422" s="3">
        <f t="shared" si="3"/>
        <v>0.000212388044</v>
      </c>
      <c r="G422" s="3">
        <f t="shared" si="4"/>
        <v>0</v>
      </c>
      <c r="H422" s="2">
        <f t="shared" si="5"/>
        <v>0</v>
      </c>
      <c r="I422" s="3">
        <f t="shared" si="6"/>
        <v>0</v>
      </c>
      <c r="J422" s="3">
        <f t="shared" si="7"/>
        <v>0</v>
      </c>
      <c r="K422" s="3"/>
      <c r="L422" s="3">
        <f t="shared" si="8"/>
        <v>416.5744191</v>
      </c>
      <c r="M422" s="30">
        <f t="shared" si="9"/>
        <v>419.968416</v>
      </c>
      <c r="N422" s="14">
        <f t="shared" si="10"/>
        <v>-3.39399687</v>
      </c>
      <c r="O422" s="3"/>
      <c r="P422" s="3"/>
      <c r="Q422" s="3"/>
      <c r="R422" s="2"/>
      <c r="S422" s="14">
        <f t="shared" si="13"/>
        <v>-3.116694193</v>
      </c>
    </row>
    <row r="423">
      <c r="A423" s="11">
        <v>411.0</v>
      </c>
      <c r="B423" s="11">
        <v>1.42118260869565E9</v>
      </c>
      <c r="C423" s="2">
        <v>-102.6045456</v>
      </c>
      <c r="D423" s="3">
        <f t="shared" si="1"/>
        <v>782608.6957</v>
      </c>
      <c r="E423" s="4">
        <f t="shared" si="2"/>
        <v>-166.2115999</v>
      </c>
      <c r="F423" s="3">
        <f t="shared" si="3"/>
        <v>0.0002123814888</v>
      </c>
      <c r="G423" s="3">
        <f t="shared" si="4"/>
        <v>0</v>
      </c>
      <c r="H423" s="2">
        <f t="shared" si="5"/>
        <v>0</v>
      </c>
      <c r="I423" s="3">
        <f t="shared" si="6"/>
        <v>0</v>
      </c>
      <c r="J423" s="3">
        <f t="shared" si="7"/>
        <v>0</v>
      </c>
      <c r="K423" s="3"/>
      <c r="L423" s="3">
        <f t="shared" si="8"/>
        <v>417.495316</v>
      </c>
      <c r="M423" s="30">
        <f t="shared" si="9"/>
        <v>419.8676442</v>
      </c>
      <c r="N423" s="14">
        <f t="shared" si="10"/>
        <v>-2.372328218</v>
      </c>
      <c r="O423" s="3"/>
      <c r="P423" s="3"/>
      <c r="Q423" s="3"/>
      <c r="R423" s="2"/>
      <c r="S423" s="14">
        <f t="shared" si="13"/>
        <v>-2.178499828</v>
      </c>
    </row>
    <row r="424">
      <c r="A424" s="11">
        <v>412.0</v>
      </c>
      <c r="B424" s="11">
        <v>1.42118695652173E9</v>
      </c>
      <c r="C424" s="2">
        <v>-102.5534592</v>
      </c>
      <c r="D424" s="3">
        <f t="shared" si="1"/>
        <v>786956.5217</v>
      </c>
      <c r="E424" s="4">
        <f t="shared" si="2"/>
        <v>-167.129896</v>
      </c>
      <c r="F424" s="3">
        <f t="shared" si="3"/>
        <v>0.000212375006</v>
      </c>
      <c r="G424" s="3">
        <f t="shared" si="4"/>
        <v>0</v>
      </c>
      <c r="H424" s="2">
        <f t="shared" si="5"/>
        <v>0</v>
      </c>
      <c r="I424" s="3">
        <f t="shared" si="6"/>
        <v>0</v>
      </c>
      <c r="J424" s="3">
        <f t="shared" si="7"/>
        <v>0</v>
      </c>
      <c r="K424" s="3"/>
      <c r="L424" s="3">
        <f t="shared" si="8"/>
        <v>422.4353441</v>
      </c>
      <c r="M424" s="30">
        <f t="shared" si="9"/>
        <v>419.766906</v>
      </c>
      <c r="N424" s="14">
        <f t="shared" si="10"/>
        <v>2.668438132</v>
      </c>
      <c r="O424" s="3"/>
      <c r="P424" s="3"/>
      <c r="Q424" s="3"/>
      <c r="R424" s="2"/>
      <c r="S424" s="14">
        <f t="shared" si="13"/>
        <v>2.450416417</v>
      </c>
    </row>
    <row r="425">
      <c r="A425" s="11">
        <v>413.0</v>
      </c>
      <c r="B425" s="11">
        <v>1.42119130434782E9</v>
      </c>
      <c r="C425" s="2">
        <v>-102.5728073</v>
      </c>
      <c r="D425" s="3">
        <f t="shared" si="1"/>
        <v>791304.3478</v>
      </c>
      <c r="E425" s="4">
        <f t="shared" si="2"/>
        <v>-168.0481922</v>
      </c>
      <c r="F425" s="3">
        <f t="shared" si="3"/>
        <v>0.0002123685945</v>
      </c>
      <c r="G425" s="3">
        <f t="shared" si="4"/>
        <v>0</v>
      </c>
      <c r="H425" s="2">
        <f t="shared" si="5"/>
        <v>0</v>
      </c>
      <c r="I425" s="3">
        <f t="shared" si="6"/>
        <v>0</v>
      </c>
      <c r="J425" s="3">
        <f t="shared" si="7"/>
        <v>0</v>
      </c>
      <c r="K425" s="3"/>
      <c r="L425" s="3">
        <f t="shared" si="8"/>
        <v>420.5575533</v>
      </c>
      <c r="M425" s="30">
        <f t="shared" si="9"/>
        <v>419.6662018</v>
      </c>
      <c r="N425" s="14">
        <f t="shared" si="10"/>
        <v>0.8913514464</v>
      </c>
      <c r="O425" s="3"/>
      <c r="P425" s="3"/>
      <c r="Q425" s="3"/>
      <c r="R425" s="2"/>
      <c r="S425" s="14">
        <f t="shared" si="13"/>
        <v>0.8185245861</v>
      </c>
    </row>
    <row r="426">
      <c r="A426" s="11">
        <v>414.0</v>
      </c>
      <c r="B426" s="11">
        <v>1.42119565217391E9</v>
      </c>
      <c r="C426" s="2">
        <v>-102.5773849</v>
      </c>
      <c r="D426" s="3">
        <f t="shared" si="1"/>
        <v>795652.1739</v>
      </c>
      <c r="E426" s="4">
        <f t="shared" si="2"/>
        <v>-168.9664883</v>
      </c>
      <c r="F426" s="3">
        <f t="shared" si="3"/>
        <v>0.0002123622531</v>
      </c>
      <c r="G426" s="3">
        <f t="shared" si="4"/>
        <v>0</v>
      </c>
      <c r="H426" s="2">
        <f t="shared" si="5"/>
        <v>0</v>
      </c>
      <c r="I426" s="3">
        <f t="shared" si="6"/>
        <v>0</v>
      </c>
      <c r="J426" s="3">
        <f t="shared" si="7"/>
        <v>0</v>
      </c>
      <c r="K426" s="3"/>
      <c r="L426" s="3">
        <f t="shared" si="8"/>
        <v>420.114506</v>
      </c>
      <c r="M426" s="30">
        <f t="shared" si="9"/>
        <v>419.5655324</v>
      </c>
      <c r="N426" s="14">
        <f t="shared" si="10"/>
        <v>0.5489735646</v>
      </c>
      <c r="O426" s="3"/>
      <c r="P426" s="3"/>
      <c r="Q426" s="3"/>
      <c r="R426" s="2"/>
      <c r="S426" s="14">
        <f t="shared" si="13"/>
        <v>0.5041203002</v>
      </c>
    </row>
    <row r="427">
      <c r="A427" s="11">
        <v>415.0</v>
      </c>
      <c r="B427" s="11">
        <v>1.4212E9</v>
      </c>
      <c r="C427" s="2">
        <v>-102.5910797</v>
      </c>
      <c r="D427" s="3">
        <f t="shared" si="1"/>
        <v>800000</v>
      </c>
      <c r="E427" s="4">
        <f t="shared" si="2"/>
        <v>-169.8847844</v>
      </c>
      <c r="F427" s="3">
        <f t="shared" si="3"/>
        <v>0.0002123559806</v>
      </c>
      <c r="G427" s="3">
        <f t="shared" si="4"/>
        <v>0</v>
      </c>
      <c r="H427" s="2">
        <f t="shared" si="5"/>
        <v>0</v>
      </c>
      <c r="I427" s="3">
        <f t="shared" si="6"/>
        <v>0</v>
      </c>
      <c r="J427" s="3">
        <f t="shared" si="7"/>
        <v>0</v>
      </c>
      <c r="K427" s="3"/>
      <c r="L427" s="3">
        <f t="shared" si="8"/>
        <v>418.7918268</v>
      </c>
      <c r="M427" s="30">
        <f t="shared" si="9"/>
        <v>419.4648983</v>
      </c>
      <c r="N427" s="14">
        <f t="shared" si="10"/>
        <v>-0.6730714519</v>
      </c>
      <c r="O427" s="3"/>
      <c r="P427" s="3"/>
      <c r="Q427" s="3"/>
      <c r="R427" s="2"/>
      <c r="S427" s="14">
        <f t="shared" si="13"/>
        <v>-0.6180789114</v>
      </c>
    </row>
    <row r="428">
      <c r="A428" s="11">
        <v>416.0</v>
      </c>
      <c r="B428" s="11">
        <v>1.42120434782608E9</v>
      </c>
      <c r="C428" s="2">
        <v>-102.5583725</v>
      </c>
      <c r="D428" s="3">
        <f t="shared" si="1"/>
        <v>804347.8261</v>
      </c>
      <c r="E428" s="4">
        <f t="shared" si="2"/>
        <v>-170.8030806</v>
      </c>
      <c r="F428" s="3">
        <f t="shared" si="3"/>
        <v>0.0002123497759</v>
      </c>
      <c r="G428" s="3">
        <f t="shared" si="4"/>
        <v>0</v>
      </c>
      <c r="H428" s="2">
        <f t="shared" si="5"/>
        <v>0</v>
      </c>
      <c r="I428" s="3">
        <f t="shared" si="6"/>
        <v>0</v>
      </c>
      <c r="J428" s="3">
        <f t="shared" si="7"/>
        <v>0</v>
      </c>
      <c r="K428" s="3"/>
      <c r="L428" s="3">
        <f t="shared" si="8"/>
        <v>421.9577009</v>
      </c>
      <c r="M428" s="30">
        <f t="shared" si="9"/>
        <v>419.3643001</v>
      </c>
      <c r="N428" s="14">
        <f t="shared" si="10"/>
        <v>2.593400825</v>
      </c>
      <c r="O428" s="3"/>
      <c r="P428" s="3"/>
      <c r="Q428" s="3"/>
      <c r="R428" s="2"/>
      <c r="S428" s="14">
        <f t="shared" si="13"/>
        <v>2.381509948</v>
      </c>
    </row>
    <row r="429">
      <c r="A429" s="11">
        <v>417.0</v>
      </c>
      <c r="B429" s="11">
        <v>1.42120869565217E9</v>
      </c>
      <c r="C429" s="2">
        <v>-102.5914459</v>
      </c>
      <c r="D429" s="3">
        <f t="shared" si="1"/>
        <v>808695.6522</v>
      </c>
      <c r="E429" s="4">
        <f t="shared" si="2"/>
        <v>-171.7213767</v>
      </c>
      <c r="F429" s="3">
        <f t="shared" si="3"/>
        <v>0.0002123436379</v>
      </c>
      <c r="G429" s="3">
        <f t="shared" si="4"/>
        <v>0</v>
      </c>
      <c r="H429" s="2">
        <f t="shared" si="5"/>
        <v>0</v>
      </c>
      <c r="I429" s="3">
        <f t="shared" si="6"/>
        <v>0</v>
      </c>
      <c r="J429" s="3">
        <f t="shared" si="7"/>
        <v>0</v>
      </c>
      <c r="K429" s="3"/>
      <c r="L429" s="3">
        <f t="shared" si="8"/>
        <v>418.7565155</v>
      </c>
      <c r="M429" s="30">
        <f t="shared" si="9"/>
        <v>419.2637385</v>
      </c>
      <c r="N429" s="14">
        <f t="shared" si="10"/>
        <v>-0.5072229373</v>
      </c>
      <c r="O429" s="3"/>
      <c r="P429" s="3"/>
      <c r="Q429" s="3"/>
      <c r="R429" s="2"/>
      <c r="S429" s="14">
        <f t="shared" si="13"/>
        <v>-0.4657808607</v>
      </c>
    </row>
    <row r="430">
      <c r="A430" s="11">
        <v>418.0</v>
      </c>
      <c r="B430" s="11">
        <v>1.42121304347826E9</v>
      </c>
      <c r="C430" s="2">
        <v>-102.5747986</v>
      </c>
      <c r="D430" s="3">
        <f t="shared" si="1"/>
        <v>813043.4783</v>
      </c>
      <c r="E430" s="4">
        <f t="shared" si="2"/>
        <v>-172.6396728</v>
      </c>
      <c r="F430" s="3">
        <f t="shared" si="3"/>
        <v>0.0002123375655</v>
      </c>
      <c r="G430" s="3">
        <f t="shared" si="4"/>
        <v>0</v>
      </c>
      <c r="H430" s="2">
        <f t="shared" si="5"/>
        <v>0</v>
      </c>
      <c r="I430" s="3">
        <f t="shared" si="6"/>
        <v>0</v>
      </c>
      <c r="J430" s="3">
        <f t="shared" si="7"/>
        <v>0</v>
      </c>
      <c r="K430" s="3"/>
      <c r="L430" s="3">
        <f t="shared" si="8"/>
        <v>420.3647661</v>
      </c>
      <c r="M430" s="30">
        <f t="shared" si="9"/>
        <v>419.163214</v>
      </c>
      <c r="N430" s="14">
        <f t="shared" si="10"/>
        <v>1.201552097</v>
      </c>
      <c r="O430" s="3"/>
      <c r="P430" s="3"/>
      <c r="Q430" s="3"/>
      <c r="R430" s="2"/>
      <c r="S430" s="14">
        <f t="shared" si="13"/>
        <v>1.103380644</v>
      </c>
    </row>
    <row r="431">
      <c r="A431" s="11">
        <v>419.0</v>
      </c>
      <c r="B431" s="11">
        <v>1.42121739130434E9</v>
      </c>
      <c r="C431" s="2">
        <v>-102.5751495</v>
      </c>
      <c r="D431" s="3">
        <f t="shared" si="1"/>
        <v>817391.3043</v>
      </c>
      <c r="E431" s="4">
        <f t="shared" si="2"/>
        <v>-173.557969</v>
      </c>
      <c r="F431" s="3">
        <f t="shared" si="3"/>
        <v>0.0002123315578</v>
      </c>
      <c r="G431" s="3">
        <f t="shared" si="4"/>
        <v>0</v>
      </c>
      <c r="H431" s="2">
        <f t="shared" si="5"/>
        <v>0</v>
      </c>
      <c r="I431" s="3">
        <f t="shared" si="6"/>
        <v>0</v>
      </c>
      <c r="J431" s="3">
        <f t="shared" si="7"/>
        <v>0</v>
      </c>
      <c r="K431" s="3"/>
      <c r="L431" s="3">
        <f t="shared" si="8"/>
        <v>420.3308029</v>
      </c>
      <c r="M431" s="30">
        <f t="shared" si="9"/>
        <v>419.0627272</v>
      </c>
      <c r="N431" s="14">
        <f t="shared" si="10"/>
        <v>1.268075712</v>
      </c>
      <c r="O431" s="3"/>
      <c r="P431" s="3"/>
      <c r="Q431" s="3"/>
      <c r="R431" s="2"/>
      <c r="S431" s="14">
        <f t="shared" si="13"/>
        <v>1.164469023</v>
      </c>
    </row>
    <row r="432">
      <c r="A432" s="11">
        <v>420.0</v>
      </c>
      <c r="B432" s="11">
        <v>1.42122173913043E9</v>
      </c>
      <c r="C432" s="2">
        <v>-102.5758591</v>
      </c>
      <c r="D432" s="3">
        <f t="shared" si="1"/>
        <v>821739.1304</v>
      </c>
      <c r="E432" s="4">
        <f t="shared" si="2"/>
        <v>-174.4762651</v>
      </c>
      <c r="F432" s="3">
        <f t="shared" si="3"/>
        <v>0.0002123256136</v>
      </c>
      <c r="G432" s="3">
        <f t="shared" si="4"/>
        <v>0</v>
      </c>
      <c r="H432" s="2">
        <f t="shared" si="5"/>
        <v>0</v>
      </c>
      <c r="I432" s="3">
        <f t="shared" si="6"/>
        <v>0</v>
      </c>
      <c r="J432" s="3">
        <f t="shared" si="7"/>
        <v>0</v>
      </c>
      <c r="K432" s="3"/>
      <c r="L432" s="3">
        <f t="shared" si="8"/>
        <v>420.2621301</v>
      </c>
      <c r="M432" s="30">
        <f t="shared" si="9"/>
        <v>418.9622788</v>
      </c>
      <c r="N432" s="14">
        <f t="shared" si="10"/>
        <v>1.299851264</v>
      </c>
      <c r="O432" s="3"/>
      <c r="P432" s="3"/>
      <c r="Q432" s="3"/>
      <c r="R432" s="2"/>
      <c r="S432" s="14">
        <f t="shared" si="13"/>
        <v>1.193648386</v>
      </c>
    </row>
    <row r="433">
      <c r="A433" s="11">
        <v>421.0</v>
      </c>
      <c r="B433" s="11">
        <v>1.42122608695652E9</v>
      </c>
      <c r="C433" s="2">
        <v>-102.5680618</v>
      </c>
      <c r="D433" s="3">
        <f t="shared" si="1"/>
        <v>826086.9565</v>
      </c>
      <c r="E433" s="4">
        <f t="shared" si="2"/>
        <v>-175.3945612</v>
      </c>
      <c r="F433" s="3">
        <f t="shared" si="3"/>
        <v>0.000212319732</v>
      </c>
      <c r="G433" s="3">
        <f t="shared" si="4"/>
        <v>0</v>
      </c>
      <c r="H433" s="2">
        <f t="shared" si="5"/>
        <v>0</v>
      </c>
      <c r="I433" s="3">
        <f t="shared" si="6"/>
        <v>0</v>
      </c>
      <c r="J433" s="3">
        <f t="shared" si="7"/>
        <v>0</v>
      </c>
      <c r="K433" s="3"/>
      <c r="L433" s="3">
        <f t="shared" si="8"/>
        <v>421.0173442</v>
      </c>
      <c r="M433" s="30">
        <f t="shared" si="9"/>
        <v>418.8618694</v>
      </c>
      <c r="N433" s="14">
        <f t="shared" si="10"/>
        <v>2.155474835</v>
      </c>
      <c r="O433" s="3"/>
      <c r="P433" s="3"/>
      <c r="Q433" s="3"/>
      <c r="R433" s="2"/>
      <c r="S433" s="14">
        <f t="shared" si="13"/>
        <v>1.979364205</v>
      </c>
    </row>
    <row r="434">
      <c r="A434" s="11">
        <v>422.0</v>
      </c>
      <c r="B434" s="11">
        <v>1.4212304347826E9</v>
      </c>
      <c r="C434" s="2">
        <v>-102.6039124</v>
      </c>
      <c r="D434" s="3">
        <f t="shared" si="1"/>
        <v>830434.7826</v>
      </c>
      <c r="E434" s="4">
        <f t="shared" si="2"/>
        <v>-176.3128574</v>
      </c>
      <c r="F434" s="3">
        <f t="shared" si="3"/>
        <v>0.000212313912</v>
      </c>
      <c r="G434" s="3">
        <f t="shared" si="4"/>
        <v>0</v>
      </c>
      <c r="H434" s="2">
        <f t="shared" si="5"/>
        <v>0</v>
      </c>
      <c r="I434" s="3">
        <f t="shared" si="6"/>
        <v>0</v>
      </c>
      <c r="J434" s="3">
        <f t="shared" si="7"/>
        <v>0</v>
      </c>
      <c r="K434" s="3"/>
      <c r="L434" s="3">
        <f t="shared" si="8"/>
        <v>417.5561911</v>
      </c>
      <c r="M434" s="30">
        <f t="shared" si="9"/>
        <v>418.7614995</v>
      </c>
      <c r="N434" s="14">
        <f t="shared" si="10"/>
        <v>-1.205308389</v>
      </c>
      <c r="O434" s="3"/>
      <c r="P434" s="3"/>
      <c r="Q434" s="3"/>
      <c r="R434" s="2"/>
      <c r="S434" s="14">
        <f t="shared" si="13"/>
        <v>-1.106830032</v>
      </c>
    </row>
    <row r="435">
      <c r="A435" s="11">
        <v>423.0</v>
      </c>
      <c r="B435" s="11">
        <v>1.42123478260869E9</v>
      </c>
      <c r="C435" s="2">
        <v>-102.5896912</v>
      </c>
      <c r="D435" s="3">
        <f t="shared" si="1"/>
        <v>834782.6087</v>
      </c>
      <c r="E435" s="4">
        <f t="shared" si="2"/>
        <v>-177.2311535</v>
      </c>
      <c r="F435" s="3">
        <f t="shared" si="3"/>
        <v>0.0002123081526</v>
      </c>
      <c r="G435" s="3">
        <f t="shared" si="4"/>
        <v>0</v>
      </c>
      <c r="H435" s="2">
        <f t="shared" si="5"/>
        <v>0</v>
      </c>
      <c r="I435" s="3">
        <f t="shared" si="6"/>
        <v>0</v>
      </c>
      <c r="J435" s="3">
        <f t="shared" si="7"/>
        <v>0</v>
      </c>
      <c r="K435" s="3"/>
      <c r="L435" s="3">
        <f t="shared" si="8"/>
        <v>418.9257418</v>
      </c>
      <c r="M435" s="30">
        <f t="shared" si="9"/>
        <v>418.6611698</v>
      </c>
      <c r="N435" s="14">
        <f t="shared" si="10"/>
        <v>0.2645719855</v>
      </c>
      <c r="O435" s="3"/>
      <c r="P435" s="3"/>
      <c r="Q435" s="3"/>
      <c r="R435" s="2"/>
      <c r="S435" s="14">
        <f t="shared" si="13"/>
        <v>0.2429554311</v>
      </c>
    </row>
    <row r="436">
      <c r="A436" s="11">
        <v>424.0</v>
      </c>
      <c r="B436" s="11">
        <v>1.42123913043478E9</v>
      </c>
      <c r="C436" s="2">
        <v>-102.5744781</v>
      </c>
      <c r="D436" s="3">
        <f t="shared" si="1"/>
        <v>839130.4348</v>
      </c>
      <c r="E436" s="4">
        <f t="shared" si="2"/>
        <v>-178.1494496</v>
      </c>
      <c r="F436" s="3">
        <f t="shared" si="3"/>
        <v>0.0002123024529</v>
      </c>
      <c r="G436" s="3">
        <f t="shared" si="4"/>
        <v>0</v>
      </c>
      <c r="H436" s="2">
        <f t="shared" si="5"/>
        <v>0</v>
      </c>
      <c r="I436" s="3">
        <f t="shared" si="6"/>
        <v>0</v>
      </c>
      <c r="J436" s="3">
        <f t="shared" si="7"/>
        <v>0</v>
      </c>
      <c r="K436" s="3"/>
      <c r="L436" s="3">
        <f t="shared" si="8"/>
        <v>420.3957892</v>
      </c>
      <c r="M436" s="30">
        <f t="shared" si="9"/>
        <v>418.560881</v>
      </c>
      <c r="N436" s="14">
        <f t="shared" si="10"/>
        <v>1.834908253</v>
      </c>
      <c r="O436" s="3"/>
      <c r="P436" s="3"/>
      <c r="Q436" s="3"/>
      <c r="R436" s="2"/>
      <c r="S436" s="14">
        <f t="shared" si="13"/>
        <v>1.684989149</v>
      </c>
    </row>
    <row r="437">
      <c r="A437" s="11">
        <v>425.0</v>
      </c>
      <c r="B437" s="11">
        <v>1.42124347826087E9</v>
      </c>
      <c r="C437" s="2">
        <v>-102.5850449</v>
      </c>
      <c r="D437" s="3">
        <f t="shared" si="1"/>
        <v>843478.2609</v>
      </c>
      <c r="E437" s="4">
        <f t="shared" si="2"/>
        <v>-179.0677458</v>
      </c>
      <c r="F437" s="3">
        <f t="shared" si="3"/>
        <v>0.000212296812</v>
      </c>
      <c r="G437" s="3">
        <f t="shared" si="4"/>
        <v>0</v>
      </c>
      <c r="H437" s="2">
        <f t="shared" si="5"/>
        <v>0</v>
      </c>
      <c r="I437" s="3">
        <f t="shared" si="6"/>
        <v>0</v>
      </c>
      <c r="J437" s="3">
        <f t="shared" si="7"/>
        <v>0</v>
      </c>
      <c r="K437" s="3"/>
      <c r="L437" s="3">
        <f t="shared" si="8"/>
        <v>419.3741694</v>
      </c>
      <c r="M437" s="30">
        <f t="shared" si="9"/>
        <v>418.4606335</v>
      </c>
      <c r="N437" s="14">
        <f t="shared" si="10"/>
        <v>0.9135359418</v>
      </c>
      <c r="O437" s="3"/>
      <c r="P437" s="3"/>
      <c r="Q437" s="3"/>
      <c r="R437" s="2"/>
      <c r="S437" s="14">
        <f t="shared" si="13"/>
        <v>0.8388965225</v>
      </c>
    </row>
    <row r="438">
      <c r="A438" s="11">
        <v>426.0</v>
      </c>
      <c r="B438" s="11">
        <v>1.42124782608695E9</v>
      </c>
      <c r="C438" s="2">
        <v>-102.550293</v>
      </c>
      <c r="D438" s="3">
        <f t="shared" si="1"/>
        <v>847826.087</v>
      </c>
      <c r="E438" s="4">
        <f t="shared" si="2"/>
        <v>-179.9860419</v>
      </c>
      <c r="F438" s="3">
        <f t="shared" si="3"/>
        <v>0.0002122912289</v>
      </c>
      <c r="G438" s="3">
        <f t="shared" si="4"/>
        <v>0</v>
      </c>
      <c r="H438" s="2">
        <f t="shared" si="5"/>
        <v>0</v>
      </c>
      <c r="I438" s="3">
        <f t="shared" si="6"/>
        <v>0</v>
      </c>
      <c r="J438" s="3">
        <f t="shared" si="7"/>
        <v>0</v>
      </c>
      <c r="K438" s="3"/>
      <c r="L438" s="3">
        <f t="shared" si="8"/>
        <v>422.7434306</v>
      </c>
      <c r="M438" s="30">
        <f t="shared" si="9"/>
        <v>418.360428</v>
      </c>
      <c r="N438" s="14">
        <f t="shared" si="10"/>
        <v>4.38300257</v>
      </c>
      <c r="O438" s="3"/>
      <c r="P438" s="3"/>
      <c r="Q438" s="3"/>
      <c r="R438" s="2"/>
      <c r="S438" s="14">
        <f t="shared" si="13"/>
        <v>4.02489431</v>
      </c>
    </row>
    <row r="439">
      <c r="A439" s="11">
        <v>427.0</v>
      </c>
      <c r="B439" s="11">
        <v>1.42125217391304E9</v>
      </c>
      <c r="C439" s="2">
        <v>-102.582901</v>
      </c>
      <c r="D439" s="3">
        <f t="shared" si="1"/>
        <v>852173.913</v>
      </c>
      <c r="E439" s="4">
        <f t="shared" si="2"/>
        <v>-180.904338</v>
      </c>
      <c r="F439" s="3">
        <f t="shared" si="3"/>
        <v>0.0002122857028</v>
      </c>
      <c r="G439" s="3">
        <f t="shared" si="4"/>
        <v>0</v>
      </c>
      <c r="H439" s="2">
        <f t="shared" si="5"/>
        <v>0</v>
      </c>
      <c r="I439" s="3">
        <f t="shared" si="6"/>
        <v>0</v>
      </c>
      <c r="J439" s="3">
        <f t="shared" si="7"/>
        <v>0</v>
      </c>
      <c r="K439" s="3"/>
      <c r="L439" s="3">
        <f t="shared" si="8"/>
        <v>419.5812451</v>
      </c>
      <c r="M439" s="30">
        <f t="shared" si="9"/>
        <v>418.2602651</v>
      </c>
      <c r="N439" s="14">
        <f t="shared" si="10"/>
        <v>1.320979972</v>
      </c>
      <c r="O439" s="3"/>
      <c r="P439" s="3"/>
      <c r="Q439" s="3"/>
      <c r="R439" s="2"/>
      <c r="S439" s="14">
        <f t="shared" si="13"/>
        <v>1.213050797</v>
      </c>
    </row>
    <row r="440">
      <c r="A440" s="11">
        <v>428.0</v>
      </c>
      <c r="B440" s="11">
        <v>1.42125652173913E9</v>
      </c>
      <c r="C440" s="2">
        <v>-102.5892868</v>
      </c>
      <c r="D440" s="3">
        <f t="shared" si="1"/>
        <v>856521.7391</v>
      </c>
      <c r="E440" s="4">
        <f t="shared" si="2"/>
        <v>-181.8226342</v>
      </c>
      <c r="F440" s="3">
        <f t="shared" si="3"/>
        <v>0.0002122802328</v>
      </c>
      <c r="G440" s="3">
        <f t="shared" si="4"/>
        <v>0</v>
      </c>
      <c r="H440" s="2">
        <f t="shared" si="5"/>
        <v>0</v>
      </c>
      <c r="I440" s="3">
        <f t="shared" si="6"/>
        <v>0</v>
      </c>
      <c r="J440" s="3">
        <f t="shared" si="7"/>
        <v>0</v>
      </c>
      <c r="K440" s="3"/>
      <c r="L440" s="3">
        <f t="shared" si="8"/>
        <v>418.9647526</v>
      </c>
      <c r="M440" s="30">
        <f t="shared" si="9"/>
        <v>418.1601455</v>
      </c>
      <c r="N440" s="14">
        <f t="shared" si="10"/>
        <v>0.8046070929</v>
      </c>
      <c r="O440" s="3"/>
      <c r="P440" s="3"/>
      <c r="Q440" s="3"/>
      <c r="R440" s="2"/>
      <c r="S440" s="14">
        <f t="shared" si="13"/>
        <v>0.7388675818</v>
      </c>
    </row>
    <row r="441">
      <c r="A441" s="11">
        <v>429.0</v>
      </c>
      <c r="B441" s="11">
        <v>1.42126086956521E9</v>
      </c>
      <c r="C441" s="2">
        <v>-102.6115417</v>
      </c>
      <c r="D441" s="3">
        <f t="shared" si="1"/>
        <v>860869.5652</v>
      </c>
      <c r="E441" s="4">
        <f t="shared" si="2"/>
        <v>-182.7409303</v>
      </c>
      <c r="F441" s="3">
        <f t="shared" si="3"/>
        <v>0.000212274818</v>
      </c>
      <c r="G441" s="3">
        <f t="shared" si="4"/>
        <v>0</v>
      </c>
      <c r="H441" s="2">
        <f t="shared" si="5"/>
        <v>0</v>
      </c>
      <c r="I441" s="3">
        <f t="shared" si="6"/>
        <v>0</v>
      </c>
      <c r="J441" s="3">
        <f t="shared" si="7"/>
        <v>0</v>
      </c>
      <c r="K441" s="3"/>
      <c r="L441" s="3">
        <f t="shared" si="8"/>
        <v>416.8233094</v>
      </c>
      <c r="M441" s="30">
        <f t="shared" si="9"/>
        <v>418.0600696</v>
      </c>
      <c r="N441" s="14">
        <f t="shared" si="10"/>
        <v>-1.236760255</v>
      </c>
      <c r="O441" s="3"/>
      <c r="P441" s="3"/>
      <c r="Q441" s="3"/>
      <c r="R441" s="2"/>
      <c r="S441" s="14">
        <f t="shared" si="13"/>
        <v>-1.135712159</v>
      </c>
    </row>
    <row r="442">
      <c r="A442" s="11">
        <v>430.0</v>
      </c>
      <c r="B442" s="11">
        <v>1.4212652173913E9</v>
      </c>
      <c r="C442" s="2">
        <v>-102.6273727</v>
      </c>
      <c r="D442" s="3">
        <f t="shared" si="1"/>
        <v>865217.3913</v>
      </c>
      <c r="E442" s="4">
        <f t="shared" si="2"/>
        <v>-183.6592264</v>
      </c>
      <c r="F442" s="3">
        <f t="shared" si="3"/>
        <v>0.0002122694577</v>
      </c>
      <c r="G442" s="3">
        <f t="shared" si="4"/>
        <v>0</v>
      </c>
      <c r="H442" s="2">
        <f t="shared" si="5"/>
        <v>0</v>
      </c>
      <c r="I442" s="3">
        <f t="shared" si="6"/>
        <v>0</v>
      </c>
      <c r="J442" s="3">
        <f t="shared" si="7"/>
        <v>0</v>
      </c>
      <c r="K442" s="3"/>
      <c r="L442" s="3">
        <f t="shared" si="8"/>
        <v>415.3066616</v>
      </c>
      <c r="M442" s="30">
        <f t="shared" si="9"/>
        <v>417.9600383</v>
      </c>
      <c r="N442" s="14">
        <f t="shared" si="10"/>
        <v>-2.653376619</v>
      </c>
      <c r="O442" s="3"/>
      <c r="P442" s="3"/>
      <c r="Q442" s="3"/>
      <c r="R442" s="2"/>
      <c r="S442" s="14">
        <f t="shared" si="13"/>
        <v>-2.436585483</v>
      </c>
    </row>
    <row r="443">
      <c r="A443" s="11">
        <v>431.0</v>
      </c>
      <c r="B443" s="11">
        <v>1.42126956521739E9</v>
      </c>
      <c r="C443" s="2">
        <v>-102.606926</v>
      </c>
      <c r="D443" s="3">
        <f t="shared" si="1"/>
        <v>869565.2174</v>
      </c>
      <c r="E443" s="4">
        <f t="shared" si="2"/>
        <v>-184.5775226</v>
      </c>
      <c r="F443" s="3">
        <f t="shared" si="3"/>
        <v>0.0002122641509</v>
      </c>
      <c r="G443" s="3">
        <f t="shared" si="4"/>
        <v>0</v>
      </c>
      <c r="H443" s="2">
        <f t="shared" si="5"/>
        <v>0</v>
      </c>
      <c r="I443" s="3">
        <f t="shared" si="6"/>
        <v>0</v>
      </c>
      <c r="J443" s="3">
        <f t="shared" si="7"/>
        <v>0</v>
      </c>
      <c r="K443" s="3"/>
      <c r="L443" s="3">
        <f t="shared" si="8"/>
        <v>417.2665465</v>
      </c>
      <c r="M443" s="30">
        <f t="shared" si="9"/>
        <v>417.8600519</v>
      </c>
      <c r="N443" s="14">
        <f t="shared" si="10"/>
        <v>-0.593505466</v>
      </c>
      <c r="O443" s="3"/>
      <c r="P443" s="3"/>
      <c r="Q443" s="3"/>
      <c r="R443" s="2"/>
      <c r="S443" s="14">
        <f t="shared" si="13"/>
        <v>-0.5450137742</v>
      </c>
    </row>
    <row r="444">
      <c r="A444" s="11">
        <v>432.0</v>
      </c>
      <c r="B444" s="11">
        <v>1.42127391304347E9</v>
      </c>
      <c r="C444" s="2">
        <v>-102.6056976</v>
      </c>
      <c r="D444" s="3">
        <f t="shared" si="1"/>
        <v>873913.0435</v>
      </c>
      <c r="E444" s="4">
        <f t="shared" si="2"/>
        <v>-185.4958187</v>
      </c>
      <c r="F444" s="3">
        <f t="shared" si="3"/>
        <v>0.000212258897</v>
      </c>
      <c r="G444" s="3">
        <f t="shared" si="4"/>
        <v>0</v>
      </c>
      <c r="H444" s="2">
        <f t="shared" si="5"/>
        <v>0</v>
      </c>
      <c r="I444" s="3">
        <f t="shared" si="6"/>
        <v>0</v>
      </c>
      <c r="J444" s="3">
        <f t="shared" si="7"/>
        <v>0</v>
      </c>
      <c r="K444" s="3"/>
      <c r="L444" s="3">
        <f t="shared" si="8"/>
        <v>417.3845868</v>
      </c>
      <c r="M444" s="30">
        <f t="shared" si="9"/>
        <v>417.7601112</v>
      </c>
      <c r="N444" s="14">
        <f t="shared" si="10"/>
        <v>-0.3755244252</v>
      </c>
      <c r="O444" s="3"/>
      <c r="P444" s="3"/>
      <c r="Q444" s="3"/>
      <c r="R444" s="2"/>
      <c r="S444" s="14">
        <f t="shared" si="13"/>
        <v>-0.3448426275</v>
      </c>
    </row>
    <row r="445">
      <c r="A445" s="11">
        <v>433.0</v>
      </c>
      <c r="B445" s="11">
        <v>1.42127826086956E9</v>
      </c>
      <c r="C445" s="2">
        <v>-102.674614</v>
      </c>
      <c r="D445" s="3">
        <f t="shared" si="1"/>
        <v>878260.8696</v>
      </c>
      <c r="E445" s="4">
        <f t="shared" si="2"/>
        <v>-186.4141148</v>
      </c>
      <c r="F445" s="3">
        <f t="shared" si="3"/>
        <v>0.0002122536951</v>
      </c>
      <c r="G445" s="3">
        <f t="shared" si="4"/>
        <v>0</v>
      </c>
      <c r="H445" s="2">
        <f t="shared" si="5"/>
        <v>0</v>
      </c>
      <c r="I445" s="3">
        <f t="shared" si="6"/>
        <v>0</v>
      </c>
      <c r="J445" s="3">
        <f t="shared" si="7"/>
        <v>0</v>
      </c>
      <c r="K445" s="3"/>
      <c r="L445" s="3">
        <f t="shared" si="8"/>
        <v>410.8135573</v>
      </c>
      <c r="M445" s="30">
        <f t="shared" si="9"/>
        <v>417.6602168</v>
      </c>
      <c r="N445" s="14">
        <f t="shared" si="10"/>
        <v>-6.846659476</v>
      </c>
      <c r="O445" s="3"/>
      <c r="P445" s="3"/>
      <c r="Q445" s="3"/>
      <c r="R445" s="2"/>
      <c r="S445" s="14">
        <f t="shared" si="13"/>
        <v>-6.287260904</v>
      </c>
    </row>
    <row r="446">
      <c r="A446" s="11">
        <v>434.0</v>
      </c>
      <c r="B446" s="11">
        <v>1.42128260869565E9</v>
      </c>
      <c r="C446" s="2">
        <v>-102.585144</v>
      </c>
      <c r="D446" s="3">
        <f t="shared" si="1"/>
        <v>882608.6957</v>
      </c>
      <c r="E446" s="4">
        <f t="shared" si="2"/>
        <v>-187.332411</v>
      </c>
      <c r="F446" s="3">
        <f t="shared" si="3"/>
        <v>0.0002122485444</v>
      </c>
      <c r="G446" s="3">
        <f t="shared" si="4"/>
        <v>0</v>
      </c>
      <c r="H446" s="2">
        <f t="shared" si="5"/>
        <v>0</v>
      </c>
      <c r="I446" s="3">
        <f t="shared" si="6"/>
        <v>0</v>
      </c>
      <c r="J446" s="3">
        <f t="shared" si="7"/>
        <v>0</v>
      </c>
      <c r="K446" s="3"/>
      <c r="L446" s="3">
        <f t="shared" si="8"/>
        <v>419.3646</v>
      </c>
      <c r="M446" s="30">
        <f t="shared" si="9"/>
        <v>417.5603692</v>
      </c>
      <c r="N446" s="14">
        <f t="shared" si="10"/>
        <v>1.804230756</v>
      </c>
      <c r="O446" s="3"/>
      <c r="P446" s="3"/>
      <c r="Q446" s="3"/>
      <c r="R446" s="2"/>
      <c r="S446" s="14">
        <f t="shared" si="13"/>
        <v>1.656818126</v>
      </c>
    </row>
    <row r="447">
      <c r="A447" s="11">
        <v>435.0</v>
      </c>
      <c r="B447" s="11">
        <v>1.42128695652173E9</v>
      </c>
      <c r="C447" s="2">
        <v>-102.5935669</v>
      </c>
      <c r="D447" s="3">
        <f t="shared" si="1"/>
        <v>886956.5217</v>
      </c>
      <c r="E447" s="4">
        <f t="shared" si="2"/>
        <v>-188.2507071</v>
      </c>
      <c r="F447" s="3">
        <f t="shared" si="3"/>
        <v>0.0002122434443</v>
      </c>
      <c r="G447" s="3">
        <f t="shared" si="4"/>
        <v>0</v>
      </c>
      <c r="H447" s="2">
        <f t="shared" si="5"/>
        <v>0</v>
      </c>
      <c r="I447" s="3">
        <f t="shared" si="6"/>
        <v>0</v>
      </c>
      <c r="J447" s="3">
        <f t="shared" si="7"/>
        <v>0</v>
      </c>
      <c r="K447" s="3"/>
      <c r="L447" s="3">
        <f t="shared" si="8"/>
        <v>418.5520539</v>
      </c>
      <c r="M447" s="30">
        <f t="shared" si="9"/>
        <v>417.4605691</v>
      </c>
      <c r="N447" s="14">
        <f t="shared" si="10"/>
        <v>1.091484722</v>
      </c>
      <c r="O447" s="3"/>
      <c r="P447" s="3"/>
      <c r="Q447" s="3"/>
      <c r="R447" s="2"/>
      <c r="S447" s="14">
        <f t="shared" si="13"/>
        <v>1.002306199</v>
      </c>
    </row>
    <row r="448">
      <c r="A448" s="11">
        <v>436.0</v>
      </c>
      <c r="B448" s="11">
        <v>1.42129130434782E9</v>
      </c>
      <c r="C448" s="2">
        <v>-102.6070328</v>
      </c>
      <c r="D448" s="3">
        <f t="shared" si="1"/>
        <v>891304.3478</v>
      </c>
      <c r="E448" s="4">
        <f t="shared" si="2"/>
        <v>-189.1690032</v>
      </c>
      <c r="F448" s="3">
        <f t="shared" si="3"/>
        <v>0.0002122383939</v>
      </c>
      <c r="G448" s="3">
        <f t="shared" si="4"/>
        <v>0</v>
      </c>
      <c r="H448" s="2">
        <f t="shared" si="5"/>
        <v>0</v>
      </c>
      <c r="I448" s="3">
        <f t="shared" si="6"/>
        <v>0</v>
      </c>
      <c r="J448" s="3">
        <f t="shared" si="7"/>
        <v>0</v>
      </c>
      <c r="K448" s="3"/>
      <c r="L448" s="3">
        <f t="shared" si="8"/>
        <v>417.2562853</v>
      </c>
      <c r="M448" s="30">
        <f t="shared" si="9"/>
        <v>417.3608171</v>
      </c>
      <c r="N448" s="14">
        <f t="shared" si="10"/>
        <v>-0.1045318038</v>
      </c>
      <c r="O448" s="3"/>
      <c r="P448" s="3"/>
      <c r="Q448" s="3"/>
      <c r="R448" s="2"/>
      <c r="S448" s="14">
        <f t="shared" si="13"/>
        <v>-0.09599115119</v>
      </c>
    </row>
    <row r="449">
      <c r="A449" s="11">
        <v>437.0</v>
      </c>
      <c r="B449" s="11">
        <v>1.42129565217391E9</v>
      </c>
      <c r="C449" s="2">
        <v>-102.6332016</v>
      </c>
      <c r="D449" s="3">
        <f t="shared" si="1"/>
        <v>895652.1739</v>
      </c>
      <c r="E449" s="4">
        <f t="shared" si="2"/>
        <v>-190.0872994</v>
      </c>
      <c r="F449" s="3">
        <f t="shared" si="3"/>
        <v>0.0002122333925</v>
      </c>
      <c r="G449" s="3">
        <f t="shared" si="4"/>
        <v>0</v>
      </c>
      <c r="H449" s="2">
        <f t="shared" si="5"/>
        <v>0</v>
      </c>
      <c r="I449" s="3">
        <f t="shared" si="6"/>
        <v>0</v>
      </c>
      <c r="J449" s="3">
        <f t="shared" si="7"/>
        <v>0</v>
      </c>
      <c r="K449" s="3"/>
      <c r="L449" s="3">
        <f t="shared" si="8"/>
        <v>414.7496301</v>
      </c>
      <c r="M449" s="30">
        <f t="shared" si="9"/>
        <v>417.2611138</v>
      </c>
      <c r="N449" s="14">
        <f t="shared" si="10"/>
        <v>-2.511483695</v>
      </c>
      <c r="O449" s="3"/>
      <c r="P449" s="3"/>
      <c r="Q449" s="3"/>
      <c r="R449" s="2"/>
      <c r="S449" s="14">
        <f t="shared" si="13"/>
        <v>-2.306285759</v>
      </c>
    </row>
    <row r="450">
      <c r="A450" s="11">
        <v>438.0</v>
      </c>
      <c r="B450" s="11">
        <v>1.4213E9</v>
      </c>
      <c r="C450" s="2">
        <v>-102.6401672</v>
      </c>
      <c r="D450" s="3">
        <f t="shared" si="1"/>
        <v>900000</v>
      </c>
      <c r="E450" s="4">
        <f t="shared" si="2"/>
        <v>-191.0055955</v>
      </c>
      <c r="F450" s="3">
        <f t="shared" si="3"/>
        <v>0.0002122284394</v>
      </c>
      <c r="G450" s="3">
        <f t="shared" si="4"/>
        <v>0</v>
      </c>
      <c r="H450" s="2">
        <f t="shared" si="5"/>
        <v>0</v>
      </c>
      <c r="I450" s="3">
        <f t="shared" si="6"/>
        <v>0</v>
      </c>
      <c r="J450" s="3">
        <f t="shared" si="7"/>
        <v>0</v>
      </c>
      <c r="K450" s="3"/>
      <c r="L450" s="3">
        <f t="shared" si="8"/>
        <v>414.0849511</v>
      </c>
      <c r="M450" s="30">
        <f t="shared" si="9"/>
        <v>417.1614598</v>
      </c>
      <c r="N450" s="14">
        <f t="shared" si="10"/>
        <v>-3.076508728</v>
      </c>
      <c r="O450" s="3"/>
      <c r="P450" s="3"/>
      <c r="Q450" s="3"/>
      <c r="R450" s="2"/>
      <c r="S450" s="14">
        <f t="shared" si="13"/>
        <v>-2.825146068</v>
      </c>
    </row>
    <row r="451">
      <c r="A451" s="11">
        <v>439.0</v>
      </c>
      <c r="B451" s="11">
        <v>1.42130434782608E9</v>
      </c>
      <c r="C451" s="2">
        <v>-102.5919418</v>
      </c>
      <c r="D451" s="3">
        <f t="shared" si="1"/>
        <v>904347.8261</v>
      </c>
      <c r="E451" s="4">
        <f t="shared" si="2"/>
        <v>-191.9238916</v>
      </c>
      <c r="F451" s="3">
        <f t="shared" si="3"/>
        <v>0.000212223534</v>
      </c>
      <c r="G451" s="3">
        <f t="shared" si="4"/>
        <v>0</v>
      </c>
      <c r="H451" s="2">
        <f t="shared" si="5"/>
        <v>0</v>
      </c>
      <c r="I451" s="3">
        <f t="shared" si="6"/>
        <v>0</v>
      </c>
      <c r="J451" s="3">
        <f t="shared" si="7"/>
        <v>0</v>
      </c>
      <c r="K451" s="3"/>
      <c r="L451" s="3">
        <f t="shared" si="8"/>
        <v>418.7087025</v>
      </c>
      <c r="M451" s="30">
        <f t="shared" si="9"/>
        <v>417.0618557</v>
      </c>
      <c r="N451" s="14">
        <f t="shared" si="10"/>
        <v>1.64684679</v>
      </c>
      <c r="O451" s="3"/>
      <c r="P451" s="3"/>
      <c r="Q451" s="3"/>
      <c r="R451" s="2"/>
      <c r="S451" s="14">
        <f t="shared" si="13"/>
        <v>1.512293038</v>
      </c>
    </row>
    <row r="452">
      <c r="A452" s="11">
        <v>440.0</v>
      </c>
      <c r="B452" s="11">
        <v>1.42130869565217E9</v>
      </c>
      <c r="C452" s="2">
        <v>-102.5893784</v>
      </c>
      <c r="D452" s="3">
        <f t="shared" si="1"/>
        <v>908695.6522</v>
      </c>
      <c r="E452" s="4">
        <f t="shared" si="2"/>
        <v>-192.8421877</v>
      </c>
      <c r="F452" s="3">
        <f t="shared" si="3"/>
        <v>0.0002122186755</v>
      </c>
      <c r="G452" s="3">
        <f t="shared" si="4"/>
        <v>0</v>
      </c>
      <c r="H452" s="2">
        <f t="shared" si="5"/>
        <v>0</v>
      </c>
      <c r="I452" s="3">
        <f t="shared" si="6"/>
        <v>0</v>
      </c>
      <c r="J452" s="3">
        <f t="shared" si="7"/>
        <v>0</v>
      </c>
      <c r="K452" s="3"/>
      <c r="L452" s="3">
        <f t="shared" si="8"/>
        <v>418.955916</v>
      </c>
      <c r="M452" s="30">
        <f t="shared" si="9"/>
        <v>416.9623021</v>
      </c>
      <c r="N452" s="14">
        <f t="shared" si="10"/>
        <v>1.993613922</v>
      </c>
      <c r="O452" s="3"/>
      <c r="P452" s="3"/>
      <c r="Q452" s="3"/>
      <c r="R452" s="2"/>
      <c r="S452" s="14">
        <f t="shared" si="13"/>
        <v>1.83072795</v>
      </c>
    </row>
    <row r="453">
      <c r="A453" s="11">
        <v>441.0</v>
      </c>
      <c r="B453" s="11">
        <v>1.42131304347826E9</v>
      </c>
      <c r="C453" s="2">
        <v>-102.601387</v>
      </c>
      <c r="D453" s="3">
        <f t="shared" si="1"/>
        <v>913043.4783</v>
      </c>
      <c r="E453" s="4">
        <f t="shared" si="2"/>
        <v>-193.7604839</v>
      </c>
      <c r="F453" s="3">
        <f t="shared" si="3"/>
        <v>0.0002122138633</v>
      </c>
      <c r="G453" s="3">
        <f t="shared" si="4"/>
        <v>0</v>
      </c>
      <c r="H453" s="2">
        <f t="shared" si="5"/>
        <v>0</v>
      </c>
      <c r="I453" s="3">
        <f t="shared" si="6"/>
        <v>0</v>
      </c>
      <c r="J453" s="3">
        <f t="shared" si="7"/>
        <v>0</v>
      </c>
      <c r="K453" s="3"/>
      <c r="L453" s="3">
        <f t="shared" si="8"/>
        <v>417.7990685</v>
      </c>
      <c r="M453" s="30">
        <f t="shared" si="9"/>
        <v>416.8627996</v>
      </c>
      <c r="N453" s="14">
        <f t="shared" si="10"/>
        <v>0.9362689287</v>
      </c>
      <c r="O453" s="3"/>
      <c r="P453" s="3"/>
      <c r="Q453" s="3"/>
      <c r="R453" s="2"/>
      <c r="S453" s="14">
        <f t="shared" si="13"/>
        <v>0.8597721365</v>
      </c>
    </row>
    <row r="454">
      <c r="A454" s="11">
        <v>442.0</v>
      </c>
      <c r="B454" s="11">
        <v>1.42131739130434E9</v>
      </c>
      <c r="C454" s="2">
        <v>-102.627533</v>
      </c>
      <c r="D454" s="3">
        <f t="shared" si="1"/>
        <v>917391.3043</v>
      </c>
      <c r="E454" s="4">
        <f t="shared" si="2"/>
        <v>-194.67878</v>
      </c>
      <c r="F454" s="3">
        <f t="shared" si="3"/>
        <v>0.0002122090967</v>
      </c>
      <c r="G454" s="3">
        <f t="shared" si="4"/>
        <v>0</v>
      </c>
      <c r="H454" s="2">
        <f t="shared" si="5"/>
        <v>0</v>
      </c>
      <c r="I454" s="3">
        <f t="shared" si="6"/>
        <v>0</v>
      </c>
      <c r="J454" s="3">
        <f t="shared" si="7"/>
        <v>0</v>
      </c>
      <c r="K454" s="3"/>
      <c r="L454" s="3">
        <f t="shared" si="8"/>
        <v>415.2913328</v>
      </c>
      <c r="M454" s="30">
        <f t="shared" si="9"/>
        <v>416.7633488</v>
      </c>
      <c r="N454" s="14">
        <f t="shared" si="10"/>
        <v>-1.472016052</v>
      </c>
      <c r="O454" s="3"/>
      <c r="P454" s="3"/>
      <c r="Q454" s="3"/>
      <c r="R454" s="2"/>
      <c r="S454" s="14">
        <f t="shared" si="13"/>
        <v>-1.351746648</v>
      </c>
    </row>
    <row r="455">
      <c r="A455" s="11">
        <v>443.0</v>
      </c>
      <c r="B455" s="11">
        <v>1.42132173913043E9</v>
      </c>
      <c r="C455" s="2">
        <v>-102.67836</v>
      </c>
      <c r="D455" s="3">
        <f t="shared" si="1"/>
        <v>921739.1304</v>
      </c>
      <c r="E455" s="4">
        <f t="shared" si="2"/>
        <v>-195.5970761</v>
      </c>
      <c r="F455" s="3">
        <f t="shared" si="3"/>
        <v>0.0002122043751</v>
      </c>
      <c r="G455" s="3">
        <f t="shared" si="4"/>
        <v>0</v>
      </c>
      <c r="H455" s="2">
        <f t="shared" si="5"/>
        <v>0</v>
      </c>
      <c r="I455" s="3">
        <f t="shared" si="6"/>
        <v>0</v>
      </c>
      <c r="J455" s="3">
        <f t="shared" si="7"/>
        <v>0</v>
      </c>
      <c r="K455" s="3"/>
      <c r="L455" s="3">
        <f t="shared" si="8"/>
        <v>410.4593635</v>
      </c>
      <c r="M455" s="30">
        <f t="shared" si="9"/>
        <v>416.6639504</v>
      </c>
      <c r="N455" s="14">
        <f t="shared" si="10"/>
        <v>-6.204586878</v>
      </c>
      <c r="O455" s="3"/>
      <c r="P455" s="3"/>
      <c r="Q455" s="3"/>
      <c r="R455" s="2"/>
      <c r="S455" s="14">
        <f t="shared" si="13"/>
        <v>-5.697648122</v>
      </c>
    </row>
    <row r="456">
      <c r="A456" s="11">
        <v>444.0</v>
      </c>
      <c r="B456" s="11">
        <v>1.42132608695652E9</v>
      </c>
      <c r="C456" s="2">
        <v>-102.6440811</v>
      </c>
      <c r="D456" s="3">
        <f t="shared" si="1"/>
        <v>926086.9565</v>
      </c>
      <c r="E456" s="4">
        <f t="shared" si="2"/>
        <v>-196.5153723</v>
      </c>
      <c r="F456" s="3">
        <f t="shared" si="3"/>
        <v>0.0002121996978</v>
      </c>
      <c r="G456" s="3">
        <f t="shared" si="4"/>
        <v>0</v>
      </c>
      <c r="H456" s="2">
        <f t="shared" si="5"/>
        <v>0</v>
      </c>
      <c r="I456" s="3">
        <f t="shared" si="6"/>
        <v>0</v>
      </c>
      <c r="J456" s="3">
        <f t="shared" si="7"/>
        <v>0</v>
      </c>
      <c r="K456" s="3"/>
      <c r="L456" s="3">
        <f t="shared" si="8"/>
        <v>413.7119422</v>
      </c>
      <c r="M456" s="30">
        <f t="shared" si="9"/>
        <v>416.5646049</v>
      </c>
      <c r="N456" s="14">
        <f t="shared" si="10"/>
        <v>-2.852662764</v>
      </c>
      <c r="O456" s="3"/>
      <c r="P456" s="3"/>
      <c r="Q456" s="3"/>
      <c r="R456" s="2"/>
      <c r="S456" s="14">
        <f t="shared" si="13"/>
        <v>-2.619589185</v>
      </c>
    </row>
    <row r="457">
      <c r="A457" s="11">
        <v>445.0</v>
      </c>
      <c r="B457" s="11">
        <v>1.4213304347826E9</v>
      </c>
      <c r="C457" s="2">
        <v>-102.6521149</v>
      </c>
      <c r="D457" s="3">
        <f t="shared" si="1"/>
        <v>930434.7826</v>
      </c>
      <c r="E457" s="4">
        <f t="shared" si="2"/>
        <v>-197.4336684</v>
      </c>
      <c r="F457" s="3">
        <f t="shared" si="3"/>
        <v>0.0002121950642</v>
      </c>
      <c r="G457" s="3">
        <f t="shared" si="4"/>
        <v>0</v>
      </c>
      <c r="H457" s="2">
        <f t="shared" si="5"/>
        <v>0</v>
      </c>
      <c r="I457" s="3">
        <f t="shared" si="6"/>
        <v>0</v>
      </c>
      <c r="J457" s="3">
        <f t="shared" si="7"/>
        <v>0</v>
      </c>
      <c r="K457" s="3"/>
      <c r="L457" s="3">
        <f t="shared" si="8"/>
        <v>412.9473442</v>
      </c>
      <c r="M457" s="30">
        <f t="shared" si="9"/>
        <v>416.465313</v>
      </c>
      <c r="N457" s="14">
        <f t="shared" si="10"/>
        <v>-3.517968799</v>
      </c>
      <c r="O457" s="3"/>
      <c r="P457" s="3"/>
      <c r="Q457" s="3"/>
      <c r="R457" s="2"/>
      <c r="S457" s="14">
        <f t="shared" si="13"/>
        <v>-3.230537143</v>
      </c>
    </row>
    <row r="458">
      <c r="A458" s="11">
        <v>446.0</v>
      </c>
      <c r="B458" s="11">
        <v>1.42133478260869E9</v>
      </c>
      <c r="C458" s="2">
        <v>-102.6060333</v>
      </c>
      <c r="D458" s="3">
        <f t="shared" si="1"/>
        <v>934782.6087</v>
      </c>
      <c r="E458" s="4">
        <f t="shared" si="2"/>
        <v>-198.3519645</v>
      </c>
      <c r="F458" s="3">
        <f t="shared" si="3"/>
        <v>0.0002121904737</v>
      </c>
      <c r="G458" s="3">
        <f t="shared" si="4"/>
        <v>0</v>
      </c>
      <c r="H458" s="2">
        <f t="shared" si="5"/>
        <v>0</v>
      </c>
      <c r="I458" s="3">
        <f t="shared" si="6"/>
        <v>0</v>
      </c>
      <c r="J458" s="3">
        <f t="shared" si="7"/>
        <v>0</v>
      </c>
      <c r="K458" s="3"/>
      <c r="L458" s="3">
        <f t="shared" si="8"/>
        <v>417.3523251</v>
      </c>
      <c r="M458" s="30">
        <f t="shared" si="9"/>
        <v>416.3660752</v>
      </c>
      <c r="N458" s="14">
        <f t="shared" si="10"/>
        <v>0.9862499012</v>
      </c>
      <c r="O458" s="3"/>
      <c r="P458" s="3"/>
      <c r="Q458" s="3"/>
      <c r="R458" s="2"/>
      <c r="S458" s="14">
        <f t="shared" si="13"/>
        <v>0.9056694703</v>
      </c>
    </row>
    <row r="459">
      <c r="A459" s="11">
        <v>447.0</v>
      </c>
      <c r="B459" s="11">
        <v>1.42133913043478E9</v>
      </c>
      <c r="C459" s="2">
        <v>-102.6273041</v>
      </c>
      <c r="D459" s="3">
        <f t="shared" si="1"/>
        <v>939130.4348</v>
      </c>
      <c r="E459" s="4">
        <f t="shared" si="2"/>
        <v>-199.2702607</v>
      </c>
      <c r="F459" s="3">
        <f t="shared" si="3"/>
        <v>0.0002121859257</v>
      </c>
      <c r="G459" s="3">
        <f t="shared" si="4"/>
        <v>0</v>
      </c>
      <c r="H459" s="2">
        <f t="shared" si="5"/>
        <v>0</v>
      </c>
      <c r="I459" s="3">
        <f t="shared" si="6"/>
        <v>0</v>
      </c>
      <c r="J459" s="3">
        <f t="shared" si="7"/>
        <v>0</v>
      </c>
      <c r="K459" s="3"/>
      <c r="L459" s="3">
        <f t="shared" si="8"/>
        <v>415.3132218</v>
      </c>
      <c r="M459" s="30">
        <f t="shared" si="9"/>
        <v>416.2668922</v>
      </c>
      <c r="N459" s="14">
        <f t="shared" si="10"/>
        <v>-0.9536704807</v>
      </c>
      <c r="O459" s="3"/>
      <c r="P459" s="3"/>
      <c r="Q459" s="3"/>
      <c r="R459" s="2"/>
      <c r="S459" s="14">
        <f t="shared" si="13"/>
        <v>-0.8757519124</v>
      </c>
    </row>
    <row r="460">
      <c r="A460" s="11">
        <v>448.0</v>
      </c>
      <c r="B460" s="11">
        <v>1.42134347826087E9</v>
      </c>
      <c r="C460" s="2">
        <v>-102.6521225</v>
      </c>
      <c r="D460" s="3">
        <f t="shared" si="1"/>
        <v>943478.2609</v>
      </c>
      <c r="E460" s="4">
        <f t="shared" si="2"/>
        <v>-200.1885568</v>
      </c>
      <c r="F460" s="3">
        <f t="shared" si="3"/>
        <v>0.0002121814197</v>
      </c>
      <c r="G460" s="3">
        <f t="shared" si="4"/>
        <v>0</v>
      </c>
      <c r="H460" s="2">
        <f t="shared" si="5"/>
        <v>0</v>
      </c>
      <c r="I460" s="3">
        <f t="shared" si="6"/>
        <v>0</v>
      </c>
      <c r="J460" s="3">
        <f t="shared" si="7"/>
        <v>0</v>
      </c>
      <c r="K460" s="3"/>
      <c r="L460" s="3">
        <f t="shared" si="8"/>
        <v>412.9466216</v>
      </c>
      <c r="M460" s="30">
        <f t="shared" si="9"/>
        <v>416.1677646</v>
      </c>
      <c r="N460" s="14">
        <f t="shared" si="10"/>
        <v>-3.221143059</v>
      </c>
      <c r="O460" s="3"/>
      <c r="P460" s="3"/>
      <c r="Q460" s="3"/>
      <c r="R460" s="2"/>
      <c r="S460" s="14">
        <f t="shared" si="13"/>
        <v>-2.957963214</v>
      </c>
    </row>
    <row r="461">
      <c r="A461" s="11">
        <v>449.0</v>
      </c>
      <c r="B461" s="11">
        <v>1.42134782608695E9</v>
      </c>
      <c r="C461" s="2">
        <v>-102.5377502</v>
      </c>
      <c r="D461" s="3">
        <f t="shared" si="1"/>
        <v>947826.087</v>
      </c>
      <c r="E461" s="4">
        <f t="shared" si="2"/>
        <v>-201.1068529</v>
      </c>
      <c r="F461" s="3">
        <f t="shared" si="3"/>
        <v>0.0002121769549</v>
      </c>
      <c r="G461" s="3">
        <f t="shared" si="4"/>
        <v>0</v>
      </c>
      <c r="H461" s="2">
        <f t="shared" si="5"/>
        <v>0</v>
      </c>
      <c r="I461" s="3">
        <f t="shared" si="6"/>
        <v>0</v>
      </c>
      <c r="J461" s="3">
        <f t="shared" si="7"/>
        <v>0</v>
      </c>
      <c r="K461" s="3"/>
      <c r="L461" s="3">
        <f t="shared" si="8"/>
        <v>423.9661149</v>
      </c>
      <c r="M461" s="30">
        <f t="shared" si="9"/>
        <v>416.068693</v>
      </c>
      <c r="N461" s="14">
        <f t="shared" si="10"/>
        <v>7.897421897</v>
      </c>
      <c r="O461" s="3"/>
      <c r="P461" s="3"/>
      <c r="Q461" s="3"/>
      <c r="R461" s="2"/>
      <c r="S461" s="14">
        <f t="shared" si="13"/>
        <v>7.252171988</v>
      </c>
    </row>
    <row r="462">
      <c r="A462" s="11">
        <v>450.0</v>
      </c>
      <c r="B462" s="11">
        <v>1.42135217391304E9</v>
      </c>
      <c r="C462" s="2">
        <v>-102.561882</v>
      </c>
      <c r="D462" s="3">
        <f t="shared" si="1"/>
        <v>952173.913</v>
      </c>
      <c r="E462" s="4">
        <f t="shared" si="2"/>
        <v>-202.0251491</v>
      </c>
      <c r="F462" s="3">
        <f t="shared" si="3"/>
        <v>0.000212172531</v>
      </c>
      <c r="G462" s="3">
        <f t="shared" si="4"/>
        <v>0</v>
      </c>
      <c r="H462" s="2">
        <f t="shared" si="5"/>
        <v>0</v>
      </c>
      <c r="I462" s="3">
        <f t="shared" si="6"/>
        <v>0</v>
      </c>
      <c r="J462" s="3">
        <f t="shared" si="7"/>
        <v>0</v>
      </c>
      <c r="K462" s="3"/>
      <c r="L462" s="3">
        <f t="shared" si="8"/>
        <v>421.6168579</v>
      </c>
      <c r="M462" s="30">
        <f t="shared" si="9"/>
        <v>415.9696779</v>
      </c>
      <c r="N462" s="14">
        <f t="shared" si="10"/>
        <v>5.647179987</v>
      </c>
      <c r="O462" s="3"/>
      <c r="P462" s="3"/>
      <c r="Q462" s="3"/>
      <c r="R462" s="2"/>
      <c r="S462" s="14">
        <f t="shared" si="13"/>
        <v>5.185783532</v>
      </c>
    </row>
    <row r="463">
      <c r="A463" s="11">
        <v>451.0</v>
      </c>
      <c r="B463" s="11">
        <v>1.42135652173913E9</v>
      </c>
      <c r="C463" s="2">
        <v>-102.6047897</v>
      </c>
      <c r="D463" s="3">
        <f t="shared" si="1"/>
        <v>956521.7391</v>
      </c>
      <c r="E463" s="4">
        <f t="shared" si="2"/>
        <v>-202.9434452</v>
      </c>
      <c r="F463" s="3">
        <f t="shared" si="3"/>
        <v>0.0002121681473</v>
      </c>
      <c r="G463" s="3">
        <f t="shared" si="4"/>
        <v>0</v>
      </c>
      <c r="H463" s="2">
        <f t="shared" si="5"/>
        <v>0</v>
      </c>
      <c r="I463" s="3">
        <f t="shared" si="6"/>
        <v>0</v>
      </c>
      <c r="J463" s="3">
        <f t="shared" si="7"/>
        <v>0</v>
      </c>
      <c r="K463" s="3"/>
      <c r="L463" s="3">
        <f t="shared" si="8"/>
        <v>417.4718509</v>
      </c>
      <c r="M463" s="30">
        <f t="shared" si="9"/>
        <v>415.8707201</v>
      </c>
      <c r="N463" s="14">
        <f t="shared" si="10"/>
        <v>1.601130795</v>
      </c>
      <c r="O463" s="3"/>
      <c r="P463" s="3"/>
      <c r="Q463" s="3"/>
      <c r="R463" s="2"/>
      <c r="S463" s="14">
        <f t="shared" si="13"/>
        <v>1.470312217</v>
      </c>
    </row>
    <row r="464">
      <c r="A464" s="11">
        <v>452.0</v>
      </c>
      <c r="B464" s="11">
        <v>1.42136086956521E9</v>
      </c>
      <c r="C464" s="2">
        <v>-102.6110687</v>
      </c>
      <c r="D464" s="3">
        <f t="shared" si="1"/>
        <v>960869.5652</v>
      </c>
      <c r="E464" s="4">
        <f t="shared" si="2"/>
        <v>-203.8617413</v>
      </c>
      <c r="F464" s="3">
        <f t="shared" si="3"/>
        <v>0.0002121638032</v>
      </c>
      <c r="G464" s="3">
        <f t="shared" si="4"/>
        <v>0</v>
      </c>
      <c r="H464" s="2">
        <f t="shared" si="5"/>
        <v>0</v>
      </c>
      <c r="I464" s="3">
        <f t="shared" si="6"/>
        <v>0</v>
      </c>
      <c r="J464" s="3">
        <f t="shared" si="7"/>
        <v>0</v>
      </c>
      <c r="K464" s="3"/>
      <c r="L464" s="3">
        <f t="shared" si="8"/>
        <v>416.868709</v>
      </c>
      <c r="M464" s="30">
        <f t="shared" si="9"/>
        <v>415.77182</v>
      </c>
      <c r="N464" s="14">
        <f t="shared" si="10"/>
        <v>1.096889</v>
      </c>
      <c r="O464" s="3"/>
      <c r="P464" s="3"/>
      <c r="Q464" s="3"/>
      <c r="R464" s="2"/>
      <c r="S464" s="14">
        <f t="shared" si="13"/>
        <v>1.007268927</v>
      </c>
    </row>
    <row r="465">
      <c r="A465" s="11">
        <v>453.0</v>
      </c>
      <c r="B465" s="11">
        <v>1.4213652173913E9</v>
      </c>
      <c r="C465" s="2">
        <v>-102.615921</v>
      </c>
      <c r="D465" s="3">
        <f t="shared" si="1"/>
        <v>965217.3913</v>
      </c>
      <c r="E465" s="4">
        <f t="shared" si="2"/>
        <v>-204.7800375</v>
      </c>
      <c r="F465" s="3">
        <f t="shared" si="3"/>
        <v>0.0002121594983</v>
      </c>
      <c r="G465" s="3">
        <f t="shared" si="4"/>
        <v>0</v>
      </c>
      <c r="H465" s="2">
        <f t="shared" si="5"/>
        <v>0</v>
      </c>
      <c r="I465" s="3">
        <f t="shared" si="6"/>
        <v>0</v>
      </c>
      <c r="J465" s="3">
        <f t="shared" si="7"/>
        <v>0</v>
      </c>
      <c r="K465" s="3"/>
      <c r="L465" s="3">
        <f t="shared" si="8"/>
        <v>416.4032087</v>
      </c>
      <c r="M465" s="30">
        <f t="shared" si="9"/>
        <v>415.6729784</v>
      </c>
      <c r="N465" s="14">
        <f t="shared" si="10"/>
        <v>0.7302302549</v>
      </c>
      <c r="O465" s="3"/>
      <c r="P465" s="3"/>
      <c r="Q465" s="3"/>
      <c r="R465" s="2"/>
      <c r="S465" s="14">
        <f t="shared" si="13"/>
        <v>0.6705676176</v>
      </c>
    </row>
    <row r="466">
      <c r="A466" s="11">
        <v>454.0</v>
      </c>
      <c r="B466" s="11">
        <v>1.42136956521739E9</v>
      </c>
      <c r="C466" s="2">
        <v>-102.6293106</v>
      </c>
      <c r="D466" s="3">
        <f t="shared" si="1"/>
        <v>969565.2174</v>
      </c>
      <c r="E466" s="4">
        <f t="shared" si="2"/>
        <v>-205.6983336</v>
      </c>
      <c r="F466" s="3">
        <f t="shared" si="3"/>
        <v>0.000212155232</v>
      </c>
      <c r="G466" s="3">
        <f t="shared" si="4"/>
        <v>0</v>
      </c>
      <c r="H466" s="2">
        <f t="shared" si="5"/>
        <v>0</v>
      </c>
      <c r="I466" s="3">
        <f t="shared" si="6"/>
        <v>0</v>
      </c>
      <c r="J466" s="3">
        <f t="shared" si="7"/>
        <v>0</v>
      </c>
      <c r="K466" s="3"/>
      <c r="L466" s="3">
        <f t="shared" si="8"/>
        <v>415.1213857</v>
      </c>
      <c r="M466" s="30">
        <f t="shared" si="9"/>
        <v>415.5741958</v>
      </c>
      <c r="N466" s="14">
        <f t="shared" si="10"/>
        <v>-0.4528101083</v>
      </c>
      <c r="O466" s="3"/>
      <c r="P466" s="3"/>
      <c r="Q466" s="3"/>
      <c r="R466" s="2"/>
      <c r="S466" s="14">
        <f t="shared" si="13"/>
        <v>-0.4158137713</v>
      </c>
    </row>
    <row r="467">
      <c r="A467" s="11">
        <v>455.0</v>
      </c>
      <c r="B467" s="11">
        <v>1.42137391304347E9</v>
      </c>
      <c r="C467" s="2">
        <v>-102.5891876</v>
      </c>
      <c r="D467" s="3">
        <f t="shared" si="1"/>
        <v>973913.0435</v>
      </c>
      <c r="E467" s="4">
        <f t="shared" si="2"/>
        <v>-206.6166297</v>
      </c>
      <c r="F467" s="3">
        <f t="shared" si="3"/>
        <v>0.0002121510037</v>
      </c>
      <c r="G467" s="3">
        <f t="shared" si="4"/>
        <v>0</v>
      </c>
      <c r="H467" s="2">
        <f t="shared" si="5"/>
        <v>0</v>
      </c>
      <c r="I467" s="3">
        <f t="shared" si="6"/>
        <v>0</v>
      </c>
      <c r="J467" s="3">
        <f t="shared" si="7"/>
        <v>0</v>
      </c>
      <c r="K467" s="3"/>
      <c r="L467" s="3">
        <f t="shared" si="8"/>
        <v>418.9743225</v>
      </c>
      <c r="M467" s="30">
        <f t="shared" si="9"/>
        <v>415.4754728</v>
      </c>
      <c r="N467" s="14">
        <f t="shared" si="10"/>
        <v>3.498849701</v>
      </c>
      <c r="O467" s="3"/>
      <c r="P467" s="3"/>
      <c r="Q467" s="3"/>
      <c r="R467" s="2"/>
      <c r="S467" s="14">
        <f t="shared" si="13"/>
        <v>3.21298015</v>
      </c>
    </row>
    <row r="468">
      <c r="A468" s="11">
        <v>456.0</v>
      </c>
      <c r="B468" s="11">
        <v>1.42137826086956E9</v>
      </c>
      <c r="C468" s="2">
        <v>-102.6606674</v>
      </c>
      <c r="D468" s="3">
        <f t="shared" si="1"/>
        <v>978260.8696</v>
      </c>
      <c r="E468" s="4">
        <f t="shared" si="2"/>
        <v>-207.5349259</v>
      </c>
      <c r="F468" s="3">
        <f t="shared" si="3"/>
        <v>0.0002121468131</v>
      </c>
      <c r="G468" s="3">
        <f t="shared" si="4"/>
        <v>0</v>
      </c>
      <c r="H468" s="2">
        <f t="shared" si="5"/>
        <v>0</v>
      </c>
      <c r="I468" s="3">
        <f t="shared" si="6"/>
        <v>0</v>
      </c>
      <c r="J468" s="3">
        <f t="shared" si="7"/>
        <v>0</v>
      </c>
      <c r="K468" s="3"/>
      <c r="L468" s="3">
        <f t="shared" si="8"/>
        <v>412.134933</v>
      </c>
      <c r="M468" s="30">
        <f t="shared" si="9"/>
        <v>415.3768101</v>
      </c>
      <c r="N468" s="14">
        <f t="shared" si="10"/>
        <v>-3.241877044</v>
      </c>
      <c r="O468" s="3"/>
      <c r="P468" s="3"/>
      <c r="Q468" s="3"/>
      <c r="R468" s="2"/>
      <c r="S468" s="14">
        <f t="shared" si="13"/>
        <v>-2.977003145</v>
      </c>
    </row>
    <row r="469">
      <c r="A469" s="11">
        <v>457.0</v>
      </c>
      <c r="B469" s="11">
        <v>1.42138260869565E9</v>
      </c>
      <c r="C469" s="2">
        <v>-102.6214371</v>
      </c>
      <c r="D469" s="3">
        <f t="shared" si="1"/>
        <v>982608.6957</v>
      </c>
      <c r="E469" s="4">
        <f t="shared" si="2"/>
        <v>-208.453222</v>
      </c>
      <c r="F469" s="3">
        <f t="shared" si="3"/>
        <v>0.0002121426596</v>
      </c>
      <c r="G469" s="3">
        <f t="shared" si="4"/>
        <v>0</v>
      </c>
      <c r="H469" s="2">
        <f t="shared" si="5"/>
        <v>0</v>
      </c>
      <c r="I469" s="3">
        <f t="shared" si="6"/>
        <v>0</v>
      </c>
      <c r="J469" s="3">
        <f t="shared" si="7"/>
        <v>0</v>
      </c>
      <c r="K469" s="3"/>
      <c r="L469" s="3">
        <f t="shared" si="8"/>
        <v>415.8746586</v>
      </c>
      <c r="M469" s="30">
        <f t="shared" si="9"/>
        <v>415.2782082</v>
      </c>
      <c r="N469" s="14">
        <f t="shared" si="10"/>
        <v>0.5964504541</v>
      </c>
      <c r="O469" s="3"/>
      <c r="P469" s="3"/>
      <c r="Q469" s="3"/>
      <c r="R469" s="2"/>
      <c r="S469" s="14">
        <f t="shared" si="13"/>
        <v>0.5477181454</v>
      </c>
    </row>
    <row r="470">
      <c r="A470" s="11">
        <v>458.0</v>
      </c>
      <c r="B470" s="11">
        <v>1.42138695652173E9</v>
      </c>
      <c r="C470" s="2">
        <v>-102.6383286</v>
      </c>
      <c r="D470" s="3">
        <f t="shared" si="1"/>
        <v>986956.5217</v>
      </c>
      <c r="E470" s="4">
        <f t="shared" si="2"/>
        <v>-209.3715181</v>
      </c>
      <c r="F470" s="3">
        <f t="shared" si="3"/>
        <v>0.0002121385426</v>
      </c>
      <c r="G470" s="3">
        <f t="shared" si="4"/>
        <v>0</v>
      </c>
      <c r="H470" s="2">
        <f t="shared" si="5"/>
        <v>0</v>
      </c>
      <c r="I470" s="3">
        <f t="shared" si="6"/>
        <v>0</v>
      </c>
      <c r="J470" s="3">
        <f t="shared" si="7"/>
        <v>0</v>
      </c>
      <c r="K470" s="3"/>
      <c r="L470" s="3">
        <f t="shared" si="8"/>
        <v>414.2602924</v>
      </c>
      <c r="M470" s="30">
        <f t="shared" si="9"/>
        <v>415.1796677</v>
      </c>
      <c r="N470" s="14">
        <f t="shared" si="10"/>
        <v>-0.9193753195</v>
      </c>
      <c r="O470" s="3"/>
      <c r="P470" s="3"/>
      <c r="Q470" s="3"/>
      <c r="R470" s="2"/>
      <c r="S470" s="14">
        <f t="shared" si="13"/>
        <v>-0.8442588004</v>
      </c>
    </row>
    <row r="471">
      <c r="A471" s="11">
        <v>459.0</v>
      </c>
      <c r="B471" s="11">
        <v>1.42139130434782E9</v>
      </c>
      <c r="C471" s="2">
        <v>-102.6211014</v>
      </c>
      <c r="D471" s="3">
        <f t="shared" si="1"/>
        <v>991304.3478</v>
      </c>
      <c r="E471" s="4">
        <f t="shared" si="2"/>
        <v>-210.2898143</v>
      </c>
      <c r="F471" s="3">
        <f t="shared" si="3"/>
        <v>0.0002121344618</v>
      </c>
      <c r="G471" s="3">
        <f t="shared" si="4"/>
        <v>0</v>
      </c>
      <c r="H471" s="2">
        <f t="shared" si="5"/>
        <v>0</v>
      </c>
      <c r="I471" s="3">
        <f t="shared" si="6"/>
        <v>0</v>
      </c>
      <c r="J471" s="3">
        <f t="shared" si="7"/>
        <v>0</v>
      </c>
      <c r="K471" s="3"/>
      <c r="L471" s="3">
        <f t="shared" si="8"/>
        <v>415.9068061</v>
      </c>
      <c r="M471" s="30">
        <f t="shared" si="9"/>
        <v>415.0811893</v>
      </c>
      <c r="N471" s="14">
        <f t="shared" si="10"/>
        <v>0.8256167242</v>
      </c>
      <c r="O471" s="3"/>
      <c r="P471" s="3"/>
      <c r="Q471" s="3"/>
      <c r="R471" s="2"/>
      <c r="S471" s="14">
        <f t="shared" si="13"/>
        <v>0.758160645</v>
      </c>
    </row>
    <row r="472">
      <c r="A472" s="11">
        <v>460.0</v>
      </c>
      <c r="B472" s="11">
        <v>1.42139565217391E9</v>
      </c>
      <c r="C472" s="2">
        <v>-102.638443</v>
      </c>
      <c r="D472" s="3">
        <f t="shared" si="1"/>
        <v>995652.1739</v>
      </c>
      <c r="E472" s="4">
        <f t="shared" si="2"/>
        <v>-211.2081104</v>
      </c>
      <c r="F472" s="3">
        <f t="shared" si="3"/>
        <v>0.0002121304166</v>
      </c>
      <c r="G472" s="3">
        <f t="shared" si="4"/>
        <v>0</v>
      </c>
      <c r="H472" s="2">
        <f t="shared" si="5"/>
        <v>0</v>
      </c>
      <c r="I472" s="3">
        <f t="shared" si="6"/>
        <v>0</v>
      </c>
      <c r="J472" s="3">
        <f t="shared" si="7"/>
        <v>0</v>
      </c>
      <c r="K472" s="3"/>
      <c r="L472" s="3">
        <f t="shared" si="8"/>
        <v>414.2493803</v>
      </c>
      <c r="M472" s="30">
        <f t="shared" si="9"/>
        <v>414.9827736</v>
      </c>
      <c r="N472" s="14">
        <f t="shared" si="10"/>
        <v>-0.7333933318</v>
      </c>
      <c r="O472" s="3"/>
      <c r="P472" s="3"/>
      <c r="Q472" s="3"/>
      <c r="R472" s="2"/>
      <c r="S472" s="14">
        <f t="shared" si="13"/>
        <v>-0.5807665584</v>
      </c>
    </row>
    <row r="473">
      <c r="A473" s="11">
        <v>461.0</v>
      </c>
      <c r="B473" s="11">
        <v>1.4214E9</v>
      </c>
      <c r="C473" s="2">
        <v>-102.6156387</v>
      </c>
      <c r="D473" s="3">
        <f t="shared" si="1"/>
        <v>1000000</v>
      </c>
      <c r="E473" s="29">
        <f>-0.000212*D473</f>
        <v>-212</v>
      </c>
      <c r="F473" s="3">
        <f t="shared" si="3"/>
        <v>0.000212</v>
      </c>
      <c r="G473" s="3">
        <f t="shared" si="4"/>
        <v>0</v>
      </c>
      <c r="H473" s="2">
        <f t="shared" si="5"/>
        <v>0</v>
      </c>
      <c r="I473" s="3">
        <f t="shared" si="6"/>
        <v>0</v>
      </c>
      <c r="J473" s="3">
        <f t="shared" si="7"/>
        <v>0</v>
      </c>
      <c r="K473" s="3"/>
      <c r="L473" s="3">
        <f t="shared" si="8"/>
        <v>416.4302766</v>
      </c>
      <c r="M473" s="30">
        <f t="shared" si="9"/>
        <v>414.8979559</v>
      </c>
      <c r="N473" s="14">
        <f t="shared" si="10"/>
        <v>1.532320651</v>
      </c>
      <c r="O473" s="3"/>
      <c r="P473" s="3"/>
      <c r="Q473" s="3"/>
      <c r="R473" s="2"/>
      <c r="S473" s="14"/>
    </row>
    <row r="474">
      <c r="A474" s="11" t="s">
        <v>40</v>
      </c>
      <c r="D474" s="3"/>
      <c r="E474" s="4"/>
      <c r="F474" s="3"/>
      <c r="G474" s="3"/>
      <c r="H474" s="3"/>
      <c r="I474" s="3"/>
      <c r="J474" s="3"/>
      <c r="K474" s="3"/>
      <c r="L474" s="3"/>
      <c r="M474" s="5"/>
      <c r="N474" s="3"/>
      <c r="O474" s="3"/>
      <c r="P474" s="3"/>
      <c r="Q474" s="3"/>
      <c r="R474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0</v>
      </c>
      <c r="B1" s="11" t="s">
        <v>1</v>
      </c>
    </row>
    <row r="2">
      <c r="A2" s="11" t="s">
        <v>2</v>
      </c>
      <c r="B2" s="11" t="s">
        <v>3</v>
      </c>
    </row>
    <row r="3">
      <c r="A3" s="11" t="s">
        <v>5</v>
      </c>
      <c r="B3" s="11" t="s">
        <v>6</v>
      </c>
    </row>
    <row r="4">
      <c r="A4" s="11" t="s">
        <v>7</v>
      </c>
      <c r="B4" s="11">
        <v>1.4204E9</v>
      </c>
      <c r="C4" s="11" t="s">
        <v>8</v>
      </c>
    </row>
    <row r="5">
      <c r="A5" s="11" t="s">
        <v>9</v>
      </c>
      <c r="B5" s="11">
        <v>2000000.0</v>
      </c>
      <c r="C5" s="11" t="s">
        <v>8</v>
      </c>
    </row>
    <row r="6">
      <c r="A6" s="11" t="s">
        <v>10</v>
      </c>
      <c r="B6" s="11">
        <v>30000.0</v>
      </c>
      <c r="C6" s="11" t="s">
        <v>8</v>
      </c>
    </row>
    <row r="7">
      <c r="A7" s="11" t="s">
        <v>11</v>
      </c>
      <c r="B7" s="11">
        <v>30000.0</v>
      </c>
      <c r="C7" s="11" t="s">
        <v>8</v>
      </c>
    </row>
    <row r="8">
      <c r="A8" s="11" t="s">
        <v>12</v>
      </c>
      <c r="B8" s="11">
        <v>-97.0</v>
      </c>
      <c r="C8" s="11" t="s">
        <v>13</v>
      </c>
    </row>
    <row r="9">
      <c r="A9" s="11" t="s">
        <v>14</v>
      </c>
      <c r="B9" s="11">
        <v>1.0</v>
      </c>
      <c r="C9" s="11" t="s">
        <v>15</v>
      </c>
    </row>
    <row r="10">
      <c r="A10" s="11" t="s">
        <v>16</v>
      </c>
      <c r="B10" s="11">
        <v>461.0</v>
      </c>
    </row>
    <row r="11">
      <c r="A11" s="11" t="s">
        <v>17</v>
      </c>
      <c r="B11" s="11" t="s">
        <v>8</v>
      </c>
      <c r="C11" s="11" t="s">
        <v>13</v>
      </c>
      <c r="D11" s="2" t="s">
        <v>18</v>
      </c>
      <c r="E11" s="1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26</v>
      </c>
      <c r="M11" s="6" t="s">
        <v>27</v>
      </c>
      <c r="N11" s="2" t="s">
        <v>28</v>
      </c>
      <c r="O11" s="3"/>
      <c r="P11" s="2" t="s">
        <v>29</v>
      </c>
      <c r="Q11" s="2" t="s">
        <v>30</v>
      </c>
      <c r="R11" s="2"/>
      <c r="S11" s="2" t="s">
        <v>31</v>
      </c>
      <c r="V11" s="13" t="s">
        <v>32</v>
      </c>
    </row>
    <row r="12">
      <c r="A12" s="11" t="s">
        <v>33</v>
      </c>
      <c r="B12" s="11" t="s">
        <v>34</v>
      </c>
      <c r="C12" s="11" t="s">
        <v>35</v>
      </c>
      <c r="D12" s="3"/>
      <c r="E12" s="4"/>
      <c r="F12" s="3"/>
      <c r="G12" s="2" t="s">
        <v>36</v>
      </c>
      <c r="H12" s="2" t="s">
        <v>37</v>
      </c>
      <c r="I12" s="3"/>
      <c r="J12" s="3"/>
      <c r="K12" s="3"/>
      <c r="L12" s="3"/>
      <c r="M12" s="5"/>
      <c r="N12" s="3"/>
      <c r="O12" s="3"/>
      <c r="P12" s="3"/>
      <c r="Q12" s="3"/>
      <c r="R12" s="3"/>
      <c r="S12" s="3"/>
    </row>
    <row r="13">
      <c r="A13" s="11">
        <v>1.0</v>
      </c>
      <c r="B13" s="11">
        <v>1.4194E9</v>
      </c>
      <c r="C13" s="2">
        <v>-102.2325439</v>
      </c>
      <c r="D13" s="3">
        <f t="shared" ref="D13:D473" si="1">B13-$B$4</f>
        <v>-1000000</v>
      </c>
      <c r="E13" s="4">
        <f t="shared" ref="E13:E472" si="2">-((B14-$B$4)/$B$4)*(3*10^5)</f>
        <v>210.2898143</v>
      </c>
      <c r="F13" s="3">
        <f t="shared" ref="F13:F473" si="3">-E13/D13</f>
        <v>0.0002102898143</v>
      </c>
      <c r="G13" s="3">
        <f t="shared" ref="G13:G473" si="4">(10^(C13/10))/1000</f>
        <v>0</v>
      </c>
      <c r="H13" s="2">
        <f t="shared" ref="H13:H473" si="5">G13/30000</f>
        <v>0</v>
      </c>
      <c r="I13" s="3">
        <f t="shared" ref="I13:I473" si="6">0.0063*H13</f>
        <v>0</v>
      </c>
      <c r="J13" s="3">
        <f t="shared" ref="J13:J473" si="7">(1/F13^2)*I13</f>
        <v>0</v>
      </c>
      <c r="K13" s="22">
        <f>1.38064852E-23</f>
        <v>0</v>
      </c>
      <c r="L13" s="3">
        <f t="shared" ref="L13:L473" si="8">(1/(2*$K$13))*(I13)</f>
        <v>454.8328014</v>
      </c>
      <c r="M13" s="30">
        <f t="shared" ref="M13:M473" si="9"> -0.0000001729*E13^3 - 0.0001205429*E13^2 + 0.11038075*E13 + 438.7849531237</f>
        <v>455.0584103</v>
      </c>
      <c r="N13" s="14">
        <f t="shared" ref="N13:N473" si="10">L13-(M13)</f>
        <v>-0.2256089371</v>
      </c>
      <c r="O13" s="3"/>
      <c r="P13" s="23">
        <f t="shared" ref="P13:P67" si="11">-((B14-$B$4)/$B$4)*(3*10^5)</f>
        <v>210.2898143</v>
      </c>
      <c r="Q13" s="14">
        <f t="shared" ref="Q13:Q67" si="12">(1/(2*$K$13))*(I13)</f>
        <v>454.8328014</v>
      </c>
      <c r="R13" s="2"/>
      <c r="S13" s="14">
        <f t="shared" ref="S13:S472" si="13">(N13 * ABS(E14-E13))</f>
        <v>-0.2071758145</v>
      </c>
      <c r="V13" s="3">
        <f>1822400000000000000 * SUM(S13:S473)</f>
        <v>1.01298E+22</v>
      </c>
    </row>
    <row r="14">
      <c r="A14" s="11">
        <v>2.0</v>
      </c>
      <c r="B14" s="11">
        <v>1.41940434782608E9</v>
      </c>
      <c r="C14" s="2">
        <v>-102.2170563</v>
      </c>
      <c r="D14" s="3">
        <f t="shared" si="1"/>
        <v>-995652.1739</v>
      </c>
      <c r="E14" s="4">
        <f t="shared" si="2"/>
        <v>209.3715181</v>
      </c>
      <c r="F14" s="3">
        <f t="shared" si="3"/>
        <v>0.0002102858042</v>
      </c>
      <c r="G14" s="3">
        <f t="shared" si="4"/>
        <v>0</v>
      </c>
      <c r="H14" s="2">
        <f t="shared" si="5"/>
        <v>0</v>
      </c>
      <c r="I14" s="3">
        <f t="shared" si="6"/>
        <v>0</v>
      </c>
      <c r="J14" s="3">
        <f t="shared" si="7"/>
        <v>0</v>
      </c>
      <c r="K14" s="3"/>
      <c r="L14" s="3">
        <f t="shared" si="8"/>
        <v>456.4576998</v>
      </c>
      <c r="M14" s="30">
        <f t="shared" si="9"/>
        <v>455.024474</v>
      </c>
      <c r="N14" s="14">
        <f t="shared" si="10"/>
        <v>1.43322572</v>
      </c>
      <c r="O14" s="3"/>
      <c r="P14" s="23">
        <f t="shared" si="11"/>
        <v>209.3715181</v>
      </c>
      <c r="Q14" s="14">
        <f t="shared" si="12"/>
        <v>456.4576998</v>
      </c>
      <c r="R14" s="2"/>
      <c r="S14" s="14">
        <f t="shared" si="13"/>
        <v>1.316125636</v>
      </c>
    </row>
    <row r="15">
      <c r="A15" s="11">
        <v>3.0</v>
      </c>
      <c r="B15" s="11">
        <v>1.41940869565217E9</v>
      </c>
      <c r="C15" s="2">
        <v>-102.2145844</v>
      </c>
      <c r="D15" s="3">
        <f t="shared" si="1"/>
        <v>-991304.3478</v>
      </c>
      <c r="E15" s="4">
        <f t="shared" si="2"/>
        <v>208.453222</v>
      </c>
      <c r="F15" s="3">
        <f t="shared" si="3"/>
        <v>0.000210281759</v>
      </c>
      <c r="G15" s="3">
        <f t="shared" si="4"/>
        <v>0</v>
      </c>
      <c r="H15" s="2">
        <f t="shared" si="5"/>
        <v>0</v>
      </c>
      <c r="I15" s="3">
        <f t="shared" si="6"/>
        <v>0</v>
      </c>
      <c r="J15" s="3">
        <f t="shared" si="7"/>
        <v>0</v>
      </c>
      <c r="K15" s="3"/>
      <c r="L15" s="3">
        <f t="shared" si="8"/>
        <v>456.7175785</v>
      </c>
      <c r="M15" s="30">
        <f t="shared" si="9"/>
        <v>454.9901513</v>
      </c>
      <c r="N15" s="14">
        <f t="shared" si="10"/>
        <v>1.727427201</v>
      </c>
      <c r="O15" s="3"/>
      <c r="P15" s="23">
        <f t="shared" si="11"/>
        <v>208.453222</v>
      </c>
      <c r="Q15" s="14">
        <f t="shared" si="12"/>
        <v>456.7175785</v>
      </c>
      <c r="R15" s="2"/>
      <c r="S15" s="14">
        <f t="shared" si="13"/>
        <v>1.586289715</v>
      </c>
    </row>
    <row r="16">
      <c r="A16" s="11">
        <v>4.0</v>
      </c>
      <c r="B16" s="11">
        <v>1.41941304347826E9</v>
      </c>
      <c r="C16" s="2">
        <v>-102.1872101</v>
      </c>
      <c r="D16" s="3">
        <f t="shared" si="1"/>
        <v>-986956.5217</v>
      </c>
      <c r="E16" s="4">
        <f t="shared" si="2"/>
        <v>207.5349259</v>
      </c>
      <c r="F16" s="3">
        <f t="shared" si="3"/>
        <v>0.0002102776782</v>
      </c>
      <c r="G16" s="3">
        <f t="shared" si="4"/>
        <v>0</v>
      </c>
      <c r="H16" s="2">
        <f t="shared" si="5"/>
        <v>0</v>
      </c>
      <c r="I16" s="3">
        <f t="shared" si="6"/>
        <v>0</v>
      </c>
      <c r="J16" s="3">
        <f t="shared" si="7"/>
        <v>0</v>
      </c>
      <c r="K16" s="3"/>
      <c r="L16" s="3">
        <f t="shared" si="8"/>
        <v>459.6054367</v>
      </c>
      <c r="M16" s="30">
        <f t="shared" si="9"/>
        <v>454.9554429</v>
      </c>
      <c r="N16" s="14">
        <f t="shared" si="10"/>
        <v>4.649993868</v>
      </c>
      <c r="O16" s="3"/>
      <c r="P16" s="23">
        <f t="shared" si="11"/>
        <v>207.5349259</v>
      </c>
      <c r="Q16" s="14">
        <f t="shared" si="12"/>
        <v>459.6054367</v>
      </c>
      <c r="R16" s="2"/>
      <c r="S16" s="14">
        <f t="shared" si="13"/>
        <v>4.270071386</v>
      </c>
    </row>
    <row r="17">
      <c r="A17" s="11">
        <v>5.0</v>
      </c>
      <c r="B17" s="11">
        <v>1.41941739130434E9</v>
      </c>
      <c r="C17" s="2">
        <v>-102.2574005</v>
      </c>
      <c r="D17" s="3">
        <f t="shared" si="1"/>
        <v>-982608.6957</v>
      </c>
      <c r="E17" s="4">
        <f t="shared" si="2"/>
        <v>206.6166297</v>
      </c>
      <c r="F17" s="3">
        <f t="shared" si="3"/>
        <v>0.0002102735612</v>
      </c>
      <c r="G17" s="3">
        <f t="shared" si="4"/>
        <v>0</v>
      </c>
      <c r="H17" s="2">
        <f t="shared" si="5"/>
        <v>0</v>
      </c>
      <c r="I17" s="3">
        <f t="shared" si="6"/>
        <v>0</v>
      </c>
      <c r="J17" s="3">
        <f t="shared" si="7"/>
        <v>0</v>
      </c>
      <c r="K17" s="3"/>
      <c r="L17" s="3">
        <f t="shared" si="8"/>
        <v>452.237027</v>
      </c>
      <c r="M17" s="30">
        <f t="shared" si="9"/>
        <v>454.9203496</v>
      </c>
      <c r="N17" s="14">
        <f t="shared" si="10"/>
        <v>-2.683322642</v>
      </c>
      <c r="O17" s="3"/>
      <c r="P17" s="23">
        <f t="shared" si="11"/>
        <v>206.6166297</v>
      </c>
      <c r="Q17" s="14">
        <f t="shared" si="12"/>
        <v>452.237027</v>
      </c>
      <c r="R17" s="2"/>
      <c r="S17" s="14">
        <f t="shared" si="13"/>
        <v>-2.464084806</v>
      </c>
    </row>
    <row r="18">
      <c r="A18" s="11">
        <v>6.0</v>
      </c>
      <c r="B18" s="11">
        <v>1.41942173913043E9</v>
      </c>
      <c r="C18" s="2">
        <v>-102.2310638</v>
      </c>
      <c r="D18" s="3">
        <f t="shared" si="1"/>
        <v>-978260.8696</v>
      </c>
      <c r="E18" s="4">
        <f t="shared" si="2"/>
        <v>205.6983336</v>
      </c>
      <c r="F18" s="3">
        <f t="shared" si="3"/>
        <v>0.0002102694077</v>
      </c>
      <c r="G18" s="3">
        <f t="shared" si="4"/>
        <v>0</v>
      </c>
      <c r="H18" s="2">
        <f t="shared" si="5"/>
        <v>0</v>
      </c>
      <c r="I18" s="3">
        <f t="shared" si="6"/>
        <v>0</v>
      </c>
      <c r="J18" s="3">
        <f t="shared" si="7"/>
        <v>0</v>
      </c>
      <c r="K18" s="3"/>
      <c r="L18" s="3">
        <f t="shared" si="8"/>
        <v>454.9878374</v>
      </c>
      <c r="M18" s="30">
        <f t="shared" si="9"/>
        <v>454.8848723</v>
      </c>
      <c r="N18" s="14">
        <f t="shared" si="10"/>
        <v>0.1029651101</v>
      </c>
      <c r="O18" s="3"/>
      <c r="P18" s="23">
        <f t="shared" si="11"/>
        <v>205.6983336</v>
      </c>
      <c r="Q18" s="14">
        <f t="shared" si="12"/>
        <v>454.9878374</v>
      </c>
      <c r="R18" s="2"/>
      <c r="S18" s="14">
        <f t="shared" si="13"/>
        <v>0.09455246221</v>
      </c>
    </row>
    <row r="19">
      <c r="A19" s="11">
        <v>7.0</v>
      </c>
      <c r="B19" s="11">
        <v>1.41942608695652E9</v>
      </c>
      <c r="C19" s="2">
        <v>-102.1564331</v>
      </c>
      <c r="D19" s="3">
        <f t="shared" si="1"/>
        <v>-973913.0435</v>
      </c>
      <c r="E19" s="4">
        <f t="shared" si="2"/>
        <v>204.7800375</v>
      </c>
      <c r="F19" s="3">
        <f t="shared" si="3"/>
        <v>0.000210265217</v>
      </c>
      <c r="G19" s="3">
        <f t="shared" si="4"/>
        <v>0</v>
      </c>
      <c r="H19" s="2">
        <f t="shared" si="5"/>
        <v>0</v>
      </c>
      <c r="I19" s="3">
        <f t="shared" si="6"/>
        <v>0</v>
      </c>
      <c r="J19" s="3">
        <f t="shared" si="7"/>
        <v>0</v>
      </c>
      <c r="K19" s="3"/>
      <c r="L19" s="3">
        <f t="shared" si="8"/>
        <v>462.8740752</v>
      </c>
      <c r="M19" s="30">
        <f t="shared" si="9"/>
        <v>454.8490117</v>
      </c>
      <c r="N19" s="14">
        <f t="shared" si="10"/>
        <v>8.025063496</v>
      </c>
      <c r="O19" s="3"/>
      <c r="P19" s="23">
        <f t="shared" si="11"/>
        <v>204.7800375</v>
      </c>
      <c r="Q19" s="14">
        <f t="shared" si="12"/>
        <v>462.8740752</v>
      </c>
      <c r="R19" s="2"/>
      <c r="S19" s="14">
        <f t="shared" si="13"/>
        <v>7.369384774</v>
      </c>
    </row>
    <row r="20">
      <c r="A20" s="11">
        <v>8.0</v>
      </c>
      <c r="B20" s="11">
        <v>1.4194304347826E9</v>
      </c>
      <c r="C20" s="2">
        <v>-102.2045898</v>
      </c>
      <c r="D20" s="3">
        <f t="shared" si="1"/>
        <v>-969565.2174</v>
      </c>
      <c r="E20" s="4">
        <f t="shared" si="2"/>
        <v>203.8617413</v>
      </c>
      <c r="F20" s="3">
        <f t="shared" si="3"/>
        <v>0.0002102609888</v>
      </c>
      <c r="G20" s="3">
        <f t="shared" si="4"/>
        <v>0</v>
      </c>
      <c r="H20" s="2">
        <f t="shared" si="5"/>
        <v>0</v>
      </c>
      <c r="I20" s="3">
        <f t="shared" si="6"/>
        <v>0</v>
      </c>
      <c r="J20" s="3">
        <f t="shared" si="7"/>
        <v>0</v>
      </c>
      <c r="K20" s="3"/>
      <c r="L20" s="3">
        <f t="shared" si="8"/>
        <v>457.7698521</v>
      </c>
      <c r="M20" s="30">
        <f t="shared" si="9"/>
        <v>454.8127687</v>
      </c>
      <c r="N20" s="14">
        <f t="shared" si="10"/>
        <v>2.95708333</v>
      </c>
      <c r="O20" s="3"/>
      <c r="P20" s="23">
        <f t="shared" si="11"/>
        <v>203.8617413</v>
      </c>
      <c r="Q20" s="14">
        <f t="shared" si="12"/>
        <v>457.7698521</v>
      </c>
      <c r="R20" s="2"/>
      <c r="S20" s="14">
        <f t="shared" si="13"/>
        <v>2.715478186</v>
      </c>
    </row>
    <row r="21">
      <c r="A21" s="11">
        <v>9.0</v>
      </c>
      <c r="B21" s="11">
        <v>1.41943478260869E9</v>
      </c>
      <c r="C21" s="2">
        <v>-102.2902222</v>
      </c>
      <c r="D21" s="3">
        <f t="shared" si="1"/>
        <v>-965217.3913</v>
      </c>
      <c r="E21" s="4">
        <f t="shared" si="2"/>
        <v>202.9434452</v>
      </c>
      <c r="F21" s="3">
        <f t="shared" si="3"/>
        <v>0.0002102567225</v>
      </c>
      <c r="G21" s="3">
        <f t="shared" si="4"/>
        <v>0</v>
      </c>
      <c r="H21" s="2">
        <f t="shared" si="5"/>
        <v>0</v>
      </c>
      <c r="I21" s="3">
        <f t="shared" si="6"/>
        <v>0</v>
      </c>
      <c r="J21" s="3">
        <f t="shared" si="7"/>
        <v>0</v>
      </c>
      <c r="K21" s="3"/>
      <c r="L21" s="3">
        <f t="shared" si="8"/>
        <v>448.832139</v>
      </c>
      <c r="M21" s="30">
        <f t="shared" si="9"/>
        <v>454.7761441</v>
      </c>
      <c r="N21" s="14">
        <f t="shared" si="10"/>
        <v>-5.944005077</v>
      </c>
      <c r="O21" s="3"/>
      <c r="P21" s="23">
        <f t="shared" si="11"/>
        <v>202.9434452</v>
      </c>
      <c r="Q21" s="14">
        <f t="shared" si="12"/>
        <v>448.832139</v>
      </c>
      <c r="R21" s="2"/>
      <c r="S21" s="14">
        <f t="shared" si="13"/>
        <v>-5.458356876</v>
      </c>
    </row>
    <row r="22">
      <c r="A22" s="11">
        <v>10.0</v>
      </c>
      <c r="B22" s="11">
        <v>1.41943913043478E9</v>
      </c>
      <c r="C22" s="2">
        <v>-102.1976776</v>
      </c>
      <c r="D22" s="3">
        <f t="shared" si="1"/>
        <v>-960869.5652</v>
      </c>
      <c r="E22" s="4">
        <f t="shared" si="2"/>
        <v>202.0251491</v>
      </c>
      <c r="F22" s="3">
        <f t="shared" si="3"/>
        <v>0.0002102524176</v>
      </c>
      <c r="G22" s="3">
        <f t="shared" si="4"/>
        <v>0</v>
      </c>
      <c r="H22" s="2">
        <f t="shared" si="5"/>
        <v>0</v>
      </c>
      <c r="I22" s="3">
        <f t="shared" si="6"/>
        <v>0</v>
      </c>
      <c r="J22" s="3">
        <f t="shared" si="7"/>
        <v>0</v>
      </c>
      <c r="K22" s="3"/>
      <c r="L22" s="3">
        <f t="shared" si="8"/>
        <v>458.4990154</v>
      </c>
      <c r="M22" s="30">
        <f t="shared" si="9"/>
        <v>454.7391386</v>
      </c>
      <c r="N22" s="14">
        <f t="shared" si="10"/>
        <v>3.759876799</v>
      </c>
      <c r="O22" s="3"/>
      <c r="P22" s="23">
        <f t="shared" si="11"/>
        <v>202.0251491</v>
      </c>
      <c r="Q22" s="14">
        <f t="shared" si="12"/>
        <v>458.4990154</v>
      </c>
      <c r="R22" s="2"/>
      <c r="S22" s="14">
        <f t="shared" si="13"/>
        <v>3.452680316</v>
      </c>
      <c r="U22" s="11">
        <v>1.0</v>
      </c>
    </row>
    <row r="23">
      <c r="A23" s="11">
        <v>11.0</v>
      </c>
      <c r="B23" s="11">
        <v>1.41944347826087E9</v>
      </c>
      <c r="C23" s="2">
        <v>-102.2310257</v>
      </c>
      <c r="D23" s="3">
        <f t="shared" si="1"/>
        <v>-956521.7391</v>
      </c>
      <c r="E23" s="4">
        <f t="shared" si="2"/>
        <v>201.1068529</v>
      </c>
      <c r="F23" s="3">
        <f t="shared" si="3"/>
        <v>0.0002102480735</v>
      </c>
      <c r="G23" s="3">
        <f t="shared" si="4"/>
        <v>0</v>
      </c>
      <c r="H23" s="2">
        <f t="shared" si="5"/>
        <v>0</v>
      </c>
      <c r="I23" s="3">
        <f t="shared" si="6"/>
        <v>0</v>
      </c>
      <c r="J23" s="3">
        <f t="shared" si="7"/>
        <v>0</v>
      </c>
      <c r="K23" s="3"/>
      <c r="L23" s="3">
        <f t="shared" si="8"/>
        <v>454.991829</v>
      </c>
      <c r="M23" s="30">
        <f t="shared" si="9"/>
        <v>454.7017531</v>
      </c>
      <c r="N23" s="14">
        <f t="shared" si="10"/>
        <v>0.2900758734</v>
      </c>
      <c r="O23" s="3"/>
      <c r="P23" s="23">
        <f t="shared" si="11"/>
        <v>201.1068529</v>
      </c>
      <c r="Q23" s="14">
        <f t="shared" si="12"/>
        <v>454.991829</v>
      </c>
      <c r="R23" s="2"/>
      <c r="S23" s="14">
        <f t="shared" si="13"/>
        <v>0.2663755527</v>
      </c>
    </row>
    <row r="24">
      <c r="A24" s="11">
        <v>12.0</v>
      </c>
      <c r="B24" s="11">
        <v>1.41944782608695E9</v>
      </c>
      <c r="C24" s="2">
        <v>-102.2166748</v>
      </c>
      <c r="D24" s="3">
        <f t="shared" si="1"/>
        <v>-952173.913</v>
      </c>
      <c r="E24" s="4">
        <f t="shared" si="2"/>
        <v>200.1885568</v>
      </c>
      <c r="F24" s="3">
        <f t="shared" si="3"/>
        <v>0.0002102436898</v>
      </c>
      <c r="G24" s="3">
        <f t="shared" si="4"/>
        <v>0</v>
      </c>
      <c r="H24" s="2">
        <f t="shared" si="5"/>
        <v>0</v>
      </c>
      <c r="I24" s="3">
        <f t="shared" si="6"/>
        <v>0</v>
      </c>
      <c r="J24" s="3">
        <f t="shared" si="7"/>
        <v>0</v>
      </c>
      <c r="K24" s="3"/>
      <c r="L24" s="3">
        <f t="shared" si="8"/>
        <v>456.4977984</v>
      </c>
      <c r="M24" s="30">
        <f t="shared" si="9"/>
        <v>454.6639883</v>
      </c>
      <c r="N24" s="14">
        <f t="shared" si="10"/>
        <v>1.833810083</v>
      </c>
      <c r="O24" s="3"/>
      <c r="P24" s="23">
        <f t="shared" si="11"/>
        <v>200.1885568</v>
      </c>
      <c r="Q24" s="14">
        <f t="shared" si="12"/>
        <v>456.4977984</v>
      </c>
      <c r="R24" s="2"/>
      <c r="S24" s="14">
        <f t="shared" si="13"/>
        <v>1.683980708</v>
      </c>
    </row>
    <row r="25">
      <c r="A25" s="11">
        <v>13.0</v>
      </c>
      <c r="B25" s="11">
        <v>1.41945217391304E9</v>
      </c>
      <c r="C25" s="2">
        <v>-102.2631607</v>
      </c>
      <c r="D25" s="3">
        <f t="shared" si="1"/>
        <v>-947826.087</v>
      </c>
      <c r="E25" s="4">
        <f t="shared" si="2"/>
        <v>199.2702607</v>
      </c>
      <c r="F25" s="3">
        <f t="shared" si="3"/>
        <v>0.0002102392658</v>
      </c>
      <c r="G25" s="3">
        <f t="shared" si="4"/>
        <v>0</v>
      </c>
      <c r="H25" s="2">
        <f t="shared" si="5"/>
        <v>0</v>
      </c>
      <c r="I25" s="3">
        <f t="shared" si="6"/>
        <v>0</v>
      </c>
      <c r="J25" s="3">
        <f t="shared" si="7"/>
        <v>0</v>
      </c>
      <c r="K25" s="3"/>
      <c r="L25" s="3">
        <f t="shared" si="8"/>
        <v>451.6376067</v>
      </c>
      <c r="M25" s="30">
        <f t="shared" si="9"/>
        <v>454.6258452</v>
      </c>
      <c r="N25" s="14">
        <f t="shared" si="10"/>
        <v>-2.988238431</v>
      </c>
      <c r="O25" s="3"/>
      <c r="P25" s="23">
        <f t="shared" si="11"/>
        <v>199.2702607</v>
      </c>
      <c r="Q25" s="14">
        <f t="shared" si="12"/>
        <v>451.6376067</v>
      </c>
      <c r="R25" s="2"/>
      <c r="S25" s="14">
        <f t="shared" si="13"/>
        <v>-2.744087789</v>
      </c>
    </row>
    <row r="26">
      <c r="A26" s="11">
        <v>14.0</v>
      </c>
      <c r="B26" s="11">
        <v>1.41945652173913E9</v>
      </c>
      <c r="C26" s="2">
        <v>-102.2308884</v>
      </c>
      <c r="D26" s="3">
        <f t="shared" si="1"/>
        <v>-943478.2609</v>
      </c>
      <c r="E26" s="4">
        <f t="shared" si="2"/>
        <v>198.3519645</v>
      </c>
      <c r="F26" s="3">
        <f t="shared" si="3"/>
        <v>0.0002102348011</v>
      </c>
      <c r="G26" s="3">
        <f t="shared" si="4"/>
        <v>0</v>
      </c>
      <c r="H26" s="2">
        <f t="shared" si="5"/>
        <v>0</v>
      </c>
      <c r="I26" s="3">
        <f t="shared" si="6"/>
        <v>0</v>
      </c>
      <c r="J26" s="3">
        <f t="shared" si="7"/>
        <v>0</v>
      </c>
      <c r="K26" s="3"/>
      <c r="L26" s="3">
        <f t="shared" si="8"/>
        <v>455.0062135</v>
      </c>
      <c r="M26" s="30">
        <f t="shared" si="9"/>
        <v>454.5873244</v>
      </c>
      <c r="N26" s="14">
        <f t="shared" si="10"/>
        <v>0.4188891396</v>
      </c>
      <c r="O26" s="3"/>
      <c r="P26" s="23">
        <f t="shared" si="11"/>
        <v>198.3519645</v>
      </c>
      <c r="Q26" s="14">
        <f t="shared" si="12"/>
        <v>455.0062135</v>
      </c>
      <c r="R26" s="2"/>
      <c r="S26" s="14">
        <f t="shared" si="13"/>
        <v>0.384664277</v>
      </c>
    </row>
    <row r="27">
      <c r="A27" s="11">
        <v>15.0</v>
      </c>
      <c r="B27" s="11">
        <v>1.41946086956521E9</v>
      </c>
      <c r="C27" s="2">
        <v>-102.2398376</v>
      </c>
      <c r="D27" s="3">
        <f t="shared" si="1"/>
        <v>-939130.4348</v>
      </c>
      <c r="E27" s="4">
        <f t="shared" si="2"/>
        <v>197.4336684</v>
      </c>
      <c r="F27" s="3">
        <f t="shared" si="3"/>
        <v>0.0002102302951</v>
      </c>
      <c r="G27" s="3">
        <f t="shared" si="4"/>
        <v>0</v>
      </c>
      <c r="H27" s="2">
        <f t="shared" si="5"/>
        <v>0</v>
      </c>
      <c r="I27" s="3">
        <f t="shared" si="6"/>
        <v>0</v>
      </c>
      <c r="J27" s="3">
        <f t="shared" si="7"/>
        <v>0</v>
      </c>
      <c r="K27" s="3"/>
      <c r="L27" s="3">
        <f t="shared" si="8"/>
        <v>454.0695797</v>
      </c>
      <c r="M27" s="30">
        <f t="shared" si="9"/>
        <v>454.5484268</v>
      </c>
      <c r="N27" s="14">
        <f t="shared" si="10"/>
        <v>-0.4788470947</v>
      </c>
      <c r="O27" s="3"/>
      <c r="P27" s="23">
        <f t="shared" si="11"/>
        <v>197.4336684</v>
      </c>
      <c r="Q27" s="14">
        <f t="shared" si="12"/>
        <v>454.0695797</v>
      </c>
      <c r="R27" s="2"/>
      <c r="S27" s="14">
        <f t="shared" si="13"/>
        <v>-0.4397234352</v>
      </c>
    </row>
    <row r="28">
      <c r="A28" s="11">
        <v>16.0</v>
      </c>
      <c r="B28" s="11">
        <v>1.4194652173913E9</v>
      </c>
      <c r="C28" s="2">
        <v>-102.2622986</v>
      </c>
      <c r="D28" s="3">
        <f t="shared" si="1"/>
        <v>-934782.6087</v>
      </c>
      <c r="E28" s="4">
        <f t="shared" si="2"/>
        <v>196.5153723</v>
      </c>
      <c r="F28" s="3">
        <f t="shared" si="3"/>
        <v>0.0002102257471</v>
      </c>
      <c r="G28" s="3">
        <f t="shared" si="4"/>
        <v>0</v>
      </c>
      <c r="H28" s="2">
        <f t="shared" si="5"/>
        <v>0</v>
      </c>
      <c r="I28" s="3">
        <f t="shared" si="6"/>
        <v>0</v>
      </c>
      <c r="J28" s="3">
        <f t="shared" si="7"/>
        <v>0</v>
      </c>
      <c r="K28" s="3"/>
      <c r="L28" s="3">
        <f t="shared" si="8"/>
        <v>451.7272684</v>
      </c>
      <c r="M28" s="30">
        <f t="shared" si="9"/>
        <v>454.5091531</v>
      </c>
      <c r="N28" s="14">
        <f t="shared" si="10"/>
        <v>-2.781884791</v>
      </c>
      <c r="O28" s="3"/>
      <c r="P28" s="23">
        <f t="shared" si="11"/>
        <v>196.5153723</v>
      </c>
      <c r="Q28" s="14">
        <f t="shared" si="12"/>
        <v>451.7272684</v>
      </c>
      <c r="R28" s="2"/>
      <c r="S28" s="14">
        <f t="shared" si="13"/>
        <v>-2.55459404</v>
      </c>
    </row>
    <row r="29">
      <c r="A29" s="11">
        <v>17.0</v>
      </c>
      <c r="B29" s="11">
        <v>1.41946956521739E9</v>
      </c>
      <c r="C29" s="2">
        <v>-102.2425613</v>
      </c>
      <c r="D29" s="3">
        <f t="shared" si="1"/>
        <v>-930434.7826</v>
      </c>
      <c r="E29" s="4">
        <f t="shared" si="2"/>
        <v>195.5970761</v>
      </c>
      <c r="F29" s="3">
        <f t="shared" si="3"/>
        <v>0.0002102211566</v>
      </c>
      <c r="G29" s="3">
        <f t="shared" si="4"/>
        <v>0</v>
      </c>
      <c r="H29" s="2">
        <f t="shared" si="5"/>
        <v>0</v>
      </c>
      <c r="I29" s="3">
        <f t="shared" si="6"/>
        <v>0</v>
      </c>
      <c r="J29" s="3">
        <f t="shared" si="7"/>
        <v>0</v>
      </c>
      <c r="K29" s="3"/>
      <c r="L29" s="3">
        <f t="shared" si="8"/>
        <v>453.7848969</v>
      </c>
      <c r="M29" s="30">
        <f t="shared" si="9"/>
        <v>454.4695043</v>
      </c>
      <c r="N29" s="14">
        <f t="shared" si="10"/>
        <v>-0.6846074023</v>
      </c>
      <c r="O29" s="3"/>
      <c r="P29" s="23">
        <f t="shared" si="11"/>
        <v>195.5970761</v>
      </c>
      <c r="Q29" s="14">
        <f t="shared" si="12"/>
        <v>453.7848969</v>
      </c>
      <c r="R29" s="2"/>
      <c r="S29" s="14">
        <f t="shared" si="13"/>
        <v>-0.62867233</v>
      </c>
    </row>
    <row r="30">
      <c r="A30" s="11">
        <v>18.0</v>
      </c>
      <c r="B30" s="11">
        <v>1.41947391304347E9</v>
      </c>
      <c r="C30" s="2">
        <v>-102.2613678</v>
      </c>
      <c r="D30" s="3">
        <f t="shared" si="1"/>
        <v>-926086.9565</v>
      </c>
      <c r="E30" s="4">
        <f t="shared" si="2"/>
        <v>194.67878</v>
      </c>
      <c r="F30" s="3">
        <f t="shared" si="3"/>
        <v>0.000210216523</v>
      </c>
      <c r="G30" s="3">
        <f t="shared" si="4"/>
        <v>0</v>
      </c>
      <c r="H30" s="2">
        <f t="shared" si="5"/>
        <v>0</v>
      </c>
      <c r="I30" s="3">
        <f t="shared" si="6"/>
        <v>0</v>
      </c>
      <c r="J30" s="3">
        <f t="shared" si="7"/>
        <v>0</v>
      </c>
      <c r="K30" s="3"/>
      <c r="L30" s="3">
        <f t="shared" si="8"/>
        <v>451.824095</v>
      </c>
      <c r="M30" s="30">
        <f t="shared" si="9"/>
        <v>454.4294811</v>
      </c>
      <c r="N30" s="14">
        <f t="shared" si="10"/>
        <v>-2.605386052</v>
      </c>
      <c r="O30" s="3"/>
      <c r="P30" s="23">
        <f t="shared" si="11"/>
        <v>194.67878</v>
      </c>
      <c r="Q30" s="14">
        <f t="shared" si="12"/>
        <v>451.824095</v>
      </c>
      <c r="R30" s="2"/>
      <c r="S30" s="14">
        <f t="shared" si="13"/>
        <v>-2.392515936</v>
      </c>
    </row>
    <row r="31">
      <c r="A31" s="11">
        <v>19.0</v>
      </c>
      <c r="B31" s="11">
        <v>1.41947826086956E9</v>
      </c>
      <c r="C31" s="2">
        <v>-102.2431259</v>
      </c>
      <c r="D31" s="3">
        <f t="shared" si="1"/>
        <v>-921739.1304</v>
      </c>
      <c r="E31" s="4">
        <f t="shared" si="2"/>
        <v>193.7604839</v>
      </c>
      <c r="F31" s="3">
        <f t="shared" si="3"/>
        <v>0.0002102118457</v>
      </c>
      <c r="G31" s="3">
        <f t="shared" si="4"/>
        <v>0</v>
      </c>
      <c r="H31" s="2">
        <f t="shared" si="5"/>
        <v>0</v>
      </c>
      <c r="I31" s="3">
        <f t="shared" si="6"/>
        <v>0</v>
      </c>
      <c r="J31" s="3">
        <f t="shared" si="7"/>
        <v>0</v>
      </c>
      <c r="K31" s="3"/>
      <c r="L31" s="3">
        <f t="shared" si="8"/>
        <v>453.7259069</v>
      </c>
      <c r="M31" s="30">
        <f t="shared" si="9"/>
        <v>454.3890842</v>
      </c>
      <c r="N31" s="14">
        <f t="shared" si="10"/>
        <v>-0.6631772948</v>
      </c>
      <c r="O31" s="3"/>
      <c r="P31" s="23">
        <f t="shared" si="11"/>
        <v>193.7604839</v>
      </c>
      <c r="Q31" s="14">
        <f t="shared" si="12"/>
        <v>453.7259069</v>
      </c>
      <c r="R31" s="2"/>
      <c r="S31" s="14">
        <f t="shared" si="13"/>
        <v>-0.6089931438</v>
      </c>
    </row>
    <row r="32">
      <c r="A32" s="11">
        <v>20.0</v>
      </c>
      <c r="B32" s="11">
        <v>1.41948260869565E9</v>
      </c>
      <c r="C32" s="2">
        <v>-102.2572784</v>
      </c>
      <c r="D32" s="3">
        <f t="shared" si="1"/>
        <v>-917391.3043</v>
      </c>
      <c r="E32" s="4">
        <f t="shared" si="2"/>
        <v>192.8421878</v>
      </c>
      <c r="F32" s="3">
        <f t="shared" si="3"/>
        <v>0.0002102071241</v>
      </c>
      <c r="G32" s="3">
        <f t="shared" si="4"/>
        <v>0</v>
      </c>
      <c r="H32" s="2">
        <f t="shared" si="5"/>
        <v>0</v>
      </c>
      <c r="I32" s="3">
        <f t="shared" si="6"/>
        <v>0</v>
      </c>
      <c r="J32" s="3">
        <f t="shared" si="7"/>
        <v>0</v>
      </c>
      <c r="K32" s="3"/>
      <c r="L32" s="3">
        <f t="shared" si="8"/>
        <v>452.2497416</v>
      </c>
      <c r="M32" s="30">
        <f t="shared" si="9"/>
        <v>454.3483145</v>
      </c>
      <c r="N32" s="14">
        <f t="shared" si="10"/>
        <v>-2.098572953</v>
      </c>
      <c r="O32" s="3"/>
      <c r="P32" s="23">
        <f t="shared" si="11"/>
        <v>192.8421878</v>
      </c>
      <c r="Q32" s="14">
        <f t="shared" si="12"/>
        <v>452.2497416</v>
      </c>
      <c r="R32" s="2"/>
      <c r="S32" s="14">
        <f t="shared" si="13"/>
        <v>-1.927111427</v>
      </c>
    </row>
    <row r="33">
      <c r="A33" s="11">
        <v>21.0</v>
      </c>
      <c r="B33" s="11">
        <v>1.41948695652173E9</v>
      </c>
      <c r="C33" s="2">
        <v>-102.2265625</v>
      </c>
      <c r="D33" s="3">
        <f t="shared" si="1"/>
        <v>-913043.4783</v>
      </c>
      <c r="E33" s="4">
        <f t="shared" si="2"/>
        <v>191.9238916</v>
      </c>
      <c r="F33" s="3">
        <f t="shared" si="3"/>
        <v>0.0002102023575</v>
      </c>
      <c r="G33" s="3">
        <f t="shared" si="4"/>
        <v>0</v>
      </c>
      <c r="H33" s="2">
        <f t="shared" si="5"/>
        <v>0</v>
      </c>
      <c r="I33" s="3">
        <f t="shared" si="6"/>
        <v>0</v>
      </c>
      <c r="J33" s="3">
        <f t="shared" si="7"/>
        <v>0</v>
      </c>
      <c r="K33" s="3"/>
      <c r="L33" s="3">
        <f t="shared" si="8"/>
        <v>455.4596598</v>
      </c>
      <c r="M33" s="30">
        <f t="shared" si="9"/>
        <v>454.3071729</v>
      </c>
      <c r="N33" s="14">
        <f t="shared" si="10"/>
        <v>1.152486875</v>
      </c>
      <c r="O33" s="3"/>
      <c r="P33" s="23">
        <f t="shared" si="11"/>
        <v>191.9238916</v>
      </c>
      <c r="Q33" s="14">
        <f t="shared" si="12"/>
        <v>455.4596598</v>
      </c>
      <c r="R33" s="2"/>
      <c r="S33" s="14">
        <f t="shared" si="13"/>
        <v>1.058324241</v>
      </c>
    </row>
    <row r="34">
      <c r="A34" s="11">
        <v>22.0</v>
      </c>
      <c r="B34" s="11">
        <v>1.41949130434782E9</v>
      </c>
      <c r="C34" s="2">
        <v>-102.230545</v>
      </c>
      <c r="D34" s="3">
        <f t="shared" si="1"/>
        <v>-908695.6522</v>
      </c>
      <c r="E34" s="4">
        <f t="shared" si="2"/>
        <v>191.0055955</v>
      </c>
      <c r="F34" s="3">
        <f t="shared" si="3"/>
        <v>0.0002101975453</v>
      </c>
      <c r="G34" s="3">
        <f t="shared" si="4"/>
        <v>0</v>
      </c>
      <c r="H34" s="2">
        <f t="shared" si="5"/>
        <v>0</v>
      </c>
      <c r="I34" s="3">
        <f t="shared" si="6"/>
        <v>0</v>
      </c>
      <c r="J34" s="3">
        <f t="shared" si="7"/>
        <v>0</v>
      </c>
      <c r="K34" s="3"/>
      <c r="L34" s="3">
        <f t="shared" si="8"/>
        <v>455.0421926</v>
      </c>
      <c r="M34" s="30">
        <f t="shared" si="9"/>
        <v>454.26566</v>
      </c>
      <c r="N34" s="14">
        <f t="shared" si="10"/>
        <v>0.7765326037</v>
      </c>
      <c r="O34" s="3"/>
      <c r="P34" s="23">
        <f t="shared" si="11"/>
        <v>191.0055955</v>
      </c>
      <c r="Q34" s="14">
        <f t="shared" si="12"/>
        <v>455.0421926</v>
      </c>
      <c r="R34" s="2"/>
      <c r="S34" s="14">
        <f t="shared" si="13"/>
        <v>0.713086887</v>
      </c>
    </row>
    <row r="35">
      <c r="A35" s="11">
        <v>23.0</v>
      </c>
      <c r="B35" s="11">
        <v>1.41949565217391E9</v>
      </c>
      <c r="C35" s="2">
        <v>-102.2573242</v>
      </c>
      <c r="D35" s="3">
        <f t="shared" si="1"/>
        <v>-904347.8261</v>
      </c>
      <c r="E35" s="4">
        <f t="shared" si="2"/>
        <v>190.0872994</v>
      </c>
      <c r="F35" s="3">
        <f t="shared" si="3"/>
        <v>0.0002101926868</v>
      </c>
      <c r="G35" s="3">
        <f t="shared" si="4"/>
        <v>0</v>
      </c>
      <c r="H35" s="2">
        <f t="shared" si="5"/>
        <v>0</v>
      </c>
      <c r="I35" s="3">
        <f t="shared" si="6"/>
        <v>0</v>
      </c>
      <c r="J35" s="3">
        <f t="shared" si="7"/>
        <v>0</v>
      </c>
      <c r="K35" s="3"/>
      <c r="L35" s="3">
        <f t="shared" si="8"/>
        <v>452.2449723</v>
      </c>
      <c r="M35" s="30">
        <f t="shared" si="9"/>
        <v>454.2237768</v>
      </c>
      <c r="N35" s="14">
        <f t="shared" si="10"/>
        <v>-1.978804525</v>
      </c>
      <c r="O35" s="3"/>
      <c r="P35" s="23">
        <f t="shared" si="11"/>
        <v>190.0872994</v>
      </c>
      <c r="Q35" s="14">
        <f t="shared" si="12"/>
        <v>452.2449723</v>
      </c>
      <c r="R35" s="2"/>
      <c r="S35" s="14">
        <f t="shared" si="13"/>
        <v>-1.817128538</v>
      </c>
    </row>
    <row r="36">
      <c r="A36" s="11">
        <v>24.0</v>
      </c>
      <c r="B36" s="11">
        <v>1.4195E9</v>
      </c>
      <c r="C36" s="2">
        <v>-102.2639313</v>
      </c>
      <c r="D36" s="3">
        <f t="shared" si="1"/>
        <v>-900000</v>
      </c>
      <c r="E36" s="4">
        <f t="shared" si="2"/>
        <v>189.1690032</v>
      </c>
      <c r="F36" s="3">
        <f t="shared" si="3"/>
        <v>0.0002101877814</v>
      </c>
      <c r="G36" s="3">
        <f t="shared" si="4"/>
        <v>0</v>
      </c>
      <c r="H36" s="2">
        <f t="shared" si="5"/>
        <v>0</v>
      </c>
      <c r="I36" s="3">
        <f t="shared" si="6"/>
        <v>0</v>
      </c>
      <c r="J36" s="3">
        <f t="shared" si="7"/>
        <v>0</v>
      </c>
      <c r="K36" s="3"/>
      <c r="L36" s="3">
        <f t="shared" si="8"/>
        <v>451.5574765</v>
      </c>
      <c r="M36" s="30">
        <f t="shared" si="9"/>
        <v>454.1815239</v>
      </c>
      <c r="N36" s="14">
        <f t="shared" si="10"/>
        <v>-2.624047416</v>
      </c>
      <c r="O36" s="3"/>
      <c r="P36" s="23">
        <f t="shared" si="11"/>
        <v>189.1690032</v>
      </c>
      <c r="Q36" s="14">
        <f t="shared" si="12"/>
        <v>451.5574765</v>
      </c>
      <c r="R36" s="2"/>
      <c r="S36" s="14">
        <f t="shared" si="13"/>
        <v>-2.409652594</v>
      </c>
    </row>
    <row r="37">
      <c r="A37" s="11">
        <v>25.0</v>
      </c>
      <c r="B37" s="11">
        <v>1.41950434782608E9</v>
      </c>
      <c r="C37" s="2">
        <v>-102.2394638</v>
      </c>
      <c r="D37" s="3">
        <f t="shared" si="1"/>
        <v>-895652.1739</v>
      </c>
      <c r="E37" s="4">
        <f t="shared" si="2"/>
        <v>188.2507071</v>
      </c>
      <c r="F37" s="3">
        <f t="shared" si="3"/>
        <v>0.0002101828283</v>
      </c>
      <c r="G37" s="3">
        <f t="shared" si="4"/>
        <v>0</v>
      </c>
      <c r="H37" s="2">
        <f t="shared" si="5"/>
        <v>0</v>
      </c>
      <c r="I37" s="3">
        <f t="shared" si="6"/>
        <v>0</v>
      </c>
      <c r="J37" s="3">
        <f t="shared" si="7"/>
        <v>0</v>
      </c>
      <c r="K37" s="3"/>
      <c r="L37" s="3">
        <f t="shared" si="8"/>
        <v>454.1086634</v>
      </c>
      <c r="M37" s="30">
        <f t="shared" si="9"/>
        <v>454.1389023</v>
      </c>
      <c r="N37" s="14">
        <f t="shared" si="10"/>
        <v>-0.0302389168</v>
      </c>
      <c r="O37" s="3"/>
      <c r="P37" s="23">
        <f t="shared" si="11"/>
        <v>188.2507071</v>
      </c>
      <c r="Q37" s="14">
        <f t="shared" si="12"/>
        <v>454.1086634</v>
      </c>
      <c r="R37" s="2"/>
      <c r="S37" s="14">
        <f t="shared" si="13"/>
        <v>-0.02776828036</v>
      </c>
    </row>
    <row r="38">
      <c r="A38" s="11">
        <v>26.0</v>
      </c>
      <c r="B38" s="11">
        <v>1.41950869565217E9</v>
      </c>
      <c r="C38" s="2">
        <v>-102.2263794</v>
      </c>
      <c r="D38" s="3">
        <f t="shared" si="1"/>
        <v>-891304.3478</v>
      </c>
      <c r="E38" s="4">
        <f t="shared" si="2"/>
        <v>187.332411</v>
      </c>
      <c r="F38" s="3">
        <f t="shared" si="3"/>
        <v>0.0002101778269</v>
      </c>
      <c r="G38" s="3">
        <f t="shared" si="4"/>
        <v>0</v>
      </c>
      <c r="H38" s="2">
        <f t="shared" si="5"/>
        <v>0</v>
      </c>
      <c r="I38" s="3">
        <f t="shared" si="6"/>
        <v>0</v>
      </c>
      <c r="J38" s="3">
        <f t="shared" si="7"/>
        <v>0</v>
      </c>
      <c r="K38" s="3"/>
      <c r="L38" s="3">
        <f t="shared" si="8"/>
        <v>455.4788625</v>
      </c>
      <c r="M38" s="30">
        <f t="shared" si="9"/>
        <v>454.0959127</v>
      </c>
      <c r="N38" s="14">
        <f t="shared" si="10"/>
        <v>1.382949771</v>
      </c>
      <c r="O38" s="3"/>
      <c r="P38" s="23">
        <f t="shared" si="11"/>
        <v>187.332411</v>
      </c>
      <c r="Q38" s="14">
        <f t="shared" si="12"/>
        <v>455.4788625</v>
      </c>
      <c r="R38" s="2"/>
      <c r="S38" s="14">
        <f t="shared" si="13"/>
        <v>1.269957423</v>
      </c>
    </row>
    <row r="39">
      <c r="A39" s="11">
        <v>27.0</v>
      </c>
      <c r="B39" s="11">
        <v>1.41951304347826E9</v>
      </c>
      <c r="C39" s="2">
        <v>-102.2264557</v>
      </c>
      <c r="D39" s="3">
        <f t="shared" si="1"/>
        <v>-886956.5217</v>
      </c>
      <c r="E39" s="4">
        <f t="shared" si="2"/>
        <v>186.4141148</v>
      </c>
      <c r="F39" s="3">
        <f t="shared" si="3"/>
        <v>0.0002101727765</v>
      </c>
      <c r="G39" s="3">
        <f t="shared" si="4"/>
        <v>0</v>
      </c>
      <c r="H39" s="2">
        <f t="shared" si="5"/>
        <v>0</v>
      </c>
      <c r="I39" s="3">
        <f t="shared" si="6"/>
        <v>0</v>
      </c>
      <c r="J39" s="3">
        <f t="shared" si="7"/>
        <v>0</v>
      </c>
      <c r="K39" s="3"/>
      <c r="L39" s="3">
        <f t="shared" si="8"/>
        <v>455.4708604</v>
      </c>
      <c r="M39" s="30">
        <f t="shared" si="9"/>
        <v>454.0525559</v>
      </c>
      <c r="N39" s="14">
        <f t="shared" si="10"/>
        <v>1.418304442</v>
      </c>
      <c r="O39" s="3"/>
      <c r="P39" s="23">
        <f t="shared" si="11"/>
        <v>186.4141148</v>
      </c>
      <c r="Q39" s="14">
        <f t="shared" si="12"/>
        <v>455.4708604</v>
      </c>
      <c r="R39" s="2"/>
      <c r="S39" s="14">
        <f t="shared" si="13"/>
        <v>1.302423484</v>
      </c>
    </row>
    <row r="40">
      <c r="A40" s="11">
        <v>28.0</v>
      </c>
      <c r="B40" s="11">
        <v>1.41951739130434E9</v>
      </c>
      <c r="C40" s="2">
        <v>-102.2364426</v>
      </c>
      <c r="D40" s="3">
        <f t="shared" si="1"/>
        <v>-882608.6957</v>
      </c>
      <c r="E40" s="4">
        <f t="shared" si="2"/>
        <v>185.4958187</v>
      </c>
      <c r="F40" s="3">
        <f t="shared" si="3"/>
        <v>0.0002101676763</v>
      </c>
      <c r="G40" s="3">
        <f t="shared" si="4"/>
        <v>0</v>
      </c>
      <c r="H40" s="2">
        <f t="shared" si="5"/>
        <v>0</v>
      </c>
      <c r="I40" s="3">
        <f t="shared" si="6"/>
        <v>0</v>
      </c>
      <c r="J40" s="3">
        <f t="shared" si="7"/>
        <v>0</v>
      </c>
      <c r="K40" s="3"/>
      <c r="L40" s="3">
        <f t="shared" si="8"/>
        <v>454.4246772</v>
      </c>
      <c r="M40" s="30">
        <f t="shared" si="9"/>
        <v>454.0088328</v>
      </c>
      <c r="N40" s="14">
        <f t="shared" si="10"/>
        <v>0.4158444104</v>
      </c>
      <c r="O40" s="3"/>
      <c r="P40" s="23">
        <f t="shared" si="11"/>
        <v>185.4958187</v>
      </c>
      <c r="Q40" s="14">
        <f t="shared" si="12"/>
        <v>454.4246772</v>
      </c>
      <c r="R40" s="2"/>
      <c r="S40" s="14">
        <f t="shared" si="13"/>
        <v>0.381868314</v>
      </c>
    </row>
    <row r="41">
      <c r="A41" s="11">
        <v>29.0</v>
      </c>
      <c r="B41" s="11">
        <v>1.41952173913043E9</v>
      </c>
      <c r="C41" s="2">
        <v>-102.2609329</v>
      </c>
      <c r="D41" s="3">
        <f t="shared" si="1"/>
        <v>-878260.8696</v>
      </c>
      <c r="E41" s="4">
        <f t="shared" si="2"/>
        <v>184.5775226</v>
      </c>
      <c r="F41" s="3">
        <f t="shared" si="3"/>
        <v>0.0002101625257</v>
      </c>
      <c r="G41" s="3">
        <f t="shared" si="4"/>
        <v>0</v>
      </c>
      <c r="H41" s="2">
        <f t="shared" si="5"/>
        <v>0</v>
      </c>
      <c r="I41" s="3">
        <f t="shared" si="6"/>
        <v>0</v>
      </c>
      <c r="J41" s="3">
        <f t="shared" si="7"/>
        <v>0</v>
      </c>
      <c r="K41" s="3"/>
      <c r="L41" s="3">
        <f t="shared" si="8"/>
        <v>451.8693427</v>
      </c>
      <c r="M41" s="30">
        <f t="shared" si="9"/>
        <v>453.964744</v>
      </c>
      <c r="N41" s="14">
        <f t="shared" si="10"/>
        <v>-2.095401376</v>
      </c>
      <c r="O41" s="3"/>
      <c r="P41" s="23">
        <f t="shared" si="11"/>
        <v>184.5775226</v>
      </c>
      <c r="Q41" s="14">
        <f t="shared" si="12"/>
        <v>451.8693427</v>
      </c>
      <c r="R41" s="2"/>
      <c r="S41" s="14">
        <f t="shared" si="13"/>
        <v>-1.924198976</v>
      </c>
    </row>
    <row r="42">
      <c r="A42" s="11">
        <v>30.0</v>
      </c>
      <c r="B42" s="11">
        <v>1.41952608695652E9</v>
      </c>
      <c r="C42" s="2">
        <v>-102.2480469</v>
      </c>
      <c r="D42" s="3">
        <f t="shared" si="1"/>
        <v>-873913.0435</v>
      </c>
      <c r="E42" s="4">
        <f t="shared" si="2"/>
        <v>183.6592264</v>
      </c>
      <c r="F42" s="3">
        <f t="shared" si="3"/>
        <v>0.0002101573238</v>
      </c>
      <c r="G42" s="3">
        <f t="shared" si="4"/>
        <v>0</v>
      </c>
      <c r="H42" s="2">
        <f t="shared" si="5"/>
        <v>0</v>
      </c>
      <c r="I42" s="3">
        <f t="shared" si="6"/>
        <v>0</v>
      </c>
      <c r="J42" s="3">
        <f t="shared" si="7"/>
        <v>0</v>
      </c>
      <c r="K42" s="3"/>
      <c r="L42" s="3">
        <f t="shared" si="8"/>
        <v>453.2120803</v>
      </c>
      <c r="M42" s="30">
        <f t="shared" si="9"/>
        <v>453.9202905</v>
      </c>
      <c r="N42" s="14">
        <f t="shared" si="10"/>
        <v>-0.7082102682</v>
      </c>
      <c r="O42" s="3"/>
      <c r="P42" s="23">
        <f t="shared" si="11"/>
        <v>183.6592264</v>
      </c>
      <c r="Q42" s="14">
        <f t="shared" si="12"/>
        <v>453.2120803</v>
      </c>
      <c r="R42" s="2"/>
      <c r="S42" s="14">
        <f t="shared" si="13"/>
        <v>-0.6503467505</v>
      </c>
    </row>
    <row r="43">
      <c r="A43" s="11">
        <v>31.0</v>
      </c>
      <c r="B43" s="11">
        <v>1.4195304347826E9</v>
      </c>
      <c r="C43" s="2">
        <v>-102.3022919</v>
      </c>
      <c r="D43" s="3">
        <f t="shared" si="1"/>
        <v>-869565.2174</v>
      </c>
      <c r="E43" s="4">
        <f t="shared" si="2"/>
        <v>182.7409303</v>
      </c>
      <c r="F43" s="3">
        <f t="shared" si="3"/>
        <v>0.0002101520698</v>
      </c>
      <c r="G43" s="3">
        <f t="shared" si="4"/>
        <v>0</v>
      </c>
      <c r="H43" s="2">
        <f t="shared" si="5"/>
        <v>0</v>
      </c>
      <c r="I43" s="3">
        <f t="shared" si="6"/>
        <v>0</v>
      </c>
      <c r="J43" s="3">
        <f t="shared" si="7"/>
        <v>0</v>
      </c>
      <c r="K43" s="3"/>
      <c r="L43" s="3">
        <f t="shared" si="8"/>
        <v>447.5864984</v>
      </c>
      <c r="M43" s="30">
        <f t="shared" si="9"/>
        <v>453.8754731</v>
      </c>
      <c r="N43" s="14">
        <f t="shared" si="10"/>
        <v>-6.288974713</v>
      </c>
      <c r="O43" s="3"/>
      <c r="P43" s="23">
        <f t="shared" si="11"/>
        <v>182.7409303</v>
      </c>
      <c r="Q43" s="14">
        <f t="shared" si="12"/>
        <v>447.5864984</v>
      </c>
      <c r="R43" s="2"/>
      <c r="S43" s="14">
        <f t="shared" si="13"/>
        <v>-5.775141158</v>
      </c>
    </row>
    <row r="44">
      <c r="A44" s="11">
        <v>32.0</v>
      </c>
      <c r="B44" s="11">
        <v>1.41953478260869E9</v>
      </c>
      <c r="C44" s="2">
        <v>-102.247406</v>
      </c>
      <c r="D44" s="3">
        <f t="shared" si="1"/>
        <v>-865217.3913</v>
      </c>
      <c r="E44" s="4">
        <f t="shared" si="2"/>
        <v>181.8226342</v>
      </c>
      <c r="F44" s="3">
        <f t="shared" si="3"/>
        <v>0.0002101467631</v>
      </c>
      <c r="G44" s="3">
        <f t="shared" si="4"/>
        <v>0</v>
      </c>
      <c r="H44" s="2">
        <f t="shared" si="5"/>
        <v>0</v>
      </c>
      <c r="I44" s="3">
        <f t="shared" si="6"/>
        <v>0</v>
      </c>
      <c r="J44" s="3">
        <f t="shared" si="7"/>
        <v>0</v>
      </c>
      <c r="K44" s="3"/>
      <c r="L44" s="3">
        <f t="shared" si="8"/>
        <v>453.2789669</v>
      </c>
      <c r="M44" s="30">
        <f t="shared" si="9"/>
        <v>453.8302924</v>
      </c>
      <c r="N44" s="14">
        <f t="shared" si="10"/>
        <v>-0.5513255138</v>
      </c>
      <c r="O44" s="3"/>
      <c r="P44" s="23">
        <f t="shared" si="11"/>
        <v>181.8226342</v>
      </c>
      <c r="Q44" s="14">
        <f t="shared" si="12"/>
        <v>453.2789669</v>
      </c>
      <c r="R44" s="2"/>
      <c r="S44" s="14">
        <f t="shared" si="13"/>
        <v>-0.5062800873</v>
      </c>
    </row>
    <row r="45">
      <c r="A45" s="11">
        <v>33.0</v>
      </c>
      <c r="B45" s="11">
        <v>1.41953913043478E9</v>
      </c>
      <c r="C45" s="2">
        <v>-102.2397842</v>
      </c>
      <c r="D45" s="3">
        <f t="shared" si="1"/>
        <v>-860869.5652</v>
      </c>
      <c r="E45" s="4">
        <f t="shared" si="2"/>
        <v>180.904338</v>
      </c>
      <c r="F45" s="3">
        <f t="shared" si="3"/>
        <v>0.0002101414028</v>
      </c>
      <c r="G45" s="3">
        <f t="shared" si="4"/>
        <v>0</v>
      </c>
      <c r="H45" s="2">
        <f t="shared" si="5"/>
        <v>0</v>
      </c>
      <c r="I45" s="3">
        <f t="shared" si="6"/>
        <v>0</v>
      </c>
      <c r="J45" s="3">
        <f t="shared" si="7"/>
        <v>0</v>
      </c>
      <c r="K45" s="3"/>
      <c r="L45" s="3">
        <f t="shared" si="8"/>
        <v>454.0751629</v>
      </c>
      <c r="M45" s="30">
        <f t="shared" si="9"/>
        <v>453.7847495</v>
      </c>
      <c r="N45" s="14">
        <f t="shared" si="10"/>
        <v>0.2904134008</v>
      </c>
      <c r="O45" s="3"/>
      <c r="P45" s="23">
        <f t="shared" si="11"/>
        <v>180.904338</v>
      </c>
      <c r="Q45" s="14">
        <f t="shared" si="12"/>
        <v>454.0751629</v>
      </c>
      <c r="R45" s="2"/>
      <c r="S45" s="14">
        <f t="shared" si="13"/>
        <v>0.2666855022</v>
      </c>
    </row>
    <row r="46">
      <c r="A46" s="11">
        <v>34.0</v>
      </c>
      <c r="B46" s="11">
        <v>1.41954347826087E9</v>
      </c>
      <c r="C46" s="2">
        <v>-102.2622452</v>
      </c>
      <c r="D46" s="3">
        <f t="shared" si="1"/>
        <v>-856521.7391</v>
      </c>
      <c r="E46" s="4">
        <f t="shared" si="2"/>
        <v>179.9860419</v>
      </c>
      <c r="F46" s="3">
        <f t="shared" si="3"/>
        <v>0.000210135988</v>
      </c>
      <c r="G46" s="3">
        <f t="shared" si="4"/>
        <v>0</v>
      </c>
      <c r="H46" s="2">
        <f t="shared" si="5"/>
        <v>0</v>
      </c>
      <c r="I46" s="3">
        <f t="shared" si="6"/>
        <v>0</v>
      </c>
      <c r="J46" s="3">
        <f t="shared" si="7"/>
        <v>0</v>
      </c>
      <c r="K46" s="3"/>
      <c r="L46" s="3">
        <f t="shared" si="8"/>
        <v>451.7328227</v>
      </c>
      <c r="M46" s="30">
        <f t="shared" si="9"/>
        <v>453.7388449</v>
      </c>
      <c r="N46" s="14">
        <f t="shared" si="10"/>
        <v>-2.006022178</v>
      </c>
      <c r="O46" s="3"/>
      <c r="P46" s="23">
        <f t="shared" si="11"/>
        <v>179.9860419</v>
      </c>
      <c r="Q46" s="14">
        <f t="shared" si="12"/>
        <v>451.7328227</v>
      </c>
      <c r="R46" s="2"/>
      <c r="S46" s="14">
        <f t="shared" si="13"/>
        <v>-1.842122408</v>
      </c>
    </row>
    <row r="47">
      <c r="A47" s="11">
        <v>35.0</v>
      </c>
      <c r="B47" s="11">
        <v>1.41954782608695E9</v>
      </c>
      <c r="C47" s="2">
        <v>-102.2608185</v>
      </c>
      <c r="D47" s="3">
        <f t="shared" si="1"/>
        <v>-852173.913</v>
      </c>
      <c r="E47" s="4">
        <f t="shared" si="2"/>
        <v>179.0677458</v>
      </c>
      <c r="F47" s="3">
        <f t="shared" si="3"/>
        <v>0.000210130518</v>
      </c>
      <c r="G47" s="3">
        <f t="shared" si="4"/>
        <v>0</v>
      </c>
      <c r="H47" s="2">
        <f t="shared" si="5"/>
        <v>0</v>
      </c>
      <c r="I47" s="3">
        <f t="shared" si="6"/>
        <v>0</v>
      </c>
      <c r="J47" s="3">
        <f t="shared" si="7"/>
        <v>0</v>
      </c>
      <c r="K47" s="3"/>
      <c r="L47" s="3">
        <f t="shared" si="8"/>
        <v>451.8812458</v>
      </c>
      <c r="M47" s="30">
        <f t="shared" si="9"/>
        <v>453.6925796</v>
      </c>
      <c r="N47" s="14">
        <f t="shared" si="10"/>
        <v>-1.811333835</v>
      </c>
      <c r="O47" s="3"/>
      <c r="P47" s="23">
        <f t="shared" si="11"/>
        <v>179.0677458</v>
      </c>
      <c r="Q47" s="14">
        <f t="shared" si="12"/>
        <v>451.8812458</v>
      </c>
      <c r="R47" s="2"/>
      <c r="S47" s="14">
        <f t="shared" si="13"/>
        <v>-1.663340856</v>
      </c>
    </row>
    <row r="48">
      <c r="A48" s="11">
        <v>36.0</v>
      </c>
      <c r="B48" s="11">
        <v>1.41955217391304E9</v>
      </c>
      <c r="C48" s="2">
        <v>-102.2838898</v>
      </c>
      <c r="D48" s="3">
        <f t="shared" si="1"/>
        <v>-847826.087</v>
      </c>
      <c r="E48" s="4">
        <f t="shared" si="2"/>
        <v>178.1494496</v>
      </c>
      <c r="F48" s="3">
        <f t="shared" si="3"/>
        <v>0.0002101249919</v>
      </c>
      <c r="G48" s="3">
        <f t="shared" si="4"/>
        <v>0</v>
      </c>
      <c r="H48" s="2">
        <f t="shared" si="5"/>
        <v>0</v>
      </c>
      <c r="I48" s="3">
        <f t="shared" si="6"/>
        <v>0</v>
      </c>
      <c r="J48" s="3">
        <f t="shared" si="7"/>
        <v>0</v>
      </c>
      <c r="K48" s="3"/>
      <c r="L48" s="3">
        <f t="shared" si="8"/>
        <v>449.4870535</v>
      </c>
      <c r="M48" s="30">
        <f t="shared" si="9"/>
        <v>453.6459544</v>
      </c>
      <c r="N48" s="14">
        <f t="shared" si="10"/>
        <v>-4.158900823</v>
      </c>
      <c r="O48" s="3"/>
      <c r="P48" s="23">
        <f t="shared" si="11"/>
        <v>178.1494496</v>
      </c>
      <c r="Q48" s="14">
        <f t="shared" si="12"/>
        <v>449.4870535</v>
      </c>
      <c r="R48" s="2"/>
      <c r="S48" s="14">
        <f t="shared" si="13"/>
        <v>-3.819102533</v>
      </c>
    </row>
    <row r="49">
      <c r="A49" s="11">
        <v>37.0</v>
      </c>
      <c r="B49" s="11">
        <v>1.41955652173913E9</v>
      </c>
      <c r="C49" s="2">
        <v>-102.2746735</v>
      </c>
      <c r="D49" s="3">
        <f t="shared" si="1"/>
        <v>-843478.2609</v>
      </c>
      <c r="E49" s="4">
        <f t="shared" si="2"/>
        <v>177.2311535</v>
      </c>
      <c r="F49" s="3">
        <f t="shared" si="3"/>
        <v>0.0002101194088</v>
      </c>
      <c r="G49" s="3">
        <f t="shared" si="4"/>
        <v>0</v>
      </c>
      <c r="H49" s="2">
        <f t="shared" si="5"/>
        <v>0</v>
      </c>
      <c r="I49" s="3">
        <f t="shared" si="6"/>
        <v>0</v>
      </c>
      <c r="J49" s="3">
        <f t="shared" si="7"/>
        <v>0</v>
      </c>
      <c r="K49" s="3"/>
      <c r="L49" s="3">
        <f t="shared" si="8"/>
        <v>450.441937</v>
      </c>
      <c r="M49" s="30">
        <f t="shared" si="9"/>
        <v>453.59897</v>
      </c>
      <c r="N49" s="14">
        <f t="shared" si="10"/>
        <v>-3.157032958</v>
      </c>
      <c r="O49" s="3"/>
      <c r="P49" s="23">
        <f t="shared" si="11"/>
        <v>177.2311535</v>
      </c>
      <c r="Q49" s="14">
        <f t="shared" si="12"/>
        <v>450.441937</v>
      </c>
      <c r="R49" s="2"/>
      <c r="S49" s="14">
        <f t="shared" si="13"/>
        <v>-2.899091156</v>
      </c>
    </row>
    <row r="50">
      <c r="A50" s="11">
        <v>38.0</v>
      </c>
      <c r="B50" s="11">
        <v>1.41956086956521E9</v>
      </c>
      <c r="C50" s="2">
        <v>-102.2851944</v>
      </c>
      <c r="D50" s="3">
        <f t="shared" si="1"/>
        <v>-839130.4348</v>
      </c>
      <c r="E50" s="4">
        <f t="shared" si="2"/>
        <v>176.3128574</v>
      </c>
      <c r="F50" s="3">
        <f t="shared" si="3"/>
        <v>0.0002101137678</v>
      </c>
      <c r="G50" s="3">
        <f t="shared" si="4"/>
        <v>0</v>
      </c>
      <c r="H50" s="2">
        <f t="shared" si="5"/>
        <v>0</v>
      </c>
      <c r="I50" s="3">
        <f t="shared" si="6"/>
        <v>0</v>
      </c>
      <c r="J50" s="3">
        <f t="shared" si="7"/>
        <v>0</v>
      </c>
      <c r="K50" s="3"/>
      <c r="L50" s="3">
        <f t="shared" si="8"/>
        <v>449.35205</v>
      </c>
      <c r="M50" s="30">
        <f t="shared" si="9"/>
        <v>453.5516272</v>
      </c>
      <c r="N50" s="14">
        <f t="shared" si="10"/>
        <v>-4.19957719</v>
      </c>
      <c r="O50" s="3"/>
      <c r="P50" s="23">
        <f t="shared" si="11"/>
        <v>176.3128574</v>
      </c>
      <c r="Q50" s="14">
        <f t="shared" si="12"/>
        <v>449.35205</v>
      </c>
      <c r="R50" s="2"/>
      <c r="S50" s="14">
        <f t="shared" si="13"/>
        <v>-3.856455493</v>
      </c>
    </row>
    <row r="51">
      <c r="A51" s="11">
        <v>39.0</v>
      </c>
      <c r="B51" s="11">
        <v>1.4195652173913E9</v>
      </c>
      <c r="C51" s="2">
        <v>-102.2012558</v>
      </c>
      <c r="D51" s="3">
        <f t="shared" si="1"/>
        <v>-834782.6087</v>
      </c>
      <c r="E51" s="4">
        <f t="shared" si="2"/>
        <v>175.3945612</v>
      </c>
      <c r="F51" s="3">
        <f t="shared" si="3"/>
        <v>0.0002101080681</v>
      </c>
      <c r="G51" s="3">
        <f t="shared" si="4"/>
        <v>0</v>
      </c>
      <c r="H51" s="2">
        <f t="shared" si="5"/>
        <v>0</v>
      </c>
      <c r="I51" s="3">
        <f t="shared" si="6"/>
        <v>0</v>
      </c>
      <c r="J51" s="3">
        <f t="shared" si="7"/>
        <v>0</v>
      </c>
      <c r="K51" s="3"/>
      <c r="L51" s="3">
        <f t="shared" si="8"/>
        <v>458.1214086</v>
      </c>
      <c r="M51" s="30">
        <f t="shared" si="9"/>
        <v>453.503927</v>
      </c>
      <c r="N51" s="14">
        <f t="shared" si="10"/>
        <v>4.617481634</v>
      </c>
      <c r="O51" s="3"/>
      <c r="P51" s="23">
        <f t="shared" si="11"/>
        <v>175.3945612</v>
      </c>
      <c r="Q51" s="14">
        <f t="shared" si="12"/>
        <v>458.1214086</v>
      </c>
      <c r="R51" s="2"/>
      <c r="S51" s="14">
        <f t="shared" si="13"/>
        <v>4.240215518</v>
      </c>
    </row>
    <row r="52">
      <c r="A52" s="11">
        <v>40.0</v>
      </c>
      <c r="B52" s="11">
        <v>1.41956956521739E9</v>
      </c>
      <c r="C52" s="2">
        <v>-102.2492142</v>
      </c>
      <c r="D52" s="3">
        <f t="shared" si="1"/>
        <v>-830434.7826</v>
      </c>
      <c r="E52" s="4">
        <f t="shared" si="2"/>
        <v>174.4762651</v>
      </c>
      <c r="F52" s="3">
        <f t="shared" si="3"/>
        <v>0.0002101023088</v>
      </c>
      <c r="G52" s="3">
        <f t="shared" si="4"/>
        <v>0</v>
      </c>
      <c r="H52" s="2">
        <f t="shared" si="5"/>
        <v>0</v>
      </c>
      <c r="I52" s="3">
        <f t="shared" si="6"/>
        <v>0</v>
      </c>
      <c r="J52" s="3">
        <f t="shared" si="7"/>
        <v>0</v>
      </c>
      <c r="K52" s="3"/>
      <c r="L52" s="3">
        <f t="shared" si="8"/>
        <v>453.090282</v>
      </c>
      <c r="M52" s="30">
        <f t="shared" si="9"/>
        <v>453.4558699</v>
      </c>
      <c r="N52" s="14">
        <f t="shared" si="10"/>
        <v>-0.3655879831</v>
      </c>
      <c r="O52" s="3"/>
      <c r="P52" s="23">
        <f t="shared" si="11"/>
        <v>174.4762651</v>
      </c>
      <c r="Q52" s="14">
        <f t="shared" si="12"/>
        <v>453.090282</v>
      </c>
      <c r="R52" s="2"/>
      <c r="S52" s="14">
        <f t="shared" si="13"/>
        <v>-0.3357180311</v>
      </c>
    </row>
    <row r="53">
      <c r="A53" s="11">
        <v>41.0</v>
      </c>
      <c r="B53" s="11">
        <v>1.41957391304347E9</v>
      </c>
      <c r="C53" s="2">
        <v>-102.2211075</v>
      </c>
      <c r="D53" s="3">
        <f t="shared" si="1"/>
        <v>-826086.9565</v>
      </c>
      <c r="E53" s="4">
        <f t="shared" si="2"/>
        <v>173.557969</v>
      </c>
      <c r="F53" s="3">
        <f t="shared" si="3"/>
        <v>0.0002100964888</v>
      </c>
      <c r="G53" s="3">
        <f t="shared" si="4"/>
        <v>0</v>
      </c>
      <c r="H53" s="2">
        <f t="shared" si="5"/>
        <v>0</v>
      </c>
      <c r="I53" s="3">
        <f t="shared" si="6"/>
        <v>0</v>
      </c>
      <c r="J53" s="3">
        <f t="shared" si="7"/>
        <v>0</v>
      </c>
      <c r="K53" s="3"/>
      <c r="L53" s="3">
        <f t="shared" si="8"/>
        <v>456.0321039</v>
      </c>
      <c r="M53" s="30">
        <f t="shared" si="9"/>
        <v>453.407457</v>
      </c>
      <c r="N53" s="14">
        <f t="shared" si="10"/>
        <v>2.624646934</v>
      </c>
      <c r="O53" s="3"/>
      <c r="P53" s="23">
        <f t="shared" si="11"/>
        <v>173.557969</v>
      </c>
      <c r="Q53" s="14">
        <f t="shared" si="12"/>
        <v>456.0321039</v>
      </c>
      <c r="R53" s="2"/>
      <c r="S53" s="14">
        <f t="shared" si="13"/>
        <v>2.410203129</v>
      </c>
    </row>
    <row r="54">
      <c r="A54" s="11">
        <v>42.0</v>
      </c>
      <c r="B54" s="11">
        <v>1.41957826086956E9</v>
      </c>
      <c r="C54" s="2">
        <v>-102.2365036</v>
      </c>
      <c r="D54" s="3">
        <f t="shared" si="1"/>
        <v>-821739.1304</v>
      </c>
      <c r="E54" s="4">
        <f t="shared" si="2"/>
        <v>172.6396728</v>
      </c>
      <c r="F54" s="3">
        <f t="shared" si="3"/>
        <v>0.0002100906072</v>
      </c>
      <c r="G54" s="3">
        <f t="shared" si="4"/>
        <v>0</v>
      </c>
      <c r="H54" s="2">
        <f t="shared" si="5"/>
        <v>0</v>
      </c>
      <c r="I54" s="3">
        <f t="shared" si="6"/>
        <v>0</v>
      </c>
      <c r="J54" s="3">
        <f t="shared" si="7"/>
        <v>0</v>
      </c>
      <c r="K54" s="3"/>
      <c r="L54" s="3">
        <f t="shared" si="8"/>
        <v>454.4182945</v>
      </c>
      <c r="M54" s="30">
        <f t="shared" si="9"/>
        <v>453.3586889</v>
      </c>
      <c r="N54" s="14">
        <f t="shared" si="10"/>
        <v>1.059605568</v>
      </c>
      <c r="O54" s="3"/>
      <c r="P54" s="23">
        <f t="shared" si="11"/>
        <v>172.6396728</v>
      </c>
      <c r="Q54" s="14">
        <f t="shared" si="12"/>
        <v>454.4182945</v>
      </c>
      <c r="R54" s="2"/>
      <c r="S54" s="14">
        <f t="shared" si="13"/>
        <v>0.9730316929</v>
      </c>
    </row>
    <row r="55">
      <c r="A55" s="11">
        <v>43.0</v>
      </c>
      <c r="B55" s="11">
        <v>1.41958260869565E9</v>
      </c>
      <c r="C55" s="2">
        <v>-102.2406311</v>
      </c>
      <c r="D55" s="3">
        <f t="shared" si="1"/>
        <v>-817391.3043</v>
      </c>
      <c r="E55" s="4">
        <f t="shared" si="2"/>
        <v>171.7213767</v>
      </c>
      <c r="F55" s="3">
        <f t="shared" si="3"/>
        <v>0.000210084663</v>
      </c>
      <c r="G55" s="3">
        <f t="shared" si="4"/>
        <v>0</v>
      </c>
      <c r="H55" s="2">
        <f t="shared" si="5"/>
        <v>0</v>
      </c>
      <c r="I55" s="3">
        <f t="shared" si="6"/>
        <v>0</v>
      </c>
      <c r="J55" s="3">
        <f t="shared" si="7"/>
        <v>0</v>
      </c>
      <c r="K55" s="3"/>
      <c r="L55" s="3">
        <f t="shared" si="8"/>
        <v>453.9866241</v>
      </c>
      <c r="M55" s="30">
        <f t="shared" si="9"/>
        <v>453.3095665</v>
      </c>
      <c r="N55" s="14">
        <f t="shared" si="10"/>
        <v>0.6770576188</v>
      </c>
      <c r="O55" s="3"/>
      <c r="P55" s="23">
        <f t="shared" si="11"/>
        <v>171.7213767</v>
      </c>
      <c r="Q55" s="14">
        <f t="shared" si="12"/>
        <v>453.9866241</v>
      </c>
      <c r="R55" s="2"/>
      <c r="S55" s="14">
        <f t="shared" si="13"/>
        <v>0.621739393</v>
      </c>
    </row>
    <row r="56">
      <c r="A56" s="11">
        <v>44.0</v>
      </c>
      <c r="B56" s="11">
        <v>1.41958695652173E9</v>
      </c>
      <c r="C56" s="2">
        <v>-102.285614</v>
      </c>
      <c r="D56" s="3">
        <f t="shared" si="1"/>
        <v>-813043.4783</v>
      </c>
      <c r="E56" s="4">
        <f t="shared" si="2"/>
        <v>170.8030806</v>
      </c>
      <c r="F56" s="3">
        <f t="shared" si="3"/>
        <v>0.0002100786553</v>
      </c>
      <c r="G56" s="3">
        <f t="shared" si="4"/>
        <v>0</v>
      </c>
      <c r="H56" s="2">
        <f t="shared" si="5"/>
        <v>0</v>
      </c>
      <c r="I56" s="3">
        <f t="shared" si="6"/>
        <v>0</v>
      </c>
      <c r="J56" s="3">
        <f t="shared" si="7"/>
        <v>0</v>
      </c>
      <c r="K56" s="3"/>
      <c r="L56" s="3">
        <f t="shared" si="8"/>
        <v>449.3086373</v>
      </c>
      <c r="M56" s="30">
        <f t="shared" si="9"/>
        <v>453.2600906</v>
      </c>
      <c r="N56" s="14">
        <f t="shared" si="10"/>
        <v>-3.951453267</v>
      </c>
      <c r="O56" s="3"/>
      <c r="P56" s="23">
        <f t="shared" si="11"/>
        <v>170.8030806</v>
      </c>
      <c r="Q56" s="14">
        <f t="shared" si="12"/>
        <v>449.3086373</v>
      </c>
      <c r="R56" s="2"/>
      <c r="S56" s="14">
        <f t="shared" si="13"/>
        <v>-3.628604254</v>
      </c>
    </row>
    <row r="57">
      <c r="A57" s="11">
        <v>45.0</v>
      </c>
      <c r="B57" s="11">
        <v>1.41959130434782E9</v>
      </c>
      <c r="C57" s="2">
        <v>-102.1983871</v>
      </c>
      <c r="D57" s="3">
        <f t="shared" si="1"/>
        <v>-808695.6522</v>
      </c>
      <c r="E57" s="4">
        <f t="shared" si="2"/>
        <v>169.8847844</v>
      </c>
      <c r="F57" s="3">
        <f t="shared" si="3"/>
        <v>0.0002100725829</v>
      </c>
      <c r="G57" s="3">
        <f t="shared" si="4"/>
        <v>0</v>
      </c>
      <c r="H57" s="2">
        <f t="shared" si="5"/>
        <v>0</v>
      </c>
      <c r="I57" s="3">
        <f t="shared" si="6"/>
        <v>0</v>
      </c>
      <c r="J57" s="3">
        <f t="shared" si="7"/>
        <v>0</v>
      </c>
      <c r="K57" s="3"/>
      <c r="L57" s="3">
        <f t="shared" si="8"/>
        <v>458.4241173</v>
      </c>
      <c r="M57" s="30">
        <f t="shared" si="9"/>
        <v>453.210262</v>
      </c>
      <c r="N57" s="14">
        <f t="shared" si="10"/>
        <v>5.2138553</v>
      </c>
      <c r="O57" s="3"/>
      <c r="P57" s="23">
        <f t="shared" si="11"/>
        <v>169.8847844</v>
      </c>
      <c r="Q57" s="14">
        <f t="shared" si="12"/>
        <v>458.4241173</v>
      </c>
      <c r="R57" s="2"/>
      <c r="S57" s="14">
        <f t="shared" si="13"/>
        <v>4.787863159</v>
      </c>
    </row>
    <row r="58">
      <c r="A58" s="11">
        <v>46.0</v>
      </c>
      <c r="B58" s="11">
        <v>1.41959565217391E9</v>
      </c>
      <c r="C58" s="2">
        <v>-102.2312698</v>
      </c>
      <c r="D58" s="3">
        <f t="shared" si="1"/>
        <v>-804347.8261</v>
      </c>
      <c r="E58" s="4">
        <f t="shared" si="2"/>
        <v>168.9664883</v>
      </c>
      <c r="F58" s="3">
        <f t="shared" si="3"/>
        <v>0.0002100664449</v>
      </c>
      <c r="G58" s="3">
        <f t="shared" si="4"/>
        <v>0</v>
      </c>
      <c r="H58" s="2">
        <f t="shared" si="5"/>
        <v>0</v>
      </c>
      <c r="I58" s="3">
        <f t="shared" si="6"/>
        <v>0</v>
      </c>
      <c r="J58" s="3">
        <f t="shared" si="7"/>
        <v>0</v>
      </c>
      <c r="K58" s="3"/>
      <c r="L58" s="3">
        <f t="shared" si="8"/>
        <v>454.9662564</v>
      </c>
      <c r="M58" s="30">
        <f t="shared" si="9"/>
        <v>453.1600814</v>
      </c>
      <c r="N58" s="14">
        <f t="shared" si="10"/>
        <v>1.80617496</v>
      </c>
      <c r="O58" s="3"/>
      <c r="P58" s="23">
        <f t="shared" si="11"/>
        <v>168.9664883</v>
      </c>
      <c r="Q58" s="14">
        <f t="shared" si="12"/>
        <v>454.9662564</v>
      </c>
      <c r="R58" s="2"/>
      <c r="S58" s="14">
        <f t="shared" si="13"/>
        <v>1.658603477</v>
      </c>
    </row>
    <row r="59">
      <c r="A59" s="11">
        <v>47.0</v>
      </c>
      <c r="B59" s="11">
        <v>1.4196E9</v>
      </c>
      <c r="C59" s="2">
        <v>-102.2013245</v>
      </c>
      <c r="D59" s="3">
        <f t="shared" si="1"/>
        <v>-800000</v>
      </c>
      <c r="E59" s="4">
        <f t="shared" si="2"/>
        <v>168.0481922</v>
      </c>
      <c r="F59" s="3">
        <f t="shared" si="3"/>
        <v>0.0002100602402</v>
      </c>
      <c r="G59" s="3">
        <f t="shared" si="4"/>
        <v>0</v>
      </c>
      <c r="H59" s="2">
        <f t="shared" si="5"/>
        <v>0</v>
      </c>
      <c r="I59" s="3">
        <f t="shared" si="6"/>
        <v>0</v>
      </c>
      <c r="J59" s="3">
        <f t="shared" si="7"/>
        <v>0</v>
      </c>
      <c r="K59" s="3"/>
      <c r="L59" s="3">
        <f t="shared" si="8"/>
        <v>458.1141617</v>
      </c>
      <c r="M59" s="30">
        <f t="shared" si="9"/>
        <v>453.1095497</v>
      </c>
      <c r="N59" s="14">
        <f t="shared" si="10"/>
        <v>5.004612012</v>
      </c>
      <c r="O59" s="3"/>
      <c r="P59" s="23">
        <f t="shared" si="11"/>
        <v>168.0481922</v>
      </c>
      <c r="Q59" s="14">
        <f t="shared" si="12"/>
        <v>458.1141617</v>
      </c>
      <c r="R59" s="2"/>
      <c r="S59" s="14">
        <f t="shared" si="13"/>
        <v>4.595715856</v>
      </c>
    </row>
    <row r="60">
      <c r="A60" s="11">
        <v>48.0</v>
      </c>
      <c r="B60" s="11">
        <v>1.41960434782608E9</v>
      </c>
      <c r="C60" s="2">
        <v>-102.2368317</v>
      </c>
      <c r="D60" s="3">
        <f t="shared" si="1"/>
        <v>-795652.1739</v>
      </c>
      <c r="E60" s="4">
        <f t="shared" si="2"/>
        <v>167.129896</v>
      </c>
      <c r="F60" s="3">
        <f t="shared" si="3"/>
        <v>0.0002100539677</v>
      </c>
      <c r="G60" s="3">
        <f t="shared" si="4"/>
        <v>0</v>
      </c>
      <c r="H60" s="2">
        <f t="shared" si="5"/>
        <v>0</v>
      </c>
      <c r="I60" s="3">
        <f t="shared" si="6"/>
        <v>0</v>
      </c>
      <c r="J60" s="3">
        <f t="shared" si="7"/>
        <v>0</v>
      </c>
      <c r="K60" s="3"/>
      <c r="L60" s="3">
        <f t="shared" si="8"/>
        <v>454.3839655</v>
      </c>
      <c r="M60" s="30">
        <f t="shared" si="9"/>
        <v>453.0586677</v>
      </c>
      <c r="N60" s="14">
        <f t="shared" si="10"/>
        <v>1.325297735</v>
      </c>
      <c r="O60" s="3"/>
      <c r="P60" s="23">
        <f t="shared" si="11"/>
        <v>167.129896</v>
      </c>
      <c r="Q60" s="14">
        <f t="shared" si="12"/>
        <v>454.3839655</v>
      </c>
      <c r="R60" s="2"/>
      <c r="S60" s="14">
        <f t="shared" si="13"/>
        <v>1.217015785</v>
      </c>
    </row>
    <row r="61">
      <c r="A61" s="11">
        <v>49.0</v>
      </c>
      <c r="B61" s="11">
        <v>1.41960869565217E9</v>
      </c>
      <c r="C61" s="2">
        <v>-102.2572098</v>
      </c>
      <c r="D61" s="3">
        <f t="shared" si="1"/>
        <v>-791304.3478</v>
      </c>
      <c r="E61" s="4">
        <f t="shared" si="2"/>
        <v>166.2115999</v>
      </c>
      <c r="F61" s="3">
        <f t="shared" si="3"/>
        <v>0.0002100476263</v>
      </c>
      <c r="G61" s="3">
        <f t="shared" si="4"/>
        <v>0</v>
      </c>
      <c r="H61" s="2">
        <f t="shared" si="5"/>
        <v>0</v>
      </c>
      <c r="I61" s="3">
        <f t="shared" si="6"/>
        <v>0</v>
      </c>
      <c r="J61" s="3">
        <f t="shared" si="7"/>
        <v>0</v>
      </c>
      <c r="K61" s="3"/>
      <c r="L61" s="3">
        <f t="shared" si="8"/>
        <v>452.2568853</v>
      </c>
      <c r="M61" s="30">
        <f t="shared" si="9"/>
        <v>453.0074363</v>
      </c>
      <c r="N61" s="14">
        <f t="shared" si="10"/>
        <v>-0.7505509945</v>
      </c>
      <c r="O61" s="3"/>
      <c r="P61" s="23">
        <f t="shared" si="11"/>
        <v>166.2115999</v>
      </c>
      <c r="Q61" s="14">
        <f t="shared" si="12"/>
        <v>452.2568853</v>
      </c>
      <c r="R61" s="2"/>
      <c r="S61" s="14">
        <f t="shared" si="13"/>
        <v>-0.6892280741</v>
      </c>
    </row>
    <row r="62">
      <c r="A62" s="11">
        <v>50.0</v>
      </c>
      <c r="B62" s="11">
        <v>1.41961304347826E9</v>
      </c>
      <c r="C62" s="2">
        <v>-102.2782288</v>
      </c>
      <c r="D62" s="3">
        <f t="shared" si="1"/>
        <v>-786956.5217</v>
      </c>
      <c r="E62" s="4">
        <f t="shared" si="2"/>
        <v>165.2933038</v>
      </c>
      <c r="F62" s="3">
        <f t="shared" si="3"/>
        <v>0.0002100412148</v>
      </c>
      <c r="G62" s="3">
        <f t="shared" si="4"/>
        <v>0</v>
      </c>
      <c r="H62" s="2">
        <f t="shared" si="5"/>
        <v>0</v>
      </c>
      <c r="I62" s="3">
        <f t="shared" si="6"/>
        <v>0</v>
      </c>
      <c r="J62" s="3">
        <f t="shared" si="7"/>
        <v>0</v>
      </c>
      <c r="K62" s="3"/>
      <c r="L62" s="3">
        <f t="shared" si="8"/>
        <v>450.073339</v>
      </c>
      <c r="M62" s="30">
        <f t="shared" si="9"/>
        <v>452.9558561</v>
      </c>
      <c r="N62" s="14">
        <f t="shared" si="10"/>
        <v>-2.882517079</v>
      </c>
      <c r="O62" s="3"/>
      <c r="P62" s="23">
        <f t="shared" si="11"/>
        <v>165.2933038</v>
      </c>
      <c r="Q62" s="14">
        <f t="shared" si="12"/>
        <v>450.073339</v>
      </c>
      <c r="R62" s="2"/>
      <c r="S62" s="14">
        <f t="shared" si="13"/>
        <v>-2.647004286</v>
      </c>
    </row>
    <row r="63">
      <c r="A63" s="11">
        <v>51.0</v>
      </c>
      <c r="B63" s="11">
        <v>1.41961739130434E9</v>
      </c>
      <c r="C63" s="2">
        <v>-102.1933746</v>
      </c>
      <c r="D63" s="3">
        <f t="shared" si="1"/>
        <v>-782608.6957</v>
      </c>
      <c r="E63" s="4">
        <f t="shared" si="2"/>
        <v>164.3750077</v>
      </c>
      <c r="F63" s="3">
        <f t="shared" si="3"/>
        <v>0.000210034732</v>
      </c>
      <c r="G63" s="3">
        <f t="shared" si="4"/>
        <v>0</v>
      </c>
      <c r="H63" s="2">
        <f t="shared" si="5"/>
        <v>0</v>
      </c>
      <c r="I63" s="3">
        <f t="shared" si="6"/>
        <v>0</v>
      </c>
      <c r="J63" s="3">
        <f t="shared" si="7"/>
        <v>0</v>
      </c>
      <c r="K63" s="3"/>
      <c r="L63" s="3">
        <f t="shared" si="8"/>
        <v>458.9535224</v>
      </c>
      <c r="M63" s="30">
        <f t="shared" si="9"/>
        <v>452.903928</v>
      </c>
      <c r="N63" s="14">
        <f t="shared" si="10"/>
        <v>6.049594454</v>
      </c>
      <c r="O63" s="3"/>
      <c r="P63" s="23">
        <f t="shared" si="11"/>
        <v>164.3750077</v>
      </c>
      <c r="Q63" s="14">
        <f t="shared" si="12"/>
        <v>458.9535224</v>
      </c>
      <c r="R63" s="2"/>
      <c r="S63" s="14">
        <f t="shared" si="13"/>
        <v>5.555319192</v>
      </c>
    </row>
    <row r="64">
      <c r="A64" s="11">
        <v>52.0</v>
      </c>
      <c r="B64" s="11">
        <v>1.41962173913043E9</v>
      </c>
      <c r="C64" s="2">
        <v>-102.2394791</v>
      </c>
      <c r="D64" s="3">
        <f t="shared" si="1"/>
        <v>-778260.8696</v>
      </c>
      <c r="E64" s="4">
        <f t="shared" si="2"/>
        <v>163.4567115</v>
      </c>
      <c r="F64" s="3">
        <f t="shared" si="3"/>
        <v>0.0002100281768</v>
      </c>
      <c r="G64" s="3">
        <f t="shared" si="4"/>
        <v>0</v>
      </c>
      <c r="H64" s="2">
        <f t="shared" si="5"/>
        <v>0</v>
      </c>
      <c r="I64" s="3">
        <f t="shared" si="6"/>
        <v>0</v>
      </c>
      <c r="J64" s="3">
        <f t="shared" si="7"/>
        <v>0</v>
      </c>
      <c r="K64" s="3"/>
      <c r="L64" s="3">
        <f t="shared" si="8"/>
        <v>454.1070636</v>
      </c>
      <c r="M64" s="30">
        <f t="shared" si="9"/>
        <v>452.8516528</v>
      </c>
      <c r="N64" s="14">
        <f t="shared" si="10"/>
        <v>1.255410821</v>
      </c>
      <c r="O64" s="3"/>
      <c r="P64" s="23">
        <f t="shared" si="11"/>
        <v>163.4567115</v>
      </c>
      <c r="Q64" s="14">
        <f t="shared" si="12"/>
        <v>454.1070636</v>
      </c>
      <c r="R64" s="2"/>
      <c r="S64" s="14">
        <f t="shared" si="13"/>
        <v>1.152838899</v>
      </c>
    </row>
    <row r="65">
      <c r="A65" s="11">
        <v>53.0</v>
      </c>
      <c r="B65" s="11">
        <v>1.41962608695652E9</v>
      </c>
      <c r="C65" s="2">
        <v>-102.2393265</v>
      </c>
      <c r="D65" s="3">
        <f t="shared" si="1"/>
        <v>-773913.0435</v>
      </c>
      <c r="E65" s="4">
        <f t="shared" si="2"/>
        <v>162.5384154</v>
      </c>
      <c r="F65" s="3">
        <f t="shared" si="3"/>
        <v>0.000210021548</v>
      </c>
      <c r="G65" s="3">
        <f t="shared" si="4"/>
        <v>0</v>
      </c>
      <c r="H65" s="2">
        <f t="shared" si="5"/>
        <v>0</v>
      </c>
      <c r="I65" s="3">
        <f t="shared" si="6"/>
        <v>0</v>
      </c>
      <c r="J65" s="3">
        <f t="shared" si="7"/>
        <v>0</v>
      </c>
      <c r="K65" s="3"/>
      <c r="L65" s="3">
        <f t="shared" si="8"/>
        <v>454.1230201</v>
      </c>
      <c r="M65" s="30">
        <f t="shared" si="9"/>
        <v>452.7990313</v>
      </c>
      <c r="N65" s="14">
        <f t="shared" si="10"/>
        <v>1.323988743</v>
      </c>
      <c r="O65" s="3"/>
      <c r="P65" s="23">
        <f t="shared" si="11"/>
        <v>162.5384154</v>
      </c>
      <c r="Q65" s="14">
        <f t="shared" si="12"/>
        <v>454.1230201</v>
      </c>
      <c r="R65" s="2"/>
      <c r="S65" s="14">
        <f t="shared" si="13"/>
        <v>1.215813743</v>
      </c>
    </row>
    <row r="66">
      <c r="A66" s="11">
        <v>54.0</v>
      </c>
      <c r="B66" s="11">
        <v>1.4196304347826E9</v>
      </c>
      <c r="C66" s="2">
        <v>-102.2314072</v>
      </c>
      <c r="D66" s="3">
        <f t="shared" si="1"/>
        <v>-769565.2174</v>
      </c>
      <c r="E66" s="4">
        <f t="shared" si="2"/>
        <v>161.6201193</v>
      </c>
      <c r="F66" s="3">
        <f t="shared" si="3"/>
        <v>0.0002100148442</v>
      </c>
      <c r="G66" s="3">
        <f t="shared" si="4"/>
        <v>0</v>
      </c>
      <c r="H66" s="2">
        <f t="shared" si="5"/>
        <v>0</v>
      </c>
      <c r="I66" s="3">
        <f t="shared" si="6"/>
        <v>0</v>
      </c>
      <c r="J66" s="3">
        <f t="shared" si="7"/>
        <v>0</v>
      </c>
      <c r="K66" s="3"/>
      <c r="L66" s="3">
        <f t="shared" si="8"/>
        <v>454.9518626</v>
      </c>
      <c r="M66" s="30">
        <f t="shared" si="9"/>
        <v>452.7460643</v>
      </c>
      <c r="N66" s="14">
        <f t="shared" si="10"/>
        <v>2.205798239</v>
      </c>
      <c r="O66" s="3"/>
      <c r="P66" s="23">
        <f t="shared" si="11"/>
        <v>161.6201193</v>
      </c>
      <c r="Q66" s="14">
        <f t="shared" si="12"/>
        <v>454.9518626</v>
      </c>
      <c r="R66" s="2"/>
      <c r="S66" s="14">
        <f t="shared" si="13"/>
        <v>2.025575993</v>
      </c>
    </row>
    <row r="67">
      <c r="A67" s="11">
        <v>55.0</v>
      </c>
      <c r="B67" s="11">
        <v>1.41963478260869E9</v>
      </c>
      <c r="C67" s="2">
        <v>-102.2553864</v>
      </c>
      <c r="D67" s="3">
        <f t="shared" si="1"/>
        <v>-765217.3913</v>
      </c>
      <c r="E67" s="4">
        <f t="shared" si="2"/>
        <v>160.7018231</v>
      </c>
      <c r="F67" s="3">
        <f t="shared" si="3"/>
        <v>0.0002100080643</v>
      </c>
      <c r="G67" s="3">
        <f t="shared" si="4"/>
        <v>0</v>
      </c>
      <c r="H67" s="2">
        <f t="shared" si="5"/>
        <v>0</v>
      </c>
      <c r="I67" s="3">
        <f t="shared" si="6"/>
        <v>0</v>
      </c>
      <c r="J67" s="3">
        <f t="shared" si="7"/>
        <v>0</v>
      </c>
      <c r="K67" s="3"/>
      <c r="L67" s="3">
        <f t="shared" si="8"/>
        <v>452.4468067</v>
      </c>
      <c r="M67" s="30">
        <f t="shared" si="9"/>
        <v>452.6927527</v>
      </c>
      <c r="N67" s="14">
        <f t="shared" si="10"/>
        <v>-0.245945984</v>
      </c>
      <c r="O67" s="3"/>
      <c r="P67" s="23">
        <f t="shared" si="11"/>
        <v>160.7018231</v>
      </c>
      <c r="Q67" s="14">
        <f t="shared" si="12"/>
        <v>452.4468067</v>
      </c>
      <c r="R67" s="2"/>
      <c r="S67" s="14">
        <f t="shared" si="13"/>
        <v>-0.2258512459</v>
      </c>
    </row>
    <row r="68">
      <c r="A68" s="11">
        <v>56.0</v>
      </c>
      <c r="B68" s="11">
        <v>1.41963913043478E9</v>
      </c>
      <c r="C68" s="2">
        <v>-102.2884064</v>
      </c>
      <c r="D68" s="24">
        <f t="shared" si="1"/>
        <v>-760869.5652</v>
      </c>
      <c r="E68" s="25">
        <f t="shared" si="2"/>
        <v>159.783527</v>
      </c>
      <c r="F68" s="24">
        <f t="shared" si="3"/>
        <v>0.0002100012069</v>
      </c>
      <c r="G68" s="24">
        <f t="shared" si="4"/>
        <v>0</v>
      </c>
      <c r="H68" s="26">
        <f t="shared" si="5"/>
        <v>0</v>
      </c>
      <c r="I68" s="24">
        <f t="shared" si="6"/>
        <v>0</v>
      </c>
      <c r="J68" s="24">
        <f t="shared" si="7"/>
        <v>0</v>
      </c>
      <c r="K68" s="24"/>
      <c r="L68" s="24">
        <f t="shared" si="8"/>
        <v>449.0198365</v>
      </c>
      <c r="M68" s="30">
        <f t="shared" si="9"/>
        <v>452.6390972</v>
      </c>
      <c r="N68" s="27">
        <f t="shared" si="10"/>
        <v>-3.619260671</v>
      </c>
      <c r="O68" s="24"/>
      <c r="P68" s="28">
        <f t="shared" ref="P68:P123" si="14">-((B418-$B$4)/$B$4)*(3*10^5)</f>
        <v>-160.7018231</v>
      </c>
      <c r="Q68" s="27">
        <f t="shared" ref="Q68:Q123" si="15">(1/(2*$K$13))*(I417)</f>
        <v>412.9662094</v>
      </c>
      <c r="R68" s="26"/>
      <c r="S68" s="14">
        <f t="shared" si="13"/>
        <v>-3.32355307</v>
      </c>
    </row>
    <row r="69">
      <c r="A69" s="11">
        <v>57.0</v>
      </c>
      <c r="B69" s="11">
        <v>1.41964347826087E9</v>
      </c>
      <c r="C69" s="2">
        <v>-102.282486</v>
      </c>
      <c r="D69" s="24">
        <f t="shared" si="1"/>
        <v>-756521.7391</v>
      </c>
      <c r="E69" s="25">
        <f t="shared" si="2"/>
        <v>158.8652309</v>
      </c>
      <c r="F69" s="24">
        <f t="shared" si="3"/>
        <v>0.0002099942707</v>
      </c>
      <c r="G69" s="24">
        <f t="shared" si="4"/>
        <v>0</v>
      </c>
      <c r="H69" s="26">
        <f t="shared" si="5"/>
        <v>0</v>
      </c>
      <c r="I69" s="24">
        <f t="shared" si="6"/>
        <v>0</v>
      </c>
      <c r="J69" s="24">
        <f t="shared" si="7"/>
        <v>0</v>
      </c>
      <c r="K69" s="24"/>
      <c r="L69" s="24">
        <f t="shared" si="8"/>
        <v>449.6323678</v>
      </c>
      <c r="M69" s="30">
        <f t="shared" si="9"/>
        <v>452.5850985</v>
      </c>
      <c r="N69" s="27">
        <f t="shared" si="10"/>
        <v>-2.952730707</v>
      </c>
      <c r="O69" s="24"/>
      <c r="P69" s="28">
        <f t="shared" si="14"/>
        <v>-161.6201193</v>
      </c>
      <c r="Q69" s="27">
        <f t="shared" si="15"/>
        <v>424.1896106</v>
      </c>
      <c r="R69" s="26"/>
      <c r="S69" s="14">
        <f t="shared" si="13"/>
        <v>-2.711481189</v>
      </c>
    </row>
    <row r="70">
      <c r="A70" s="11">
        <v>58.0</v>
      </c>
      <c r="B70" s="11">
        <v>1.41964782608695E9</v>
      </c>
      <c r="C70" s="2">
        <v>-102.2368698</v>
      </c>
      <c r="D70" s="24">
        <f t="shared" si="1"/>
        <v>-752173.913</v>
      </c>
      <c r="E70" s="25">
        <f t="shared" si="2"/>
        <v>157.9469347</v>
      </c>
      <c r="F70" s="24">
        <f t="shared" si="3"/>
        <v>0.0002099872543</v>
      </c>
      <c r="G70" s="24">
        <f t="shared" si="4"/>
        <v>0</v>
      </c>
      <c r="H70" s="26">
        <f t="shared" si="5"/>
        <v>0</v>
      </c>
      <c r="I70" s="24">
        <f t="shared" si="6"/>
        <v>0</v>
      </c>
      <c r="J70" s="24">
        <f t="shared" si="7"/>
        <v>0</v>
      </c>
      <c r="K70" s="24"/>
      <c r="L70" s="24">
        <f t="shared" si="8"/>
        <v>454.3799793</v>
      </c>
      <c r="M70" s="30">
        <f t="shared" si="9"/>
        <v>452.5307576</v>
      </c>
      <c r="N70" s="27">
        <f t="shared" si="10"/>
        <v>1.849221614</v>
      </c>
      <c r="O70" s="24"/>
      <c r="P70" s="28">
        <f t="shared" si="14"/>
        <v>-162.5384154</v>
      </c>
      <c r="Q70" s="27">
        <f t="shared" si="15"/>
        <v>418.1338886</v>
      </c>
      <c r="R70" s="26"/>
      <c r="S70" s="14">
        <f t="shared" si="13"/>
        <v>1.698133057</v>
      </c>
    </row>
    <row r="71">
      <c r="A71" s="11">
        <v>59.0</v>
      </c>
      <c r="B71" s="11">
        <v>1.41965217391304E9</v>
      </c>
      <c r="C71" s="2">
        <v>-102.1813812</v>
      </c>
      <c r="D71" s="24">
        <f t="shared" si="1"/>
        <v>-747826.087</v>
      </c>
      <c r="E71" s="25">
        <f t="shared" si="2"/>
        <v>157.0286386</v>
      </c>
      <c r="F71" s="24">
        <f t="shared" si="3"/>
        <v>0.0002099801563</v>
      </c>
      <c r="G71" s="24">
        <f t="shared" si="4"/>
        <v>0</v>
      </c>
      <c r="H71" s="26">
        <f t="shared" si="5"/>
        <v>0</v>
      </c>
      <c r="I71" s="24">
        <f t="shared" si="6"/>
        <v>0</v>
      </c>
      <c r="J71" s="24">
        <f t="shared" si="7"/>
        <v>0</v>
      </c>
      <c r="K71" s="24"/>
      <c r="L71" s="24">
        <f t="shared" si="8"/>
        <v>460.2227121</v>
      </c>
      <c r="M71" s="30">
        <f t="shared" si="9"/>
        <v>452.4760753</v>
      </c>
      <c r="N71" s="27">
        <f t="shared" si="10"/>
        <v>7.746636807</v>
      </c>
      <c r="O71" s="24"/>
      <c r="P71" s="28">
        <f t="shared" si="14"/>
        <v>-163.4567115</v>
      </c>
      <c r="Q71" s="27">
        <f t="shared" si="15"/>
        <v>418.3293227</v>
      </c>
      <c r="R71" s="26"/>
      <c r="S71" s="14">
        <f t="shared" si="13"/>
        <v>7.113706606</v>
      </c>
    </row>
    <row r="72">
      <c r="A72" s="11">
        <v>60.0</v>
      </c>
      <c r="B72" s="11">
        <v>1.41965652173913E9</v>
      </c>
      <c r="C72" s="2">
        <v>-102.2386627</v>
      </c>
      <c r="D72" s="24">
        <f t="shared" si="1"/>
        <v>-743478.2609</v>
      </c>
      <c r="E72" s="25">
        <f t="shared" si="2"/>
        <v>156.1103425</v>
      </c>
      <c r="F72" s="24">
        <f t="shared" si="3"/>
        <v>0.0002099729752</v>
      </c>
      <c r="G72" s="24">
        <f t="shared" si="4"/>
        <v>0</v>
      </c>
      <c r="H72" s="26">
        <f t="shared" si="5"/>
        <v>0</v>
      </c>
      <c r="I72" s="24">
        <f t="shared" si="6"/>
        <v>0</v>
      </c>
      <c r="J72" s="24">
        <f t="shared" si="7"/>
        <v>0</v>
      </c>
      <c r="K72" s="24"/>
      <c r="L72" s="24">
        <f t="shared" si="8"/>
        <v>454.1924361</v>
      </c>
      <c r="M72" s="30">
        <f t="shared" si="9"/>
        <v>452.4210522</v>
      </c>
      <c r="N72" s="27">
        <f t="shared" si="10"/>
        <v>1.771383824</v>
      </c>
      <c r="O72" s="24"/>
      <c r="P72" s="28">
        <f t="shared" si="14"/>
        <v>-164.3750077</v>
      </c>
      <c r="Q72" s="27">
        <f t="shared" si="15"/>
        <v>425.4216987</v>
      </c>
      <c r="R72" s="26"/>
      <c r="S72" s="14">
        <f t="shared" si="13"/>
        <v>1.626654915</v>
      </c>
    </row>
    <row r="73">
      <c r="A73" s="11">
        <v>61.0</v>
      </c>
      <c r="B73" s="11">
        <v>1.41966086956521E9</v>
      </c>
      <c r="C73" s="2">
        <v>-102.2226944</v>
      </c>
      <c r="D73" s="24">
        <f t="shared" si="1"/>
        <v>-739130.4348</v>
      </c>
      <c r="E73" s="25">
        <f t="shared" si="2"/>
        <v>155.1920463</v>
      </c>
      <c r="F73" s="24">
        <f t="shared" si="3"/>
        <v>0.0002099657097</v>
      </c>
      <c r="G73" s="24">
        <f t="shared" si="4"/>
        <v>0</v>
      </c>
      <c r="H73" s="26">
        <f t="shared" si="5"/>
        <v>0</v>
      </c>
      <c r="I73" s="24">
        <f t="shared" si="6"/>
        <v>0</v>
      </c>
      <c r="J73" s="24">
        <f t="shared" si="7"/>
        <v>0</v>
      </c>
      <c r="K73" s="24"/>
      <c r="L73" s="24">
        <f t="shared" si="8"/>
        <v>455.8655015</v>
      </c>
      <c r="M73" s="30">
        <f t="shared" si="9"/>
        <v>452.3656893</v>
      </c>
      <c r="N73" s="27">
        <f t="shared" si="10"/>
        <v>3.499812168</v>
      </c>
      <c r="O73" s="24"/>
      <c r="P73" s="28">
        <f t="shared" si="14"/>
        <v>-165.2933038</v>
      </c>
      <c r="Q73" s="27">
        <f t="shared" si="15"/>
        <v>421.8761727</v>
      </c>
      <c r="R73" s="26"/>
      <c r="S73" s="14">
        <f t="shared" si="13"/>
        <v>3.213863979</v>
      </c>
    </row>
    <row r="74">
      <c r="A74" s="11">
        <v>62.0</v>
      </c>
      <c r="B74" s="11">
        <v>1.4196652173913E9</v>
      </c>
      <c r="C74" s="2">
        <v>-102.3213196</v>
      </c>
      <c r="D74" s="24">
        <f t="shared" si="1"/>
        <v>-734782.6087</v>
      </c>
      <c r="E74" s="25">
        <f t="shared" si="2"/>
        <v>154.2737502</v>
      </c>
      <c r="F74" s="24">
        <f t="shared" si="3"/>
        <v>0.0002099583583</v>
      </c>
      <c r="G74" s="24">
        <f t="shared" si="4"/>
        <v>0</v>
      </c>
      <c r="H74" s="26">
        <f t="shared" si="5"/>
        <v>0</v>
      </c>
      <c r="I74" s="24">
        <f t="shared" si="6"/>
        <v>0</v>
      </c>
      <c r="J74" s="24">
        <f t="shared" si="7"/>
        <v>0</v>
      </c>
      <c r="K74" s="24"/>
      <c r="L74" s="24">
        <f t="shared" si="8"/>
        <v>445.6297818</v>
      </c>
      <c r="M74" s="30">
        <f t="shared" si="9"/>
        <v>452.3099874</v>
      </c>
      <c r="N74" s="27">
        <f t="shared" si="10"/>
        <v>-6.680205583</v>
      </c>
      <c r="O74" s="24"/>
      <c r="P74" s="28">
        <f t="shared" si="14"/>
        <v>-166.2115999</v>
      </c>
      <c r="Q74" s="27">
        <f t="shared" si="15"/>
        <v>422.2379918</v>
      </c>
      <c r="R74" s="26"/>
      <c r="S74" s="14">
        <f t="shared" si="13"/>
        <v>-6.134406938</v>
      </c>
    </row>
    <row r="75">
      <c r="A75" s="11">
        <v>63.0</v>
      </c>
      <c r="B75" s="11">
        <v>1.41966956521739E9</v>
      </c>
      <c r="C75" s="2">
        <v>-102.2398376</v>
      </c>
      <c r="D75" s="24">
        <f t="shared" si="1"/>
        <v>-730434.7826</v>
      </c>
      <c r="E75" s="25">
        <f t="shared" si="2"/>
        <v>153.3554541</v>
      </c>
      <c r="F75" s="24">
        <f t="shared" si="3"/>
        <v>0.0002099509193</v>
      </c>
      <c r="G75" s="24">
        <f t="shared" si="4"/>
        <v>0</v>
      </c>
      <c r="H75" s="26">
        <f t="shared" si="5"/>
        <v>0</v>
      </c>
      <c r="I75" s="24">
        <f t="shared" si="6"/>
        <v>0</v>
      </c>
      <c r="J75" s="24">
        <f t="shared" si="7"/>
        <v>0</v>
      </c>
      <c r="K75" s="24"/>
      <c r="L75" s="24">
        <f t="shared" si="8"/>
        <v>454.0695797</v>
      </c>
      <c r="M75" s="30">
        <f t="shared" si="9"/>
        <v>452.2539472</v>
      </c>
      <c r="N75" s="27">
        <f t="shared" si="10"/>
        <v>1.815632524</v>
      </c>
      <c r="O75" s="24"/>
      <c r="P75" s="28">
        <f t="shared" si="14"/>
        <v>-167.129896</v>
      </c>
      <c r="Q75" s="27">
        <f t="shared" si="15"/>
        <v>417.6163539</v>
      </c>
      <c r="R75" s="26"/>
      <c r="S75" s="14">
        <f t="shared" si="13"/>
        <v>1.667288325</v>
      </c>
    </row>
    <row r="76">
      <c r="A76" s="11">
        <v>64.0</v>
      </c>
      <c r="B76" s="11">
        <v>1.41967391304347E9</v>
      </c>
      <c r="C76" s="2">
        <v>-102.2766418</v>
      </c>
      <c r="D76" s="24">
        <f t="shared" si="1"/>
        <v>-726086.9565</v>
      </c>
      <c r="E76" s="25">
        <f t="shared" si="2"/>
        <v>152.4371579</v>
      </c>
      <c r="F76" s="24">
        <f t="shared" si="3"/>
        <v>0.0002099433912</v>
      </c>
      <c r="G76" s="24">
        <f t="shared" si="4"/>
        <v>0</v>
      </c>
      <c r="H76" s="26">
        <f t="shared" si="5"/>
        <v>0</v>
      </c>
      <c r="I76" s="24">
        <f t="shared" si="6"/>
        <v>0</v>
      </c>
      <c r="J76" s="24">
        <f t="shared" si="7"/>
        <v>0</v>
      </c>
      <c r="K76" s="24"/>
      <c r="L76" s="24">
        <f t="shared" si="8"/>
        <v>450.237835</v>
      </c>
      <c r="M76" s="30">
        <f t="shared" si="9"/>
        <v>452.1975695</v>
      </c>
      <c r="N76" s="27">
        <f t="shared" si="10"/>
        <v>-1.959734517</v>
      </c>
      <c r="O76" s="24"/>
      <c r="P76" s="28">
        <f t="shared" si="14"/>
        <v>-168.0481922</v>
      </c>
      <c r="Q76" s="27">
        <f t="shared" si="15"/>
        <v>412.0922124</v>
      </c>
      <c r="R76" s="26"/>
      <c r="S76" s="14">
        <f t="shared" si="13"/>
        <v>-1.799616628</v>
      </c>
    </row>
    <row r="77">
      <c r="A77" s="11">
        <v>65.0</v>
      </c>
      <c r="B77" s="11">
        <v>1.41967826086956E9</v>
      </c>
      <c r="C77" s="2">
        <v>-102.2838135</v>
      </c>
      <c r="D77" s="24">
        <f t="shared" si="1"/>
        <v>-721739.1304</v>
      </c>
      <c r="E77" s="25">
        <f t="shared" si="2"/>
        <v>151.5188618</v>
      </c>
      <c r="F77" s="24">
        <f t="shared" si="3"/>
        <v>0.0002099357724</v>
      </c>
      <c r="G77" s="24">
        <f t="shared" si="4"/>
        <v>0</v>
      </c>
      <c r="H77" s="26">
        <f t="shared" si="5"/>
        <v>0</v>
      </c>
      <c r="I77" s="24">
        <f t="shared" si="6"/>
        <v>0</v>
      </c>
      <c r="J77" s="24">
        <f t="shared" si="7"/>
        <v>0</v>
      </c>
      <c r="K77" s="24"/>
      <c r="L77" s="24">
        <f t="shared" si="8"/>
        <v>449.4949505</v>
      </c>
      <c r="M77" s="30">
        <f t="shared" si="9"/>
        <v>452.1408551</v>
      </c>
      <c r="N77" s="27">
        <f t="shared" si="10"/>
        <v>-2.645904611</v>
      </c>
      <c r="O77" s="24"/>
      <c r="P77" s="28">
        <f t="shared" si="14"/>
        <v>-168.9664883</v>
      </c>
      <c r="Q77" s="27">
        <f t="shared" si="15"/>
        <v>414.0529444</v>
      </c>
      <c r="R77" s="26"/>
      <c r="S77" s="14">
        <f t="shared" si="13"/>
        <v>-2.429723967</v>
      </c>
    </row>
    <row r="78">
      <c r="A78" s="11">
        <v>66.0</v>
      </c>
      <c r="B78" s="11">
        <v>1.41968260869565E9</v>
      </c>
      <c r="C78" s="2">
        <v>-102.2651901</v>
      </c>
      <c r="D78" s="24">
        <f t="shared" si="1"/>
        <v>-717391.3043</v>
      </c>
      <c r="E78" s="25">
        <f t="shared" si="2"/>
        <v>150.6005657</v>
      </c>
      <c r="F78" s="24">
        <f t="shared" si="3"/>
        <v>0.0002099280612</v>
      </c>
      <c r="G78" s="24">
        <f t="shared" si="4"/>
        <v>0</v>
      </c>
      <c r="H78" s="26">
        <f t="shared" si="5"/>
        <v>0</v>
      </c>
      <c r="I78" s="24">
        <f t="shared" si="6"/>
        <v>0</v>
      </c>
      <c r="J78" s="24">
        <f t="shared" si="7"/>
        <v>0</v>
      </c>
      <c r="K78" s="24"/>
      <c r="L78" s="24">
        <f t="shared" si="8"/>
        <v>451.4266118</v>
      </c>
      <c r="M78" s="30">
        <f t="shared" si="9"/>
        <v>452.083805</v>
      </c>
      <c r="N78" s="27">
        <f t="shared" si="10"/>
        <v>-0.6571931243</v>
      </c>
      <c r="O78" s="24"/>
      <c r="P78" s="28">
        <f t="shared" si="14"/>
        <v>-169.8847844</v>
      </c>
      <c r="Q78" s="27">
        <f t="shared" si="15"/>
        <v>415.9930332</v>
      </c>
      <c r="R78" s="26"/>
      <c r="S78" s="14">
        <f t="shared" si="13"/>
        <v>-0.6034979046</v>
      </c>
    </row>
    <row r="79">
      <c r="A79" s="11">
        <v>67.0</v>
      </c>
      <c r="B79" s="11">
        <v>1.41968695652173E9</v>
      </c>
      <c r="C79" s="2">
        <v>-102.2602081</v>
      </c>
      <c r="D79" s="24">
        <f t="shared" si="1"/>
        <v>-713043.4783</v>
      </c>
      <c r="E79" s="25">
        <f t="shared" si="2"/>
        <v>149.6822695</v>
      </c>
      <c r="F79" s="24">
        <f t="shared" si="3"/>
        <v>0.0002099202561</v>
      </c>
      <c r="G79" s="24">
        <f t="shared" si="4"/>
        <v>0</v>
      </c>
      <c r="H79" s="26">
        <f t="shared" si="5"/>
        <v>0</v>
      </c>
      <c r="I79" s="24">
        <f t="shared" si="6"/>
        <v>0</v>
      </c>
      <c r="J79" s="24">
        <f t="shared" si="7"/>
        <v>0</v>
      </c>
      <c r="K79" s="24"/>
      <c r="L79" s="24">
        <f t="shared" si="8"/>
        <v>451.9447621</v>
      </c>
      <c r="M79" s="30">
        <f t="shared" si="9"/>
        <v>452.0264197</v>
      </c>
      <c r="N79" s="27">
        <f t="shared" si="10"/>
        <v>-0.08165766852</v>
      </c>
      <c r="O79" s="24"/>
      <c r="P79" s="28">
        <f t="shared" si="14"/>
        <v>-170.8030806</v>
      </c>
      <c r="Q79" s="27">
        <f t="shared" si="15"/>
        <v>418.8757007</v>
      </c>
      <c r="R79" s="26"/>
      <c r="S79" s="14">
        <f t="shared" si="13"/>
        <v>-0.07498592122</v>
      </c>
    </row>
    <row r="80">
      <c r="A80" s="11">
        <v>68.0</v>
      </c>
      <c r="B80" s="11">
        <v>1.41969130434782E9</v>
      </c>
      <c r="C80" s="2">
        <v>-102.2768402</v>
      </c>
      <c r="D80" s="24">
        <f t="shared" si="1"/>
        <v>-708695.6522</v>
      </c>
      <c r="E80" s="25">
        <f t="shared" si="2"/>
        <v>148.7639734</v>
      </c>
      <c r="F80" s="24">
        <f t="shared" si="3"/>
        <v>0.0002099123551</v>
      </c>
      <c r="G80" s="24">
        <f t="shared" si="4"/>
        <v>0</v>
      </c>
      <c r="H80" s="26">
        <f t="shared" si="5"/>
        <v>0</v>
      </c>
      <c r="I80" s="24">
        <f t="shared" si="6"/>
        <v>0</v>
      </c>
      <c r="J80" s="24">
        <f t="shared" si="7"/>
        <v>0</v>
      </c>
      <c r="K80" s="24"/>
      <c r="L80" s="24">
        <f t="shared" si="8"/>
        <v>450.2172671</v>
      </c>
      <c r="M80" s="30">
        <f t="shared" si="9"/>
        <v>451.9687003</v>
      </c>
      <c r="N80" s="27">
        <f t="shared" si="10"/>
        <v>-1.751433177</v>
      </c>
      <c r="O80" s="24"/>
      <c r="P80" s="28">
        <f t="shared" si="14"/>
        <v>-171.7213767</v>
      </c>
      <c r="Q80" s="27">
        <f t="shared" si="15"/>
        <v>420.4969764</v>
      </c>
      <c r="R80" s="26"/>
      <c r="S80" s="14">
        <f t="shared" si="13"/>
        <v>-1.608334313</v>
      </c>
    </row>
    <row r="81">
      <c r="A81" s="11">
        <v>69.0</v>
      </c>
      <c r="B81" s="11">
        <v>1.41969565217391E9</v>
      </c>
      <c r="C81" s="2">
        <v>-102.276413</v>
      </c>
      <c r="D81" s="24">
        <f t="shared" si="1"/>
        <v>-704347.8261</v>
      </c>
      <c r="E81" s="25">
        <f t="shared" si="2"/>
        <v>147.8456773</v>
      </c>
      <c r="F81" s="24">
        <f t="shared" si="3"/>
        <v>0.0002099043566</v>
      </c>
      <c r="G81" s="24">
        <f t="shared" si="4"/>
        <v>0</v>
      </c>
      <c r="H81" s="26">
        <f t="shared" si="5"/>
        <v>0</v>
      </c>
      <c r="I81" s="24">
        <f t="shared" si="6"/>
        <v>0</v>
      </c>
      <c r="J81" s="24">
        <f t="shared" si="7"/>
        <v>0</v>
      </c>
      <c r="K81" s="24"/>
      <c r="L81" s="24">
        <f t="shared" si="8"/>
        <v>450.2615555</v>
      </c>
      <c r="M81" s="30">
        <f t="shared" si="9"/>
        <v>451.9106473</v>
      </c>
      <c r="N81" s="27">
        <f t="shared" si="10"/>
        <v>-1.649091821</v>
      </c>
      <c r="O81" s="24"/>
      <c r="P81" s="28">
        <f t="shared" si="14"/>
        <v>-172.6396728</v>
      </c>
      <c r="Q81" s="27">
        <f t="shared" si="15"/>
        <v>420.6595156</v>
      </c>
      <c r="R81" s="26"/>
      <c r="S81" s="14">
        <f t="shared" si="13"/>
        <v>-1.514354638</v>
      </c>
    </row>
    <row r="82">
      <c r="A82" s="11">
        <v>70.0</v>
      </c>
      <c r="B82" s="11">
        <v>1.4197E9</v>
      </c>
      <c r="C82" s="2">
        <v>-102.2476044</v>
      </c>
      <c r="D82" s="24">
        <f t="shared" si="1"/>
        <v>-700000</v>
      </c>
      <c r="E82" s="25">
        <f t="shared" si="2"/>
        <v>146.9273811</v>
      </c>
      <c r="F82" s="24">
        <f t="shared" si="3"/>
        <v>0.0002098962588</v>
      </c>
      <c r="G82" s="24">
        <f t="shared" si="4"/>
        <v>0</v>
      </c>
      <c r="H82" s="26">
        <f t="shared" si="5"/>
        <v>0</v>
      </c>
      <c r="I82" s="24">
        <f t="shared" si="6"/>
        <v>0</v>
      </c>
      <c r="J82" s="24">
        <f t="shared" si="7"/>
        <v>0</v>
      </c>
      <c r="K82" s="24"/>
      <c r="L82" s="24">
        <f t="shared" si="8"/>
        <v>453.2582601</v>
      </c>
      <c r="M82" s="30">
        <f t="shared" si="9"/>
        <v>451.8522618</v>
      </c>
      <c r="N82" s="27">
        <f t="shared" si="10"/>
        <v>1.405998336</v>
      </c>
      <c r="O82" s="24"/>
      <c r="P82" s="28">
        <f t="shared" si="14"/>
        <v>-173.557969</v>
      </c>
      <c r="Q82" s="27">
        <f t="shared" si="15"/>
        <v>413.8653213</v>
      </c>
      <c r="R82" s="26"/>
      <c r="S82" s="14">
        <f t="shared" si="13"/>
        <v>1.291122834</v>
      </c>
    </row>
    <row r="83">
      <c r="A83" s="11">
        <v>71.0</v>
      </c>
      <c r="B83" s="11">
        <v>1.41970434782608E9</v>
      </c>
      <c r="C83" s="2">
        <v>-102.2626343</v>
      </c>
      <c r="D83" s="24">
        <f t="shared" si="1"/>
        <v>-695652.1739</v>
      </c>
      <c r="E83" s="25">
        <f t="shared" si="2"/>
        <v>146.009085</v>
      </c>
      <c r="F83" s="24">
        <f t="shared" si="3"/>
        <v>0.0002098880597</v>
      </c>
      <c r="G83" s="24">
        <f t="shared" si="4"/>
        <v>0</v>
      </c>
      <c r="H83" s="26">
        <f t="shared" si="5"/>
        <v>0</v>
      </c>
      <c r="I83" s="24">
        <f t="shared" si="6"/>
        <v>0</v>
      </c>
      <c r="J83" s="24">
        <f t="shared" si="7"/>
        <v>0</v>
      </c>
      <c r="K83" s="24"/>
      <c r="L83" s="24">
        <f t="shared" si="8"/>
        <v>451.6923522</v>
      </c>
      <c r="M83" s="30">
        <f t="shared" si="9"/>
        <v>451.7935444</v>
      </c>
      <c r="N83" s="27">
        <f t="shared" si="10"/>
        <v>-0.1011922341</v>
      </c>
      <c r="O83" s="24"/>
      <c r="P83" s="28">
        <f t="shared" si="14"/>
        <v>-174.4762651</v>
      </c>
      <c r="Q83" s="27">
        <f t="shared" si="15"/>
        <v>419.0037669</v>
      </c>
      <c r="R83" s="26"/>
      <c r="S83" s="14">
        <f t="shared" si="13"/>
        <v>-0.09292443722</v>
      </c>
    </row>
    <row r="84">
      <c r="A84" s="11">
        <v>72.0</v>
      </c>
      <c r="B84" s="11">
        <v>1.41970869565217E9</v>
      </c>
      <c r="C84" s="2">
        <v>-102.2791061</v>
      </c>
      <c r="D84" s="24">
        <f t="shared" si="1"/>
        <v>-691304.3478</v>
      </c>
      <c r="E84" s="25">
        <f t="shared" si="2"/>
        <v>145.0907889</v>
      </c>
      <c r="F84" s="24">
        <f t="shared" si="3"/>
        <v>0.0002098797575</v>
      </c>
      <c r="G84" s="24">
        <f t="shared" si="4"/>
        <v>0</v>
      </c>
      <c r="H84" s="26">
        <f t="shared" si="5"/>
        <v>0</v>
      </c>
      <c r="I84" s="24">
        <f t="shared" si="6"/>
        <v>0</v>
      </c>
      <c r="J84" s="24">
        <f t="shared" si="7"/>
        <v>0</v>
      </c>
      <c r="K84" s="24"/>
      <c r="L84" s="24">
        <f t="shared" si="8"/>
        <v>449.9824307</v>
      </c>
      <c r="M84" s="30">
        <f t="shared" si="9"/>
        <v>451.734496</v>
      </c>
      <c r="N84" s="27">
        <f t="shared" si="10"/>
        <v>-1.752065261</v>
      </c>
      <c r="O84" s="24"/>
      <c r="P84" s="28">
        <f t="shared" si="14"/>
        <v>-175.3945612</v>
      </c>
      <c r="Q84" s="27">
        <f t="shared" si="15"/>
        <v>414.0245725</v>
      </c>
      <c r="R84" s="26"/>
      <c r="S84" s="14">
        <f t="shared" si="13"/>
        <v>-1.60891475</v>
      </c>
    </row>
    <row r="85">
      <c r="A85" s="11">
        <v>73.0</v>
      </c>
      <c r="B85" s="11">
        <v>1.41971304347826E9</v>
      </c>
      <c r="C85" s="2">
        <v>-102.2913284</v>
      </c>
      <c r="D85" s="24">
        <f t="shared" si="1"/>
        <v>-686956.5217</v>
      </c>
      <c r="E85" s="25">
        <f t="shared" si="2"/>
        <v>144.1724927</v>
      </c>
      <c r="F85" s="24">
        <f t="shared" si="3"/>
        <v>0.0002098713502</v>
      </c>
      <c r="G85" s="24">
        <f t="shared" si="4"/>
        <v>0</v>
      </c>
      <c r="H85" s="26">
        <f t="shared" si="5"/>
        <v>0</v>
      </c>
      <c r="I85" s="24">
        <f t="shared" si="6"/>
        <v>0</v>
      </c>
      <c r="J85" s="24">
        <f t="shared" si="7"/>
        <v>0</v>
      </c>
      <c r="K85" s="24"/>
      <c r="L85" s="24">
        <f t="shared" si="8"/>
        <v>448.7178306</v>
      </c>
      <c r="M85" s="30">
        <f t="shared" si="9"/>
        <v>451.6751174</v>
      </c>
      <c r="N85" s="27">
        <f t="shared" si="10"/>
        <v>-2.957286732</v>
      </c>
      <c r="O85" s="24"/>
      <c r="P85" s="28">
        <f t="shared" si="14"/>
        <v>-176.3128574</v>
      </c>
      <c r="Q85" s="27">
        <f t="shared" si="15"/>
        <v>413.5215694</v>
      </c>
      <c r="R85" s="26"/>
      <c r="S85" s="14">
        <f t="shared" si="13"/>
        <v>-2.715664969</v>
      </c>
    </row>
    <row r="86">
      <c r="A86" s="11">
        <v>74.0</v>
      </c>
      <c r="B86" s="11">
        <v>1.41971739130434E9</v>
      </c>
      <c r="C86" s="2">
        <v>-102.2859879</v>
      </c>
      <c r="D86" s="24">
        <f t="shared" si="1"/>
        <v>-682608.6957</v>
      </c>
      <c r="E86" s="25">
        <f t="shared" si="2"/>
        <v>143.2541966</v>
      </c>
      <c r="F86" s="24">
        <f t="shared" si="3"/>
        <v>0.0002098628358</v>
      </c>
      <c r="G86" s="24">
        <f t="shared" si="4"/>
        <v>0</v>
      </c>
      <c r="H86" s="26">
        <f t="shared" si="5"/>
        <v>0</v>
      </c>
      <c r="I86" s="24">
        <f t="shared" si="6"/>
        <v>0</v>
      </c>
      <c r="J86" s="24">
        <f t="shared" si="7"/>
        <v>0</v>
      </c>
      <c r="K86" s="24"/>
      <c r="L86" s="24">
        <f t="shared" si="8"/>
        <v>449.2699564</v>
      </c>
      <c r="M86" s="30">
        <f t="shared" si="9"/>
        <v>451.6154093</v>
      </c>
      <c r="N86" s="27">
        <f t="shared" si="10"/>
        <v>-2.345452941</v>
      </c>
      <c r="O86" s="24"/>
      <c r="P86" s="28">
        <f t="shared" si="14"/>
        <v>-177.2311535</v>
      </c>
      <c r="Q86" s="27">
        <f t="shared" si="15"/>
        <v>419.3365979</v>
      </c>
      <c r="R86" s="26"/>
      <c r="S86" s="14">
        <f t="shared" si="13"/>
        <v>-2.153820366</v>
      </c>
    </row>
    <row r="87">
      <c r="A87" s="11">
        <v>75.0</v>
      </c>
      <c r="B87" s="11">
        <v>1.41972173913043E9</v>
      </c>
      <c r="C87" s="2">
        <v>-102.288208</v>
      </c>
      <c r="D87" s="24">
        <f t="shared" si="1"/>
        <v>-678260.8696</v>
      </c>
      <c r="E87" s="25">
        <f t="shared" si="2"/>
        <v>142.3359005</v>
      </c>
      <c r="F87" s="24">
        <f t="shared" si="3"/>
        <v>0.0002098542122</v>
      </c>
      <c r="G87" s="24">
        <f t="shared" si="4"/>
        <v>0</v>
      </c>
      <c r="H87" s="26">
        <f t="shared" si="5"/>
        <v>0</v>
      </c>
      <c r="I87" s="24">
        <f t="shared" si="6"/>
        <v>0</v>
      </c>
      <c r="J87" s="24">
        <f t="shared" si="7"/>
        <v>0</v>
      </c>
      <c r="K87" s="24"/>
      <c r="L87" s="24">
        <f t="shared" si="8"/>
        <v>449.0403496</v>
      </c>
      <c r="M87" s="30">
        <f t="shared" si="9"/>
        <v>451.5553726</v>
      </c>
      <c r="N87" s="27">
        <f t="shared" si="10"/>
        <v>-2.515022988</v>
      </c>
      <c r="O87" s="24"/>
      <c r="P87" s="28">
        <f t="shared" si="14"/>
        <v>-178.1494496</v>
      </c>
      <c r="Q87" s="27">
        <f t="shared" si="15"/>
        <v>414.7503559</v>
      </c>
      <c r="R87" s="26"/>
      <c r="S87" s="14">
        <f t="shared" si="13"/>
        <v>-2.309535878</v>
      </c>
    </row>
    <row r="88">
      <c r="A88" s="11">
        <v>76.0</v>
      </c>
      <c r="B88" s="11">
        <v>1.41972608695652E9</v>
      </c>
      <c r="C88" s="2">
        <v>-102.3481216</v>
      </c>
      <c r="D88" s="24">
        <f t="shared" si="1"/>
        <v>-673913.0435</v>
      </c>
      <c r="E88" s="25">
        <f t="shared" si="2"/>
        <v>141.4176044</v>
      </c>
      <c r="F88" s="24">
        <f t="shared" si="3"/>
        <v>0.0002098454774</v>
      </c>
      <c r="G88" s="24">
        <f t="shared" si="4"/>
        <v>0</v>
      </c>
      <c r="H88" s="26">
        <f t="shared" si="5"/>
        <v>0</v>
      </c>
      <c r="I88" s="24">
        <f t="shared" si="6"/>
        <v>0</v>
      </c>
      <c r="J88" s="24">
        <f t="shared" si="7"/>
        <v>0</v>
      </c>
      <c r="K88" s="24"/>
      <c r="L88" s="24">
        <f t="shared" si="8"/>
        <v>442.888096</v>
      </c>
      <c r="M88" s="30">
        <f t="shared" si="9"/>
        <v>451.4950081</v>
      </c>
      <c r="N88" s="27">
        <f t="shared" si="10"/>
        <v>-8.606912187</v>
      </c>
      <c r="O88" s="24"/>
      <c r="P88" s="28">
        <f t="shared" si="14"/>
        <v>-179.0677458</v>
      </c>
      <c r="Q88" s="27">
        <f t="shared" si="15"/>
        <v>421.1897051</v>
      </c>
      <c r="R88" s="26"/>
      <c r="S88" s="14">
        <f t="shared" si="13"/>
        <v>-7.903694177</v>
      </c>
    </row>
    <row r="89">
      <c r="A89" s="11">
        <v>77.0</v>
      </c>
      <c r="B89" s="11">
        <v>1.4197304347826E9</v>
      </c>
      <c r="C89" s="2">
        <v>-102.28405</v>
      </c>
      <c r="D89" s="24">
        <f t="shared" si="1"/>
        <v>-669565.2174</v>
      </c>
      <c r="E89" s="25">
        <f t="shared" si="2"/>
        <v>140.4993082</v>
      </c>
      <c r="F89" s="24">
        <f t="shared" si="3"/>
        <v>0.0002098366292</v>
      </c>
      <c r="G89" s="24">
        <f t="shared" si="4"/>
        <v>0</v>
      </c>
      <c r="H89" s="26">
        <f t="shared" si="5"/>
        <v>0</v>
      </c>
      <c r="I89" s="24">
        <f t="shared" si="6"/>
        <v>0</v>
      </c>
      <c r="J89" s="24">
        <f t="shared" si="7"/>
        <v>0</v>
      </c>
      <c r="K89" s="24"/>
      <c r="L89" s="24">
        <f t="shared" si="8"/>
        <v>449.4704734</v>
      </c>
      <c r="M89" s="30">
        <f t="shared" si="9"/>
        <v>451.4343166</v>
      </c>
      <c r="N89" s="27">
        <f t="shared" si="10"/>
        <v>-1.963843203</v>
      </c>
      <c r="O89" s="24"/>
      <c r="P89" s="28">
        <f t="shared" si="14"/>
        <v>-179.9860419</v>
      </c>
      <c r="Q89" s="27">
        <f t="shared" si="15"/>
        <v>410.7572782</v>
      </c>
      <c r="R89" s="26"/>
      <c r="S89" s="14">
        <f t="shared" si="13"/>
        <v>-1.803389619</v>
      </c>
    </row>
    <row r="90">
      <c r="A90" s="11">
        <v>78.0</v>
      </c>
      <c r="B90" s="11">
        <v>1.41973478260869E9</v>
      </c>
      <c r="C90" s="2">
        <v>-102.3058472</v>
      </c>
      <c r="D90" s="24">
        <f t="shared" si="1"/>
        <v>-665217.3913</v>
      </c>
      <c r="E90" s="25">
        <f t="shared" si="2"/>
        <v>139.5810121</v>
      </c>
      <c r="F90" s="24">
        <f t="shared" si="3"/>
        <v>0.0002098276652</v>
      </c>
      <c r="G90" s="24">
        <f t="shared" si="4"/>
        <v>0</v>
      </c>
      <c r="H90" s="26">
        <f t="shared" si="5"/>
        <v>0</v>
      </c>
      <c r="I90" s="24">
        <f t="shared" si="6"/>
        <v>0</v>
      </c>
      <c r="J90" s="24">
        <f t="shared" si="7"/>
        <v>0</v>
      </c>
      <c r="K90" s="24"/>
      <c r="L90" s="24">
        <f t="shared" si="8"/>
        <v>447.220237</v>
      </c>
      <c r="M90" s="30">
        <f t="shared" si="9"/>
        <v>451.3732989</v>
      </c>
      <c r="N90" s="27">
        <f t="shared" si="10"/>
        <v>-4.153061967</v>
      </c>
      <c r="O90" s="24"/>
      <c r="P90" s="28">
        <f t="shared" si="14"/>
        <v>-180.904338</v>
      </c>
      <c r="Q90" s="27">
        <f t="shared" si="15"/>
        <v>415.0236804</v>
      </c>
      <c r="R90" s="26"/>
      <c r="S90" s="14">
        <f t="shared" si="13"/>
        <v>-3.813740743</v>
      </c>
    </row>
    <row r="91">
      <c r="A91" s="11">
        <v>79.0</v>
      </c>
      <c r="B91" s="11">
        <v>1.41973913043478E9</v>
      </c>
      <c r="C91" s="2">
        <v>-102.2442932</v>
      </c>
      <c r="D91" s="24">
        <f t="shared" si="1"/>
        <v>-660869.5652</v>
      </c>
      <c r="E91" s="25">
        <f t="shared" si="2"/>
        <v>138.662716</v>
      </c>
      <c r="F91" s="24">
        <f t="shared" si="3"/>
        <v>0.0002098185833</v>
      </c>
      <c r="G91" s="24">
        <f t="shared" si="4"/>
        <v>0</v>
      </c>
      <c r="H91" s="26">
        <f t="shared" si="5"/>
        <v>0</v>
      </c>
      <c r="I91" s="24">
        <f t="shared" si="6"/>
        <v>0</v>
      </c>
      <c r="J91" s="24">
        <f t="shared" si="7"/>
        <v>0</v>
      </c>
      <c r="K91" s="24"/>
      <c r="L91" s="24">
        <f t="shared" si="8"/>
        <v>453.6039705</v>
      </c>
      <c r="M91" s="30">
        <f t="shared" si="9"/>
        <v>451.3119558</v>
      </c>
      <c r="N91" s="27">
        <f t="shared" si="10"/>
        <v>2.2920147</v>
      </c>
      <c r="O91" s="24"/>
      <c r="P91" s="28">
        <f t="shared" si="14"/>
        <v>-181.8226342</v>
      </c>
      <c r="Q91" s="27">
        <f t="shared" si="15"/>
        <v>411.435411</v>
      </c>
      <c r="R91" s="26"/>
      <c r="S91" s="14">
        <f t="shared" si="13"/>
        <v>2.104748231</v>
      </c>
    </row>
    <row r="92">
      <c r="A92" s="11">
        <v>80.0</v>
      </c>
      <c r="B92" s="11">
        <v>1.41974347826087E9</v>
      </c>
      <c r="C92" s="2">
        <v>-102.3354568</v>
      </c>
      <c r="D92" s="24">
        <f t="shared" si="1"/>
        <v>-656521.7391</v>
      </c>
      <c r="E92" s="25">
        <f t="shared" si="2"/>
        <v>137.7444198</v>
      </c>
      <c r="F92" s="24">
        <f t="shared" si="3"/>
        <v>0.0002098093812</v>
      </c>
      <c r="G92" s="24">
        <f t="shared" si="4"/>
        <v>0</v>
      </c>
      <c r="H92" s="26">
        <f t="shared" si="5"/>
        <v>0</v>
      </c>
      <c r="I92" s="24">
        <f t="shared" si="6"/>
        <v>0</v>
      </c>
      <c r="J92" s="24">
        <f t="shared" si="7"/>
        <v>0</v>
      </c>
      <c r="K92" s="24"/>
      <c r="L92" s="24">
        <f t="shared" si="8"/>
        <v>444.1815215</v>
      </c>
      <c r="M92" s="30">
        <f t="shared" si="9"/>
        <v>451.2502881</v>
      </c>
      <c r="N92" s="27">
        <f t="shared" si="10"/>
        <v>-7.068766595</v>
      </c>
      <c r="O92" s="24"/>
      <c r="P92" s="28">
        <f t="shared" si="14"/>
        <v>-182.7409303</v>
      </c>
      <c r="Q92" s="27">
        <f t="shared" si="15"/>
        <v>417.4989883</v>
      </c>
      <c r="R92" s="26"/>
      <c r="S92" s="14">
        <f t="shared" si="13"/>
        <v>-6.491221027</v>
      </c>
    </row>
    <row r="93">
      <c r="A93" s="11">
        <v>81.0</v>
      </c>
      <c r="B93" s="11">
        <v>1.41974782608695E9</v>
      </c>
      <c r="C93" s="2">
        <v>-102.2811356</v>
      </c>
      <c r="D93" s="24">
        <f t="shared" si="1"/>
        <v>-652173.913</v>
      </c>
      <c r="E93" s="25">
        <f t="shared" si="2"/>
        <v>136.8261237</v>
      </c>
      <c r="F93" s="24">
        <f t="shared" si="3"/>
        <v>0.0002098000563</v>
      </c>
      <c r="G93" s="24">
        <f t="shared" si="4"/>
        <v>0</v>
      </c>
      <c r="H93" s="26">
        <f t="shared" si="5"/>
        <v>0</v>
      </c>
      <c r="I93" s="24">
        <f t="shared" si="6"/>
        <v>0</v>
      </c>
      <c r="J93" s="24">
        <f t="shared" si="7"/>
        <v>0</v>
      </c>
      <c r="K93" s="24"/>
      <c r="L93" s="24">
        <f t="shared" si="8"/>
        <v>449.7721987</v>
      </c>
      <c r="M93" s="30">
        <f t="shared" si="9"/>
        <v>451.1882965</v>
      </c>
      <c r="N93" s="27">
        <f t="shared" si="10"/>
        <v>-1.416097804</v>
      </c>
      <c r="O93" s="24"/>
      <c r="P93" s="28">
        <f t="shared" si="14"/>
        <v>-183.6592264</v>
      </c>
      <c r="Q93" s="27">
        <f t="shared" si="15"/>
        <v>413.2906188</v>
      </c>
      <c r="R93" s="26"/>
      <c r="S93" s="14">
        <f t="shared" si="13"/>
        <v>-1.300397137</v>
      </c>
    </row>
    <row r="94">
      <c r="A94" s="11">
        <v>82.0</v>
      </c>
      <c r="B94" s="11">
        <v>1.41975217391304E9</v>
      </c>
      <c r="C94" s="2">
        <v>-102.2146378</v>
      </c>
      <c r="D94" s="24">
        <f t="shared" si="1"/>
        <v>-647826.087</v>
      </c>
      <c r="E94" s="25">
        <f t="shared" si="2"/>
        <v>135.9078276</v>
      </c>
      <c r="F94" s="24">
        <f t="shared" si="3"/>
        <v>0.0002097906063</v>
      </c>
      <c r="G94" s="24">
        <f t="shared" si="4"/>
        <v>0</v>
      </c>
      <c r="H94" s="26">
        <f t="shared" si="5"/>
        <v>0</v>
      </c>
      <c r="I94" s="24">
        <f t="shared" si="6"/>
        <v>0</v>
      </c>
      <c r="J94" s="24">
        <f t="shared" si="7"/>
        <v>0</v>
      </c>
      <c r="K94" s="24"/>
      <c r="L94" s="24">
        <f t="shared" si="8"/>
        <v>456.7119628</v>
      </c>
      <c r="M94" s="30">
        <f t="shared" si="9"/>
        <v>451.125982</v>
      </c>
      <c r="N94" s="27">
        <f t="shared" si="10"/>
        <v>5.585980786</v>
      </c>
      <c r="O94" s="24"/>
      <c r="P94" s="28">
        <f t="shared" si="14"/>
        <v>-184.5775226</v>
      </c>
      <c r="Q94" s="27">
        <f t="shared" si="15"/>
        <v>413.9591222</v>
      </c>
      <c r="R94" s="26"/>
      <c r="S94" s="14">
        <f t="shared" si="13"/>
        <v>5.129584542</v>
      </c>
    </row>
    <row r="95">
      <c r="A95" s="11">
        <v>83.0</v>
      </c>
      <c r="B95" s="11">
        <v>1.41975652173913E9</v>
      </c>
      <c r="C95" s="2">
        <v>-102.2990723</v>
      </c>
      <c r="D95" s="24">
        <f t="shared" si="1"/>
        <v>-643478.2609</v>
      </c>
      <c r="E95" s="25">
        <f t="shared" si="2"/>
        <v>134.9895314</v>
      </c>
      <c r="F95" s="24">
        <f t="shared" si="3"/>
        <v>0.0002097810286</v>
      </c>
      <c r="G95" s="24">
        <f t="shared" si="4"/>
        <v>0</v>
      </c>
      <c r="H95" s="26">
        <f t="shared" si="5"/>
        <v>0</v>
      </c>
      <c r="I95" s="24">
        <f t="shared" si="6"/>
        <v>0</v>
      </c>
      <c r="J95" s="24">
        <f t="shared" si="7"/>
        <v>0</v>
      </c>
      <c r="K95" s="24"/>
      <c r="L95" s="24">
        <f t="shared" si="8"/>
        <v>447.9184353</v>
      </c>
      <c r="M95" s="30">
        <f t="shared" si="9"/>
        <v>451.0633453</v>
      </c>
      <c r="N95" s="27">
        <f t="shared" si="10"/>
        <v>-3.144910015</v>
      </c>
      <c r="O95" s="24"/>
      <c r="P95" s="28">
        <f t="shared" si="14"/>
        <v>-185.4958187</v>
      </c>
      <c r="Q95" s="27">
        <f t="shared" si="15"/>
        <v>421.2000629</v>
      </c>
      <c r="R95" s="26"/>
      <c r="S95" s="14">
        <f t="shared" si="13"/>
        <v>-2.887958704</v>
      </c>
    </row>
    <row r="96">
      <c r="A96" s="11">
        <v>84.0</v>
      </c>
      <c r="B96" s="11">
        <v>1.41976086956521E9</v>
      </c>
      <c r="C96" s="2">
        <v>-102.2952881</v>
      </c>
      <c r="D96" s="24">
        <f t="shared" si="1"/>
        <v>-639130.4348</v>
      </c>
      <c r="E96" s="25">
        <f t="shared" si="2"/>
        <v>134.0712353</v>
      </c>
      <c r="F96" s="24">
        <f t="shared" si="3"/>
        <v>0.0002097713205</v>
      </c>
      <c r="G96" s="24">
        <f t="shared" si="4"/>
        <v>0</v>
      </c>
      <c r="H96" s="26">
        <f t="shared" si="5"/>
        <v>0</v>
      </c>
      <c r="I96" s="24">
        <f t="shared" si="6"/>
        <v>0</v>
      </c>
      <c r="J96" s="24">
        <f t="shared" si="7"/>
        <v>0</v>
      </c>
      <c r="K96" s="24"/>
      <c r="L96" s="24">
        <f t="shared" si="8"/>
        <v>448.3088965</v>
      </c>
      <c r="M96" s="30">
        <f t="shared" si="9"/>
        <v>451.0003872</v>
      </c>
      <c r="N96" s="27">
        <f t="shared" si="10"/>
        <v>-2.691490669</v>
      </c>
      <c r="O96" s="24"/>
      <c r="P96" s="28">
        <f t="shared" si="14"/>
        <v>-186.4141148</v>
      </c>
      <c r="Q96" s="27">
        <f t="shared" si="15"/>
        <v>416.7178727</v>
      </c>
      <c r="R96" s="26"/>
      <c r="S96" s="14">
        <f t="shared" si="13"/>
        <v>-2.471585473</v>
      </c>
    </row>
    <row r="97">
      <c r="A97" s="11">
        <v>85.0</v>
      </c>
      <c r="B97" s="11">
        <v>1.4197652173913E9</v>
      </c>
      <c r="C97" s="2">
        <v>-102.2541733</v>
      </c>
      <c r="D97" s="24">
        <f t="shared" si="1"/>
        <v>-634782.6087</v>
      </c>
      <c r="E97" s="25">
        <f t="shared" si="2"/>
        <v>133.1529392</v>
      </c>
      <c r="F97" s="24">
        <f t="shared" si="3"/>
        <v>0.0002097614795</v>
      </c>
      <c r="G97" s="24">
        <f t="shared" si="4"/>
        <v>0</v>
      </c>
      <c r="H97" s="26">
        <f t="shared" si="5"/>
        <v>0</v>
      </c>
      <c r="I97" s="24">
        <f t="shared" si="6"/>
        <v>0</v>
      </c>
      <c r="J97" s="24">
        <f t="shared" si="7"/>
        <v>0</v>
      </c>
      <c r="K97" s="24"/>
      <c r="L97" s="24">
        <f t="shared" si="8"/>
        <v>452.5732048</v>
      </c>
      <c r="M97" s="30">
        <f t="shared" si="9"/>
        <v>450.9371085</v>
      </c>
      <c r="N97" s="27">
        <f t="shared" si="10"/>
        <v>1.636096264</v>
      </c>
      <c r="O97" s="24"/>
      <c r="P97" s="28">
        <f t="shared" si="14"/>
        <v>-187.332411</v>
      </c>
      <c r="Q97" s="27">
        <f t="shared" si="15"/>
        <v>416.7647291</v>
      </c>
      <c r="R97" s="26"/>
      <c r="S97" s="14">
        <f t="shared" si="13"/>
        <v>1.502420868</v>
      </c>
    </row>
    <row r="98">
      <c r="A98" s="11">
        <v>86.0</v>
      </c>
      <c r="B98" s="11">
        <v>1.41976956521739E9</v>
      </c>
      <c r="C98" s="2">
        <v>-102.2622375</v>
      </c>
      <c r="D98" s="24">
        <f t="shared" si="1"/>
        <v>-630434.7826</v>
      </c>
      <c r="E98" s="25">
        <f t="shared" si="2"/>
        <v>132.234643</v>
      </c>
      <c r="F98" s="24">
        <f t="shared" si="3"/>
        <v>0.0002097515027</v>
      </c>
      <c r="G98" s="24">
        <f t="shared" si="4"/>
        <v>0</v>
      </c>
      <c r="H98" s="26">
        <f t="shared" si="5"/>
        <v>0</v>
      </c>
      <c r="I98" s="24">
        <f t="shared" si="6"/>
        <v>0</v>
      </c>
      <c r="J98" s="24">
        <f t="shared" si="7"/>
        <v>0</v>
      </c>
      <c r="K98" s="24"/>
      <c r="L98" s="24">
        <f t="shared" si="8"/>
        <v>451.7336237</v>
      </c>
      <c r="M98" s="30">
        <f t="shared" si="9"/>
        <v>450.87351</v>
      </c>
      <c r="N98" s="27">
        <f t="shared" si="10"/>
        <v>0.860113607</v>
      </c>
      <c r="O98" s="24"/>
      <c r="P98" s="28">
        <f t="shared" si="14"/>
        <v>-188.2507071</v>
      </c>
      <c r="Q98" s="27">
        <f t="shared" si="15"/>
        <v>413.3683177</v>
      </c>
      <c r="R98" s="26"/>
      <c r="S98" s="14">
        <f t="shared" si="13"/>
        <v>0.7898389991</v>
      </c>
    </row>
    <row r="99">
      <c r="A99" s="11">
        <v>87.0</v>
      </c>
      <c r="B99" s="11">
        <v>1.41977391304347E9</v>
      </c>
      <c r="C99" s="2">
        <v>-102.2878036</v>
      </c>
      <c r="D99" s="24">
        <f t="shared" si="1"/>
        <v>-626086.9565</v>
      </c>
      <c r="E99" s="25">
        <f t="shared" si="2"/>
        <v>131.3163469</v>
      </c>
      <c r="F99" s="24">
        <f t="shared" si="3"/>
        <v>0.0002097413874</v>
      </c>
      <c r="G99" s="24">
        <f t="shared" si="4"/>
        <v>0</v>
      </c>
      <c r="H99" s="26">
        <f t="shared" si="5"/>
        <v>0</v>
      </c>
      <c r="I99" s="24">
        <f t="shared" si="6"/>
        <v>0</v>
      </c>
      <c r="J99" s="24">
        <f t="shared" si="7"/>
        <v>0</v>
      </c>
      <c r="K99" s="24"/>
      <c r="L99" s="24">
        <f t="shared" si="8"/>
        <v>449.0821647</v>
      </c>
      <c r="M99" s="30">
        <f t="shared" si="9"/>
        <v>450.8095926</v>
      </c>
      <c r="N99" s="27">
        <f t="shared" si="10"/>
        <v>-1.727427914</v>
      </c>
      <c r="O99" s="24"/>
      <c r="P99" s="28">
        <f t="shared" si="14"/>
        <v>-189.1690032</v>
      </c>
      <c r="Q99" s="27">
        <f t="shared" si="15"/>
        <v>413.4140645</v>
      </c>
      <c r="R99" s="26"/>
      <c r="S99" s="14">
        <f t="shared" si="13"/>
        <v>-1.586290373</v>
      </c>
    </row>
    <row r="100">
      <c r="A100" s="11">
        <v>88.0</v>
      </c>
      <c r="B100" s="11">
        <v>1.41977826086956E9</v>
      </c>
      <c r="C100" s="2">
        <v>-102.3995209</v>
      </c>
      <c r="D100" s="24">
        <f t="shared" si="1"/>
        <v>-621739.1304</v>
      </c>
      <c r="E100" s="25">
        <f t="shared" si="2"/>
        <v>130.3980508</v>
      </c>
      <c r="F100" s="24">
        <f t="shared" si="3"/>
        <v>0.0002097311306</v>
      </c>
      <c r="G100" s="24">
        <f t="shared" si="4"/>
        <v>0</v>
      </c>
      <c r="H100" s="26">
        <f t="shared" si="5"/>
        <v>0</v>
      </c>
      <c r="I100" s="24">
        <f t="shared" si="6"/>
        <v>0</v>
      </c>
      <c r="J100" s="24">
        <f t="shared" si="7"/>
        <v>0</v>
      </c>
      <c r="K100" s="24"/>
      <c r="L100" s="24">
        <f t="shared" si="8"/>
        <v>437.6773552</v>
      </c>
      <c r="M100" s="30">
        <f t="shared" si="9"/>
        <v>450.745357</v>
      </c>
      <c r="N100" s="27">
        <f t="shared" si="10"/>
        <v>-13.06800181</v>
      </c>
      <c r="O100" s="24"/>
      <c r="P100" s="28">
        <f t="shared" si="14"/>
        <v>-190.0872994</v>
      </c>
      <c r="Q100" s="27">
        <f t="shared" si="15"/>
        <v>412.5666678</v>
      </c>
      <c r="R100" s="26"/>
      <c r="S100" s="14">
        <f t="shared" si="13"/>
        <v>-12.00029549</v>
      </c>
    </row>
    <row r="101">
      <c r="A101" s="11">
        <v>89.0</v>
      </c>
      <c r="B101" s="11">
        <v>1.41978260869565E9</v>
      </c>
      <c r="C101" s="2">
        <v>-102.2927475</v>
      </c>
      <c r="D101" s="24">
        <f t="shared" si="1"/>
        <v>-617391.3043</v>
      </c>
      <c r="E101" s="25">
        <f t="shared" si="2"/>
        <v>129.4797546</v>
      </c>
      <c r="F101" s="24">
        <f t="shared" si="3"/>
        <v>0.0002097207293</v>
      </c>
      <c r="G101" s="24">
        <f t="shared" si="4"/>
        <v>0</v>
      </c>
      <c r="H101" s="26">
        <f t="shared" si="5"/>
        <v>0</v>
      </c>
      <c r="I101" s="24">
        <f t="shared" si="6"/>
        <v>0</v>
      </c>
      <c r="J101" s="24">
        <f t="shared" si="7"/>
        <v>0</v>
      </c>
      <c r="K101" s="24"/>
      <c r="L101" s="24">
        <f t="shared" si="8"/>
        <v>448.5712316</v>
      </c>
      <c r="M101" s="30">
        <f t="shared" si="9"/>
        <v>450.680804</v>
      </c>
      <c r="N101" s="27">
        <f t="shared" si="10"/>
        <v>-2.109572341</v>
      </c>
      <c r="O101" s="24"/>
      <c r="P101" s="28">
        <f t="shared" si="14"/>
        <v>-191.0055955</v>
      </c>
      <c r="Q101" s="27">
        <f t="shared" si="15"/>
        <v>412.6108817</v>
      </c>
      <c r="R101" s="26"/>
      <c r="S101" s="14">
        <f t="shared" si="13"/>
        <v>-1.937212123</v>
      </c>
    </row>
    <row r="102">
      <c r="A102" s="11">
        <v>90.0</v>
      </c>
      <c r="B102" s="11">
        <v>1.41978695652173E9</v>
      </c>
      <c r="C102" s="2">
        <v>-102.2722168</v>
      </c>
      <c r="D102" s="24">
        <f t="shared" si="1"/>
        <v>-613043.4783</v>
      </c>
      <c r="E102" s="25">
        <f t="shared" si="2"/>
        <v>128.5614585</v>
      </c>
      <c r="F102" s="24">
        <f t="shared" si="3"/>
        <v>0.0002097101805</v>
      </c>
      <c r="G102" s="24">
        <f t="shared" si="4"/>
        <v>0</v>
      </c>
      <c r="H102" s="26">
        <f t="shared" si="5"/>
        <v>0</v>
      </c>
      <c r="I102" s="24">
        <f t="shared" si="6"/>
        <v>0</v>
      </c>
      <c r="J102" s="24">
        <f t="shared" si="7"/>
        <v>0</v>
      </c>
      <c r="K102" s="24"/>
      <c r="L102" s="24">
        <f t="shared" si="8"/>
        <v>450.6968133</v>
      </c>
      <c r="M102" s="30">
        <f t="shared" si="9"/>
        <v>450.6159344</v>
      </c>
      <c r="N102" s="27">
        <f t="shared" si="10"/>
        <v>0.08087893039</v>
      </c>
      <c r="O102" s="24"/>
      <c r="P102" s="28">
        <f t="shared" si="14"/>
        <v>-191.9238916</v>
      </c>
      <c r="Q102" s="27">
        <f t="shared" si="15"/>
        <v>417.7675059</v>
      </c>
      <c r="R102" s="26"/>
      <c r="S102" s="14">
        <f t="shared" si="13"/>
        <v>0.074270809</v>
      </c>
    </row>
    <row r="103">
      <c r="A103" s="11">
        <v>91.0</v>
      </c>
      <c r="B103" s="11">
        <v>1.41979130434782E9</v>
      </c>
      <c r="C103" s="2">
        <v>-102.315094</v>
      </c>
      <c r="D103" s="24">
        <f t="shared" si="1"/>
        <v>-608695.6522</v>
      </c>
      <c r="E103" s="25">
        <f t="shared" si="2"/>
        <v>127.6431624</v>
      </c>
      <c r="F103" s="24">
        <f t="shared" si="3"/>
        <v>0.000209699481</v>
      </c>
      <c r="G103" s="24">
        <f t="shared" si="4"/>
        <v>0</v>
      </c>
      <c r="H103" s="26">
        <f t="shared" si="5"/>
        <v>0</v>
      </c>
      <c r="I103" s="24">
        <f t="shared" si="6"/>
        <v>0</v>
      </c>
      <c r="J103" s="24">
        <f t="shared" si="7"/>
        <v>0</v>
      </c>
      <c r="K103" s="24"/>
      <c r="L103" s="24">
        <f t="shared" si="8"/>
        <v>446.269049</v>
      </c>
      <c r="M103" s="30">
        <f t="shared" si="9"/>
        <v>450.5507491</v>
      </c>
      <c r="N103" s="27">
        <f t="shared" si="10"/>
        <v>-4.281700058</v>
      </c>
      <c r="O103" s="24"/>
      <c r="P103" s="28">
        <f t="shared" si="14"/>
        <v>-192.8421877</v>
      </c>
      <c r="Q103" s="27">
        <f t="shared" si="15"/>
        <v>410.2820222</v>
      </c>
      <c r="R103" s="26"/>
      <c r="S103" s="14">
        <f t="shared" si="13"/>
        <v>-3.931868606</v>
      </c>
    </row>
    <row r="104">
      <c r="A104" s="11">
        <v>92.0</v>
      </c>
      <c r="B104" s="11">
        <v>1.41979565217391E9</v>
      </c>
      <c r="C104" s="2">
        <v>-102.2555771</v>
      </c>
      <c r="D104" s="24">
        <f t="shared" si="1"/>
        <v>-604347.8261</v>
      </c>
      <c r="E104" s="25">
        <f t="shared" si="2"/>
        <v>126.7248662</v>
      </c>
      <c r="F104" s="24">
        <f t="shared" si="3"/>
        <v>0.0002096886276</v>
      </c>
      <c r="G104" s="24">
        <f t="shared" si="4"/>
        <v>0</v>
      </c>
      <c r="H104" s="26">
        <f t="shared" si="5"/>
        <v>0</v>
      </c>
      <c r="I104" s="24">
        <f t="shared" si="6"/>
        <v>0</v>
      </c>
      <c r="J104" s="24">
        <f t="shared" si="7"/>
        <v>0</v>
      </c>
      <c r="K104" s="24"/>
      <c r="L104" s="24">
        <f t="shared" si="8"/>
        <v>452.4269401</v>
      </c>
      <c r="M104" s="30">
        <f t="shared" si="9"/>
        <v>450.4852488</v>
      </c>
      <c r="N104" s="27">
        <f t="shared" si="10"/>
        <v>1.941691309</v>
      </c>
      <c r="O104" s="24"/>
      <c r="P104" s="28">
        <f t="shared" si="14"/>
        <v>-193.7604839</v>
      </c>
      <c r="Q104" s="27">
        <f t="shared" si="15"/>
        <v>410.911</v>
      </c>
      <c r="R104" s="26"/>
      <c r="S104" s="14">
        <f t="shared" si="13"/>
        <v>1.783047616</v>
      </c>
    </row>
    <row r="105">
      <c r="A105" s="11">
        <v>93.0</v>
      </c>
      <c r="B105" s="11">
        <v>1.4198E9</v>
      </c>
      <c r="C105" s="2">
        <v>-102.3375473</v>
      </c>
      <c r="D105" s="24">
        <f t="shared" si="1"/>
        <v>-600000</v>
      </c>
      <c r="E105" s="25">
        <f t="shared" si="2"/>
        <v>125.8065701</v>
      </c>
      <c r="F105" s="24">
        <f t="shared" si="3"/>
        <v>0.0002096776168</v>
      </c>
      <c r="G105" s="24">
        <f t="shared" si="4"/>
        <v>0</v>
      </c>
      <c r="H105" s="26">
        <f t="shared" si="5"/>
        <v>0</v>
      </c>
      <c r="I105" s="24">
        <f t="shared" si="6"/>
        <v>0</v>
      </c>
      <c r="J105" s="24">
        <f t="shared" si="7"/>
        <v>0</v>
      </c>
      <c r="K105" s="24"/>
      <c r="L105" s="24">
        <f t="shared" si="8"/>
        <v>443.9677637</v>
      </c>
      <c r="M105" s="30">
        <f t="shared" si="9"/>
        <v>450.4194343</v>
      </c>
      <c r="N105" s="27">
        <f t="shared" si="10"/>
        <v>-6.451670549</v>
      </c>
      <c r="O105" s="24"/>
      <c r="P105" s="28">
        <f t="shared" si="14"/>
        <v>-194.67878</v>
      </c>
      <c r="Q105" s="27">
        <f t="shared" si="15"/>
        <v>408.6104012</v>
      </c>
      <c r="R105" s="26"/>
      <c r="S105" s="14">
        <f t="shared" si="13"/>
        <v>-5.924544115</v>
      </c>
    </row>
    <row r="106">
      <c r="A106" s="11">
        <v>94.0</v>
      </c>
      <c r="B106" s="11">
        <v>1.41980434782608E9</v>
      </c>
      <c r="C106" s="2">
        <v>-102.3188095</v>
      </c>
      <c r="D106" s="24">
        <f t="shared" si="1"/>
        <v>-595652.1739</v>
      </c>
      <c r="E106" s="25">
        <f t="shared" si="2"/>
        <v>124.888274</v>
      </c>
      <c r="F106" s="24">
        <f t="shared" si="3"/>
        <v>0.0002096664454</v>
      </c>
      <c r="G106" s="24">
        <f t="shared" si="4"/>
        <v>0</v>
      </c>
      <c r="H106" s="26">
        <f t="shared" si="5"/>
        <v>0</v>
      </c>
      <c r="I106" s="24">
        <f t="shared" si="6"/>
        <v>0</v>
      </c>
      <c r="J106" s="24">
        <f t="shared" si="7"/>
        <v>0</v>
      </c>
      <c r="K106" s="24"/>
      <c r="L106" s="24">
        <f t="shared" si="8"/>
        <v>445.8874177</v>
      </c>
      <c r="M106" s="30">
        <f t="shared" si="9"/>
        <v>450.3533065</v>
      </c>
      <c r="N106" s="27">
        <f t="shared" si="10"/>
        <v>-4.46588876</v>
      </c>
      <c r="O106" s="24"/>
      <c r="P106" s="28">
        <f t="shared" si="14"/>
        <v>-195.5970761</v>
      </c>
      <c r="Q106" s="27">
        <f t="shared" si="15"/>
        <v>411.1976816</v>
      </c>
      <c r="R106" s="26"/>
      <c r="S106" s="14">
        <f t="shared" si="13"/>
        <v>-4.101008378</v>
      </c>
    </row>
    <row r="107">
      <c r="A107" s="11">
        <v>95.0</v>
      </c>
      <c r="B107" s="11">
        <v>1.41980869565217E9</v>
      </c>
      <c r="C107" s="2">
        <v>-102.3062973</v>
      </c>
      <c r="D107" s="24">
        <f t="shared" si="1"/>
        <v>-591304.3478</v>
      </c>
      <c r="E107" s="25">
        <f t="shared" si="2"/>
        <v>123.9699778</v>
      </c>
      <c r="F107" s="24">
        <f t="shared" si="3"/>
        <v>0.0002096551096</v>
      </c>
      <c r="G107" s="24">
        <f t="shared" si="4"/>
        <v>0</v>
      </c>
      <c r="H107" s="26">
        <f t="shared" si="5"/>
        <v>0</v>
      </c>
      <c r="I107" s="24">
        <f t="shared" si="6"/>
        <v>0</v>
      </c>
      <c r="J107" s="24">
        <f t="shared" si="7"/>
        <v>0</v>
      </c>
      <c r="K107" s="24"/>
      <c r="L107" s="24">
        <f t="shared" si="8"/>
        <v>447.1738897</v>
      </c>
      <c r="M107" s="30">
        <f t="shared" si="9"/>
        <v>450.2868661</v>
      </c>
      <c r="N107" s="27">
        <f t="shared" si="10"/>
        <v>-3.112976374</v>
      </c>
      <c r="O107" s="24"/>
      <c r="P107" s="28">
        <f t="shared" si="14"/>
        <v>-196.5153723</v>
      </c>
      <c r="Q107" s="27">
        <f t="shared" si="15"/>
        <v>418.1434396</v>
      </c>
      <c r="R107" s="26"/>
      <c r="S107" s="14">
        <f t="shared" si="13"/>
        <v>-2.858634159</v>
      </c>
    </row>
    <row r="108">
      <c r="A108" s="11">
        <v>96.0</v>
      </c>
      <c r="B108" s="11">
        <v>1.41981304347826E9</v>
      </c>
      <c r="C108" s="2">
        <v>-102.3331985</v>
      </c>
      <c r="D108" s="24">
        <f t="shared" si="1"/>
        <v>-586956.5217</v>
      </c>
      <c r="E108" s="25">
        <f t="shared" si="2"/>
        <v>123.0516817</v>
      </c>
      <c r="F108" s="24">
        <f t="shared" si="3"/>
        <v>0.0002096436059</v>
      </c>
      <c r="G108" s="24">
        <f t="shared" si="4"/>
        <v>0</v>
      </c>
      <c r="H108" s="26">
        <f t="shared" si="5"/>
        <v>0</v>
      </c>
      <c r="I108" s="24">
        <f t="shared" si="6"/>
        <v>0</v>
      </c>
      <c r="J108" s="24">
        <f t="shared" si="7"/>
        <v>0</v>
      </c>
      <c r="K108" s="24"/>
      <c r="L108" s="24">
        <f t="shared" si="8"/>
        <v>444.4125527</v>
      </c>
      <c r="M108" s="30">
        <f t="shared" si="9"/>
        <v>450.220114</v>
      </c>
      <c r="N108" s="27">
        <f t="shared" si="10"/>
        <v>-5.807561265</v>
      </c>
      <c r="O108" s="24"/>
      <c r="P108" s="28">
        <f t="shared" si="14"/>
        <v>-197.4336684</v>
      </c>
      <c r="Q108" s="27">
        <f t="shared" si="15"/>
        <v>409.8987533</v>
      </c>
      <c r="R108" s="26"/>
      <c r="S108" s="14">
        <f t="shared" si="13"/>
        <v>-5.333061051</v>
      </c>
    </row>
    <row r="109">
      <c r="A109" s="11">
        <v>97.0</v>
      </c>
      <c r="B109" s="11">
        <v>1.41981739130434E9</v>
      </c>
      <c r="C109" s="2">
        <v>-102.2883453</v>
      </c>
      <c r="D109" s="24">
        <f t="shared" si="1"/>
        <v>-582608.6957</v>
      </c>
      <c r="E109" s="25">
        <f t="shared" si="2"/>
        <v>122.1333856</v>
      </c>
      <c r="F109" s="24">
        <f t="shared" si="3"/>
        <v>0.0002096319305</v>
      </c>
      <c r="G109" s="24">
        <f t="shared" si="4"/>
        <v>0</v>
      </c>
      <c r="H109" s="26">
        <f t="shared" si="5"/>
        <v>0</v>
      </c>
      <c r="I109" s="24">
        <f t="shared" si="6"/>
        <v>0</v>
      </c>
      <c r="J109" s="24">
        <f t="shared" si="7"/>
        <v>0</v>
      </c>
      <c r="K109" s="24"/>
      <c r="L109" s="24">
        <f t="shared" si="8"/>
        <v>449.0261537</v>
      </c>
      <c r="M109" s="30">
        <f t="shared" si="9"/>
        <v>450.1530509</v>
      </c>
      <c r="N109" s="27">
        <f t="shared" si="10"/>
        <v>-1.126897239</v>
      </c>
      <c r="O109" s="24"/>
      <c r="P109" s="28">
        <f t="shared" si="14"/>
        <v>-198.3519645</v>
      </c>
      <c r="Q109" s="27">
        <f t="shared" si="15"/>
        <v>410.9369918</v>
      </c>
      <c r="R109" s="26"/>
      <c r="S109" s="14">
        <f t="shared" si="13"/>
        <v>-1.034825377</v>
      </c>
    </row>
    <row r="110">
      <c r="A110" s="11">
        <v>98.0</v>
      </c>
      <c r="B110" s="11">
        <v>1.41982173913043E9</v>
      </c>
      <c r="C110" s="2">
        <v>-102.2911453</v>
      </c>
      <c r="D110" s="24">
        <f t="shared" si="1"/>
        <v>-578260.8696</v>
      </c>
      <c r="E110" s="25">
        <f t="shared" si="2"/>
        <v>121.2150894</v>
      </c>
      <c r="F110" s="24">
        <f t="shared" si="3"/>
        <v>0.0002096200795</v>
      </c>
      <c r="G110" s="24">
        <f t="shared" si="4"/>
        <v>0</v>
      </c>
      <c r="H110" s="26">
        <f t="shared" si="5"/>
        <v>0</v>
      </c>
      <c r="I110" s="24">
        <f t="shared" si="6"/>
        <v>0</v>
      </c>
      <c r="J110" s="24">
        <f t="shared" si="7"/>
        <v>0</v>
      </c>
      <c r="K110" s="24"/>
      <c r="L110" s="24">
        <f t="shared" si="8"/>
        <v>448.7367491</v>
      </c>
      <c r="M110" s="30">
        <f t="shared" si="9"/>
        <v>450.0856777</v>
      </c>
      <c r="N110" s="27">
        <f t="shared" si="10"/>
        <v>-1.348928588</v>
      </c>
      <c r="O110" s="24"/>
      <c r="P110" s="28">
        <f t="shared" si="14"/>
        <v>-199.2702607</v>
      </c>
      <c r="Q110" s="27">
        <f t="shared" si="15"/>
        <v>406.1899346</v>
      </c>
      <c r="R110" s="26"/>
      <c r="S110" s="14">
        <f t="shared" si="13"/>
        <v>-1.238715903</v>
      </c>
    </row>
    <row r="111">
      <c r="A111" s="11">
        <v>99.0</v>
      </c>
      <c r="B111" s="11">
        <v>1.41982608695652E9</v>
      </c>
      <c r="C111" s="2">
        <v>-102.2644653</v>
      </c>
      <c r="D111" s="24">
        <f t="shared" si="1"/>
        <v>-573913.0435</v>
      </c>
      <c r="E111" s="25">
        <f t="shared" si="2"/>
        <v>120.2967933</v>
      </c>
      <c r="F111" s="24">
        <f t="shared" si="3"/>
        <v>0.000209608049</v>
      </c>
      <c r="G111" s="24">
        <f t="shared" si="4"/>
        <v>0</v>
      </c>
      <c r="H111" s="26">
        <f t="shared" si="5"/>
        <v>0</v>
      </c>
      <c r="I111" s="24">
        <f t="shared" si="6"/>
        <v>0</v>
      </c>
      <c r="J111" s="24">
        <f t="shared" si="7"/>
        <v>0</v>
      </c>
      <c r="K111" s="24"/>
      <c r="L111" s="24">
        <f t="shared" si="8"/>
        <v>451.5019573</v>
      </c>
      <c r="M111" s="30">
        <f t="shared" si="9"/>
        <v>450.0179952</v>
      </c>
      <c r="N111" s="27">
        <f t="shared" si="10"/>
        <v>1.483962147</v>
      </c>
      <c r="O111" s="24"/>
      <c r="P111" s="28">
        <f t="shared" si="14"/>
        <v>-200.1885568</v>
      </c>
      <c r="Q111" s="27">
        <f t="shared" si="15"/>
        <v>418.7123757</v>
      </c>
      <c r="R111" s="26"/>
      <c r="S111" s="14">
        <f t="shared" si="13"/>
        <v>1.362716701</v>
      </c>
    </row>
    <row r="112">
      <c r="A112" s="11">
        <v>100.0</v>
      </c>
      <c r="B112" s="11">
        <v>1.4198304347826E9</v>
      </c>
      <c r="C112" s="2">
        <v>-102.2831955</v>
      </c>
      <c r="D112" s="24">
        <f t="shared" si="1"/>
        <v>-569565.2174</v>
      </c>
      <c r="E112" s="25">
        <f t="shared" si="2"/>
        <v>119.3784972</v>
      </c>
      <c r="F112" s="24">
        <f t="shared" si="3"/>
        <v>0.0002095958347</v>
      </c>
      <c r="G112" s="24">
        <f t="shared" si="4"/>
        <v>0</v>
      </c>
      <c r="H112" s="26">
        <f t="shared" si="5"/>
        <v>0</v>
      </c>
      <c r="I112" s="24">
        <f t="shared" si="6"/>
        <v>0</v>
      </c>
      <c r="J112" s="24">
        <f t="shared" si="7"/>
        <v>0</v>
      </c>
      <c r="K112" s="24"/>
      <c r="L112" s="24">
        <f t="shared" si="8"/>
        <v>449.5589181</v>
      </c>
      <c r="M112" s="30">
        <f t="shared" si="9"/>
        <v>449.9500041</v>
      </c>
      <c r="N112" s="27">
        <f t="shared" si="10"/>
        <v>-0.3910859922</v>
      </c>
      <c r="O112" s="24"/>
      <c r="P112" s="28">
        <f t="shared" si="14"/>
        <v>-201.1068529</v>
      </c>
      <c r="Q112" s="27">
        <f t="shared" si="15"/>
        <v>410.0989878</v>
      </c>
      <c r="R112" s="26"/>
      <c r="S112" s="14">
        <f t="shared" si="13"/>
        <v>-0.3591327542</v>
      </c>
      <c r="U112" s="21"/>
      <c r="V112" s="21"/>
    </row>
    <row r="113">
      <c r="A113" s="11">
        <v>101.0</v>
      </c>
      <c r="B113" s="11">
        <v>1.41983478260869E9</v>
      </c>
      <c r="C113" s="2">
        <v>-102.3220673</v>
      </c>
      <c r="D113" s="24">
        <f t="shared" si="1"/>
        <v>-565217.3913</v>
      </c>
      <c r="E113" s="25">
        <f t="shared" si="2"/>
        <v>118.460201</v>
      </c>
      <c r="F113" s="24">
        <f t="shared" si="3"/>
        <v>0.0002095834326</v>
      </c>
      <c r="G113" s="24">
        <f t="shared" si="4"/>
        <v>0</v>
      </c>
      <c r="H113" s="26">
        <f t="shared" si="5"/>
        <v>0</v>
      </c>
      <c r="I113" s="24">
        <f t="shared" si="6"/>
        <v>0</v>
      </c>
      <c r="J113" s="24">
        <f t="shared" si="7"/>
        <v>0</v>
      </c>
      <c r="K113" s="24"/>
      <c r="L113" s="24">
        <f t="shared" si="8"/>
        <v>445.5530669</v>
      </c>
      <c r="M113" s="30">
        <f t="shared" si="9"/>
        <v>449.8817053</v>
      </c>
      <c r="N113" s="27">
        <f t="shared" si="10"/>
        <v>-4.328638415</v>
      </c>
      <c r="O113" s="24"/>
      <c r="P113" s="28">
        <f t="shared" si="14"/>
        <v>-202.0251491</v>
      </c>
      <c r="Q113" s="27">
        <f t="shared" si="15"/>
        <v>411.9170584</v>
      </c>
      <c r="R113" s="26"/>
      <c r="S113" s="14">
        <f t="shared" si="13"/>
        <v>-3.974971917</v>
      </c>
      <c r="U113" s="21"/>
      <c r="V113" s="21"/>
    </row>
    <row r="114">
      <c r="A114" s="11">
        <v>102.0</v>
      </c>
      <c r="B114" s="11">
        <v>1.41983913043478E9</v>
      </c>
      <c r="C114" s="2">
        <v>-102.3070221</v>
      </c>
      <c r="D114" s="24">
        <f t="shared" si="1"/>
        <v>-560869.5652</v>
      </c>
      <c r="E114" s="25">
        <f t="shared" si="2"/>
        <v>117.5419049</v>
      </c>
      <c r="F114" s="24">
        <f t="shared" si="3"/>
        <v>0.0002095708382</v>
      </c>
      <c r="G114" s="24">
        <f t="shared" si="4"/>
        <v>0</v>
      </c>
      <c r="H114" s="26">
        <f t="shared" si="5"/>
        <v>0</v>
      </c>
      <c r="I114" s="24">
        <f t="shared" si="6"/>
        <v>0</v>
      </c>
      <c r="J114" s="24">
        <f t="shared" si="7"/>
        <v>0</v>
      </c>
      <c r="K114" s="24"/>
      <c r="L114" s="24">
        <f t="shared" si="8"/>
        <v>447.0992665</v>
      </c>
      <c r="M114" s="30">
        <f t="shared" si="9"/>
        <v>449.8130995</v>
      </c>
      <c r="N114" s="27">
        <f t="shared" si="10"/>
        <v>-2.713833027</v>
      </c>
      <c r="O114" s="24"/>
      <c r="P114" s="28">
        <f t="shared" si="14"/>
        <v>-202.9434452</v>
      </c>
      <c r="Q114" s="27">
        <f t="shared" si="15"/>
        <v>418.8168416</v>
      </c>
      <c r="R114" s="26"/>
      <c r="S114" s="14">
        <f t="shared" si="13"/>
        <v>-2.492102368</v>
      </c>
      <c r="U114" s="21"/>
      <c r="V114" s="21"/>
    </row>
    <row r="115">
      <c r="A115" s="11">
        <v>103.0</v>
      </c>
      <c r="B115" s="11">
        <v>1.41984347826087E9</v>
      </c>
      <c r="C115" s="2">
        <v>-102.2722626</v>
      </c>
      <c r="D115" s="24">
        <f t="shared" si="1"/>
        <v>-556521.7391</v>
      </c>
      <c r="E115" s="25">
        <f t="shared" si="2"/>
        <v>116.6236088</v>
      </c>
      <c r="F115" s="24">
        <f t="shared" si="3"/>
        <v>0.000209558047</v>
      </c>
      <c r="G115" s="24">
        <f t="shared" si="4"/>
        <v>0</v>
      </c>
      <c r="H115" s="26">
        <f t="shared" si="5"/>
        <v>0</v>
      </c>
      <c r="I115" s="24">
        <f t="shared" si="6"/>
        <v>0</v>
      </c>
      <c r="J115" s="24">
        <f t="shared" si="7"/>
        <v>0</v>
      </c>
      <c r="K115" s="24"/>
      <c r="L115" s="24">
        <f t="shared" si="8"/>
        <v>450.6920604</v>
      </c>
      <c r="M115" s="30">
        <f t="shared" si="9"/>
        <v>449.7441877</v>
      </c>
      <c r="N115" s="27">
        <f t="shared" si="10"/>
        <v>0.9478727142</v>
      </c>
      <c r="O115" s="24"/>
      <c r="P115" s="28">
        <f t="shared" si="14"/>
        <v>-203.8617413</v>
      </c>
      <c r="Q115" s="27">
        <f t="shared" si="15"/>
        <v>413.3864692</v>
      </c>
      <c r="R115" s="26"/>
      <c r="S115" s="14">
        <f t="shared" si="13"/>
        <v>0.8704278478</v>
      </c>
      <c r="U115" s="21"/>
      <c r="V115" s="21"/>
    </row>
    <row r="116">
      <c r="A116" s="11">
        <v>104.0</v>
      </c>
      <c r="B116" s="11">
        <v>1.41984782608695E9</v>
      </c>
      <c r="C116" s="2">
        <v>-102.3528519</v>
      </c>
      <c r="D116" s="24">
        <f t="shared" si="1"/>
        <v>-552173.913</v>
      </c>
      <c r="E116" s="25">
        <f t="shared" si="2"/>
        <v>115.7053126</v>
      </c>
      <c r="F116" s="24">
        <f t="shared" si="3"/>
        <v>0.0002095450544</v>
      </c>
      <c r="G116" s="24">
        <f t="shared" si="4"/>
        <v>0</v>
      </c>
      <c r="H116" s="26">
        <f t="shared" si="5"/>
        <v>0</v>
      </c>
      <c r="I116" s="24">
        <f t="shared" si="6"/>
        <v>0</v>
      </c>
      <c r="J116" s="24">
        <f t="shared" si="7"/>
        <v>0</v>
      </c>
      <c r="K116" s="24"/>
      <c r="L116" s="24">
        <f t="shared" si="8"/>
        <v>442.4059685</v>
      </c>
      <c r="M116" s="30">
        <f t="shared" si="9"/>
        <v>449.6749705</v>
      </c>
      <c r="N116" s="27">
        <f t="shared" si="10"/>
        <v>-7.269001989</v>
      </c>
      <c r="O116" s="24"/>
      <c r="P116" s="28">
        <f t="shared" si="14"/>
        <v>-204.7800375</v>
      </c>
      <c r="Q116" s="27">
        <f t="shared" si="15"/>
        <v>413.4917866</v>
      </c>
      <c r="R116" s="26"/>
      <c r="S116" s="14">
        <f t="shared" si="13"/>
        <v>-6.675096416</v>
      </c>
      <c r="U116" s="21"/>
      <c r="V116" s="21"/>
    </row>
    <row r="117">
      <c r="A117" s="11">
        <v>105.0</v>
      </c>
      <c r="B117" s="11">
        <v>1.41985217391304E9</v>
      </c>
      <c r="C117" s="2">
        <v>-102.3650742</v>
      </c>
      <c r="D117" s="24">
        <f t="shared" si="1"/>
        <v>-547826.087</v>
      </c>
      <c r="E117" s="25">
        <f t="shared" si="2"/>
        <v>114.7870165</v>
      </c>
      <c r="F117" s="24">
        <f t="shared" si="3"/>
        <v>0.0002095318555</v>
      </c>
      <c r="G117" s="24">
        <f t="shared" si="4"/>
        <v>0</v>
      </c>
      <c r="H117" s="26">
        <f t="shared" si="5"/>
        <v>0</v>
      </c>
      <c r="I117" s="24">
        <f t="shared" si="6"/>
        <v>0</v>
      </c>
      <c r="J117" s="24">
        <f t="shared" si="7"/>
        <v>0</v>
      </c>
      <c r="K117" s="24"/>
      <c r="L117" s="24">
        <f t="shared" si="8"/>
        <v>441.1626607</v>
      </c>
      <c r="M117" s="30">
        <f t="shared" si="9"/>
        <v>449.6054487</v>
      </c>
      <c r="N117" s="27">
        <f t="shared" si="10"/>
        <v>-8.442788004</v>
      </c>
      <c r="O117" s="24"/>
      <c r="P117" s="28">
        <f t="shared" si="14"/>
        <v>-205.6983336</v>
      </c>
      <c r="Q117" s="27">
        <f t="shared" si="15"/>
        <v>412.9328346</v>
      </c>
      <c r="R117" s="26"/>
      <c r="S117" s="14">
        <f t="shared" si="13"/>
        <v>-7.752979556</v>
      </c>
      <c r="U117" s="21"/>
      <c r="V117" s="21"/>
    </row>
    <row r="118">
      <c r="A118" s="11">
        <v>106.0</v>
      </c>
      <c r="B118" s="11">
        <v>1.41985652173913E9</v>
      </c>
      <c r="C118" s="2">
        <v>-102.2934036</v>
      </c>
      <c r="D118" s="24">
        <f t="shared" si="1"/>
        <v>-543478.2609</v>
      </c>
      <c r="E118" s="25">
        <f t="shared" si="2"/>
        <v>113.8687204</v>
      </c>
      <c r="F118" s="24">
        <f t="shared" si="3"/>
        <v>0.0002095184455</v>
      </c>
      <c r="G118" s="24">
        <f t="shared" si="4"/>
        <v>0</v>
      </c>
      <c r="H118" s="26">
        <f t="shared" si="5"/>
        <v>0</v>
      </c>
      <c r="I118" s="24">
        <f t="shared" si="6"/>
        <v>0</v>
      </c>
      <c r="J118" s="24">
        <f t="shared" si="7"/>
        <v>0</v>
      </c>
      <c r="K118" s="24"/>
      <c r="L118" s="24">
        <f t="shared" si="8"/>
        <v>448.5034699</v>
      </c>
      <c r="M118" s="30">
        <f t="shared" si="9"/>
        <v>449.5356233</v>
      </c>
      <c r="N118" s="27">
        <f t="shared" si="10"/>
        <v>-1.032153402</v>
      </c>
      <c r="O118" s="24"/>
      <c r="P118" s="28">
        <f t="shared" si="14"/>
        <v>-206.6166297</v>
      </c>
      <c r="Q118" s="27">
        <f t="shared" si="15"/>
        <v>414.4917849</v>
      </c>
      <c r="R118" s="26"/>
      <c r="S118" s="14">
        <f t="shared" si="13"/>
        <v>-0.9478224775</v>
      </c>
      <c r="U118" s="21"/>
      <c r="V118" s="21"/>
    </row>
    <row r="119">
      <c r="A119" s="11">
        <v>107.0</v>
      </c>
      <c r="B119" s="11">
        <v>1.41986086956521E9</v>
      </c>
      <c r="C119" s="2">
        <v>-102.3215103</v>
      </c>
      <c r="D119" s="24">
        <f t="shared" si="1"/>
        <v>-539130.4348</v>
      </c>
      <c r="E119" s="25">
        <f t="shared" si="2"/>
        <v>112.9504243</v>
      </c>
      <c r="F119" s="24">
        <f t="shared" si="3"/>
        <v>0.0002095048192</v>
      </c>
      <c r="G119" s="24">
        <f t="shared" si="4"/>
        <v>0</v>
      </c>
      <c r="H119" s="26">
        <f t="shared" si="5"/>
        <v>0</v>
      </c>
      <c r="I119" s="24">
        <f t="shared" si="6"/>
        <v>0</v>
      </c>
      <c r="J119" s="24">
        <f t="shared" si="7"/>
        <v>0</v>
      </c>
      <c r="K119" s="24"/>
      <c r="L119" s="24">
        <f t="shared" si="8"/>
        <v>445.6102145</v>
      </c>
      <c r="M119" s="30">
        <f t="shared" si="9"/>
        <v>449.465495</v>
      </c>
      <c r="N119" s="27">
        <f t="shared" si="10"/>
        <v>-3.855280491</v>
      </c>
      <c r="O119" s="24"/>
      <c r="P119" s="28">
        <f t="shared" si="14"/>
        <v>-207.5349259</v>
      </c>
      <c r="Q119" s="27">
        <f t="shared" si="15"/>
        <v>414.3054224</v>
      </c>
      <c r="R119" s="26"/>
      <c r="S119" s="14">
        <f t="shared" si="13"/>
        <v>-3.540289165</v>
      </c>
      <c r="U119" s="21"/>
      <c r="V119" s="21"/>
    </row>
    <row r="120">
      <c r="A120" s="11">
        <v>108.0</v>
      </c>
      <c r="B120" s="11">
        <v>1.4198652173913E9</v>
      </c>
      <c r="C120" s="2">
        <v>-102.3096924</v>
      </c>
      <c r="D120" s="24">
        <f t="shared" si="1"/>
        <v>-534782.6087</v>
      </c>
      <c r="E120" s="25">
        <f t="shared" si="2"/>
        <v>112.0321281</v>
      </c>
      <c r="F120" s="24">
        <f t="shared" si="3"/>
        <v>0.0002094909713</v>
      </c>
      <c r="G120" s="24">
        <f t="shared" si="4"/>
        <v>0</v>
      </c>
      <c r="H120" s="26">
        <f t="shared" si="5"/>
        <v>0</v>
      </c>
      <c r="I120" s="24">
        <f t="shared" si="6"/>
        <v>0</v>
      </c>
      <c r="J120" s="24">
        <f t="shared" si="7"/>
        <v>0</v>
      </c>
      <c r="K120" s="24"/>
      <c r="L120" s="24">
        <f t="shared" si="8"/>
        <v>446.8244479</v>
      </c>
      <c r="M120" s="30">
        <f t="shared" si="9"/>
        <v>449.3950645</v>
      </c>
      <c r="N120" s="27">
        <f t="shared" si="10"/>
        <v>-2.570616662</v>
      </c>
      <c r="O120" s="24"/>
      <c r="P120" s="28">
        <f t="shared" si="14"/>
        <v>-208.453222</v>
      </c>
      <c r="Q120" s="27">
        <f t="shared" si="15"/>
        <v>410.3807751</v>
      </c>
      <c r="R120" s="26"/>
      <c r="S120" s="14">
        <f t="shared" si="13"/>
        <v>-2.360587335</v>
      </c>
      <c r="U120" s="21"/>
      <c r="V120" s="21"/>
    </row>
    <row r="121">
      <c r="A121" s="11">
        <v>109.0</v>
      </c>
      <c r="B121" s="11">
        <v>1.41986956521739E9</v>
      </c>
      <c r="C121" s="2">
        <v>-102.27668</v>
      </c>
      <c r="D121" s="24">
        <f t="shared" si="1"/>
        <v>-530434.7826</v>
      </c>
      <c r="E121" s="25">
        <f t="shared" si="2"/>
        <v>111.113832</v>
      </c>
      <c r="F121" s="24">
        <f t="shared" si="3"/>
        <v>0.0002094768964</v>
      </c>
      <c r="G121" s="24">
        <f t="shared" si="4"/>
        <v>0</v>
      </c>
      <c r="H121" s="26">
        <f t="shared" si="5"/>
        <v>0</v>
      </c>
      <c r="I121" s="24">
        <f t="shared" si="6"/>
        <v>0</v>
      </c>
      <c r="J121" s="24">
        <f t="shared" si="7"/>
        <v>0</v>
      </c>
      <c r="K121" s="24"/>
      <c r="L121" s="24">
        <f t="shared" si="8"/>
        <v>450.2338747</v>
      </c>
      <c r="M121" s="30">
        <f t="shared" si="9"/>
        <v>449.3243328</v>
      </c>
      <c r="N121" s="27">
        <f t="shared" si="10"/>
        <v>0.9095419731</v>
      </c>
      <c r="O121" s="24"/>
      <c r="P121" s="28">
        <f t="shared" si="14"/>
        <v>-209.3715181</v>
      </c>
      <c r="Q121" s="27">
        <f t="shared" si="15"/>
        <v>410.6504919</v>
      </c>
      <c r="R121" s="26"/>
      <c r="S121" s="14">
        <f t="shared" si="13"/>
        <v>0.8352288765</v>
      </c>
      <c r="U121" s="21"/>
      <c r="V121" s="21"/>
    </row>
    <row r="122">
      <c r="A122" s="11">
        <v>110.0</v>
      </c>
      <c r="B122" s="11">
        <v>1.41987391304347E9</v>
      </c>
      <c r="C122" s="2">
        <v>-102.2889633</v>
      </c>
      <c r="D122" s="24">
        <f t="shared" si="1"/>
        <v>-526086.9565</v>
      </c>
      <c r="E122" s="25">
        <f t="shared" si="2"/>
        <v>110.1955359</v>
      </c>
      <c r="F122" s="24">
        <f t="shared" si="3"/>
        <v>0.0002094625888</v>
      </c>
      <c r="G122" s="24">
        <f t="shared" si="4"/>
        <v>0</v>
      </c>
      <c r="H122" s="26">
        <f t="shared" si="5"/>
        <v>0</v>
      </c>
      <c r="I122" s="24">
        <f t="shared" si="6"/>
        <v>0</v>
      </c>
      <c r="J122" s="24">
        <f t="shared" si="7"/>
        <v>0</v>
      </c>
      <c r="K122" s="24"/>
      <c r="L122" s="24">
        <f t="shared" si="8"/>
        <v>448.9622619</v>
      </c>
      <c r="M122" s="30">
        <f t="shared" si="9"/>
        <v>449.2533005</v>
      </c>
      <c r="N122" s="27">
        <f t="shared" si="10"/>
        <v>-0.2910385759</v>
      </c>
      <c r="O122" s="24"/>
      <c r="P122" s="28">
        <f t="shared" si="14"/>
        <v>-210.2898143</v>
      </c>
      <c r="Q122" s="27">
        <f t="shared" si="15"/>
        <v>413.882046</v>
      </c>
      <c r="R122" s="26"/>
      <c r="S122" s="14">
        <f t="shared" si="13"/>
        <v>-0.2672595987</v>
      </c>
      <c r="U122" s="21"/>
      <c r="V122" s="21"/>
    </row>
    <row r="123">
      <c r="A123" s="11">
        <v>111.0</v>
      </c>
      <c r="B123" s="11">
        <v>1.41987826086956E9</v>
      </c>
      <c r="C123" s="2">
        <v>-102.3472672</v>
      </c>
      <c r="D123" s="24">
        <f t="shared" si="1"/>
        <v>-521739.1304</v>
      </c>
      <c r="E123" s="25">
        <f t="shared" si="2"/>
        <v>109.2772397</v>
      </c>
      <c r="F123" s="24">
        <f t="shared" si="3"/>
        <v>0.0002094480428</v>
      </c>
      <c r="G123" s="24">
        <f t="shared" si="4"/>
        <v>0</v>
      </c>
      <c r="H123" s="26">
        <f t="shared" si="5"/>
        <v>0</v>
      </c>
      <c r="I123" s="24">
        <f t="shared" si="6"/>
        <v>0</v>
      </c>
      <c r="J123" s="24">
        <f t="shared" si="7"/>
        <v>0</v>
      </c>
      <c r="K123" s="24"/>
      <c r="L123" s="24">
        <f t="shared" si="8"/>
        <v>442.9752352</v>
      </c>
      <c r="M123" s="30">
        <f t="shared" si="9"/>
        <v>449.1819685</v>
      </c>
      <c r="N123" s="27">
        <f t="shared" si="10"/>
        <v>-6.206733363</v>
      </c>
      <c r="O123" s="24"/>
      <c r="P123" s="28">
        <f t="shared" si="14"/>
        <v>-211.2081104</v>
      </c>
      <c r="Q123" s="27">
        <f t="shared" si="15"/>
        <v>419.2069724</v>
      </c>
      <c r="R123" s="26"/>
      <c r="S123" s="14">
        <f t="shared" si="13"/>
        <v>-5.699619231</v>
      </c>
      <c r="U123" s="21"/>
      <c r="V123" s="21"/>
    </row>
    <row r="124">
      <c r="A124" s="11">
        <v>112.0</v>
      </c>
      <c r="B124" s="11">
        <v>1.41988260869565E9</v>
      </c>
      <c r="C124" s="2">
        <v>-102.3474808</v>
      </c>
      <c r="D124" s="24">
        <f t="shared" si="1"/>
        <v>-517391.3043</v>
      </c>
      <c r="E124" s="25">
        <f t="shared" si="2"/>
        <v>108.3589436</v>
      </c>
      <c r="F124" s="24">
        <f t="shared" si="3"/>
        <v>0.0002094332523</v>
      </c>
      <c r="G124" s="24">
        <f t="shared" si="4"/>
        <v>0</v>
      </c>
      <c r="H124" s="26">
        <f t="shared" si="5"/>
        <v>0</v>
      </c>
      <c r="I124" s="24">
        <f t="shared" si="6"/>
        <v>0</v>
      </c>
      <c r="J124" s="24">
        <f t="shared" si="7"/>
        <v>0</v>
      </c>
      <c r="K124" s="24"/>
      <c r="L124" s="24">
        <f t="shared" si="8"/>
        <v>442.9534488</v>
      </c>
      <c r="M124" s="30">
        <f t="shared" si="9"/>
        <v>449.1103377</v>
      </c>
      <c r="N124" s="27">
        <f t="shared" si="10"/>
        <v>-6.156888916</v>
      </c>
      <c r="O124" s="24"/>
      <c r="P124" s="28"/>
      <c r="Q124" s="27"/>
      <c r="R124" s="26"/>
      <c r="S124" s="14">
        <f t="shared" si="13"/>
        <v>-5.653847282</v>
      </c>
      <c r="U124" s="21"/>
      <c r="V124" s="21"/>
    </row>
    <row r="125">
      <c r="A125" s="11">
        <v>113.0</v>
      </c>
      <c r="B125" s="11">
        <v>1.41988695652173E9</v>
      </c>
      <c r="C125" s="2">
        <v>-102.3187637</v>
      </c>
      <c r="D125" s="24">
        <f t="shared" si="1"/>
        <v>-513043.4783</v>
      </c>
      <c r="E125" s="25">
        <f t="shared" si="2"/>
        <v>107.4406475</v>
      </c>
      <c r="F125" s="24">
        <f t="shared" si="3"/>
        <v>0.0002094182111</v>
      </c>
      <c r="G125" s="24">
        <f t="shared" si="4"/>
        <v>0</v>
      </c>
      <c r="H125" s="26">
        <f t="shared" si="5"/>
        <v>0</v>
      </c>
      <c r="I125" s="24">
        <f t="shared" si="6"/>
        <v>0</v>
      </c>
      <c r="J125" s="24">
        <f t="shared" si="7"/>
        <v>0</v>
      </c>
      <c r="K125" s="24"/>
      <c r="L125" s="24">
        <f t="shared" si="8"/>
        <v>445.89212</v>
      </c>
      <c r="M125" s="30">
        <f t="shared" si="9"/>
        <v>449.0384087</v>
      </c>
      <c r="N125" s="27">
        <f t="shared" si="10"/>
        <v>-3.146288724</v>
      </c>
      <c r="O125" s="24"/>
      <c r="P125" s="24"/>
      <c r="Q125" s="24"/>
      <c r="R125" s="26"/>
      <c r="S125" s="14">
        <f t="shared" si="13"/>
        <v>-2.889224768</v>
      </c>
      <c r="U125" s="21"/>
      <c r="V125" s="21"/>
    </row>
    <row r="126">
      <c r="A126" s="11">
        <v>114.0</v>
      </c>
      <c r="B126" s="11">
        <v>1.41989130434782E9</v>
      </c>
      <c r="C126" s="2">
        <v>-102.2953873</v>
      </c>
      <c r="D126" s="24">
        <f t="shared" si="1"/>
        <v>-508695.6522</v>
      </c>
      <c r="E126" s="25">
        <f t="shared" si="2"/>
        <v>106.5223513</v>
      </c>
      <c r="F126" s="24">
        <f t="shared" si="3"/>
        <v>0.0002094029129</v>
      </c>
      <c r="G126" s="24">
        <f t="shared" si="4"/>
        <v>0</v>
      </c>
      <c r="H126" s="26">
        <f t="shared" si="5"/>
        <v>0</v>
      </c>
      <c r="I126" s="24">
        <f t="shared" si="6"/>
        <v>0</v>
      </c>
      <c r="J126" s="24">
        <f t="shared" si="7"/>
        <v>0</v>
      </c>
      <c r="K126" s="24"/>
      <c r="L126" s="24">
        <f t="shared" si="8"/>
        <v>448.2986565</v>
      </c>
      <c r="M126" s="30">
        <f t="shared" si="9"/>
        <v>448.9661825</v>
      </c>
      <c r="N126" s="27">
        <f t="shared" si="10"/>
        <v>-0.6675259427</v>
      </c>
      <c r="O126" s="24"/>
      <c r="P126" s="24"/>
      <c r="Q126" s="24"/>
      <c r="R126" s="26"/>
      <c r="S126" s="14">
        <f t="shared" si="13"/>
        <v>-0.6129864917</v>
      </c>
      <c r="U126" s="21"/>
      <c r="V126" s="21"/>
    </row>
    <row r="127">
      <c r="A127" s="11">
        <v>115.0</v>
      </c>
      <c r="B127" s="11">
        <v>1.41989565217391E9</v>
      </c>
      <c r="C127" s="2">
        <v>-102.304451</v>
      </c>
      <c r="D127" s="24">
        <f t="shared" si="1"/>
        <v>-504347.8261</v>
      </c>
      <c r="E127" s="25">
        <f t="shared" si="2"/>
        <v>105.6040552</v>
      </c>
      <c r="F127" s="24">
        <f t="shared" si="3"/>
        <v>0.0002093873508</v>
      </c>
      <c r="G127" s="24">
        <f t="shared" si="4"/>
        <v>0</v>
      </c>
      <c r="H127" s="26">
        <f t="shared" si="5"/>
        <v>0</v>
      </c>
      <c r="I127" s="24">
        <f t="shared" si="6"/>
        <v>0</v>
      </c>
      <c r="J127" s="24">
        <f t="shared" si="7"/>
        <v>0</v>
      </c>
      <c r="K127" s="24"/>
      <c r="L127" s="24">
        <f t="shared" si="8"/>
        <v>447.3640355</v>
      </c>
      <c r="M127" s="30">
        <f t="shared" si="9"/>
        <v>448.8936598</v>
      </c>
      <c r="N127" s="27">
        <f t="shared" si="10"/>
        <v>-1.529624231</v>
      </c>
      <c r="O127" s="24"/>
      <c r="P127" s="24"/>
      <c r="Q127" s="24"/>
      <c r="R127" s="26"/>
      <c r="S127" s="14">
        <f t="shared" si="13"/>
        <v>-1.404648013</v>
      </c>
      <c r="U127" s="21"/>
      <c r="V127" s="21"/>
    </row>
    <row r="128">
      <c r="A128" s="11">
        <v>116.0</v>
      </c>
      <c r="B128" s="11">
        <v>1.4199E9</v>
      </c>
      <c r="C128" s="2">
        <v>-102.348114</v>
      </c>
      <c r="D128" s="24">
        <f t="shared" si="1"/>
        <v>-500000</v>
      </c>
      <c r="E128" s="25">
        <f t="shared" si="2"/>
        <v>104.6857591</v>
      </c>
      <c r="F128" s="24">
        <f t="shared" si="3"/>
        <v>0.0002093715181</v>
      </c>
      <c r="G128" s="24">
        <f t="shared" si="4"/>
        <v>0</v>
      </c>
      <c r="H128" s="26">
        <f t="shared" si="5"/>
        <v>0</v>
      </c>
      <c r="I128" s="24">
        <f t="shared" si="6"/>
        <v>0</v>
      </c>
      <c r="J128" s="24">
        <f t="shared" si="7"/>
        <v>0</v>
      </c>
      <c r="K128" s="24"/>
      <c r="L128" s="24">
        <f t="shared" si="8"/>
        <v>442.888871</v>
      </c>
      <c r="M128" s="30">
        <f t="shared" si="9"/>
        <v>448.8208413</v>
      </c>
      <c r="N128" s="27">
        <f t="shared" si="10"/>
        <v>-5.931970354</v>
      </c>
      <c r="O128" s="24"/>
      <c r="P128" s="24"/>
      <c r="Q128" s="24"/>
      <c r="R128" s="26"/>
      <c r="S128" s="14">
        <f t="shared" si="13"/>
        <v>-5.447305435</v>
      </c>
      <c r="U128" s="21"/>
      <c r="V128" s="21"/>
    </row>
    <row r="129">
      <c r="A129" s="11">
        <v>117.0</v>
      </c>
      <c r="B129" s="11">
        <v>1.41990434782608E9</v>
      </c>
      <c r="C129" s="2">
        <v>-102.358757</v>
      </c>
      <c r="D129" s="24">
        <f t="shared" si="1"/>
        <v>-495652.1739</v>
      </c>
      <c r="E129" s="25">
        <f t="shared" si="2"/>
        <v>103.7674629</v>
      </c>
      <c r="F129" s="24">
        <f t="shared" si="3"/>
        <v>0.0002093554077</v>
      </c>
      <c r="G129" s="24">
        <f t="shared" si="4"/>
        <v>0</v>
      </c>
      <c r="H129" s="26">
        <f t="shared" si="5"/>
        <v>0</v>
      </c>
      <c r="I129" s="24">
        <f t="shared" si="6"/>
        <v>0</v>
      </c>
      <c r="J129" s="24">
        <f t="shared" si="7"/>
        <v>0</v>
      </c>
      <c r="K129" s="24"/>
      <c r="L129" s="24">
        <f t="shared" si="8"/>
        <v>441.8048381</v>
      </c>
      <c r="M129" s="30">
        <f t="shared" si="9"/>
        <v>448.7477281</v>
      </c>
      <c r="N129" s="27">
        <f t="shared" si="10"/>
        <v>-6.942889998</v>
      </c>
      <c r="O129" s="24"/>
      <c r="P129" s="24"/>
      <c r="Q129" s="24"/>
      <c r="R129" s="26"/>
      <c r="S129" s="14">
        <f t="shared" si="13"/>
        <v>-6.375629036</v>
      </c>
      <c r="U129" s="21"/>
      <c r="V129" s="21"/>
    </row>
    <row r="130">
      <c r="A130" s="11">
        <v>118.0</v>
      </c>
      <c r="B130" s="11">
        <v>1.41990869565217E9</v>
      </c>
      <c r="C130" s="2">
        <v>-102.3452225</v>
      </c>
      <c r="D130" s="24">
        <f t="shared" si="1"/>
        <v>-491304.3478</v>
      </c>
      <c r="E130" s="25">
        <f t="shared" si="2"/>
        <v>102.8491668</v>
      </c>
      <c r="F130" s="24">
        <f t="shared" si="3"/>
        <v>0.0002093390121</v>
      </c>
      <c r="G130" s="24">
        <f t="shared" si="4"/>
        <v>0</v>
      </c>
      <c r="H130" s="26">
        <f t="shared" si="5"/>
        <v>0</v>
      </c>
      <c r="I130" s="24">
        <f t="shared" si="6"/>
        <v>0</v>
      </c>
      <c r="J130" s="24">
        <f t="shared" si="7"/>
        <v>0</v>
      </c>
      <c r="K130" s="24"/>
      <c r="L130" s="24">
        <f t="shared" si="8"/>
        <v>443.1838413</v>
      </c>
      <c r="M130" s="30">
        <f t="shared" si="9"/>
        <v>448.6743207</v>
      </c>
      <c r="N130" s="27">
        <f t="shared" si="10"/>
        <v>-5.490479435</v>
      </c>
      <c r="O130" s="24"/>
      <c r="P130" s="24"/>
      <c r="Q130" s="24"/>
      <c r="R130" s="26"/>
      <c r="S130" s="14">
        <f t="shared" si="13"/>
        <v>-5.04188602</v>
      </c>
      <c r="U130" s="21"/>
      <c r="V130" s="21"/>
    </row>
    <row r="131">
      <c r="A131" s="11">
        <v>119.0</v>
      </c>
      <c r="B131" s="11">
        <v>1.41991304347826E9</v>
      </c>
      <c r="C131" s="2">
        <v>-102.3001633</v>
      </c>
      <c r="D131" s="24">
        <f t="shared" si="1"/>
        <v>-486956.5217</v>
      </c>
      <c r="E131" s="25">
        <f t="shared" si="2"/>
        <v>101.9308707</v>
      </c>
      <c r="F131" s="24">
        <f t="shared" si="3"/>
        <v>0.0002093223237</v>
      </c>
      <c r="G131" s="24">
        <f t="shared" si="4"/>
        <v>0</v>
      </c>
      <c r="H131" s="26">
        <f t="shared" si="5"/>
        <v>0</v>
      </c>
      <c r="I131" s="24">
        <f t="shared" si="6"/>
        <v>0</v>
      </c>
      <c r="J131" s="24">
        <f t="shared" si="7"/>
        <v>0</v>
      </c>
      <c r="K131" s="24"/>
      <c r="L131" s="24">
        <f t="shared" si="8"/>
        <v>447.8059269</v>
      </c>
      <c r="M131" s="30">
        <f t="shared" si="9"/>
        <v>448.6006201</v>
      </c>
      <c r="N131" s="27">
        <f t="shared" si="10"/>
        <v>-0.7946931259</v>
      </c>
      <c r="O131" s="24"/>
      <c r="P131" s="24"/>
      <c r="Q131" s="24"/>
      <c r="R131" s="26"/>
      <c r="S131" s="14">
        <f t="shared" si="13"/>
        <v>-0.7297636243</v>
      </c>
      <c r="U131" s="21"/>
      <c r="V131" s="21"/>
    </row>
    <row r="132">
      <c r="A132" s="11">
        <v>120.0</v>
      </c>
      <c r="B132" s="11">
        <v>1.41991739130434E9</v>
      </c>
      <c r="C132" s="2">
        <v>-102.3574142</v>
      </c>
      <c r="D132" s="24">
        <f t="shared" si="1"/>
        <v>-482608.6957</v>
      </c>
      <c r="E132" s="25">
        <f t="shared" si="2"/>
        <v>101.0125745</v>
      </c>
      <c r="F132" s="24">
        <f t="shared" si="3"/>
        <v>0.0002093053346</v>
      </c>
      <c r="G132" s="24">
        <f t="shared" si="4"/>
        <v>0</v>
      </c>
      <c r="H132" s="26">
        <f t="shared" si="5"/>
        <v>0</v>
      </c>
      <c r="I132" s="24">
        <f t="shared" si="6"/>
        <v>0</v>
      </c>
      <c r="J132" s="24">
        <f t="shared" si="7"/>
        <v>0</v>
      </c>
      <c r="K132" s="24"/>
      <c r="L132" s="24">
        <f t="shared" si="8"/>
        <v>441.9414613</v>
      </c>
      <c r="M132" s="30">
        <f t="shared" si="9"/>
        <v>448.5266269</v>
      </c>
      <c r="N132" s="27">
        <f t="shared" si="10"/>
        <v>-6.585165629</v>
      </c>
      <c r="O132" s="24"/>
      <c r="P132" s="24"/>
      <c r="Q132" s="24"/>
      <c r="R132" s="26"/>
      <c r="S132" s="14">
        <f t="shared" si="13"/>
        <v>-6.047132131</v>
      </c>
      <c r="U132" s="21"/>
      <c r="V132" s="21"/>
    </row>
    <row r="133">
      <c r="A133" s="11">
        <v>121.0</v>
      </c>
      <c r="B133" s="11">
        <v>1.41992173913043E9</v>
      </c>
      <c r="C133" s="2">
        <v>-102.2982788</v>
      </c>
      <c r="D133" s="24">
        <f t="shared" si="1"/>
        <v>-478260.8696</v>
      </c>
      <c r="E133" s="25">
        <f t="shared" si="2"/>
        <v>100.0942784</v>
      </c>
      <c r="F133" s="24">
        <f t="shared" si="3"/>
        <v>0.0002092880367</v>
      </c>
      <c r="G133" s="24">
        <f t="shared" si="4"/>
        <v>0</v>
      </c>
      <c r="H133" s="26">
        <f t="shared" si="5"/>
        <v>0</v>
      </c>
      <c r="I133" s="24">
        <f t="shared" si="6"/>
        <v>0</v>
      </c>
      <c r="J133" s="24">
        <f t="shared" si="7"/>
        <v>0</v>
      </c>
      <c r="K133" s="24"/>
      <c r="L133" s="24">
        <f t="shared" si="8"/>
        <v>448.000282</v>
      </c>
      <c r="M133" s="30">
        <f t="shared" si="9"/>
        <v>448.4523422</v>
      </c>
      <c r="N133" s="27">
        <f t="shared" si="10"/>
        <v>-0.4520601624</v>
      </c>
      <c r="O133" s="24"/>
      <c r="P133" s="24"/>
      <c r="Q133" s="24"/>
      <c r="R133" s="26"/>
      <c r="S133" s="14">
        <f t="shared" si="13"/>
        <v>-0.415125098</v>
      </c>
      <c r="U133" s="21"/>
      <c r="V133" s="21"/>
    </row>
    <row r="134">
      <c r="A134" s="11">
        <v>122.0</v>
      </c>
      <c r="B134" s="11">
        <v>1.41992608695652E9</v>
      </c>
      <c r="C134" s="2">
        <v>-102.3201599</v>
      </c>
      <c r="D134" s="24">
        <f t="shared" si="1"/>
        <v>-473913.0435</v>
      </c>
      <c r="E134" s="25">
        <f t="shared" si="2"/>
        <v>99.17598227</v>
      </c>
      <c r="F134" s="24">
        <f t="shared" si="3"/>
        <v>0.0002092704213</v>
      </c>
      <c r="G134" s="24">
        <f t="shared" si="4"/>
        <v>0</v>
      </c>
      <c r="H134" s="26">
        <f t="shared" si="5"/>
        <v>0</v>
      </c>
      <c r="I134" s="24">
        <f t="shared" si="6"/>
        <v>0</v>
      </c>
      <c r="J134" s="24">
        <f t="shared" si="7"/>
        <v>0</v>
      </c>
      <c r="K134" s="24"/>
      <c r="L134" s="24">
        <f t="shared" si="8"/>
        <v>445.7487946</v>
      </c>
      <c r="M134" s="30">
        <f t="shared" si="9"/>
        <v>448.3777665</v>
      </c>
      <c r="N134" s="27">
        <f t="shared" si="10"/>
        <v>-2.628971979</v>
      </c>
      <c r="O134" s="24"/>
      <c r="P134" s="24"/>
      <c r="Q134" s="24"/>
      <c r="R134" s="26"/>
      <c r="S134" s="14">
        <f t="shared" si="13"/>
        <v>-2.414174802</v>
      </c>
      <c r="U134" s="21"/>
      <c r="V134" s="21"/>
    </row>
    <row r="135">
      <c r="A135" s="11">
        <v>123.0</v>
      </c>
      <c r="B135" s="11">
        <v>1.4199304347826E9</v>
      </c>
      <c r="C135" s="2">
        <v>-102.3567123</v>
      </c>
      <c r="D135" s="24">
        <f t="shared" si="1"/>
        <v>-469565.2174</v>
      </c>
      <c r="E135" s="25">
        <f t="shared" si="2"/>
        <v>98.25768614</v>
      </c>
      <c r="F135" s="24">
        <f t="shared" si="3"/>
        <v>0.0002092524797</v>
      </c>
      <c r="G135" s="24">
        <f t="shared" si="4"/>
        <v>0</v>
      </c>
      <c r="H135" s="26">
        <f t="shared" si="5"/>
        <v>0</v>
      </c>
      <c r="I135" s="24">
        <f t="shared" si="6"/>
        <v>0</v>
      </c>
      <c r="J135" s="24">
        <f t="shared" si="7"/>
        <v>0</v>
      </c>
      <c r="K135" s="24"/>
      <c r="L135" s="24">
        <f t="shared" si="8"/>
        <v>442.012893</v>
      </c>
      <c r="M135" s="30">
        <f t="shared" si="9"/>
        <v>448.3029008</v>
      </c>
      <c r="N135" s="27">
        <f t="shared" si="10"/>
        <v>-6.290007854</v>
      </c>
      <c r="O135" s="24"/>
      <c r="P135" s="24"/>
      <c r="Q135" s="24"/>
      <c r="R135" s="26"/>
      <c r="S135" s="14">
        <f t="shared" si="13"/>
        <v>-5.776089887</v>
      </c>
      <c r="U135" s="21"/>
      <c r="V135" s="21"/>
    </row>
    <row r="136">
      <c r="A136" s="11">
        <v>124.0</v>
      </c>
      <c r="B136" s="11">
        <v>1.41993478260869E9</v>
      </c>
      <c r="C136" s="2">
        <v>-102.4064026</v>
      </c>
      <c r="D136" s="24">
        <f t="shared" si="1"/>
        <v>-465217.3913</v>
      </c>
      <c r="E136" s="25">
        <f t="shared" si="2"/>
        <v>97.33939001</v>
      </c>
      <c r="F136" s="24">
        <f t="shared" si="3"/>
        <v>0.0002092342028</v>
      </c>
      <c r="G136" s="24">
        <f t="shared" si="4"/>
        <v>0</v>
      </c>
      <c r="H136" s="26">
        <f t="shared" si="5"/>
        <v>0</v>
      </c>
      <c r="I136" s="24">
        <f t="shared" si="6"/>
        <v>0</v>
      </c>
      <c r="J136" s="24">
        <f t="shared" si="7"/>
        <v>0</v>
      </c>
      <c r="K136" s="24"/>
      <c r="L136" s="24">
        <f t="shared" si="8"/>
        <v>436.9843739</v>
      </c>
      <c r="M136" s="30">
        <f t="shared" si="9"/>
        <v>448.2277459</v>
      </c>
      <c r="N136" s="27">
        <f t="shared" si="10"/>
        <v>-11.24337194</v>
      </c>
      <c r="O136" s="24"/>
      <c r="P136" s="24"/>
      <c r="Q136" s="24"/>
      <c r="R136" s="26"/>
      <c r="S136" s="14">
        <f t="shared" si="13"/>
        <v>-10.32474497</v>
      </c>
      <c r="U136" s="21"/>
      <c r="V136" s="21"/>
    </row>
    <row r="137">
      <c r="A137" s="11">
        <v>125.0</v>
      </c>
      <c r="B137" s="11">
        <v>1.41993913043478E9</v>
      </c>
      <c r="C137" s="2">
        <v>-102.3909073</v>
      </c>
      <c r="D137" s="24">
        <f t="shared" si="1"/>
        <v>-460869.5652</v>
      </c>
      <c r="E137" s="25">
        <f t="shared" si="2"/>
        <v>96.42109387</v>
      </c>
      <c r="F137" s="24">
        <f t="shared" si="3"/>
        <v>0.000209215581</v>
      </c>
      <c r="G137" s="24">
        <f t="shared" si="4"/>
        <v>0</v>
      </c>
      <c r="H137" s="26">
        <f t="shared" si="5"/>
        <v>0</v>
      </c>
      <c r="I137" s="24">
        <f t="shared" si="6"/>
        <v>0</v>
      </c>
      <c r="J137" s="24">
        <f t="shared" si="7"/>
        <v>0</v>
      </c>
      <c r="K137" s="24"/>
      <c r="L137" s="24">
        <f t="shared" si="8"/>
        <v>438.546286</v>
      </c>
      <c r="M137" s="30">
        <f t="shared" si="9"/>
        <v>448.1523025</v>
      </c>
      <c r="N137" s="27">
        <f t="shared" si="10"/>
        <v>-9.606016464</v>
      </c>
      <c r="O137" s="24"/>
      <c r="P137" s="24"/>
      <c r="Q137" s="24"/>
      <c r="R137" s="26"/>
      <c r="S137" s="14">
        <f t="shared" si="13"/>
        <v>-8.82116775</v>
      </c>
      <c r="U137" s="21"/>
      <c r="V137" s="21"/>
    </row>
    <row r="138">
      <c r="A138" s="11">
        <v>126.0</v>
      </c>
      <c r="B138" s="11">
        <v>1.41994347826087E9</v>
      </c>
      <c r="C138" s="2">
        <v>-102.3365021</v>
      </c>
      <c r="D138" s="24">
        <f t="shared" si="1"/>
        <v>-456521.7391</v>
      </c>
      <c r="E138" s="25">
        <f t="shared" si="2"/>
        <v>95.50279774</v>
      </c>
      <c r="F138" s="24">
        <f t="shared" si="3"/>
        <v>0.0002091966046</v>
      </c>
      <c r="G138" s="24">
        <f t="shared" si="4"/>
        <v>0</v>
      </c>
      <c r="H138" s="26">
        <f t="shared" si="5"/>
        <v>0</v>
      </c>
      <c r="I138" s="24">
        <f t="shared" si="6"/>
        <v>0</v>
      </c>
      <c r="J138" s="24">
        <f t="shared" si="7"/>
        <v>0</v>
      </c>
      <c r="K138" s="24"/>
      <c r="L138" s="24">
        <f t="shared" si="8"/>
        <v>444.0746246</v>
      </c>
      <c r="M138" s="30">
        <f t="shared" si="9"/>
        <v>448.0765714</v>
      </c>
      <c r="N138" s="27">
        <f t="shared" si="10"/>
        <v>-4.00194678</v>
      </c>
      <c r="O138" s="24"/>
      <c r="P138" s="24"/>
      <c r="Q138" s="24"/>
      <c r="R138" s="26"/>
      <c r="S138" s="14">
        <f t="shared" si="13"/>
        <v>-3.674972252</v>
      </c>
      <c r="U138" s="21"/>
      <c r="V138" s="21"/>
    </row>
    <row r="139">
      <c r="A139" s="11">
        <v>127.0</v>
      </c>
      <c r="B139" s="11">
        <v>1.41994782608695E9</v>
      </c>
      <c r="C139" s="2">
        <v>-102.4000244</v>
      </c>
      <c r="D139" s="24">
        <f t="shared" si="1"/>
        <v>-452173.913</v>
      </c>
      <c r="E139" s="25">
        <f t="shared" si="2"/>
        <v>94.58450161</v>
      </c>
      <c r="F139" s="24">
        <f t="shared" si="3"/>
        <v>0.0002091772632</v>
      </c>
      <c r="G139" s="24">
        <f t="shared" si="4"/>
        <v>0</v>
      </c>
      <c r="H139" s="26">
        <f t="shared" si="5"/>
        <v>0</v>
      </c>
      <c r="I139" s="24">
        <f t="shared" si="6"/>
        <v>0</v>
      </c>
      <c r="J139" s="24">
        <f t="shared" si="7"/>
        <v>0</v>
      </c>
      <c r="K139" s="24"/>
      <c r="L139" s="24">
        <f t="shared" si="8"/>
        <v>437.6266159</v>
      </c>
      <c r="M139" s="30">
        <f t="shared" si="9"/>
        <v>448.0005535</v>
      </c>
      <c r="N139" s="27">
        <f t="shared" si="10"/>
        <v>-10.37393761</v>
      </c>
      <c r="O139" s="24"/>
      <c r="P139" s="24"/>
      <c r="Q139" s="24"/>
      <c r="R139" s="26"/>
      <c r="S139" s="14">
        <f t="shared" si="13"/>
        <v>-9.526346788</v>
      </c>
      <c r="U139" s="21"/>
      <c r="V139" s="21"/>
    </row>
    <row r="140">
      <c r="A140" s="11">
        <v>128.0</v>
      </c>
      <c r="B140" s="11">
        <v>1.41995217391304E9</v>
      </c>
      <c r="C140" s="2">
        <v>-102.3132095</v>
      </c>
      <c r="D140" s="24">
        <f t="shared" si="1"/>
        <v>-447826.087</v>
      </c>
      <c r="E140" s="25">
        <f t="shared" si="2"/>
        <v>93.66620548</v>
      </c>
      <c r="F140" s="24">
        <f t="shared" si="3"/>
        <v>0.0002091575462</v>
      </c>
      <c r="G140" s="24">
        <f t="shared" si="4"/>
        <v>0</v>
      </c>
      <c r="H140" s="26">
        <f t="shared" si="5"/>
        <v>0</v>
      </c>
      <c r="I140" s="24">
        <f t="shared" si="6"/>
        <v>0</v>
      </c>
      <c r="J140" s="24">
        <f t="shared" si="7"/>
        <v>0</v>
      </c>
      <c r="K140" s="24"/>
      <c r="L140" s="24">
        <f t="shared" si="8"/>
        <v>446.462737</v>
      </c>
      <c r="M140" s="30">
        <f t="shared" si="9"/>
        <v>447.9242496</v>
      </c>
      <c r="N140" s="27">
        <f t="shared" si="10"/>
        <v>-1.461512523</v>
      </c>
      <c r="O140" s="24"/>
      <c r="P140" s="24"/>
      <c r="Q140" s="24"/>
      <c r="R140" s="26"/>
      <c r="S140" s="14">
        <f t="shared" si="13"/>
        <v>-1.342101294</v>
      </c>
      <c r="U140" s="21"/>
      <c r="V140" s="21"/>
    </row>
    <row r="141">
      <c r="A141" s="11">
        <v>129.0</v>
      </c>
      <c r="B141" s="11">
        <v>1.41995652173913E9</v>
      </c>
      <c r="C141" s="2">
        <v>-102.3298187</v>
      </c>
      <c r="D141" s="24">
        <f t="shared" si="1"/>
        <v>-443478.2609</v>
      </c>
      <c r="E141" s="25">
        <f t="shared" si="2"/>
        <v>92.74790935</v>
      </c>
      <c r="F141" s="24">
        <f t="shared" si="3"/>
        <v>0.0002091374426</v>
      </c>
      <c r="G141" s="24">
        <f t="shared" si="4"/>
        <v>0</v>
      </c>
      <c r="H141" s="26">
        <f t="shared" si="5"/>
        <v>0</v>
      </c>
      <c r="I141" s="24">
        <f t="shared" si="6"/>
        <v>0</v>
      </c>
      <c r="J141" s="24">
        <f t="shared" si="7"/>
        <v>0</v>
      </c>
      <c r="K141" s="24"/>
      <c r="L141" s="24">
        <f t="shared" si="8"/>
        <v>444.7585415</v>
      </c>
      <c r="M141" s="30">
        <f t="shared" si="9"/>
        <v>447.8476604</v>
      </c>
      <c r="N141" s="27">
        <f t="shared" si="10"/>
        <v>-3.089118881</v>
      </c>
      <c r="O141" s="24"/>
      <c r="P141" s="24"/>
      <c r="Q141" s="24"/>
      <c r="R141" s="26"/>
      <c r="S141" s="14">
        <f t="shared" si="13"/>
        <v>-2.836725922</v>
      </c>
      <c r="U141" s="21"/>
      <c r="V141" s="21"/>
    </row>
    <row r="142">
      <c r="A142" s="11">
        <v>130.0</v>
      </c>
      <c r="B142" s="11">
        <v>1.41996086956521E9</v>
      </c>
      <c r="C142" s="2">
        <v>-102.3545837</v>
      </c>
      <c r="D142" s="24">
        <f t="shared" si="1"/>
        <v>-439130.4348</v>
      </c>
      <c r="E142" s="25">
        <f t="shared" si="2"/>
        <v>91.82961321</v>
      </c>
      <c r="F142" s="24">
        <f t="shared" si="3"/>
        <v>0.000209116941</v>
      </c>
      <c r="G142" s="24">
        <f t="shared" si="4"/>
        <v>0</v>
      </c>
      <c r="H142" s="26">
        <f t="shared" si="5"/>
        <v>0</v>
      </c>
      <c r="I142" s="24">
        <f t="shared" si="6"/>
        <v>0</v>
      </c>
      <c r="J142" s="24">
        <f t="shared" si="7"/>
        <v>0</v>
      </c>
      <c r="K142" s="24"/>
      <c r="L142" s="24">
        <f t="shared" si="8"/>
        <v>442.2295891</v>
      </c>
      <c r="M142" s="30">
        <f t="shared" si="9"/>
        <v>447.7707868</v>
      </c>
      <c r="N142" s="27">
        <f t="shared" si="10"/>
        <v>-5.541197669</v>
      </c>
      <c r="O142" s="24"/>
      <c r="P142" s="24"/>
      <c r="Q142" s="24"/>
      <c r="R142" s="26"/>
      <c r="S142" s="14">
        <f t="shared" si="13"/>
        <v>-5.088460391</v>
      </c>
      <c r="U142" s="21"/>
      <c r="V142" s="21"/>
    </row>
    <row r="143">
      <c r="A143" s="11">
        <v>131.0</v>
      </c>
      <c r="B143" s="11">
        <v>1.4199652173913E9</v>
      </c>
      <c r="C143" s="2">
        <v>-102.3999023</v>
      </c>
      <c r="D143" s="24">
        <f t="shared" si="1"/>
        <v>-434782.6087</v>
      </c>
      <c r="E143" s="25">
        <f t="shared" si="2"/>
        <v>90.91131708</v>
      </c>
      <c r="F143" s="24">
        <f t="shared" si="3"/>
        <v>0.0002090960293</v>
      </c>
      <c r="G143" s="24">
        <f t="shared" si="4"/>
        <v>0</v>
      </c>
      <c r="H143" s="26">
        <f t="shared" si="5"/>
        <v>0</v>
      </c>
      <c r="I143" s="24">
        <f t="shared" si="6"/>
        <v>0</v>
      </c>
      <c r="J143" s="24">
        <f t="shared" si="7"/>
        <v>0</v>
      </c>
      <c r="K143" s="24"/>
      <c r="L143" s="24">
        <f t="shared" si="8"/>
        <v>437.6389198</v>
      </c>
      <c r="M143" s="30">
        <f t="shared" si="9"/>
        <v>447.6936295</v>
      </c>
      <c r="N143" s="27">
        <f t="shared" si="10"/>
        <v>-10.05470975</v>
      </c>
      <c r="O143" s="24"/>
      <c r="P143" s="24"/>
      <c r="Q143" s="24"/>
      <c r="R143" s="26"/>
      <c r="S143" s="14">
        <f t="shared" si="13"/>
        <v>-9.233201055</v>
      </c>
      <c r="U143" s="21"/>
      <c r="V143" s="21"/>
    </row>
    <row r="144">
      <c r="A144" s="11">
        <v>132.0</v>
      </c>
      <c r="B144" s="11">
        <v>1.41996956521739E9</v>
      </c>
      <c r="C144" s="2">
        <v>-102.3783798</v>
      </c>
      <c r="D144" s="24">
        <f t="shared" si="1"/>
        <v>-430434.7826</v>
      </c>
      <c r="E144" s="25">
        <f t="shared" si="2"/>
        <v>89.99302095</v>
      </c>
      <c r="F144" s="24">
        <f t="shared" si="3"/>
        <v>0.0002090746951</v>
      </c>
      <c r="G144" s="24">
        <f t="shared" si="4"/>
        <v>0</v>
      </c>
      <c r="H144" s="26">
        <f t="shared" si="5"/>
        <v>0</v>
      </c>
      <c r="I144" s="24">
        <f t="shared" si="6"/>
        <v>0</v>
      </c>
      <c r="J144" s="24">
        <f t="shared" si="7"/>
        <v>0</v>
      </c>
      <c r="K144" s="24"/>
      <c r="L144" s="24">
        <f t="shared" si="8"/>
        <v>439.8131269</v>
      </c>
      <c r="M144" s="30">
        <f t="shared" si="9"/>
        <v>447.6161894</v>
      </c>
      <c r="N144" s="27">
        <f t="shared" si="10"/>
        <v>-7.803062551</v>
      </c>
      <c r="O144" s="24"/>
      <c r="P144" s="24"/>
      <c r="Q144" s="24"/>
      <c r="R144" s="26"/>
      <c r="S144" s="14">
        <f t="shared" si="13"/>
        <v>-7.165522165</v>
      </c>
      <c r="U144" s="21"/>
      <c r="V144" s="21"/>
    </row>
    <row r="145">
      <c r="A145" s="11">
        <v>133.0</v>
      </c>
      <c r="B145" s="11">
        <v>1.41997391304347E9</v>
      </c>
      <c r="C145" s="2">
        <v>-102.3990402</v>
      </c>
      <c r="D145" s="24">
        <f t="shared" si="1"/>
        <v>-426086.9565</v>
      </c>
      <c r="E145" s="25">
        <f t="shared" si="2"/>
        <v>89.07472482</v>
      </c>
      <c r="F145" s="24">
        <f t="shared" si="3"/>
        <v>0.0002090529256</v>
      </c>
      <c r="G145" s="24">
        <f t="shared" si="4"/>
        <v>0</v>
      </c>
      <c r="H145" s="26">
        <f t="shared" si="5"/>
        <v>0</v>
      </c>
      <c r="I145" s="24">
        <f t="shared" si="6"/>
        <v>0</v>
      </c>
      <c r="J145" s="24">
        <f t="shared" si="7"/>
        <v>0</v>
      </c>
      <c r="K145" s="24"/>
      <c r="L145" s="24">
        <f t="shared" si="8"/>
        <v>437.7258023</v>
      </c>
      <c r="M145" s="30">
        <f t="shared" si="9"/>
        <v>447.5384673</v>
      </c>
      <c r="N145" s="27">
        <f t="shared" si="10"/>
        <v>-9.812665039</v>
      </c>
      <c r="O145" s="24"/>
      <c r="P145" s="24"/>
      <c r="Q145" s="24"/>
      <c r="R145" s="26"/>
      <c r="S145" s="14">
        <f t="shared" si="13"/>
        <v>-9.010932357</v>
      </c>
      <c r="U145" s="21"/>
      <c r="V145" s="21"/>
    </row>
    <row r="146">
      <c r="A146" s="11">
        <v>134.0</v>
      </c>
      <c r="B146" s="11">
        <v>1.41997826086956E9</v>
      </c>
      <c r="C146" s="2">
        <v>-102.328476</v>
      </c>
      <c r="D146" s="24">
        <f t="shared" si="1"/>
        <v>-421739.1304</v>
      </c>
      <c r="E146" s="25">
        <f t="shared" si="2"/>
        <v>88.15642869</v>
      </c>
      <c r="F146" s="24">
        <f t="shared" si="3"/>
        <v>0.0002090307072</v>
      </c>
      <c r="G146" s="24">
        <f t="shared" si="4"/>
        <v>0</v>
      </c>
      <c r="H146" s="26">
        <f t="shared" si="5"/>
        <v>0</v>
      </c>
      <c r="I146" s="24">
        <f t="shared" si="6"/>
        <v>0</v>
      </c>
      <c r="J146" s="24">
        <f t="shared" si="7"/>
        <v>0</v>
      </c>
      <c r="K146" s="24"/>
      <c r="L146" s="24">
        <f t="shared" si="8"/>
        <v>444.8960679</v>
      </c>
      <c r="M146" s="30">
        <f t="shared" si="9"/>
        <v>447.460464</v>
      </c>
      <c r="N146" s="27">
        <f t="shared" si="10"/>
        <v>-2.564396065</v>
      </c>
      <c r="O146" s="24"/>
      <c r="P146" s="24"/>
      <c r="Q146" s="24"/>
      <c r="R146" s="26"/>
      <c r="S146" s="14">
        <f t="shared" si="13"/>
        <v>-2.354874984</v>
      </c>
      <c r="U146" s="21"/>
      <c r="V146" s="21"/>
    </row>
    <row r="147">
      <c r="A147" s="11">
        <v>135.0</v>
      </c>
      <c r="B147" s="11">
        <v>1.41998260869565E9</v>
      </c>
      <c r="C147" s="2">
        <v>-102.3127975</v>
      </c>
      <c r="D147" s="24">
        <f t="shared" si="1"/>
        <v>-417391.3043</v>
      </c>
      <c r="E147" s="25">
        <f t="shared" si="2"/>
        <v>87.23813255</v>
      </c>
      <c r="F147" s="24">
        <f t="shared" si="3"/>
        <v>0.0002090080259</v>
      </c>
      <c r="G147" s="24">
        <f t="shared" si="4"/>
        <v>0</v>
      </c>
      <c r="H147" s="26">
        <f t="shared" si="5"/>
        <v>0</v>
      </c>
      <c r="I147" s="24">
        <f t="shared" si="6"/>
        <v>0</v>
      </c>
      <c r="J147" s="24">
        <f t="shared" si="7"/>
        <v>0</v>
      </c>
      <c r="K147" s="24"/>
      <c r="L147" s="24">
        <f t="shared" si="8"/>
        <v>446.5050934</v>
      </c>
      <c r="M147" s="30">
        <f t="shared" si="9"/>
        <v>447.3821802</v>
      </c>
      <c r="N147" s="27">
        <f t="shared" si="10"/>
        <v>-0.8770868101</v>
      </c>
      <c r="O147" s="24"/>
      <c r="P147" s="24"/>
      <c r="Q147" s="24"/>
      <c r="R147" s="26"/>
      <c r="S147" s="14">
        <f t="shared" si="13"/>
        <v>-0.8054254259</v>
      </c>
      <c r="U147" s="21"/>
      <c r="V147" s="21"/>
    </row>
    <row r="148">
      <c r="A148" s="11">
        <v>136.0</v>
      </c>
      <c r="B148" s="11">
        <v>1.41998695652173E9</v>
      </c>
      <c r="C148" s="2">
        <v>-102.3182068</v>
      </c>
      <c r="D148" s="24">
        <f t="shared" si="1"/>
        <v>-413043.4783</v>
      </c>
      <c r="E148" s="25">
        <f t="shared" si="2"/>
        <v>86.31983642</v>
      </c>
      <c r="F148" s="24">
        <f t="shared" si="3"/>
        <v>0.0002089848671</v>
      </c>
      <c r="G148" s="24">
        <f t="shared" si="4"/>
        <v>0</v>
      </c>
      <c r="H148" s="26">
        <f t="shared" si="5"/>
        <v>0</v>
      </c>
      <c r="I148" s="24">
        <f t="shared" si="6"/>
        <v>0</v>
      </c>
      <c r="J148" s="24">
        <f t="shared" si="7"/>
        <v>0</v>
      </c>
      <c r="K148" s="24"/>
      <c r="L148" s="24">
        <f t="shared" si="8"/>
        <v>445.9493008</v>
      </c>
      <c r="M148" s="30">
        <f t="shared" si="9"/>
        <v>447.3036169</v>
      </c>
      <c r="N148" s="27">
        <f t="shared" si="10"/>
        <v>-1.354316011</v>
      </c>
      <c r="O148" s="24"/>
      <c r="P148" s="24"/>
      <c r="Q148" s="24"/>
      <c r="R148" s="26"/>
      <c r="S148" s="14">
        <f t="shared" si="13"/>
        <v>-1.243663156</v>
      </c>
      <c r="U148" s="21"/>
      <c r="V148" s="21"/>
    </row>
    <row r="149">
      <c r="A149" s="11">
        <v>137.0</v>
      </c>
      <c r="B149" s="11">
        <v>1.41999130434782E9</v>
      </c>
      <c r="C149" s="2">
        <v>-102.3182983</v>
      </c>
      <c r="D149" s="24">
        <f t="shared" si="1"/>
        <v>-408695.6522</v>
      </c>
      <c r="E149" s="25">
        <f t="shared" si="2"/>
        <v>85.40154029</v>
      </c>
      <c r="F149" s="24">
        <f t="shared" si="3"/>
        <v>0.0002089612156</v>
      </c>
      <c r="G149" s="24">
        <f t="shared" si="4"/>
        <v>0</v>
      </c>
      <c r="H149" s="26">
        <f t="shared" si="5"/>
        <v>0</v>
      </c>
      <c r="I149" s="24">
        <f t="shared" si="6"/>
        <v>0</v>
      </c>
      <c r="J149" s="24">
        <f t="shared" si="7"/>
        <v>0</v>
      </c>
      <c r="K149" s="24"/>
      <c r="L149" s="24">
        <f t="shared" si="8"/>
        <v>445.9399054</v>
      </c>
      <c r="M149" s="30">
        <f t="shared" si="9"/>
        <v>447.2247747</v>
      </c>
      <c r="N149" s="27">
        <f t="shared" si="10"/>
        <v>-1.284869281</v>
      </c>
      <c r="O149" s="24"/>
      <c r="P149" s="24"/>
      <c r="Q149" s="24"/>
      <c r="R149" s="26"/>
      <c r="S149" s="14">
        <f t="shared" si="13"/>
        <v>-1.179890492</v>
      </c>
      <c r="U149" s="21"/>
      <c r="V149" s="21"/>
    </row>
    <row r="150">
      <c r="A150" s="11">
        <v>138.0</v>
      </c>
      <c r="B150" s="11">
        <v>1.41999565217391E9</v>
      </c>
      <c r="C150" s="2">
        <v>-102.3206711</v>
      </c>
      <c r="D150" s="24">
        <f t="shared" si="1"/>
        <v>-404347.8261</v>
      </c>
      <c r="E150" s="25">
        <f t="shared" si="2"/>
        <v>84.48324416</v>
      </c>
      <c r="F150" s="24">
        <f t="shared" si="3"/>
        <v>0.0002089370554</v>
      </c>
      <c r="G150" s="24">
        <f t="shared" si="4"/>
        <v>0</v>
      </c>
      <c r="H150" s="26">
        <f t="shared" si="5"/>
        <v>0</v>
      </c>
      <c r="I150" s="24">
        <f t="shared" si="6"/>
        <v>0</v>
      </c>
      <c r="J150" s="24">
        <f t="shared" si="7"/>
        <v>0</v>
      </c>
      <c r="K150" s="24"/>
      <c r="L150" s="24">
        <f t="shared" si="8"/>
        <v>445.6963294</v>
      </c>
      <c r="M150" s="30">
        <f t="shared" si="9"/>
        <v>447.1456545</v>
      </c>
      <c r="N150" s="27">
        <f t="shared" si="10"/>
        <v>-1.449325106</v>
      </c>
      <c r="O150" s="24"/>
      <c r="P150" s="24"/>
      <c r="Q150" s="24"/>
      <c r="R150" s="26"/>
      <c r="S150" s="14">
        <f t="shared" si="13"/>
        <v>-1.330909637</v>
      </c>
      <c r="U150" s="21"/>
      <c r="V150" s="21"/>
    </row>
    <row r="151">
      <c r="A151" s="11">
        <v>139.0</v>
      </c>
      <c r="B151" s="11">
        <v>1.42E9</v>
      </c>
      <c r="C151" s="2">
        <v>-102.3309937</v>
      </c>
      <c r="D151" s="24">
        <f t="shared" si="1"/>
        <v>-400000</v>
      </c>
      <c r="E151" s="25">
        <f t="shared" si="2"/>
        <v>83.56494803</v>
      </c>
      <c r="F151" s="24">
        <f t="shared" si="3"/>
        <v>0.0002089123701</v>
      </c>
      <c r="G151" s="24">
        <f t="shared" si="4"/>
        <v>0</v>
      </c>
      <c r="H151" s="26">
        <f t="shared" si="5"/>
        <v>0</v>
      </c>
      <c r="I151" s="24">
        <f t="shared" si="6"/>
        <v>0</v>
      </c>
      <c r="J151" s="24">
        <f t="shared" si="7"/>
        <v>0</v>
      </c>
      <c r="K151" s="24"/>
      <c r="L151" s="24">
        <f t="shared" si="8"/>
        <v>444.6382267</v>
      </c>
      <c r="M151" s="30">
        <f t="shared" si="9"/>
        <v>447.0662571</v>
      </c>
      <c r="N151" s="27">
        <f t="shared" si="10"/>
        <v>-2.428030394</v>
      </c>
      <c r="O151" s="24"/>
      <c r="P151" s="24"/>
      <c r="Q151" s="24"/>
      <c r="R151" s="26"/>
      <c r="S151" s="14">
        <f t="shared" si="13"/>
        <v>-2.229650921</v>
      </c>
      <c r="U151" s="21"/>
      <c r="V151" s="21"/>
    </row>
    <row r="152">
      <c r="A152" s="11">
        <v>140.0</v>
      </c>
      <c r="B152" s="11">
        <v>1.42000434782608E9</v>
      </c>
      <c r="C152" s="2">
        <v>-102.3701172</v>
      </c>
      <c r="D152" s="24">
        <f t="shared" si="1"/>
        <v>-395652.1739</v>
      </c>
      <c r="E152" s="25">
        <f t="shared" si="2"/>
        <v>82.64665189</v>
      </c>
      <c r="F152" s="24">
        <f t="shared" si="3"/>
        <v>0.0002088871421</v>
      </c>
      <c r="G152" s="24">
        <f t="shared" si="4"/>
        <v>0</v>
      </c>
      <c r="H152" s="26">
        <f t="shared" si="5"/>
        <v>0</v>
      </c>
      <c r="I152" s="24">
        <f t="shared" si="6"/>
        <v>0</v>
      </c>
      <c r="J152" s="24">
        <f t="shared" si="7"/>
        <v>0</v>
      </c>
      <c r="K152" s="24"/>
      <c r="L152" s="24">
        <f t="shared" si="8"/>
        <v>440.6506828</v>
      </c>
      <c r="M152" s="30">
        <f t="shared" si="9"/>
        <v>446.9865833</v>
      </c>
      <c r="N152" s="27">
        <f t="shared" si="10"/>
        <v>-6.335900512</v>
      </c>
      <c r="O152" s="24"/>
      <c r="P152" s="24"/>
      <c r="Q152" s="24"/>
      <c r="R152" s="26"/>
      <c r="S152" s="14">
        <f t="shared" si="13"/>
        <v>-5.818232938</v>
      </c>
      <c r="U152" s="21"/>
      <c r="V152" s="21"/>
    </row>
    <row r="153">
      <c r="A153" s="11">
        <v>141.0</v>
      </c>
      <c r="B153" s="11">
        <v>1.42000869565217E9</v>
      </c>
      <c r="C153" s="2">
        <v>-102.3201141</v>
      </c>
      <c r="D153" s="24">
        <f t="shared" si="1"/>
        <v>-391304.3478</v>
      </c>
      <c r="E153" s="25">
        <f t="shared" si="2"/>
        <v>81.72835576</v>
      </c>
      <c r="F153" s="24">
        <f t="shared" si="3"/>
        <v>0.0002088613536</v>
      </c>
      <c r="G153" s="24">
        <f t="shared" si="4"/>
        <v>0</v>
      </c>
      <c r="H153" s="26">
        <f t="shared" si="5"/>
        <v>0</v>
      </c>
      <c r="I153" s="24">
        <f t="shared" si="6"/>
        <v>0</v>
      </c>
      <c r="J153" s="24">
        <f t="shared" si="7"/>
        <v>0</v>
      </c>
      <c r="K153" s="24"/>
      <c r="L153" s="24">
        <f t="shared" si="8"/>
        <v>445.7534954</v>
      </c>
      <c r="M153" s="30">
        <f t="shared" si="9"/>
        <v>446.9066339</v>
      </c>
      <c r="N153" s="27">
        <f t="shared" si="10"/>
        <v>-1.153138506</v>
      </c>
      <c r="O153" s="24"/>
      <c r="P153" s="24"/>
      <c r="Q153" s="24"/>
      <c r="R153" s="26"/>
      <c r="S153" s="14">
        <f t="shared" si="13"/>
        <v>-1.058922628</v>
      </c>
      <c r="U153" s="21"/>
      <c r="V153" s="21"/>
    </row>
    <row r="154">
      <c r="A154" s="11">
        <v>142.0</v>
      </c>
      <c r="B154" s="11">
        <v>1.42001304347826E9</v>
      </c>
      <c r="C154" s="2">
        <v>-102.3472443</v>
      </c>
      <c r="D154" s="24">
        <f t="shared" si="1"/>
        <v>-386956.5217</v>
      </c>
      <c r="E154" s="25">
        <f t="shared" si="2"/>
        <v>80.81005963</v>
      </c>
      <c r="F154" s="24">
        <f t="shared" si="3"/>
        <v>0.0002088349856</v>
      </c>
      <c r="G154" s="24">
        <f t="shared" si="4"/>
        <v>0</v>
      </c>
      <c r="H154" s="26">
        <f t="shared" si="5"/>
        <v>0</v>
      </c>
      <c r="I154" s="24">
        <f t="shared" si="6"/>
        <v>0</v>
      </c>
      <c r="J154" s="24">
        <f t="shared" si="7"/>
        <v>0</v>
      </c>
      <c r="K154" s="24"/>
      <c r="L154" s="24">
        <f t="shared" si="8"/>
        <v>442.977571</v>
      </c>
      <c r="M154" s="30">
        <f t="shared" si="9"/>
        <v>446.8264097</v>
      </c>
      <c r="N154" s="27">
        <f t="shared" si="10"/>
        <v>-3.848838729</v>
      </c>
      <c r="O154" s="24"/>
      <c r="P154" s="24"/>
      <c r="Q154" s="24"/>
      <c r="R154" s="26"/>
      <c r="S154" s="14">
        <f t="shared" si="13"/>
        <v>-3.534373721</v>
      </c>
      <c r="U154" s="21"/>
      <c r="V154" s="21"/>
    </row>
    <row r="155">
      <c r="A155" s="11">
        <v>143.0</v>
      </c>
      <c r="B155" s="11">
        <v>1.42001739130434E9</v>
      </c>
      <c r="C155" s="2">
        <v>-102.336998</v>
      </c>
      <c r="D155" s="24">
        <f t="shared" si="1"/>
        <v>-382608.6957</v>
      </c>
      <c r="E155" s="25">
        <f t="shared" si="2"/>
        <v>79.8917635</v>
      </c>
      <c r="F155" s="24">
        <f t="shared" si="3"/>
        <v>0.0002088080182</v>
      </c>
      <c r="G155" s="24">
        <f t="shared" si="4"/>
        <v>0</v>
      </c>
      <c r="H155" s="26">
        <f t="shared" si="5"/>
        <v>0</v>
      </c>
      <c r="I155" s="24">
        <f t="shared" si="6"/>
        <v>0</v>
      </c>
      <c r="J155" s="24">
        <f t="shared" si="7"/>
        <v>0</v>
      </c>
      <c r="K155" s="24"/>
      <c r="L155" s="24">
        <f t="shared" si="8"/>
        <v>444.0239208</v>
      </c>
      <c r="M155" s="30">
        <f t="shared" si="9"/>
        <v>446.7459115</v>
      </c>
      <c r="N155" s="27">
        <f t="shared" si="10"/>
        <v>-2.721990706</v>
      </c>
      <c r="O155" s="24"/>
      <c r="P155" s="24"/>
      <c r="Q155" s="24"/>
      <c r="R155" s="26"/>
      <c r="S155" s="14">
        <f t="shared" si="13"/>
        <v>-2.499593539</v>
      </c>
      <c r="U155" s="21"/>
      <c r="V155" s="21"/>
    </row>
    <row r="156">
      <c r="A156" s="11">
        <v>144.0</v>
      </c>
      <c r="B156" s="11">
        <v>1.42002173913043E9</v>
      </c>
      <c r="C156" s="2">
        <v>-102.312294</v>
      </c>
      <c r="D156" s="24">
        <f t="shared" si="1"/>
        <v>-378260.8696</v>
      </c>
      <c r="E156" s="25">
        <f t="shared" si="2"/>
        <v>78.97346736</v>
      </c>
      <c r="F156" s="24">
        <f t="shared" si="3"/>
        <v>0.000208780431</v>
      </c>
      <c r="G156" s="24">
        <f t="shared" si="4"/>
        <v>0</v>
      </c>
      <c r="H156" s="26">
        <f t="shared" si="5"/>
        <v>0</v>
      </c>
      <c r="I156" s="24">
        <f t="shared" si="6"/>
        <v>0</v>
      </c>
      <c r="J156" s="24">
        <f t="shared" si="7"/>
        <v>0</v>
      </c>
      <c r="K156" s="24"/>
      <c r="L156" s="24">
        <f t="shared" si="8"/>
        <v>446.5568621</v>
      </c>
      <c r="M156" s="30">
        <f t="shared" si="9"/>
        <v>446.6651401</v>
      </c>
      <c r="N156" s="27">
        <f t="shared" si="10"/>
        <v>-0.1082780551</v>
      </c>
      <c r="O156" s="24"/>
      <c r="P156" s="24"/>
      <c r="Q156" s="24"/>
      <c r="R156" s="26"/>
      <c r="S156" s="14">
        <f t="shared" si="13"/>
        <v>-0.09943131902</v>
      </c>
      <c r="U156" s="21"/>
      <c r="V156" s="21"/>
    </row>
    <row r="157">
      <c r="A157" s="11">
        <v>145.0</v>
      </c>
      <c r="B157" s="11">
        <v>1.42002608695652E9</v>
      </c>
      <c r="C157" s="2">
        <v>-102.3770142</v>
      </c>
      <c r="D157" s="24">
        <f t="shared" si="1"/>
        <v>-373913.0435</v>
      </c>
      <c r="E157" s="25">
        <f t="shared" si="2"/>
        <v>78.05517123</v>
      </c>
      <c r="F157" s="24">
        <f t="shared" si="3"/>
        <v>0.0002087522021</v>
      </c>
      <c r="G157" s="24">
        <f t="shared" si="4"/>
        <v>0</v>
      </c>
      <c r="H157" s="26">
        <f t="shared" si="5"/>
        <v>0</v>
      </c>
      <c r="I157" s="24">
        <f t="shared" si="6"/>
        <v>0</v>
      </c>
      <c r="J157" s="24">
        <f t="shared" si="7"/>
        <v>0</v>
      </c>
      <c r="K157" s="24"/>
      <c r="L157" s="24">
        <f t="shared" si="8"/>
        <v>439.9514439</v>
      </c>
      <c r="M157" s="30">
        <f t="shared" si="9"/>
        <v>446.5840963</v>
      </c>
      <c r="N157" s="27">
        <f t="shared" si="10"/>
        <v>-6.632652438</v>
      </c>
      <c r="O157" s="24"/>
      <c r="P157" s="24"/>
      <c r="Q157" s="24"/>
      <c r="R157" s="26"/>
      <c r="S157" s="14">
        <f t="shared" si="13"/>
        <v>-6.090739084</v>
      </c>
      <c r="U157" s="21"/>
      <c r="V157" s="21"/>
    </row>
    <row r="158">
      <c r="A158" s="11">
        <v>146.0</v>
      </c>
      <c r="B158" s="11">
        <v>1.4200304347826E9</v>
      </c>
      <c r="C158" s="2">
        <v>-102.349678</v>
      </c>
      <c r="D158" s="24">
        <f t="shared" si="1"/>
        <v>-369565.2174</v>
      </c>
      <c r="E158" s="25">
        <f t="shared" si="2"/>
        <v>77.1368751</v>
      </c>
      <c r="F158" s="24">
        <f t="shared" si="3"/>
        <v>0.0002087233091</v>
      </c>
      <c r="G158" s="24">
        <f t="shared" si="4"/>
        <v>0</v>
      </c>
      <c r="H158" s="26">
        <f t="shared" si="5"/>
        <v>0</v>
      </c>
      <c r="I158" s="24">
        <f t="shared" si="6"/>
        <v>0</v>
      </c>
      <c r="J158" s="24">
        <f t="shared" si="7"/>
        <v>0</v>
      </c>
      <c r="K158" s="24"/>
      <c r="L158" s="24">
        <f t="shared" si="8"/>
        <v>442.7294047</v>
      </c>
      <c r="M158" s="30">
        <f t="shared" si="9"/>
        <v>446.502781</v>
      </c>
      <c r="N158" s="27">
        <f t="shared" si="10"/>
        <v>-3.773376332</v>
      </c>
      <c r="O158" s="24"/>
      <c r="P158" s="24"/>
      <c r="Q158" s="24"/>
      <c r="R158" s="26"/>
      <c r="S158" s="14">
        <f t="shared" si="13"/>
        <v>-3.465076893</v>
      </c>
      <c r="U158" s="21"/>
      <c r="V158" s="21"/>
    </row>
    <row r="159">
      <c r="A159" s="11">
        <v>147.0</v>
      </c>
      <c r="B159" s="11">
        <v>1.42003478260869E9</v>
      </c>
      <c r="C159" s="2">
        <v>-102.3484955</v>
      </c>
      <c r="D159" s="24">
        <f t="shared" si="1"/>
        <v>-365217.3913</v>
      </c>
      <c r="E159" s="25">
        <f t="shared" si="2"/>
        <v>76.21857897</v>
      </c>
      <c r="F159" s="24">
        <f t="shared" si="3"/>
        <v>0.0002086937281</v>
      </c>
      <c r="G159" s="24">
        <f t="shared" si="4"/>
        <v>0</v>
      </c>
      <c r="H159" s="26">
        <f t="shared" si="5"/>
        <v>0</v>
      </c>
      <c r="I159" s="24">
        <f t="shared" si="6"/>
        <v>0</v>
      </c>
      <c r="J159" s="24">
        <f t="shared" si="7"/>
        <v>0</v>
      </c>
      <c r="K159" s="24"/>
      <c r="L159" s="24">
        <f t="shared" si="8"/>
        <v>442.8499677</v>
      </c>
      <c r="M159" s="30">
        <f t="shared" si="9"/>
        <v>446.4211949</v>
      </c>
      <c r="N159" s="27">
        <f t="shared" si="10"/>
        <v>-3.571227124</v>
      </c>
      <c r="O159" s="24"/>
      <c r="P159" s="24"/>
      <c r="Q159" s="24"/>
      <c r="R159" s="26"/>
      <c r="S159" s="14">
        <f t="shared" si="13"/>
        <v>-3.279444057</v>
      </c>
      <c r="U159" s="21"/>
      <c r="V159" s="21"/>
    </row>
    <row r="160">
      <c r="A160" s="11">
        <v>148.0</v>
      </c>
      <c r="B160" s="11">
        <v>1.42003913043478E9</v>
      </c>
      <c r="C160" s="2">
        <v>-102.3614349</v>
      </c>
      <c r="D160" s="24">
        <f t="shared" si="1"/>
        <v>-360869.5652</v>
      </c>
      <c r="E160" s="25">
        <f t="shared" si="2"/>
        <v>75.30028284</v>
      </c>
      <c r="F160" s="24">
        <f t="shared" si="3"/>
        <v>0.0002086634344</v>
      </c>
      <c r="G160" s="24">
        <f t="shared" si="4"/>
        <v>0</v>
      </c>
      <c r="H160" s="26">
        <f t="shared" si="5"/>
        <v>0</v>
      </c>
      <c r="I160" s="24">
        <f t="shared" si="6"/>
        <v>0</v>
      </c>
      <c r="J160" s="24">
        <f t="shared" si="7"/>
        <v>0</v>
      </c>
      <c r="K160" s="24"/>
      <c r="L160" s="24">
        <f t="shared" si="8"/>
        <v>441.5325011</v>
      </c>
      <c r="M160" s="30">
        <f t="shared" si="9"/>
        <v>446.3393388</v>
      </c>
      <c r="N160" s="27">
        <f t="shared" si="10"/>
        <v>-4.806837682</v>
      </c>
      <c r="O160" s="24"/>
      <c r="P160" s="24"/>
      <c r="Q160" s="24"/>
      <c r="R160" s="26"/>
      <c r="S160" s="14">
        <f t="shared" si="13"/>
        <v>-4.414100445</v>
      </c>
      <c r="U160" s="21"/>
      <c r="V160" s="21"/>
    </row>
    <row r="161">
      <c r="A161" s="11">
        <v>149.0</v>
      </c>
      <c r="B161" s="11">
        <v>1.42004347826087E9</v>
      </c>
      <c r="C161" s="2">
        <v>-102.3051682</v>
      </c>
      <c r="D161" s="24">
        <f t="shared" si="1"/>
        <v>-356521.7391</v>
      </c>
      <c r="E161" s="25">
        <f t="shared" si="2"/>
        <v>74.3819867</v>
      </c>
      <c r="F161" s="24">
        <f t="shared" si="3"/>
        <v>0.0002086324017</v>
      </c>
      <c r="G161" s="24">
        <f t="shared" si="4"/>
        <v>0</v>
      </c>
      <c r="H161" s="26">
        <f t="shared" si="5"/>
        <v>0</v>
      </c>
      <c r="I161" s="24">
        <f t="shared" si="6"/>
        <v>0</v>
      </c>
      <c r="J161" s="24">
        <f t="shared" si="7"/>
        <v>0</v>
      </c>
      <c r="K161" s="24"/>
      <c r="L161" s="24">
        <f t="shared" si="8"/>
        <v>447.2901633</v>
      </c>
      <c r="M161" s="30">
        <f t="shared" si="9"/>
        <v>446.2572135</v>
      </c>
      <c r="N161" s="27">
        <f t="shared" si="10"/>
        <v>1.032949822</v>
      </c>
      <c r="O161" s="24"/>
      <c r="P161" s="24"/>
      <c r="Q161" s="24"/>
      <c r="R161" s="26"/>
      <c r="S161" s="14">
        <f t="shared" si="13"/>
        <v>0.9485538273</v>
      </c>
      <c r="U161" s="21"/>
      <c r="V161" s="21"/>
    </row>
    <row r="162">
      <c r="A162" s="11">
        <v>150.0</v>
      </c>
      <c r="B162" s="11">
        <v>1.42004782608695E9</v>
      </c>
      <c r="C162" s="2">
        <v>-102.3258438</v>
      </c>
      <c r="D162" s="24">
        <f t="shared" si="1"/>
        <v>-352173.913</v>
      </c>
      <c r="E162" s="25">
        <f t="shared" si="2"/>
        <v>73.46369057</v>
      </c>
      <c r="F162" s="24">
        <f t="shared" si="3"/>
        <v>0.0002086006029</v>
      </c>
      <c r="G162" s="24">
        <f t="shared" si="4"/>
        <v>0</v>
      </c>
      <c r="H162" s="26">
        <f t="shared" si="5"/>
        <v>0</v>
      </c>
      <c r="I162" s="24">
        <f t="shared" si="6"/>
        <v>0</v>
      </c>
      <c r="J162" s="24">
        <f t="shared" si="7"/>
        <v>0</v>
      </c>
      <c r="K162" s="24"/>
      <c r="L162" s="24">
        <f t="shared" si="8"/>
        <v>445.1657951</v>
      </c>
      <c r="M162" s="30">
        <f t="shared" si="9"/>
        <v>446.1748198</v>
      </c>
      <c r="N162" s="27">
        <f t="shared" si="10"/>
        <v>-1.009024709</v>
      </c>
      <c r="O162" s="24"/>
      <c r="P162" s="24"/>
      <c r="Q162" s="24"/>
      <c r="R162" s="26"/>
      <c r="S162" s="14">
        <f t="shared" si="13"/>
        <v>-0.9265834883</v>
      </c>
      <c r="U162" s="21"/>
      <c r="V162" s="21"/>
    </row>
    <row r="163">
      <c r="A163" s="11">
        <v>151.0</v>
      </c>
      <c r="B163" s="11">
        <v>1.42005217391304E9</v>
      </c>
      <c r="C163" s="2">
        <v>-102.3365173</v>
      </c>
      <c r="D163" s="24">
        <f t="shared" si="1"/>
        <v>-347826.087</v>
      </c>
      <c r="E163" s="25">
        <f t="shared" si="2"/>
        <v>72.54539444</v>
      </c>
      <c r="F163" s="24">
        <f t="shared" si="3"/>
        <v>0.000208568009</v>
      </c>
      <c r="G163" s="24">
        <f t="shared" si="4"/>
        <v>0</v>
      </c>
      <c r="H163" s="26">
        <f t="shared" si="5"/>
        <v>0</v>
      </c>
      <c r="I163" s="24">
        <f t="shared" si="6"/>
        <v>0</v>
      </c>
      <c r="J163" s="24">
        <f t="shared" si="7"/>
        <v>0</v>
      </c>
      <c r="K163" s="24"/>
      <c r="L163" s="24">
        <f t="shared" si="8"/>
        <v>444.0730704</v>
      </c>
      <c r="M163" s="30">
        <f t="shared" si="9"/>
        <v>446.0921586</v>
      </c>
      <c r="N163" s="27">
        <f t="shared" si="10"/>
        <v>-2.019088206</v>
      </c>
      <c r="O163" s="24"/>
      <c r="P163" s="24"/>
      <c r="Q163" s="24"/>
      <c r="R163" s="26"/>
      <c r="S163" s="14">
        <f t="shared" si="13"/>
        <v>-1.854120887</v>
      </c>
      <c r="U163" s="21"/>
      <c r="V163" s="21"/>
    </row>
    <row r="164">
      <c r="A164" s="11">
        <v>152.0</v>
      </c>
      <c r="B164" s="11">
        <v>1.42005652173913E9</v>
      </c>
      <c r="C164" s="2">
        <v>-102.3336411</v>
      </c>
      <c r="D164" s="24">
        <f t="shared" si="1"/>
        <v>-343478.2609</v>
      </c>
      <c r="E164" s="25">
        <f t="shared" si="2"/>
        <v>71.62709831</v>
      </c>
      <c r="F164" s="24">
        <f t="shared" si="3"/>
        <v>0.00020853459</v>
      </c>
      <c r="G164" s="24">
        <f t="shared" si="4"/>
        <v>0</v>
      </c>
      <c r="H164" s="26">
        <f t="shared" si="5"/>
        <v>0</v>
      </c>
      <c r="I164" s="24">
        <f t="shared" si="6"/>
        <v>0</v>
      </c>
      <c r="J164" s="24">
        <f t="shared" si="7"/>
        <v>0</v>
      </c>
      <c r="K164" s="24"/>
      <c r="L164" s="24">
        <f t="shared" si="8"/>
        <v>444.3672639</v>
      </c>
      <c r="M164" s="30">
        <f t="shared" si="9"/>
        <v>446.0092306</v>
      </c>
      <c r="N164" s="27">
        <f t="shared" si="10"/>
        <v>-1.64196676</v>
      </c>
      <c r="O164" s="24"/>
      <c r="P164" s="24"/>
      <c r="Q164" s="24"/>
      <c r="R164" s="26"/>
      <c r="S164" s="14">
        <f t="shared" si="13"/>
        <v>-1.507811726</v>
      </c>
      <c r="U164" s="21"/>
      <c r="V164" s="21"/>
    </row>
    <row r="165">
      <c r="A165" s="11">
        <v>153.0</v>
      </c>
      <c r="B165" s="11">
        <v>1.42006086956521E9</v>
      </c>
      <c r="C165" s="2">
        <v>-102.3164597</v>
      </c>
      <c r="D165" s="24">
        <f t="shared" si="1"/>
        <v>-339130.4348</v>
      </c>
      <c r="E165" s="25">
        <f t="shared" si="2"/>
        <v>70.70880218</v>
      </c>
      <c r="F165" s="24">
        <f t="shared" si="3"/>
        <v>0.0002085003141</v>
      </c>
      <c r="G165" s="24">
        <f t="shared" si="4"/>
        <v>0</v>
      </c>
      <c r="H165" s="26">
        <f t="shared" si="5"/>
        <v>0</v>
      </c>
      <c r="I165" s="24">
        <f t="shared" si="6"/>
        <v>0</v>
      </c>
      <c r="J165" s="24">
        <f t="shared" si="7"/>
        <v>0</v>
      </c>
      <c r="K165" s="24"/>
      <c r="L165" s="24">
        <f t="shared" si="8"/>
        <v>446.1287355</v>
      </c>
      <c r="M165" s="30">
        <f t="shared" si="9"/>
        <v>445.9260367</v>
      </c>
      <c r="N165" s="27">
        <f t="shared" si="10"/>
        <v>0.2026987876</v>
      </c>
      <c r="O165" s="24"/>
      <c r="P165" s="24"/>
      <c r="Q165" s="24"/>
      <c r="R165" s="26"/>
      <c r="S165" s="14">
        <f t="shared" si="13"/>
        <v>0.1861375128</v>
      </c>
      <c r="U165" s="21"/>
      <c r="V165" s="21"/>
    </row>
    <row r="166">
      <c r="A166" s="11">
        <v>154.0</v>
      </c>
      <c r="B166" s="11">
        <v>1.4200652173913E9</v>
      </c>
      <c r="C166" s="2">
        <v>-102.3578186</v>
      </c>
      <c r="D166" s="24">
        <f t="shared" si="1"/>
        <v>-334782.6087</v>
      </c>
      <c r="E166" s="25">
        <f t="shared" si="2"/>
        <v>69.79050604</v>
      </c>
      <c r="F166" s="24">
        <f t="shared" si="3"/>
        <v>0.0002084651479</v>
      </c>
      <c r="G166" s="24">
        <f t="shared" si="4"/>
        <v>0</v>
      </c>
      <c r="H166" s="26">
        <f t="shared" si="5"/>
        <v>0</v>
      </c>
      <c r="I166" s="24">
        <f t="shared" si="6"/>
        <v>0</v>
      </c>
      <c r="J166" s="24">
        <f t="shared" si="7"/>
        <v>0</v>
      </c>
      <c r="K166" s="24"/>
      <c r="L166" s="24">
        <f t="shared" si="8"/>
        <v>441.9003112</v>
      </c>
      <c r="M166" s="30">
        <f t="shared" si="9"/>
        <v>445.8425776</v>
      </c>
      <c r="N166" s="27">
        <f t="shared" si="10"/>
        <v>-3.942266436</v>
      </c>
      <c r="O166" s="24"/>
      <c r="P166" s="24"/>
      <c r="Q166" s="24"/>
      <c r="R166" s="26"/>
      <c r="S166" s="14">
        <f t="shared" si="13"/>
        <v>-3.620168014</v>
      </c>
      <c r="U166" s="21"/>
      <c r="V166" s="21"/>
    </row>
    <row r="167">
      <c r="A167" s="11">
        <v>155.0</v>
      </c>
      <c r="B167" s="11">
        <v>1.42006956521739E9</v>
      </c>
      <c r="C167" s="2">
        <v>-102.2888718</v>
      </c>
      <c r="D167" s="24">
        <f t="shared" si="1"/>
        <v>-330434.7826</v>
      </c>
      <c r="E167" s="25">
        <f t="shared" si="2"/>
        <v>68.87220991</v>
      </c>
      <c r="F167" s="24">
        <f t="shared" si="3"/>
        <v>0.0002084290563</v>
      </c>
      <c r="G167" s="24">
        <f t="shared" si="4"/>
        <v>0</v>
      </c>
      <c r="H167" s="26">
        <f t="shared" si="5"/>
        <v>0</v>
      </c>
      <c r="I167" s="24">
        <f t="shared" si="6"/>
        <v>0</v>
      </c>
      <c r="J167" s="24">
        <f t="shared" si="7"/>
        <v>0</v>
      </c>
      <c r="K167" s="24"/>
      <c r="L167" s="24">
        <f t="shared" si="8"/>
        <v>448.9717211</v>
      </c>
      <c r="M167" s="30">
        <f t="shared" si="9"/>
        <v>445.7588542</v>
      </c>
      <c r="N167" s="27">
        <f t="shared" si="10"/>
        <v>3.212866892</v>
      </c>
      <c r="O167" s="24"/>
      <c r="P167" s="24"/>
      <c r="Q167" s="24"/>
      <c r="R167" s="26"/>
      <c r="S167" s="14">
        <f t="shared" si="13"/>
        <v>2.950363242</v>
      </c>
      <c r="U167" s="21"/>
      <c r="V167" s="21"/>
    </row>
    <row r="168">
      <c r="A168" s="11">
        <v>156.0</v>
      </c>
      <c r="B168" s="11">
        <v>1.42007391304347E9</v>
      </c>
      <c r="C168" s="2">
        <v>-102.2945786</v>
      </c>
      <c r="D168" s="24">
        <f t="shared" si="1"/>
        <v>-326086.9565</v>
      </c>
      <c r="E168" s="25">
        <f t="shared" si="2"/>
        <v>67.95391378</v>
      </c>
      <c r="F168" s="24">
        <f t="shared" si="3"/>
        <v>0.0002083920023</v>
      </c>
      <c r="G168" s="24">
        <f t="shared" si="4"/>
        <v>0</v>
      </c>
      <c r="H168" s="26">
        <f t="shared" si="5"/>
        <v>0</v>
      </c>
      <c r="I168" s="24">
        <f t="shared" si="6"/>
        <v>0</v>
      </c>
      <c r="J168" s="24">
        <f t="shared" si="7"/>
        <v>0</v>
      </c>
      <c r="K168" s="24"/>
      <c r="L168" s="24">
        <f t="shared" si="8"/>
        <v>448.382142</v>
      </c>
      <c r="M168" s="30">
        <f t="shared" si="9"/>
        <v>445.6748672</v>
      </c>
      <c r="N168" s="27">
        <f t="shared" si="10"/>
        <v>2.70727487</v>
      </c>
      <c r="O168" s="24"/>
      <c r="P168" s="24"/>
      <c r="Q168" s="24"/>
      <c r="R168" s="26"/>
      <c r="S168" s="14">
        <f t="shared" si="13"/>
        <v>2.486080044</v>
      </c>
      <c r="U168" s="21"/>
      <c r="V168" s="21"/>
    </row>
    <row r="169">
      <c r="A169" s="11">
        <v>157.0</v>
      </c>
      <c r="B169" s="11">
        <v>1.42007826086956E9</v>
      </c>
      <c r="C169" s="2">
        <v>-102.3212585</v>
      </c>
      <c r="D169" s="24">
        <f t="shared" si="1"/>
        <v>-321739.1304</v>
      </c>
      <c r="E169" s="25">
        <f t="shared" si="2"/>
        <v>67.03561765</v>
      </c>
      <c r="F169" s="24">
        <f t="shared" si="3"/>
        <v>0.0002083539467</v>
      </c>
      <c r="G169" s="24">
        <f t="shared" si="4"/>
        <v>0</v>
      </c>
      <c r="H169" s="26">
        <f t="shared" si="5"/>
        <v>0</v>
      </c>
      <c r="I169" s="24">
        <f t="shared" si="6"/>
        <v>0</v>
      </c>
      <c r="J169" s="24">
        <f t="shared" si="7"/>
        <v>0</v>
      </c>
      <c r="K169" s="24"/>
      <c r="L169" s="24">
        <f t="shared" si="8"/>
        <v>445.6360513</v>
      </c>
      <c r="M169" s="30">
        <f t="shared" si="9"/>
        <v>445.5906174</v>
      </c>
      <c r="N169" s="27">
        <f t="shared" si="10"/>
        <v>0.04543388747</v>
      </c>
      <c r="O169" s="24"/>
      <c r="P169" s="24"/>
      <c r="Q169" s="24"/>
      <c r="R169" s="26"/>
      <c r="S169" s="14">
        <f t="shared" si="13"/>
        <v>0.04172176306</v>
      </c>
      <c r="U169" s="21"/>
      <c r="V169" s="21"/>
    </row>
    <row r="170">
      <c r="A170" s="11">
        <v>158.0</v>
      </c>
      <c r="B170" s="11">
        <v>1.42008260869565E9</v>
      </c>
      <c r="C170" s="2">
        <v>-102.3872375</v>
      </c>
      <c r="D170" s="24">
        <f t="shared" si="1"/>
        <v>-317391.3043</v>
      </c>
      <c r="E170" s="25">
        <f t="shared" si="2"/>
        <v>66.11732152</v>
      </c>
      <c r="F170" s="24">
        <f t="shared" si="3"/>
        <v>0.0002083148486</v>
      </c>
      <c r="G170" s="24">
        <f t="shared" si="4"/>
        <v>0</v>
      </c>
      <c r="H170" s="26">
        <f t="shared" si="5"/>
        <v>0</v>
      </c>
      <c r="I170" s="24">
        <f t="shared" si="6"/>
        <v>0</v>
      </c>
      <c r="J170" s="24">
        <f t="shared" si="7"/>
        <v>0</v>
      </c>
      <c r="K170" s="24"/>
      <c r="L170" s="24">
        <f t="shared" si="8"/>
        <v>438.9170154</v>
      </c>
      <c r="M170" s="30">
        <f t="shared" si="9"/>
        <v>445.5061057</v>
      </c>
      <c r="N170" s="27">
        <f t="shared" si="10"/>
        <v>-6.589090327</v>
      </c>
      <c r="O170" s="24"/>
      <c r="P170" s="24"/>
      <c r="Q170" s="24"/>
      <c r="R170" s="26"/>
      <c r="S170" s="14">
        <f t="shared" si="13"/>
        <v>-6.050736166</v>
      </c>
      <c r="U170" s="21"/>
      <c r="V170" s="21"/>
    </row>
    <row r="171">
      <c r="A171" s="11">
        <v>159.0</v>
      </c>
      <c r="B171" s="11">
        <v>1.42008695652173E9</v>
      </c>
      <c r="C171" s="2">
        <v>-102.3528671</v>
      </c>
      <c r="D171" s="24">
        <f t="shared" si="1"/>
        <v>-313043.4783</v>
      </c>
      <c r="E171" s="25">
        <f t="shared" si="2"/>
        <v>65.19902538</v>
      </c>
      <c r="F171" s="24">
        <f t="shared" si="3"/>
        <v>0.0002082746644</v>
      </c>
      <c r="G171" s="24">
        <f t="shared" si="4"/>
        <v>0</v>
      </c>
      <c r="H171" s="26">
        <f t="shared" si="5"/>
        <v>0</v>
      </c>
      <c r="I171" s="24">
        <f t="shared" si="6"/>
        <v>0</v>
      </c>
      <c r="J171" s="24">
        <f t="shared" si="7"/>
        <v>0</v>
      </c>
      <c r="K171" s="24"/>
      <c r="L171" s="24">
        <f t="shared" si="8"/>
        <v>442.4044201</v>
      </c>
      <c r="M171" s="30">
        <f t="shared" si="9"/>
        <v>445.4213329</v>
      </c>
      <c r="N171" s="27">
        <f t="shared" si="10"/>
        <v>-3.016912822</v>
      </c>
      <c r="O171" s="24"/>
      <c r="P171" s="24"/>
      <c r="Q171" s="24"/>
      <c r="R171" s="26"/>
      <c r="S171" s="14">
        <f t="shared" si="13"/>
        <v>-2.770419377</v>
      </c>
      <c r="U171" s="21"/>
      <c r="V171" s="21"/>
    </row>
    <row r="172">
      <c r="A172" s="11">
        <v>160.0</v>
      </c>
      <c r="B172" s="11">
        <v>1.42009130434782E9</v>
      </c>
      <c r="C172" s="2">
        <v>-102.325943</v>
      </c>
      <c r="D172" s="24">
        <f t="shared" si="1"/>
        <v>-308695.6522</v>
      </c>
      <c r="E172" s="25">
        <f t="shared" si="2"/>
        <v>64.28072925</v>
      </c>
      <c r="F172" s="24">
        <f t="shared" si="3"/>
        <v>0.0002082333483</v>
      </c>
      <c r="G172" s="24">
        <f t="shared" si="4"/>
        <v>0</v>
      </c>
      <c r="H172" s="26">
        <f t="shared" si="5"/>
        <v>0</v>
      </c>
      <c r="I172" s="24">
        <f t="shared" si="6"/>
        <v>0</v>
      </c>
      <c r="J172" s="24">
        <f t="shared" si="7"/>
        <v>0</v>
      </c>
      <c r="K172" s="24"/>
      <c r="L172" s="24">
        <f t="shared" si="8"/>
        <v>445.1556269</v>
      </c>
      <c r="M172" s="30">
        <f t="shared" si="9"/>
        <v>445.3362997</v>
      </c>
      <c r="N172" s="27">
        <f t="shared" si="10"/>
        <v>-0.180672826</v>
      </c>
      <c r="O172" s="24"/>
      <c r="P172" s="24"/>
      <c r="Q172" s="24"/>
      <c r="R172" s="26"/>
      <c r="S172" s="14">
        <f t="shared" si="13"/>
        <v>-0.1659111574</v>
      </c>
      <c r="U172" s="21"/>
      <c r="V172" s="21"/>
    </row>
    <row r="173">
      <c r="A173" s="11">
        <v>161.0</v>
      </c>
      <c r="B173" s="11">
        <v>1.42009565217391E9</v>
      </c>
      <c r="C173" s="2">
        <v>-102.3229218</v>
      </c>
      <c r="D173" s="24">
        <f t="shared" si="1"/>
        <v>-304347.8261</v>
      </c>
      <c r="E173" s="25">
        <f t="shared" si="2"/>
        <v>63.36243312</v>
      </c>
      <c r="F173" s="24">
        <f t="shared" si="3"/>
        <v>0.0002081908517</v>
      </c>
      <c r="G173" s="24">
        <f t="shared" si="4"/>
        <v>0</v>
      </c>
      <c r="H173" s="26">
        <f t="shared" si="5"/>
        <v>0</v>
      </c>
      <c r="I173" s="24">
        <f t="shared" si="6"/>
        <v>0</v>
      </c>
      <c r="J173" s="24">
        <f t="shared" si="7"/>
        <v>0</v>
      </c>
      <c r="K173" s="24"/>
      <c r="L173" s="24">
        <f t="shared" si="8"/>
        <v>445.4654103</v>
      </c>
      <c r="M173" s="30">
        <f t="shared" si="9"/>
        <v>445.2510071</v>
      </c>
      <c r="N173" s="27">
        <f t="shared" si="10"/>
        <v>0.21440324</v>
      </c>
      <c r="O173" s="24"/>
      <c r="P173" s="24"/>
      <c r="Q173" s="24"/>
      <c r="R173" s="26"/>
      <c r="S173" s="14">
        <f t="shared" si="13"/>
        <v>0.1968856657</v>
      </c>
      <c r="U173" s="21"/>
      <c r="V173" s="21"/>
    </row>
    <row r="174">
      <c r="A174" s="11">
        <v>162.0</v>
      </c>
      <c r="B174" s="11">
        <v>1.4201E9</v>
      </c>
      <c r="C174" s="2">
        <v>-102.3369064</v>
      </c>
      <c r="D174" s="24">
        <f t="shared" si="1"/>
        <v>-300000</v>
      </c>
      <c r="E174" s="25">
        <f t="shared" si="2"/>
        <v>62.44413699</v>
      </c>
      <c r="F174" s="24">
        <f t="shared" si="3"/>
        <v>0.0002081471233</v>
      </c>
      <c r="G174" s="24">
        <f t="shared" si="4"/>
        <v>0</v>
      </c>
      <c r="H174" s="26">
        <f t="shared" si="5"/>
        <v>0</v>
      </c>
      <c r="I174" s="24">
        <f t="shared" si="6"/>
        <v>0</v>
      </c>
      <c r="J174" s="24">
        <f t="shared" si="7"/>
        <v>0</v>
      </c>
      <c r="K174" s="24"/>
      <c r="L174" s="24">
        <f t="shared" si="8"/>
        <v>444.0332861</v>
      </c>
      <c r="M174" s="30">
        <f t="shared" si="9"/>
        <v>445.1654556</v>
      </c>
      <c r="N174" s="27">
        <f t="shared" si="10"/>
        <v>-1.132169532</v>
      </c>
      <c r="O174" s="24"/>
      <c r="P174" s="24"/>
      <c r="Q174" s="24"/>
      <c r="R174" s="26"/>
      <c r="S174" s="14">
        <f t="shared" si="13"/>
        <v>-1.039666903</v>
      </c>
      <c r="U174" s="21"/>
      <c r="V174" s="21"/>
    </row>
    <row r="175">
      <c r="A175" s="11">
        <v>163.0</v>
      </c>
      <c r="B175" s="11">
        <v>1.42010434782608E9</v>
      </c>
      <c r="C175" s="2">
        <v>-102.3237</v>
      </c>
      <c r="D175" s="24">
        <f t="shared" si="1"/>
        <v>-295652.1739</v>
      </c>
      <c r="E175" s="25">
        <f t="shared" si="2"/>
        <v>61.52584085</v>
      </c>
      <c r="F175" s="24">
        <f t="shared" si="3"/>
        <v>0.0002081021088</v>
      </c>
      <c r="G175" s="24">
        <f t="shared" si="4"/>
        <v>0</v>
      </c>
      <c r="H175" s="26">
        <f t="shared" si="5"/>
        <v>0</v>
      </c>
      <c r="I175" s="24">
        <f t="shared" si="6"/>
        <v>0</v>
      </c>
      <c r="J175" s="24">
        <f t="shared" si="7"/>
        <v>0</v>
      </c>
      <c r="K175" s="24"/>
      <c r="L175" s="24">
        <f t="shared" si="8"/>
        <v>445.3855958</v>
      </c>
      <c r="M175" s="30">
        <f t="shared" si="9"/>
        <v>445.0796463</v>
      </c>
      <c r="N175" s="27">
        <f t="shared" si="10"/>
        <v>0.3059494805</v>
      </c>
      <c r="O175" s="24"/>
      <c r="P175" s="24"/>
      <c r="Q175" s="24"/>
      <c r="R175" s="26"/>
      <c r="S175" s="14">
        <f t="shared" si="13"/>
        <v>0.2809522247</v>
      </c>
      <c r="U175" s="21"/>
      <c r="V175" s="21"/>
    </row>
    <row r="176">
      <c r="A176" s="11">
        <v>164.0</v>
      </c>
      <c r="B176" s="11">
        <v>1.42010869565217E9</v>
      </c>
      <c r="C176" s="2">
        <v>-102.3401794</v>
      </c>
      <c r="D176" s="24">
        <f t="shared" si="1"/>
        <v>-291304.3478</v>
      </c>
      <c r="E176" s="25">
        <f t="shared" si="2"/>
        <v>60.60754472</v>
      </c>
      <c r="F176" s="24">
        <f t="shared" si="3"/>
        <v>0.0002080557505</v>
      </c>
      <c r="G176" s="24">
        <f t="shared" si="4"/>
        <v>0</v>
      </c>
      <c r="H176" s="26">
        <f t="shared" si="5"/>
        <v>0</v>
      </c>
      <c r="I176" s="24">
        <f t="shared" si="6"/>
        <v>0</v>
      </c>
      <c r="J176" s="24">
        <f t="shared" si="7"/>
        <v>0</v>
      </c>
      <c r="K176" s="24"/>
      <c r="L176" s="24">
        <f t="shared" si="8"/>
        <v>443.6987726</v>
      </c>
      <c r="M176" s="30">
        <f t="shared" si="9"/>
        <v>444.9935798</v>
      </c>
      <c r="N176" s="27">
        <f t="shared" si="10"/>
        <v>-1.294807154</v>
      </c>
      <c r="O176" s="24"/>
      <c r="P176" s="24"/>
      <c r="Q176" s="24"/>
      <c r="R176" s="26"/>
      <c r="S176" s="14">
        <f t="shared" si="13"/>
        <v>-1.189016399</v>
      </c>
      <c r="U176" s="21"/>
      <c r="V176" s="21"/>
    </row>
    <row r="177">
      <c r="A177" s="11">
        <v>165.0</v>
      </c>
      <c r="B177" s="11">
        <v>1.42011304347826E9</v>
      </c>
      <c r="C177" s="2">
        <v>-102.3129501</v>
      </c>
      <c r="D177" s="24">
        <f t="shared" si="1"/>
        <v>-286956.5217</v>
      </c>
      <c r="E177" s="25">
        <f t="shared" si="2"/>
        <v>59.68924859</v>
      </c>
      <c r="F177" s="24">
        <f t="shared" si="3"/>
        <v>0.0002080079875</v>
      </c>
      <c r="G177" s="24">
        <f t="shared" si="4"/>
        <v>0</v>
      </c>
      <c r="H177" s="26">
        <f t="shared" si="5"/>
        <v>0</v>
      </c>
      <c r="I177" s="24">
        <f t="shared" si="6"/>
        <v>0</v>
      </c>
      <c r="J177" s="24">
        <f t="shared" si="7"/>
        <v>0</v>
      </c>
      <c r="K177" s="24"/>
      <c r="L177" s="24">
        <f t="shared" si="8"/>
        <v>446.4894046</v>
      </c>
      <c r="M177" s="30">
        <f t="shared" si="9"/>
        <v>444.907257</v>
      </c>
      <c r="N177" s="27">
        <f t="shared" si="10"/>
        <v>1.582147636</v>
      </c>
      <c r="O177" s="24"/>
      <c r="P177" s="24"/>
      <c r="Q177" s="24"/>
      <c r="R177" s="26"/>
      <c r="S177" s="14">
        <f t="shared" si="13"/>
        <v>1.452880056</v>
      </c>
      <c r="U177" s="21"/>
      <c r="V177" s="21"/>
    </row>
    <row r="178">
      <c r="A178" s="11">
        <v>166.0</v>
      </c>
      <c r="B178" s="11">
        <v>1.42011739130434E9</v>
      </c>
      <c r="C178" s="2">
        <v>-102.3167801</v>
      </c>
      <c r="D178" s="24">
        <f t="shared" si="1"/>
        <v>-282608.6957</v>
      </c>
      <c r="E178" s="25">
        <f t="shared" si="2"/>
        <v>58.77095246</v>
      </c>
      <c r="F178" s="24">
        <f t="shared" si="3"/>
        <v>0.0002079587548</v>
      </c>
      <c r="G178" s="24">
        <f t="shared" si="4"/>
        <v>0</v>
      </c>
      <c r="H178" s="26">
        <f t="shared" si="5"/>
        <v>0</v>
      </c>
      <c r="I178" s="24">
        <f t="shared" si="6"/>
        <v>0</v>
      </c>
      <c r="J178" s="24">
        <f t="shared" si="7"/>
        <v>0</v>
      </c>
      <c r="K178" s="24"/>
      <c r="L178" s="24">
        <f t="shared" si="8"/>
        <v>446.0958236</v>
      </c>
      <c r="M178" s="30">
        <f t="shared" si="9"/>
        <v>444.8206787</v>
      </c>
      <c r="N178" s="27">
        <f t="shared" si="10"/>
        <v>1.275144938</v>
      </c>
      <c r="O178" s="24"/>
      <c r="P178" s="24"/>
      <c r="Q178" s="24"/>
      <c r="R178" s="26"/>
      <c r="S178" s="14">
        <f t="shared" si="13"/>
        <v>1.170960665</v>
      </c>
      <c r="U178" s="21"/>
      <c r="V178" s="21"/>
    </row>
    <row r="179">
      <c r="A179" s="11">
        <v>167.0</v>
      </c>
      <c r="B179" s="11">
        <v>1.42012173913043E9</v>
      </c>
      <c r="C179" s="2">
        <v>-102.3402176</v>
      </c>
      <c r="D179" s="24">
        <f t="shared" si="1"/>
        <v>-278260.8696</v>
      </c>
      <c r="E179" s="25">
        <f t="shared" si="2"/>
        <v>57.85265632</v>
      </c>
      <c r="F179" s="24">
        <f t="shared" si="3"/>
        <v>0.0002079079837</v>
      </c>
      <c r="G179" s="24">
        <f t="shared" si="4"/>
        <v>0</v>
      </c>
      <c r="H179" s="26">
        <f t="shared" si="5"/>
        <v>0</v>
      </c>
      <c r="I179" s="24">
        <f t="shared" si="6"/>
        <v>0</v>
      </c>
      <c r="J179" s="24">
        <f t="shared" si="7"/>
        <v>0</v>
      </c>
      <c r="K179" s="24"/>
      <c r="L179" s="24">
        <f t="shared" si="8"/>
        <v>443.6948699</v>
      </c>
      <c r="M179" s="30">
        <f t="shared" si="9"/>
        <v>444.7338457</v>
      </c>
      <c r="N179" s="27">
        <f t="shared" si="10"/>
        <v>-1.038975727</v>
      </c>
      <c r="O179" s="24"/>
      <c r="P179" s="24"/>
      <c r="Q179" s="24"/>
      <c r="R179" s="26"/>
      <c r="S179" s="14">
        <f t="shared" si="13"/>
        <v>-0.9540873897</v>
      </c>
      <c r="U179" s="21"/>
      <c r="V179" s="21"/>
    </row>
    <row r="180">
      <c r="A180" s="11">
        <v>168.0</v>
      </c>
      <c r="B180" s="11">
        <v>1.42012608695652E9</v>
      </c>
      <c r="C180" s="2">
        <v>-102.3492203</v>
      </c>
      <c r="D180" s="24">
        <f t="shared" si="1"/>
        <v>-273913.0435</v>
      </c>
      <c r="E180" s="25">
        <f t="shared" si="2"/>
        <v>56.93436019</v>
      </c>
      <c r="F180" s="24">
        <f t="shared" si="3"/>
        <v>0.0002078556007</v>
      </c>
      <c r="G180" s="24">
        <f t="shared" si="4"/>
        <v>0</v>
      </c>
      <c r="H180" s="26">
        <f t="shared" si="5"/>
        <v>0</v>
      </c>
      <c r="I180" s="24">
        <f t="shared" si="6"/>
        <v>0</v>
      </c>
      <c r="J180" s="24">
        <f t="shared" si="7"/>
        <v>0</v>
      </c>
      <c r="K180" s="24"/>
      <c r="L180" s="24">
        <f t="shared" si="8"/>
        <v>442.7760661</v>
      </c>
      <c r="M180" s="30">
        <f t="shared" si="9"/>
        <v>444.6467587</v>
      </c>
      <c r="N180" s="27">
        <f t="shared" si="10"/>
        <v>-1.870692666</v>
      </c>
      <c r="O180" s="24"/>
      <c r="P180" s="24"/>
      <c r="Q180" s="24"/>
      <c r="R180" s="26"/>
      <c r="S180" s="14">
        <f t="shared" si="13"/>
        <v>-1.717849841</v>
      </c>
      <c r="U180" s="21"/>
      <c r="V180" s="21"/>
    </row>
    <row r="181">
      <c r="A181" s="11">
        <v>169.0</v>
      </c>
      <c r="B181" s="11">
        <v>1.4201304347826E9</v>
      </c>
      <c r="C181" s="2">
        <v>-102.3381348</v>
      </c>
      <c r="D181" s="24">
        <f t="shared" si="1"/>
        <v>-269565.2174</v>
      </c>
      <c r="E181" s="25">
        <f t="shared" si="2"/>
        <v>56.01606406</v>
      </c>
      <c r="F181" s="24">
        <f t="shared" si="3"/>
        <v>0.000207801528</v>
      </c>
      <c r="G181" s="24">
        <f t="shared" si="4"/>
        <v>0</v>
      </c>
      <c r="H181" s="26">
        <f t="shared" si="5"/>
        <v>0</v>
      </c>
      <c r="I181" s="24">
        <f t="shared" si="6"/>
        <v>0</v>
      </c>
      <c r="J181" s="24">
        <f t="shared" si="7"/>
        <v>0</v>
      </c>
      <c r="K181" s="24"/>
      <c r="L181" s="24">
        <f t="shared" si="8"/>
        <v>443.9077092</v>
      </c>
      <c r="M181" s="30">
        <f t="shared" si="9"/>
        <v>444.5594187</v>
      </c>
      <c r="N181" s="27">
        <f t="shared" si="10"/>
        <v>-0.6517094598</v>
      </c>
      <c r="O181" s="24"/>
      <c r="P181" s="24"/>
      <c r="Q181" s="24"/>
      <c r="R181" s="26"/>
      <c r="S181" s="14">
        <f t="shared" si="13"/>
        <v>-0.5984622766</v>
      </c>
      <c r="U181" s="21"/>
      <c r="V181" s="21"/>
    </row>
    <row r="182">
      <c r="A182" s="11">
        <v>170.0</v>
      </c>
      <c r="B182" s="11">
        <v>1.42013478260869E9</v>
      </c>
      <c r="C182" s="2">
        <v>-102.3334808</v>
      </c>
      <c r="D182" s="24">
        <f t="shared" si="1"/>
        <v>-265217.3913</v>
      </c>
      <c r="E182" s="25">
        <f t="shared" si="2"/>
        <v>55.09776793</v>
      </c>
      <c r="F182" s="24">
        <f t="shared" si="3"/>
        <v>0.0002077456823</v>
      </c>
      <c r="G182" s="24">
        <f t="shared" si="4"/>
        <v>0</v>
      </c>
      <c r="H182" s="26">
        <f t="shared" si="5"/>
        <v>0</v>
      </c>
      <c r="I182" s="24">
        <f t="shared" si="6"/>
        <v>0</v>
      </c>
      <c r="J182" s="24">
        <f t="shared" si="7"/>
        <v>0</v>
      </c>
      <c r="K182" s="24"/>
      <c r="L182" s="24">
        <f t="shared" si="8"/>
        <v>444.383666</v>
      </c>
      <c r="M182" s="30">
        <f t="shared" si="9"/>
        <v>444.4718264</v>
      </c>
      <c r="N182" s="27">
        <f t="shared" si="10"/>
        <v>-0.08816038268</v>
      </c>
      <c r="O182" s="24"/>
      <c r="P182" s="24"/>
      <c r="Q182" s="24"/>
      <c r="R182" s="26"/>
      <c r="S182" s="14">
        <f t="shared" si="13"/>
        <v>-0.08095733848</v>
      </c>
      <c r="U182" s="21"/>
      <c r="V182" s="21"/>
    </row>
    <row r="183">
      <c r="A183" s="11">
        <v>171.0</v>
      </c>
      <c r="B183" s="11">
        <v>1.42013913043478E9</v>
      </c>
      <c r="C183" s="2">
        <v>-102.3919373</v>
      </c>
      <c r="D183" s="24">
        <f t="shared" si="1"/>
        <v>-260869.5652</v>
      </c>
      <c r="E183" s="25">
        <f t="shared" si="2"/>
        <v>54.1794718</v>
      </c>
      <c r="F183" s="24">
        <f t="shared" si="3"/>
        <v>0.0002076879752</v>
      </c>
      <c r="G183" s="24">
        <f t="shared" si="4"/>
        <v>0</v>
      </c>
      <c r="H183" s="26">
        <f t="shared" si="5"/>
        <v>0</v>
      </c>
      <c r="I183" s="24">
        <f t="shared" si="6"/>
        <v>0</v>
      </c>
      <c r="J183" s="24">
        <f t="shared" si="7"/>
        <v>0</v>
      </c>
      <c r="K183" s="24"/>
      <c r="L183" s="24">
        <f t="shared" si="8"/>
        <v>438.44229</v>
      </c>
      <c r="M183" s="30">
        <f t="shared" si="9"/>
        <v>444.3839825</v>
      </c>
      <c r="N183" s="27">
        <f t="shared" si="10"/>
        <v>-5.941692554</v>
      </c>
      <c r="O183" s="24"/>
      <c r="P183" s="24"/>
      <c r="Q183" s="24"/>
      <c r="R183" s="26"/>
      <c r="S183" s="14">
        <f t="shared" si="13"/>
        <v>-5.456233282</v>
      </c>
      <c r="U183" s="21"/>
      <c r="V183" s="21"/>
    </row>
    <row r="184">
      <c r="A184" s="11">
        <v>172.0</v>
      </c>
      <c r="B184" s="11">
        <v>1.42014347826087E9</v>
      </c>
      <c r="C184" s="2">
        <v>-102.3415756</v>
      </c>
      <c r="D184" s="24">
        <f t="shared" si="1"/>
        <v>-256521.7391</v>
      </c>
      <c r="E184" s="25">
        <f t="shared" si="2"/>
        <v>53.26117567</v>
      </c>
      <c r="F184" s="24">
        <f t="shared" si="3"/>
        <v>0.0002076283119</v>
      </c>
      <c r="G184" s="24">
        <f t="shared" si="4"/>
        <v>0</v>
      </c>
      <c r="H184" s="26">
        <f t="shared" si="5"/>
        <v>0</v>
      </c>
      <c r="I184" s="24">
        <f t="shared" si="6"/>
        <v>0</v>
      </c>
      <c r="J184" s="24">
        <f t="shared" si="7"/>
        <v>0</v>
      </c>
      <c r="K184" s="24"/>
      <c r="L184" s="24">
        <f t="shared" si="8"/>
        <v>443.5561522</v>
      </c>
      <c r="M184" s="30">
        <f t="shared" si="9"/>
        <v>444.295888</v>
      </c>
      <c r="N184" s="27">
        <f t="shared" si="10"/>
        <v>-0.739735757</v>
      </c>
      <c r="O184" s="24"/>
      <c r="P184" s="24"/>
      <c r="Q184" s="24"/>
      <c r="R184" s="26"/>
      <c r="S184" s="14">
        <f t="shared" si="13"/>
        <v>-0.6792964849</v>
      </c>
      <c r="U184" s="21"/>
      <c r="V184" s="21"/>
    </row>
    <row r="185">
      <c r="A185" s="11">
        <v>173.0</v>
      </c>
      <c r="B185" s="11">
        <v>1.42014782608695E9</v>
      </c>
      <c r="C185" s="2">
        <v>-102.2946777</v>
      </c>
      <c r="D185" s="24">
        <f t="shared" si="1"/>
        <v>-252173.913</v>
      </c>
      <c r="E185" s="25">
        <f t="shared" si="2"/>
        <v>52.34287953</v>
      </c>
      <c r="F185" s="24">
        <f t="shared" si="3"/>
        <v>0.0002075665912</v>
      </c>
      <c r="G185" s="24">
        <f t="shared" si="4"/>
        <v>0</v>
      </c>
      <c r="H185" s="26">
        <f t="shared" si="5"/>
        <v>0</v>
      </c>
      <c r="I185" s="24">
        <f t="shared" si="6"/>
        <v>0</v>
      </c>
      <c r="J185" s="24">
        <f t="shared" si="7"/>
        <v>0</v>
      </c>
      <c r="K185" s="24"/>
      <c r="L185" s="24">
        <f t="shared" si="8"/>
        <v>448.3719107</v>
      </c>
      <c r="M185" s="30">
        <f t="shared" si="9"/>
        <v>444.2075435</v>
      </c>
      <c r="N185" s="27">
        <f t="shared" si="10"/>
        <v>4.164367149</v>
      </c>
      <c r="O185" s="24"/>
      <c r="P185" s="24"/>
      <c r="Q185" s="24"/>
      <c r="R185" s="26"/>
      <c r="S185" s="14">
        <f t="shared" si="13"/>
        <v>3.824122248</v>
      </c>
      <c r="U185" s="21"/>
      <c r="V185" s="21"/>
    </row>
    <row r="186">
      <c r="A186" s="11">
        <v>174.0</v>
      </c>
      <c r="B186" s="11">
        <v>1.42015217391304E9</v>
      </c>
      <c r="C186" s="2">
        <v>-102.3430328</v>
      </c>
      <c r="D186" s="24">
        <f t="shared" si="1"/>
        <v>-247826.087</v>
      </c>
      <c r="E186" s="25">
        <f t="shared" si="2"/>
        <v>51.4245834</v>
      </c>
      <c r="F186" s="24">
        <f t="shared" si="3"/>
        <v>0.0002075027049</v>
      </c>
      <c r="G186" s="24">
        <f t="shared" si="4"/>
        <v>0</v>
      </c>
      <c r="H186" s="26">
        <f t="shared" si="5"/>
        <v>0</v>
      </c>
      <c r="I186" s="24">
        <f t="shared" si="6"/>
        <v>0</v>
      </c>
      <c r="J186" s="24">
        <f t="shared" si="7"/>
        <v>0</v>
      </c>
      <c r="K186" s="24"/>
      <c r="L186" s="24">
        <f t="shared" si="8"/>
        <v>443.4073496</v>
      </c>
      <c r="M186" s="30">
        <f t="shared" si="9"/>
        <v>444.11895</v>
      </c>
      <c r="N186" s="27">
        <f t="shared" si="10"/>
        <v>-0.7116004305</v>
      </c>
      <c r="O186" s="24"/>
      <c r="P186" s="24"/>
      <c r="Q186" s="24"/>
      <c r="R186" s="26"/>
      <c r="S186" s="14">
        <f t="shared" si="13"/>
        <v>-0.653459922</v>
      </c>
      <c r="U186" s="21"/>
      <c r="V186" s="21"/>
    </row>
    <row r="187">
      <c r="A187" s="11">
        <v>175.0</v>
      </c>
      <c r="B187" s="11">
        <v>1.42015652173913E9</v>
      </c>
      <c r="C187" s="2">
        <v>-102.3305435</v>
      </c>
      <c r="D187" s="24">
        <f t="shared" si="1"/>
        <v>-243478.2609</v>
      </c>
      <c r="E187" s="25">
        <f t="shared" si="2"/>
        <v>50.50628727</v>
      </c>
      <c r="F187" s="24">
        <f t="shared" si="3"/>
        <v>0.000207436537</v>
      </c>
      <c r="G187" s="24">
        <f t="shared" si="4"/>
        <v>0</v>
      </c>
      <c r="H187" s="26">
        <f t="shared" si="5"/>
        <v>0</v>
      </c>
      <c r="I187" s="24">
        <f t="shared" si="6"/>
        <v>0</v>
      </c>
      <c r="J187" s="24">
        <f t="shared" si="7"/>
        <v>0</v>
      </c>
      <c r="K187" s="24"/>
      <c r="L187" s="24">
        <f t="shared" si="8"/>
        <v>444.6843213</v>
      </c>
      <c r="M187" s="30">
        <f t="shared" si="9"/>
        <v>444.0301082</v>
      </c>
      <c r="N187" s="27">
        <f t="shared" si="10"/>
        <v>0.6542131243</v>
      </c>
      <c r="O187" s="24"/>
      <c r="P187" s="24"/>
      <c r="Q187" s="24"/>
      <c r="R187" s="26"/>
      <c r="S187" s="14">
        <f t="shared" si="13"/>
        <v>0.600761382</v>
      </c>
      <c r="U187" s="21"/>
      <c r="V187" s="21"/>
    </row>
    <row r="188">
      <c r="A188" s="11">
        <v>176.0</v>
      </c>
      <c r="B188" s="11">
        <v>1.42016086956521E9</v>
      </c>
      <c r="C188" s="2">
        <v>-102.3134155</v>
      </c>
      <c r="D188" s="24">
        <f t="shared" si="1"/>
        <v>-239130.4348</v>
      </c>
      <c r="E188" s="25">
        <f t="shared" si="2"/>
        <v>49.58799114</v>
      </c>
      <c r="F188" s="24">
        <f t="shared" si="3"/>
        <v>0.0002073679629</v>
      </c>
      <c r="G188" s="24">
        <f t="shared" si="4"/>
        <v>0</v>
      </c>
      <c r="H188" s="26">
        <f t="shared" si="5"/>
        <v>0</v>
      </c>
      <c r="I188" s="24">
        <f t="shared" si="6"/>
        <v>0</v>
      </c>
      <c r="J188" s="24">
        <f t="shared" si="7"/>
        <v>0</v>
      </c>
      <c r="K188" s="24"/>
      <c r="L188" s="24">
        <f t="shared" si="8"/>
        <v>446.4415604</v>
      </c>
      <c r="M188" s="30">
        <f t="shared" si="9"/>
        <v>443.9410189</v>
      </c>
      <c r="N188" s="27">
        <f t="shared" si="10"/>
        <v>2.50054145</v>
      </c>
      <c r="O188" s="24"/>
      <c r="P188" s="24"/>
      <c r="Q188" s="24"/>
      <c r="R188" s="26"/>
      <c r="S188" s="14">
        <f t="shared" si="13"/>
        <v>2.296237543</v>
      </c>
      <c r="U188" s="21"/>
      <c r="V188" s="21"/>
    </row>
    <row r="189">
      <c r="A189" s="11">
        <v>177.0</v>
      </c>
      <c r="B189" s="11">
        <v>1.4201652173913E9</v>
      </c>
      <c r="C189" s="2">
        <v>-102.3110352</v>
      </c>
      <c r="D189" s="24">
        <f t="shared" si="1"/>
        <v>-234782.6087</v>
      </c>
      <c r="E189" s="25">
        <f t="shared" si="2"/>
        <v>48.669695</v>
      </c>
      <c r="F189" s="24">
        <f t="shared" si="3"/>
        <v>0.0002072968491</v>
      </c>
      <c r="G189" s="24">
        <f t="shared" si="4"/>
        <v>0</v>
      </c>
      <c r="H189" s="26">
        <f t="shared" si="5"/>
        <v>0</v>
      </c>
      <c r="I189" s="24">
        <f t="shared" si="6"/>
        <v>0</v>
      </c>
      <c r="J189" s="24">
        <f t="shared" si="7"/>
        <v>0</v>
      </c>
      <c r="K189" s="24"/>
      <c r="L189" s="24">
        <f t="shared" si="8"/>
        <v>446.6863151</v>
      </c>
      <c r="M189" s="30">
        <f t="shared" si="9"/>
        <v>443.8516829</v>
      </c>
      <c r="N189" s="27">
        <f t="shared" si="10"/>
        <v>2.834632112</v>
      </c>
      <c r="O189" s="24"/>
      <c r="P189" s="24"/>
      <c r="Q189" s="24"/>
      <c r="R189" s="26"/>
      <c r="S189" s="14">
        <f t="shared" si="13"/>
        <v>2.6030317</v>
      </c>
      <c r="U189" s="21"/>
      <c r="V189" s="21"/>
    </row>
    <row r="190">
      <c r="A190" s="11">
        <v>178.0</v>
      </c>
      <c r="B190" s="11">
        <v>1.42016956521739E9</v>
      </c>
      <c r="C190" s="2">
        <v>-102.3159561</v>
      </c>
      <c r="D190" s="24">
        <f t="shared" si="1"/>
        <v>-230434.7826</v>
      </c>
      <c r="E190" s="25">
        <f t="shared" si="2"/>
        <v>47.75139887</v>
      </c>
      <c r="F190" s="24">
        <f t="shared" si="3"/>
        <v>0.0002072230517</v>
      </c>
      <c r="G190" s="24">
        <f t="shared" si="4"/>
        <v>0</v>
      </c>
      <c r="H190" s="26">
        <f t="shared" si="5"/>
        <v>0</v>
      </c>
      <c r="I190" s="24">
        <f t="shared" si="6"/>
        <v>0</v>
      </c>
      <c r="J190" s="24">
        <f t="shared" si="7"/>
        <v>0</v>
      </c>
      <c r="K190" s="24"/>
      <c r="L190" s="24">
        <f t="shared" si="8"/>
        <v>446.1804708</v>
      </c>
      <c r="M190" s="30">
        <f t="shared" si="9"/>
        <v>443.7621011</v>
      </c>
      <c r="N190" s="27">
        <f t="shared" si="10"/>
        <v>2.418369667</v>
      </c>
      <c r="O190" s="24"/>
      <c r="P190" s="24"/>
      <c r="Q190" s="24"/>
      <c r="R190" s="26"/>
      <c r="S190" s="14">
        <f t="shared" si="13"/>
        <v>2.220779513</v>
      </c>
      <c r="U190" s="21"/>
      <c r="V190" s="21"/>
    </row>
    <row r="191">
      <c r="A191" s="11">
        <v>179.0</v>
      </c>
      <c r="B191" s="11">
        <v>1.42017391304347E9</v>
      </c>
      <c r="C191" s="2">
        <v>-102.3193359</v>
      </c>
      <c r="D191" s="24">
        <f t="shared" si="1"/>
        <v>-226086.9565</v>
      </c>
      <c r="E191" s="25">
        <f t="shared" si="2"/>
        <v>46.83310274</v>
      </c>
      <c r="F191" s="24">
        <f t="shared" si="3"/>
        <v>0.000207146416</v>
      </c>
      <c r="G191" s="24">
        <f t="shared" si="4"/>
        <v>0</v>
      </c>
      <c r="H191" s="26">
        <f t="shared" si="5"/>
        <v>0</v>
      </c>
      <c r="I191" s="24">
        <f t="shared" si="6"/>
        <v>0</v>
      </c>
      <c r="J191" s="24">
        <f t="shared" si="7"/>
        <v>0</v>
      </c>
      <c r="K191" s="24"/>
      <c r="L191" s="24">
        <f t="shared" si="8"/>
        <v>445.8333758</v>
      </c>
      <c r="M191" s="30">
        <f t="shared" si="9"/>
        <v>443.6722742</v>
      </c>
      <c r="N191" s="27">
        <f t="shared" si="10"/>
        <v>2.161101659</v>
      </c>
      <c r="O191" s="24"/>
      <c r="P191" s="24"/>
      <c r="Q191" s="24"/>
      <c r="R191" s="26"/>
      <c r="S191" s="14">
        <f t="shared" si="13"/>
        <v>1.984531296</v>
      </c>
      <c r="U191" s="21"/>
      <c r="V191" s="21"/>
    </row>
    <row r="192">
      <c r="A192" s="11">
        <v>180.0</v>
      </c>
      <c r="B192" s="11">
        <v>1.42017826086956E9</v>
      </c>
      <c r="C192" s="2">
        <v>-102.3631821</v>
      </c>
      <c r="D192" s="24">
        <f t="shared" si="1"/>
        <v>-221739.1304</v>
      </c>
      <c r="E192" s="25">
        <f t="shared" si="2"/>
        <v>45.91480661</v>
      </c>
      <c r="F192" s="24">
        <f t="shared" si="3"/>
        <v>0.0002070667749</v>
      </c>
      <c r="G192" s="24">
        <f t="shared" si="4"/>
        <v>0</v>
      </c>
      <c r="H192" s="26">
        <f t="shared" si="5"/>
        <v>0</v>
      </c>
      <c r="I192" s="24">
        <f t="shared" si="6"/>
        <v>0</v>
      </c>
      <c r="J192" s="24">
        <f t="shared" si="7"/>
        <v>0</v>
      </c>
      <c r="K192" s="24"/>
      <c r="L192" s="24">
        <f t="shared" si="8"/>
        <v>441.3549049</v>
      </c>
      <c r="M192" s="30">
        <f t="shared" si="9"/>
        <v>443.582203</v>
      </c>
      <c r="N192" s="27">
        <f t="shared" si="10"/>
        <v>-2.227298096</v>
      </c>
      <c r="O192" s="24"/>
      <c r="P192" s="24"/>
      <c r="Q192" s="24"/>
      <c r="R192" s="26"/>
      <c r="S192" s="14">
        <f t="shared" si="13"/>
        <v>-2.045319224</v>
      </c>
      <c r="U192" s="21"/>
      <c r="V192" s="21"/>
    </row>
    <row r="193">
      <c r="A193" s="11">
        <v>181.0</v>
      </c>
      <c r="B193" s="11">
        <v>1.42018260869565E9</v>
      </c>
      <c r="C193" s="2">
        <v>-102.345726</v>
      </c>
      <c r="D193" s="24">
        <f t="shared" si="1"/>
        <v>-217391.3043</v>
      </c>
      <c r="E193" s="25">
        <f t="shared" si="2"/>
        <v>44.99651048</v>
      </c>
      <c r="F193" s="24">
        <f t="shared" si="3"/>
        <v>0.0002069839482</v>
      </c>
      <c r="G193" s="24">
        <f t="shared" si="4"/>
        <v>0</v>
      </c>
      <c r="H193" s="26">
        <f t="shared" si="5"/>
        <v>0</v>
      </c>
      <c r="I193" s="24">
        <f t="shared" si="6"/>
        <v>0</v>
      </c>
      <c r="J193" s="24">
        <f t="shared" si="7"/>
        <v>0</v>
      </c>
      <c r="K193" s="24"/>
      <c r="L193" s="24">
        <f t="shared" si="8"/>
        <v>443.1324636</v>
      </c>
      <c r="M193" s="30">
        <f t="shared" si="9"/>
        <v>443.4918883</v>
      </c>
      <c r="N193" s="27">
        <f t="shared" si="10"/>
        <v>-0.359424685</v>
      </c>
      <c r="O193" s="24"/>
      <c r="P193" s="24"/>
      <c r="Q193" s="24"/>
      <c r="R193" s="26"/>
      <c r="S193" s="14">
        <f t="shared" si="13"/>
        <v>-0.3300582982</v>
      </c>
      <c r="U193" s="21"/>
      <c r="V193" s="21"/>
    </row>
    <row r="194">
      <c r="A194" s="11">
        <v>182.0</v>
      </c>
      <c r="B194" s="11">
        <v>1.42018695652173E9</v>
      </c>
      <c r="C194" s="2">
        <v>-102.3432541</v>
      </c>
      <c r="D194" s="24">
        <f t="shared" si="1"/>
        <v>-213043.4783</v>
      </c>
      <c r="E194" s="25">
        <f t="shared" si="2"/>
        <v>44.07821434</v>
      </c>
      <c r="F194" s="24">
        <f t="shared" si="3"/>
        <v>0.0002068977408</v>
      </c>
      <c r="G194" s="24">
        <f t="shared" si="4"/>
        <v>0</v>
      </c>
      <c r="H194" s="26">
        <f t="shared" si="5"/>
        <v>0</v>
      </c>
      <c r="I194" s="24">
        <f t="shared" si="6"/>
        <v>0</v>
      </c>
      <c r="J194" s="24">
        <f t="shared" si="7"/>
        <v>0</v>
      </c>
      <c r="K194" s="24"/>
      <c r="L194" s="24">
        <f t="shared" si="8"/>
        <v>443.3847558</v>
      </c>
      <c r="M194" s="30">
        <f t="shared" si="9"/>
        <v>443.401331</v>
      </c>
      <c r="N194" s="27">
        <f t="shared" si="10"/>
        <v>-0.01657520513</v>
      </c>
      <c r="O194" s="24"/>
      <c r="P194" s="24"/>
      <c r="Q194" s="24"/>
      <c r="R194" s="26"/>
      <c r="S194" s="14">
        <f t="shared" si="13"/>
        <v>-0.01522094677</v>
      </c>
      <c r="U194" s="21"/>
      <c r="V194" s="21"/>
    </row>
    <row r="195">
      <c r="A195" s="11">
        <v>183.0</v>
      </c>
      <c r="B195" s="11">
        <v>1.42019130434782E9</v>
      </c>
      <c r="C195" s="2">
        <v>-102.3480148</v>
      </c>
      <c r="D195" s="24">
        <f t="shared" si="1"/>
        <v>-208695.6522</v>
      </c>
      <c r="E195" s="25">
        <f t="shared" si="2"/>
        <v>43.15991821</v>
      </c>
      <c r="F195" s="24">
        <f t="shared" si="3"/>
        <v>0.0002068079414</v>
      </c>
      <c r="G195" s="24">
        <f t="shared" si="4"/>
        <v>0</v>
      </c>
      <c r="H195" s="26">
        <f t="shared" si="5"/>
        <v>0</v>
      </c>
      <c r="I195" s="24">
        <f t="shared" si="6"/>
        <v>0</v>
      </c>
      <c r="J195" s="24">
        <f t="shared" si="7"/>
        <v>0</v>
      </c>
      <c r="K195" s="24"/>
      <c r="L195" s="24">
        <f t="shared" si="8"/>
        <v>442.8989874</v>
      </c>
      <c r="M195" s="30">
        <f t="shared" si="9"/>
        <v>443.3105318</v>
      </c>
      <c r="N195" s="27">
        <f t="shared" si="10"/>
        <v>-0.4115444116</v>
      </c>
      <c r="O195" s="24"/>
      <c r="P195" s="24"/>
      <c r="Q195" s="24"/>
      <c r="R195" s="26"/>
      <c r="S195" s="14">
        <f t="shared" si="13"/>
        <v>-0.3779196417</v>
      </c>
      <c r="U195" s="21"/>
      <c r="V195" s="21"/>
    </row>
    <row r="196">
      <c r="A196" s="11">
        <v>184.0</v>
      </c>
      <c r="B196" s="11">
        <v>1.42019565217391E9</v>
      </c>
      <c r="C196" s="2">
        <v>-102.3220978</v>
      </c>
      <c r="D196" s="24">
        <f t="shared" si="1"/>
        <v>-204347.8261</v>
      </c>
      <c r="E196" s="25">
        <f t="shared" si="2"/>
        <v>42.24162208</v>
      </c>
      <c r="F196" s="24">
        <f t="shared" si="3"/>
        <v>0.0002067143208</v>
      </c>
      <c r="G196" s="24">
        <f t="shared" si="4"/>
        <v>0</v>
      </c>
      <c r="H196" s="26">
        <f t="shared" si="5"/>
        <v>0</v>
      </c>
      <c r="I196" s="24">
        <f t="shared" si="6"/>
        <v>0</v>
      </c>
      <c r="J196" s="24">
        <f t="shared" si="7"/>
        <v>0</v>
      </c>
      <c r="K196" s="24"/>
      <c r="L196" s="24">
        <f t="shared" si="8"/>
        <v>445.5499378</v>
      </c>
      <c r="M196" s="30">
        <f t="shared" si="9"/>
        <v>443.2194916</v>
      </c>
      <c r="N196" s="27">
        <f t="shared" si="10"/>
        <v>2.330446208</v>
      </c>
      <c r="O196" s="24"/>
      <c r="P196" s="24"/>
      <c r="Q196" s="24"/>
      <c r="R196" s="26"/>
      <c r="S196" s="14">
        <f t="shared" si="13"/>
        <v>2.140039735</v>
      </c>
      <c r="U196" s="21"/>
      <c r="V196" s="21"/>
    </row>
    <row r="197">
      <c r="A197" s="11">
        <v>185.0</v>
      </c>
      <c r="B197" s="11">
        <v>1.4202E9</v>
      </c>
      <c r="C197" s="2">
        <v>-102.315918</v>
      </c>
      <c r="D197" s="24">
        <f t="shared" si="1"/>
        <v>-200000</v>
      </c>
      <c r="E197" s="25">
        <f t="shared" si="2"/>
        <v>41.32332595</v>
      </c>
      <c r="F197" s="24">
        <f t="shared" si="3"/>
        <v>0.0002066166297</v>
      </c>
      <c r="G197" s="24">
        <f t="shared" si="4"/>
        <v>0</v>
      </c>
      <c r="H197" s="26">
        <f t="shared" si="5"/>
        <v>0</v>
      </c>
      <c r="I197" s="24">
        <f t="shared" si="6"/>
        <v>0</v>
      </c>
      <c r="J197" s="24">
        <f t="shared" si="7"/>
        <v>0</v>
      </c>
      <c r="K197" s="24"/>
      <c r="L197" s="24">
        <f t="shared" si="8"/>
        <v>446.1843851</v>
      </c>
      <c r="M197" s="30">
        <f t="shared" si="9"/>
        <v>443.1282111</v>
      </c>
      <c r="N197" s="27">
        <f t="shared" si="10"/>
        <v>3.056173952</v>
      </c>
      <c r="O197" s="24"/>
      <c r="P197" s="24"/>
      <c r="Q197" s="24"/>
      <c r="R197" s="26"/>
      <c r="S197" s="14">
        <f t="shared" si="13"/>
        <v>2.806472721</v>
      </c>
      <c r="U197" s="21"/>
      <c r="V197" s="21"/>
    </row>
    <row r="198">
      <c r="A198" s="11">
        <v>186.0</v>
      </c>
      <c r="B198" s="11">
        <v>1.42020434782608E9</v>
      </c>
      <c r="C198" s="2">
        <v>-102.2883606</v>
      </c>
      <c r="D198" s="24">
        <f t="shared" si="1"/>
        <v>-195652.1739</v>
      </c>
      <c r="E198" s="25">
        <f t="shared" si="2"/>
        <v>40.40502981</v>
      </c>
      <c r="F198" s="24">
        <f t="shared" si="3"/>
        <v>0.0002065145968</v>
      </c>
      <c r="G198" s="24">
        <f t="shared" si="4"/>
        <v>0</v>
      </c>
      <c r="H198" s="26">
        <f t="shared" si="5"/>
        <v>0</v>
      </c>
      <c r="I198" s="24">
        <f t="shared" si="6"/>
        <v>0</v>
      </c>
      <c r="J198" s="24">
        <f t="shared" si="7"/>
        <v>0</v>
      </c>
      <c r="K198" s="24"/>
      <c r="L198" s="24">
        <f t="shared" si="8"/>
        <v>449.0245718</v>
      </c>
      <c r="M198" s="30">
        <f t="shared" si="9"/>
        <v>443.0366912</v>
      </c>
      <c r="N198" s="27">
        <f t="shared" si="10"/>
        <v>5.987880627</v>
      </c>
      <c r="O198" s="24"/>
      <c r="P198" s="24"/>
      <c r="Q198" s="24"/>
      <c r="R198" s="26"/>
      <c r="S198" s="14">
        <f t="shared" si="13"/>
        <v>5.498647623</v>
      </c>
      <c r="U198" s="21"/>
      <c r="V198" s="21"/>
    </row>
    <row r="199">
      <c r="A199" s="11">
        <v>187.0</v>
      </c>
      <c r="B199" s="11">
        <v>1.42020869565217E9</v>
      </c>
      <c r="C199" s="2">
        <v>-102.3419037</v>
      </c>
      <c r="D199" s="24">
        <f t="shared" si="1"/>
        <v>-191304.3478</v>
      </c>
      <c r="E199" s="25">
        <f t="shared" si="2"/>
        <v>39.48673368</v>
      </c>
      <c r="F199" s="24">
        <f t="shared" si="3"/>
        <v>0.0002064079261</v>
      </c>
      <c r="G199" s="24">
        <f t="shared" si="4"/>
        <v>0</v>
      </c>
      <c r="H199" s="26">
        <f t="shared" si="5"/>
        <v>0</v>
      </c>
      <c r="I199" s="24">
        <f t="shared" si="6"/>
        <v>0</v>
      </c>
      <c r="J199" s="24">
        <f t="shared" si="7"/>
        <v>0</v>
      </c>
      <c r="K199" s="24"/>
      <c r="L199" s="24">
        <f t="shared" si="8"/>
        <v>443.5226438</v>
      </c>
      <c r="M199" s="30">
        <f t="shared" si="9"/>
        <v>442.9449326</v>
      </c>
      <c r="N199" s="27">
        <f t="shared" si="10"/>
        <v>0.5777112014</v>
      </c>
      <c r="O199" s="24"/>
      <c r="P199" s="24"/>
      <c r="Q199" s="24"/>
      <c r="R199" s="26"/>
      <c r="S199" s="14">
        <f t="shared" si="13"/>
        <v>0.5305099609</v>
      </c>
      <c r="U199" s="21"/>
      <c r="V199" s="21"/>
    </row>
    <row r="200">
      <c r="A200" s="11">
        <v>188.0</v>
      </c>
      <c r="B200" s="11">
        <v>1.42021304347826E9</v>
      </c>
      <c r="C200" s="2">
        <v>-102.2835541</v>
      </c>
      <c r="D200" s="24">
        <f t="shared" si="1"/>
        <v>-186956.5217</v>
      </c>
      <c r="E200" s="25">
        <f t="shared" si="2"/>
        <v>38.56843755</v>
      </c>
      <c r="F200" s="24">
        <f t="shared" si="3"/>
        <v>0.0002062962939</v>
      </c>
      <c r="G200" s="24">
        <f t="shared" si="4"/>
        <v>0</v>
      </c>
      <c r="H200" s="26">
        <f t="shared" si="5"/>
        <v>0</v>
      </c>
      <c r="I200" s="24">
        <f t="shared" si="6"/>
        <v>0</v>
      </c>
      <c r="J200" s="24">
        <f t="shared" si="7"/>
        <v>0</v>
      </c>
      <c r="K200" s="24"/>
      <c r="L200" s="24">
        <f t="shared" si="8"/>
        <v>449.5217992</v>
      </c>
      <c r="M200" s="30">
        <f t="shared" si="9"/>
        <v>442.8529362</v>
      </c>
      <c r="N200" s="27">
        <f t="shared" si="10"/>
        <v>6.668863083</v>
      </c>
      <c r="O200" s="24"/>
      <c r="P200" s="24"/>
      <c r="Q200" s="24"/>
      <c r="R200" s="26"/>
      <c r="S200" s="14">
        <f t="shared" si="13"/>
        <v>6.12399118</v>
      </c>
      <c r="U200" s="21"/>
      <c r="V200" s="21"/>
    </row>
    <row r="201">
      <c r="A201" s="11">
        <v>189.0</v>
      </c>
      <c r="B201" s="11">
        <v>1.42021739130434E9</v>
      </c>
      <c r="C201" s="2">
        <v>-102.2951431</v>
      </c>
      <c r="D201" s="24">
        <f t="shared" si="1"/>
        <v>-182608.6957</v>
      </c>
      <c r="E201" s="25">
        <f t="shared" si="2"/>
        <v>37.65014142</v>
      </c>
      <c r="F201" s="24">
        <f t="shared" si="3"/>
        <v>0.0002061793459</v>
      </c>
      <c r="G201" s="24">
        <f t="shared" si="4"/>
        <v>0</v>
      </c>
      <c r="H201" s="26">
        <f t="shared" si="5"/>
        <v>0</v>
      </c>
      <c r="I201" s="24">
        <f t="shared" si="6"/>
        <v>0</v>
      </c>
      <c r="J201" s="24">
        <f t="shared" si="7"/>
        <v>0</v>
      </c>
      <c r="K201" s="24"/>
      <c r="L201" s="24">
        <f t="shared" si="8"/>
        <v>448.3238647</v>
      </c>
      <c r="M201" s="30">
        <f t="shared" si="9"/>
        <v>442.7607027</v>
      </c>
      <c r="N201" s="27">
        <f t="shared" si="10"/>
        <v>5.56316201</v>
      </c>
      <c r="O201" s="24"/>
      <c r="P201" s="24"/>
      <c r="Q201" s="24"/>
      <c r="R201" s="26"/>
      <c r="S201" s="14">
        <f t="shared" si="13"/>
        <v>5.10863016</v>
      </c>
      <c r="U201" s="21"/>
      <c r="V201" s="21"/>
    </row>
    <row r="202">
      <c r="A202" s="11">
        <v>190.0</v>
      </c>
      <c r="B202" s="11">
        <v>1.42022173913043E9</v>
      </c>
      <c r="C202" s="2">
        <v>-102.3395081</v>
      </c>
      <c r="D202" s="24">
        <f t="shared" si="1"/>
        <v>-178260.8696</v>
      </c>
      <c r="E202" s="25">
        <f t="shared" si="2"/>
        <v>36.73184529</v>
      </c>
      <c r="F202" s="24">
        <f t="shared" si="3"/>
        <v>0.0002060566931</v>
      </c>
      <c r="G202" s="24">
        <f t="shared" si="4"/>
        <v>0</v>
      </c>
      <c r="H202" s="26">
        <f t="shared" si="5"/>
        <v>0</v>
      </c>
      <c r="I202" s="24">
        <f t="shared" si="6"/>
        <v>0</v>
      </c>
      <c r="J202" s="24">
        <f t="shared" si="7"/>
        <v>0</v>
      </c>
      <c r="K202" s="24"/>
      <c r="L202" s="24">
        <f t="shared" si="8"/>
        <v>443.7673616</v>
      </c>
      <c r="M202" s="30">
        <f t="shared" si="9"/>
        <v>442.668233</v>
      </c>
      <c r="N202" s="27">
        <f t="shared" si="10"/>
        <v>1.099128613</v>
      </c>
      <c r="O202" s="24"/>
      <c r="P202" s="24"/>
      <c r="Q202" s="24"/>
      <c r="R202" s="26"/>
      <c r="S202" s="14">
        <f t="shared" si="13"/>
        <v>1.009325552</v>
      </c>
      <c r="U202" s="21"/>
      <c r="V202" s="21"/>
    </row>
    <row r="203">
      <c r="A203" s="11">
        <v>191.0</v>
      </c>
      <c r="B203" s="11">
        <v>1.42022608695652E9</v>
      </c>
      <c r="C203" s="2">
        <v>-102.3178406</v>
      </c>
      <c r="D203" s="24">
        <f t="shared" si="1"/>
        <v>-173913.0435</v>
      </c>
      <c r="E203" s="25">
        <f t="shared" si="2"/>
        <v>35.81354916</v>
      </c>
      <c r="F203" s="24">
        <f t="shared" si="3"/>
        <v>0.0002059279076</v>
      </c>
      <c r="G203" s="24">
        <f t="shared" si="4"/>
        <v>0</v>
      </c>
      <c r="H203" s="26">
        <f t="shared" si="5"/>
        <v>0</v>
      </c>
      <c r="I203" s="24">
        <f t="shared" si="6"/>
        <v>0</v>
      </c>
      <c r="J203" s="24">
        <f t="shared" si="7"/>
        <v>0</v>
      </c>
      <c r="K203" s="24"/>
      <c r="L203" s="24">
        <f t="shared" si="8"/>
        <v>445.9869052</v>
      </c>
      <c r="M203" s="30">
        <f t="shared" si="9"/>
        <v>442.5755278</v>
      </c>
      <c r="N203" s="27">
        <f t="shared" si="10"/>
        <v>3.411377331</v>
      </c>
      <c r="O203" s="24"/>
      <c r="P203" s="24"/>
      <c r="Q203" s="24"/>
      <c r="R203" s="26"/>
      <c r="S203" s="14">
        <f t="shared" si="13"/>
        <v>3.132654611</v>
      </c>
      <c r="U203" s="21"/>
      <c r="V203" s="21"/>
    </row>
    <row r="204">
      <c r="A204" s="11">
        <v>192.0</v>
      </c>
      <c r="B204" s="11">
        <v>1.4202304347826E9</v>
      </c>
      <c r="C204" s="2">
        <v>-102.2702637</v>
      </c>
      <c r="D204" s="24">
        <f t="shared" si="1"/>
        <v>-169565.2174</v>
      </c>
      <c r="E204" s="25">
        <f t="shared" si="2"/>
        <v>34.89525302</v>
      </c>
      <c r="F204" s="24">
        <f t="shared" si="3"/>
        <v>0.0002057925178</v>
      </c>
      <c r="G204" s="24">
        <f t="shared" si="4"/>
        <v>0</v>
      </c>
      <c r="H204" s="26">
        <f t="shared" si="5"/>
        <v>0</v>
      </c>
      <c r="I204" s="24">
        <f t="shared" si="6"/>
        <v>0</v>
      </c>
      <c r="J204" s="24">
        <f t="shared" si="7"/>
        <v>0</v>
      </c>
      <c r="K204" s="24"/>
      <c r="L204" s="24">
        <f t="shared" si="8"/>
        <v>450.8995453</v>
      </c>
      <c r="M204" s="30">
        <f t="shared" si="9"/>
        <v>442.4825881</v>
      </c>
      <c r="N204" s="27">
        <f t="shared" si="10"/>
        <v>8.416957254</v>
      </c>
      <c r="O204" s="24"/>
      <c r="P204" s="24"/>
      <c r="Q204" s="24"/>
      <c r="R204" s="26"/>
      <c r="S204" s="14">
        <f t="shared" si="13"/>
        <v>7.729259296</v>
      </c>
      <c r="U204" s="21"/>
      <c r="V204" s="21"/>
    </row>
    <row r="205">
      <c r="A205" s="11">
        <v>193.0</v>
      </c>
      <c r="B205" s="11">
        <v>1.42023478260869E9</v>
      </c>
      <c r="C205" s="2">
        <v>-102.2866058</v>
      </c>
      <c r="D205" s="24">
        <f t="shared" si="1"/>
        <v>-165217.3913</v>
      </c>
      <c r="E205" s="25">
        <f t="shared" si="2"/>
        <v>33.97695689</v>
      </c>
      <c r="F205" s="24">
        <f t="shared" si="3"/>
        <v>0.0002056500022</v>
      </c>
      <c r="G205" s="24">
        <f t="shared" si="4"/>
        <v>0</v>
      </c>
      <c r="H205" s="26">
        <f t="shared" si="5"/>
        <v>0</v>
      </c>
      <c r="I205" s="24">
        <f t="shared" si="6"/>
        <v>0</v>
      </c>
      <c r="J205" s="24">
        <f t="shared" si="7"/>
        <v>0</v>
      </c>
      <c r="K205" s="24"/>
      <c r="L205" s="24">
        <f t="shared" si="8"/>
        <v>449.2060403</v>
      </c>
      <c r="M205" s="30">
        <f t="shared" si="9"/>
        <v>442.3894145</v>
      </c>
      <c r="N205" s="27">
        <f t="shared" si="10"/>
        <v>6.81662578</v>
      </c>
      <c r="O205" s="24"/>
      <c r="P205" s="24"/>
      <c r="Q205" s="24"/>
      <c r="R205" s="26"/>
      <c r="S205" s="14">
        <f t="shared" si="13"/>
        <v>6.259681092</v>
      </c>
      <c r="U205" s="21"/>
      <c r="V205" s="21"/>
    </row>
    <row r="206">
      <c r="A206" s="11">
        <v>194.0</v>
      </c>
      <c r="B206" s="11">
        <v>1.42023913043478E9</v>
      </c>
      <c r="C206" s="2">
        <v>-102.3305817</v>
      </c>
      <c r="D206" s="24">
        <f t="shared" si="1"/>
        <v>-160869.5652</v>
      </c>
      <c r="E206" s="25">
        <f t="shared" si="2"/>
        <v>33.05866076</v>
      </c>
      <c r="F206" s="24">
        <f t="shared" si="3"/>
        <v>0.0002054997831</v>
      </c>
      <c r="G206" s="24">
        <f t="shared" si="4"/>
        <v>0</v>
      </c>
      <c r="H206" s="26">
        <f t="shared" si="5"/>
        <v>0</v>
      </c>
      <c r="I206" s="24">
        <f t="shared" si="6"/>
        <v>0</v>
      </c>
      <c r="J206" s="24">
        <f t="shared" si="7"/>
        <v>0</v>
      </c>
      <c r="K206" s="24"/>
      <c r="L206" s="24">
        <f t="shared" si="8"/>
        <v>444.68041</v>
      </c>
      <c r="M206" s="30">
        <f t="shared" si="9"/>
        <v>442.2960079</v>
      </c>
      <c r="N206" s="27">
        <f t="shared" si="10"/>
        <v>2.384402103</v>
      </c>
      <c r="O206" s="24"/>
      <c r="P206" s="24"/>
      <c r="Q206" s="24"/>
      <c r="R206" s="26"/>
      <c r="S206" s="14">
        <f t="shared" si="13"/>
        <v>2.189587225</v>
      </c>
      <c r="U206" s="21"/>
      <c r="V206" s="21"/>
    </row>
    <row r="207">
      <c r="A207" s="11">
        <v>195.0</v>
      </c>
      <c r="B207" s="11">
        <v>1.42024347826087E9</v>
      </c>
      <c r="C207" s="2">
        <v>-102.3538971</v>
      </c>
      <c r="D207" s="24">
        <f t="shared" si="1"/>
        <v>-156521.7391</v>
      </c>
      <c r="E207" s="25">
        <f t="shared" si="2"/>
        <v>32.14036463</v>
      </c>
      <c r="F207" s="24">
        <f t="shared" si="3"/>
        <v>0.0002053412184</v>
      </c>
      <c r="G207" s="24">
        <f t="shared" si="4"/>
        <v>0</v>
      </c>
      <c r="H207" s="26">
        <f t="shared" si="5"/>
        <v>0</v>
      </c>
      <c r="I207" s="24">
        <f t="shared" si="6"/>
        <v>0</v>
      </c>
      <c r="J207" s="24">
        <f t="shared" si="7"/>
        <v>0</v>
      </c>
      <c r="K207" s="24"/>
      <c r="L207" s="24">
        <f t="shared" si="8"/>
        <v>442.2995091</v>
      </c>
      <c r="M207" s="30">
        <f t="shared" si="9"/>
        <v>442.202369</v>
      </c>
      <c r="N207" s="27">
        <f t="shared" si="10"/>
        <v>0.09714010038</v>
      </c>
      <c r="O207" s="24"/>
      <c r="P207" s="24"/>
      <c r="Q207" s="24"/>
      <c r="R207" s="26"/>
      <c r="S207" s="14">
        <f t="shared" si="13"/>
        <v>0.08920337851</v>
      </c>
      <c r="U207" s="21"/>
      <c r="V207" s="21"/>
    </row>
    <row r="208">
      <c r="A208" s="11">
        <v>196.0</v>
      </c>
      <c r="B208" s="11">
        <v>1.42024782608695E9</v>
      </c>
      <c r="C208" s="2">
        <v>-102.2863312</v>
      </c>
      <c r="D208" s="24">
        <f t="shared" si="1"/>
        <v>-152173.913</v>
      </c>
      <c r="E208" s="25">
        <f t="shared" si="2"/>
        <v>31.22206849</v>
      </c>
      <c r="F208" s="24">
        <f t="shared" si="3"/>
        <v>0.0002051735929</v>
      </c>
      <c r="G208" s="24">
        <f t="shared" si="4"/>
        <v>0</v>
      </c>
      <c r="H208" s="26">
        <f t="shared" si="5"/>
        <v>0</v>
      </c>
      <c r="I208" s="24">
        <f t="shared" si="6"/>
        <v>0</v>
      </c>
      <c r="J208" s="24">
        <f t="shared" si="7"/>
        <v>0</v>
      </c>
      <c r="K208" s="24"/>
      <c r="L208" s="24">
        <f t="shared" si="8"/>
        <v>449.234444</v>
      </c>
      <c r="M208" s="30">
        <f t="shared" si="9"/>
        <v>442.1084988</v>
      </c>
      <c r="N208" s="27">
        <f t="shared" si="10"/>
        <v>7.125945229</v>
      </c>
      <c r="O208" s="24"/>
      <c r="P208" s="24"/>
      <c r="Q208" s="24"/>
      <c r="R208" s="26"/>
      <c r="S208" s="14">
        <f t="shared" si="13"/>
        <v>6.543727946</v>
      </c>
      <c r="U208" s="21"/>
      <c r="V208" s="21"/>
    </row>
    <row r="209">
      <c r="A209" s="11">
        <v>197.0</v>
      </c>
      <c r="B209" s="11">
        <v>1.42025217391304E9</v>
      </c>
      <c r="C209" s="2">
        <v>-102.2514648</v>
      </c>
      <c r="D209" s="24">
        <f t="shared" si="1"/>
        <v>-147826.087</v>
      </c>
      <c r="E209" s="25">
        <f t="shared" si="2"/>
        <v>30.30377236</v>
      </c>
      <c r="F209" s="24">
        <f t="shared" si="3"/>
        <v>0.0002049961071</v>
      </c>
      <c r="G209" s="24">
        <f t="shared" si="4"/>
        <v>0</v>
      </c>
      <c r="H209" s="26">
        <f t="shared" si="5"/>
        <v>0</v>
      </c>
      <c r="I209" s="24">
        <f t="shared" si="6"/>
        <v>0</v>
      </c>
      <c r="J209" s="24">
        <f t="shared" si="7"/>
        <v>0</v>
      </c>
      <c r="K209" s="24"/>
      <c r="L209" s="24">
        <f t="shared" si="8"/>
        <v>452.8555424</v>
      </c>
      <c r="M209" s="30">
        <f t="shared" si="9"/>
        <v>442.0143979</v>
      </c>
      <c r="N209" s="27">
        <f t="shared" si="10"/>
        <v>10.84114453</v>
      </c>
      <c r="O209" s="24"/>
      <c r="P209" s="24"/>
      <c r="Q209" s="24"/>
      <c r="R209" s="26"/>
      <c r="S209" s="14">
        <f t="shared" si="13"/>
        <v>9.955381074</v>
      </c>
      <c r="U209" s="21"/>
      <c r="V209" s="21"/>
    </row>
    <row r="210">
      <c r="A210" s="11">
        <v>198.0</v>
      </c>
      <c r="B210" s="11">
        <v>1.42025652173913E9</v>
      </c>
      <c r="C210" s="2">
        <v>-102.2569962</v>
      </c>
      <c r="D210" s="24">
        <f t="shared" si="1"/>
        <v>-143478.2609</v>
      </c>
      <c r="E210" s="25">
        <f t="shared" si="2"/>
        <v>29.38547623</v>
      </c>
      <c r="F210" s="24">
        <f t="shared" si="3"/>
        <v>0.0002048078646</v>
      </c>
      <c r="G210" s="24">
        <f t="shared" si="4"/>
        <v>0</v>
      </c>
      <c r="H210" s="26">
        <f t="shared" si="5"/>
        <v>0</v>
      </c>
      <c r="I210" s="24">
        <f t="shared" si="6"/>
        <v>0</v>
      </c>
      <c r="J210" s="24">
        <f t="shared" si="7"/>
        <v>0</v>
      </c>
      <c r="K210" s="24"/>
      <c r="L210" s="24">
        <f t="shared" si="8"/>
        <v>452.2791293</v>
      </c>
      <c r="M210" s="30">
        <f t="shared" si="9"/>
        <v>441.9200672</v>
      </c>
      <c r="N210" s="27">
        <f t="shared" si="10"/>
        <v>10.35906203</v>
      </c>
      <c r="O210" s="24"/>
      <c r="P210" s="24"/>
      <c r="Q210" s="24"/>
      <c r="R210" s="26"/>
      <c r="S210" s="14">
        <f t="shared" si="13"/>
        <v>9.5126866</v>
      </c>
      <c r="U210" s="21"/>
      <c r="V210" s="21"/>
    </row>
    <row r="211">
      <c r="A211" s="11">
        <v>199.0</v>
      </c>
      <c r="B211" s="11">
        <v>1.42026086956521E9</v>
      </c>
      <c r="C211" s="2">
        <v>-102.2899551</v>
      </c>
      <c r="D211" s="24">
        <f t="shared" si="1"/>
        <v>-139130.4348</v>
      </c>
      <c r="E211" s="25">
        <f t="shared" si="2"/>
        <v>28.4671801</v>
      </c>
      <c r="F211" s="24">
        <f t="shared" si="3"/>
        <v>0.0002046078569</v>
      </c>
      <c r="G211" s="24">
        <f t="shared" si="4"/>
        <v>0</v>
      </c>
      <c r="H211" s="26">
        <f t="shared" si="5"/>
        <v>0</v>
      </c>
      <c r="I211" s="24">
        <f t="shared" si="6"/>
        <v>0</v>
      </c>
      <c r="J211" s="24">
        <f t="shared" si="7"/>
        <v>0</v>
      </c>
      <c r="K211" s="24"/>
      <c r="L211" s="24">
        <f t="shared" si="8"/>
        <v>448.8597439</v>
      </c>
      <c r="M211" s="30">
        <f t="shared" si="9"/>
        <v>441.8255075</v>
      </c>
      <c r="N211" s="27">
        <f t="shared" si="10"/>
        <v>7.034236399</v>
      </c>
      <c r="O211" s="24"/>
      <c r="P211" s="24"/>
      <c r="Q211" s="24"/>
      <c r="R211" s="26"/>
      <c r="S211" s="14">
        <f t="shared" si="13"/>
        <v>6.459512083</v>
      </c>
      <c r="U211" s="21"/>
      <c r="V211" s="21"/>
    </row>
    <row r="212">
      <c r="A212" s="11">
        <v>200.0</v>
      </c>
      <c r="B212" s="11">
        <v>1.4202652173913E9</v>
      </c>
      <c r="C212" s="2">
        <v>-102.3025818</v>
      </c>
      <c r="D212" s="24">
        <f t="shared" si="1"/>
        <v>-134782.6087</v>
      </c>
      <c r="E212" s="25">
        <f t="shared" si="2"/>
        <v>27.54888396</v>
      </c>
      <c r="F212" s="24">
        <f t="shared" si="3"/>
        <v>0.0002043949455</v>
      </c>
      <c r="G212" s="24">
        <f t="shared" si="4"/>
        <v>0</v>
      </c>
      <c r="H212" s="26">
        <f t="shared" si="5"/>
        <v>0</v>
      </c>
      <c r="I212" s="24">
        <f t="shared" si="6"/>
        <v>0</v>
      </c>
      <c r="J212" s="24">
        <f t="shared" si="7"/>
        <v>0</v>
      </c>
      <c r="K212" s="24"/>
      <c r="L212" s="24">
        <f t="shared" si="8"/>
        <v>447.5566221</v>
      </c>
      <c r="M212" s="30">
        <f t="shared" si="9"/>
        <v>441.7307197</v>
      </c>
      <c r="N212" s="27">
        <f t="shared" si="10"/>
        <v>5.825902438</v>
      </c>
      <c r="O212" s="24"/>
      <c r="P212" s="24"/>
      <c r="Q212" s="24"/>
      <c r="R212" s="26"/>
      <c r="S212" s="14">
        <f t="shared" si="13"/>
        <v>5.349903666</v>
      </c>
      <c r="U212" s="21"/>
      <c r="V212" s="21"/>
    </row>
    <row r="213">
      <c r="A213" s="11">
        <v>201.0</v>
      </c>
      <c r="B213" s="11">
        <v>1.42026956521739E9</v>
      </c>
      <c r="C213" s="2">
        <v>-102.2452545</v>
      </c>
      <c r="D213" s="24">
        <f t="shared" si="1"/>
        <v>-130434.7826</v>
      </c>
      <c r="E213" s="25">
        <f t="shared" si="2"/>
        <v>26.63058783</v>
      </c>
      <c r="F213" s="24">
        <f t="shared" si="3"/>
        <v>0.0002041678401</v>
      </c>
      <c r="G213" s="24">
        <f t="shared" si="4"/>
        <v>0</v>
      </c>
      <c r="H213" s="26">
        <f t="shared" si="5"/>
        <v>0</v>
      </c>
      <c r="I213" s="24">
        <f t="shared" si="6"/>
        <v>0</v>
      </c>
      <c r="J213" s="24">
        <f t="shared" si="7"/>
        <v>0</v>
      </c>
      <c r="K213" s="24"/>
      <c r="L213" s="24">
        <f t="shared" si="8"/>
        <v>453.5035775</v>
      </c>
      <c r="M213" s="30">
        <f t="shared" si="9"/>
        <v>441.6357044</v>
      </c>
      <c r="N213" s="27">
        <f t="shared" si="10"/>
        <v>11.86787313</v>
      </c>
      <c r="O213" s="24"/>
      <c r="P213" s="24"/>
      <c r="Q213" s="24"/>
      <c r="R213" s="26"/>
      <c r="S213" s="14">
        <f t="shared" si="13"/>
        <v>10.898222</v>
      </c>
      <c r="U213" s="21"/>
      <c r="V213" s="21"/>
    </row>
    <row r="214">
      <c r="A214" s="11">
        <v>202.0</v>
      </c>
      <c r="B214" s="11">
        <v>1.42027391304347E9</v>
      </c>
      <c r="C214" s="2">
        <v>-102.2586975</v>
      </c>
      <c r="D214" s="24">
        <f t="shared" si="1"/>
        <v>-126086.9565</v>
      </c>
      <c r="E214" s="25">
        <f t="shared" si="2"/>
        <v>25.7122917</v>
      </c>
      <c r="F214" s="24">
        <f t="shared" si="3"/>
        <v>0.0002039250721</v>
      </c>
      <c r="G214" s="24">
        <f t="shared" si="4"/>
        <v>0</v>
      </c>
      <c r="H214" s="26">
        <f t="shared" si="5"/>
        <v>0</v>
      </c>
      <c r="I214" s="24">
        <f t="shared" si="6"/>
        <v>0</v>
      </c>
      <c r="J214" s="24">
        <f t="shared" si="7"/>
        <v>0</v>
      </c>
      <c r="K214" s="24"/>
      <c r="L214" s="24">
        <f t="shared" si="8"/>
        <v>452.1019887</v>
      </c>
      <c r="M214" s="30">
        <f t="shared" si="9"/>
        <v>441.5404625</v>
      </c>
      <c r="N214" s="27">
        <f t="shared" si="10"/>
        <v>10.56152618</v>
      </c>
      <c r="O214" s="24"/>
      <c r="P214" s="24"/>
      <c r="Q214" s="24"/>
      <c r="R214" s="26"/>
      <c r="S214" s="14">
        <f t="shared" si="13"/>
        <v>9.69860865</v>
      </c>
      <c r="U214" s="21"/>
      <c r="V214" s="21"/>
    </row>
    <row r="215">
      <c r="A215" s="11">
        <v>203.0</v>
      </c>
      <c r="B215" s="11">
        <v>1.42027826086956E9</v>
      </c>
      <c r="C215" s="2">
        <v>-102.2348862</v>
      </c>
      <c r="D215" s="24">
        <f t="shared" si="1"/>
        <v>-121739.1304</v>
      </c>
      <c r="E215" s="25">
        <f t="shared" si="2"/>
        <v>24.79399557</v>
      </c>
      <c r="F215" s="24">
        <f t="shared" si="3"/>
        <v>0.0002036649636</v>
      </c>
      <c r="G215" s="24">
        <f t="shared" si="4"/>
        <v>0</v>
      </c>
      <c r="H215" s="26">
        <f t="shared" si="5"/>
        <v>0</v>
      </c>
      <c r="I215" s="24">
        <f t="shared" si="6"/>
        <v>0</v>
      </c>
      <c r="J215" s="24">
        <f t="shared" si="7"/>
        <v>0</v>
      </c>
      <c r="K215" s="24"/>
      <c r="L215" s="24">
        <f t="shared" si="8"/>
        <v>454.5875605</v>
      </c>
      <c r="M215" s="30">
        <f t="shared" si="9"/>
        <v>441.4449948</v>
      </c>
      <c r="N215" s="27">
        <f t="shared" si="10"/>
        <v>13.14256571</v>
      </c>
      <c r="O215" s="24"/>
      <c r="P215" s="24"/>
      <c r="Q215" s="24"/>
      <c r="R215" s="26"/>
      <c r="S215" s="14">
        <f t="shared" si="13"/>
        <v>12.06876724</v>
      </c>
      <c r="U215" s="21"/>
      <c r="V215" s="21"/>
    </row>
    <row r="216">
      <c r="A216" s="11">
        <v>204.0</v>
      </c>
      <c r="B216" s="11">
        <v>1.42028260869565E9</v>
      </c>
      <c r="C216" s="2">
        <v>-102.2811966</v>
      </c>
      <c r="D216" s="24">
        <f t="shared" si="1"/>
        <v>-117391.3043</v>
      </c>
      <c r="E216" s="25">
        <f t="shared" si="2"/>
        <v>23.87569944</v>
      </c>
      <c r="F216" s="24">
        <f t="shared" si="3"/>
        <v>0.0002033855878</v>
      </c>
      <c r="G216" s="24">
        <f t="shared" si="4"/>
        <v>0</v>
      </c>
      <c r="H216" s="26">
        <f t="shared" si="5"/>
        <v>0</v>
      </c>
      <c r="I216" s="24">
        <f t="shared" si="6"/>
        <v>0</v>
      </c>
      <c r="J216" s="24">
        <f t="shared" si="7"/>
        <v>0</v>
      </c>
      <c r="K216" s="24"/>
      <c r="L216" s="24">
        <f t="shared" si="8"/>
        <v>449.7658814</v>
      </c>
      <c r="M216" s="30">
        <f t="shared" si="9"/>
        <v>441.3493021</v>
      </c>
      <c r="N216" s="27">
        <f t="shared" si="10"/>
        <v>8.416579244</v>
      </c>
      <c r="O216" s="24"/>
      <c r="P216" s="24"/>
      <c r="Q216" s="24"/>
      <c r="R216" s="26"/>
      <c r="S216" s="14">
        <f t="shared" si="13"/>
        <v>7.728912171</v>
      </c>
      <c r="U216" s="21"/>
      <c r="V216" s="21"/>
    </row>
    <row r="217">
      <c r="A217" s="11">
        <v>205.0</v>
      </c>
      <c r="B217" s="11">
        <v>1.42028695652173E9</v>
      </c>
      <c r="C217" s="2">
        <v>-102.3057861</v>
      </c>
      <c r="D217" s="24">
        <f t="shared" si="1"/>
        <v>-113043.4783</v>
      </c>
      <c r="E217" s="25">
        <f t="shared" si="2"/>
        <v>22.9574033</v>
      </c>
      <c r="F217" s="24">
        <f t="shared" si="3"/>
        <v>0.0002030847215</v>
      </c>
      <c r="G217" s="24">
        <f t="shared" si="4"/>
        <v>0</v>
      </c>
      <c r="H217" s="26">
        <f t="shared" si="5"/>
        <v>0</v>
      </c>
      <c r="I217" s="24">
        <f t="shared" si="6"/>
        <v>0</v>
      </c>
      <c r="J217" s="24">
        <f t="shared" si="7"/>
        <v>0</v>
      </c>
      <c r="K217" s="24"/>
      <c r="L217" s="24">
        <f t="shared" si="8"/>
        <v>447.2265288</v>
      </c>
      <c r="M217" s="30">
        <f t="shared" si="9"/>
        <v>441.2533853</v>
      </c>
      <c r="N217" s="27">
        <f t="shared" si="10"/>
        <v>5.973143553</v>
      </c>
      <c r="O217" s="24"/>
      <c r="P217" s="24"/>
      <c r="Q217" s="24"/>
      <c r="R217" s="26"/>
      <c r="S217" s="14">
        <f t="shared" si="13"/>
        <v>5.485114625</v>
      </c>
      <c r="U217" s="21"/>
      <c r="V217" s="21"/>
    </row>
    <row r="218">
      <c r="A218" s="11">
        <v>206.0</v>
      </c>
      <c r="B218" s="11">
        <v>1.42029130434782E9</v>
      </c>
      <c r="C218" s="2">
        <v>-102.197464</v>
      </c>
      <c r="D218" s="24">
        <f t="shared" si="1"/>
        <v>-108695.6522</v>
      </c>
      <c r="E218" s="25">
        <f t="shared" si="2"/>
        <v>22.03910717</v>
      </c>
      <c r="F218" s="24">
        <f t="shared" si="3"/>
        <v>0.000202759786</v>
      </c>
      <c r="G218" s="24">
        <f t="shared" si="4"/>
        <v>0</v>
      </c>
      <c r="H218" s="26">
        <f t="shared" si="5"/>
        <v>0</v>
      </c>
      <c r="I218" s="24">
        <f t="shared" si="6"/>
        <v>0</v>
      </c>
      <c r="J218" s="24">
        <f t="shared" si="7"/>
        <v>0</v>
      </c>
      <c r="K218" s="24"/>
      <c r="L218" s="24">
        <f t="shared" si="8"/>
        <v>458.5215664</v>
      </c>
      <c r="M218" s="30">
        <f t="shared" si="9"/>
        <v>441.1572451</v>
      </c>
      <c r="N218" s="27">
        <f t="shared" si="10"/>
        <v>17.36432135</v>
      </c>
      <c r="O218" s="24"/>
      <c r="P218" s="24"/>
      <c r="Q218" s="24"/>
      <c r="R218" s="26"/>
      <c r="S218" s="14">
        <f t="shared" si="13"/>
        <v>15.94558914</v>
      </c>
      <c r="U218" s="21"/>
      <c r="V218" s="21"/>
    </row>
    <row r="219">
      <c r="A219" s="11">
        <v>207.0</v>
      </c>
      <c r="B219" s="11">
        <v>1.42029565217391E9</v>
      </c>
      <c r="C219" s="2">
        <v>-102.2045364</v>
      </c>
      <c r="D219" s="24">
        <f t="shared" si="1"/>
        <v>-104347.8261</v>
      </c>
      <c r="E219" s="25">
        <f t="shared" si="2"/>
        <v>21.12081104</v>
      </c>
      <c r="F219" s="24">
        <f t="shared" si="3"/>
        <v>0.0002024077725</v>
      </c>
      <c r="G219" s="24">
        <f t="shared" si="4"/>
        <v>0</v>
      </c>
      <c r="H219" s="26">
        <f t="shared" si="5"/>
        <v>0</v>
      </c>
      <c r="I219" s="24">
        <f t="shared" si="6"/>
        <v>0</v>
      </c>
      <c r="J219" s="24">
        <f t="shared" si="7"/>
        <v>0</v>
      </c>
      <c r="K219" s="24"/>
      <c r="L219" s="24">
        <f t="shared" si="8"/>
        <v>457.7754807</v>
      </c>
      <c r="M219" s="30">
        <f t="shared" si="9"/>
        <v>441.0608822</v>
      </c>
      <c r="N219" s="27">
        <f t="shared" si="10"/>
        <v>16.71459849</v>
      </c>
      <c r="O219" s="24"/>
      <c r="P219" s="24"/>
      <c r="Q219" s="24"/>
      <c r="R219" s="26"/>
      <c r="S219" s="14">
        <f t="shared" si="13"/>
        <v>15.34895112</v>
      </c>
      <c r="U219" s="21"/>
      <c r="V219" s="21"/>
    </row>
    <row r="220">
      <c r="A220" s="11">
        <v>208.0</v>
      </c>
      <c r="B220" s="11">
        <v>1.4203E9</v>
      </c>
      <c r="C220" s="2">
        <v>-102.2515793</v>
      </c>
      <c r="D220" s="24">
        <f t="shared" si="1"/>
        <v>-100000</v>
      </c>
      <c r="E220" s="25">
        <f t="shared" si="2"/>
        <v>20.20251491</v>
      </c>
      <c r="F220" s="24">
        <f t="shared" si="3"/>
        <v>0.0002020251491</v>
      </c>
      <c r="G220" s="24">
        <f t="shared" si="4"/>
        <v>0</v>
      </c>
      <c r="H220" s="26">
        <f t="shared" si="5"/>
        <v>0</v>
      </c>
      <c r="I220" s="24">
        <f t="shared" si="6"/>
        <v>0</v>
      </c>
      <c r="J220" s="24">
        <f t="shared" si="7"/>
        <v>0</v>
      </c>
      <c r="K220" s="24"/>
      <c r="L220" s="24">
        <f t="shared" si="8"/>
        <v>452.8436032</v>
      </c>
      <c r="M220" s="30">
        <f t="shared" si="9"/>
        <v>440.9642977</v>
      </c>
      <c r="N220" s="27">
        <f t="shared" si="10"/>
        <v>11.87930558</v>
      </c>
      <c r="O220" s="24"/>
      <c r="P220" s="24"/>
      <c r="Q220" s="24"/>
      <c r="R220" s="26"/>
      <c r="S220" s="14">
        <f t="shared" si="13"/>
        <v>10.90872038</v>
      </c>
      <c r="U220" s="21"/>
      <c r="V220" s="21"/>
    </row>
    <row r="221">
      <c r="A221" s="11">
        <v>209.0</v>
      </c>
      <c r="B221" s="11">
        <v>1.42030434782608E9</v>
      </c>
      <c r="C221" s="2">
        <v>-102.2786713</v>
      </c>
      <c r="D221" s="24">
        <f t="shared" si="1"/>
        <v>-95652.17392</v>
      </c>
      <c r="E221" s="25">
        <f t="shared" si="2"/>
        <v>19.28421878</v>
      </c>
      <c r="F221" s="24">
        <f t="shared" si="3"/>
        <v>0.0002016077417</v>
      </c>
      <c r="G221" s="24">
        <f t="shared" si="4"/>
        <v>0</v>
      </c>
      <c r="H221" s="26">
        <f t="shared" si="5"/>
        <v>0</v>
      </c>
      <c r="I221" s="24">
        <f t="shared" si="6"/>
        <v>0</v>
      </c>
      <c r="J221" s="24">
        <f t="shared" si="7"/>
        <v>0</v>
      </c>
      <c r="K221" s="24"/>
      <c r="L221" s="24">
        <f t="shared" si="8"/>
        <v>450.0274836</v>
      </c>
      <c r="M221" s="30">
        <f t="shared" si="9"/>
        <v>440.8674921</v>
      </c>
      <c r="N221" s="27">
        <f t="shared" si="10"/>
        <v>9.159991536</v>
      </c>
      <c r="O221" s="24"/>
      <c r="P221" s="24"/>
      <c r="Q221" s="24"/>
      <c r="R221" s="26"/>
      <c r="S221" s="14">
        <f t="shared" si="13"/>
        <v>8.411584804</v>
      </c>
      <c r="U221" s="21"/>
      <c r="V221" s="21"/>
    </row>
    <row r="222">
      <c r="A222" s="11">
        <v>210.0</v>
      </c>
      <c r="B222" s="11">
        <v>1.42030869565217E9</v>
      </c>
      <c r="C222" s="2">
        <v>-102.2634201</v>
      </c>
      <c r="D222" s="24">
        <f t="shared" si="1"/>
        <v>-91304.34783</v>
      </c>
      <c r="E222" s="25">
        <f t="shared" si="2"/>
        <v>18.36592264</v>
      </c>
      <c r="F222" s="24">
        <f t="shared" si="3"/>
        <v>0.0002011505813</v>
      </c>
      <c r="G222" s="24">
        <f t="shared" si="4"/>
        <v>0</v>
      </c>
      <c r="H222" s="26">
        <f t="shared" si="5"/>
        <v>0</v>
      </c>
      <c r="I222" s="24">
        <f t="shared" si="6"/>
        <v>0</v>
      </c>
      <c r="J222" s="24">
        <f t="shared" si="7"/>
        <v>0</v>
      </c>
      <c r="K222" s="24"/>
      <c r="L222" s="24">
        <f t="shared" si="8"/>
        <v>451.6106317</v>
      </c>
      <c r="M222" s="30">
        <f t="shared" si="9"/>
        <v>440.7704664</v>
      </c>
      <c r="N222" s="27">
        <f t="shared" si="10"/>
        <v>10.8401653</v>
      </c>
      <c r="O222" s="24"/>
      <c r="P222" s="24"/>
      <c r="Q222" s="24"/>
      <c r="R222" s="26"/>
      <c r="S222" s="14">
        <f t="shared" si="13"/>
        <v>9.954481853</v>
      </c>
      <c r="U222" s="21"/>
      <c r="V222" s="21"/>
    </row>
    <row r="223">
      <c r="A223" s="11">
        <v>211.0</v>
      </c>
      <c r="B223" s="11">
        <v>1.42031304347826E9</v>
      </c>
      <c r="C223" s="2">
        <v>-102.2572098</v>
      </c>
      <c r="D223" s="24">
        <f t="shared" si="1"/>
        <v>-86956.52174</v>
      </c>
      <c r="E223" s="25">
        <f t="shared" si="2"/>
        <v>17.44762651</v>
      </c>
      <c r="F223" s="24">
        <f t="shared" si="3"/>
        <v>0.0002006477049</v>
      </c>
      <c r="G223" s="24">
        <f t="shared" si="4"/>
        <v>0</v>
      </c>
      <c r="H223" s="26">
        <f t="shared" si="5"/>
        <v>0</v>
      </c>
      <c r="I223" s="24">
        <f t="shared" si="6"/>
        <v>0</v>
      </c>
      <c r="J223" s="24">
        <f t="shared" si="7"/>
        <v>0</v>
      </c>
      <c r="K223" s="24"/>
      <c r="L223" s="24">
        <f t="shared" si="8"/>
        <v>452.2568853</v>
      </c>
      <c r="M223" s="30">
        <f t="shared" si="9"/>
        <v>440.6732213</v>
      </c>
      <c r="N223" s="27">
        <f t="shared" si="10"/>
        <v>11.58366401</v>
      </c>
      <c r="O223" s="24"/>
      <c r="P223" s="24"/>
      <c r="Q223" s="24"/>
      <c r="R223" s="26"/>
      <c r="S223" s="14">
        <f t="shared" si="13"/>
        <v>10.63723386</v>
      </c>
      <c r="U223" s="21"/>
      <c r="V223" s="21"/>
    </row>
    <row r="224">
      <c r="A224" s="11">
        <v>212.0</v>
      </c>
      <c r="B224" s="11">
        <v>1.42031739130434E9</v>
      </c>
      <c r="C224" s="2">
        <v>-102.2083435</v>
      </c>
      <c r="D224" s="24">
        <f t="shared" si="1"/>
        <v>-82608.69566</v>
      </c>
      <c r="E224" s="25">
        <f t="shared" si="2"/>
        <v>16.52933038</v>
      </c>
      <c r="F224" s="24">
        <f t="shared" si="3"/>
        <v>0.000200091894</v>
      </c>
      <c r="G224" s="24">
        <f t="shared" si="4"/>
        <v>0</v>
      </c>
      <c r="H224" s="26">
        <f t="shared" si="5"/>
        <v>0</v>
      </c>
      <c r="I224" s="24">
        <f t="shared" si="6"/>
        <v>0</v>
      </c>
      <c r="J224" s="24">
        <f t="shared" si="7"/>
        <v>0</v>
      </c>
      <c r="K224" s="24"/>
      <c r="L224" s="24">
        <f t="shared" si="8"/>
        <v>457.3743627</v>
      </c>
      <c r="M224" s="30">
        <f t="shared" si="9"/>
        <v>440.5757576</v>
      </c>
      <c r="N224" s="27">
        <f t="shared" si="10"/>
        <v>16.79860514</v>
      </c>
      <c r="O224" s="24"/>
      <c r="P224" s="24"/>
      <c r="Q224" s="24"/>
      <c r="R224" s="26"/>
      <c r="S224" s="14">
        <f t="shared" si="13"/>
        <v>15.42609414</v>
      </c>
      <c r="U224" s="21"/>
      <c r="V224" s="21"/>
    </row>
    <row r="225">
      <c r="A225" s="11">
        <v>213.0</v>
      </c>
      <c r="B225" s="11">
        <v>1.42032173913043E9</v>
      </c>
      <c r="C225" s="2">
        <v>-102.2220764</v>
      </c>
      <c r="D225" s="24">
        <f t="shared" si="1"/>
        <v>-78260.86957</v>
      </c>
      <c r="E225" s="25">
        <f t="shared" si="2"/>
        <v>15.61103425</v>
      </c>
      <c r="F225" s="24">
        <f t="shared" si="3"/>
        <v>0.0001994743265</v>
      </c>
      <c r="G225" s="24">
        <f t="shared" si="4"/>
        <v>0</v>
      </c>
      <c r="H225" s="26">
        <f t="shared" si="5"/>
        <v>0</v>
      </c>
      <c r="I225" s="24">
        <f t="shared" si="6"/>
        <v>0</v>
      </c>
      <c r="J225" s="24">
        <f t="shared" si="7"/>
        <v>0</v>
      </c>
      <c r="K225" s="24"/>
      <c r="L225" s="24">
        <f t="shared" si="8"/>
        <v>455.9303757</v>
      </c>
      <c r="M225" s="30">
        <f t="shared" si="9"/>
        <v>440.4780762</v>
      </c>
      <c r="N225" s="27">
        <f t="shared" si="10"/>
        <v>15.45229951</v>
      </c>
      <c r="O225" s="24"/>
      <c r="P225" s="24"/>
      <c r="Q225" s="24"/>
      <c r="R225" s="26"/>
      <c r="S225" s="14">
        <f t="shared" si="13"/>
        <v>14.18978685</v>
      </c>
      <c r="U225" s="21"/>
      <c r="V225" s="21"/>
    </row>
    <row r="226">
      <c r="A226" s="11">
        <v>214.0</v>
      </c>
      <c r="B226" s="11">
        <v>1.42032608695652E9</v>
      </c>
      <c r="C226" s="2">
        <v>-102.1975632</v>
      </c>
      <c r="D226" s="24">
        <f t="shared" si="1"/>
        <v>-73913.04348</v>
      </c>
      <c r="E226" s="25">
        <f t="shared" si="2"/>
        <v>14.69273812</v>
      </c>
      <c r="F226" s="24">
        <f t="shared" si="3"/>
        <v>0.0001987841039</v>
      </c>
      <c r="G226" s="24">
        <f t="shared" si="4"/>
        <v>0</v>
      </c>
      <c r="H226" s="26">
        <f t="shared" si="5"/>
        <v>0</v>
      </c>
      <c r="I226" s="24">
        <f t="shared" si="6"/>
        <v>0</v>
      </c>
      <c r="J226" s="24">
        <f t="shared" si="7"/>
        <v>0</v>
      </c>
      <c r="K226" s="24"/>
      <c r="L226" s="24">
        <f t="shared" si="8"/>
        <v>458.5110931</v>
      </c>
      <c r="M226" s="30">
        <f t="shared" si="9"/>
        <v>440.3801778</v>
      </c>
      <c r="N226" s="27">
        <f t="shared" si="10"/>
        <v>18.13091536</v>
      </c>
      <c r="O226" s="24"/>
      <c r="P226" s="24"/>
      <c r="Q226" s="24"/>
      <c r="R226" s="26"/>
      <c r="S226" s="14">
        <f t="shared" si="13"/>
        <v>16.64954946</v>
      </c>
      <c r="U226" s="21"/>
      <c r="V226" s="21"/>
    </row>
    <row r="227">
      <c r="A227" s="11">
        <v>215.0</v>
      </c>
      <c r="B227" s="11">
        <v>1.4203304347826E9</v>
      </c>
      <c r="C227" s="2">
        <v>-102.1893234</v>
      </c>
      <c r="D227" s="24">
        <f t="shared" si="1"/>
        <v>-69565.2174</v>
      </c>
      <c r="E227" s="25">
        <f t="shared" si="2"/>
        <v>13.77444198</v>
      </c>
      <c r="F227" s="24">
        <f t="shared" si="3"/>
        <v>0.0001980076035</v>
      </c>
      <c r="G227" s="24">
        <f t="shared" si="4"/>
        <v>0</v>
      </c>
      <c r="H227" s="26">
        <f t="shared" si="5"/>
        <v>0</v>
      </c>
      <c r="I227" s="24">
        <f t="shared" si="6"/>
        <v>0</v>
      </c>
      <c r="J227" s="24">
        <f t="shared" si="7"/>
        <v>0</v>
      </c>
      <c r="K227" s="24"/>
      <c r="L227" s="24">
        <f t="shared" si="8"/>
        <v>459.3818447</v>
      </c>
      <c r="M227" s="30">
        <f t="shared" si="9"/>
        <v>440.2820632</v>
      </c>
      <c r="N227" s="27">
        <f t="shared" si="10"/>
        <v>19.09978145</v>
      </c>
      <c r="O227" s="24"/>
      <c r="P227" s="24"/>
      <c r="Q227" s="24"/>
      <c r="R227" s="26"/>
      <c r="S227" s="14">
        <f t="shared" si="13"/>
        <v>17.53925544</v>
      </c>
      <c r="U227" s="21"/>
      <c r="V227" s="21"/>
    </row>
    <row r="228">
      <c r="A228" s="11">
        <v>216.0</v>
      </c>
      <c r="B228" s="11">
        <v>1.42033478260869E9</v>
      </c>
      <c r="C228" s="2">
        <v>-102.1733322</v>
      </c>
      <c r="D228" s="24">
        <f t="shared" si="1"/>
        <v>-65217.39131</v>
      </c>
      <c r="E228" s="25">
        <f t="shared" si="2"/>
        <v>12.85614585</v>
      </c>
      <c r="F228" s="24">
        <f t="shared" si="3"/>
        <v>0.0001971275697</v>
      </c>
      <c r="G228" s="24">
        <f t="shared" si="4"/>
        <v>0</v>
      </c>
      <c r="H228" s="26">
        <f t="shared" si="5"/>
        <v>0</v>
      </c>
      <c r="I228" s="24">
        <f t="shared" si="6"/>
        <v>0</v>
      </c>
      <c r="J228" s="24">
        <f t="shared" si="7"/>
        <v>0</v>
      </c>
      <c r="K228" s="24"/>
      <c r="L228" s="24">
        <f t="shared" si="8"/>
        <v>461.0764571</v>
      </c>
      <c r="M228" s="30">
        <f t="shared" si="9"/>
        <v>440.1837334</v>
      </c>
      <c r="N228" s="27">
        <f t="shared" si="10"/>
        <v>20.89272372</v>
      </c>
      <c r="O228" s="24"/>
      <c r="P228" s="24"/>
      <c r="Q228" s="24"/>
      <c r="R228" s="26"/>
      <c r="S228" s="14">
        <f t="shared" si="13"/>
        <v>19.1857074</v>
      </c>
      <c r="U228" s="21"/>
      <c r="V228" s="21"/>
    </row>
    <row r="229">
      <c r="A229" s="11">
        <v>217.0</v>
      </c>
      <c r="B229" s="11">
        <v>1.42033913043478E9</v>
      </c>
      <c r="C229" s="2">
        <v>-102.1627197</v>
      </c>
      <c r="D229" s="24">
        <f t="shared" si="1"/>
        <v>-60869.56522</v>
      </c>
      <c r="E229" s="25">
        <f t="shared" si="2"/>
        <v>11.93784972</v>
      </c>
      <c r="F229" s="24">
        <f t="shared" si="3"/>
        <v>0.0001961218168</v>
      </c>
      <c r="G229" s="24">
        <f t="shared" si="4"/>
        <v>0</v>
      </c>
      <c r="H229" s="26">
        <f t="shared" si="5"/>
        <v>0</v>
      </c>
      <c r="I229" s="24">
        <f t="shared" si="6"/>
        <v>0</v>
      </c>
      <c r="J229" s="24">
        <f t="shared" si="7"/>
        <v>0</v>
      </c>
      <c r="K229" s="24"/>
      <c r="L229" s="24">
        <f t="shared" si="8"/>
        <v>462.2045297</v>
      </c>
      <c r="M229" s="30">
        <f t="shared" si="9"/>
        <v>440.0851889</v>
      </c>
      <c r="N229" s="27">
        <f t="shared" si="10"/>
        <v>22.11934081</v>
      </c>
      <c r="O229" s="24"/>
      <c r="P229" s="24"/>
      <c r="Q229" s="24"/>
      <c r="R229" s="26"/>
      <c r="S229" s="14">
        <f t="shared" si="13"/>
        <v>20.31210508</v>
      </c>
      <c r="U229" s="21"/>
      <c r="V229" s="21"/>
    </row>
    <row r="230">
      <c r="A230" s="11">
        <v>218.0</v>
      </c>
      <c r="B230" s="11">
        <v>1.42034347826087E9</v>
      </c>
      <c r="C230" s="2">
        <v>-102.1044159</v>
      </c>
      <c r="D230" s="24">
        <f t="shared" si="1"/>
        <v>-56521.73913</v>
      </c>
      <c r="E230" s="25">
        <f t="shared" si="2"/>
        <v>11.01955359</v>
      </c>
      <c r="F230" s="24">
        <f t="shared" si="3"/>
        <v>0.0001949613327</v>
      </c>
      <c r="G230" s="24">
        <f t="shared" si="4"/>
        <v>0</v>
      </c>
      <c r="H230" s="26">
        <f t="shared" si="5"/>
        <v>0</v>
      </c>
      <c r="I230" s="24">
        <f t="shared" si="6"/>
        <v>0</v>
      </c>
      <c r="J230" s="24">
        <f t="shared" si="7"/>
        <v>0</v>
      </c>
      <c r="K230" s="24"/>
      <c r="L230" s="24">
        <f t="shared" si="8"/>
        <v>468.451439</v>
      </c>
      <c r="M230" s="30">
        <f t="shared" si="9"/>
        <v>439.9864308</v>
      </c>
      <c r="N230" s="27">
        <f t="shared" si="10"/>
        <v>28.46500826</v>
      </c>
      <c r="O230" s="24"/>
      <c r="P230" s="24"/>
      <c r="Q230" s="24"/>
      <c r="R230" s="26"/>
      <c r="S230" s="14">
        <f t="shared" si="13"/>
        <v>26.139307</v>
      </c>
      <c r="U230" s="21"/>
      <c r="V230" s="21"/>
    </row>
    <row r="231">
      <c r="A231" s="11">
        <v>219.0</v>
      </c>
      <c r="B231" s="11">
        <v>1.42034782608695E9</v>
      </c>
      <c r="C231" s="2">
        <v>-102.1366959</v>
      </c>
      <c r="D231" s="24">
        <f t="shared" si="1"/>
        <v>-52173.91305</v>
      </c>
      <c r="E231" s="25">
        <f t="shared" si="2"/>
        <v>10.10125745</v>
      </c>
      <c r="F231" s="24">
        <f t="shared" si="3"/>
        <v>0.0001936074345</v>
      </c>
      <c r="G231" s="24">
        <f t="shared" si="4"/>
        <v>0</v>
      </c>
      <c r="H231" s="26">
        <f t="shared" si="5"/>
        <v>0</v>
      </c>
      <c r="I231" s="24">
        <f t="shared" si="6"/>
        <v>0</v>
      </c>
      <c r="J231" s="24">
        <f t="shared" si="7"/>
        <v>0</v>
      </c>
      <c r="K231" s="24"/>
      <c r="L231" s="24">
        <f t="shared" si="8"/>
        <v>464.982467</v>
      </c>
      <c r="M231" s="30">
        <f t="shared" si="9"/>
        <v>439.8874596</v>
      </c>
      <c r="N231" s="27">
        <f t="shared" si="10"/>
        <v>25.09500739</v>
      </c>
      <c r="O231" s="24"/>
      <c r="P231" s="24"/>
      <c r="Q231" s="24"/>
      <c r="R231" s="26"/>
      <c r="S231" s="14">
        <f t="shared" si="13"/>
        <v>23.04464824</v>
      </c>
      <c r="U231" s="21"/>
      <c r="V231" s="21"/>
    </row>
    <row r="232">
      <c r="A232" s="11">
        <v>220.0</v>
      </c>
      <c r="B232" s="11">
        <v>1.42035217391304E9</v>
      </c>
      <c r="C232" s="2">
        <v>-102.1368637</v>
      </c>
      <c r="D232" s="24">
        <f t="shared" si="1"/>
        <v>-47826.08696</v>
      </c>
      <c r="E232" s="25">
        <f t="shared" si="2"/>
        <v>9.182961321</v>
      </c>
      <c r="F232" s="24">
        <f t="shared" si="3"/>
        <v>0.0001920073731</v>
      </c>
      <c r="G232" s="24">
        <f t="shared" si="4"/>
        <v>0</v>
      </c>
      <c r="H232" s="26">
        <f t="shared" si="5"/>
        <v>0</v>
      </c>
      <c r="I232" s="24">
        <f t="shared" si="6"/>
        <v>0</v>
      </c>
      <c r="J232" s="24">
        <f t="shared" si="7"/>
        <v>0</v>
      </c>
      <c r="K232" s="24"/>
      <c r="L232" s="24">
        <f t="shared" si="8"/>
        <v>464.9645017</v>
      </c>
      <c r="M232" s="30">
        <f t="shared" si="9"/>
        <v>439.7882764</v>
      </c>
      <c r="N232" s="27">
        <f t="shared" si="10"/>
        <v>25.17622528</v>
      </c>
      <c r="O232" s="24"/>
      <c r="P232" s="24"/>
      <c r="Q232" s="24"/>
      <c r="R232" s="26"/>
      <c r="S232" s="14">
        <f t="shared" si="13"/>
        <v>23.11923026</v>
      </c>
      <c r="U232" s="21"/>
      <c r="V232" s="21"/>
    </row>
    <row r="233">
      <c r="A233" s="11">
        <v>221.0</v>
      </c>
      <c r="B233" s="11">
        <v>1.42035652173913E9</v>
      </c>
      <c r="C233" s="2">
        <v>-102.0992279</v>
      </c>
      <c r="D233" s="24">
        <f t="shared" si="1"/>
        <v>-43478.26087</v>
      </c>
      <c r="E233" s="25">
        <f t="shared" si="2"/>
        <v>8.264665191</v>
      </c>
      <c r="F233" s="24">
        <f t="shared" si="3"/>
        <v>0.0001900872994</v>
      </c>
      <c r="G233" s="24">
        <f t="shared" si="4"/>
        <v>0</v>
      </c>
      <c r="H233" s="26">
        <f t="shared" si="5"/>
        <v>0</v>
      </c>
      <c r="I233" s="24">
        <f t="shared" si="6"/>
        <v>0</v>
      </c>
      <c r="J233" s="24">
        <f t="shared" si="7"/>
        <v>0</v>
      </c>
      <c r="K233" s="24"/>
      <c r="L233" s="24">
        <f t="shared" si="8"/>
        <v>469.0113767</v>
      </c>
      <c r="M233" s="30">
        <f t="shared" si="9"/>
        <v>439.6888818</v>
      </c>
      <c r="N233" s="27">
        <f t="shared" si="10"/>
        <v>29.32249484</v>
      </c>
      <c r="O233" s="24"/>
      <c r="P233" s="24"/>
      <c r="Q233" s="24"/>
      <c r="R233" s="26"/>
      <c r="S233" s="14">
        <f t="shared" si="13"/>
        <v>26.92673361</v>
      </c>
      <c r="U233" s="21"/>
      <c r="V233" s="21"/>
    </row>
    <row r="234">
      <c r="A234" s="11">
        <v>222.0</v>
      </c>
      <c r="B234" s="11">
        <v>1.42036086956521E9</v>
      </c>
      <c r="C234" s="2">
        <v>-102.1366577</v>
      </c>
      <c r="D234" s="24">
        <f t="shared" si="1"/>
        <v>-39130.43479</v>
      </c>
      <c r="E234" s="25">
        <f t="shared" si="2"/>
        <v>7.346369058</v>
      </c>
      <c r="F234" s="24">
        <f t="shared" si="3"/>
        <v>0.0001877405426</v>
      </c>
      <c r="G234" s="24">
        <f t="shared" si="4"/>
        <v>0</v>
      </c>
      <c r="H234" s="26">
        <f t="shared" si="5"/>
        <v>0</v>
      </c>
      <c r="I234" s="24">
        <f t="shared" si="6"/>
        <v>0</v>
      </c>
      <c r="J234" s="24">
        <f t="shared" si="7"/>
        <v>0</v>
      </c>
      <c r="K234" s="24"/>
      <c r="L234" s="24">
        <f t="shared" si="8"/>
        <v>464.986557</v>
      </c>
      <c r="M234" s="30">
        <f t="shared" si="9"/>
        <v>439.5892767</v>
      </c>
      <c r="N234" s="27">
        <f t="shared" si="10"/>
        <v>25.39728028</v>
      </c>
      <c r="O234" s="24"/>
      <c r="P234" s="24"/>
      <c r="Q234" s="24"/>
      <c r="R234" s="26"/>
      <c r="S234" s="14">
        <f t="shared" si="13"/>
        <v>23.32222427</v>
      </c>
      <c r="U234" s="21"/>
      <c r="V234" s="21"/>
    </row>
    <row r="235">
      <c r="A235" s="11">
        <v>223.0</v>
      </c>
      <c r="B235" s="11">
        <v>1.4203652173913E9</v>
      </c>
      <c r="C235" s="2">
        <v>-102.08918</v>
      </c>
      <c r="D235" s="24">
        <f t="shared" si="1"/>
        <v>-34782.6087</v>
      </c>
      <c r="E235" s="25">
        <f t="shared" si="2"/>
        <v>6.428072925</v>
      </c>
      <c r="F235" s="24">
        <f t="shared" si="3"/>
        <v>0.0001848070966</v>
      </c>
      <c r="G235" s="24">
        <f t="shared" si="4"/>
        <v>0</v>
      </c>
      <c r="H235" s="26">
        <f t="shared" si="5"/>
        <v>0</v>
      </c>
      <c r="I235" s="24">
        <f t="shared" si="6"/>
        <v>0</v>
      </c>
      <c r="J235" s="24">
        <f t="shared" si="7"/>
        <v>0</v>
      </c>
      <c r="K235" s="24"/>
      <c r="L235" s="24">
        <f t="shared" si="8"/>
        <v>470.0977444</v>
      </c>
      <c r="M235" s="30">
        <f t="shared" si="9"/>
        <v>439.4894619</v>
      </c>
      <c r="N235" s="27">
        <f t="shared" si="10"/>
        <v>30.60828253</v>
      </c>
      <c r="O235" s="24"/>
      <c r="P235" s="24"/>
      <c r="Q235" s="24"/>
      <c r="R235" s="26"/>
      <c r="S235" s="14">
        <f t="shared" si="13"/>
        <v>28.10746742</v>
      </c>
      <c r="U235" s="21"/>
      <c r="V235" s="21"/>
    </row>
    <row r="236">
      <c r="A236" s="11">
        <v>224.0</v>
      </c>
      <c r="B236" s="11">
        <v>1.42036956521739E9</v>
      </c>
      <c r="C236" s="2">
        <v>-102.0833664</v>
      </c>
      <c r="D236" s="24">
        <f t="shared" si="1"/>
        <v>-30434.78261</v>
      </c>
      <c r="E236" s="25">
        <f t="shared" si="2"/>
        <v>5.509776795</v>
      </c>
      <c r="F236" s="24">
        <f t="shared" si="3"/>
        <v>0.0001810355232</v>
      </c>
      <c r="G236" s="24">
        <f t="shared" si="4"/>
        <v>0</v>
      </c>
      <c r="H236" s="26">
        <f t="shared" si="5"/>
        <v>0</v>
      </c>
      <c r="I236" s="24">
        <f t="shared" si="6"/>
        <v>0</v>
      </c>
      <c r="J236" s="24">
        <f t="shared" si="7"/>
        <v>0</v>
      </c>
      <c r="K236" s="24"/>
      <c r="L236" s="24">
        <f t="shared" si="8"/>
        <v>470.7274531</v>
      </c>
      <c r="M236" s="30">
        <f t="shared" si="9"/>
        <v>439.3894381</v>
      </c>
      <c r="N236" s="27">
        <f t="shared" si="10"/>
        <v>31.33801503</v>
      </c>
      <c r="O236" s="24"/>
      <c r="P236" s="24"/>
      <c r="Q236" s="24"/>
      <c r="R236" s="26"/>
      <c r="S236" s="14">
        <f t="shared" si="13"/>
        <v>28.77757801</v>
      </c>
      <c r="U236" s="21"/>
      <c r="V236" s="21"/>
    </row>
    <row r="237">
      <c r="A237" s="11">
        <v>225.0</v>
      </c>
      <c r="B237" s="11">
        <v>1.42037391304347E9</v>
      </c>
      <c r="C237" s="2">
        <v>-102.027771</v>
      </c>
      <c r="D237" s="24">
        <f t="shared" si="1"/>
        <v>-26086.95653</v>
      </c>
      <c r="E237" s="25">
        <f t="shared" si="2"/>
        <v>4.591480662</v>
      </c>
      <c r="F237" s="24">
        <f t="shared" si="3"/>
        <v>0.0001760067586</v>
      </c>
      <c r="G237" s="24">
        <f t="shared" si="4"/>
        <v>0</v>
      </c>
      <c r="H237" s="26">
        <f t="shared" si="5"/>
        <v>0</v>
      </c>
      <c r="I237" s="24">
        <f t="shared" si="6"/>
        <v>0</v>
      </c>
      <c r="J237" s="24">
        <f t="shared" si="7"/>
        <v>0</v>
      </c>
      <c r="K237" s="24"/>
      <c r="L237" s="24">
        <f t="shared" si="8"/>
        <v>476.7921181</v>
      </c>
      <c r="M237" s="30">
        <f t="shared" si="9"/>
        <v>439.2892062</v>
      </c>
      <c r="N237" s="27">
        <f t="shared" si="10"/>
        <v>37.50291183</v>
      </c>
      <c r="O237" s="24"/>
      <c r="P237" s="24"/>
      <c r="Q237" s="24"/>
      <c r="R237" s="26"/>
      <c r="S237" s="14">
        <f t="shared" si="13"/>
        <v>34.4387789</v>
      </c>
      <c r="U237" s="21"/>
      <c r="V237" s="21"/>
    </row>
    <row r="238">
      <c r="A238" s="11">
        <v>226.0</v>
      </c>
      <c r="B238" s="11">
        <v>1.42037826086956E9</v>
      </c>
      <c r="C238" s="2">
        <v>-102.0394974</v>
      </c>
      <c r="D238" s="24">
        <f t="shared" si="1"/>
        <v>-21739.13044</v>
      </c>
      <c r="E238" s="25">
        <f t="shared" si="2"/>
        <v>3.673184529</v>
      </c>
      <c r="F238" s="24">
        <f t="shared" si="3"/>
        <v>0.0001689664883</v>
      </c>
      <c r="G238" s="24">
        <f t="shared" si="4"/>
        <v>0</v>
      </c>
      <c r="H238" s="26">
        <f t="shared" si="5"/>
        <v>0</v>
      </c>
      <c r="I238" s="24">
        <f t="shared" si="6"/>
        <v>0</v>
      </c>
      <c r="J238" s="24">
        <f t="shared" si="7"/>
        <v>0</v>
      </c>
      <c r="K238" s="24"/>
      <c r="L238" s="24">
        <f t="shared" si="8"/>
        <v>475.5064665</v>
      </c>
      <c r="M238" s="30">
        <f t="shared" si="9"/>
        <v>439.188767</v>
      </c>
      <c r="N238" s="27">
        <f t="shared" si="10"/>
        <v>36.3176995</v>
      </c>
      <c r="O238" s="24"/>
      <c r="P238" s="24"/>
      <c r="Q238" s="24"/>
      <c r="R238" s="26"/>
      <c r="S238" s="14">
        <f t="shared" si="13"/>
        <v>33.35040292</v>
      </c>
      <c r="U238" s="21"/>
      <c r="V238" s="21"/>
    </row>
    <row r="239">
      <c r="A239" s="11">
        <v>227.0</v>
      </c>
      <c r="B239" s="11">
        <v>1.42038260869565E9</v>
      </c>
      <c r="C239" s="2">
        <v>-102.0121841</v>
      </c>
      <c r="D239" s="24">
        <f t="shared" si="1"/>
        <v>-17391.30435</v>
      </c>
      <c r="E239" s="25">
        <f t="shared" si="2"/>
        <v>2.754888398</v>
      </c>
      <c r="F239" s="24">
        <f t="shared" si="3"/>
        <v>0.0001584060829</v>
      </c>
      <c r="G239" s="24">
        <f t="shared" si="4"/>
        <v>0</v>
      </c>
      <c r="H239" s="26">
        <f t="shared" si="5"/>
        <v>0</v>
      </c>
      <c r="I239" s="24">
        <f t="shared" si="6"/>
        <v>0</v>
      </c>
      <c r="J239" s="24">
        <f t="shared" si="7"/>
        <v>0</v>
      </c>
      <c r="K239" s="24"/>
      <c r="L239" s="24">
        <f t="shared" si="8"/>
        <v>478.5064072</v>
      </c>
      <c r="M239" s="30">
        <f t="shared" si="9"/>
        <v>439.0881213</v>
      </c>
      <c r="N239" s="27">
        <f t="shared" si="10"/>
        <v>39.41828592</v>
      </c>
      <c r="O239" s="24"/>
      <c r="P239" s="24"/>
      <c r="Q239" s="24"/>
      <c r="R239" s="26"/>
      <c r="S239" s="14">
        <f t="shared" si="13"/>
        <v>36.19765952</v>
      </c>
      <c r="U239" s="21"/>
      <c r="V239" s="21"/>
    </row>
    <row r="240">
      <c r="A240" s="11">
        <v>228.0</v>
      </c>
      <c r="B240" s="11">
        <v>1.42038695652173E9</v>
      </c>
      <c r="C240" s="2">
        <v>-102.0179977</v>
      </c>
      <c r="D240" s="24">
        <f t="shared" si="1"/>
        <v>-13043.47827</v>
      </c>
      <c r="E240" s="25">
        <f t="shared" si="2"/>
        <v>1.836592266</v>
      </c>
      <c r="F240" s="24">
        <f t="shared" si="3"/>
        <v>0.0001408054069</v>
      </c>
      <c r="G240" s="24">
        <f t="shared" si="4"/>
        <v>0</v>
      </c>
      <c r="H240" s="26">
        <f t="shared" si="5"/>
        <v>0</v>
      </c>
      <c r="I240" s="24">
        <f t="shared" si="6"/>
        <v>0</v>
      </c>
      <c r="J240" s="24">
        <f t="shared" si="7"/>
        <v>0</v>
      </c>
      <c r="K240" s="24"/>
      <c r="L240" s="24">
        <f t="shared" si="8"/>
        <v>477.8662923</v>
      </c>
      <c r="M240" s="30">
        <f t="shared" si="9"/>
        <v>438.9872699</v>
      </c>
      <c r="N240" s="27">
        <f t="shared" si="10"/>
        <v>38.87902243</v>
      </c>
      <c r="O240" s="24"/>
      <c r="P240" s="24"/>
      <c r="Q240" s="24"/>
      <c r="R240" s="26"/>
      <c r="S240" s="14">
        <f t="shared" si="13"/>
        <v>35.70245594</v>
      </c>
      <c r="U240" s="21"/>
      <c r="V240" s="21"/>
    </row>
    <row r="241">
      <c r="A241" s="11">
        <v>229.0</v>
      </c>
      <c r="B241" s="11">
        <v>1.42039130434782E9</v>
      </c>
      <c r="C241" s="2">
        <v>-101.9634094</v>
      </c>
      <c r="D241" s="24">
        <f t="shared" si="1"/>
        <v>-8695.65218</v>
      </c>
      <c r="E241" s="25">
        <f t="shared" si="2"/>
        <v>0.9182961328</v>
      </c>
      <c r="F241" s="24">
        <f t="shared" si="3"/>
        <v>0.0001056040552</v>
      </c>
      <c r="G241" s="24">
        <f t="shared" si="4"/>
        <v>0</v>
      </c>
      <c r="H241" s="26">
        <f t="shared" si="5"/>
        <v>0</v>
      </c>
      <c r="I241" s="24">
        <f t="shared" si="6"/>
        <v>0</v>
      </c>
      <c r="J241" s="24">
        <f t="shared" si="7"/>
        <v>0</v>
      </c>
      <c r="K241" s="24"/>
      <c r="L241" s="24">
        <f t="shared" si="8"/>
        <v>483.9107025</v>
      </c>
      <c r="M241" s="30">
        <f t="shared" si="9"/>
        <v>438.8862136</v>
      </c>
      <c r="N241" s="27">
        <f t="shared" si="10"/>
        <v>45.02448896</v>
      </c>
      <c r="O241" s="24"/>
      <c r="P241" s="24"/>
      <c r="Q241" s="24"/>
      <c r="R241" s="26"/>
      <c r="S241" s="14">
        <f t="shared" si="13"/>
        <v>41.34581409</v>
      </c>
      <c r="U241" s="21"/>
      <c r="V241" s="21"/>
    </row>
    <row r="242">
      <c r="A242" s="11">
        <v>230.0</v>
      </c>
      <c r="B242" s="11">
        <v>1.42039565217391E9</v>
      </c>
      <c r="C242" s="2">
        <v>-101.9976883</v>
      </c>
      <c r="D242" s="24">
        <f t="shared" si="1"/>
        <v>-4347.82609</v>
      </c>
      <c r="E242" s="25">
        <f t="shared" si="2"/>
        <v>0</v>
      </c>
      <c r="F242" s="24">
        <f t="shared" si="3"/>
        <v>0</v>
      </c>
      <c r="G242" s="24">
        <f t="shared" si="4"/>
        <v>0</v>
      </c>
      <c r="H242" s="26">
        <f t="shared" si="5"/>
        <v>0</v>
      </c>
      <c r="I242" s="24">
        <f t="shared" si="6"/>
        <v>0</v>
      </c>
      <c r="J242" s="24" t="str">
        <f t="shared" si="7"/>
        <v>#DIV/0!</v>
      </c>
      <c r="K242" s="24"/>
      <c r="L242" s="24">
        <f t="shared" si="8"/>
        <v>480.1062254</v>
      </c>
      <c r="M242" s="30">
        <f t="shared" si="9"/>
        <v>438.7849531</v>
      </c>
      <c r="N242" s="27">
        <f t="shared" si="10"/>
        <v>41.32127228</v>
      </c>
      <c r="O242" s="24"/>
      <c r="P242" s="24"/>
      <c r="Q242" s="24"/>
      <c r="R242" s="26"/>
      <c r="S242" s="14">
        <f t="shared" si="13"/>
        <v>37.94516445</v>
      </c>
      <c r="U242" s="21"/>
      <c r="V242" s="21"/>
    </row>
    <row r="243">
      <c r="A243" s="11">
        <v>231.0</v>
      </c>
      <c r="B243" s="11">
        <v>1.4204E9</v>
      </c>
      <c r="C243" s="2">
        <v>-101.9345093</v>
      </c>
      <c r="D243" s="24">
        <f t="shared" si="1"/>
        <v>0</v>
      </c>
      <c r="E243" s="25">
        <f t="shared" si="2"/>
        <v>-0.9182961307</v>
      </c>
      <c r="F243" s="24" t="str">
        <f t="shared" si="3"/>
        <v>#DIV/0!</v>
      </c>
      <c r="G243" s="24">
        <f t="shared" si="4"/>
        <v>0</v>
      </c>
      <c r="H243" s="26">
        <f t="shared" si="5"/>
        <v>0</v>
      </c>
      <c r="I243" s="24">
        <f t="shared" si="6"/>
        <v>0</v>
      </c>
      <c r="J243" s="24" t="str">
        <f t="shared" si="7"/>
        <v>#DIV/0!</v>
      </c>
      <c r="K243" s="24"/>
      <c r="L243" s="24">
        <f t="shared" si="8"/>
        <v>487.1416215</v>
      </c>
      <c r="M243" s="30">
        <f t="shared" si="9"/>
        <v>438.6834894</v>
      </c>
      <c r="N243" s="27">
        <f t="shared" si="10"/>
        <v>48.4581321</v>
      </c>
      <c r="O243" s="24"/>
      <c r="P243" s="24"/>
      <c r="Q243" s="24"/>
      <c r="R243" s="26"/>
      <c r="S243" s="14">
        <f t="shared" si="13"/>
        <v>44.49891531</v>
      </c>
      <c r="U243" s="21"/>
      <c r="V243" s="21"/>
    </row>
    <row r="244">
      <c r="A244" s="11">
        <v>232.0</v>
      </c>
      <c r="B244" s="11">
        <v>1.42040434782608E9</v>
      </c>
      <c r="C244" s="2">
        <v>-101.8582153</v>
      </c>
      <c r="D244" s="24">
        <f t="shared" si="1"/>
        <v>4347.82608</v>
      </c>
      <c r="E244" s="25">
        <f t="shared" si="2"/>
        <v>-1.836592263</v>
      </c>
      <c r="F244" s="24">
        <f t="shared" si="3"/>
        <v>0.0004224162213</v>
      </c>
      <c r="G244" s="24">
        <f t="shared" si="4"/>
        <v>0</v>
      </c>
      <c r="H244" s="26">
        <f t="shared" si="5"/>
        <v>0</v>
      </c>
      <c r="I244" s="24">
        <f t="shared" si="6"/>
        <v>0</v>
      </c>
      <c r="J244" s="24">
        <f t="shared" si="7"/>
        <v>0</v>
      </c>
      <c r="K244" s="24"/>
      <c r="L244" s="24">
        <f t="shared" si="8"/>
        <v>495.7750162</v>
      </c>
      <c r="M244" s="30">
        <f t="shared" si="9"/>
        <v>438.5818232</v>
      </c>
      <c r="N244" s="27">
        <f t="shared" si="10"/>
        <v>57.19319302</v>
      </c>
      <c r="O244" s="24"/>
      <c r="P244" s="24"/>
      <c r="Q244" s="24"/>
      <c r="R244" s="26"/>
      <c r="S244" s="14">
        <f t="shared" si="13"/>
        <v>52.52028797</v>
      </c>
      <c r="U244" s="21"/>
      <c r="V244" s="21"/>
    </row>
    <row r="245">
      <c r="A245" s="11">
        <v>233.0</v>
      </c>
      <c r="B245" s="11">
        <v>1.42040869565217E9</v>
      </c>
      <c r="C245" s="2">
        <v>-101.8346252</v>
      </c>
      <c r="D245" s="24">
        <f t="shared" si="1"/>
        <v>8695.65217</v>
      </c>
      <c r="E245" s="25">
        <f t="shared" si="2"/>
        <v>-2.754888396</v>
      </c>
      <c r="F245" s="24">
        <f t="shared" si="3"/>
        <v>0.0003168121657</v>
      </c>
      <c r="G245" s="24">
        <f t="shared" si="4"/>
        <v>0</v>
      </c>
      <c r="H245" s="26">
        <f t="shared" si="5"/>
        <v>0</v>
      </c>
      <c r="I245" s="24">
        <f t="shared" si="6"/>
        <v>0</v>
      </c>
      <c r="J245" s="24">
        <f t="shared" si="7"/>
        <v>0</v>
      </c>
      <c r="K245" s="24"/>
      <c r="L245" s="24">
        <f t="shared" si="8"/>
        <v>498.4753046</v>
      </c>
      <c r="M245" s="30">
        <f t="shared" si="9"/>
        <v>438.4799552</v>
      </c>
      <c r="N245" s="27">
        <f t="shared" si="10"/>
        <v>59.99534931</v>
      </c>
      <c r="O245" s="24"/>
      <c r="P245" s="24"/>
      <c r="Q245" s="24"/>
      <c r="R245" s="26"/>
      <c r="S245" s="14">
        <f t="shared" si="13"/>
        <v>55.09349713</v>
      </c>
      <c r="U245" s="21"/>
      <c r="V245" s="21"/>
    </row>
    <row r="246">
      <c r="A246" s="11">
        <v>234.0</v>
      </c>
      <c r="B246" s="11">
        <v>1.42041304347826E9</v>
      </c>
      <c r="C246" s="2">
        <v>-101.7862244</v>
      </c>
      <c r="D246" s="24">
        <f t="shared" si="1"/>
        <v>13043.47826</v>
      </c>
      <c r="E246" s="25">
        <f t="shared" si="2"/>
        <v>-3.673184527</v>
      </c>
      <c r="F246" s="24">
        <f t="shared" si="3"/>
        <v>0.0002816108137</v>
      </c>
      <c r="G246" s="24">
        <f t="shared" si="4"/>
        <v>0</v>
      </c>
      <c r="H246" s="26">
        <f t="shared" si="5"/>
        <v>0</v>
      </c>
      <c r="I246" s="24">
        <f t="shared" si="6"/>
        <v>0</v>
      </c>
      <c r="J246" s="24">
        <f t="shared" si="7"/>
        <v>0</v>
      </c>
      <c r="K246" s="24"/>
      <c r="L246" s="24">
        <f t="shared" si="8"/>
        <v>504.061732</v>
      </c>
      <c r="M246" s="30">
        <f t="shared" si="9"/>
        <v>438.3778864</v>
      </c>
      <c r="N246" s="27">
        <f t="shared" si="10"/>
        <v>65.68384558</v>
      </c>
      <c r="O246" s="24"/>
      <c r="P246" s="24"/>
      <c r="Q246" s="24"/>
      <c r="R246" s="26"/>
      <c r="S246" s="14">
        <f t="shared" si="13"/>
        <v>60.31722139</v>
      </c>
      <c r="U246" s="21"/>
      <c r="V246" s="21"/>
    </row>
    <row r="247">
      <c r="A247" s="11">
        <v>235.0</v>
      </c>
      <c r="B247" s="11">
        <v>1.42041739130434E9</v>
      </c>
      <c r="C247" s="2">
        <v>-101.8201523</v>
      </c>
      <c r="D247" s="24">
        <f t="shared" si="1"/>
        <v>17391.30434</v>
      </c>
      <c r="E247" s="25">
        <f t="shared" si="2"/>
        <v>-4.59148066</v>
      </c>
      <c r="F247" s="24">
        <f t="shared" si="3"/>
        <v>0.0002640101381</v>
      </c>
      <c r="G247" s="24">
        <f t="shared" si="4"/>
        <v>0</v>
      </c>
      <c r="H247" s="26">
        <f t="shared" si="5"/>
        <v>0</v>
      </c>
      <c r="I247" s="24">
        <f t="shared" si="6"/>
        <v>0</v>
      </c>
      <c r="J247" s="24">
        <f t="shared" si="7"/>
        <v>0</v>
      </c>
      <c r="K247" s="24"/>
      <c r="L247" s="24">
        <f t="shared" si="8"/>
        <v>500.1392487</v>
      </c>
      <c r="M247" s="30">
        <f t="shared" si="9"/>
        <v>438.2756175</v>
      </c>
      <c r="N247" s="27">
        <f t="shared" si="10"/>
        <v>61.86363117</v>
      </c>
      <c r="O247" s="24"/>
      <c r="P247" s="24"/>
      <c r="Q247" s="24"/>
      <c r="R247" s="26"/>
      <c r="S247" s="14">
        <f t="shared" si="13"/>
        <v>56.80913326</v>
      </c>
      <c r="U247" s="21"/>
      <c r="V247" s="21"/>
    </row>
    <row r="248">
      <c r="A248" s="11">
        <v>236.0</v>
      </c>
      <c r="B248" s="11">
        <v>1.42042173913043E9</v>
      </c>
      <c r="C248" s="2">
        <v>-101.7657776</v>
      </c>
      <c r="D248" s="24">
        <f t="shared" si="1"/>
        <v>21739.13043</v>
      </c>
      <c r="E248" s="25">
        <f t="shared" si="2"/>
        <v>-5.509776792</v>
      </c>
      <c r="F248" s="24">
        <f t="shared" si="3"/>
        <v>0.0002534497325</v>
      </c>
      <c r="G248" s="24">
        <f t="shared" si="4"/>
        <v>0</v>
      </c>
      <c r="H248" s="26">
        <f t="shared" si="5"/>
        <v>0</v>
      </c>
      <c r="I248" s="24">
        <f t="shared" si="6"/>
        <v>0</v>
      </c>
      <c r="J248" s="24">
        <f t="shared" si="7"/>
        <v>0</v>
      </c>
      <c r="K248" s="24"/>
      <c r="L248" s="24">
        <f t="shared" si="8"/>
        <v>506.4404749</v>
      </c>
      <c r="M248" s="30">
        <f t="shared" si="9"/>
        <v>438.1731494</v>
      </c>
      <c r="N248" s="27">
        <f t="shared" si="10"/>
        <v>68.26732557</v>
      </c>
      <c r="O248" s="24"/>
      <c r="P248" s="24"/>
      <c r="Q248" s="24"/>
      <c r="R248" s="26"/>
      <c r="S248" s="14">
        <f t="shared" si="13"/>
        <v>62.68962092</v>
      </c>
      <c r="U248" s="21"/>
      <c r="V248" s="21"/>
    </row>
    <row r="249">
      <c r="A249" s="11">
        <v>237.0</v>
      </c>
      <c r="B249" s="11">
        <v>1.42042608695652E9</v>
      </c>
      <c r="C249" s="2">
        <v>-101.7187195</v>
      </c>
      <c r="D249" s="24">
        <f t="shared" si="1"/>
        <v>26086.95652</v>
      </c>
      <c r="E249" s="25">
        <f t="shared" si="2"/>
        <v>-6.428072923</v>
      </c>
      <c r="F249" s="24">
        <f t="shared" si="3"/>
        <v>0.0002464094621</v>
      </c>
      <c r="G249" s="24">
        <f t="shared" si="4"/>
        <v>0</v>
      </c>
      <c r="H249" s="26">
        <f t="shared" si="5"/>
        <v>0</v>
      </c>
      <c r="I249" s="24">
        <f t="shared" si="6"/>
        <v>0</v>
      </c>
      <c r="J249" s="24">
        <f t="shared" si="7"/>
        <v>0</v>
      </c>
      <c r="K249" s="24"/>
      <c r="L249" s="24">
        <f t="shared" si="8"/>
        <v>511.9578628</v>
      </c>
      <c r="M249" s="30">
        <f t="shared" si="9"/>
        <v>438.0704827</v>
      </c>
      <c r="N249" s="27">
        <f t="shared" si="10"/>
        <v>73.88738008</v>
      </c>
      <c r="O249" s="24"/>
      <c r="P249" s="24"/>
      <c r="Q249" s="24"/>
      <c r="R249" s="26"/>
      <c r="S249" s="14">
        <f t="shared" si="13"/>
        <v>67.85049539</v>
      </c>
      <c r="U249" s="21"/>
      <c r="V249" s="21"/>
    </row>
    <row r="250">
      <c r="A250" s="11">
        <v>238.0</v>
      </c>
      <c r="B250" s="11">
        <v>1.4204304347826E9</v>
      </c>
      <c r="C250" s="2">
        <v>-101.6503296</v>
      </c>
      <c r="D250" s="24">
        <f t="shared" si="1"/>
        <v>30434.7826</v>
      </c>
      <c r="E250" s="25">
        <f t="shared" si="2"/>
        <v>-7.346369056</v>
      </c>
      <c r="F250" s="24">
        <f t="shared" si="3"/>
        <v>0.0002413806976</v>
      </c>
      <c r="G250" s="24">
        <f t="shared" si="4"/>
        <v>0</v>
      </c>
      <c r="H250" s="26">
        <f t="shared" si="5"/>
        <v>0</v>
      </c>
      <c r="I250" s="24">
        <f t="shared" si="6"/>
        <v>0</v>
      </c>
      <c r="J250" s="24">
        <f t="shared" si="7"/>
        <v>0</v>
      </c>
      <c r="K250" s="24"/>
      <c r="L250" s="24">
        <f t="shared" si="8"/>
        <v>520.0836577</v>
      </c>
      <c r="M250" s="30">
        <f t="shared" si="9"/>
        <v>437.9676184</v>
      </c>
      <c r="N250" s="27">
        <f t="shared" si="10"/>
        <v>82.11603933</v>
      </c>
      <c r="O250" s="24"/>
      <c r="P250" s="24"/>
      <c r="Q250" s="24"/>
      <c r="R250" s="26"/>
      <c r="S250" s="14">
        <f t="shared" si="13"/>
        <v>75.40684135</v>
      </c>
      <c r="U250" s="21"/>
      <c r="V250" s="21"/>
    </row>
    <row r="251">
      <c r="A251" s="11">
        <v>239.0</v>
      </c>
      <c r="B251" s="11">
        <v>1.42043478260869E9</v>
      </c>
      <c r="C251" s="2">
        <v>-101.5487442</v>
      </c>
      <c r="D251" s="24">
        <f t="shared" si="1"/>
        <v>34782.60869</v>
      </c>
      <c r="E251" s="25">
        <f t="shared" si="2"/>
        <v>-8.264665189</v>
      </c>
      <c r="F251" s="24">
        <f t="shared" si="3"/>
        <v>0.0002376091242</v>
      </c>
      <c r="G251" s="24">
        <f t="shared" si="4"/>
        <v>0</v>
      </c>
      <c r="H251" s="26">
        <f t="shared" si="5"/>
        <v>0</v>
      </c>
      <c r="I251" s="24">
        <f t="shared" si="6"/>
        <v>0</v>
      </c>
      <c r="J251" s="24">
        <f t="shared" si="7"/>
        <v>0</v>
      </c>
      <c r="K251" s="24"/>
      <c r="L251" s="24">
        <f t="shared" si="8"/>
        <v>532.3922776</v>
      </c>
      <c r="M251" s="30">
        <f t="shared" si="9"/>
        <v>437.8645571</v>
      </c>
      <c r="N251" s="27">
        <f t="shared" si="10"/>
        <v>94.52772048</v>
      </c>
      <c r="O251" s="24"/>
      <c r="P251" s="24"/>
      <c r="Q251" s="24"/>
      <c r="R251" s="26"/>
      <c r="S251" s="14">
        <f t="shared" si="13"/>
        <v>86.80444016</v>
      </c>
      <c r="U251" s="21"/>
      <c r="V251" s="21"/>
    </row>
    <row r="252">
      <c r="A252" s="11">
        <v>240.0</v>
      </c>
      <c r="B252" s="11">
        <v>1.42043913043478E9</v>
      </c>
      <c r="C252" s="2">
        <v>-101.501709</v>
      </c>
      <c r="D252" s="24">
        <f t="shared" si="1"/>
        <v>39130.43478</v>
      </c>
      <c r="E252" s="25">
        <f t="shared" si="2"/>
        <v>-9.182961321</v>
      </c>
      <c r="F252" s="24">
        <f t="shared" si="3"/>
        <v>0.0002346756782</v>
      </c>
      <c r="G252" s="24">
        <f t="shared" si="4"/>
        <v>0</v>
      </c>
      <c r="H252" s="26">
        <f t="shared" si="5"/>
        <v>0</v>
      </c>
      <c r="I252" s="24">
        <f t="shared" si="6"/>
        <v>0</v>
      </c>
      <c r="J252" s="24">
        <f t="shared" si="7"/>
        <v>0</v>
      </c>
      <c r="K252" s="24"/>
      <c r="L252" s="24">
        <f t="shared" si="8"/>
        <v>538.1895581</v>
      </c>
      <c r="M252" s="30">
        <f t="shared" si="9"/>
        <v>437.7612999</v>
      </c>
      <c r="N252" s="27">
        <f t="shared" si="10"/>
        <v>100.4282583</v>
      </c>
      <c r="O252" s="24"/>
      <c r="P252" s="24"/>
      <c r="Q252" s="24"/>
      <c r="R252" s="26"/>
      <c r="S252" s="14">
        <f t="shared" si="13"/>
        <v>92.22288096</v>
      </c>
      <c r="U252" s="21"/>
      <c r="V252" s="21"/>
    </row>
    <row r="253">
      <c r="A253" s="11">
        <v>241.0</v>
      </c>
      <c r="B253" s="11">
        <v>1.42044347826087E9</v>
      </c>
      <c r="C253" s="2">
        <v>-101.5123291</v>
      </c>
      <c r="D253" s="24">
        <f t="shared" si="1"/>
        <v>43478.26087</v>
      </c>
      <c r="E253" s="25">
        <f t="shared" si="2"/>
        <v>-10.10125745</v>
      </c>
      <c r="F253" s="24">
        <f t="shared" si="3"/>
        <v>0.0002323289214</v>
      </c>
      <c r="G253" s="24">
        <f t="shared" si="4"/>
        <v>0</v>
      </c>
      <c r="H253" s="26">
        <f t="shared" si="5"/>
        <v>0</v>
      </c>
      <c r="I253" s="24">
        <f t="shared" si="6"/>
        <v>0</v>
      </c>
      <c r="J253" s="24">
        <f t="shared" si="7"/>
        <v>0</v>
      </c>
      <c r="K253" s="24"/>
      <c r="L253" s="24">
        <f t="shared" si="8"/>
        <v>536.8750942</v>
      </c>
      <c r="M253" s="30">
        <f t="shared" si="9"/>
        <v>437.6578473</v>
      </c>
      <c r="N253" s="27">
        <f t="shared" si="10"/>
        <v>99.21724689</v>
      </c>
      <c r="O253" s="24"/>
      <c r="P253" s="24"/>
      <c r="Q253" s="24"/>
      <c r="R253" s="26"/>
      <c r="S253" s="14">
        <f t="shared" si="13"/>
        <v>91.11081412</v>
      </c>
      <c r="U253" s="21"/>
      <c r="V253" s="21"/>
    </row>
    <row r="254">
      <c r="A254" s="11">
        <v>242.0</v>
      </c>
      <c r="B254" s="11">
        <v>1.42044782608695E9</v>
      </c>
      <c r="C254" s="2">
        <v>-101.463295</v>
      </c>
      <c r="D254" s="24">
        <f t="shared" si="1"/>
        <v>47826.08695</v>
      </c>
      <c r="E254" s="25">
        <f t="shared" si="2"/>
        <v>-11.01955358</v>
      </c>
      <c r="F254" s="24">
        <f t="shared" si="3"/>
        <v>0.0002304088477</v>
      </c>
      <c r="G254" s="24">
        <f t="shared" si="4"/>
        <v>0</v>
      </c>
      <c r="H254" s="26">
        <f t="shared" si="5"/>
        <v>0</v>
      </c>
      <c r="I254" s="24">
        <f t="shared" si="6"/>
        <v>0</v>
      </c>
      <c r="J254" s="24">
        <f t="shared" si="7"/>
        <v>0</v>
      </c>
      <c r="K254" s="24"/>
      <c r="L254" s="24">
        <f t="shared" si="8"/>
        <v>542.971041</v>
      </c>
      <c r="M254" s="30">
        <f t="shared" si="9"/>
        <v>437.5542003</v>
      </c>
      <c r="N254" s="27">
        <f t="shared" si="10"/>
        <v>105.4168407</v>
      </c>
      <c r="O254" s="24"/>
      <c r="P254" s="24"/>
      <c r="Q254" s="24"/>
      <c r="R254" s="26"/>
      <c r="S254" s="14">
        <f t="shared" si="13"/>
        <v>96.80387712</v>
      </c>
      <c r="U254" s="21"/>
      <c r="V254" s="21"/>
    </row>
    <row r="255">
      <c r="A255" s="11">
        <v>243.0</v>
      </c>
      <c r="B255" s="11">
        <v>1.42045217391304E9</v>
      </c>
      <c r="C255" s="2">
        <v>-101.4359665</v>
      </c>
      <c r="D255" s="24">
        <f t="shared" si="1"/>
        <v>52173.91304</v>
      </c>
      <c r="E255" s="25">
        <f t="shared" si="2"/>
        <v>-11.93784972</v>
      </c>
      <c r="F255" s="24">
        <f t="shared" si="3"/>
        <v>0.0002288087863</v>
      </c>
      <c r="G255" s="24">
        <f t="shared" si="4"/>
        <v>0</v>
      </c>
      <c r="H255" s="26">
        <f t="shared" si="5"/>
        <v>0</v>
      </c>
      <c r="I255" s="24">
        <f t="shared" si="6"/>
        <v>0</v>
      </c>
      <c r="J255" s="24">
        <f t="shared" si="7"/>
        <v>0</v>
      </c>
      <c r="K255" s="24"/>
      <c r="L255" s="24">
        <f t="shared" si="8"/>
        <v>546.3985238</v>
      </c>
      <c r="M255" s="30">
        <f t="shared" si="9"/>
        <v>437.4503596</v>
      </c>
      <c r="N255" s="27">
        <f t="shared" si="10"/>
        <v>108.9481642</v>
      </c>
      <c r="O255" s="24"/>
      <c r="P255" s="24"/>
      <c r="Q255" s="24"/>
      <c r="R255" s="26"/>
      <c r="S255" s="14">
        <f t="shared" si="13"/>
        <v>100.0466776</v>
      </c>
      <c r="U255" s="21"/>
      <c r="V255" s="21"/>
    </row>
    <row r="256">
      <c r="A256" s="11">
        <v>244.0</v>
      </c>
      <c r="B256" s="11">
        <v>1.42045652173913E9</v>
      </c>
      <c r="C256" s="2">
        <v>-101.3450851</v>
      </c>
      <c r="D256" s="24">
        <f t="shared" si="1"/>
        <v>56521.73913</v>
      </c>
      <c r="E256" s="25">
        <f t="shared" si="2"/>
        <v>-12.85614585</v>
      </c>
      <c r="F256" s="24">
        <f t="shared" si="3"/>
        <v>0.0002274548881</v>
      </c>
      <c r="G256" s="24">
        <f t="shared" si="4"/>
        <v>0</v>
      </c>
      <c r="H256" s="26">
        <f t="shared" si="5"/>
        <v>0</v>
      </c>
      <c r="I256" s="24">
        <f t="shared" si="6"/>
        <v>0</v>
      </c>
      <c r="J256" s="24">
        <f t="shared" si="7"/>
        <v>0</v>
      </c>
      <c r="K256" s="24"/>
      <c r="L256" s="24">
        <f t="shared" si="8"/>
        <v>557.9530518</v>
      </c>
      <c r="M256" s="30">
        <f t="shared" si="9"/>
        <v>437.3463261</v>
      </c>
      <c r="N256" s="27">
        <f t="shared" si="10"/>
        <v>120.6067257</v>
      </c>
      <c r="O256" s="24"/>
      <c r="P256" s="24"/>
      <c r="Q256" s="24"/>
      <c r="R256" s="26"/>
      <c r="S256" s="14">
        <f t="shared" si="13"/>
        <v>110.7526898</v>
      </c>
      <c r="U256" s="21"/>
      <c r="V256" s="21"/>
    </row>
    <row r="257">
      <c r="A257" s="11">
        <v>245.0</v>
      </c>
      <c r="B257" s="11">
        <v>1.42046086956521E9</v>
      </c>
      <c r="C257" s="2">
        <v>-101.2992783</v>
      </c>
      <c r="D257" s="24">
        <f t="shared" si="1"/>
        <v>60869.56521</v>
      </c>
      <c r="E257" s="25">
        <f t="shared" si="2"/>
        <v>-13.77444198</v>
      </c>
      <c r="F257" s="24">
        <f t="shared" si="3"/>
        <v>0.000226294404</v>
      </c>
      <c r="G257" s="24">
        <f t="shared" si="4"/>
        <v>0</v>
      </c>
      <c r="H257" s="26">
        <f t="shared" si="5"/>
        <v>0</v>
      </c>
      <c r="I257" s="24">
        <f t="shared" si="6"/>
        <v>0</v>
      </c>
      <c r="J257" s="24">
        <f t="shared" si="7"/>
        <v>0</v>
      </c>
      <c r="K257" s="24"/>
      <c r="L257" s="24">
        <f t="shared" si="8"/>
        <v>563.8691538</v>
      </c>
      <c r="M257" s="30">
        <f t="shared" si="9"/>
        <v>437.2421005</v>
      </c>
      <c r="N257" s="27">
        <f t="shared" si="10"/>
        <v>126.6270533</v>
      </c>
      <c r="O257" s="24"/>
      <c r="P257" s="24"/>
      <c r="Q257" s="24"/>
      <c r="R257" s="26"/>
      <c r="S257" s="14">
        <f t="shared" si="13"/>
        <v>116.2811334</v>
      </c>
      <c r="U257" s="21"/>
      <c r="V257" s="21"/>
    </row>
    <row r="258">
      <c r="A258" s="11">
        <v>246.0</v>
      </c>
      <c r="B258" s="11">
        <v>1.4204652173913E9</v>
      </c>
      <c r="C258" s="2">
        <v>-101.2616425</v>
      </c>
      <c r="D258" s="24">
        <f t="shared" si="1"/>
        <v>65217.3913</v>
      </c>
      <c r="E258" s="25">
        <f t="shared" si="2"/>
        <v>-14.69273811</v>
      </c>
      <c r="F258" s="24">
        <f t="shared" si="3"/>
        <v>0.0002252886511</v>
      </c>
      <c r="G258" s="24">
        <f t="shared" si="4"/>
        <v>0</v>
      </c>
      <c r="H258" s="26">
        <f t="shared" si="5"/>
        <v>0</v>
      </c>
      <c r="I258" s="24">
        <f t="shared" si="6"/>
        <v>0</v>
      </c>
      <c r="J258" s="24">
        <f t="shared" si="7"/>
        <v>0</v>
      </c>
      <c r="K258" s="24"/>
      <c r="L258" s="24">
        <f t="shared" si="8"/>
        <v>568.7768574</v>
      </c>
      <c r="M258" s="30">
        <f t="shared" si="9"/>
        <v>437.1376837</v>
      </c>
      <c r="N258" s="27">
        <f t="shared" si="10"/>
        <v>131.6391737</v>
      </c>
      <c r="O258" s="24"/>
      <c r="P258" s="24"/>
      <c r="Q258" s="24"/>
      <c r="R258" s="26"/>
      <c r="S258" s="14">
        <f t="shared" si="13"/>
        <v>120.8837439</v>
      </c>
      <c r="U258" s="21"/>
      <c r="V258" s="21"/>
    </row>
    <row r="259">
      <c r="A259" s="11">
        <v>247.0</v>
      </c>
      <c r="B259" s="11">
        <v>1.42046956521739E9</v>
      </c>
      <c r="C259" s="2">
        <v>-101.232254</v>
      </c>
      <c r="D259" s="24">
        <f t="shared" si="1"/>
        <v>69565.21739</v>
      </c>
      <c r="E259" s="25">
        <f t="shared" si="2"/>
        <v>-15.61103424</v>
      </c>
      <c r="F259" s="24">
        <f t="shared" si="3"/>
        <v>0.0002244086173</v>
      </c>
      <c r="G259" s="24">
        <f t="shared" si="4"/>
        <v>0</v>
      </c>
      <c r="H259" s="26">
        <f t="shared" si="5"/>
        <v>0</v>
      </c>
      <c r="I259" s="24">
        <f t="shared" si="6"/>
        <v>0</v>
      </c>
      <c r="J259" s="24">
        <f t="shared" si="7"/>
        <v>0</v>
      </c>
      <c r="K259" s="24"/>
      <c r="L259" s="24">
        <f t="shared" si="8"/>
        <v>572.6387953</v>
      </c>
      <c r="M259" s="30">
        <f t="shared" si="9"/>
        <v>437.0330764</v>
      </c>
      <c r="N259" s="27">
        <f t="shared" si="10"/>
        <v>135.6057189</v>
      </c>
      <c r="O259" s="24"/>
      <c r="P259" s="24"/>
      <c r="Q259" s="24"/>
      <c r="R259" s="26"/>
      <c r="S259" s="14">
        <f t="shared" si="13"/>
        <v>124.5262072</v>
      </c>
      <c r="U259" s="21"/>
      <c r="V259" s="21"/>
    </row>
    <row r="260">
      <c r="A260" s="11">
        <v>248.0</v>
      </c>
      <c r="B260" s="11">
        <v>1.42047391304347E9</v>
      </c>
      <c r="C260" s="2">
        <v>-101.350914</v>
      </c>
      <c r="D260" s="24">
        <f t="shared" si="1"/>
        <v>73913.04347</v>
      </c>
      <c r="E260" s="25">
        <f t="shared" si="2"/>
        <v>-16.52933038</v>
      </c>
      <c r="F260" s="24">
        <f t="shared" si="3"/>
        <v>0.0002236321169</v>
      </c>
      <c r="G260" s="24">
        <f t="shared" si="4"/>
        <v>0</v>
      </c>
      <c r="H260" s="26">
        <f t="shared" si="5"/>
        <v>0</v>
      </c>
      <c r="I260" s="24">
        <f t="shared" si="6"/>
        <v>0</v>
      </c>
      <c r="J260" s="24">
        <f t="shared" si="7"/>
        <v>0</v>
      </c>
      <c r="K260" s="24"/>
      <c r="L260" s="24">
        <f t="shared" si="8"/>
        <v>557.2046953</v>
      </c>
      <c r="M260" s="30">
        <f t="shared" si="9"/>
        <v>436.9282795</v>
      </c>
      <c r="N260" s="27">
        <f t="shared" si="10"/>
        <v>120.2764158</v>
      </c>
      <c r="O260" s="24"/>
      <c r="P260" s="24"/>
      <c r="Q260" s="24"/>
      <c r="R260" s="26"/>
      <c r="S260" s="14">
        <f t="shared" si="13"/>
        <v>110.4493675</v>
      </c>
      <c r="U260" s="21"/>
      <c r="V260" s="21"/>
    </row>
    <row r="261">
      <c r="A261" s="11">
        <v>249.0</v>
      </c>
      <c r="B261" s="11">
        <v>1.42047826086956E9</v>
      </c>
      <c r="C261" s="2">
        <v>-101.2344284</v>
      </c>
      <c r="D261" s="24">
        <f t="shared" si="1"/>
        <v>78260.86956</v>
      </c>
      <c r="E261" s="25">
        <f t="shared" si="2"/>
        <v>-17.44762651</v>
      </c>
      <c r="F261" s="24">
        <f t="shared" si="3"/>
        <v>0.0002229418943</v>
      </c>
      <c r="G261" s="24">
        <f t="shared" si="4"/>
        <v>0</v>
      </c>
      <c r="H261" s="26">
        <f t="shared" si="5"/>
        <v>0</v>
      </c>
      <c r="I261" s="24">
        <f t="shared" si="6"/>
        <v>0</v>
      </c>
      <c r="J261" s="24">
        <f t="shared" si="7"/>
        <v>0</v>
      </c>
      <c r="K261" s="24"/>
      <c r="L261" s="24">
        <f t="shared" si="8"/>
        <v>572.3521616</v>
      </c>
      <c r="M261" s="30">
        <f t="shared" si="9"/>
        <v>436.8232937</v>
      </c>
      <c r="N261" s="27">
        <f t="shared" si="10"/>
        <v>135.5288679</v>
      </c>
      <c r="O261" s="24"/>
      <c r="P261" s="24"/>
      <c r="Q261" s="24"/>
      <c r="R261" s="26"/>
      <c r="S261" s="14">
        <f t="shared" si="13"/>
        <v>124.455635</v>
      </c>
      <c r="U261" s="21"/>
      <c r="V261" s="21"/>
    </row>
    <row r="262">
      <c r="A262" s="11">
        <v>250.0</v>
      </c>
      <c r="B262" s="11">
        <v>1.42048260869565E9</v>
      </c>
      <c r="C262" s="2">
        <v>-101.2499466</v>
      </c>
      <c r="D262" s="24">
        <f t="shared" si="1"/>
        <v>82608.69565</v>
      </c>
      <c r="E262" s="25">
        <f t="shared" si="2"/>
        <v>-18.36592264</v>
      </c>
      <c r="F262" s="24">
        <f t="shared" si="3"/>
        <v>0.0002223243267</v>
      </c>
      <c r="G262" s="24">
        <f t="shared" si="4"/>
        <v>0</v>
      </c>
      <c r="H262" s="26">
        <f t="shared" si="5"/>
        <v>0</v>
      </c>
      <c r="I262" s="24">
        <f t="shared" si="6"/>
        <v>0</v>
      </c>
      <c r="J262" s="24">
        <f t="shared" si="7"/>
        <v>0</v>
      </c>
      <c r="K262" s="24"/>
      <c r="L262" s="24">
        <f t="shared" si="8"/>
        <v>570.3106837</v>
      </c>
      <c r="M262" s="30">
        <f t="shared" si="9"/>
        <v>436.7181199</v>
      </c>
      <c r="N262" s="27">
        <f t="shared" si="10"/>
        <v>133.5925638</v>
      </c>
      <c r="O262" s="24"/>
      <c r="P262" s="24"/>
      <c r="Q262" s="24"/>
      <c r="R262" s="26"/>
      <c r="S262" s="14">
        <f t="shared" si="13"/>
        <v>122.6775347</v>
      </c>
      <c r="U262" s="21"/>
      <c r="V262" s="21"/>
    </row>
    <row r="263">
      <c r="A263" s="11">
        <v>251.0</v>
      </c>
      <c r="B263" s="11">
        <v>1.42048695652173E9</v>
      </c>
      <c r="C263" s="2">
        <v>-101.1895065</v>
      </c>
      <c r="D263" s="24">
        <f t="shared" si="1"/>
        <v>86956.52173</v>
      </c>
      <c r="E263" s="25">
        <f t="shared" si="2"/>
        <v>-19.28421877</v>
      </c>
      <c r="F263" s="24">
        <f t="shared" si="3"/>
        <v>0.0002217685159</v>
      </c>
      <c r="G263" s="24">
        <f t="shared" si="4"/>
        <v>0</v>
      </c>
      <c r="H263" s="26">
        <f t="shared" si="5"/>
        <v>0</v>
      </c>
      <c r="I263" s="24">
        <f t="shared" si="6"/>
        <v>0</v>
      </c>
      <c r="J263" s="24">
        <f t="shared" si="7"/>
        <v>0</v>
      </c>
      <c r="K263" s="24"/>
      <c r="L263" s="24">
        <f t="shared" si="8"/>
        <v>578.303096</v>
      </c>
      <c r="M263" s="30">
        <f t="shared" si="9"/>
        <v>436.6127589</v>
      </c>
      <c r="N263" s="27">
        <f t="shared" si="10"/>
        <v>141.6903371</v>
      </c>
      <c r="O263" s="24"/>
      <c r="P263" s="24"/>
      <c r="Q263" s="24"/>
      <c r="R263" s="26"/>
      <c r="S263" s="14">
        <f t="shared" si="13"/>
        <v>130.1136886</v>
      </c>
      <c r="U263" s="21"/>
      <c r="V263" s="21"/>
    </row>
    <row r="264">
      <c r="A264" s="11">
        <v>252.0</v>
      </c>
      <c r="B264" s="11">
        <v>1.42049130434782E9</v>
      </c>
      <c r="C264" s="2">
        <v>-101.1691437</v>
      </c>
      <c r="D264" s="24">
        <f t="shared" si="1"/>
        <v>91304.34782</v>
      </c>
      <c r="E264" s="25">
        <f t="shared" si="2"/>
        <v>-20.20251491</v>
      </c>
      <c r="F264" s="24">
        <f t="shared" si="3"/>
        <v>0.0002212656395</v>
      </c>
      <c r="G264" s="24">
        <f t="shared" si="4"/>
        <v>0</v>
      </c>
      <c r="H264" s="26">
        <f t="shared" si="5"/>
        <v>0</v>
      </c>
      <c r="I264" s="24">
        <f t="shared" si="6"/>
        <v>0</v>
      </c>
      <c r="J264" s="24">
        <f t="shared" si="7"/>
        <v>0</v>
      </c>
      <c r="K264" s="24"/>
      <c r="L264" s="24">
        <f t="shared" si="8"/>
        <v>581.020957</v>
      </c>
      <c r="M264" s="30">
        <f t="shared" si="9"/>
        <v>436.5072114</v>
      </c>
      <c r="N264" s="27">
        <f t="shared" si="10"/>
        <v>144.5137456</v>
      </c>
      <c r="O264" s="24"/>
      <c r="P264" s="24"/>
      <c r="Q264" s="24"/>
      <c r="R264" s="26"/>
      <c r="S264" s="14">
        <f t="shared" si="13"/>
        <v>132.7064137</v>
      </c>
      <c r="U264" s="21"/>
      <c r="V264" s="21"/>
    </row>
    <row r="265">
      <c r="A265" s="11">
        <v>253.0</v>
      </c>
      <c r="B265" s="11">
        <v>1.42049565217391E9</v>
      </c>
      <c r="C265" s="2">
        <v>-101.1027451</v>
      </c>
      <c r="D265" s="24">
        <f t="shared" si="1"/>
        <v>95652.17391</v>
      </c>
      <c r="E265" s="25">
        <f t="shared" si="2"/>
        <v>-21.12081104</v>
      </c>
      <c r="F265" s="24">
        <f t="shared" si="3"/>
        <v>0.0002208084791</v>
      </c>
      <c r="G265" s="24">
        <f t="shared" si="4"/>
        <v>0</v>
      </c>
      <c r="H265" s="26">
        <f t="shared" si="5"/>
        <v>0</v>
      </c>
      <c r="I265" s="24">
        <f t="shared" si="6"/>
        <v>0</v>
      </c>
      <c r="J265" s="24">
        <f t="shared" si="7"/>
        <v>0</v>
      </c>
      <c r="K265" s="24"/>
      <c r="L265" s="24">
        <f t="shared" si="8"/>
        <v>589.9723489</v>
      </c>
      <c r="M265" s="30">
        <f t="shared" si="9"/>
        <v>436.4014784</v>
      </c>
      <c r="N265" s="27">
        <f t="shared" si="10"/>
        <v>153.5708705</v>
      </c>
      <c r="O265" s="24"/>
      <c r="P265" s="24"/>
      <c r="Q265" s="24"/>
      <c r="R265" s="26"/>
      <c r="S265" s="14">
        <f t="shared" si="13"/>
        <v>141.0235362</v>
      </c>
      <c r="U265" s="21"/>
      <c r="V265" s="21"/>
    </row>
    <row r="266">
      <c r="A266" s="11">
        <v>254.0</v>
      </c>
      <c r="B266" s="11">
        <v>1.4205E9</v>
      </c>
      <c r="C266" s="2">
        <v>-101.1181488</v>
      </c>
      <c r="D266" s="24">
        <f t="shared" si="1"/>
        <v>100000</v>
      </c>
      <c r="E266" s="25">
        <f t="shared" si="2"/>
        <v>-22.03910717</v>
      </c>
      <c r="F266" s="24">
        <f t="shared" si="3"/>
        <v>0.0002203910717</v>
      </c>
      <c r="G266" s="24">
        <f t="shared" si="4"/>
        <v>0</v>
      </c>
      <c r="H266" s="26">
        <f t="shared" si="5"/>
        <v>0</v>
      </c>
      <c r="I266" s="24">
        <f t="shared" si="6"/>
        <v>0</v>
      </c>
      <c r="J266" s="24">
        <f t="shared" si="7"/>
        <v>0</v>
      </c>
      <c r="K266" s="24"/>
      <c r="L266" s="24">
        <f t="shared" si="8"/>
        <v>587.883522</v>
      </c>
      <c r="M266" s="30">
        <f t="shared" si="9"/>
        <v>436.2955605</v>
      </c>
      <c r="N266" s="27">
        <f t="shared" si="10"/>
        <v>151.5879616</v>
      </c>
      <c r="O266" s="24"/>
      <c r="P266" s="24"/>
      <c r="Q266" s="24"/>
      <c r="R266" s="26"/>
      <c r="S266" s="14">
        <f t="shared" si="13"/>
        <v>139.2026389</v>
      </c>
      <c r="U266" s="21"/>
      <c r="V266" s="21"/>
    </row>
    <row r="267">
      <c r="A267" s="11">
        <v>255.0</v>
      </c>
      <c r="B267" s="11">
        <v>1.42050434782608E9</v>
      </c>
      <c r="C267" s="2">
        <v>-101.0898666</v>
      </c>
      <c r="D267" s="24">
        <f t="shared" si="1"/>
        <v>104347.8261</v>
      </c>
      <c r="E267" s="25">
        <f t="shared" si="2"/>
        <v>-22.9574033</v>
      </c>
      <c r="F267" s="24">
        <f t="shared" si="3"/>
        <v>0.0002200084483</v>
      </c>
      <c r="G267" s="24">
        <f t="shared" si="4"/>
        <v>0</v>
      </c>
      <c r="H267" s="26">
        <f t="shared" si="5"/>
        <v>0</v>
      </c>
      <c r="I267" s="24">
        <f t="shared" si="6"/>
        <v>0</v>
      </c>
      <c r="J267" s="24">
        <f t="shared" si="7"/>
        <v>0</v>
      </c>
      <c r="K267" s="24"/>
      <c r="L267" s="24">
        <f t="shared" si="8"/>
        <v>591.7244401</v>
      </c>
      <c r="M267" s="30">
        <f t="shared" si="9"/>
        <v>436.1894585</v>
      </c>
      <c r="N267" s="27">
        <f t="shared" si="10"/>
        <v>155.5349816</v>
      </c>
      <c r="O267" s="24"/>
      <c r="P267" s="24"/>
      <c r="Q267" s="24"/>
      <c r="R267" s="26"/>
      <c r="S267" s="14">
        <f t="shared" si="13"/>
        <v>142.8271721</v>
      </c>
      <c r="U267" s="21"/>
      <c r="V267" s="21"/>
    </row>
    <row r="268">
      <c r="A268" s="11">
        <v>256.0</v>
      </c>
      <c r="B268" s="11">
        <v>1.42050869565217E9</v>
      </c>
      <c r="C268" s="2">
        <v>-101.0326385</v>
      </c>
      <c r="D268" s="24">
        <f t="shared" si="1"/>
        <v>108695.6522</v>
      </c>
      <c r="E268" s="25">
        <f t="shared" si="2"/>
        <v>-23.87569944</v>
      </c>
      <c r="F268" s="24">
        <f t="shared" si="3"/>
        <v>0.0002196564348</v>
      </c>
      <c r="G268" s="24">
        <f t="shared" si="4"/>
        <v>0</v>
      </c>
      <c r="H268" s="26">
        <f t="shared" si="5"/>
        <v>0</v>
      </c>
      <c r="I268" s="24">
        <f t="shared" si="6"/>
        <v>0</v>
      </c>
      <c r="J268" s="24">
        <f t="shared" si="7"/>
        <v>0</v>
      </c>
      <c r="K268" s="24"/>
      <c r="L268" s="24">
        <f t="shared" si="8"/>
        <v>599.573345</v>
      </c>
      <c r="M268" s="30">
        <f t="shared" si="9"/>
        <v>436.0831734</v>
      </c>
      <c r="N268" s="27">
        <f t="shared" si="10"/>
        <v>163.4901717</v>
      </c>
      <c r="O268" s="24"/>
      <c r="P268" s="24"/>
      <c r="Q268" s="24"/>
      <c r="R268" s="26"/>
      <c r="S268" s="14">
        <f t="shared" si="13"/>
        <v>150.132392</v>
      </c>
      <c r="U268" s="21"/>
      <c r="V268" s="21"/>
    </row>
    <row r="269">
      <c r="A269" s="11">
        <v>257.0</v>
      </c>
      <c r="B269" s="11">
        <v>1.42051304347826E9</v>
      </c>
      <c r="C269" s="2">
        <v>-100.9528656</v>
      </c>
      <c r="D269" s="24">
        <f t="shared" si="1"/>
        <v>113043.4783</v>
      </c>
      <c r="E269" s="25">
        <f t="shared" si="2"/>
        <v>-24.79399557</v>
      </c>
      <c r="F269" s="24">
        <f t="shared" si="3"/>
        <v>0.0002193314992</v>
      </c>
      <c r="G269" s="24">
        <f t="shared" si="4"/>
        <v>0</v>
      </c>
      <c r="H269" s="26">
        <f t="shared" si="5"/>
        <v>0</v>
      </c>
      <c r="I269" s="24">
        <f t="shared" si="6"/>
        <v>0</v>
      </c>
      <c r="J269" s="24">
        <f t="shared" si="7"/>
        <v>0</v>
      </c>
      <c r="K269" s="24"/>
      <c r="L269" s="24">
        <f t="shared" si="8"/>
        <v>610.688311</v>
      </c>
      <c r="M269" s="30">
        <f t="shared" si="9"/>
        <v>435.9767058</v>
      </c>
      <c r="N269" s="27">
        <f t="shared" si="10"/>
        <v>174.7116052</v>
      </c>
      <c r="O269" s="24"/>
      <c r="P269" s="24"/>
      <c r="Q269" s="24"/>
      <c r="R269" s="26"/>
      <c r="S269" s="14">
        <f t="shared" si="13"/>
        <v>160.4369914</v>
      </c>
      <c r="U269" s="21"/>
      <c r="V269" s="21"/>
    </row>
    <row r="270">
      <c r="A270" s="11">
        <v>258.0</v>
      </c>
      <c r="B270" s="11">
        <v>1.42051739130434E9</v>
      </c>
      <c r="C270" s="2">
        <v>-100.9034119</v>
      </c>
      <c r="D270" s="24">
        <f t="shared" si="1"/>
        <v>117391.3043</v>
      </c>
      <c r="E270" s="25">
        <f t="shared" si="2"/>
        <v>-25.7122917</v>
      </c>
      <c r="F270" s="24">
        <f t="shared" si="3"/>
        <v>0.000219030633</v>
      </c>
      <c r="G270" s="24">
        <f t="shared" si="4"/>
        <v>0</v>
      </c>
      <c r="H270" s="26">
        <f t="shared" si="5"/>
        <v>0</v>
      </c>
      <c r="I270" s="24">
        <f t="shared" si="6"/>
        <v>0</v>
      </c>
      <c r="J270" s="24">
        <f t="shared" si="7"/>
        <v>0</v>
      </c>
      <c r="K270" s="24"/>
      <c r="L270" s="24">
        <f t="shared" si="8"/>
        <v>617.6820451</v>
      </c>
      <c r="M270" s="30">
        <f t="shared" si="9"/>
        <v>435.8700566</v>
      </c>
      <c r="N270" s="27">
        <f t="shared" si="10"/>
        <v>181.8119885</v>
      </c>
      <c r="O270" s="24"/>
      <c r="P270" s="24"/>
      <c r="Q270" s="24"/>
      <c r="R270" s="26"/>
      <c r="S270" s="14">
        <f t="shared" si="13"/>
        <v>166.9572459</v>
      </c>
      <c r="U270" s="21"/>
      <c r="V270" s="21"/>
    </row>
    <row r="271">
      <c r="A271" s="11">
        <v>259.0</v>
      </c>
      <c r="B271" s="11">
        <v>1.42052173913043E9</v>
      </c>
      <c r="C271" s="2">
        <v>-100.8920593</v>
      </c>
      <c r="D271" s="24">
        <f t="shared" si="1"/>
        <v>121739.1304</v>
      </c>
      <c r="E271" s="25">
        <f t="shared" si="2"/>
        <v>-26.63058783</v>
      </c>
      <c r="F271" s="24">
        <f t="shared" si="3"/>
        <v>0.0002187512572</v>
      </c>
      <c r="G271" s="24">
        <f t="shared" si="4"/>
        <v>0</v>
      </c>
      <c r="H271" s="26">
        <f t="shared" si="5"/>
        <v>0</v>
      </c>
      <c r="I271" s="24">
        <f t="shared" si="6"/>
        <v>0</v>
      </c>
      <c r="J271" s="24">
        <f t="shared" si="7"/>
        <v>0</v>
      </c>
      <c r="K271" s="24"/>
      <c r="L271" s="24">
        <f t="shared" si="8"/>
        <v>619.2987984</v>
      </c>
      <c r="M271" s="30">
        <f t="shared" si="9"/>
        <v>435.7632267</v>
      </c>
      <c r="N271" s="27">
        <f t="shared" si="10"/>
        <v>183.5355717</v>
      </c>
      <c r="O271" s="24"/>
      <c r="P271" s="24"/>
      <c r="Q271" s="24"/>
      <c r="R271" s="26"/>
      <c r="S271" s="14">
        <f t="shared" si="13"/>
        <v>168.5400054</v>
      </c>
      <c r="U271" s="21"/>
      <c r="V271" s="21"/>
    </row>
    <row r="272">
      <c r="A272" s="11">
        <v>260.0</v>
      </c>
      <c r="B272" s="11">
        <v>1.42052608695652E9</v>
      </c>
      <c r="C272" s="2">
        <v>-100.964859</v>
      </c>
      <c r="D272" s="24">
        <f t="shared" si="1"/>
        <v>126086.9565</v>
      </c>
      <c r="E272" s="25">
        <f t="shared" si="2"/>
        <v>-27.54888396</v>
      </c>
      <c r="F272" s="24">
        <f t="shared" si="3"/>
        <v>0.0002184911487</v>
      </c>
      <c r="G272" s="24">
        <f t="shared" si="4"/>
        <v>0</v>
      </c>
      <c r="H272" s="26">
        <f t="shared" si="5"/>
        <v>0</v>
      </c>
      <c r="I272" s="24">
        <f t="shared" si="6"/>
        <v>0</v>
      </c>
      <c r="J272" s="24">
        <f t="shared" si="7"/>
        <v>0</v>
      </c>
      <c r="K272" s="24"/>
      <c r="L272" s="24">
        <f t="shared" si="8"/>
        <v>609.0041714</v>
      </c>
      <c r="M272" s="30">
        <f t="shared" si="9"/>
        <v>435.6562167</v>
      </c>
      <c r="N272" s="27">
        <f t="shared" si="10"/>
        <v>173.3479547</v>
      </c>
      <c r="O272" s="24"/>
      <c r="P272" s="24"/>
      <c r="Q272" s="24"/>
      <c r="R272" s="26"/>
      <c r="S272" s="14">
        <f t="shared" si="13"/>
        <v>159.1847565</v>
      </c>
      <c r="U272" s="21"/>
      <c r="V272" s="21"/>
    </row>
    <row r="273">
      <c r="A273" s="11">
        <v>261.0</v>
      </c>
      <c r="B273" s="11">
        <v>1.4205304347826E9</v>
      </c>
      <c r="C273" s="2">
        <v>-100.9820633</v>
      </c>
      <c r="D273" s="24">
        <f t="shared" si="1"/>
        <v>130434.7826</v>
      </c>
      <c r="E273" s="25">
        <f t="shared" si="2"/>
        <v>-28.4671801</v>
      </c>
      <c r="F273" s="24">
        <f t="shared" si="3"/>
        <v>0.0002182483807</v>
      </c>
      <c r="G273" s="24">
        <f t="shared" si="4"/>
        <v>0</v>
      </c>
      <c r="H273" s="26">
        <f t="shared" si="5"/>
        <v>0</v>
      </c>
      <c r="I273" s="24">
        <f t="shared" si="6"/>
        <v>0</v>
      </c>
      <c r="J273" s="24">
        <f t="shared" si="7"/>
        <v>0</v>
      </c>
      <c r="K273" s="24"/>
      <c r="L273" s="24">
        <f t="shared" si="8"/>
        <v>606.5964123</v>
      </c>
      <c r="M273" s="30">
        <f t="shared" si="9"/>
        <v>435.5490275</v>
      </c>
      <c r="N273" s="27">
        <f t="shared" si="10"/>
        <v>171.0473848</v>
      </c>
      <c r="O273" s="24"/>
      <c r="P273" s="24"/>
      <c r="Q273" s="24"/>
      <c r="R273" s="26"/>
      <c r="S273" s="14">
        <f t="shared" si="13"/>
        <v>157.072152</v>
      </c>
      <c r="U273" s="21"/>
      <c r="V273" s="21"/>
    </row>
    <row r="274">
      <c r="A274" s="11">
        <v>262.0</v>
      </c>
      <c r="B274" s="11">
        <v>1.42053478260869E9</v>
      </c>
      <c r="C274" s="2">
        <v>-100.9540787</v>
      </c>
      <c r="D274" s="24">
        <f t="shared" si="1"/>
        <v>134782.6087</v>
      </c>
      <c r="E274" s="25">
        <f t="shared" si="2"/>
        <v>-29.38547623</v>
      </c>
      <c r="F274" s="24">
        <f t="shared" si="3"/>
        <v>0.0002180212752</v>
      </c>
      <c r="G274" s="24">
        <f t="shared" si="4"/>
        <v>0</v>
      </c>
      <c r="H274" s="26">
        <f t="shared" si="5"/>
        <v>0</v>
      </c>
      <c r="I274" s="24">
        <f t="shared" si="6"/>
        <v>0</v>
      </c>
      <c r="J274" s="24">
        <f t="shared" si="7"/>
        <v>0</v>
      </c>
      <c r="K274" s="24"/>
      <c r="L274" s="24">
        <f t="shared" si="8"/>
        <v>610.5177533</v>
      </c>
      <c r="M274" s="30">
        <f t="shared" si="9"/>
        <v>435.4416599</v>
      </c>
      <c r="N274" s="27">
        <f t="shared" si="10"/>
        <v>175.0760934</v>
      </c>
      <c r="O274" s="24"/>
      <c r="P274" s="24"/>
      <c r="Q274" s="24"/>
      <c r="R274" s="26"/>
      <c r="S274" s="14">
        <f t="shared" si="13"/>
        <v>160.7716995</v>
      </c>
      <c r="U274" s="21"/>
      <c r="V274" s="21"/>
    </row>
    <row r="275">
      <c r="A275" s="11">
        <v>263.0</v>
      </c>
      <c r="B275" s="11">
        <v>1.42053913043478E9</v>
      </c>
      <c r="C275" s="2">
        <v>-101.0894699</v>
      </c>
      <c r="D275" s="24">
        <f t="shared" si="1"/>
        <v>139130.4348</v>
      </c>
      <c r="E275" s="25">
        <f t="shared" si="2"/>
        <v>-30.30377236</v>
      </c>
      <c r="F275" s="24">
        <f t="shared" si="3"/>
        <v>0.0002178083638</v>
      </c>
      <c r="G275" s="24">
        <f t="shared" si="4"/>
        <v>0</v>
      </c>
      <c r="H275" s="26">
        <f t="shared" si="5"/>
        <v>0</v>
      </c>
      <c r="I275" s="24">
        <f t="shared" si="6"/>
        <v>0</v>
      </c>
      <c r="J275" s="24">
        <f t="shared" si="7"/>
        <v>0</v>
      </c>
      <c r="K275" s="24"/>
      <c r="L275" s="24">
        <f t="shared" si="8"/>
        <v>591.7784928</v>
      </c>
      <c r="M275" s="30">
        <f t="shared" si="9"/>
        <v>435.3341148</v>
      </c>
      <c r="N275" s="27">
        <f t="shared" si="10"/>
        <v>156.444378</v>
      </c>
      <c r="O275" s="24"/>
      <c r="P275" s="24"/>
      <c r="Q275" s="24"/>
      <c r="R275" s="26"/>
      <c r="S275" s="14">
        <f t="shared" si="13"/>
        <v>143.662267</v>
      </c>
      <c r="U275" s="21"/>
      <c r="V275" s="21"/>
    </row>
    <row r="276">
      <c r="A276" s="11">
        <v>264.0</v>
      </c>
      <c r="B276" s="11">
        <v>1.42054347826087E9</v>
      </c>
      <c r="C276" s="2">
        <v>-101.2021332</v>
      </c>
      <c r="D276" s="24">
        <f t="shared" si="1"/>
        <v>143478.2609</v>
      </c>
      <c r="E276" s="25">
        <f t="shared" si="2"/>
        <v>-31.22206849</v>
      </c>
      <c r="F276" s="24">
        <f t="shared" si="3"/>
        <v>0.0002176083562</v>
      </c>
      <c r="G276" s="24">
        <f t="shared" si="4"/>
        <v>0</v>
      </c>
      <c r="H276" s="26">
        <f t="shared" si="5"/>
        <v>0</v>
      </c>
      <c r="I276" s="24">
        <f t="shared" si="6"/>
        <v>0</v>
      </c>
      <c r="J276" s="24">
        <f t="shared" si="7"/>
        <v>0</v>
      </c>
      <c r="K276" s="24"/>
      <c r="L276" s="24">
        <f t="shared" si="8"/>
        <v>576.6241765</v>
      </c>
      <c r="M276" s="30">
        <f t="shared" si="9"/>
        <v>435.2263928</v>
      </c>
      <c r="N276" s="27">
        <f t="shared" si="10"/>
        <v>141.3977837</v>
      </c>
      <c r="O276" s="24"/>
      <c r="P276" s="24"/>
      <c r="Q276" s="24"/>
      <c r="R276" s="26"/>
      <c r="S276" s="14">
        <f t="shared" si="13"/>
        <v>129.8450379</v>
      </c>
      <c r="U276" s="21"/>
      <c r="V276" s="21"/>
    </row>
    <row r="277">
      <c r="A277" s="11">
        <v>265.0</v>
      </c>
      <c r="B277" s="11">
        <v>1.42054782608695E9</v>
      </c>
      <c r="C277" s="2">
        <v>-101.2926025</v>
      </c>
      <c r="D277" s="24">
        <f t="shared" si="1"/>
        <v>147826.087</v>
      </c>
      <c r="E277" s="25">
        <f t="shared" si="2"/>
        <v>-32.14036462</v>
      </c>
      <c r="F277" s="24">
        <f t="shared" si="3"/>
        <v>0.0002174201136</v>
      </c>
      <c r="G277" s="24">
        <f t="shared" si="4"/>
        <v>0</v>
      </c>
      <c r="H277" s="26">
        <f t="shared" si="5"/>
        <v>0</v>
      </c>
      <c r="I277" s="24">
        <f t="shared" si="6"/>
        <v>0</v>
      </c>
      <c r="J277" s="24">
        <f t="shared" si="7"/>
        <v>0</v>
      </c>
      <c r="K277" s="24"/>
      <c r="L277" s="24">
        <f t="shared" si="8"/>
        <v>564.7365773</v>
      </c>
      <c r="M277" s="30">
        <f t="shared" si="9"/>
        <v>435.1184949</v>
      </c>
      <c r="N277" s="27">
        <f t="shared" si="10"/>
        <v>129.6180825</v>
      </c>
      <c r="O277" s="24"/>
      <c r="P277" s="24"/>
      <c r="Q277" s="24"/>
      <c r="R277" s="26"/>
      <c r="S277" s="14">
        <f t="shared" si="13"/>
        <v>119.0277839</v>
      </c>
      <c r="U277" s="21"/>
      <c r="V277" s="21"/>
    </row>
    <row r="278">
      <c r="A278" s="11">
        <v>266.0</v>
      </c>
      <c r="B278" s="11">
        <v>1.42055217391304E9</v>
      </c>
      <c r="C278" s="2">
        <v>-101.433754</v>
      </c>
      <c r="D278" s="24">
        <f t="shared" si="1"/>
        <v>152173.913</v>
      </c>
      <c r="E278" s="25">
        <f t="shared" si="2"/>
        <v>-33.05866076</v>
      </c>
      <c r="F278" s="24">
        <f t="shared" si="3"/>
        <v>0.0002172426278</v>
      </c>
      <c r="G278" s="24">
        <f t="shared" si="4"/>
        <v>0</v>
      </c>
      <c r="H278" s="26">
        <f t="shared" si="5"/>
        <v>0</v>
      </c>
      <c r="I278" s="24">
        <f t="shared" si="6"/>
        <v>0</v>
      </c>
      <c r="J278" s="24">
        <f t="shared" si="7"/>
        <v>0</v>
      </c>
      <c r="K278" s="24"/>
      <c r="L278" s="24">
        <f t="shared" si="8"/>
        <v>546.6769558</v>
      </c>
      <c r="M278" s="30">
        <f t="shared" si="9"/>
        <v>435.0104217</v>
      </c>
      <c r="N278" s="27">
        <f t="shared" si="10"/>
        <v>111.6665341</v>
      </c>
      <c r="O278" s="24"/>
      <c r="P278" s="24"/>
      <c r="Q278" s="24"/>
      <c r="R278" s="26"/>
      <c r="S278" s="14">
        <f t="shared" si="13"/>
        <v>102.5429462</v>
      </c>
      <c r="U278" s="21"/>
      <c r="V278" s="21"/>
    </row>
    <row r="279">
      <c r="A279" s="11">
        <v>267.0</v>
      </c>
      <c r="B279" s="11">
        <v>1.42055652173913E9</v>
      </c>
      <c r="C279" s="2">
        <v>-101.6349792</v>
      </c>
      <c r="D279" s="24">
        <f t="shared" si="1"/>
        <v>156521.7391</v>
      </c>
      <c r="E279" s="25">
        <f t="shared" si="2"/>
        <v>-33.97695689</v>
      </c>
      <c r="F279" s="24">
        <f t="shared" si="3"/>
        <v>0.0002170750023</v>
      </c>
      <c r="G279" s="24">
        <f t="shared" si="4"/>
        <v>0</v>
      </c>
      <c r="H279" s="26">
        <f t="shared" si="5"/>
        <v>0</v>
      </c>
      <c r="I279" s="24">
        <f t="shared" si="6"/>
        <v>0</v>
      </c>
      <c r="J279" s="24">
        <f t="shared" si="7"/>
        <v>0</v>
      </c>
      <c r="K279" s="24"/>
      <c r="L279" s="24">
        <f t="shared" si="8"/>
        <v>521.9251773</v>
      </c>
      <c r="M279" s="30">
        <f t="shared" si="9"/>
        <v>434.9021742</v>
      </c>
      <c r="N279" s="27">
        <f t="shared" si="10"/>
        <v>87.02300303</v>
      </c>
      <c r="O279" s="24"/>
      <c r="P279" s="24"/>
      <c r="Q279" s="24"/>
      <c r="R279" s="26"/>
      <c r="S279" s="14">
        <f t="shared" si="13"/>
        <v>79.91288715</v>
      </c>
      <c r="U279" s="21"/>
      <c r="V279" s="21"/>
    </row>
    <row r="280">
      <c r="A280" s="11">
        <v>268.0</v>
      </c>
      <c r="B280" s="11">
        <v>1.42056086956521E9</v>
      </c>
      <c r="C280" s="2">
        <v>-101.6938782</v>
      </c>
      <c r="D280" s="24">
        <f t="shared" si="1"/>
        <v>160869.5652</v>
      </c>
      <c r="E280" s="25">
        <f t="shared" si="2"/>
        <v>-34.89525302</v>
      </c>
      <c r="F280" s="24">
        <f t="shared" si="3"/>
        <v>0.0002169164377</v>
      </c>
      <c r="G280" s="24">
        <f t="shared" si="4"/>
        <v>0</v>
      </c>
      <c r="H280" s="26">
        <f t="shared" si="5"/>
        <v>0</v>
      </c>
      <c r="I280" s="24">
        <f t="shared" si="6"/>
        <v>0</v>
      </c>
      <c r="J280" s="24">
        <f t="shared" si="7"/>
        <v>0</v>
      </c>
      <c r="K280" s="24"/>
      <c r="L280" s="24">
        <f t="shared" si="8"/>
        <v>514.8946121</v>
      </c>
      <c r="M280" s="30">
        <f t="shared" si="9"/>
        <v>434.7937531</v>
      </c>
      <c r="N280" s="27">
        <f t="shared" si="10"/>
        <v>80.10085899</v>
      </c>
      <c r="O280" s="24"/>
      <c r="P280" s="24"/>
      <c r="Q280" s="24"/>
      <c r="R280" s="26"/>
      <c r="S280" s="14">
        <f t="shared" si="13"/>
        <v>73.55630905</v>
      </c>
      <c r="U280" s="21"/>
      <c r="V280" s="21"/>
    </row>
    <row r="281">
      <c r="A281" s="11">
        <v>269.0</v>
      </c>
      <c r="B281" s="11">
        <v>1.4205652173913E9</v>
      </c>
      <c r="C281" s="2">
        <v>-101.7617874</v>
      </c>
      <c r="D281" s="24">
        <f t="shared" si="1"/>
        <v>165217.3913</v>
      </c>
      <c r="E281" s="25">
        <f t="shared" si="2"/>
        <v>-35.81354915</v>
      </c>
      <c r="F281" s="24">
        <f t="shared" si="3"/>
        <v>0.0002167662186</v>
      </c>
      <c r="G281" s="24">
        <f t="shared" si="4"/>
        <v>0</v>
      </c>
      <c r="H281" s="26">
        <f t="shared" si="5"/>
        <v>0</v>
      </c>
      <c r="I281" s="24">
        <f t="shared" si="6"/>
        <v>0</v>
      </c>
      <c r="J281" s="24">
        <f t="shared" si="7"/>
        <v>0</v>
      </c>
      <c r="K281" s="24"/>
      <c r="L281" s="24">
        <f t="shared" si="8"/>
        <v>506.9059949</v>
      </c>
      <c r="M281" s="30">
        <f t="shared" si="9"/>
        <v>434.6851593</v>
      </c>
      <c r="N281" s="27">
        <f t="shared" si="10"/>
        <v>72.22083558</v>
      </c>
      <c r="O281" s="24"/>
      <c r="P281" s="24"/>
      <c r="Q281" s="24"/>
      <c r="R281" s="26"/>
      <c r="S281" s="14">
        <f t="shared" si="13"/>
        <v>66.32011387</v>
      </c>
      <c r="U281" s="21"/>
      <c r="V281" s="21"/>
    </row>
    <row r="282">
      <c r="A282" s="11">
        <v>270.0</v>
      </c>
      <c r="B282" s="11">
        <v>1.42056956521739E9</v>
      </c>
      <c r="C282" s="2">
        <v>-101.9145279</v>
      </c>
      <c r="D282" s="24">
        <f t="shared" si="1"/>
        <v>169565.2174</v>
      </c>
      <c r="E282" s="25">
        <f t="shared" si="2"/>
        <v>-36.73184528</v>
      </c>
      <c r="F282" s="24">
        <f t="shared" si="3"/>
        <v>0.000216623703</v>
      </c>
      <c r="G282" s="24">
        <f t="shared" si="4"/>
        <v>0</v>
      </c>
      <c r="H282" s="26">
        <f t="shared" si="5"/>
        <v>0</v>
      </c>
      <c r="I282" s="24">
        <f t="shared" si="6"/>
        <v>0</v>
      </c>
      <c r="J282" s="24">
        <f t="shared" si="7"/>
        <v>0</v>
      </c>
      <c r="K282" s="24"/>
      <c r="L282" s="24">
        <f t="shared" si="8"/>
        <v>489.3880691</v>
      </c>
      <c r="M282" s="30">
        <f t="shared" si="9"/>
        <v>434.5763934</v>
      </c>
      <c r="N282" s="27">
        <f t="shared" si="10"/>
        <v>54.81167565</v>
      </c>
      <c r="O282" s="24"/>
      <c r="P282" s="24"/>
      <c r="Q282" s="24"/>
      <c r="R282" s="26"/>
      <c r="S282" s="14">
        <f t="shared" si="13"/>
        <v>50.33334978</v>
      </c>
      <c r="U282" s="21"/>
      <c r="V282" s="21"/>
    </row>
    <row r="283">
      <c r="A283" s="11">
        <v>271.0</v>
      </c>
      <c r="B283" s="11">
        <v>1.42057391304347E9</v>
      </c>
      <c r="C283" s="2">
        <v>-101.9703979</v>
      </c>
      <c r="D283" s="24">
        <f t="shared" si="1"/>
        <v>173913.0435</v>
      </c>
      <c r="E283" s="25">
        <f t="shared" si="2"/>
        <v>-37.65014142</v>
      </c>
      <c r="F283" s="24">
        <f t="shared" si="3"/>
        <v>0.0002164883132</v>
      </c>
      <c r="G283" s="24">
        <f t="shared" si="4"/>
        <v>0</v>
      </c>
      <c r="H283" s="26">
        <f t="shared" si="5"/>
        <v>0</v>
      </c>
      <c r="I283" s="24">
        <f t="shared" si="6"/>
        <v>0</v>
      </c>
      <c r="J283" s="24">
        <f t="shared" si="7"/>
        <v>0</v>
      </c>
      <c r="K283" s="24"/>
      <c r="L283" s="24">
        <f t="shared" si="8"/>
        <v>483.1326382</v>
      </c>
      <c r="M283" s="30">
        <f t="shared" si="9"/>
        <v>434.4674564</v>
      </c>
      <c r="N283" s="27">
        <f t="shared" si="10"/>
        <v>48.66518173</v>
      </c>
      <c r="O283" s="24"/>
      <c r="P283" s="24"/>
      <c r="Q283" s="24"/>
      <c r="R283" s="26"/>
      <c r="S283" s="14">
        <f t="shared" si="13"/>
        <v>44.68904819</v>
      </c>
      <c r="U283" s="21"/>
      <c r="V283" s="21"/>
    </row>
    <row r="284">
      <c r="A284" s="11">
        <v>272.0</v>
      </c>
      <c r="B284" s="11">
        <v>1.42057826086956E9</v>
      </c>
      <c r="C284" s="2">
        <v>-102.0368118</v>
      </c>
      <c r="D284" s="24">
        <f t="shared" si="1"/>
        <v>178260.8696</v>
      </c>
      <c r="E284" s="25">
        <f t="shared" si="2"/>
        <v>-38.56843755</v>
      </c>
      <c r="F284" s="24">
        <f t="shared" si="3"/>
        <v>0.0002163595277</v>
      </c>
      <c r="G284" s="24">
        <f t="shared" si="4"/>
        <v>0</v>
      </c>
      <c r="H284" s="26">
        <f t="shared" si="5"/>
        <v>0</v>
      </c>
      <c r="I284" s="24">
        <f t="shared" si="6"/>
        <v>0</v>
      </c>
      <c r="J284" s="24">
        <f t="shared" si="7"/>
        <v>0</v>
      </c>
      <c r="K284" s="24"/>
      <c r="L284" s="24">
        <f t="shared" si="8"/>
        <v>475.8006022</v>
      </c>
      <c r="M284" s="30">
        <f t="shared" si="9"/>
        <v>434.3583491</v>
      </c>
      <c r="N284" s="27">
        <f t="shared" si="10"/>
        <v>41.44225312</v>
      </c>
      <c r="O284" s="24"/>
      <c r="P284" s="24"/>
      <c r="Q284" s="24"/>
      <c r="R284" s="26"/>
      <c r="S284" s="14">
        <f t="shared" si="13"/>
        <v>38.05626069</v>
      </c>
      <c r="U284" s="21"/>
      <c r="V284" s="21"/>
    </row>
    <row r="285">
      <c r="A285" s="11">
        <v>273.0</v>
      </c>
      <c r="B285" s="11">
        <v>1.42058260869565E9</v>
      </c>
      <c r="C285" s="2">
        <v>-102.1402588</v>
      </c>
      <c r="D285" s="24">
        <f t="shared" si="1"/>
        <v>182608.6957</v>
      </c>
      <c r="E285" s="25">
        <f t="shared" si="2"/>
        <v>-39.48673368</v>
      </c>
      <c r="F285" s="24">
        <f t="shared" si="3"/>
        <v>0.0002162368749</v>
      </c>
      <c r="G285" s="24">
        <f t="shared" si="4"/>
        <v>0</v>
      </c>
      <c r="H285" s="26">
        <f t="shared" si="5"/>
        <v>0</v>
      </c>
      <c r="I285" s="24">
        <f t="shared" si="6"/>
        <v>0</v>
      </c>
      <c r="J285" s="24">
        <f t="shared" si="7"/>
        <v>0</v>
      </c>
      <c r="K285" s="24"/>
      <c r="L285" s="24">
        <f t="shared" si="8"/>
        <v>464.6011574</v>
      </c>
      <c r="M285" s="30">
        <f t="shared" si="9"/>
        <v>434.2490722</v>
      </c>
      <c r="N285" s="27">
        <f t="shared" si="10"/>
        <v>30.35208524</v>
      </c>
      <c r="O285" s="24"/>
      <c r="P285" s="24"/>
      <c r="Q285" s="24"/>
      <c r="R285" s="26"/>
      <c r="S285" s="14">
        <f t="shared" si="13"/>
        <v>27.8722025</v>
      </c>
      <c r="U285" s="21"/>
      <c r="V285" s="21"/>
    </row>
    <row r="286">
      <c r="A286" s="11">
        <v>274.0</v>
      </c>
      <c r="B286" s="11">
        <v>1.42058695652173E9</v>
      </c>
      <c r="C286" s="2">
        <v>-102.1344681</v>
      </c>
      <c r="D286" s="24">
        <f t="shared" si="1"/>
        <v>186956.5217</v>
      </c>
      <c r="E286" s="25">
        <f t="shared" si="2"/>
        <v>-40.40502981</v>
      </c>
      <c r="F286" s="24">
        <f t="shared" si="3"/>
        <v>0.0002161199269</v>
      </c>
      <c r="G286" s="24">
        <f t="shared" si="4"/>
        <v>0</v>
      </c>
      <c r="H286" s="26">
        <f t="shared" si="5"/>
        <v>0</v>
      </c>
      <c r="I286" s="24">
        <f t="shared" si="6"/>
        <v>0</v>
      </c>
      <c r="J286" s="24">
        <f t="shared" si="7"/>
        <v>0</v>
      </c>
      <c r="K286" s="24"/>
      <c r="L286" s="24">
        <f t="shared" si="8"/>
        <v>465.2210502</v>
      </c>
      <c r="M286" s="30">
        <f t="shared" si="9"/>
        <v>434.1396265</v>
      </c>
      <c r="N286" s="27">
        <f t="shared" si="10"/>
        <v>31.08142374</v>
      </c>
      <c r="O286" s="24"/>
      <c r="P286" s="24"/>
      <c r="Q286" s="24"/>
      <c r="R286" s="26"/>
      <c r="S286" s="14">
        <f t="shared" si="13"/>
        <v>28.54195122</v>
      </c>
      <c r="U286" s="21"/>
      <c r="V286" s="21"/>
    </row>
    <row r="287">
      <c r="A287" s="11">
        <v>275.0</v>
      </c>
      <c r="B287" s="11">
        <v>1.42059130434782E9</v>
      </c>
      <c r="C287" s="2">
        <v>-102.1981354</v>
      </c>
      <c r="D287" s="24">
        <f t="shared" si="1"/>
        <v>191304.3478</v>
      </c>
      <c r="E287" s="25">
        <f t="shared" si="2"/>
        <v>-41.32332595</v>
      </c>
      <c r="F287" s="24">
        <f t="shared" si="3"/>
        <v>0.0002160082947</v>
      </c>
      <c r="G287" s="24">
        <f t="shared" si="4"/>
        <v>0</v>
      </c>
      <c r="H287" s="26">
        <f t="shared" si="5"/>
        <v>0</v>
      </c>
      <c r="I287" s="24">
        <f t="shared" si="6"/>
        <v>0</v>
      </c>
      <c r="J287" s="24">
        <f t="shared" si="7"/>
        <v>0</v>
      </c>
      <c r="K287" s="24"/>
      <c r="L287" s="24">
        <f t="shared" si="8"/>
        <v>458.4506865</v>
      </c>
      <c r="M287" s="30">
        <f t="shared" si="9"/>
        <v>434.0300129</v>
      </c>
      <c r="N287" s="27">
        <f t="shared" si="10"/>
        <v>24.42067362</v>
      </c>
      <c r="O287" s="24"/>
      <c r="P287" s="24"/>
      <c r="Q287" s="24"/>
      <c r="R287" s="26"/>
      <c r="S287" s="14">
        <f t="shared" si="13"/>
        <v>22.42541015</v>
      </c>
      <c r="U287" s="21"/>
      <c r="V287" s="21"/>
    </row>
    <row r="288">
      <c r="A288" s="11">
        <v>276.0</v>
      </c>
      <c r="B288" s="11">
        <v>1.42059565217391E9</v>
      </c>
      <c r="C288" s="2">
        <v>-102.1834564</v>
      </c>
      <c r="D288" s="24">
        <f t="shared" si="1"/>
        <v>195652.1739</v>
      </c>
      <c r="E288" s="25">
        <f t="shared" si="2"/>
        <v>-42.24162208</v>
      </c>
      <c r="F288" s="24">
        <f t="shared" si="3"/>
        <v>0.000215901624</v>
      </c>
      <c r="G288" s="24">
        <f t="shared" si="4"/>
        <v>0</v>
      </c>
      <c r="H288" s="26">
        <f t="shared" si="5"/>
        <v>0</v>
      </c>
      <c r="I288" s="24">
        <f t="shared" si="6"/>
        <v>0</v>
      </c>
      <c r="J288" s="24">
        <f t="shared" si="7"/>
        <v>0</v>
      </c>
      <c r="K288" s="24"/>
      <c r="L288" s="24">
        <f t="shared" si="8"/>
        <v>460.0028553</v>
      </c>
      <c r="M288" s="30">
        <f t="shared" si="9"/>
        <v>433.9202321</v>
      </c>
      <c r="N288" s="27">
        <f t="shared" si="10"/>
        <v>26.08262318</v>
      </c>
      <c r="O288" s="24"/>
      <c r="P288" s="24"/>
      <c r="Q288" s="24"/>
      <c r="R288" s="26"/>
      <c r="S288" s="14">
        <f t="shared" si="13"/>
        <v>23.95157194</v>
      </c>
      <c r="U288" s="21"/>
      <c r="V288" s="21"/>
    </row>
    <row r="289">
      <c r="A289" s="11">
        <v>277.0</v>
      </c>
      <c r="B289" s="11">
        <v>1.4206E9</v>
      </c>
      <c r="C289" s="2">
        <v>-102.2488556</v>
      </c>
      <c r="D289" s="24">
        <f t="shared" si="1"/>
        <v>200000</v>
      </c>
      <c r="E289" s="25">
        <f t="shared" si="2"/>
        <v>-43.15991821</v>
      </c>
      <c r="F289" s="24">
        <f t="shared" si="3"/>
        <v>0.000215799591</v>
      </c>
      <c r="G289" s="24">
        <f t="shared" si="4"/>
        <v>0</v>
      </c>
      <c r="H289" s="26">
        <f t="shared" si="5"/>
        <v>0</v>
      </c>
      <c r="I289" s="24">
        <f t="shared" si="6"/>
        <v>0</v>
      </c>
      <c r="J289" s="24">
        <f t="shared" si="7"/>
        <v>0</v>
      </c>
      <c r="K289" s="24"/>
      <c r="L289" s="24">
        <f t="shared" si="8"/>
        <v>453.1276955</v>
      </c>
      <c r="M289" s="30">
        <f t="shared" si="9"/>
        <v>433.810285</v>
      </c>
      <c r="N289" s="27">
        <f t="shared" si="10"/>
        <v>19.31741053</v>
      </c>
      <c r="O289" s="24"/>
      <c r="P289" s="24"/>
      <c r="Q289" s="24"/>
      <c r="R289" s="26"/>
      <c r="S289" s="14">
        <f t="shared" si="13"/>
        <v>17.73910338</v>
      </c>
      <c r="U289" s="21"/>
      <c r="V289" s="21"/>
    </row>
    <row r="290">
      <c r="A290" s="11">
        <v>278.0</v>
      </c>
      <c r="B290" s="11">
        <v>1.42060434782608E9</v>
      </c>
      <c r="C290" s="2">
        <v>-102.2255936</v>
      </c>
      <c r="D290" s="24">
        <f t="shared" si="1"/>
        <v>204347.8261</v>
      </c>
      <c r="E290" s="25">
        <f t="shared" si="2"/>
        <v>-44.07821434</v>
      </c>
      <c r="F290" s="24">
        <f t="shared" si="3"/>
        <v>0.0002157019</v>
      </c>
      <c r="G290" s="24">
        <f t="shared" si="4"/>
        <v>0</v>
      </c>
      <c r="H290" s="26">
        <f t="shared" si="5"/>
        <v>0</v>
      </c>
      <c r="I290" s="24">
        <f t="shared" si="6"/>
        <v>0</v>
      </c>
      <c r="J290" s="24">
        <f t="shared" si="7"/>
        <v>0</v>
      </c>
      <c r="K290" s="24"/>
      <c r="L290" s="24">
        <f t="shared" si="8"/>
        <v>455.561283</v>
      </c>
      <c r="M290" s="30">
        <f t="shared" si="9"/>
        <v>433.7001723</v>
      </c>
      <c r="N290" s="27">
        <f t="shared" si="10"/>
        <v>21.8611107</v>
      </c>
      <c r="O290" s="24"/>
      <c r="P290" s="24"/>
      <c r="Q290" s="24"/>
      <c r="R290" s="26"/>
      <c r="S290" s="14">
        <f t="shared" si="13"/>
        <v>20.07497342</v>
      </c>
      <c r="U290" s="21"/>
      <c r="V290" s="21"/>
    </row>
    <row r="291">
      <c r="A291" s="11">
        <v>279.0</v>
      </c>
      <c r="B291" s="11">
        <v>1.42060869565217E9</v>
      </c>
      <c r="C291" s="2">
        <v>-102.217659</v>
      </c>
      <c r="D291" s="24">
        <f t="shared" si="1"/>
        <v>208695.6522</v>
      </c>
      <c r="E291" s="25">
        <f t="shared" si="2"/>
        <v>-44.99651047</v>
      </c>
      <c r="F291" s="24">
        <f t="shared" si="3"/>
        <v>0.0002156082794</v>
      </c>
      <c r="G291" s="24">
        <f t="shared" si="4"/>
        <v>0</v>
      </c>
      <c r="H291" s="26">
        <f t="shared" si="5"/>
        <v>0</v>
      </c>
      <c r="I291" s="24">
        <f t="shared" si="6"/>
        <v>0</v>
      </c>
      <c r="J291" s="24">
        <f t="shared" si="7"/>
        <v>0</v>
      </c>
      <c r="K291" s="24"/>
      <c r="L291" s="24">
        <f t="shared" si="8"/>
        <v>456.3943584</v>
      </c>
      <c r="M291" s="30">
        <f t="shared" si="9"/>
        <v>433.5898949</v>
      </c>
      <c r="N291" s="27">
        <f t="shared" si="10"/>
        <v>22.80446354</v>
      </c>
      <c r="O291" s="24"/>
      <c r="P291" s="24"/>
      <c r="Q291" s="24"/>
      <c r="R291" s="26"/>
      <c r="S291" s="14">
        <f t="shared" si="13"/>
        <v>20.94125063</v>
      </c>
      <c r="U291" s="21"/>
      <c r="V291" s="21"/>
    </row>
    <row r="292">
      <c r="A292" s="11">
        <v>280.0</v>
      </c>
      <c r="B292" s="11">
        <v>1.42061304347826E9</v>
      </c>
      <c r="C292" s="2">
        <v>-102.2769165</v>
      </c>
      <c r="D292" s="24">
        <f t="shared" si="1"/>
        <v>213043.4783</v>
      </c>
      <c r="E292" s="25">
        <f t="shared" si="2"/>
        <v>-45.91480661</v>
      </c>
      <c r="F292" s="24">
        <f t="shared" si="3"/>
        <v>0.00021551848</v>
      </c>
      <c r="G292" s="24">
        <f t="shared" si="4"/>
        <v>0</v>
      </c>
      <c r="H292" s="26">
        <f t="shared" si="5"/>
        <v>0</v>
      </c>
      <c r="I292" s="24">
        <f t="shared" si="6"/>
        <v>0</v>
      </c>
      <c r="J292" s="24">
        <f t="shared" si="7"/>
        <v>0</v>
      </c>
      <c r="K292" s="24"/>
      <c r="L292" s="24">
        <f t="shared" si="8"/>
        <v>450.2093574</v>
      </c>
      <c r="M292" s="30">
        <f t="shared" si="9"/>
        <v>433.4794535</v>
      </c>
      <c r="N292" s="27">
        <f t="shared" si="10"/>
        <v>16.72990387</v>
      </c>
      <c r="O292" s="24"/>
      <c r="P292" s="24"/>
      <c r="Q292" s="24"/>
      <c r="R292" s="26"/>
      <c r="S292" s="14">
        <f t="shared" si="13"/>
        <v>15.36300603</v>
      </c>
      <c r="U292" s="21"/>
      <c r="V292" s="21"/>
    </row>
    <row r="293">
      <c r="A293" s="11">
        <v>281.0</v>
      </c>
      <c r="B293" s="11">
        <v>1.42061739130434E9</v>
      </c>
      <c r="C293" s="2">
        <v>-102.2537842</v>
      </c>
      <c r="D293" s="24">
        <f t="shared" si="1"/>
        <v>217391.3043</v>
      </c>
      <c r="E293" s="25">
        <f t="shared" si="2"/>
        <v>-46.83310274</v>
      </c>
      <c r="F293" s="24">
        <f t="shared" si="3"/>
        <v>0.0002154322726</v>
      </c>
      <c r="G293" s="24">
        <f t="shared" si="4"/>
        <v>0</v>
      </c>
      <c r="H293" s="26">
        <f t="shared" si="5"/>
        <v>0</v>
      </c>
      <c r="I293" s="24">
        <f t="shared" si="6"/>
        <v>0</v>
      </c>
      <c r="J293" s="24">
        <f t="shared" si="7"/>
        <v>0</v>
      </c>
      <c r="K293" s="24"/>
      <c r="L293" s="24">
        <f t="shared" si="8"/>
        <v>452.6137543</v>
      </c>
      <c r="M293" s="30">
        <f t="shared" si="9"/>
        <v>433.3688491</v>
      </c>
      <c r="N293" s="27">
        <f t="shared" si="10"/>
        <v>19.2449052</v>
      </c>
      <c r="O293" s="24"/>
      <c r="P293" s="24"/>
      <c r="Q293" s="24"/>
      <c r="R293" s="26"/>
      <c r="S293" s="14">
        <f t="shared" si="13"/>
        <v>17.67252202</v>
      </c>
      <c r="U293" s="21"/>
      <c r="V293" s="21"/>
    </row>
    <row r="294">
      <c r="A294" s="11">
        <v>282.0</v>
      </c>
      <c r="B294" s="11">
        <v>1.42062173913043E9</v>
      </c>
      <c r="C294" s="2">
        <v>-102.2766495</v>
      </c>
      <c r="D294" s="24">
        <f t="shared" si="1"/>
        <v>221739.1304</v>
      </c>
      <c r="E294" s="25">
        <f t="shared" si="2"/>
        <v>-47.75139887</v>
      </c>
      <c r="F294" s="24">
        <f t="shared" si="3"/>
        <v>0.0002153494459</v>
      </c>
      <c r="G294" s="24">
        <f t="shared" si="4"/>
        <v>0</v>
      </c>
      <c r="H294" s="26">
        <f t="shared" si="5"/>
        <v>0</v>
      </c>
      <c r="I294" s="24">
        <f t="shared" si="6"/>
        <v>0</v>
      </c>
      <c r="J294" s="24">
        <f t="shared" si="7"/>
        <v>0</v>
      </c>
      <c r="K294" s="24"/>
      <c r="L294" s="24">
        <f t="shared" si="8"/>
        <v>450.2370367</v>
      </c>
      <c r="M294" s="30">
        <f t="shared" si="9"/>
        <v>433.2580822</v>
      </c>
      <c r="N294" s="27">
        <f t="shared" si="10"/>
        <v>16.97895444</v>
      </c>
      <c r="O294" s="24"/>
      <c r="P294" s="24"/>
      <c r="Q294" s="24"/>
      <c r="R294" s="26"/>
      <c r="S294" s="14">
        <f t="shared" si="13"/>
        <v>15.59170816</v>
      </c>
      <c r="U294" s="21"/>
      <c r="V294" s="21"/>
    </row>
    <row r="295">
      <c r="A295" s="11">
        <v>283.0</v>
      </c>
      <c r="B295" s="11">
        <v>1.42062608695652E9</v>
      </c>
      <c r="C295" s="2">
        <v>-102.2804794</v>
      </c>
      <c r="D295" s="24">
        <f t="shared" si="1"/>
        <v>226086.9565</v>
      </c>
      <c r="E295" s="25">
        <f t="shared" si="2"/>
        <v>-48.669695</v>
      </c>
      <c r="F295" s="24">
        <f t="shared" si="3"/>
        <v>0.0002152698048</v>
      </c>
      <c r="G295" s="24">
        <f t="shared" si="4"/>
        <v>0</v>
      </c>
      <c r="H295" s="26">
        <f t="shared" si="5"/>
        <v>0</v>
      </c>
      <c r="I295" s="24">
        <f t="shared" si="6"/>
        <v>0</v>
      </c>
      <c r="J295" s="24">
        <f t="shared" si="7"/>
        <v>0</v>
      </c>
      <c r="K295" s="24"/>
      <c r="L295" s="24">
        <f t="shared" si="8"/>
        <v>449.8401625</v>
      </c>
      <c r="M295" s="30">
        <f t="shared" si="9"/>
        <v>433.1471539</v>
      </c>
      <c r="N295" s="27">
        <f t="shared" si="10"/>
        <v>16.69300858</v>
      </c>
      <c r="O295" s="24"/>
      <c r="P295" s="24"/>
      <c r="Q295" s="24"/>
      <c r="R295" s="26"/>
      <c r="S295" s="14">
        <f t="shared" si="13"/>
        <v>15.32912523</v>
      </c>
      <c r="U295" s="21"/>
      <c r="V295" s="21"/>
    </row>
    <row r="296">
      <c r="A296" s="11">
        <v>284.0</v>
      </c>
      <c r="B296" s="11">
        <v>1.4206304347826E9</v>
      </c>
      <c r="C296" s="2">
        <v>-102.2841568</v>
      </c>
      <c r="D296" s="24">
        <f t="shared" si="1"/>
        <v>230434.7826</v>
      </c>
      <c r="E296" s="25">
        <f t="shared" si="2"/>
        <v>-49.58799113</v>
      </c>
      <c r="F296" s="24">
        <f t="shared" si="3"/>
        <v>0.0002151931691</v>
      </c>
      <c r="G296" s="24">
        <f t="shared" si="4"/>
        <v>0</v>
      </c>
      <c r="H296" s="26">
        <f t="shared" si="5"/>
        <v>0</v>
      </c>
      <c r="I296" s="24">
        <f t="shared" si="6"/>
        <v>0</v>
      </c>
      <c r="J296" s="24">
        <f t="shared" si="7"/>
        <v>0</v>
      </c>
      <c r="K296" s="24"/>
      <c r="L296" s="24">
        <f t="shared" si="8"/>
        <v>449.4594204</v>
      </c>
      <c r="M296" s="30">
        <f t="shared" si="9"/>
        <v>433.0360649</v>
      </c>
      <c r="N296" s="27">
        <f t="shared" si="10"/>
        <v>16.42335552</v>
      </c>
      <c r="O296" s="24"/>
      <c r="P296" s="24"/>
      <c r="Q296" s="24"/>
      <c r="R296" s="26"/>
      <c r="S296" s="14">
        <f t="shared" si="13"/>
        <v>15.08150386</v>
      </c>
      <c r="U296" s="21"/>
      <c r="V296" s="21"/>
    </row>
    <row r="297">
      <c r="A297" s="11">
        <v>285.0</v>
      </c>
      <c r="B297" s="11">
        <v>1.42063478260869E9</v>
      </c>
      <c r="C297" s="2">
        <v>-102.2663193</v>
      </c>
      <c r="D297" s="24">
        <f t="shared" si="1"/>
        <v>234782.6087</v>
      </c>
      <c r="E297" s="25">
        <f t="shared" si="2"/>
        <v>-50.50628727</v>
      </c>
      <c r="F297" s="24">
        <f t="shared" si="3"/>
        <v>0.0002151193717</v>
      </c>
      <c r="G297" s="24">
        <f t="shared" si="4"/>
        <v>0</v>
      </c>
      <c r="H297" s="26">
        <f t="shared" si="5"/>
        <v>0</v>
      </c>
      <c r="I297" s="24">
        <f t="shared" si="6"/>
        <v>0</v>
      </c>
      <c r="J297" s="24">
        <f t="shared" si="7"/>
        <v>0</v>
      </c>
      <c r="K297" s="24"/>
      <c r="L297" s="24">
        <f t="shared" si="8"/>
        <v>451.3092526</v>
      </c>
      <c r="M297" s="30">
        <f t="shared" si="9"/>
        <v>432.9248159</v>
      </c>
      <c r="N297" s="27">
        <f t="shared" si="10"/>
        <v>18.38443673</v>
      </c>
      <c r="O297" s="24"/>
      <c r="P297" s="24"/>
      <c r="Q297" s="24"/>
      <c r="R297" s="26"/>
      <c r="S297" s="14">
        <f t="shared" si="13"/>
        <v>16.88235715</v>
      </c>
      <c r="U297" s="21"/>
      <c r="V297" s="21"/>
    </row>
    <row r="298">
      <c r="A298" s="11">
        <v>286.0</v>
      </c>
      <c r="B298" s="11">
        <v>1.42063913043478E9</v>
      </c>
      <c r="C298" s="2">
        <v>-102.3250427</v>
      </c>
      <c r="D298" s="24">
        <f t="shared" si="1"/>
        <v>239130.4348</v>
      </c>
      <c r="E298" s="25">
        <f t="shared" si="2"/>
        <v>-51.4245834</v>
      </c>
      <c r="F298" s="24">
        <f t="shared" si="3"/>
        <v>0.0002150482579</v>
      </c>
      <c r="G298" s="24">
        <f t="shared" si="4"/>
        <v>0</v>
      </c>
      <c r="H298" s="26">
        <f t="shared" si="5"/>
        <v>0</v>
      </c>
      <c r="I298" s="24">
        <f t="shared" si="6"/>
        <v>0</v>
      </c>
      <c r="J298" s="24">
        <f t="shared" si="7"/>
        <v>0</v>
      </c>
      <c r="K298" s="24"/>
      <c r="L298" s="24">
        <f t="shared" si="8"/>
        <v>445.247918</v>
      </c>
      <c r="M298" s="30">
        <f t="shared" si="9"/>
        <v>432.8134078</v>
      </c>
      <c r="N298" s="27">
        <f t="shared" si="10"/>
        <v>12.43451025</v>
      </c>
      <c r="O298" s="24"/>
      <c r="P298" s="24"/>
      <c r="Q298" s="24"/>
      <c r="R298" s="26"/>
      <c r="S298" s="14">
        <f t="shared" si="13"/>
        <v>11.41856265</v>
      </c>
      <c r="U298" s="21"/>
      <c r="V298" s="21"/>
    </row>
    <row r="299">
      <c r="A299" s="11">
        <v>287.0</v>
      </c>
      <c r="B299" s="11">
        <v>1.42064347826087E9</v>
      </c>
      <c r="C299" s="2">
        <v>-102.3520737</v>
      </c>
      <c r="D299" s="24">
        <f t="shared" si="1"/>
        <v>243478.2609</v>
      </c>
      <c r="E299" s="25">
        <f t="shared" si="2"/>
        <v>-52.34287953</v>
      </c>
      <c r="F299" s="24">
        <f t="shared" si="3"/>
        <v>0.0002149796838</v>
      </c>
      <c r="G299" s="24">
        <f t="shared" si="4"/>
        <v>0</v>
      </c>
      <c r="H299" s="26">
        <f t="shared" si="5"/>
        <v>0</v>
      </c>
      <c r="I299" s="24">
        <f t="shared" si="6"/>
        <v>0</v>
      </c>
      <c r="J299" s="24">
        <f t="shared" si="7"/>
        <v>0</v>
      </c>
      <c r="K299" s="24"/>
      <c r="L299" s="24">
        <f t="shared" si="8"/>
        <v>442.4852491</v>
      </c>
      <c r="M299" s="30">
        <f t="shared" si="9"/>
        <v>432.7018414</v>
      </c>
      <c r="N299" s="27">
        <f t="shared" si="10"/>
        <v>9.783407686</v>
      </c>
      <c r="O299" s="24"/>
      <c r="P299" s="24"/>
      <c r="Q299" s="24"/>
      <c r="R299" s="26"/>
      <c r="S299" s="14">
        <f t="shared" si="13"/>
        <v>8.984065443</v>
      </c>
      <c r="U299" s="21"/>
      <c r="V299" s="21"/>
    </row>
    <row r="300">
      <c r="A300" s="11">
        <v>288.0</v>
      </c>
      <c r="B300" s="11">
        <v>1.42064782608695E9</v>
      </c>
      <c r="C300" s="2">
        <v>-102.356163</v>
      </c>
      <c r="D300" s="24">
        <f t="shared" si="1"/>
        <v>247826.087</v>
      </c>
      <c r="E300" s="25">
        <f t="shared" si="2"/>
        <v>-53.26117566</v>
      </c>
      <c r="F300" s="24">
        <f t="shared" si="3"/>
        <v>0.0002149135158</v>
      </c>
      <c r="G300" s="24">
        <f t="shared" si="4"/>
        <v>0</v>
      </c>
      <c r="H300" s="26">
        <f t="shared" si="5"/>
        <v>0</v>
      </c>
      <c r="I300" s="24">
        <f t="shared" si="6"/>
        <v>0</v>
      </c>
      <c r="J300" s="24">
        <f t="shared" si="7"/>
        <v>0</v>
      </c>
      <c r="K300" s="24"/>
      <c r="L300" s="24">
        <f t="shared" si="8"/>
        <v>442.0688028</v>
      </c>
      <c r="M300" s="30">
        <f t="shared" si="9"/>
        <v>432.5901174</v>
      </c>
      <c r="N300" s="27">
        <f t="shared" si="10"/>
        <v>9.478685304</v>
      </c>
      <c r="O300" s="24"/>
      <c r="P300" s="24"/>
      <c r="Q300" s="24"/>
      <c r="R300" s="26"/>
      <c r="S300" s="14">
        <f t="shared" si="13"/>
        <v>8.704240058</v>
      </c>
      <c r="U300" s="21"/>
      <c r="V300" s="21"/>
    </row>
    <row r="301">
      <c r="A301" s="11">
        <v>289.0</v>
      </c>
      <c r="B301" s="11">
        <v>1.42065217391304E9</v>
      </c>
      <c r="C301" s="2">
        <v>-102.3195267</v>
      </c>
      <c r="D301" s="24">
        <f t="shared" si="1"/>
        <v>252173.913</v>
      </c>
      <c r="E301" s="25">
        <f t="shared" si="2"/>
        <v>-54.1794718</v>
      </c>
      <c r="F301" s="24">
        <f t="shared" si="3"/>
        <v>0.0002148496295</v>
      </c>
      <c r="G301" s="24">
        <f t="shared" si="4"/>
        <v>0</v>
      </c>
      <c r="H301" s="26">
        <f t="shared" si="5"/>
        <v>0</v>
      </c>
      <c r="I301" s="24">
        <f t="shared" si="6"/>
        <v>0</v>
      </c>
      <c r="J301" s="24">
        <f t="shared" si="7"/>
        <v>0</v>
      </c>
      <c r="K301" s="24"/>
      <c r="L301" s="24">
        <f t="shared" si="8"/>
        <v>445.8137893</v>
      </c>
      <c r="M301" s="30">
        <f t="shared" si="9"/>
        <v>432.4782368</v>
      </c>
      <c r="N301" s="27">
        <f t="shared" si="10"/>
        <v>13.33555251</v>
      </c>
      <c r="O301" s="24"/>
      <c r="P301" s="24"/>
      <c r="Q301" s="24"/>
      <c r="R301" s="26"/>
      <c r="S301" s="14">
        <f t="shared" si="13"/>
        <v>12.24598627</v>
      </c>
      <c r="U301" s="21"/>
      <c r="V301" s="21"/>
    </row>
    <row r="302">
      <c r="A302" s="11">
        <v>290.0</v>
      </c>
      <c r="B302" s="11">
        <v>1.42065652173913E9</v>
      </c>
      <c r="C302" s="2">
        <v>-102.3005295</v>
      </c>
      <c r="D302" s="24">
        <f t="shared" si="1"/>
        <v>256521.7391</v>
      </c>
      <c r="E302" s="25">
        <f t="shared" si="2"/>
        <v>-55.09776793</v>
      </c>
      <c r="F302" s="24">
        <f t="shared" si="3"/>
        <v>0.0002147879089</v>
      </c>
      <c r="G302" s="24">
        <f t="shared" si="4"/>
        <v>0</v>
      </c>
      <c r="H302" s="26">
        <f t="shared" si="5"/>
        <v>0</v>
      </c>
      <c r="I302" s="24">
        <f t="shared" si="6"/>
        <v>0</v>
      </c>
      <c r="J302" s="24">
        <f t="shared" si="7"/>
        <v>0</v>
      </c>
      <c r="K302" s="24"/>
      <c r="L302" s="24">
        <f t="shared" si="8"/>
        <v>447.7681692</v>
      </c>
      <c r="M302" s="30">
        <f t="shared" si="9"/>
        <v>432.3662003</v>
      </c>
      <c r="N302" s="27">
        <f t="shared" si="10"/>
        <v>15.40196894</v>
      </c>
      <c r="O302" s="24"/>
      <c r="P302" s="24"/>
      <c r="Q302" s="24"/>
      <c r="R302" s="26"/>
      <c r="S302" s="14">
        <f t="shared" si="13"/>
        <v>14.14356851</v>
      </c>
      <c r="U302" s="21"/>
      <c r="V302" s="21"/>
    </row>
    <row r="303">
      <c r="A303" s="11">
        <v>291.0</v>
      </c>
      <c r="B303" s="11">
        <v>1.42066086956521E9</v>
      </c>
      <c r="C303" s="2">
        <v>-102.3122177</v>
      </c>
      <c r="D303" s="24">
        <f t="shared" si="1"/>
        <v>260869.5652</v>
      </c>
      <c r="E303" s="25">
        <f t="shared" si="2"/>
        <v>-56.01606406</v>
      </c>
      <c r="F303" s="24">
        <f t="shared" si="3"/>
        <v>0.0002147282456</v>
      </c>
      <c r="G303" s="24">
        <f t="shared" si="4"/>
        <v>0</v>
      </c>
      <c r="H303" s="26">
        <f t="shared" si="5"/>
        <v>0</v>
      </c>
      <c r="I303" s="24">
        <f t="shared" si="6"/>
        <v>0</v>
      </c>
      <c r="J303" s="24">
        <f t="shared" si="7"/>
        <v>0</v>
      </c>
      <c r="K303" s="24"/>
      <c r="L303" s="24">
        <f t="shared" si="8"/>
        <v>446.5647076</v>
      </c>
      <c r="M303" s="30">
        <f t="shared" si="9"/>
        <v>432.2540087</v>
      </c>
      <c r="N303" s="27">
        <f t="shared" si="10"/>
        <v>14.3106989</v>
      </c>
      <c r="O303" s="24"/>
      <c r="P303" s="24"/>
      <c r="Q303" s="24"/>
      <c r="R303" s="26"/>
      <c r="S303" s="14">
        <f t="shared" si="13"/>
        <v>13.14145946</v>
      </c>
      <c r="U303" s="21"/>
      <c r="V303" s="21"/>
    </row>
    <row r="304">
      <c r="A304" s="11">
        <v>292.0</v>
      </c>
      <c r="B304" s="11">
        <v>1.4206652173913E9</v>
      </c>
      <c r="C304" s="2">
        <v>-102.3317871</v>
      </c>
      <c r="D304" s="24">
        <f t="shared" si="1"/>
        <v>265217.3913</v>
      </c>
      <c r="E304" s="25">
        <f t="shared" si="2"/>
        <v>-56.93436019</v>
      </c>
      <c r="F304" s="24">
        <f t="shared" si="3"/>
        <v>0.0002146705384</v>
      </c>
      <c r="G304" s="24">
        <f t="shared" si="4"/>
        <v>0</v>
      </c>
      <c r="H304" s="26">
        <f t="shared" si="5"/>
        <v>0</v>
      </c>
      <c r="I304" s="24">
        <f t="shared" si="6"/>
        <v>0</v>
      </c>
      <c r="J304" s="24">
        <f t="shared" si="7"/>
        <v>0</v>
      </c>
      <c r="K304" s="24"/>
      <c r="L304" s="24">
        <f t="shared" si="8"/>
        <v>444.5570044</v>
      </c>
      <c r="M304" s="30">
        <f t="shared" si="9"/>
        <v>432.1416627</v>
      </c>
      <c r="N304" s="27">
        <f t="shared" si="10"/>
        <v>12.4153417</v>
      </c>
      <c r="O304" s="24"/>
      <c r="P304" s="24"/>
      <c r="Q304" s="24"/>
      <c r="R304" s="26"/>
      <c r="S304" s="14">
        <f t="shared" si="13"/>
        <v>11.40096025</v>
      </c>
      <c r="U304" s="21"/>
      <c r="V304" s="21"/>
    </row>
    <row r="305">
      <c r="A305" s="11">
        <v>293.0</v>
      </c>
      <c r="B305" s="11">
        <v>1.42066956521739E9</v>
      </c>
      <c r="C305" s="2">
        <v>-102.2945099</v>
      </c>
      <c r="D305" s="24">
        <f t="shared" si="1"/>
        <v>269565.2174</v>
      </c>
      <c r="E305" s="25">
        <f t="shared" si="2"/>
        <v>-57.85265632</v>
      </c>
      <c r="F305" s="24">
        <f t="shared" si="3"/>
        <v>0.0002146146928</v>
      </c>
      <c r="G305" s="24">
        <f t="shared" si="4"/>
        <v>0</v>
      </c>
      <c r="H305" s="26">
        <f t="shared" si="5"/>
        <v>0</v>
      </c>
      <c r="I305" s="24">
        <f t="shared" si="6"/>
        <v>0</v>
      </c>
      <c r="J305" s="24">
        <f t="shared" si="7"/>
        <v>0</v>
      </c>
      <c r="K305" s="24"/>
      <c r="L305" s="24">
        <f t="shared" si="8"/>
        <v>448.3892349</v>
      </c>
      <c r="M305" s="30">
        <f t="shared" si="9"/>
        <v>432.0291633</v>
      </c>
      <c r="N305" s="27">
        <f t="shared" si="10"/>
        <v>16.36007162</v>
      </c>
      <c r="O305" s="24"/>
      <c r="P305" s="24"/>
      <c r="Q305" s="24"/>
      <c r="R305" s="26"/>
      <c r="S305" s="14">
        <f t="shared" si="13"/>
        <v>15.02339051</v>
      </c>
      <c r="U305" s="21"/>
      <c r="V305" s="21"/>
    </row>
    <row r="306">
      <c r="A306" s="11">
        <v>294.0</v>
      </c>
      <c r="B306" s="11">
        <v>1.42067391304347E9</v>
      </c>
      <c r="C306" s="2">
        <v>-102.2984085</v>
      </c>
      <c r="D306" s="24">
        <f t="shared" si="1"/>
        <v>273913.0435</v>
      </c>
      <c r="E306" s="25">
        <f t="shared" si="2"/>
        <v>-58.77095246</v>
      </c>
      <c r="F306" s="24">
        <f t="shared" si="3"/>
        <v>0.0002145606201</v>
      </c>
      <c r="G306" s="24">
        <f t="shared" si="4"/>
        <v>0</v>
      </c>
      <c r="H306" s="26">
        <f t="shared" si="5"/>
        <v>0</v>
      </c>
      <c r="I306" s="24">
        <f t="shared" si="6"/>
        <v>0</v>
      </c>
      <c r="J306" s="24">
        <f t="shared" si="7"/>
        <v>0</v>
      </c>
      <c r="K306" s="24"/>
      <c r="L306" s="24">
        <f t="shared" si="8"/>
        <v>447.9869029</v>
      </c>
      <c r="M306" s="30">
        <f t="shared" si="9"/>
        <v>431.9165112</v>
      </c>
      <c r="N306" s="27">
        <f t="shared" si="10"/>
        <v>16.07039168</v>
      </c>
      <c r="O306" s="24"/>
      <c r="P306" s="24"/>
      <c r="Q306" s="24"/>
      <c r="R306" s="26"/>
      <c r="S306" s="14">
        <f t="shared" si="13"/>
        <v>14.75737854</v>
      </c>
      <c r="U306" s="21"/>
      <c r="V306" s="21"/>
    </row>
    <row r="307">
      <c r="A307" s="11">
        <v>295.0</v>
      </c>
      <c r="B307" s="11">
        <v>1.42067826086956E9</v>
      </c>
      <c r="C307" s="2">
        <v>-102.3434219</v>
      </c>
      <c r="D307" s="24">
        <f t="shared" si="1"/>
        <v>278260.8696</v>
      </c>
      <c r="E307" s="25">
        <f t="shared" si="2"/>
        <v>-59.68924859</v>
      </c>
      <c r="F307" s="24">
        <f t="shared" si="3"/>
        <v>0.0002145082371</v>
      </c>
      <c r="G307" s="24">
        <f t="shared" si="4"/>
        <v>0</v>
      </c>
      <c r="H307" s="26">
        <f t="shared" si="5"/>
        <v>0</v>
      </c>
      <c r="I307" s="24">
        <f t="shared" si="6"/>
        <v>0</v>
      </c>
      <c r="J307" s="24">
        <f t="shared" si="7"/>
        <v>0</v>
      </c>
      <c r="K307" s="24"/>
      <c r="L307" s="24">
        <f t="shared" si="8"/>
        <v>443.3676249</v>
      </c>
      <c r="M307" s="30">
        <f t="shared" si="9"/>
        <v>431.8037072</v>
      </c>
      <c r="N307" s="27">
        <f t="shared" si="10"/>
        <v>11.5639177</v>
      </c>
      <c r="O307" s="24"/>
      <c r="P307" s="24"/>
      <c r="Q307" s="24"/>
      <c r="R307" s="26"/>
      <c r="S307" s="14">
        <f t="shared" si="13"/>
        <v>10.61910088</v>
      </c>
      <c r="U307" s="21"/>
      <c r="V307" s="21"/>
    </row>
    <row r="308">
      <c r="A308" s="11">
        <v>296.0</v>
      </c>
      <c r="B308" s="11">
        <v>1.42068260869565E9</v>
      </c>
      <c r="C308" s="2">
        <v>-102.382988</v>
      </c>
      <c r="D308" s="24">
        <f t="shared" si="1"/>
        <v>282608.6957</v>
      </c>
      <c r="E308" s="25">
        <f t="shared" si="2"/>
        <v>-60.60754472</v>
      </c>
      <c r="F308" s="24">
        <f t="shared" si="3"/>
        <v>0.0002144574659</v>
      </c>
      <c r="G308" s="24">
        <f t="shared" si="4"/>
        <v>0</v>
      </c>
      <c r="H308" s="26">
        <f t="shared" si="5"/>
        <v>0</v>
      </c>
      <c r="I308" s="24">
        <f t="shared" si="6"/>
        <v>0</v>
      </c>
      <c r="J308" s="24">
        <f t="shared" si="7"/>
        <v>0</v>
      </c>
      <c r="K308" s="24"/>
      <c r="L308" s="24">
        <f t="shared" si="8"/>
        <v>439.3466987</v>
      </c>
      <c r="M308" s="30">
        <f t="shared" si="9"/>
        <v>431.6907521</v>
      </c>
      <c r="N308" s="27">
        <f t="shared" si="10"/>
        <v>7.655946536</v>
      </c>
      <c r="O308" s="24"/>
      <c r="P308" s="24"/>
      <c r="Q308" s="24"/>
      <c r="R308" s="26"/>
      <c r="S308" s="14">
        <f t="shared" si="13"/>
        <v>7.030426097</v>
      </c>
      <c r="U308" s="21"/>
      <c r="V308" s="21"/>
    </row>
    <row r="309">
      <c r="A309" s="11">
        <v>297.0</v>
      </c>
      <c r="B309" s="11">
        <v>1.42068695652173E9</v>
      </c>
      <c r="C309" s="2">
        <v>-102.2848892</v>
      </c>
      <c r="D309" s="24">
        <f t="shared" si="1"/>
        <v>286956.5217</v>
      </c>
      <c r="E309" s="25">
        <f t="shared" si="2"/>
        <v>-61.52584085</v>
      </c>
      <c r="F309" s="24">
        <f t="shared" si="3"/>
        <v>0.0002144082333</v>
      </c>
      <c r="G309" s="24">
        <f t="shared" si="4"/>
        <v>0</v>
      </c>
      <c r="H309" s="26">
        <f t="shared" si="5"/>
        <v>0</v>
      </c>
      <c r="I309" s="24">
        <f t="shared" si="6"/>
        <v>0</v>
      </c>
      <c r="J309" s="24">
        <f t="shared" si="7"/>
        <v>0</v>
      </c>
      <c r="K309" s="24"/>
      <c r="L309" s="24">
        <f t="shared" si="8"/>
        <v>449.3836293</v>
      </c>
      <c r="M309" s="30">
        <f t="shared" si="9"/>
        <v>431.5776468</v>
      </c>
      <c r="N309" s="27">
        <f t="shared" si="10"/>
        <v>17.80598255</v>
      </c>
      <c r="O309" s="24"/>
      <c r="P309" s="24"/>
      <c r="Q309" s="24"/>
      <c r="R309" s="26"/>
      <c r="S309" s="14">
        <f t="shared" si="13"/>
        <v>16.35116492</v>
      </c>
      <c r="U309" s="21"/>
      <c r="V309" s="21"/>
    </row>
    <row r="310">
      <c r="A310" s="11">
        <v>298.0</v>
      </c>
      <c r="B310" s="11">
        <v>1.42069130434782E9</v>
      </c>
      <c r="C310" s="2">
        <v>-102.3040009</v>
      </c>
      <c r="D310" s="24">
        <f t="shared" si="1"/>
        <v>291304.3478</v>
      </c>
      <c r="E310" s="25">
        <f t="shared" si="2"/>
        <v>-62.44413698</v>
      </c>
      <c r="F310" s="24">
        <f t="shared" si="3"/>
        <v>0.0002143604703</v>
      </c>
      <c r="G310" s="24">
        <f t="shared" si="4"/>
        <v>0</v>
      </c>
      <c r="H310" s="26">
        <f t="shared" si="5"/>
        <v>0</v>
      </c>
      <c r="I310" s="24">
        <f t="shared" si="6"/>
        <v>0</v>
      </c>
      <c r="J310" s="24">
        <f t="shared" si="7"/>
        <v>0</v>
      </c>
      <c r="K310" s="24"/>
      <c r="L310" s="24">
        <f t="shared" si="8"/>
        <v>447.4104025</v>
      </c>
      <c r="M310" s="30">
        <f t="shared" si="9"/>
        <v>431.4643919</v>
      </c>
      <c r="N310" s="27">
        <f t="shared" si="10"/>
        <v>15.94601052</v>
      </c>
      <c r="O310" s="24"/>
      <c r="P310" s="24"/>
      <c r="Q310" s="24"/>
      <c r="R310" s="26"/>
      <c r="S310" s="14">
        <f t="shared" si="13"/>
        <v>14.64315979</v>
      </c>
      <c r="U310" s="21"/>
      <c r="V310" s="21"/>
    </row>
    <row r="311">
      <c r="A311" s="11">
        <v>299.0</v>
      </c>
      <c r="B311" s="11">
        <v>1.42069565217391E9</v>
      </c>
      <c r="C311" s="2">
        <v>-102.3025513</v>
      </c>
      <c r="D311" s="24">
        <f t="shared" si="1"/>
        <v>295652.1739</v>
      </c>
      <c r="E311" s="25">
        <f t="shared" si="2"/>
        <v>-63.36243312</v>
      </c>
      <c r="F311" s="24">
        <f t="shared" si="3"/>
        <v>0.000214314112</v>
      </c>
      <c r="G311" s="24">
        <f t="shared" si="4"/>
        <v>0</v>
      </c>
      <c r="H311" s="26">
        <f t="shared" si="5"/>
        <v>0</v>
      </c>
      <c r="I311" s="24">
        <f t="shared" si="6"/>
        <v>0</v>
      </c>
      <c r="J311" s="24">
        <f t="shared" si="7"/>
        <v>0</v>
      </c>
      <c r="K311" s="24"/>
      <c r="L311" s="24">
        <f t="shared" si="8"/>
        <v>447.5597652</v>
      </c>
      <c r="M311" s="30">
        <f t="shared" si="9"/>
        <v>431.3509884</v>
      </c>
      <c r="N311" s="27">
        <f t="shared" si="10"/>
        <v>16.20877682</v>
      </c>
      <c r="O311" s="24"/>
      <c r="P311" s="24"/>
      <c r="Q311" s="24"/>
      <c r="R311" s="26"/>
      <c r="S311" s="14">
        <f t="shared" si="13"/>
        <v>14.88445704</v>
      </c>
      <c r="U311" s="21"/>
      <c r="V311" s="21"/>
    </row>
    <row r="312">
      <c r="A312" s="11">
        <v>300.0</v>
      </c>
      <c r="B312" s="11">
        <v>1.4207E9</v>
      </c>
      <c r="C312" s="2">
        <v>-102.2625504</v>
      </c>
      <c r="D312" s="24">
        <f t="shared" si="1"/>
        <v>300000</v>
      </c>
      <c r="E312" s="25">
        <f t="shared" si="2"/>
        <v>-64.28072925</v>
      </c>
      <c r="F312" s="24">
        <f t="shared" si="3"/>
        <v>0.0002142690975</v>
      </c>
      <c r="G312" s="24">
        <f t="shared" si="4"/>
        <v>0</v>
      </c>
      <c r="H312" s="26">
        <f t="shared" si="5"/>
        <v>0</v>
      </c>
      <c r="I312" s="24">
        <f t="shared" si="6"/>
        <v>0</v>
      </c>
      <c r="J312" s="24">
        <f t="shared" si="7"/>
        <v>0</v>
      </c>
      <c r="K312" s="24"/>
      <c r="L312" s="24">
        <f t="shared" si="8"/>
        <v>451.7010784</v>
      </c>
      <c r="M312" s="30">
        <f t="shared" si="9"/>
        <v>431.237437</v>
      </c>
      <c r="N312" s="27">
        <f t="shared" si="10"/>
        <v>20.46364133</v>
      </c>
      <c r="O312" s="24"/>
      <c r="P312" s="24"/>
      <c r="Q312" s="24"/>
      <c r="R312" s="26"/>
      <c r="S312" s="14">
        <f t="shared" si="13"/>
        <v>18.79168269</v>
      </c>
      <c r="U312" s="21"/>
      <c r="V312" s="21"/>
    </row>
    <row r="313">
      <c r="A313" s="11">
        <v>301.0</v>
      </c>
      <c r="B313" s="11">
        <v>1.42070434782608E9</v>
      </c>
      <c r="C313" s="2">
        <v>-102.2829895</v>
      </c>
      <c r="D313" s="24">
        <f t="shared" si="1"/>
        <v>304347.8261</v>
      </c>
      <c r="E313" s="25">
        <f t="shared" si="2"/>
        <v>-65.19902538</v>
      </c>
      <c r="F313" s="24">
        <f t="shared" si="3"/>
        <v>0.0002142253691</v>
      </c>
      <c r="G313" s="24">
        <f t="shared" si="4"/>
        <v>0</v>
      </c>
      <c r="H313" s="26">
        <f t="shared" si="5"/>
        <v>0</v>
      </c>
      <c r="I313" s="24">
        <f t="shared" si="6"/>
        <v>0</v>
      </c>
      <c r="J313" s="24">
        <f t="shared" si="7"/>
        <v>0</v>
      </c>
      <c r="K313" s="24"/>
      <c r="L313" s="24">
        <f t="shared" si="8"/>
        <v>449.5802426</v>
      </c>
      <c r="M313" s="30">
        <f t="shared" si="9"/>
        <v>431.1237386</v>
      </c>
      <c r="N313" s="27">
        <f t="shared" si="10"/>
        <v>18.45650405</v>
      </c>
      <c r="O313" s="24"/>
      <c r="P313" s="24"/>
      <c r="Q313" s="24"/>
      <c r="R313" s="26"/>
      <c r="S313" s="14">
        <f t="shared" si="13"/>
        <v>16.94853629</v>
      </c>
      <c r="U313" s="21"/>
      <c r="V313" s="21"/>
    </row>
    <row r="314">
      <c r="A314" s="11">
        <v>302.0</v>
      </c>
      <c r="B314" s="11">
        <v>1.42070869565217E9</v>
      </c>
      <c r="C314" s="2">
        <v>-102.3180847</v>
      </c>
      <c r="D314" s="24">
        <f t="shared" si="1"/>
        <v>308695.6522</v>
      </c>
      <c r="E314" s="25">
        <f t="shared" si="2"/>
        <v>-66.11732151</v>
      </c>
      <c r="F314" s="24">
        <f t="shared" si="3"/>
        <v>0.0002141828725</v>
      </c>
      <c r="G314" s="24">
        <f t="shared" si="4"/>
        <v>0</v>
      </c>
      <c r="H314" s="26">
        <f t="shared" si="5"/>
        <v>0</v>
      </c>
      <c r="I314" s="24">
        <f t="shared" si="6"/>
        <v>0</v>
      </c>
      <c r="J314" s="24">
        <f t="shared" si="7"/>
        <v>0</v>
      </c>
      <c r="K314" s="24"/>
      <c r="L314" s="24">
        <f t="shared" si="8"/>
        <v>445.9618387</v>
      </c>
      <c r="M314" s="30">
        <f t="shared" si="9"/>
        <v>431.0098939</v>
      </c>
      <c r="N314" s="27">
        <f t="shared" si="10"/>
        <v>14.9519448</v>
      </c>
      <c r="O314" s="24"/>
      <c r="P314" s="24"/>
      <c r="Q314" s="24"/>
      <c r="R314" s="26"/>
      <c r="S314" s="14">
        <f t="shared" si="13"/>
        <v>13.73031306</v>
      </c>
      <c r="U314" s="21"/>
      <c r="V314" s="21"/>
    </row>
    <row r="315">
      <c r="A315" s="11">
        <v>303.0</v>
      </c>
      <c r="B315" s="11">
        <v>1.42071304347826E9</v>
      </c>
      <c r="C315" s="2">
        <v>-102.308815</v>
      </c>
      <c r="D315" s="24">
        <f t="shared" si="1"/>
        <v>313043.4783</v>
      </c>
      <c r="E315" s="25">
        <f t="shared" si="2"/>
        <v>-67.03561764</v>
      </c>
      <c r="F315" s="24">
        <f t="shared" si="3"/>
        <v>0.0002141415564</v>
      </c>
      <c r="G315" s="24">
        <f t="shared" si="4"/>
        <v>0</v>
      </c>
      <c r="H315" s="26">
        <f t="shared" si="5"/>
        <v>0</v>
      </c>
      <c r="I315" s="24">
        <f t="shared" si="6"/>
        <v>0</v>
      </c>
      <c r="J315" s="24">
        <f t="shared" si="7"/>
        <v>0</v>
      </c>
      <c r="K315" s="24"/>
      <c r="L315" s="24">
        <f t="shared" si="8"/>
        <v>446.9147284</v>
      </c>
      <c r="M315" s="30">
        <f t="shared" si="9"/>
        <v>430.8959037</v>
      </c>
      <c r="N315" s="27">
        <f t="shared" si="10"/>
        <v>16.01882467</v>
      </c>
      <c r="O315" s="24"/>
      <c r="P315" s="24"/>
      <c r="Q315" s="24"/>
      <c r="R315" s="26"/>
      <c r="S315" s="14">
        <f t="shared" si="13"/>
        <v>14.71002475</v>
      </c>
      <c r="U315" s="21"/>
      <c r="V315" s="21"/>
    </row>
    <row r="316">
      <c r="A316" s="11">
        <v>304.0</v>
      </c>
      <c r="B316" s="11">
        <v>1.42071739130434E9</v>
      </c>
      <c r="C316" s="2">
        <v>-102.2729111</v>
      </c>
      <c r="D316" s="24">
        <f t="shared" si="1"/>
        <v>317391.3043</v>
      </c>
      <c r="E316" s="25">
        <f t="shared" si="2"/>
        <v>-67.95391378</v>
      </c>
      <c r="F316" s="24">
        <f t="shared" si="3"/>
        <v>0.0002141013722</v>
      </c>
      <c r="G316" s="24">
        <f t="shared" si="4"/>
        <v>0</v>
      </c>
      <c r="H316" s="26">
        <f t="shared" si="5"/>
        <v>0</v>
      </c>
      <c r="I316" s="24">
        <f t="shared" si="6"/>
        <v>0</v>
      </c>
      <c r="J316" s="24">
        <f t="shared" si="7"/>
        <v>0</v>
      </c>
      <c r="K316" s="24"/>
      <c r="L316" s="24">
        <f t="shared" si="8"/>
        <v>450.6247669</v>
      </c>
      <c r="M316" s="30">
        <f t="shared" si="9"/>
        <v>430.7817689</v>
      </c>
      <c r="N316" s="27">
        <f t="shared" si="10"/>
        <v>19.84299798</v>
      </c>
      <c r="O316" s="24"/>
      <c r="P316" s="24"/>
      <c r="Q316" s="24"/>
      <c r="R316" s="26"/>
      <c r="S316" s="14">
        <f t="shared" si="13"/>
        <v>18.2217483</v>
      </c>
      <c r="U316" s="21"/>
      <c r="V316" s="21"/>
    </row>
    <row r="317">
      <c r="A317" s="11">
        <v>305.0</v>
      </c>
      <c r="B317" s="11">
        <v>1.42072173913043E9</v>
      </c>
      <c r="C317" s="2">
        <v>-102.3186646</v>
      </c>
      <c r="D317" s="24">
        <f t="shared" si="1"/>
        <v>321739.1304</v>
      </c>
      <c r="E317" s="25">
        <f t="shared" si="2"/>
        <v>-68.87220991</v>
      </c>
      <c r="F317" s="24">
        <f t="shared" si="3"/>
        <v>0.000214062274</v>
      </c>
      <c r="G317" s="24">
        <f t="shared" si="4"/>
        <v>0</v>
      </c>
      <c r="H317" s="26">
        <f t="shared" si="5"/>
        <v>0</v>
      </c>
      <c r="I317" s="24">
        <f t="shared" si="6"/>
        <v>0</v>
      </c>
      <c r="J317" s="24">
        <f t="shared" si="7"/>
        <v>0</v>
      </c>
      <c r="K317" s="24"/>
      <c r="L317" s="24">
        <f t="shared" si="8"/>
        <v>445.9022948</v>
      </c>
      <c r="M317" s="30">
        <f t="shared" si="9"/>
        <v>430.6674902</v>
      </c>
      <c r="N317" s="27">
        <f t="shared" si="10"/>
        <v>15.23480455</v>
      </c>
      <c r="O317" s="24"/>
      <c r="P317" s="24"/>
      <c r="Q317" s="24"/>
      <c r="R317" s="26"/>
      <c r="S317" s="14">
        <f t="shared" si="13"/>
        <v>13.99006207</v>
      </c>
      <c r="U317" s="21"/>
      <c r="V317" s="21"/>
    </row>
    <row r="318">
      <c r="A318" s="11">
        <v>306.0</v>
      </c>
      <c r="B318" s="11">
        <v>1.42072608695652E9</v>
      </c>
      <c r="C318" s="2">
        <v>-102.3112106</v>
      </c>
      <c r="D318" s="24">
        <f t="shared" si="1"/>
        <v>326086.9565</v>
      </c>
      <c r="E318" s="25">
        <f t="shared" si="2"/>
        <v>-69.79050604</v>
      </c>
      <c r="F318" s="24">
        <f t="shared" si="3"/>
        <v>0.0002140242185</v>
      </c>
      <c r="G318" s="24">
        <f t="shared" si="4"/>
        <v>0</v>
      </c>
      <c r="H318" s="26">
        <f t="shared" si="5"/>
        <v>0</v>
      </c>
      <c r="I318" s="24">
        <f t="shared" si="6"/>
        <v>0</v>
      </c>
      <c r="J318" s="24">
        <f t="shared" si="7"/>
        <v>0</v>
      </c>
      <c r="K318" s="24"/>
      <c r="L318" s="24">
        <f t="shared" si="8"/>
        <v>446.668275</v>
      </c>
      <c r="M318" s="30">
        <f t="shared" si="9"/>
        <v>430.5530685</v>
      </c>
      <c r="N318" s="27">
        <f t="shared" si="10"/>
        <v>16.11520647</v>
      </c>
      <c r="O318" s="24"/>
      <c r="P318" s="24"/>
      <c r="Q318" s="24"/>
      <c r="R318" s="26"/>
      <c r="S318" s="14">
        <f t="shared" si="13"/>
        <v>14.79853178</v>
      </c>
      <c r="U318" s="21"/>
      <c r="V318" s="21"/>
    </row>
    <row r="319">
      <c r="A319" s="11">
        <v>307.0</v>
      </c>
      <c r="B319" s="11">
        <v>1.4207304347826E9</v>
      </c>
      <c r="C319" s="2">
        <v>-102.3200912</v>
      </c>
      <c r="D319" s="24">
        <f t="shared" si="1"/>
        <v>330434.7826</v>
      </c>
      <c r="E319" s="25">
        <f t="shared" si="2"/>
        <v>-70.70880217</v>
      </c>
      <c r="F319" s="24">
        <f t="shared" si="3"/>
        <v>0.0002139871645</v>
      </c>
      <c r="G319" s="24">
        <f t="shared" si="4"/>
        <v>0</v>
      </c>
      <c r="H319" s="26">
        <f t="shared" si="5"/>
        <v>0</v>
      </c>
      <c r="I319" s="24">
        <f t="shared" si="6"/>
        <v>0</v>
      </c>
      <c r="J319" s="24">
        <f t="shared" si="7"/>
        <v>0</v>
      </c>
      <c r="K319" s="24"/>
      <c r="L319" s="24">
        <f t="shared" si="8"/>
        <v>445.7558458</v>
      </c>
      <c r="M319" s="30">
        <f t="shared" si="9"/>
        <v>430.4385045</v>
      </c>
      <c r="N319" s="27">
        <f t="shared" si="10"/>
        <v>15.3173413</v>
      </c>
      <c r="O319" s="24"/>
      <c r="P319" s="24"/>
      <c r="Q319" s="24"/>
      <c r="R319" s="26"/>
      <c r="S319" s="14">
        <f t="shared" si="13"/>
        <v>14.06585528</v>
      </c>
      <c r="U319" s="21"/>
      <c r="V319" s="21"/>
    </row>
    <row r="320">
      <c r="A320" s="11">
        <v>308.0</v>
      </c>
      <c r="B320" s="11">
        <v>1.42073478260869E9</v>
      </c>
      <c r="C320" s="2">
        <v>-102.3003006</v>
      </c>
      <c r="D320" s="24">
        <f t="shared" si="1"/>
        <v>334782.6087</v>
      </c>
      <c r="E320" s="25">
        <f t="shared" si="2"/>
        <v>-71.62709831</v>
      </c>
      <c r="F320" s="24">
        <f t="shared" si="3"/>
        <v>0.0002139510729</v>
      </c>
      <c r="G320" s="24">
        <f t="shared" si="4"/>
        <v>0</v>
      </c>
      <c r="H320" s="26">
        <f t="shared" si="5"/>
        <v>0</v>
      </c>
      <c r="I320" s="24">
        <f t="shared" si="6"/>
        <v>0</v>
      </c>
      <c r="J320" s="24">
        <f t="shared" si="7"/>
        <v>0</v>
      </c>
      <c r="K320" s="24"/>
      <c r="L320" s="24">
        <f t="shared" si="8"/>
        <v>447.79177</v>
      </c>
      <c r="M320" s="30">
        <f t="shared" si="9"/>
        <v>430.3237991</v>
      </c>
      <c r="N320" s="27">
        <f t="shared" si="10"/>
        <v>17.46797091</v>
      </c>
      <c r="O320" s="24"/>
      <c r="P320" s="24"/>
      <c r="Q320" s="24"/>
      <c r="R320" s="26"/>
      <c r="S320" s="14">
        <f t="shared" si="13"/>
        <v>16.04077014</v>
      </c>
      <c r="U320" s="21"/>
      <c r="V320" s="21"/>
    </row>
    <row r="321">
      <c r="A321" s="11">
        <v>309.0</v>
      </c>
      <c r="B321" s="11">
        <v>1.42073913043478E9</v>
      </c>
      <c r="C321" s="2">
        <v>-102.2338333</v>
      </c>
      <c r="D321" s="24">
        <f t="shared" si="1"/>
        <v>339130.4348</v>
      </c>
      <c r="E321" s="25">
        <f t="shared" si="2"/>
        <v>-72.54539444</v>
      </c>
      <c r="F321" s="24">
        <f t="shared" si="3"/>
        <v>0.0002139159067</v>
      </c>
      <c r="G321" s="24">
        <f t="shared" si="4"/>
        <v>0</v>
      </c>
      <c r="H321" s="26">
        <f t="shared" si="5"/>
        <v>0</v>
      </c>
      <c r="I321" s="24">
        <f t="shared" si="6"/>
        <v>0</v>
      </c>
      <c r="J321" s="24">
        <f t="shared" si="7"/>
        <v>0</v>
      </c>
      <c r="K321" s="24"/>
      <c r="L321" s="24">
        <f t="shared" si="8"/>
        <v>454.6977837</v>
      </c>
      <c r="M321" s="30">
        <f t="shared" si="9"/>
        <v>430.208953</v>
      </c>
      <c r="N321" s="27">
        <f t="shared" si="10"/>
        <v>24.4888307</v>
      </c>
      <c r="O321" s="24"/>
      <c r="P321" s="24"/>
      <c r="Q321" s="24"/>
      <c r="R321" s="26"/>
      <c r="S321" s="14">
        <f t="shared" si="13"/>
        <v>22.48799847</v>
      </c>
      <c r="U321" s="21"/>
      <c r="V321" s="21"/>
    </row>
    <row r="322">
      <c r="A322" s="11">
        <v>310.0</v>
      </c>
      <c r="B322" s="11">
        <v>1.42074347826087E9</v>
      </c>
      <c r="C322" s="2">
        <v>-102.3616028</v>
      </c>
      <c r="D322" s="24">
        <f t="shared" si="1"/>
        <v>343478.2609</v>
      </c>
      <c r="E322" s="25">
        <f t="shared" si="2"/>
        <v>-73.46369057</v>
      </c>
      <c r="F322" s="24">
        <f t="shared" si="3"/>
        <v>0.0002138816308</v>
      </c>
      <c r="G322" s="24">
        <f t="shared" si="4"/>
        <v>0</v>
      </c>
      <c r="H322" s="26">
        <f t="shared" si="5"/>
        <v>0</v>
      </c>
      <c r="I322" s="24">
        <f t="shared" si="6"/>
        <v>0</v>
      </c>
      <c r="J322" s="24">
        <f t="shared" si="7"/>
        <v>0</v>
      </c>
      <c r="K322" s="24"/>
      <c r="L322" s="24">
        <f t="shared" si="8"/>
        <v>441.5154316</v>
      </c>
      <c r="M322" s="30">
        <f t="shared" si="9"/>
        <v>430.0939671</v>
      </c>
      <c r="N322" s="27">
        <f t="shared" si="10"/>
        <v>11.42146446</v>
      </c>
      <c r="O322" s="24"/>
      <c r="P322" s="24"/>
      <c r="Q322" s="24"/>
      <c r="R322" s="26"/>
      <c r="S322" s="14">
        <f t="shared" si="13"/>
        <v>10.48828664</v>
      </c>
      <c r="U322" s="21"/>
      <c r="V322" s="21"/>
    </row>
    <row r="323">
      <c r="A323" s="11">
        <v>311.0</v>
      </c>
      <c r="B323" s="11">
        <v>1.42074782608695E9</v>
      </c>
      <c r="C323" s="2">
        <v>-102.3796082</v>
      </c>
      <c r="D323" s="24">
        <f t="shared" si="1"/>
        <v>347826.087</v>
      </c>
      <c r="E323" s="25">
        <f t="shared" si="2"/>
        <v>-74.3819867</v>
      </c>
      <c r="F323" s="24">
        <f t="shared" si="3"/>
        <v>0.0002138482118</v>
      </c>
      <c r="G323" s="24">
        <f t="shared" si="4"/>
        <v>0</v>
      </c>
      <c r="H323" s="26">
        <f t="shared" si="5"/>
        <v>0</v>
      </c>
      <c r="I323" s="24">
        <f t="shared" si="6"/>
        <v>0</v>
      </c>
      <c r="J323" s="24">
        <f t="shared" si="7"/>
        <v>0</v>
      </c>
      <c r="K323" s="24"/>
      <c r="L323" s="24">
        <f t="shared" si="8"/>
        <v>439.6887435</v>
      </c>
      <c r="M323" s="30">
        <f t="shared" si="9"/>
        <v>429.9788422</v>
      </c>
      <c r="N323" s="27">
        <f t="shared" si="10"/>
        <v>9.709901324</v>
      </c>
      <c r="O323" s="24"/>
      <c r="P323" s="24"/>
      <c r="Q323" s="24"/>
      <c r="R323" s="26"/>
      <c r="S323" s="14">
        <f t="shared" si="13"/>
        <v>8.916564836</v>
      </c>
      <c r="U323" s="21"/>
      <c r="V323" s="21"/>
    </row>
    <row r="324">
      <c r="A324" s="11">
        <v>312.0</v>
      </c>
      <c r="B324" s="11">
        <v>1.42075217391304E9</v>
      </c>
      <c r="C324" s="2">
        <v>-102.3444138</v>
      </c>
      <c r="D324" s="24">
        <f t="shared" si="1"/>
        <v>352173.913</v>
      </c>
      <c r="E324" s="25">
        <f t="shared" si="2"/>
        <v>-75.30028284</v>
      </c>
      <c r="F324" s="24">
        <f t="shared" si="3"/>
        <v>0.0002138156179</v>
      </c>
      <c r="G324" s="24">
        <f t="shared" si="4"/>
        <v>0</v>
      </c>
      <c r="H324" s="26">
        <f t="shared" si="5"/>
        <v>0</v>
      </c>
      <c r="I324" s="24">
        <f t="shared" si="6"/>
        <v>0</v>
      </c>
      <c r="J324" s="24">
        <f t="shared" si="7"/>
        <v>0</v>
      </c>
      <c r="K324" s="24"/>
      <c r="L324" s="24">
        <f t="shared" si="8"/>
        <v>443.2663742</v>
      </c>
      <c r="M324" s="30">
        <f t="shared" si="9"/>
        <v>429.863579</v>
      </c>
      <c r="N324" s="27">
        <f t="shared" si="10"/>
        <v>13.4027952</v>
      </c>
      <c r="O324" s="24"/>
      <c r="P324" s="24"/>
      <c r="Q324" s="24"/>
      <c r="R324" s="26"/>
      <c r="S324" s="14">
        <f t="shared" si="13"/>
        <v>12.30773497</v>
      </c>
      <c r="U324" s="21"/>
      <c r="V324" s="21"/>
    </row>
    <row r="325">
      <c r="A325" s="11">
        <v>313.0</v>
      </c>
      <c r="B325" s="11">
        <v>1.42075652173913E9</v>
      </c>
      <c r="C325" s="2">
        <v>-102.3634872</v>
      </c>
      <c r="D325" s="24">
        <f t="shared" si="1"/>
        <v>356521.7391</v>
      </c>
      <c r="E325" s="25">
        <f t="shared" si="2"/>
        <v>-76.21857897</v>
      </c>
      <c r="F325" s="24">
        <f t="shared" si="3"/>
        <v>0.0002137838191</v>
      </c>
      <c r="G325" s="24">
        <f t="shared" si="4"/>
        <v>0</v>
      </c>
      <c r="H325" s="26">
        <f t="shared" si="5"/>
        <v>0</v>
      </c>
      <c r="I325" s="24">
        <f t="shared" si="6"/>
        <v>0</v>
      </c>
      <c r="J325" s="24">
        <f t="shared" si="7"/>
        <v>0</v>
      </c>
      <c r="K325" s="24"/>
      <c r="L325" s="24">
        <f t="shared" si="8"/>
        <v>441.3239</v>
      </c>
      <c r="M325" s="30">
        <f t="shared" si="9"/>
        <v>429.7481784</v>
      </c>
      <c r="N325" s="27">
        <f t="shared" si="10"/>
        <v>11.57572153</v>
      </c>
      <c r="O325" s="24"/>
      <c r="P325" s="24"/>
      <c r="Q325" s="24"/>
      <c r="R325" s="26"/>
      <c r="S325" s="14">
        <f t="shared" si="13"/>
        <v>10.62994031</v>
      </c>
      <c r="U325" s="21"/>
      <c r="V325" s="21"/>
    </row>
    <row r="326">
      <c r="A326" s="11">
        <v>314.0</v>
      </c>
      <c r="B326" s="11">
        <v>1.42076086956521E9</v>
      </c>
      <c r="C326" s="2">
        <v>-102.4005356</v>
      </c>
      <c r="D326" s="24">
        <f t="shared" si="1"/>
        <v>360869.5652</v>
      </c>
      <c r="E326" s="25">
        <f t="shared" si="2"/>
        <v>-77.1368751</v>
      </c>
      <c r="F326" s="24">
        <f t="shared" si="3"/>
        <v>0.0002137527864</v>
      </c>
      <c r="G326" s="24">
        <f t="shared" si="4"/>
        <v>0</v>
      </c>
      <c r="H326" s="26">
        <f t="shared" si="5"/>
        <v>0</v>
      </c>
      <c r="I326" s="24">
        <f t="shared" si="6"/>
        <v>0</v>
      </c>
      <c r="J326" s="24">
        <f t="shared" si="7"/>
        <v>0</v>
      </c>
      <c r="K326" s="24"/>
      <c r="L326" s="24">
        <f t="shared" si="8"/>
        <v>437.5751067</v>
      </c>
      <c r="M326" s="30">
        <f t="shared" si="9"/>
        <v>429.6326412</v>
      </c>
      <c r="N326" s="27">
        <f t="shared" si="10"/>
        <v>7.942465484</v>
      </c>
      <c r="O326" s="24"/>
      <c r="P326" s="24"/>
      <c r="Q326" s="24"/>
      <c r="R326" s="26"/>
      <c r="S326" s="14">
        <f t="shared" si="13"/>
        <v>7.293535338</v>
      </c>
      <c r="U326" s="21"/>
      <c r="V326" s="21"/>
    </row>
    <row r="327">
      <c r="A327" s="11">
        <v>315.0</v>
      </c>
      <c r="B327" s="11">
        <v>1.4207652173913E9</v>
      </c>
      <c r="C327" s="2">
        <v>-102.3738327</v>
      </c>
      <c r="D327" s="24">
        <f t="shared" si="1"/>
        <v>365217.3913</v>
      </c>
      <c r="E327" s="25">
        <f t="shared" si="2"/>
        <v>-78.05517123</v>
      </c>
      <c r="F327" s="24">
        <f t="shared" si="3"/>
        <v>0.0002137224927</v>
      </c>
      <c r="G327" s="24">
        <f t="shared" si="4"/>
        <v>0</v>
      </c>
      <c r="H327" s="26">
        <f t="shared" si="5"/>
        <v>0</v>
      </c>
      <c r="I327" s="24">
        <f t="shared" si="6"/>
        <v>0</v>
      </c>
      <c r="J327" s="24">
        <f t="shared" si="7"/>
        <v>0</v>
      </c>
      <c r="K327" s="24"/>
      <c r="L327" s="24">
        <f t="shared" si="8"/>
        <v>440.2738561</v>
      </c>
      <c r="M327" s="30">
        <f t="shared" si="9"/>
        <v>429.5169682</v>
      </c>
      <c r="N327" s="27">
        <f t="shared" si="10"/>
        <v>10.75688789</v>
      </c>
      <c r="O327" s="24"/>
      <c r="P327" s="24"/>
      <c r="Q327" s="24"/>
      <c r="R327" s="26"/>
      <c r="S327" s="14">
        <f t="shared" si="13"/>
        <v>9.878008525</v>
      </c>
      <c r="U327" s="21"/>
      <c r="V327" s="21"/>
    </row>
    <row r="328">
      <c r="A328" s="11">
        <v>316.0</v>
      </c>
      <c r="B328" s="11">
        <v>1.42076956521739E9</v>
      </c>
      <c r="C328" s="2">
        <v>-102.4455338</v>
      </c>
      <c r="D328" s="24">
        <f t="shared" si="1"/>
        <v>369565.2174</v>
      </c>
      <c r="E328" s="25">
        <f t="shared" si="2"/>
        <v>-78.97346736</v>
      </c>
      <c r="F328" s="24">
        <f t="shared" si="3"/>
        <v>0.0002136929117</v>
      </c>
      <c r="G328" s="24">
        <f t="shared" si="4"/>
        <v>0</v>
      </c>
      <c r="H328" s="26">
        <f t="shared" si="5"/>
        <v>0</v>
      </c>
      <c r="I328" s="24">
        <f t="shared" si="6"/>
        <v>0</v>
      </c>
      <c r="J328" s="24">
        <f t="shared" si="7"/>
        <v>0</v>
      </c>
      <c r="K328" s="24"/>
      <c r="L328" s="24">
        <f t="shared" si="8"/>
        <v>433.0647024</v>
      </c>
      <c r="M328" s="30">
        <f t="shared" si="9"/>
        <v>429.4011602</v>
      </c>
      <c r="N328" s="27">
        <f t="shared" si="10"/>
        <v>3.663542285</v>
      </c>
      <c r="O328" s="24"/>
      <c r="P328" s="24"/>
      <c r="Q328" s="24"/>
      <c r="R328" s="26"/>
      <c r="S328" s="14">
        <f t="shared" si="13"/>
        <v>3.364216712</v>
      </c>
      <c r="U328" s="21"/>
      <c r="V328" s="21"/>
    </row>
    <row r="329">
      <c r="A329" s="11">
        <v>317.0</v>
      </c>
      <c r="B329" s="11">
        <v>1.42077391304347E9</v>
      </c>
      <c r="C329" s="2">
        <v>-102.4095764</v>
      </c>
      <c r="D329" s="24">
        <f t="shared" si="1"/>
        <v>373913.0435</v>
      </c>
      <c r="E329" s="25">
        <f t="shared" si="2"/>
        <v>-79.89176349</v>
      </c>
      <c r="F329" s="24">
        <f t="shared" si="3"/>
        <v>0.0002136640187</v>
      </c>
      <c r="G329" s="24">
        <f t="shared" si="4"/>
        <v>0</v>
      </c>
      <c r="H329" s="26">
        <f t="shared" si="5"/>
        <v>0</v>
      </c>
      <c r="I329" s="24">
        <f t="shared" si="6"/>
        <v>0</v>
      </c>
      <c r="J329" s="24">
        <f t="shared" si="7"/>
        <v>0</v>
      </c>
      <c r="K329" s="24"/>
      <c r="L329" s="24">
        <f t="shared" si="8"/>
        <v>436.6651448</v>
      </c>
      <c r="M329" s="30">
        <f t="shared" si="9"/>
        <v>429.2852179</v>
      </c>
      <c r="N329" s="27">
        <f t="shared" si="10"/>
        <v>7.379926949</v>
      </c>
      <c r="O329" s="24"/>
      <c r="P329" s="24"/>
      <c r="Q329" s="24"/>
      <c r="R329" s="26"/>
      <c r="S329" s="14">
        <f t="shared" si="13"/>
        <v>6.776958378</v>
      </c>
      <c r="U329" s="21"/>
      <c r="V329" s="21"/>
    </row>
    <row r="330">
      <c r="A330" s="11">
        <v>318.0</v>
      </c>
      <c r="B330" s="11">
        <v>1.42077826086956E9</v>
      </c>
      <c r="C330" s="2">
        <v>-102.4109421</v>
      </c>
      <c r="D330" s="24">
        <f t="shared" si="1"/>
        <v>378260.8696</v>
      </c>
      <c r="E330" s="25">
        <f t="shared" si="2"/>
        <v>-80.81005963</v>
      </c>
      <c r="F330" s="24">
        <f t="shared" si="3"/>
        <v>0.0002136357898</v>
      </c>
      <c r="G330" s="24">
        <f t="shared" si="4"/>
        <v>0</v>
      </c>
      <c r="H330" s="26">
        <f t="shared" si="5"/>
        <v>0</v>
      </c>
      <c r="I330" s="24">
        <f t="shared" si="6"/>
        <v>0</v>
      </c>
      <c r="J330" s="24">
        <f t="shared" si="7"/>
        <v>0</v>
      </c>
      <c r="K330" s="24"/>
      <c r="L330" s="24">
        <f t="shared" si="8"/>
        <v>436.5278509</v>
      </c>
      <c r="M330" s="30">
        <f t="shared" si="9"/>
        <v>429.1691422</v>
      </c>
      <c r="N330" s="27">
        <f t="shared" si="10"/>
        <v>7.358708721</v>
      </c>
      <c r="O330" s="24"/>
      <c r="P330" s="24"/>
      <c r="Q330" s="24"/>
      <c r="R330" s="26"/>
      <c r="S330" s="14">
        <f t="shared" si="13"/>
        <v>6.757473745</v>
      </c>
      <c r="U330" s="21"/>
      <c r="V330" s="21"/>
    </row>
    <row r="331">
      <c r="A331" s="11">
        <v>319.0</v>
      </c>
      <c r="B331" s="11">
        <v>1.42078260869565E9</v>
      </c>
      <c r="C331" s="2">
        <v>-102.4108734</v>
      </c>
      <c r="D331" s="24">
        <f t="shared" si="1"/>
        <v>382608.6957</v>
      </c>
      <c r="E331" s="25">
        <f t="shared" si="2"/>
        <v>-81.72835576</v>
      </c>
      <c r="F331" s="24">
        <f t="shared" si="3"/>
        <v>0.0002136082026</v>
      </c>
      <c r="G331" s="24">
        <f t="shared" si="4"/>
        <v>0</v>
      </c>
      <c r="H331" s="26">
        <f t="shared" si="5"/>
        <v>0</v>
      </c>
      <c r="I331" s="24">
        <f t="shared" si="6"/>
        <v>0</v>
      </c>
      <c r="J331" s="24">
        <f t="shared" si="7"/>
        <v>0</v>
      </c>
      <c r="K331" s="24"/>
      <c r="L331" s="24">
        <f t="shared" si="8"/>
        <v>436.5347563</v>
      </c>
      <c r="M331" s="30">
        <f t="shared" si="9"/>
        <v>429.0529339</v>
      </c>
      <c r="N331" s="27">
        <f t="shared" si="10"/>
        <v>7.481822382</v>
      </c>
      <c r="O331" s="24"/>
      <c r="P331" s="24"/>
      <c r="Q331" s="24"/>
      <c r="R331" s="26"/>
      <c r="S331" s="14">
        <f t="shared" si="13"/>
        <v>6.87052856</v>
      </c>
      <c r="U331" s="21"/>
      <c r="V331" s="21"/>
    </row>
    <row r="332">
      <c r="A332" s="11">
        <v>320.0</v>
      </c>
      <c r="B332" s="11">
        <v>1.42078695652173E9</v>
      </c>
      <c r="C332" s="2">
        <v>-102.3901138</v>
      </c>
      <c r="D332" s="24">
        <f t="shared" si="1"/>
        <v>386956.5217</v>
      </c>
      <c r="E332" s="25">
        <f t="shared" si="2"/>
        <v>-82.64665189</v>
      </c>
      <c r="F332" s="24">
        <f t="shared" si="3"/>
        <v>0.0002135812352</v>
      </c>
      <c r="G332" s="24">
        <f t="shared" si="4"/>
        <v>0</v>
      </c>
      <c r="H332" s="26">
        <f t="shared" si="5"/>
        <v>0</v>
      </c>
      <c r="I332" s="24">
        <f t="shared" si="6"/>
        <v>0</v>
      </c>
      <c r="J332" s="24">
        <f t="shared" si="7"/>
        <v>0</v>
      </c>
      <c r="K332" s="24"/>
      <c r="L332" s="24">
        <f t="shared" si="8"/>
        <v>438.6264202</v>
      </c>
      <c r="M332" s="30">
        <f t="shared" si="9"/>
        <v>428.9365939</v>
      </c>
      <c r="N332" s="27">
        <f t="shared" si="10"/>
        <v>9.689826314</v>
      </c>
      <c r="O332" s="24"/>
      <c r="P332" s="24"/>
      <c r="Q332" s="24"/>
      <c r="R332" s="26"/>
      <c r="S332" s="14">
        <f t="shared" si="13"/>
        <v>8.898130031</v>
      </c>
      <c r="U332" s="21"/>
      <c r="V332" s="21"/>
    </row>
    <row r="333">
      <c r="A333" s="11">
        <v>321.0</v>
      </c>
      <c r="B333" s="11">
        <v>1.42079130434782E9</v>
      </c>
      <c r="C333" s="2">
        <v>-102.4147568</v>
      </c>
      <c r="D333" s="24">
        <f t="shared" si="1"/>
        <v>391304.3478</v>
      </c>
      <c r="E333" s="25">
        <f t="shared" si="2"/>
        <v>-83.56494802</v>
      </c>
      <c r="F333" s="24">
        <f t="shared" si="3"/>
        <v>0.0002135548672</v>
      </c>
      <c r="G333" s="24">
        <f t="shared" si="4"/>
        <v>0</v>
      </c>
      <c r="H333" s="26">
        <f t="shared" si="5"/>
        <v>0</v>
      </c>
      <c r="I333" s="24">
        <f t="shared" si="6"/>
        <v>0</v>
      </c>
      <c r="J333" s="24">
        <f t="shared" si="7"/>
        <v>0</v>
      </c>
      <c r="K333" s="24"/>
      <c r="L333" s="24">
        <f t="shared" si="8"/>
        <v>436.1445876</v>
      </c>
      <c r="M333" s="30">
        <f t="shared" si="9"/>
        <v>428.8201228</v>
      </c>
      <c r="N333" s="27">
        <f t="shared" si="10"/>
        <v>7.324464791</v>
      </c>
      <c r="O333" s="24"/>
      <c r="P333" s="24"/>
      <c r="Q333" s="24"/>
      <c r="R333" s="26"/>
      <c r="S333" s="14">
        <f t="shared" si="13"/>
        <v>6.726027693</v>
      </c>
      <c r="U333" s="21"/>
      <c r="V333" s="21"/>
    </row>
    <row r="334">
      <c r="A334" s="11">
        <v>322.0</v>
      </c>
      <c r="B334" s="11">
        <v>1.42079565217391E9</v>
      </c>
      <c r="C334" s="2">
        <v>-102.475502</v>
      </c>
      <c r="D334" s="24">
        <f t="shared" si="1"/>
        <v>395652.1739</v>
      </c>
      <c r="E334" s="25">
        <f t="shared" si="2"/>
        <v>-84.48324416</v>
      </c>
      <c r="F334" s="24">
        <f t="shared" si="3"/>
        <v>0.0002135290786</v>
      </c>
      <c r="G334" s="24">
        <f t="shared" si="4"/>
        <v>0</v>
      </c>
      <c r="H334" s="26">
        <f t="shared" si="5"/>
        <v>0</v>
      </c>
      <c r="I334" s="24">
        <f t="shared" si="6"/>
        <v>0</v>
      </c>
      <c r="J334" s="24">
        <f t="shared" si="7"/>
        <v>0</v>
      </c>
      <c r="K334" s="24"/>
      <c r="L334" s="24">
        <f t="shared" si="8"/>
        <v>430.0866552</v>
      </c>
      <c r="M334" s="30">
        <f t="shared" si="9"/>
        <v>428.7035215</v>
      </c>
      <c r="N334" s="27">
        <f t="shared" si="10"/>
        <v>1.383133672</v>
      </c>
      <c r="O334" s="24"/>
      <c r="P334" s="24"/>
      <c r="Q334" s="24"/>
      <c r="R334" s="26"/>
      <c r="S334" s="14">
        <f t="shared" si="13"/>
        <v>1.270126299</v>
      </c>
      <c r="U334" s="21"/>
      <c r="V334" s="21"/>
    </row>
    <row r="335">
      <c r="A335" s="11">
        <v>323.0</v>
      </c>
      <c r="B335" s="11">
        <v>1.4208E9</v>
      </c>
      <c r="C335" s="2">
        <v>-102.4285431</v>
      </c>
      <c r="D335" s="24">
        <f t="shared" si="1"/>
        <v>400000</v>
      </c>
      <c r="E335" s="25">
        <f t="shared" si="2"/>
        <v>-85.40154029</v>
      </c>
      <c r="F335" s="24">
        <f t="shared" si="3"/>
        <v>0.0002135038507</v>
      </c>
      <c r="G335" s="24">
        <f t="shared" si="4"/>
        <v>0</v>
      </c>
      <c r="H335" s="26">
        <f t="shared" si="5"/>
        <v>0</v>
      </c>
      <c r="I335" s="24">
        <f t="shared" si="6"/>
        <v>0</v>
      </c>
      <c r="J335" s="24">
        <f t="shared" si="7"/>
        <v>0</v>
      </c>
      <c r="K335" s="24"/>
      <c r="L335" s="24">
        <f t="shared" si="8"/>
        <v>434.7622797</v>
      </c>
      <c r="M335" s="30">
        <f t="shared" si="9"/>
        <v>428.5867908</v>
      </c>
      <c r="N335" s="27">
        <f t="shared" si="10"/>
        <v>6.17548891</v>
      </c>
      <c r="O335" s="24"/>
      <c r="P335" s="24"/>
      <c r="Q335" s="24"/>
      <c r="R335" s="26"/>
      <c r="S335" s="14">
        <f t="shared" si="13"/>
        <v>5.670927584</v>
      </c>
      <c r="U335" s="21"/>
      <c r="V335" s="21"/>
    </row>
    <row r="336">
      <c r="A336" s="11">
        <v>324.0</v>
      </c>
      <c r="B336" s="11">
        <v>1.42080434782608E9</v>
      </c>
      <c r="C336" s="2">
        <v>-102.4357834</v>
      </c>
      <c r="D336" s="24">
        <f t="shared" si="1"/>
        <v>404347.8261</v>
      </c>
      <c r="E336" s="25">
        <f t="shared" si="2"/>
        <v>-86.31983642</v>
      </c>
      <c r="F336" s="24">
        <f t="shared" si="3"/>
        <v>0.0002134791653</v>
      </c>
      <c r="G336" s="24">
        <f t="shared" si="4"/>
        <v>0</v>
      </c>
      <c r="H336" s="26">
        <f t="shared" si="5"/>
        <v>0</v>
      </c>
      <c r="I336" s="24">
        <f t="shared" si="6"/>
        <v>0</v>
      </c>
      <c r="J336" s="24">
        <f t="shared" si="7"/>
        <v>0</v>
      </c>
      <c r="K336" s="24"/>
      <c r="L336" s="24">
        <f t="shared" si="8"/>
        <v>434.0380737</v>
      </c>
      <c r="M336" s="30">
        <f t="shared" si="9"/>
        <v>428.4699316</v>
      </c>
      <c r="N336" s="27">
        <f t="shared" si="10"/>
        <v>5.568142132</v>
      </c>
      <c r="O336" s="24"/>
      <c r="P336" s="24"/>
      <c r="Q336" s="24"/>
      <c r="R336" s="26"/>
      <c r="S336" s="14">
        <f t="shared" si="13"/>
        <v>5.113203387</v>
      </c>
      <c r="U336" s="21"/>
      <c r="V336" s="21"/>
    </row>
    <row r="337">
      <c r="A337" s="11">
        <v>325.0</v>
      </c>
      <c r="B337" s="11">
        <v>1.42080869565217E9</v>
      </c>
      <c r="C337" s="2">
        <v>-102.4980927</v>
      </c>
      <c r="D337" s="24">
        <f t="shared" si="1"/>
        <v>408695.6522</v>
      </c>
      <c r="E337" s="25">
        <f t="shared" si="2"/>
        <v>-87.23813255</v>
      </c>
      <c r="F337" s="24">
        <f t="shared" si="3"/>
        <v>0.0002134550052</v>
      </c>
      <c r="G337" s="24">
        <f t="shared" si="4"/>
        <v>0</v>
      </c>
      <c r="H337" s="26">
        <f t="shared" si="5"/>
        <v>0</v>
      </c>
      <c r="I337" s="24">
        <f t="shared" si="6"/>
        <v>0</v>
      </c>
      <c r="J337" s="24">
        <f t="shared" si="7"/>
        <v>0</v>
      </c>
      <c r="K337" s="24"/>
      <c r="L337" s="24">
        <f t="shared" si="8"/>
        <v>427.8552815</v>
      </c>
      <c r="M337" s="30">
        <f t="shared" si="9"/>
        <v>428.3529445</v>
      </c>
      <c r="N337" s="27">
        <f t="shared" si="10"/>
        <v>-0.497662989</v>
      </c>
      <c r="O337" s="24"/>
      <c r="P337" s="24"/>
      <c r="Q337" s="24"/>
      <c r="R337" s="26"/>
      <c r="S337" s="14">
        <f t="shared" si="13"/>
        <v>-0.4570019971</v>
      </c>
      <c r="U337" s="21"/>
      <c r="V337" s="21"/>
    </row>
    <row r="338">
      <c r="A338" s="11">
        <v>326.0</v>
      </c>
      <c r="B338" s="11">
        <v>1.42081304347826E9</v>
      </c>
      <c r="C338" s="2">
        <v>-102.4695663</v>
      </c>
      <c r="D338" s="24">
        <f t="shared" si="1"/>
        <v>413043.4783</v>
      </c>
      <c r="E338" s="25">
        <f t="shared" si="2"/>
        <v>-88.15642868</v>
      </c>
      <c r="F338" s="24">
        <f t="shared" si="3"/>
        <v>0.0002134313537</v>
      </c>
      <c r="G338" s="24">
        <f t="shared" si="4"/>
        <v>0</v>
      </c>
      <c r="H338" s="26">
        <f t="shared" si="5"/>
        <v>0</v>
      </c>
      <c r="I338" s="24">
        <f t="shared" si="6"/>
        <v>0</v>
      </c>
      <c r="J338" s="24">
        <f t="shared" si="7"/>
        <v>0</v>
      </c>
      <c r="K338" s="24"/>
      <c r="L338" s="24">
        <f t="shared" si="8"/>
        <v>430.674876</v>
      </c>
      <c r="M338" s="30">
        <f t="shared" si="9"/>
        <v>428.2358305</v>
      </c>
      <c r="N338" s="27">
        <f t="shared" si="10"/>
        <v>2.439045541</v>
      </c>
      <c r="O338" s="24"/>
      <c r="P338" s="24"/>
      <c r="Q338" s="24"/>
      <c r="R338" s="26"/>
      <c r="S338" s="14">
        <f t="shared" si="13"/>
        <v>2.239766088</v>
      </c>
      <c r="U338" s="21"/>
      <c r="V338" s="21"/>
    </row>
    <row r="339">
      <c r="A339" s="11">
        <v>327.0</v>
      </c>
      <c r="B339" s="11">
        <v>1.42081739130434E9</v>
      </c>
      <c r="C339" s="2">
        <v>-102.5170822</v>
      </c>
      <c r="D339" s="24">
        <f t="shared" si="1"/>
        <v>417391.3043</v>
      </c>
      <c r="E339" s="25">
        <f t="shared" si="2"/>
        <v>-89.07472482</v>
      </c>
      <c r="F339" s="24">
        <f t="shared" si="3"/>
        <v>0.0002134081949</v>
      </c>
      <c r="G339" s="24">
        <f t="shared" si="4"/>
        <v>0</v>
      </c>
      <c r="H339" s="26">
        <f t="shared" si="5"/>
        <v>0</v>
      </c>
      <c r="I339" s="24">
        <f t="shared" si="6"/>
        <v>0</v>
      </c>
      <c r="J339" s="24">
        <f t="shared" si="7"/>
        <v>0</v>
      </c>
      <c r="K339" s="24"/>
      <c r="L339" s="24">
        <f t="shared" si="8"/>
        <v>425.988571</v>
      </c>
      <c r="M339" s="30">
        <f t="shared" si="9"/>
        <v>428.1185903</v>
      </c>
      <c r="N339" s="27">
        <f t="shared" si="10"/>
        <v>-2.130019316</v>
      </c>
      <c r="O339" s="24"/>
      <c r="P339" s="24"/>
      <c r="Q339" s="24"/>
      <c r="R339" s="26"/>
      <c r="S339" s="14">
        <f t="shared" si="13"/>
        <v>-1.9559885</v>
      </c>
      <c r="U339" s="21"/>
      <c r="V339" s="21"/>
    </row>
    <row r="340">
      <c r="A340" s="11">
        <v>328.0</v>
      </c>
      <c r="B340" s="11">
        <v>1.42082173913043E9</v>
      </c>
      <c r="C340" s="2">
        <v>-102.4747086</v>
      </c>
      <c r="D340" s="24">
        <f t="shared" si="1"/>
        <v>421739.1304</v>
      </c>
      <c r="E340" s="25">
        <f t="shared" si="2"/>
        <v>-89.99302095</v>
      </c>
      <c r="F340" s="24">
        <f t="shared" si="3"/>
        <v>0.0002133855136</v>
      </c>
      <c r="G340" s="24">
        <f t="shared" si="4"/>
        <v>0</v>
      </c>
      <c r="H340" s="26">
        <f t="shared" si="5"/>
        <v>0</v>
      </c>
      <c r="I340" s="24">
        <f t="shared" si="6"/>
        <v>0</v>
      </c>
      <c r="J340" s="24">
        <f t="shared" si="7"/>
        <v>0</v>
      </c>
      <c r="K340" s="24"/>
      <c r="L340" s="24">
        <f t="shared" si="8"/>
        <v>430.1652336</v>
      </c>
      <c r="M340" s="30">
        <f t="shared" si="9"/>
        <v>428.0012247</v>
      </c>
      <c r="N340" s="27">
        <f t="shared" si="10"/>
        <v>2.164008949</v>
      </c>
      <c r="O340" s="24"/>
      <c r="P340" s="24"/>
      <c r="Q340" s="24"/>
      <c r="R340" s="26"/>
      <c r="S340" s="14">
        <f t="shared" si="13"/>
        <v>1.987201045</v>
      </c>
      <c r="U340" s="21"/>
      <c r="V340" s="21"/>
    </row>
    <row r="341">
      <c r="A341" s="11">
        <v>329.0</v>
      </c>
      <c r="B341" s="11">
        <v>1.42082608695652E9</v>
      </c>
      <c r="C341" s="2">
        <v>-102.4724808</v>
      </c>
      <c r="D341" s="24">
        <f t="shared" si="1"/>
        <v>426086.9565</v>
      </c>
      <c r="E341" s="25">
        <f t="shared" si="2"/>
        <v>-90.91131708</v>
      </c>
      <c r="F341" s="24">
        <f t="shared" si="3"/>
        <v>0.0002133632952</v>
      </c>
      <c r="G341" s="24">
        <f t="shared" si="4"/>
        <v>0</v>
      </c>
      <c r="H341" s="26">
        <f t="shared" si="5"/>
        <v>0</v>
      </c>
      <c r="I341" s="24">
        <f t="shared" si="6"/>
        <v>0</v>
      </c>
      <c r="J341" s="24">
        <f t="shared" si="7"/>
        <v>0</v>
      </c>
      <c r="K341" s="24"/>
      <c r="L341" s="24">
        <f t="shared" si="8"/>
        <v>430.3859521</v>
      </c>
      <c r="M341" s="30">
        <f t="shared" si="9"/>
        <v>427.8837345</v>
      </c>
      <c r="N341" s="27">
        <f t="shared" si="10"/>
        <v>2.502217538</v>
      </c>
      <c r="O341" s="24"/>
      <c r="P341" s="24"/>
      <c r="Q341" s="24"/>
      <c r="R341" s="26"/>
      <c r="S341" s="14">
        <f t="shared" si="13"/>
        <v>2.297776688</v>
      </c>
      <c r="U341" s="21"/>
      <c r="V341" s="21"/>
    </row>
    <row r="342">
      <c r="A342" s="11">
        <v>330.0</v>
      </c>
      <c r="B342" s="11">
        <v>1.4208304347826E9</v>
      </c>
      <c r="C342" s="2">
        <v>-102.4425201</v>
      </c>
      <c r="D342" s="24">
        <f t="shared" si="1"/>
        <v>430434.7826</v>
      </c>
      <c r="E342" s="25">
        <f t="shared" si="2"/>
        <v>-91.82961321</v>
      </c>
      <c r="F342" s="24">
        <f t="shared" si="3"/>
        <v>0.0002133415256</v>
      </c>
      <c r="G342" s="24">
        <f t="shared" si="4"/>
        <v>0</v>
      </c>
      <c r="H342" s="26">
        <f t="shared" si="5"/>
        <v>0</v>
      </c>
      <c r="I342" s="24">
        <f t="shared" si="6"/>
        <v>0</v>
      </c>
      <c r="J342" s="24">
        <f t="shared" si="7"/>
        <v>0</v>
      </c>
      <c r="K342" s="24"/>
      <c r="L342" s="24">
        <f t="shared" si="8"/>
        <v>433.3653234</v>
      </c>
      <c r="M342" s="30">
        <f t="shared" si="9"/>
        <v>427.7661206</v>
      </c>
      <c r="N342" s="27">
        <f t="shared" si="10"/>
        <v>5.599202759</v>
      </c>
      <c r="O342" s="24"/>
      <c r="P342" s="24"/>
      <c r="Q342" s="24"/>
      <c r="R342" s="26"/>
      <c r="S342" s="14">
        <f t="shared" si="13"/>
        <v>5.14172624</v>
      </c>
      <c r="U342" s="21"/>
      <c r="V342" s="21"/>
    </row>
    <row r="343">
      <c r="A343" s="11">
        <v>331.0</v>
      </c>
      <c r="B343" s="11">
        <v>1.42083478260869E9</v>
      </c>
      <c r="C343" s="2">
        <v>-102.4578934</v>
      </c>
      <c r="D343" s="24">
        <f t="shared" si="1"/>
        <v>434782.6087</v>
      </c>
      <c r="E343" s="25">
        <f t="shared" si="2"/>
        <v>-92.74790935</v>
      </c>
      <c r="F343" s="24">
        <f t="shared" si="3"/>
        <v>0.0002133201915</v>
      </c>
      <c r="G343" s="24">
        <f t="shared" si="4"/>
        <v>0</v>
      </c>
      <c r="H343" s="26">
        <f t="shared" si="5"/>
        <v>0</v>
      </c>
      <c r="I343" s="24">
        <f t="shared" si="6"/>
        <v>0</v>
      </c>
      <c r="J343" s="24">
        <f t="shared" si="7"/>
        <v>0</v>
      </c>
      <c r="K343" s="24"/>
      <c r="L343" s="24">
        <f t="shared" si="8"/>
        <v>431.8339943</v>
      </c>
      <c r="M343" s="30">
        <f t="shared" si="9"/>
        <v>427.6483837</v>
      </c>
      <c r="N343" s="27">
        <f t="shared" si="10"/>
        <v>4.185610648</v>
      </c>
      <c r="O343" s="24"/>
      <c r="P343" s="24"/>
      <c r="Q343" s="24"/>
      <c r="R343" s="26"/>
      <c r="S343" s="14">
        <f t="shared" si="13"/>
        <v>3.843630072</v>
      </c>
      <c r="U343" s="21"/>
      <c r="V343" s="21"/>
    </row>
    <row r="344">
      <c r="A344" s="11">
        <v>332.0</v>
      </c>
      <c r="B344" s="11">
        <v>1.42083913043478E9</v>
      </c>
      <c r="C344" s="2">
        <v>-102.4444962</v>
      </c>
      <c r="D344" s="24">
        <f t="shared" si="1"/>
        <v>439130.4348</v>
      </c>
      <c r="E344" s="25">
        <f t="shared" si="2"/>
        <v>-93.66620548</v>
      </c>
      <c r="F344" s="24">
        <f t="shared" si="3"/>
        <v>0.0002132992798</v>
      </c>
      <c r="G344" s="24">
        <f t="shared" si="4"/>
        <v>0</v>
      </c>
      <c r="H344" s="26">
        <f t="shared" si="5"/>
        <v>0</v>
      </c>
      <c r="I344" s="24">
        <f t="shared" si="6"/>
        <v>0</v>
      </c>
      <c r="J344" s="24">
        <f t="shared" si="7"/>
        <v>0</v>
      </c>
      <c r="K344" s="24"/>
      <c r="L344" s="24">
        <f t="shared" si="8"/>
        <v>433.168181</v>
      </c>
      <c r="M344" s="30">
        <f t="shared" si="9"/>
        <v>427.5305246</v>
      </c>
      <c r="N344" s="27">
        <f t="shared" si="10"/>
        <v>5.637656356</v>
      </c>
      <c r="O344" s="24"/>
      <c r="P344" s="24"/>
      <c r="Q344" s="24"/>
      <c r="R344" s="26"/>
      <c r="S344" s="14">
        <f t="shared" si="13"/>
        <v>5.177038018</v>
      </c>
      <c r="U344" s="21"/>
      <c r="V344" s="21"/>
    </row>
    <row r="345">
      <c r="A345" s="11">
        <v>333.0</v>
      </c>
      <c r="B345" s="11">
        <v>1.42084347826087E9</v>
      </c>
      <c r="C345" s="2">
        <v>-102.4197235</v>
      </c>
      <c r="D345" s="24">
        <f t="shared" si="1"/>
        <v>443478.2609</v>
      </c>
      <c r="E345" s="25">
        <f t="shared" si="2"/>
        <v>-94.58450161</v>
      </c>
      <c r="F345" s="24">
        <f t="shared" si="3"/>
        <v>0.0002132787781</v>
      </c>
      <c r="G345" s="24">
        <f t="shared" si="4"/>
        <v>0</v>
      </c>
      <c r="H345" s="26">
        <f t="shared" si="5"/>
        <v>0</v>
      </c>
      <c r="I345" s="24">
        <f t="shared" si="6"/>
        <v>0</v>
      </c>
      <c r="J345" s="24">
        <f t="shared" si="7"/>
        <v>0</v>
      </c>
      <c r="K345" s="24"/>
      <c r="L345" s="24">
        <f t="shared" si="8"/>
        <v>435.6460869</v>
      </c>
      <c r="M345" s="30">
        <f t="shared" si="9"/>
        <v>427.4125442</v>
      </c>
      <c r="N345" s="27">
        <f t="shared" si="10"/>
        <v>8.233542641</v>
      </c>
      <c r="O345" s="24"/>
      <c r="P345" s="24"/>
      <c r="Q345" s="24"/>
      <c r="R345" s="26"/>
      <c r="S345" s="14">
        <f t="shared" si="13"/>
        <v>7.560830366</v>
      </c>
      <c r="U345" s="21"/>
      <c r="V345" s="21"/>
    </row>
    <row r="346">
      <c r="A346" s="11">
        <v>334.0</v>
      </c>
      <c r="B346" s="11">
        <v>1.42084782608695E9</v>
      </c>
      <c r="C346" s="2">
        <v>-102.5166092</v>
      </c>
      <c r="D346" s="24">
        <f t="shared" si="1"/>
        <v>447826.087</v>
      </c>
      <c r="E346" s="25">
        <f t="shared" si="2"/>
        <v>-95.50279774</v>
      </c>
      <c r="F346" s="24">
        <f t="shared" si="3"/>
        <v>0.0002132586746</v>
      </c>
      <c r="G346" s="24">
        <f t="shared" si="4"/>
        <v>0</v>
      </c>
      <c r="H346" s="26">
        <f t="shared" si="5"/>
        <v>0</v>
      </c>
      <c r="I346" s="24">
        <f t="shared" si="6"/>
        <v>0</v>
      </c>
      <c r="J346" s="24">
        <f t="shared" si="7"/>
        <v>0</v>
      </c>
      <c r="K346" s="24"/>
      <c r="L346" s="24">
        <f t="shared" si="8"/>
        <v>426.0349689</v>
      </c>
      <c r="M346" s="30">
        <f t="shared" si="9"/>
        <v>427.2944432</v>
      </c>
      <c r="N346" s="27">
        <f t="shared" si="10"/>
        <v>-1.259474356</v>
      </c>
      <c r="O346" s="24"/>
      <c r="P346" s="24"/>
      <c r="Q346" s="24"/>
      <c r="R346" s="26"/>
      <c r="S346" s="14">
        <f t="shared" si="13"/>
        <v>-1.15657043</v>
      </c>
      <c r="U346" s="21"/>
      <c r="V346" s="21"/>
    </row>
    <row r="347">
      <c r="A347" s="11">
        <v>335.0</v>
      </c>
      <c r="B347" s="11">
        <v>1.42085217391304E9</v>
      </c>
      <c r="C347" s="2">
        <v>-102.5507202</v>
      </c>
      <c r="D347" s="24">
        <f t="shared" si="1"/>
        <v>452173.913</v>
      </c>
      <c r="E347" s="25">
        <f t="shared" si="2"/>
        <v>-96.42109387</v>
      </c>
      <c r="F347" s="24">
        <f t="shared" si="3"/>
        <v>0.0002132389576</v>
      </c>
      <c r="G347" s="24">
        <f t="shared" si="4"/>
        <v>0</v>
      </c>
      <c r="H347" s="26">
        <f t="shared" si="5"/>
        <v>0</v>
      </c>
      <c r="I347" s="24">
        <f t="shared" si="6"/>
        <v>0</v>
      </c>
      <c r="J347" s="24">
        <f t="shared" si="7"/>
        <v>0</v>
      </c>
      <c r="K347" s="24"/>
      <c r="L347" s="24">
        <f t="shared" si="8"/>
        <v>422.7018488</v>
      </c>
      <c r="M347" s="30">
        <f t="shared" si="9"/>
        <v>427.1762225</v>
      </c>
      <c r="N347" s="27">
        <f t="shared" si="10"/>
        <v>-4.474373655</v>
      </c>
      <c r="O347" s="24"/>
      <c r="P347" s="24"/>
      <c r="Q347" s="24"/>
      <c r="R347" s="26"/>
      <c r="S347" s="14">
        <f t="shared" si="13"/>
        <v>-4.108800015</v>
      </c>
      <c r="U347" s="21"/>
      <c r="V347" s="21"/>
    </row>
    <row r="348">
      <c r="A348" s="11">
        <v>336.0</v>
      </c>
      <c r="B348" s="11">
        <v>1.42085652173913E9</v>
      </c>
      <c r="C348" s="2">
        <v>-102.4698334</v>
      </c>
      <c r="D348" s="24">
        <f t="shared" si="1"/>
        <v>456521.7391</v>
      </c>
      <c r="E348" s="25">
        <f t="shared" si="2"/>
        <v>-97.33939</v>
      </c>
      <c r="F348" s="24">
        <f t="shared" si="3"/>
        <v>0.0002132196162</v>
      </c>
      <c r="G348" s="24">
        <f t="shared" si="4"/>
        <v>0</v>
      </c>
      <c r="H348" s="26">
        <f t="shared" si="5"/>
        <v>0</v>
      </c>
      <c r="I348" s="24">
        <f t="shared" si="6"/>
        <v>0</v>
      </c>
      <c r="J348" s="24">
        <f t="shared" si="7"/>
        <v>0</v>
      </c>
      <c r="K348" s="24"/>
      <c r="L348" s="24">
        <f t="shared" si="8"/>
        <v>430.6483895</v>
      </c>
      <c r="M348" s="30">
        <f t="shared" si="9"/>
        <v>427.0578828</v>
      </c>
      <c r="N348" s="27">
        <f t="shared" si="10"/>
        <v>3.590506646</v>
      </c>
      <c r="O348" s="24"/>
      <c r="P348" s="24"/>
      <c r="Q348" s="24"/>
      <c r="R348" s="26"/>
      <c r="S348" s="14">
        <f t="shared" si="13"/>
        <v>3.297148368</v>
      </c>
      <c r="U348" s="21"/>
      <c r="V348" s="21"/>
    </row>
    <row r="349">
      <c r="A349" s="11">
        <v>337.0</v>
      </c>
      <c r="B349" s="11">
        <v>1.42086086956521E9</v>
      </c>
      <c r="C349" s="2">
        <v>-102.4565811</v>
      </c>
      <c r="D349" s="24">
        <f t="shared" si="1"/>
        <v>460869.5652</v>
      </c>
      <c r="E349" s="25">
        <f t="shared" si="2"/>
        <v>-98.25768614</v>
      </c>
      <c r="F349" s="24">
        <f t="shared" si="3"/>
        <v>0.0002132006397</v>
      </c>
      <c r="G349" s="24">
        <f t="shared" si="4"/>
        <v>0</v>
      </c>
      <c r="H349" s="26">
        <f t="shared" si="5"/>
        <v>0</v>
      </c>
      <c r="I349" s="24">
        <f t="shared" si="6"/>
        <v>0</v>
      </c>
      <c r="J349" s="24">
        <f t="shared" si="7"/>
        <v>0</v>
      </c>
      <c r="K349" s="24"/>
      <c r="L349" s="24">
        <f t="shared" si="8"/>
        <v>431.9645006</v>
      </c>
      <c r="M349" s="30">
        <f t="shared" si="9"/>
        <v>426.939425</v>
      </c>
      <c r="N349" s="27">
        <f t="shared" si="10"/>
        <v>5.025075595</v>
      </c>
      <c r="O349" s="24"/>
      <c r="P349" s="24"/>
      <c r="Q349" s="24"/>
      <c r="R349" s="26"/>
      <c r="S349" s="14">
        <f t="shared" si="13"/>
        <v>4.614507486</v>
      </c>
      <c r="U349" s="21"/>
      <c r="V349" s="21"/>
    </row>
    <row r="350">
      <c r="A350" s="11">
        <v>338.0</v>
      </c>
      <c r="B350" s="11">
        <v>1.4208652173913E9</v>
      </c>
      <c r="C350" s="2">
        <v>-102.4691238</v>
      </c>
      <c r="D350" s="24">
        <f t="shared" si="1"/>
        <v>465217.3913</v>
      </c>
      <c r="E350" s="25">
        <f t="shared" si="2"/>
        <v>-99.17598227</v>
      </c>
      <c r="F350" s="24">
        <f t="shared" si="3"/>
        <v>0.000213182018</v>
      </c>
      <c r="G350" s="24">
        <f t="shared" si="4"/>
        <v>0</v>
      </c>
      <c r="H350" s="26">
        <f t="shared" si="5"/>
        <v>0</v>
      </c>
      <c r="I350" s="24">
        <f t="shared" si="6"/>
        <v>0</v>
      </c>
      <c r="J350" s="24">
        <f t="shared" si="7"/>
        <v>0</v>
      </c>
      <c r="K350" s="24"/>
      <c r="L350" s="24">
        <f t="shared" si="8"/>
        <v>430.7187595</v>
      </c>
      <c r="M350" s="30">
        <f t="shared" si="9"/>
        <v>426.8208498</v>
      </c>
      <c r="N350" s="27">
        <f t="shared" si="10"/>
        <v>3.897909659</v>
      </c>
      <c r="O350" s="24"/>
      <c r="P350" s="24"/>
      <c r="Q350" s="24"/>
      <c r="R350" s="26"/>
      <c r="S350" s="14">
        <f t="shared" si="13"/>
        <v>3.579435357</v>
      </c>
      <c r="U350" s="21"/>
      <c r="V350" s="21"/>
    </row>
    <row r="351">
      <c r="A351" s="11">
        <v>339.0</v>
      </c>
      <c r="B351" s="11">
        <v>1.42086956521739E9</v>
      </c>
      <c r="C351" s="2">
        <v>-102.5636673</v>
      </c>
      <c r="D351" s="24">
        <f t="shared" si="1"/>
        <v>469565.2174</v>
      </c>
      <c r="E351" s="25">
        <f t="shared" si="2"/>
        <v>-100.0942784</v>
      </c>
      <c r="F351" s="24">
        <f t="shared" si="3"/>
        <v>0.000213163741</v>
      </c>
      <c r="G351" s="24">
        <f t="shared" si="4"/>
        <v>0</v>
      </c>
      <c r="H351" s="26">
        <f t="shared" si="5"/>
        <v>0</v>
      </c>
      <c r="I351" s="24">
        <f t="shared" si="6"/>
        <v>0</v>
      </c>
      <c r="J351" s="24">
        <f t="shared" si="7"/>
        <v>0</v>
      </c>
      <c r="K351" s="24"/>
      <c r="L351" s="24">
        <f t="shared" si="8"/>
        <v>421.4435751</v>
      </c>
      <c r="M351" s="30">
        <f t="shared" si="9"/>
        <v>426.7021581</v>
      </c>
      <c r="N351" s="27">
        <f t="shared" si="10"/>
        <v>-5.258583027</v>
      </c>
      <c r="O351" s="24"/>
      <c r="P351" s="24"/>
      <c r="Q351" s="24"/>
      <c r="R351" s="26"/>
      <c r="S351" s="14">
        <f t="shared" si="13"/>
        <v>-4.828936458</v>
      </c>
      <c r="U351" s="21"/>
      <c r="V351" s="21"/>
    </row>
    <row r="352">
      <c r="A352" s="11">
        <v>340.0</v>
      </c>
      <c r="B352" s="11">
        <v>1.42087391304347E9</v>
      </c>
      <c r="C352" s="2">
        <v>-102.4721603</v>
      </c>
      <c r="D352" s="24">
        <f t="shared" si="1"/>
        <v>473913.0435</v>
      </c>
      <c r="E352" s="25">
        <f t="shared" si="2"/>
        <v>-101.0125745</v>
      </c>
      <c r="F352" s="24">
        <f t="shared" si="3"/>
        <v>0.0002131457995</v>
      </c>
      <c r="G352" s="24">
        <f t="shared" si="4"/>
        <v>0</v>
      </c>
      <c r="H352" s="26">
        <f t="shared" si="5"/>
        <v>0</v>
      </c>
      <c r="I352" s="24">
        <f t="shared" si="6"/>
        <v>0</v>
      </c>
      <c r="J352" s="24">
        <f t="shared" si="7"/>
        <v>0</v>
      </c>
      <c r="K352" s="24"/>
      <c r="L352" s="24">
        <f t="shared" si="8"/>
        <v>430.4177148</v>
      </c>
      <c r="M352" s="30">
        <f t="shared" si="9"/>
        <v>426.5833506</v>
      </c>
      <c r="N352" s="27">
        <f t="shared" si="10"/>
        <v>3.834364151</v>
      </c>
      <c r="O352" s="24"/>
      <c r="P352" s="24"/>
      <c r="Q352" s="24"/>
      <c r="R352" s="26"/>
      <c r="S352" s="14">
        <f t="shared" si="13"/>
        <v>3.521081771</v>
      </c>
      <c r="U352" s="21"/>
      <c r="V352" s="21"/>
    </row>
    <row r="353">
      <c r="A353" s="11">
        <v>341.0</v>
      </c>
      <c r="B353" s="11">
        <v>1.42087826086956E9</v>
      </c>
      <c r="C353" s="2">
        <v>-102.4728165</v>
      </c>
      <c r="D353" s="24">
        <f t="shared" si="1"/>
        <v>478260.8696</v>
      </c>
      <c r="E353" s="25">
        <f t="shared" si="2"/>
        <v>-101.9308707</v>
      </c>
      <c r="F353" s="24">
        <f t="shared" si="3"/>
        <v>0.0002131281841</v>
      </c>
      <c r="G353" s="24">
        <f t="shared" si="4"/>
        <v>0</v>
      </c>
      <c r="H353" s="26">
        <f t="shared" si="5"/>
        <v>0</v>
      </c>
      <c r="I353" s="24">
        <f t="shared" si="6"/>
        <v>0</v>
      </c>
      <c r="J353" s="24">
        <f t="shared" si="7"/>
        <v>0</v>
      </c>
      <c r="K353" s="24"/>
      <c r="L353" s="24">
        <f t="shared" si="8"/>
        <v>430.3526855</v>
      </c>
      <c r="M353" s="30">
        <f t="shared" si="9"/>
        <v>426.4644283</v>
      </c>
      <c r="N353" s="27">
        <f t="shared" si="10"/>
        <v>3.88825721</v>
      </c>
      <c r="O353" s="24"/>
      <c r="P353" s="24"/>
      <c r="Q353" s="24"/>
      <c r="R353" s="26"/>
      <c r="S353" s="14">
        <f t="shared" si="13"/>
        <v>3.570571551</v>
      </c>
      <c r="U353" s="21"/>
      <c r="V353" s="21"/>
    </row>
    <row r="354">
      <c r="A354" s="11">
        <v>342.0</v>
      </c>
      <c r="B354" s="11">
        <v>1.42088260869565E9</v>
      </c>
      <c r="C354" s="2">
        <v>-102.4867935</v>
      </c>
      <c r="D354" s="24">
        <f t="shared" si="1"/>
        <v>482608.6957</v>
      </c>
      <c r="E354" s="25">
        <f t="shared" si="2"/>
        <v>-102.8491668</v>
      </c>
      <c r="F354" s="24">
        <f t="shared" si="3"/>
        <v>0.0002131108862</v>
      </c>
      <c r="G354" s="24">
        <f t="shared" si="4"/>
        <v>0</v>
      </c>
      <c r="H354" s="26">
        <f t="shared" si="5"/>
        <v>0</v>
      </c>
      <c r="I354" s="24">
        <f t="shared" si="6"/>
        <v>0</v>
      </c>
      <c r="J354" s="24">
        <f t="shared" si="7"/>
        <v>0</v>
      </c>
      <c r="K354" s="24"/>
      <c r="L354" s="24">
        <f t="shared" si="8"/>
        <v>428.9698978</v>
      </c>
      <c r="M354" s="30">
        <f t="shared" si="9"/>
        <v>426.3453917</v>
      </c>
      <c r="N354" s="27">
        <f t="shared" si="10"/>
        <v>2.624506022</v>
      </c>
      <c r="O354" s="24"/>
      <c r="P354" s="24"/>
      <c r="Q354" s="24"/>
      <c r="R354" s="26"/>
      <c r="S354" s="14">
        <f t="shared" si="13"/>
        <v>2.41007373</v>
      </c>
      <c r="U354" s="21"/>
      <c r="V354" s="21"/>
    </row>
    <row r="355">
      <c r="A355" s="11">
        <v>343.0</v>
      </c>
      <c r="B355" s="11">
        <v>1.42088695652173E9</v>
      </c>
      <c r="C355" s="2">
        <v>-102.5524826</v>
      </c>
      <c r="D355" s="24">
        <f t="shared" si="1"/>
        <v>486956.5217</v>
      </c>
      <c r="E355" s="25">
        <f t="shared" si="2"/>
        <v>-103.7674629</v>
      </c>
      <c r="F355" s="24">
        <f t="shared" si="3"/>
        <v>0.0002130938971</v>
      </c>
      <c r="G355" s="24">
        <f t="shared" si="4"/>
        <v>0</v>
      </c>
      <c r="H355" s="26">
        <f t="shared" si="5"/>
        <v>0</v>
      </c>
      <c r="I355" s="24">
        <f t="shared" si="6"/>
        <v>0</v>
      </c>
      <c r="J355" s="24">
        <f t="shared" si="7"/>
        <v>0</v>
      </c>
      <c r="K355" s="24"/>
      <c r="L355" s="24">
        <f t="shared" si="8"/>
        <v>422.530348</v>
      </c>
      <c r="M355" s="30">
        <f t="shared" si="9"/>
        <v>426.2262419</v>
      </c>
      <c r="N355" s="27">
        <f t="shared" si="10"/>
        <v>-3.695893886</v>
      </c>
      <c r="O355" s="24"/>
      <c r="P355" s="24"/>
      <c r="Q355" s="24"/>
      <c r="R355" s="26"/>
      <c r="S355" s="14">
        <f t="shared" si="13"/>
        <v>-3.393925062</v>
      </c>
      <c r="U355" s="21"/>
      <c r="V355" s="21"/>
    </row>
    <row r="356">
      <c r="A356" s="11">
        <v>344.0</v>
      </c>
      <c r="B356" s="11">
        <v>1.42089130434782E9</v>
      </c>
      <c r="C356" s="2">
        <v>-102.5629349</v>
      </c>
      <c r="D356" s="24">
        <f t="shared" si="1"/>
        <v>491304.3478</v>
      </c>
      <c r="E356" s="25">
        <f t="shared" si="2"/>
        <v>-104.6857591</v>
      </c>
      <c r="F356" s="24">
        <f t="shared" si="3"/>
        <v>0.0002130772087</v>
      </c>
      <c r="G356" s="24">
        <f t="shared" si="4"/>
        <v>0</v>
      </c>
      <c r="H356" s="26">
        <f t="shared" si="5"/>
        <v>0</v>
      </c>
      <c r="I356" s="24">
        <f t="shared" si="6"/>
        <v>0</v>
      </c>
      <c r="J356" s="24">
        <f t="shared" si="7"/>
        <v>0</v>
      </c>
      <c r="K356" s="24"/>
      <c r="L356" s="24">
        <f t="shared" si="8"/>
        <v>421.5146539</v>
      </c>
      <c r="M356" s="30">
        <f t="shared" si="9"/>
        <v>426.1069795</v>
      </c>
      <c r="N356" s="27">
        <f t="shared" si="10"/>
        <v>-4.592325674</v>
      </c>
      <c r="O356" s="24"/>
      <c r="P356" s="24"/>
      <c r="Q356" s="24"/>
      <c r="R356" s="26"/>
      <c r="S356" s="14">
        <f t="shared" si="13"/>
        <v>-4.217114907</v>
      </c>
      <c r="U356" s="21"/>
      <c r="V356" s="21"/>
    </row>
    <row r="357">
      <c r="A357" s="11">
        <v>345.0</v>
      </c>
      <c r="B357" s="11">
        <v>1.42089565217391E9</v>
      </c>
      <c r="C357" s="2">
        <v>-102.5226288</v>
      </c>
      <c r="D357" s="24">
        <f t="shared" si="1"/>
        <v>495652.1739</v>
      </c>
      <c r="E357" s="25">
        <f t="shared" si="2"/>
        <v>-105.6040552</v>
      </c>
      <c r="F357" s="24">
        <f t="shared" si="3"/>
        <v>0.0002130608131</v>
      </c>
      <c r="G357" s="24">
        <f t="shared" si="4"/>
        <v>0</v>
      </c>
      <c r="H357" s="26">
        <f t="shared" si="5"/>
        <v>0</v>
      </c>
      <c r="I357" s="24">
        <f t="shared" si="6"/>
        <v>0</v>
      </c>
      <c r="J357" s="24">
        <f t="shared" si="7"/>
        <v>0</v>
      </c>
      <c r="K357" s="24"/>
      <c r="L357" s="24">
        <f t="shared" si="8"/>
        <v>425.4448661</v>
      </c>
      <c r="M357" s="30">
        <f t="shared" si="9"/>
        <v>425.9876055</v>
      </c>
      <c r="N357" s="27">
        <f t="shared" si="10"/>
        <v>-0.5427393134</v>
      </c>
      <c r="O357" s="24"/>
      <c r="P357" s="24"/>
      <c r="Q357" s="24"/>
      <c r="R357" s="26"/>
      <c r="S357" s="14">
        <f t="shared" si="13"/>
        <v>-0.4983954114</v>
      </c>
      <c r="U357" s="21"/>
      <c r="V357" s="21"/>
    </row>
    <row r="358">
      <c r="A358" s="11">
        <v>346.0</v>
      </c>
      <c r="B358" s="11">
        <v>1.4209E9</v>
      </c>
      <c r="C358" s="2">
        <v>-102.4797058</v>
      </c>
      <c r="D358" s="24">
        <f t="shared" si="1"/>
        <v>500000</v>
      </c>
      <c r="E358" s="25">
        <f t="shared" si="2"/>
        <v>-106.5223513</v>
      </c>
      <c r="F358" s="24">
        <f t="shared" si="3"/>
        <v>0.0002130447027</v>
      </c>
      <c r="G358" s="24">
        <f t="shared" si="4"/>
        <v>0</v>
      </c>
      <c r="H358" s="26">
        <f t="shared" si="5"/>
        <v>0</v>
      </c>
      <c r="I358" s="24">
        <f t="shared" si="6"/>
        <v>0</v>
      </c>
      <c r="J358" s="24">
        <f t="shared" si="7"/>
        <v>0</v>
      </c>
      <c r="K358" s="24"/>
      <c r="L358" s="24">
        <f t="shared" si="8"/>
        <v>429.6705496</v>
      </c>
      <c r="M358" s="30">
        <f t="shared" si="9"/>
        <v>425.8681205</v>
      </c>
      <c r="N358" s="27">
        <f t="shared" si="10"/>
        <v>3.802429152</v>
      </c>
      <c r="O358" s="24"/>
      <c r="P358" s="24"/>
      <c r="Q358" s="24"/>
      <c r="R358" s="26"/>
      <c r="S358" s="14">
        <f t="shared" si="13"/>
        <v>3.491755986</v>
      </c>
      <c r="U358" s="21"/>
      <c r="V358" s="21"/>
    </row>
    <row r="359">
      <c r="A359" s="11">
        <v>347.0</v>
      </c>
      <c r="B359" s="11">
        <v>1.42090434782608E9</v>
      </c>
      <c r="C359" s="2">
        <v>-102.5162048</v>
      </c>
      <c r="D359" s="24">
        <f t="shared" si="1"/>
        <v>504347.8261</v>
      </c>
      <c r="E359" s="25">
        <f t="shared" si="2"/>
        <v>-107.4406475</v>
      </c>
      <c r="F359" s="24">
        <f t="shared" si="3"/>
        <v>0.00021302887</v>
      </c>
      <c r="G359" s="24">
        <f t="shared" si="4"/>
        <v>0</v>
      </c>
      <c r="H359" s="26">
        <f t="shared" si="5"/>
        <v>0</v>
      </c>
      <c r="I359" s="24">
        <f t="shared" si="6"/>
        <v>0</v>
      </c>
      <c r="J359" s="24">
        <f t="shared" si="7"/>
        <v>0</v>
      </c>
      <c r="K359" s="24"/>
      <c r="L359" s="24">
        <f t="shared" si="8"/>
        <v>426.0746416</v>
      </c>
      <c r="M359" s="30">
        <f t="shared" si="9"/>
        <v>425.7485253</v>
      </c>
      <c r="N359" s="27">
        <f t="shared" si="10"/>
        <v>0.3261162836</v>
      </c>
      <c r="O359" s="24"/>
      <c r="P359" s="24"/>
      <c r="Q359" s="24"/>
      <c r="R359" s="26"/>
      <c r="S359" s="14">
        <f t="shared" si="13"/>
        <v>0.299471322</v>
      </c>
      <c r="U359" s="21"/>
      <c r="V359" s="21"/>
    </row>
    <row r="360">
      <c r="A360" s="11">
        <v>348.0</v>
      </c>
      <c r="B360" s="11">
        <v>1.42090869565217E9</v>
      </c>
      <c r="C360" s="2">
        <v>-102.5499496</v>
      </c>
      <c r="D360" s="24">
        <f t="shared" si="1"/>
        <v>508695.6522</v>
      </c>
      <c r="E360" s="25">
        <f t="shared" si="2"/>
        <v>-108.3589436</v>
      </c>
      <c r="F360" s="24">
        <f t="shared" si="3"/>
        <v>0.0002130133079</v>
      </c>
      <c r="G360" s="24">
        <f t="shared" si="4"/>
        <v>0</v>
      </c>
      <c r="H360" s="26">
        <f t="shared" si="5"/>
        <v>0</v>
      </c>
      <c r="I360" s="24">
        <f t="shared" si="6"/>
        <v>0</v>
      </c>
      <c r="J360" s="24">
        <f t="shared" si="7"/>
        <v>0</v>
      </c>
      <c r="K360" s="24"/>
      <c r="L360" s="24">
        <f t="shared" si="8"/>
        <v>422.7768585</v>
      </c>
      <c r="M360" s="30">
        <f t="shared" si="9"/>
        <v>425.6288209</v>
      </c>
      <c r="N360" s="27">
        <f t="shared" si="10"/>
        <v>-2.851962384</v>
      </c>
      <c r="O360" s="24"/>
      <c r="P360" s="24"/>
      <c r="Q360" s="24"/>
      <c r="R360" s="26"/>
      <c r="S360" s="14">
        <f t="shared" si="13"/>
        <v>-2.618946022</v>
      </c>
      <c r="U360" s="21"/>
      <c r="V360" s="21"/>
    </row>
    <row r="361">
      <c r="A361" s="11">
        <v>349.0</v>
      </c>
      <c r="B361" s="11">
        <v>1.42091304347826E9</v>
      </c>
      <c r="C361" s="2">
        <v>-102.5926743</v>
      </c>
      <c r="D361" s="24">
        <f t="shared" si="1"/>
        <v>513043.4783</v>
      </c>
      <c r="E361" s="25">
        <f t="shared" si="2"/>
        <v>-109.2772397</v>
      </c>
      <c r="F361" s="24">
        <f t="shared" si="3"/>
        <v>0.0002129980096</v>
      </c>
      <c r="G361" s="24">
        <f t="shared" si="4"/>
        <v>0</v>
      </c>
      <c r="H361" s="26">
        <f t="shared" si="5"/>
        <v>0</v>
      </c>
      <c r="I361" s="24">
        <f t="shared" si="6"/>
        <v>0</v>
      </c>
      <c r="J361" s="24">
        <f t="shared" si="7"/>
        <v>0</v>
      </c>
      <c r="K361" s="24"/>
      <c r="L361" s="24">
        <f t="shared" si="8"/>
        <v>418.6380872</v>
      </c>
      <c r="M361" s="30">
        <f t="shared" si="9"/>
        <v>425.509008</v>
      </c>
      <c r="N361" s="27">
        <f t="shared" si="10"/>
        <v>-6.870920804</v>
      </c>
      <c r="O361" s="24"/>
      <c r="P361" s="24"/>
      <c r="Q361" s="24"/>
      <c r="R361" s="26"/>
      <c r="S361" s="14">
        <f t="shared" si="13"/>
        <v>-6.309540003</v>
      </c>
      <c r="U361" s="21"/>
      <c r="V361" s="21"/>
    </row>
    <row r="362">
      <c r="A362" s="11">
        <v>350.0</v>
      </c>
      <c r="B362" s="11">
        <v>1.42091739130434E9</v>
      </c>
      <c r="C362" s="2">
        <v>-102.5547333</v>
      </c>
      <c r="D362" s="24">
        <f t="shared" si="1"/>
        <v>517391.3043</v>
      </c>
      <c r="E362" s="25">
        <f t="shared" si="2"/>
        <v>-110.1955359</v>
      </c>
      <c r="F362" s="24">
        <f t="shared" si="3"/>
        <v>0.0002129829685</v>
      </c>
      <c r="G362" s="24">
        <f t="shared" si="4"/>
        <v>0</v>
      </c>
      <c r="H362" s="26">
        <f t="shared" si="5"/>
        <v>0</v>
      </c>
      <c r="I362" s="24">
        <f t="shared" si="6"/>
        <v>0</v>
      </c>
      <c r="J362" s="24">
        <f t="shared" si="7"/>
        <v>0</v>
      </c>
      <c r="K362" s="24"/>
      <c r="L362" s="24">
        <f t="shared" si="8"/>
        <v>422.3114314</v>
      </c>
      <c r="M362" s="30">
        <f t="shared" si="9"/>
        <v>425.3890873</v>
      </c>
      <c r="N362" s="27">
        <f t="shared" si="10"/>
        <v>-3.077655918</v>
      </c>
      <c r="O362" s="24"/>
      <c r="P362" s="24"/>
      <c r="Q362" s="24"/>
      <c r="R362" s="26"/>
      <c r="S362" s="14">
        <f t="shared" si="13"/>
        <v>-2.826199528</v>
      </c>
      <c r="U362" s="21"/>
      <c r="V362" s="21"/>
    </row>
    <row r="363">
      <c r="A363" s="11">
        <v>351.0</v>
      </c>
      <c r="B363" s="11">
        <v>1.42092173913043E9</v>
      </c>
      <c r="C363" s="2">
        <v>-102.5295639</v>
      </c>
      <c r="D363" s="24">
        <f t="shared" si="1"/>
        <v>521739.1304</v>
      </c>
      <c r="E363" s="25">
        <f t="shared" si="2"/>
        <v>-111.113832</v>
      </c>
      <c r="F363" s="24">
        <f t="shared" si="3"/>
        <v>0.000212968178</v>
      </c>
      <c r="G363" s="24">
        <f t="shared" si="4"/>
        <v>0</v>
      </c>
      <c r="H363" s="26">
        <f t="shared" si="5"/>
        <v>0</v>
      </c>
      <c r="I363" s="24">
        <f t="shared" si="6"/>
        <v>0</v>
      </c>
      <c r="J363" s="24">
        <f t="shared" si="7"/>
        <v>0</v>
      </c>
      <c r="K363" s="24"/>
      <c r="L363" s="24">
        <f t="shared" si="8"/>
        <v>424.7660299</v>
      </c>
      <c r="M363" s="30">
        <f t="shared" si="9"/>
        <v>425.2690598</v>
      </c>
      <c r="N363" s="27">
        <f t="shared" si="10"/>
        <v>-0.5030298705</v>
      </c>
      <c r="O363" s="24"/>
      <c r="P363" s="24"/>
      <c r="Q363" s="24"/>
      <c r="R363" s="26"/>
      <c r="S363" s="14">
        <f t="shared" si="13"/>
        <v>-0.4619303836</v>
      </c>
      <c r="U363" s="21"/>
      <c r="V363" s="21"/>
    </row>
    <row r="364">
      <c r="A364" s="11">
        <v>352.0</v>
      </c>
      <c r="B364" s="11">
        <v>1.42092608695652E9</v>
      </c>
      <c r="C364" s="2">
        <v>-102.5432663</v>
      </c>
      <c r="D364" s="24">
        <f t="shared" si="1"/>
        <v>526086.9565</v>
      </c>
      <c r="E364" s="25">
        <f t="shared" si="2"/>
        <v>-112.0321281</v>
      </c>
      <c r="F364" s="24">
        <f t="shared" si="3"/>
        <v>0.000212953632</v>
      </c>
      <c r="G364" s="24">
        <f t="shared" si="4"/>
        <v>0</v>
      </c>
      <c r="H364" s="26">
        <f t="shared" si="5"/>
        <v>0</v>
      </c>
      <c r="I364" s="24">
        <f t="shared" si="6"/>
        <v>0</v>
      </c>
      <c r="J364" s="24">
        <f t="shared" si="7"/>
        <v>0</v>
      </c>
      <c r="K364" s="24"/>
      <c r="L364" s="24">
        <f t="shared" si="8"/>
        <v>423.4279651</v>
      </c>
      <c r="M364" s="30">
        <f t="shared" si="9"/>
        <v>425.1489262</v>
      </c>
      <c r="N364" s="27">
        <f t="shared" si="10"/>
        <v>-1.720961104</v>
      </c>
      <c r="O364" s="24"/>
      <c r="P364" s="24"/>
      <c r="Q364" s="24"/>
      <c r="R364" s="26"/>
      <c r="S364" s="14">
        <f t="shared" si="13"/>
        <v>-1.580351927</v>
      </c>
      <c r="U364" s="21"/>
      <c r="V364" s="21"/>
    </row>
    <row r="365">
      <c r="A365" s="11">
        <v>353.0</v>
      </c>
      <c r="B365" s="11">
        <v>1.4209304347826E9</v>
      </c>
      <c r="C365" s="2">
        <v>-102.5550308</v>
      </c>
      <c r="D365" s="24">
        <f t="shared" si="1"/>
        <v>530434.7826</v>
      </c>
      <c r="E365" s="25">
        <f t="shared" si="2"/>
        <v>-112.9504243</v>
      </c>
      <c r="F365" s="24">
        <f t="shared" si="3"/>
        <v>0.0002129393244</v>
      </c>
      <c r="G365" s="24">
        <f t="shared" si="4"/>
        <v>0</v>
      </c>
      <c r="H365" s="26">
        <f t="shared" si="5"/>
        <v>0</v>
      </c>
      <c r="I365" s="24">
        <f t="shared" si="6"/>
        <v>0</v>
      </c>
      <c r="J365" s="24">
        <f t="shared" si="7"/>
        <v>0</v>
      </c>
      <c r="K365" s="24"/>
      <c r="L365" s="24">
        <f t="shared" si="8"/>
        <v>422.2825033</v>
      </c>
      <c r="M365" s="30">
        <f t="shared" si="9"/>
        <v>425.0286873</v>
      </c>
      <c r="N365" s="27">
        <f t="shared" si="10"/>
        <v>-2.746183971</v>
      </c>
      <c r="O365" s="24"/>
      <c r="P365" s="24"/>
      <c r="Q365" s="24"/>
      <c r="R365" s="26"/>
      <c r="S365" s="14">
        <f t="shared" si="13"/>
        <v>-2.521810121</v>
      </c>
      <c r="U365" s="21"/>
      <c r="V365" s="21"/>
    </row>
    <row r="366">
      <c r="A366" s="11">
        <v>354.0</v>
      </c>
      <c r="B366" s="11">
        <v>1.42093478260869E9</v>
      </c>
      <c r="C366" s="2">
        <v>-102.5663376</v>
      </c>
      <c r="D366" s="24">
        <f t="shared" si="1"/>
        <v>534782.6087</v>
      </c>
      <c r="E366" s="25">
        <f t="shared" si="2"/>
        <v>-113.8687204</v>
      </c>
      <c r="F366" s="24">
        <f t="shared" si="3"/>
        <v>0.0002129252495</v>
      </c>
      <c r="G366" s="24">
        <f t="shared" si="4"/>
        <v>0</v>
      </c>
      <c r="H366" s="26">
        <f t="shared" si="5"/>
        <v>0</v>
      </c>
      <c r="I366" s="24">
        <f t="shared" si="6"/>
        <v>0</v>
      </c>
      <c r="J366" s="24">
        <f t="shared" si="7"/>
        <v>0</v>
      </c>
      <c r="K366" s="24"/>
      <c r="L366" s="24">
        <f t="shared" si="8"/>
        <v>421.1845262</v>
      </c>
      <c r="M366" s="30">
        <f t="shared" si="9"/>
        <v>424.9083438</v>
      </c>
      <c r="N366" s="27">
        <f t="shared" si="10"/>
        <v>-3.723817621</v>
      </c>
      <c r="O366" s="24"/>
      <c r="P366" s="24"/>
      <c r="Q366" s="24"/>
      <c r="R366" s="26"/>
      <c r="S366" s="14">
        <f t="shared" si="13"/>
        <v>-3.419567321</v>
      </c>
      <c r="U366" s="21"/>
      <c r="V366" s="21"/>
    </row>
    <row r="367">
      <c r="A367" s="11">
        <v>355.0</v>
      </c>
      <c r="B367" s="11">
        <v>1.42093913043478E9</v>
      </c>
      <c r="C367" s="2">
        <v>-102.4882355</v>
      </c>
      <c r="D367" s="24">
        <f t="shared" si="1"/>
        <v>539130.4348</v>
      </c>
      <c r="E367" s="25">
        <f t="shared" si="2"/>
        <v>-114.7870165</v>
      </c>
      <c r="F367" s="24">
        <f t="shared" si="3"/>
        <v>0.0002129114016</v>
      </c>
      <c r="G367" s="24">
        <f t="shared" si="4"/>
        <v>0</v>
      </c>
      <c r="H367" s="26">
        <f t="shared" si="5"/>
        <v>0</v>
      </c>
      <c r="I367" s="24">
        <f t="shared" si="6"/>
        <v>0</v>
      </c>
      <c r="J367" s="24">
        <f t="shared" si="7"/>
        <v>0</v>
      </c>
      <c r="K367" s="24"/>
      <c r="L367" s="24">
        <f t="shared" si="8"/>
        <v>428.8274893</v>
      </c>
      <c r="M367" s="30">
        <f t="shared" si="9"/>
        <v>424.7878967</v>
      </c>
      <c r="N367" s="27">
        <f t="shared" si="10"/>
        <v>4.039592615</v>
      </c>
      <c r="O367" s="24"/>
      <c r="P367" s="24"/>
      <c r="Q367" s="24"/>
      <c r="R367" s="26"/>
      <c r="S367" s="14">
        <f t="shared" si="13"/>
        <v>3.709542268</v>
      </c>
      <c r="U367" s="21"/>
      <c r="V367" s="21"/>
    </row>
    <row r="368">
      <c r="A368" s="11">
        <v>356.0</v>
      </c>
      <c r="B368" s="11">
        <v>1.42094347826087E9</v>
      </c>
      <c r="C368" s="2">
        <v>-102.4905319</v>
      </c>
      <c r="D368" s="24">
        <f t="shared" si="1"/>
        <v>543478.2609</v>
      </c>
      <c r="E368" s="25">
        <f t="shared" si="2"/>
        <v>-115.7053126</v>
      </c>
      <c r="F368" s="24">
        <f t="shared" si="3"/>
        <v>0.0002128977753</v>
      </c>
      <c r="G368" s="24">
        <f t="shared" si="4"/>
        <v>0</v>
      </c>
      <c r="H368" s="26">
        <f t="shared" si="5"/>
        <v>0</v>
      </c>
      <c r="I368" s="24">
        <f t="shared" si="6"/>
        <v>0</v>
      </c>
      <c r="J368" s="24">
        <f t="shared" si="7"/>
        <v>0</v>
      </c>
      <c r="K368" s="24"/>
      <c r="L368" s="24">
        <f t="shared" si="8"/>
        <v>428.6008</v>
      </c>
      <c r="M368" s="30">
        <f t="shared" si="9"/>
        <v>424.6673467</v>
      </c>
      <c r="N368" s="27">
        <f t="shared" si="10"/>
        <v>3.933453297</v>
      </c>
      <c r="O368" s="24"/>
      <c r="P368" s="24"/>
      <c r="Q368" s="24"/>
      <c r="R368" s="26"/>
      <c r="S368" s="14">
        <f t="shared" si="13"/>
        <v>3.612074951</v>
      </c>
      <c r="U368" s="21"/>
      <c r="V368" s="21"/>
    </row>
    <row r="369">
      <c r="A369" s="11">
        <v>357.0</v>
      </c>
      <c r="B369" s="11">
        <v>1.42094782608695E9</v>
      </c>
      <c r="C369" s="2">
        <v>-102.5522003</v>
      </c>
      <c r="D369" s="24">
        <f t="shared" si="1"/>
        <v>547826.087</v>
      </c>
      <c r="E369" s="25">
        <f t="shared" si="2"/>
        <v>-116.6236088</v>
      </c>
      <c r="F369" s="24">
        <f t="shared" si="3"/>
        <v>0.0002128843652</v>
      </c>
      <c r="G369" s="24">
        <f t="shared" si="4"/>
        <v>0</v>
      </c>
      <c r="H369" s="26">
        <f t="shared" si="5"/>
        <v>0</v>
      </c>
      <c r="I369" s="24">
        <f t="shared" si="6"/>
        <v>0</v>
      </c>
      <c r="J369" s="24">
        <f t="shared" si="7"/>
        <v>0</v>
      </c>
      <c r="K369" s="24"/>
      <c r="L369" s="24">
        <f t="shared" si="8"/>
        <v>422.5578142</v>
      </c>
      <c r="M369" s="30">
        <f t="shared" si="9"/>
        <v>424.5466947</v>
      </c>
      <c r="N369" s="27">
        <f t="shared" si="10"/>
        <v>-1.98888046</v>
      </c>
      <c r="O369" s="24"/>
      <c r="P369" s="24"/>
      <c r="Q369" s="24"/>
      <c r="R369" s="26"/>
      <c r="S369" s="14">
        <f t="shared" si="13"/>
        <v>-1.826381235</v>
      </c>
      <c r="U369" s="21"/>
      <c r="V369" s="21"/>
    </row>
    <row r="370">
      <c r="A370" s="11">
        <v>358.0</v>
      </c>
      <c r="B370" s="11">
        <v>1.42095217391304E9</v>
      </c>
      <c r="C370" s="2">
        <v>-102.5261078</v>
      </c>
      <c r="D370" s="24">
        <f t="shared" si="1"/>
        <v>552173.913</v>
      </c>
      <c r="E370" s="25">
        <f t="shared" si="2"/>
        <v>-117.5419049</v>
      </c>
      <c r="F370" s="24">
        <f t="shared" si="3"/>
        <v>0.0002128711664</v>
      </c>
      <c r="G370" s="24">
        <f t="shared" si="4"/>
        <v>0</v>
      </c>
      <c r="H370" s="26">
        <f t="shared" si="5"/>
        <v>0</v>
      </c>
      <c r="I370" s="24">
        <f t="shared" si="6"/>
        <v>0</v>
      </c>
      <c r="J370" s="24">
        <f t="shared" si="7"/>
        <v>0</v>
      </c>
      <c r="K370" s="24"/>
      <c r="L370" s="24">
        <f t="shared" si="8"/>
        <v>425.1041918</v>
      </c>
      <c r="M370" s="30">
        <f t="shared" si="9"/>
        <v>424.4259413</v>
      </c>
      <c r="N370" s="27">
        <f t="shared" si="10"/>
        <v>0.6782504324</v>
      </c>
      <c r="O370" s="24"/>
      <c r="P370" s="24"/>
      <c r="Q370" s="24"/>
      <c r="R370" s="26"/>
      <c r="S370" s="14">
        <f t="shared" si="13"/>
        <v>0.6228347477</v>
      </c>
      <c r="U370" s="21"/>
      <c r="V370" s="21"/>
    </row>
    <row r="371">
      <c r="A371" s="11">
        <v>359.0</v>
      </c>
      <c r="B371" s="11">
        <v>1.42095652173913E9</v>
      </c>
      <c r="C371" s="2">
        <v>-102.6206512</v>
      </c>
      <c r="D371" s="24">
        <f t="shared" si="1"/>
        <v>556521.7391</v>
      </c>
      <c r="E371" s="25">
        <f t="shared" si="2"/>
        <v>-118.460201</v>
      </c>
      <c r="F371" s="24">
        <f t="shared" si="3"/>
        <v>0.0002128581738</v>
      </c>
      <c r="G371" s="24">
        <f t="shared" si="4"/>
        <v>0</v>
      </c>
      <c r="H371" s="26">
        <f t="shared" si="5"/>
        <v>0</v>
      </c>
      <c r="I371" s="24">
        <f t="shared" si="6"/>
        <v>0</v>
      </c>
      <c r="J371" s="24">
        <f t="shared" si="7"/>
        <v>0</v>
      </c>
      <c r="K371" s="24"/>
      <c r="L371" s="24">
        <f t="shared" si="8"/>
        <v>415.9499222</v>
      </c>
      <c r="M371" s="30">
        <f t="shared" si="9"/>
        <v>424.3050875</v>
      </c>
      <c r="N371" s="27">
        <f t="shared" si="10"/>
        <v>-8.355165342</v>
      </c>
      <c r="O371" s="24"/>
      <c r="P371" s="24"/>
      <c r="Q371" s="24"/>
      <c r="R371" s="26"/>
      <c r="S371" s="14">
        <f t="shared" si="13"/>
        <v>-7.672516022</v>
      </c>
      <c r="U371" s="21"/>
      <c r="V371" s="21"/>
    </row>
    <row r="372">
      <c r="A372" s="11">
        <v>360.0</v>
      </c>
      <c r="B372" s="11">
        <v>1.42096086956521E9</v>
      </c>
      <c r="C372" s="2">
        <v>-102.5685043</v>
      </c>
      <c r="D372" s="24">
        <f t="shared" si="1"/>
        <v>560869.5652</v>
      </c>
      <c r="E372" s="25">
        <f t="shared" si="2"/>
        <v>-119.3784972</v>
      </c>
      <c r="F372" s="24">
        <f t="shared" si="3"/>
        <v>0.0002128453826</v>
      </c>
      <c r="G372" s="24">
        <f t="shared" si="4"/>
        <v>0</v>
      </c>
      <c r="H372" s="26">
        <f t="shared" si="5"/>
        <v>0</v>
      </c>
      <c r="I372" s="24">
        <f t="shared" si="6"/>
        <v>0</v>
      </c>
      <c r="J372" s="24">
        <f t="shared" si="7"/>
        <v>0</v>
      </c>
      <c r="K372" s="24"/>
      <c r="L372" s="24">
        <f t="shared" si="8"/>
        <v>420.9744492</v>
      </c>
      <c r="M372" s="30">
        <f t="shared" si="9"/>
        <v>424.184134</v>
      </c>
      <c r="N372" s="27">
        <f t="shared" si="10"/>
        <v>-3.209684837</v>
      </c>
      <c r="O372" s="24"/>
      <c r="P372" s="24"/>
      <c r="Q372" s="24"/>
      <c r="R372" s="26"/>
      <c r="S372" s="14">
        <f t="shared" si="13"/>
        <v>-2.947441174</v>
      </c>
      <c r="U372" s="21"/>
      <c r="V372" s="21"/>
    </row>
    <row r="373">
      <c r="A373" s="11">
        <v>361.0</v>
      </c>
      <c r="B373" s="11">
        <v>1.4209652173913E9</v>
      </c>
      <c r="C373" s="2">
        <v>-102.5670013</v>
      </c>
      <c r="D373" s="24">
        <f t="shared" si="1"/>
        <v>565217.3913</v>
      </c>
      <c r="E373" s="25">
        <f t="shared" si="2"/>
        <v>-120.2967933</v>
      </c>
      <c r="F373" s="24">
        <f t="shared" si="3"/>
        <v>0.0002128327882</v>
      </c>
      <c r="G373" s="24">
        <f t="shared" si="4"/>
        <v>0</v>
      </c>
      <c r="H373" s="26">
        <f t="shared" si="5"/>
        <v>0</v>
      </c>
      <c r="I373" s="24">
        <f t="shared" si="6"/>
        <v>0</v>
      </c>
      <c r="J373" s="24">
        <f t="shared" si="7"/>
        <v>0</v>
      </c>
      <c r="K373" s="24"/>
      <c r="L373" s="24">
        <f t="shared" si="8"/>
        <v>421.1201646</v>
      </c>
      <c r="M373" s="30">
        <f t="shared" si="9"/>
        <v>424.0630817</v>
      </c>
      <c r="N373" s="27">
        <f t="shared" si="10"/>
        <v>-2.942917047</v>
      </c>
      <c r="O373" s="24"/>
      <c r="P373" s="24"/>
      <c r="Q373" s="24"/>
      <c r="R373" s="26"/>
      <c r="S373" s="14">
        <f t="shared" si="13"/>
        <v>-2.702469337</v>
      </c>
      <c r="U373" s="21"/>
      <c r="V373" s="21"/>
    </row>
    <row r="374">
      <c r="A374" s="11">
        <v>362.0</v>
      </c>
      <c r="B374" s="11">
        <v>1.42096956521739E9</v>
      </c>
      <c r="C374" s="2">
        <v>-102.5556107</v>
      </c>
      <c r="D374" s="24">
        <f t="shared" si="1"/>
        <v>569565.2174</v>
      </c>
      <c r="E374" s="25">
        <f t="shared" si="2"/>
        <v>-121.2150894</v>
      </c>
      <c r="F374" s="24">
        <f t="shared" si="3"/>
        <v>0.000212820386</v>
      </c>
      <c r="G374" s="24">
        <f t="shared" si="4"/>
        <v>0</v>
      </c>
      <c r="H374" s="26">
        <f t="shared" si="5"/>
        <v>0</v>
      </c>
      <c r="I374" s="24">
        <f t="shared" si="6"/>
        <v>0</v>
      </c>
      <c r="J374" s="24">
        <f t="shared" si="7"/>
        <v>0</v>
      </c>
      <c r="K374" s="24"/>
      <c r="L374" s="24">
        <f t="shared" si="8"/>
        <v>422.226121</v>
      </c>
      <c r="M374" s="30">
        <f t="shared" si="9"/>
        <v>423.9419313</v>
      </c>
      <c r="N374" s="27">
        <f t="shared" si="10"/>
        <v>-1.715810292</v>
      </c>
      <c r="O374" s="24"/>
      <c r="P374" s="24"/>
      <c r="Q374" s="24"/>
      <c r="R374" s="26"/>
      <c r="S374" s="14">
        <f t="shared" si="13"/>
        <v>-1.575621956</v>
      </c>
    </row>
    <row r="375">
      <c r="A375" s="11">
        <v>363.0</v>
      </c>
      <c r="B375" s="11">
        <v>1.42097391304347E9</v>
      </c>
      <c r="C375" s="2">
        <v>-102.6279449</v>
      </c>
      <c r="D375" s="24">
        <f t="shared" si="1"/>
        <v>573913.0435</v>
      </c>
      <c r="E375" s="25">
        <f t="shared" si="2"/>
        <v>-122.1333856</v>
      </c>
      <c r="F375" s="24">
        <f t="shared" si="3"/>
        <v>0.0002128081718</v>
      </c>
      <c r="G375" s="24">
        <f t="shared" si="4"/>
        <v>0</v>
      </c>
      <c r="H375" s="26">
        <f t="shared" si="5"/>
        <v>0</v>
      </c>
      <c r="I375" s="24">
        <f t="shared" si="6"/>
        <v>0</v>
      </c>
      <c r="J375" s="24">
        <f t="shared" si="7"/>
        <v>0</v>
      </c>
      <c r="K375" s="24"/>
      <c r="L375" s="24">
        <f t="shared" si="8"/>
        <v>415.251947</v>
      </c>
      <c r="M375" s="30">
        <f t="shared" si="9"/>
        <v>423.8206836</v>
      </c>
      <c r="N375" s="27">
        <f t="shared" si="10"/>
        <v>-8.568736615</v>
      </c>
      <c r="O375" s="24"/>
      <c r="P375" s="24"/>
      <c r="Q375" s="24"/>
      <c r="R375" s="26"/>
      <c r="S375" s="14">
        <f t="shared" si="13"/>
        <v>-7.868637697</v>
      </c>
    </row>
    <row r="376">
      <c r="A376" s="11">
        <v>364.0</v>
      </c>
      <c r="B376" s="11">
        <v>1.42097826086956E9</v>
      </c>
      <c r="C376" s="2">
        <v>-102.4764328</v>
      </c>
      <c r="D376" s="24">
        <f t="shared" si="1"/>
        <v>578260.8696</v>
      </c>
      <c r="E376" s="25">
        <f t="shared" si="2"/>
        <v>-123.0516817</v>
      </c>
      <c r="F376" s="24">
        <f t="shared" si="3"/>
        <v>0.0002127961413</v>
      </c>
      <c r="G376" s="24">
        <f t="shared" si="4"/>
        <v>0</v>
      </c>
      <c r="H376" s="26">
        <f t="shared" si="5"/>
        <v>0</v>
      </c>
      <c r="I376" s="24">
        <f t="shared" si="6"/>
        <v>0</v>
      </c>
      <c r="J376" s="24">
        <f t="shared" si="7"/>
        <v>0</v>
      </c>
      <c r="K376" s="24"/>
      <c r="L376" s="24">
        <f t="shared" si="8"/>
        <v>429.9944869</v>
      </c>
      <c r="M376" s="30">
        <f t="shared" si="9"/>
        <v>423.6993394</v>
      </c>
      <c r="N376" s="27">
        <f t="shared" si="10"/>
        <v>6.295147448</v>
      </c>
      <c r="O376" s="24"/>
      <c r="P376" s="24"/>
      <c r="Q376" s="24"/>
      <c r="R376" s="26"/>
      <c r="S376" s="14">
        <f t="shared" si="13"/>
        <v>5.780809543</v>
      </c>
    </row>
    <row r="377">
      <c r="A377" s="11">
        <v>365.0</v>
      </c>
      <c r="B377" s="11">
        <v>1.42098260869565E9</v>
      </c>
      <c r="C377" s="2">
        <v>-102.5731354</v>
      </c>
      <c r="D377" s="24">
        <f t="shared" si="1"/>
        <v>582608.6957</v>
      </c>
      <c r="E377" s="25">
        <f t="shared" si="2"/>
        <v>-123.9699778</v>
      </c>
      <c r="F377" s="24">
        <f t="shared" si="3"/>
        <v>0.0002127842903</v>
      </c>
      <c r="G377" s="24">
        <f t="shared" si="4"/>
        <v>0</v>
      </c>
      <c r="H377" s="26">
        <f t="shared" si="5"/>
        <v>0</v>
      </c>
      <c r="I377" s="24">
        <f t="shared" si="6"/>
        <v>0</v>
      </c>
      <c r="J377" s="24">
        <f t="shared" si="7"/>
        <v>0</v>
      </c>
      <c r="K377" s="24"/>
      <c r="L377" s="24">
        <f t="shared" si="8"/>
        <v>420.5257823</v>
      </c>
      <c r="M377" s="30">
        <f t="shared" si="9"/>
        <v>423.5778997</v>
      </c>
      <c r="N377" s="27">
        <f t="shared" si="10"/>
        <v>-3.052117384</v>
      </c>
      <c r="O377" s="24"/>
      <c r="P377" s="24"/>
      <c r="Q377" s="24"/>
      <c r="R377" s="26"/>
      <c r="S377" s="14">
        <f t="shared" si="13"/>
        <v>-2.802747591</v>
      </c>
    </row>
    <row r="378">
      <c r="A378" s="11">
        <v>366.0</v>
      </c>
      <c r="B378" s="11">
        <v>1.42098695652173E9</v>
      </c>
      <c r="C378" s="2">
        <v>-102.5774002</v>
      </c>
      <c r="D378" s="24">
        <f t="shared" si="1"/>
        <v>586956.5217</v>
      </c>
      <c r="E378" s="25">
        <f t="shared" si="2"/>
        <v>-124.888274</v>
      </c>
      <c r="F378" s="24">
        <f t="shared" si="3"/>
        <v>0.0002127726149</v>
      </c>
      <c r="G378" s="24">
        <f t="shared" si="4"/>
        <v>0</v>
      </c>
      <c r="H378" s="26">
        <f t="shared" si="5"/>
        <v>0</v>
      </c>
      <c r="I378" s="24">
        <f t="shared" si="6"/>
        <v>0</v>
      </c>
      <c r="J378" s="24">
        <f t="shared" si="7"/>
        <v>0</v>
      </c>
      <c r="K378" s="24"/>
      <c r="L378" s="24">
        <f t="shared" si="8"/>
        <v>420.1130259</v>
      </c>
      <c r="M378" s="30">
        <f t="shared" si="9"/>
        <v>423.456365</v>
      </c>
      <c r="N378" s="27">
        <f t="shared" si="10"/>
        <v>-3.343339096</v>
      </c>
      <c r="O378" s="24"/>
      <c r="P378" s="24"/>
      <c r="Q378" s="24"/>
      <c r="R378" s="26"/>
      <c r="S378" s="14">
        <f t="shared" si="13"/>
        <v>-3.070175362</v>
      </c>
    </row>
    <row r="379">
      <c r="A379" s="11">
        <v>367.0</v>
      </c>
      <c r="B379" s="11">
        <v>1.42099130434782E9</v>
      </c>
      <c r="C379" s="2">
        <v>-102.5741425</v>
      </c>
      <c r="D379" s="24">
        <f t="shared" si="1"/>
        <v>591304.3478</v>
      </c>
      <c r="E379" s="25">
        <f t="shared" si="2"/>
        <v>-125.8065701</v>
      </c>
      <c r="F379" s="24">
        <f t="shared" si="3"/>
        <v>0.0002127611112</v>
      </c>
      <c r="G379" s="24">
        <f t="shared" si="4"/>
        <v>0</v>
      </c>
      <c r="H379" s="26">
        <f t="shared" si="5"/>
        <v>0</v>
      </c>
      <c r="I379" s="24">
        <f t="shared" si="6"/>
        <v>0</v>
      </c>
      <c r="J379" s="24">
        <f t="shared" si="7"/>
        <v>0</v>
      </c>
      <c r="K379" s="24"/>
      <c r="L379" s="24">
        <f t="shared" si="8"/>
        <v>420.4282765</v>
      </c>
      <c r="M379" s="30">
        <f t="shared" si="9"/>
        <v>423.3347363</v>
      </c>
      <c r="N379" s="27">
        <f t="shared" si="10"/>
        <v>-2.906459885</v>
      </c>
      <c r="O379" s="24"/>
      <c r="P379" s="24"/>
      <c r="Q379" s="24"/>
      <c r="R379" s="26"/>
      <c r="S379" s="14">
        <f t="shared" si="13"/>
        <v>-2.668990872</v>
      </c>
    </row>
    <row r="380">
      <c r="A380" s="11">
        <v>368.0</v>
      </c>
      <c r="B380" s="11">
        <v>1.42099565217391E9</v>
      </c>
      <c r="C380" s="2">
        <v>-102.5306168</v>
      </c>
      <c r="D380" s="24">
        <f t="shared" si="1"/>
        <v>595652.1739</v>
      </c>
      <c r="E380" s="25">
        <f t="shared" si="2"/>
        <v>-126.7248662</v>
      </c>
      <c r="F380" s="24">
        <f t="shared" si="3"/>
        <v>0.0002127497754</v>
      </c>
      <c r="G380" s="24">
        <f t="shared" si="4"/>
        <v>0</v>
      </c>
      <c r="H380" s="26">
        <f t="shared" si="5"/>
        <v>0</v>
      </c>
      <c r="I380" s="24">
        <f t="shared" si="6"/>
        <v>0</v>
      </c>
      <c r="J380" s="24">
        <f t="shared" si="7"/>
        <v>0</v>
      </c>
      <c r="K380" s="24"/>
      <c r="L380" s="24">
        <f t="shared" si="8"/>
        <v>424.6630625</v>
      </c>
      <c r="M380" s="30">
        <f t="shared" si="9"/>
        <v>423.2130144</v>
      </c>
      <c r="N380" s="27">
        <f t="shared" si="10"/>
        <v>1.450048087</v>
      </c>
      <c r="O380" s="24"/>
      <c r="P380" s="24"/>
      <c r="Q380" s="24"/>
      <c r="R380" s="26"/>
      <c r="S380" s="14">
        <f t="shared" si="13"/>
        <v>1.331573548</v>
      </c>
    </row>
    <row r="381">
      <c r="A381" s="11">
        <v>369.0</v>
      </c>
      <c r="B381" s="11">
        <v>1.421E9</v>
      </c>
      <c r="C381" s="2">
        <v>-102.5433655</v>
      </c>
      <c r="D381" s="24">
        <f t="shared" si="1"/>
        <v>600000</v>
      </c>
      <c r="E381" s="25">
        <f t="shared" si="2"/>
        <v>-127.6431624</v>
      </c>
      <c r="F381" s="24">
        <f t="shared" si="3"/>
        <v>0.0002127386039</v>
      </c>
      <c r="G381" s="24">
        <f t="shared" si="4"/>
        <v>0</v>
      </c>
      <c r="H381" s="26">
        <f t="shared" si="5"/>
        <v>0</v>
      </c>
      <c r="I381" s="24">
        <f t="shared" si="6"/>
        <v>0</v>
      </c>
      <c r="J381" s="24">
        <f t="shared" si="7"/>
        <v>0</v>
      </c>
      <c r="K381" s="24"/>
      <c r="L381" s="24">
        <f t="shared" si="8"/>
        <v>423.4182934</v>
      </c>
      <c r="M381" s="30">
        <f t="shared" si="9"/>
        <v>423.0912</v>
      </c>
      <c r="N381" s="27">
        <f t="shared" si="10"/>
        <v>0.3270933573</v>
      </c>
      <c r="O381" s="24"/>
      <c r="P381" s="24"/>
      <c r="Q381" s="24"/>
      <c r="R381" s="26"/>
      <c r="S381" s="14">
        <f t="shared" si="13"/>
        <v>0.3003685651</v>
      </c>
    </row>
    <row r="382">
      <c r="A382" s="11">
        <v>370.0</v>
      </c>
      <c r="B382" s="11">
        <v>1.42100434782608E9</v>
      </c>
      <c r="C382" s="2">
        <v>-102.5670013</v>
      </c>
      <c r="D382" s="24">
        <f t="shared" si="1"/>
        <v>604347.8261</v>
      </c>
      <c r="E382" s="25">
        <f t="shared" si="2"/>
        <v>-128.5614585</v>
      </c>
      <c r="F382" s="24">
        <f t="shared" si="3"/>
        <v>0.0002127275932</v>
      </c>
      <c r="G382" s="24">
        <f t="shared" si="4"/>
        <v>0</v>
      </c>
      <c r="H382" s="26">
        <f t="shared" si="5"/>
        <v>0</v>
      </c>
      <c r="I382" s="24">
        <f t="shared" si="6"/>
        <v>0</v>
      </c>
      <c r="J382" s="24">
        <f t="shared" si="7"/>
        <v>0</v>
      </c>
      <c r="K382" s="24"/>
      <c r="L382" s="24">
        <f t="shared" si="8"/>
        <v>421.1201646</v>
      </c>
      <c r="M382" s="30">
        <f t="shared" si="9"/>
        <v>422.969294</v>
      </c>
      <c r="N382" s="27">
        <f t="shared" si="10"/>
        <v>-1.8491294</v>
      </c>
      <c r="O382" s="24"/>
      <c r="P382" s="24"/>
      <c r="Q382" s="24"/>
      <c r="R382" s="26"/>
      <c r="S382" s="14">
        <f t="shared" si="13"/>
        <v>-1.698048377</v>
      </c>
    </row>
    <row r="383">
      <c r="A383" s="11">
        <v>371.0</v>
      </c>
      <c r="B383" s="11">
        <v>1.42100869565217E9</v>
      </c>
      <c r="C383" s="2">
        <v>-102.5814514</v>
      </c>
      <c r="D383" s="24">
        <f t="shared" si="1"/>
        <v>608695.6522</v>
      </c>
      <c r="E383" s="25">
        <f t="shared" si="2"/>
        <v>-129.4797546</v>
      </c>
      <c r="F383" s="24">
        <f t="shared" si="3"/>
        <v>0.0002127167398</v>
      </c>
      <c r="G383" s="24">
        <f t="shared" si="4"/>
        <v>0</v>
      </c>
      <c r="H383" s="26">
        <f t="shared" si="5"/>
        <v>0</v>
      </c>
      <c r="I383" s="24">
        <f t="shared" si="6"/>
        <v>0</v>
      </c>
      <c r="J383" s="24">
        <f t="shared" si="7"/>
        <v>0</v>
      </c>
      <c r="K383" s="24"/>
      <c r="L383" s="24">
        <f t="shared" si="8"/>
        <v>419.7213174</v>
      </c>
      <c r="M383" s="30">
        <f t="shared" si="9"/>
        <v>422.8472972</v>
      </c>
      <c r="N383" s="27">
        <f t="shared" si="10"/>
        <v>-3.125979748</v>
      </c>
      <c r="O383" s="24"/>
      <c r="P383" s="24"/>
      <c r="Q383" s="24"/>
      <c r="R383" s="26"/>
      <c r="S383" s="14">
        <f t="shared" si="13"/>
        <v>-2.870575107</v>
      </c>
    </row>
    <row r="384">
      <c r="A384" s="11">
        <v>372.0</v>
      </c>
      <c r="B384" s="11">
        <v>1.42101304347826E9</v>
      </c>
      <c r="C384" s="2">
        <v>-102.6333542</v>
      </c>
      <c r="D384" s="24">
        <f t="shared" si="1"/>
        <v>613043.4783</v>
      </c>
      <c r="E384" s="25">
        <f t="shared" si="2"/>
        <v>-130.3980508</v>
      </c>
      <c r="F384" s="24">
        <f t="shared" si="3"/>
        <v>0.0002127060402</v>
      </c>
      <c r="G384" s="24">
        <f t="shared" si="4"/>
        <v>0</v>
      </c>
      <c r="H384" s="26">
        <f t="shared" si="5"/>
        <v>0</v>
      </c>
      <c r="I384" s="24">
        <f t="shared" si="6"/>
        <v>0</v>
      </c>
      <c r="J384" s="24">
        <f t="shared" si="7"/>
        <v>0</v>
      </c>
      <c r="K384" s="24"/>
      <c r="L384" s="24">
        <f t="shared" si="8"/>
        <v>414.7350571</v>
      </c>
      <c r="M384" s="30">
        <f t="shared" si="9"/>
        <v>422.7252103</v>
      </c>
      <c r="N384" s="27">
        <f t="shared" si="10"/>
        <v>-7.990153196</v>
      </c>
      <c r="O384" s="24"/>
      <c r="P384" s="24"/>
      <c r="Q384" s="24"/>
      <c r="R384" s="26"/>
      <c r="S384" s="14">
        <f t="shared" si="13"/>
        <v>-7.337326781</v>
      </c>
    </row>
    <row r="385">
      <c r="A385" s="11">
        <v>373.0</v>
      </c>
      <c r="B385" s="11">
        <v>1.42101739130434E9</v>
      </c>
      <c r="C385" s="2">
        <v>-102.5908279</v>
      </c>
      <c r="D385" s="24">
        <f t="shared" si="1"/>
        <v>617391.3043</v>
      </c>
      <c r="E385" s="25">
        <f t="shared" si="2"/>
        <v>-131.3163469</v>
      </c>
      <c r="F385" s="24">
        <f t="shared" si="3"/>
        <v>0.0002126954915</v>
      </c>
      <c r="G385" s="24">
        <f t="shared" si="4"/>
        <v>0</v>
      </c>
      <c r="H385" s="26">
        <f t="shared" si="5"/>
        <v>0</v>
      </c>
      <c r="I385" s="24">
        <f t="shared" si="6"/>
        <v>0</v>
      </c>
      <c r="J385" s="24">
        <f t="shared" si="7"/>
        <v>0</v>
      </c>
      <c r="K385" s="24"/>
      <c r="L385" s="24">
        <f t="shared" si="8"/>
        <v>418.8161087</v>
      </c>
      <c r="M385" s="30">
        <f t="shared" si="9"/>
        <v>422.6030342</v>
      </c>
      <c r="N385" s="27">
        <f t="shared" si="10"/>
        <v>-3.786925511</v>
      </c>
      <c r="O385" s="24"/>
      <c r="P385" s="24"/>
      <c r="Q385" s="24"/>
      <c r="R385" s="26"/>
      <c r="S385" s="14">
        <f t="shared" si="13"/>
        <v>-3.477519052</v>
      </c>
    </row>
    <row r="386">
      <c r="A386" s="11">
        <v>374.0</v>
      </c>
      <c r="B386" s="11">
        <v>1.42102173913043E9</v>
      </c>
      <c r="C386" s="2">
        <v>-102.5340881</v>
      </c>
      <c r="D386" s="24">
        <f t="shared" si="1"/>
        <v>621739.1304</v>
      </c>
      <c r="E386" s="25">
        <f t="shared" si="2"/>
        <v>-132.234643</v>
      </c>
      <c r="F386" s="24">
        <f t="shared" si="3"/>
        <v>0.0002126850902</v>
      </c>
      <c r="G386" s="24">
        <f t="shared" si="4"/>
        <v>0</v>
      </c>
      <c r="H386" s="26">
        <f t="shared" si="5"/>
        <v>0</v>
      </c>
      <c r="I386" s="24">
        <f t="shared" si="6"/>
        <v>0</v>
      </c>
      <c r="J386" s="24">
        <f t="shared" si="7"/>
        <v>0</v>
      </c>
      <c r="K386" s="24"/>
      <c r="L386" s="24">
        <f t="shared" si="8"/>
        <v>424.3237665</v>
      </c>
      <c r="M386" s="30">
        <f t="shared" si="9"/>
        <v>422.4807697</v>
      </c>
      <c r="N386" s="27">
        <f t="shared" si="10"/>
        <v>1.842996765</v>
      </c>
      <c r="O386" s="24"/>
      <c r="P386" s="24"/>
      <c r="Q386" s="24"/>
      <c r="R386" s="26"/>
      <c r="S386" s="14">
        <f t="shared" si="13"/>
        <v>1.692416798</v>
      </c>
    </row>
    <row r="387">
      <c r="A387" s="11">
        <v>375.0</v>
      </c>
      <c r="B387" s="11">
        <v>1.42102608695652E9</v>
      </c>
      <c r="C387" s="2">
        <v>-102.5661926</v>
      </c>
      <c r="D387" s="24">
        <f t="shared" si="1"/>
        <v>626086.9565</v>
      </c>
      <c r="E387" s="25">
        <f t="shared" si="2"/>
        <v>-133.1529392</v>
      </c>
      <c r="F387" s="24">
        <f t="shared" si="3"/>
        <v>0.0002126748334</v>
      </c>
      <c r="G387" s="24">
        <f t="shared" si="4"/>
        <v>0</v>
      </c>
      <c r="H387" s="26">
        <f t="shared" si="5"/>
        <v>0</v>
      </c>
      <c r="I387" s="24">
        <f t="shared" si="6"/>
        <v>0</v>
      </c>
      <c r="J387" s="24">
        <f t="shared" si="7"/>
        <v>0</v>
      </c>
      <c r="K387" s="24"/>
      <c r="L387" s="24">
        <f t="shared" si="8"/>
        <v>421.1985887</v>
      </c>
      <c r="M387" s="30">
        <f t="shared" si="9"/>
        <v>422.3584176</v>
      </c>
      <c r="N387" s="27">
        <f t="shared" si="10"/>
        <v>-1.159828822</v>
      </c>
      <c r="O387" s="24"/>
      <c r="P387" s="24"/>
      <c r="Q387" s="24"/>
      <c r="R387" s="26"/>
      <c r="S387" s="14">
        <f t="shared" si="13"/>
        <v>-1.065066322</v>
      </c>
    </row>
    <row r="388">
      <c r="A388" s="11">
        <v>376.0</v>
      </c>
      <c r="B388" s="11">
        <v>1.4210304347826E9</v>
      </c>
      <c r="C388" s="2">
        <v>-102.5420761</v>
      </c>
      <c r="D388" s="24">
        <f t="shared" si="1"/>
        <v>630434.7826</v>
      </c>
      <c r="E388" s="25">
        <f t="shared" si="2"/>
        <v>-134.0712353</v>
      </c>
      <c r="F388" s="24">
        <f t="shared" si="3"/>
        <v>0.0002126647181</v>
      </c>
      <c r="G388" s="24">
        <f t="shared" si="4"/>
        <v>0</v>
      </c>
      <c r="H388" s="26">
        <f t="shared" si="5"/>
        <v>0</v>
      </c>
      <c r="I388" s="24">
        <f t="shared" si="6"/>
        <v>0</v>
      </c>
      <c r="J388" s="24">
        <f t="shared" si="7"/>
        <v>0</v>
      </c>
      <c r="K388" s="24"/>
      <c r="L388" s="24">
        <f t="shared" si="8"/>
        <v>423.544023</v>
      </c>
      <c r="M388" s="30">
        <f t="shared" si="9"/>
        <v>422.2359786</v>
      </c>
      <c r="N388" s="27">
        <f t="shared" si="10"/>
        <v>1.308044362</v>
      </c>
      <c r="O388" s="24"/>
      <c r="P388" s="24"/>
      <c r="Q388" s="24"/>
      <c r="R388" s="26"/>
      <c r="S388" s="14">
        <f t="shared" si="13"/>
        <v>1.201172079</v>
      </c>
    </row>
    <row r="389">
      <c r="A389" s="11">
        <v>377.0</v>
      </c>
      <c r="B389" s="11">
        <v>1.42103478260869E9</v>
      </c>
      <c r="C389" s="2">
        <v>-102.5697708</v>
      </c>
      <c r="D389" s="24">
        <f t="shared" si="1"/>
        <v>634782.6087</v>
      </c>
      <c r="E389" s="25">
        <f t="shared" si="2"/>
        <v>-134.9895314</v>
      </c>
      <c r="F389" s="24">
        <f t="shared" si="3"/>
        <v>0.0002126547413</v>
      </c>
      <c r="G389" s="24">
        <f t="shared" si="4"/>
        <v>0</v>
      </c>
      <c r="H389" s="26">
        <f t="shared" si="5"/>
        <v>0</v>
      </c>
      <c r="I389" s="24">
        <f t="shared" si="6"/>
        <v>0</v>
      </c>
      <c r="J389" s="24">
        <f t="shared" si="7"/>
        <v>0</v>
      </c>
      <c r="K389" s="24"/>
      <c r="L389" s="24">
        <f t="shared" si="8"/>
        <v>420.8517015</v>
      </c>
      <c r="M389" s="30">
        <f t="shared" si="9"/>
        <v>422.1134536</v>
      </c>
      <c r="N389" s="27">
        <f t="shared" si="10"/>
        <v>-1.261752122</v>
      </c>
      <c r="O389" s="24"/>
      <c r="P389" s="24"/>
      <c r="Q389" s="24"/>
      <c r="R389" s="26"/>
      <c r="S389" s="14">
        <f t="shared" si="13"/>
        <v>-1.158662094</v>
      </c>
    </row>
    <row r="390">
      <c r="A390" s="11">
        <v>378.0</v>
      </c>
      <c r="B390" s="11">
        <v>1.42103913043478E9</v>
      </c>
      <c r="C390" s="2">
        <v>-102.5142899</v>
      </c>
      <c r="D390" s="24">
        <f t="shared" si="1"/>
        <v>639130.4348</v>
      </c>
      <c r="E390" s="25">
        <f t="shared" si="2"/>
        <v>-135.9078276</v>
      </c>
      <c r="F390" s="24">
        <f t="shared" si="3"/>
        <v>0.0002126449003</v>
      </c>
      <c r="G390" s="24">
        <f t="shared" si="4"/>
        <v>0</v>
      </c>
      <c r="H390" s="26">
        <f t="shared" si="5"/>
        <v>0</v>
      </c>
      <c r="I390" s="24">
        <f t="shared" si="6"/>
        <v>0</v>
      </c>
      <c r="J390" s="24">
        <f t="shared" si="7"/>
        <v>0</v>
      </c>
      <c r="K390" s="24"/>
      <c r="L390" s="24">
        <f t="shared" si="8"/>
        <v>426.2625487</v>
      </c>
      <c r="M390" s="30">
        <f t="shared" si="9"/>
        <v>421.9908435</v>
      </c>
      <c r="N390" s="27">
        <f t="shared" si="10"/>
        <v>4.271705284</v>
      </c>
      <c r="O390" s="24"/>
      <c r="P390" s="24"/>
      <c r="Q390" s="24"/>
      <c r="R390" s="26"/>
      <c r="S390" s="14">
        <f t="shared" si="13"/>
        <v>3.922690434</v>
      </c>
    </row>
    <row r="391">
      <c r="A391" s="11">
        <v>379.0</v>
      </c>
      <c r="B391" s="11">
        <v>1.42104347826087E9</v>
      </c>
      <c r="C391" s="2">
        <v>-102.5496216</v>
      </c>
      <c r="D391" s="24">
        <f t="shared" si="1"/>
        <v>643478.2609</v>
      </c>
      <c r="E391" s="25">
        <f t="shared" si="2"/>
        <v>-136.8261237</v>
      </c>
      <c r="F391" s="24">
        <f t="shared" si="3"/>
        <v>0.0002126351922</v>
      </c>
      <c r="G391" s="24">
        <f t="shared" si="4"/>
        <v>0</v>
      </c>
      <c r="H391" s="26">
        <f t="shared" si="5"/>
        <v>0</v>
      </c>
      <c r="I391" s="24">
        <f t="shared" si="6"/>
        <v>0</v>
      </c>
      <c r="J391" s="24">
        <f t="shared" si="7"/>
        <v>0</v>
      </c>
      <c r="K391" s="24"/>
      <c r="L391" s="24">
        <f t="shared" si="8"/>
        <v>422.8087899</v>
      </c>
      <c r="M391" s="30">
        <f t="shared" si="9"/>
        <v>421.8681489</v>
      </c>
      <c r="N391" s="27">
        <f t="shared" si="10"/>
        <v>0.9406410048</v>
      </c>
      <c r="O391" s="24"/>
      <c r="P391" s="24"/>
      <c r="Q391" s="24"/>
      <c r="R391" s="26"/>
      <c r="S391" s="14">
        <f t="shared" si="13"/>
        <v>0.863786997</v>
      </c>
    </row>
    <row r="392">
      <c r="A392" s="11">
        <v>380.0</v>
      </c>
      <c r="B392" s="11">
        <v>1.42104782608695E9</v>
      </c>
      <c r="C392" s="2">
        <v>-102.5751038</v>
      </c>
      <c r="D392" s="24">
        <f t="shared" si="1"/>
        <v>647826.087</v>
      </c>
      <c r="E392" s="25">
        <f t="shared" si="2"/>
        <v>-137.7444198</v>
      </c>
      <c r="F392" s="24">
        <f t="shared" si="3"/>
        <v>0.0002126256145</v>
      </c>
      <c r="G392" s="24">
        <f t="shared" si="4"/>
        <v>0</v>
      </c>
      <c r="H392" s="26">
        <f t="shared" si="5"/>
        <v>0</v>
      </c>
      <c r="I392" s="24">
        <f t="shared" si="6"/>
        <v>0</v>
      </c>
      <c r="J392" s="24">
        <f t="shared" si="7"/>
        <v>0</v>
      </c>
      <c r="K392" s="24"/>
      <c r="L392" s="24">
        <f t="shared" si="8"/>
        <v>420.335226</v>
      </c>
      <c r="M392" s="30">
        <f t="shared" si="9"/>
        <v>421.7453707</v>
      </c>
      <c r="N392" s="27">
        <f t="shared" si="10"/>
        <v>-1.410144675</v>
      </c>
      <c r="O392" s="24"/>
      <c r="P392" s="24"/>
      <c r="Q392" s="24"/>
      <c r="R392" s="26"/>
      <c r="S392" s="14">
        <f t="shared" si="13"/>
        <v>-1.294930402</v>
      </c>
    </row>
    <row r="393">
      <c r="A393" s="11">
        <v>381.0</v>
      </c>
      <c r="B393" s="11">
        <v>1.42105217391304E9</v>
      </c>
      <c r="C393" s="2">
        <v>-102.5604935</v>
      </c>
      <c r="D393" s="24">
        <f t="shared" si="1"/>
        <v>652173.913</v>
      </c>
      <c r="E393" s="25">
        <f t="shared" si="2"/>
        <v>-138.662716</v>
      </c>
      <c r="F393" s="24">
        <f t="shared" si="3"/>
        <v>0.0002126161645</v>
      </c>
      <c r="G393" s="24">
        <f t="shared" si="4"/>
        <v>0</v>
      </c>
      <c r="H393" s="26">
        <f t="shared" si="5"/>
        <v>0</v>
      </c>
      <c r="I393" s="24">
        <f t="shared" si="6"/>
        <v>0</v>
      </c>
      <c r="J393" s="24">
        <f t="shared" si="7"/>
        <v>0</v>
      </c>
      <c r="K393" s="24"/>
      <c r="L393" s="24">
        <f t="shared" si="8"/>
        <v>421.7516763</v>
      </c>
      <c r="M393" s="30">
        <f t="shared" si="9"/>
        <v>421.6225097</v>
      </c>
      <c r="N393" s="27">
        <f t="shared" si="10"/>
        <v>0.1291665803</v>
      </c>
      <c r="O393" s="24"/>
      <c r="P393" s="24"/>
      <c r="Q393" s="24"/>
      <c r="R393" s="26"/>
      <c r="S393" s="14">
        <f t="shared" si="13"/>
        <v>0.1186131709</v>
      </c>
    </row>
    <row r="394">
      <c r="A394" s="11">
        <v>382.0</v>
      </c>
      <c r="B394" s="11">
        <v>1.42105652173913E9</v>
      </c>
      <c r="C394" s="2">
        <v>-102.6125488</v>
      </c>
      <c r="D394" s="24">
        <f t="shared" si="1"/>
        <v>656521.7391</v>
      </c>
      <c r="E394" s="25">
        <f t="shared" si="2"/>
        <v>-139.5810121</v>
      </c>
      <c r="F394" s="24">
        <f t="shared" si="3"/>
        <v>0.0002126068396</v>
      </c>
      <c r="G394" s="24">
        <f t="shared" si="4"/>
        <v>0</v>
      </c>
      <c r="H394" s="26">
        <f t="shared" si="5"/>
        <v>0</v>
      </c>
      <c r="I394" s="24">
        <f t="shared" si="6"/>
        <v>0</v>
      </c>
      <c r="J394" s="24">
        <f t="shared" si="7"/>
        <v>0</v>
      </c>
      <c r="K394" s="24"/>
      <c r="L394" s="24">
        <f t="shared" si="8"/>
        <v>416.726662</v>
      </c>
      <c r="M394" s="30">
        <f t="shared" si="9"/>
        <v>421.4995667</v>
      </c>
      <c r="N394" s="27">
        <f t="shared" si="10"/>
        <v>-4.772904645</v>
      </c>
      <c r="O394" s="24"/>
      <c r="P394" s="24"/>
      <c r="Q394" s="24"/>
      <c r="R394" s="26"/>
      <c r="S394" s="14">
        <f t="shared" si="13"/>
        <v>-4.382939877</v>
      </c>
    </row>
    <row r="395">
      <c r="A395" s="11">
        <v>383.0</v>
      </c>
      <c r="B395" s="11">
        <v>1.42106086956521E9</v>
      </c>
      <c r="C395" s="2">
        <v>-102.5363693</v>
      </c>
      <c r="D395" s="24">
        <f t="shared" si="1"/>
        <v>660869.5652</v>
      </c>
      <c r="E395" s="25">
        <f t="shared" si="2"/>
        <v>-140.4993082</v>
      </c>
      <c r="F395" s="24">
        <f t="shared" si="3"/>
        <v>0.0002125976374</v>
      </c>
      <c r="G395" s="24">
        <f t="shared" si="4"/>
        <v>0</v>
      </c>
      <c r="H395" s="26">
        <f t="shared" si="5"/>
        <v>0</v>
      </c>
      <c r="I395" s="24">
        <f t="shared" si="6"/>
        <v>0</v>
      </c>
      <c r="J395" s="24">
        <f t="shared" si="7"/>
        <v>0</v>
      </c>
      <c r="K395" s="24"/>
      <c r="L395" s="24">
        <f t="shared" si="8"/>
        <v>424.1009423</v>
      </c>
      <c r="M395" s="30">
        <f t="shared" si="9"/>
        <v>421.3765425</v>
      </c>
      <c r="N395" s="27">
        <f t="shared" si="10"/>
        <v>2.724399759</v>
      </c>
      <c r="O395" s="24"/>
      <c r="P395" s="24"/>
      <c r="Q395" s="24"/>
      <c r="R395" s="26"/>
      <c r="S395" s="14">
        <f t="shared" si="13"/>
        <v>2.501805763</v>
      </c>
    </row>
    <row r="396">
      <c r="A396" s="11">
        <v>384.0</v>
      </c>
      <c r="B396" s="11">
        <v>1.4210652173913E9</v>
      </c>
      <c r="C396" s="2">
        <v>-102.6100388</v>
      </c>
      <c r="D396" s="24">
        <f t="shared" si="1"/>
        <v>665217.3913</v>
      </c>
      <c r="E396" s="25">
        <f t="shared" si="2"/>
        <v>-141.4176043</v>
      </c>
      <c r="F396" s="24">
        <f t="shared" si="3"/>
        <v>0.0002125885556</v>
      </c>
      <c r="G396" s="24">
        <f t="shared" si="4"/>
        <v>0</v>
      </c>
      <c r="H396" s="26">
        <f t="shared" si="5"/>
        <v>0</v>
      </c>
      <c r="I396" s="24">
        <f t="shared" si="6"/>
        <v>0</v>
      </c>
      <c r="J396" s="24">
        <f t="shared" si="7"/>
        <v>0</v>
      </c>
      <c r="K396" s="24"/>
      <c r="L396" s="24">
        <f t="shared" si="8"/>
        <v>416.9675784</v>
      </c>
      <c r="M396" s="30">
        <f t="shared" si="9"/>
        <v>421.2534379</v>
      </c>
      <c r="N396" s="27">
        <f t="shared" si="10"/>
        <v>-4.285859579</v>
      </c>
      <c r="O396" s="24"/>
      <c r="P396" s="24"/>
      <c r="Q396" s="24"/>
      <c r="R396" s="26"/>
      <c r="S396" s="14">
        <f t="shared" si="13"/>
        <v>-3.935688268</v>
      </c>
    </row>
    <row r="397">
      <c r="A397" s="11">
        <v>385.0</v>
      </c>
      <c r="B397" s="11">
        <v>1.42106956521739E9</v>
      </c>
      <c r="C397" s="2">
        <v>-102.5623016</v>
      </c>
      <c r="D397" s="24">
        <f t="shared" si="1"/>
        <v>669565.2174</v>
      </c>
      <c r="E397" s="25">
        <f t="shared" si="2"/>
        <v>-142.3359005</v>
      </c>
      <c r="F397" s="24">
        <f t="shared" si="3"/>
        <v>0.0002125795916</v>
      </c>
      <c r="G397" s="24">
        <f t="shared" si="4"/>
        <v>0</v>
      </c>
      <c r="H397" s="26">
        <f t="shared" si="5"/>
        <v>0</v>
      </c>
      <c r="I397" s="24">
        <f t="shared" si="6"/>
        <v>0</v>
      </c>
      <c r="J397" s="24">
        <f t="shared" si="7"/>
        <v>0</v>
      </c>
      <c r="K397" s="24"/>
      <c r="L397" s="24">
        <f t="shared" si="8"/>
        <v>421.5761248</v>
      </c>
      <c r="M397" s="30">
        <f t="shared" si="9"/>
        <v>421.1302538</v>
      </c>
      <c r="N397" s="27">
        <f t="shared" si="10"/>
        <v>0.4458709814</v>
      </c>
      <c r="O397" s="24"/>
      <c r="P397" s="24"/>
      <c r="Q397" s="24"/>
      <c r="R397" s="26"/>
      <c r="S397" s="14">
        <f t="shared" si="13"/>
        <v>0.409441598</v>
      </c>
    </row>
    <row r="398">
      <c r="A398" s="11">
        <v>386.0</v>
      </c>
      <c r="B398" s="11">
        <v>1.42107391304347E9</v>
      </c>
      <c r="C398" s="2">
        <v>-102.5546112</v>
      </c>
      <c r="D398" s="24">
        <f t="shared" si="1"/>
        <v>673913.0435</v>
      </c>
      <c r="E398" s="25">
        <f t="shared" si="2"/>
        <v>-143.2541966</v>
      </c>
      <c r="F398" s="24">
        <f t="shared" si="3"/>
        <v>0.0002125707434</v>
      </c>
      <c r="G398" s="24">
        <f t="shared" si="4"/>
        <v>0</v>
      </c>
      <c r="H398" s="26">
        <f t="shared" si="5"/>
        <v>0</v>
      </c>
      <c r="I398" s="24">
        <f t="shared" si="6"/>
        <v>0</v>
      </c>
      <c r="J398" s="24">
        <f t="shared" si="7"/>
        <v>0</v>
      </c>
      <c r="K398" s="24"/>
      <c r="L398" s="24">
        <f t="shared" si="8"/>
        <v>422.3233047</v>
      </c>
      <c r="M398" s="30">
        <f t="shared" si="9"/>
        <v>421.0069908</v>
      </c>
      <c r="N398" s="27">
        <f t="shared" si="10"/>
        <v>1.316313862</v>
      </c>
      <c r="O398" s="24"/>
      <c r="P398" s="24"/>
      <c r="Q398" s="24"/>
      <c r="R398" s="26"/>
      <c r="S398" s="14">
        <f t="shared" si="13"/>
        <v>1.208765929</v>
      </c>
    </row>
    <row r="399">
      <c r="A399" s="11">
        <v>387.0</v>
      </c>
      <c r="B399" s="11">
        <v>1.42107826086956E9</v>
      </c>
      <c r="C399" s="2">
        <v>-102.5618057</v>
      </c>
      <c r="D399" s="24">
        <f t="shared" si="1"/>
        <v>678260.8696</v>
      </c>
      <c r="E399" s="25">
        <f t="shared" si="2"/>
        <v>-144.1724927</v>
      </c>
      <c r="F399" s="24">
        <f t="shared" si="3"/>
        <v>0.0002125620085</v>
      </c>
      <c r="G399" s="24">
        <f t="shared" si="4"/>
        <v>0</v>
      </c>
      <c r="H399" s="26">
        <f t="shared" si="5"/>
        <v>0</v>
      </c>
      <c r="I399" s="24">
        <f t="shared" si="6"/>
        <v>0</v>
      </c>
      <c r="J399" s="24">
        <f t="shared" si="7"/>
        <v>0</v>
      </c>
      <c r="K399" s="24"/>
      <c r="L399" s="24">
        <f t="shared" si="8"/>
        <v>421.6242653</v>
      </c>
      <c r="M399" s="30">
        <f t="shared" si="9"/>
        <v>420.8836499</v>
      </c>
      <c r="N399" s="27">
        <f t="shared" si="10"/>
        <v>0.7406153486</v>
      </c>
      <c r="O399" s="24"/>
      <c r="P399" s="24"/>
      <c r="Q399" s="24"/>
      <c r="R399" s="26"/>
      <c r="S399" s="14">
        <f t="shared" si="13"/>
        <v>0.6801042089</v>
      </c>
    </row>
    <row r="400">
      <c r="A400" s="11">
        <v>388.0</v>
      </c>
      <c r="B400" s="11">
        <v>1.42108260869565E9</v>
      </c>
      <c r="C400" s="2">
        <v>-102.5505295</v>
      </c>
      <c r="D400" s="24">
        <f t="shared" si="1"/>
        <v>682608.6957</v>
      </c>
      <c r="E400" s="25">
        <f t="shared" si="2"/>
        <v>-145.0907889</v>
      </c>
      <c r="F400" s="24">
        <f t="shared" si="3"/>
        <v>0.000212553385</v>
      </c>
      <c r="G400" s="24">
        <f t="shared" si="4"/>
        <v>0</v>
      </c>
      <c r="H400" s="26">
        <f t="shared" si="5"/>
        <v>0</v>
      </c>
      <c r="I400" s="24">
        <f t="shared" si="6"/>
        <v>0</v>
      </c>
      <c r="J400" s="24">
        <f t="shared" si="7"/>
        <v>0</v>
      </c>
      <c r="K400" s="24"/>
      <c r="L400" s="24">
        <f t="shared" si="8"/>
        <v>422.7204102</v>
      </c>
      <c r="M400" s="30">
        <f t="shared" si="9"/>
        <v>420.7602318</v>
      </c>
      <c r="N400" s="27">
        <f t="shared" si="10"/>
        <v>1.960178401</v>
      </c>
      <c r="O400" s="24"/>
      <c r="P400" s="24"/>
      <c r="Q400" s="24"/>
      <c r="R400" s="26"/>
      <c r="S400" s="14">
        <f t="shared" si="13"/>
        <v>1.800024245</v>
      </c>
    </row>
    <row r="401">
      <c r="A401" s="11">
        <v>389.0</v>
      </c>
      <c r="B401" s="11">
        <v>1.42108695652173E9</v>
      </c>
      <c r="C401" s="2">
        <v>-102.6173172</v>
      </c>
      <c r="D401" s="24">
        <f t="shared" si="1"/>
        <v>686956.5217</v>
      </c>
      <c r="E401" s="25">
        <f t="shared" si="2"/>
        <v>-146.009085</v>
      </c>
      <c r="F401" s="24">
        <f t="shared" si="3"/>
        <v>0.0002125448706</v>
      </c>
      <c r="G401" s="24">
        <f t="shared" si="4"/>
        <v>0</v>
      </c>
      <c r="H401" s="26">
        <f t="shared" si="5"/>
        <v>0</v>
      </c>
      <c r="I401" s="24">
        <f t="shared" si="6"/>
        <v>0</v>
      </c>
      <c r="J401" s="24">
        <f t="shared" si="7"/>
        <v>0</v>
      </c>
      <c r="K401" s="24"/>
      <c r="L401" s="24">
        <f t="shared" si="8"/>
        <v>416.269362</v>
      </c>
      <c r="M401" s="30">
        <f t="shared" si="9"/>
        <v>420.6367373</v>
      </c>
      <c r="N401" s="27">
        <f t="shared" si="10"/>
        <v>-4.367375348</v>
      </c>
      <c r="O401" s="24"/>
      <c r="P401" s="24"/>
      <c r="Q401" s="24"/>
      <c r="R401" s="26"/>
      <c r="S401" s="14">
        <f t="shared" si="13"/>
        <v>-4.010543892</v>
      </c>
    </row>
    <row r="402">
      <c r="A402" s="11">
        <v>390.0</v>
      </c>
      <c r="B402" s="11">
        <v>1.42109130434782E9</v>
      </c>
      <c r="C402" s="2">
        <v>-102.6225052</v>
      </c>
      <c r="D402" s="24">
        <f t="shared" si="1"/>
        <v>691304.3478</v>
      </c>
      <c r="E402" s="25">
        <f t="shared" si="2"/>
        <v>-146.9273811</v>
      </c>
      <c r="F402" s="24">
        <f t="shared" si="3"/>
        <v>0.0002125364633</v>
      </c>
      <c r="G402" s="24">
        <f t="shared" si="4"/>
        <v>0</v>
      </c>
      <c r="H402" s="26">
        <f t="shared" si="5"/>
        <v>0</v>
      </c>
      <c r="I402" s="24">
        <f t="shared" si="6"/>
        <v>0</v>
      </c>
      <c r="J402" s="24">
        <f t="shared" si="7"/>
        <v>0</v>
      </c>
      <c r="K402" s="24"/>
      <c r="L402" s="24">
        <f t="shared" si="8"/>
        <v>415.7723914</v>
      </c>
      <c r="M402" s="30">
        <f t="shared" si="9"/>
        <v>420.5131673</v>
      </c>
      <c r="N402" s="27">
        <f t="shared" si="10"/>
        <v>-4.74077594</v>
      </c>
      <c r="O402" s="24"/>
      <c r="P402" s="24"/>
      <c r="Q402" s="24"/>
      <c r="R402" s="26"/>
      <c r="S402" s="14">
        <f t="shared" si="13"/>
        <v>-4.353436212</v>
      </c>
    </row>
    <row r="403">
      <c r="A403" s="11">
        <v>391.0</v>
      </c>
      <c r="B403" s="11">
        <v>1.42109565217391E9</v>
      </c>
      <c r="C403" s="2">
        <v>-102.5980911</v>
      </c>
      <c r="D403" s="24">
        <f t="shared" si="1"/>
        <v>695652.1739</v>
      </c>
      <c r="E403" s="25">
        <f t="shared" si="2"/>
        <v>-147.8456773</v>
      </c>
      <c r="F403" s="24">
        <f t="shared" si="3"/>
        <v>0.0002125281611</v>
      </c>
      <c r="G403" s="24">
        <f t="shared" si="4"/>
        <v>0</v>
      </c>
      <c r="H403" s="26">
        <f t="shared" si="5"/>
        <v>0</v>
      </c>
      <c r="I403" s="24">
        <f t="shared" si="6"/>
        <v>0</v>
      </c>
      <c r="J403" s="24">
        <f t="shared" si="7"/>
        <v>0</v>
      </c>
      <c r="K403" s="24"/>
      <c r="L403" s="24">
        <f t="shared" si="8"/>
        <v>418.1162603</v>
      </c>
      <c r="M403" s="30">
        <f t="shared" si="9"/>
        <v>420.3895225</v>
      </c>
      <c r="N403" s="27">
        <f t="shared" si="10"/>
        <v>-2.273262145</v>
      </c>
      <c r="O403" s="24"/>
      <c r="P403" s="24"/>
      <c r="Q403" s="24"/>
      <c r="R403" s="26"/>
      <c r="S403" s="14">
        <f t="shared" si="13"/>
        <v>-2.087527832</v>
      </c>
    </row>
    <row r="404">
      <c r="A404" s="11">
        <v>392.0</v>
      </c>
      <c r="B404" s="11">
        <v>1.4211E9</v>
      </c>
      <c r="C404" s="2">
        <v>-102.625351</v>
      </c>
      <c r="D404" s="24">
        <f t="shared" si="1"/>
        <v>700000</v>
      </c>
      <c r="E404" s="25">
        <f t="shared" si="2"/>
        <v>-148.7639734</v>
      </c>
      <c r="F404" s="24">
        <f t="shared" si="3"/>
        <v>0.000212519962</v>
      </c>
      <c r="G404" s="24">
        <f t="shared" si="4"/>
        <v>0</v>
      </c>
      <c r="H404" s="26">
        <f t="shared" si="5"/>
        <v>0</v>
      </c>
      <c r="I404" s="24">
        <f t="shared" si="6"/>
        <v>0</v>
      </c>
      <c r="J404" s="24">
        <f t="shared" si="7"/>
        <v>0</v>
      </c>
      <c r="K404" s="24"/>
      <c r="L404" s="24">
        <f t="shared" si="8"/>
        <v>415.5000376</v>
      </c>
      <c r="M404" s="30">
        <f t="shared" si="9"/>
        <v>420.2658037</v>
      </c>
      <c r="N404" s="27">
        <f t="shared" si="10"/>
        <v>-4.765766148</v>
      </c>
      <c r="O404" s="24"/>
      <c r="P404" s="24"/>
      <c r="Q404" s="24"/>
      <c r="R404" s="26"/>
      <c r="S404" s="14">
        <f t="shared" si="13"/>
        <v>-4.376384623</v>
      </c>
    </row>
    <row r="405">
      <c r="A405" s="11">
        <v>393.0</v>
      </c>
      <c r="B405" s="11">
        <v>1.42110434782608E9</v>
      </c>
      <c r="C405" s="2">
        <v>-102.583374</v>
      </c>
      <c r="D405" s="24">
        <f t="shared" si="1"/>
        <v>704347.8261</v>
      </c>
      <c r="E405" s="25">
        <f t="shared" si="2"/>
        <v>-149.6822695</v>
      </c>
      <c r="F405" s="24">
        <f t="shared" si="3"/>
        <v>0.0002125118642</v>
      </c>
      <c r="G405" s="24">
        <f t="shared" si="4"/>
        <v>0</v>
      </c>
      <c r="H405" s="26">
        <f t="shared" si="5"/>
        <v>0</v>
      </c>
      <c r="I405" s="24">
        <f t="shared" si="6"/>
        <v>0</v>
      </c>
      <c r="J405" s="24">
        <f t="shared" si="7"/>
        <v>0</v>
      </c>
      <c r="K405" s="24"/>
      <c r="L405" s="24">
        <f t="shared" si="8"/>
        <v>419.53555</v>
      </c>
      <c r="M405" s="30">
        <f t="shared" si="9"/>
        <v>420.1420118</v>
      </c>
      <c r="N405" s="27">
        <f t="shared" si="10"/>
        <v>-0.6064617397</v>
      </c>
      <c r="O405" s="24"/>
      <c r="P405" s="24"/>
      <c r="Q405" s="24"/>
      <c r="R405" s="26"/>
      <c r="S405" s="14">
        <f t="shared" si="13"/>
        <v>-0.5569114702</v>
      </c>
    </row>
    <row r="406">
      <c r="A406" s="11">
        <v>394.0</v>
      </c>
      <c r="B406" s="11">
        <v>1.42110869565217E9</v>
      </c>
      <c r="C406" s="2">
        <v>-102.6052399</v>
      </c>
      <c r="D406" s="24">
        <f t="shared" si="1"/>
        <v>708695.6522</v>
      </c>
      <c r="E406" s="25">
        <f t="shared" si="2"/>
        <v>-150.6005657</v>
      </c>
      <c r="F406" s="24">
        <f t="shared" si="3"/>
        <v>0.0002125038657</v>
      </c>
      <c r="G406" s="24">
        <f t="shared" si="4"/>
        <v>0</v>
      </c>
      <c r="H406" s="26">
        <f t="shared" si="5"/>
        <v>0</v>
      </c>
      <c r="I406" s="24">
        <f t="shared" si="6"/>
        <v>0</v>
      </c>
      <c r="J406" s="24">
        <f t="shared" si="7"/>
        <v>0</v>
      </c>
      <c r="K406" s="24"/>
      <c r="L406" s="24">
        <f t="shared" si="8"/>
        <v>417.428577</v>
      </c>
      <c r="M406" s="30">
        <f t="shared" si="9"/>
        <v>420.0181475</v>
      </c>
      <c r="N406" s="27">
        <f t="shared" si="10"/>
        <v>-2.589570482</v>
      </c>
      <c r="O406" s="24"/>
      <c r="P406" s="24"/>
      <c r="Q406" s="24"/>
      <c r="R406" s="26"/>
      <c r="S406" s="14">
        <f t="shared" si="13"/>
        <v>-2.377992553</v>
      </c>
    </row>
    <row r="407">
      <c r="A407" s="11">
        <v>395.0</v>
      </c>
      <c r="B407" s="11">
        <v>1.42111304347826E9</v>
      </c>
      <c r="C407" s="2">
        <v>-102.5703583</v>
      </c>
      <c r="D407" s="24">
        <f t="shared" si="1"/>
        <v>713043.4783</v>
      </c>
      <c r="E407" s="25">
        <f t="shared" si="2"/>
        <v>-151.5188618</v>
      </c>
      <c r="F407" s="24">
        <f t="shared" si="3"/>
        <v>0.0002124959647</v>
      </c>
      <c r="G407" s="24">
        <f t="shared" si="4"/>
        <v>0</v>
      </c>
      <c r="H407" s="26">
        <f t="shared" si="5"/>
        <v>0</v>
      </c>
      <c r="I407" s="24">
        <f t="shared" si="6"/>
        <v>0</v>
      </c>
      <c r="J407" s="24">
        <f t="shared" si="7"/>
        <v>0</v>
      </c>
      <c r="K407" s="24"/>
      <c r="L407" s="24">
        <f t="shared" si="8"/>
        <v>420.7947739</v>
      </c>
      <c r="M407" s="30">
        <f t="shared" si="9"/>
        <v>419.8942116</v>
      </c>
      <c r="N407" s="27">
        <f t="shared" si="10"/>
        <v>0.9005622271</v>
      </c>
      <c r="O407" s="24"/>
      <c r="P407" s="24"/>
      <c r="Q407" s="24"/>
      <c r="R407" s="26"/>
      <c r="S407" s="14">
        <f t="shared" si="13"/>
        <v>0.8269828105</v>
      </c>
    </row>
    <row r="408">
      <c r="A408" s="11">
        <v>396.0</v>
      </c>
      <c r="B408" s="11">
        <v>1.42111739130434E9</v>
      </c>
      <c r="C408" s="2">
        <v>-102.5955353</v>
      </c>
      <c r="D408" s="24">
        <f t="shared" si="1"/>
        <v>717391.3043</v>
      </c>
      <c r="E408" s="25">
        <f t="shared" si="2"/>
        <v>-152.4371579</v>
      </c>
      <c r="F408" s="24">
        <f t="shared" si="3"/>
        <v>0.0002124881595</v>
      </c>
      <c r="G408" s="24">
        <f t="shared" si="4"/>
        <v>0</v>
      </c>
      <c r="H408" s="26">
        <f t="shared" si="5"/>
        <v>0</v>
      </c>
      <c r="I408" s="24">
        <f t="shared" si="6"/>
        <v>0</v>
      </c>
      <c r="J408" s="24">
        <f t="shared" si="7"/>
        <v>0</v>
      </c>
      <c r="K408" s="24"/>
      <c r="L408" s="24">
        <f t="shared" si="8"/>
        <v>418.362392</v>
      </c>
      <c r="M408" s="30">
        <f t="shared" si="9"/>
        <v>419.770205</v>
      </c>
      <c r="N408" s="27">
        <f t="shared" si="10"/>
        <v>-1.407813083</v>
      </c>
      <c r="O408" s="24"/>
      <c r="P408" s="24"/>
      <c r="Q408" s="24"/>
      <c r="R408" s="26"/>
      <c r="S408" s="14">
        <f t="shared" si="13"/>
        <v>-1.29278931</v>
      </c>
    </row>
    <row r="409">
      <c r="A409" s="11">
        <v>397.0</v>
      </c>
      <c r="B409" s="11">
        <v>1.42112173913043E9</v>
      </c>
      <c r="C409" s="2">
        <v>-102.5724411</v>
      </c>
      <c r="D409" s="24">
        <f t="shared" si="1"/>
        <v>721739.1304</v>
      </c>
      <c r="E409" s="25">
        <f t="shared" si="2"/>
        <v>-153.3554541</v>
      </c>
      <c r="F409" s="24">
        <f t="shared" si="3"/>
        <v>0.0002124804484</v>
      </c>
      <c r="G409" s="24">
        <f t="shared" si="4"/>
        <v>0</v>
      </c>
      <c r="H409" s="26">
        <f t="shared" si="5"/>
        <v>0</v>
      </c>
      <c r="I409" s="24">
        <f t="shared" si="6"/>
        <v>0</v>
      </c>
      <c r="J409" s="24">
        <f t="shared" si="7"/>
        <v>0</v>
      </c>
      <c r="K409" s="24"/>
      <c r="L409" s="24">
        <f t="shared" si="8"/>
        <v>420.5930165</v>
      </c>
      <c r="M409" s="30">
        <f t="shared" si="9"/>
        <v>419.6461285</v>
      </c>
      <c r="N409" s="27">
        <f t="shared" si="10"/>
        <v>0.9468879722</v>
      </c>
      <c r="O409" s="24"/>
      <c r="P409" s="24"/>
      <c r="Q409" s="24"/>
      <c r="R409" s="26"/>
      <c r="S409" s="14">
        <f t="shared" si="13"/>
        <v>0.8695235611</v>
      </c>
    </row>
    <row r="410">
      <c r="A410" s="11">
        <v>398.0</v>
      </c>
      <c r="B410" s="11">
        <v>1.42112608695652E9</v>
      </c>
      <c r="C410" s="2">
        <v>-102.5707932</v>
      </c>
      <c r="D410" s="24">
        <f t="shared" si="1"/>
        <v>726086.9565</v>
      </c>
      <c r="E410" s="25">
        <f t="shared" si="2"/>
        <v>-154.2737502</v>
      </c>
      <c r="F410" s="24">
        <f t="shared" si="3"/>
        <v>0.0002124728296</v>
      </c>
      <c r="G410" s="24">
        <f t="shared" si="4"/>
        <v>0</v>
      </c>
      <c r="H410" s="26">
        <f t="shared" si="5"/>
        <v>0</v>
      </c>
      <c r="I410" s="24">
        <f t="shared" si="6"/>
        <v>0</v>
      </c>
      <c r="J410" s="24">
        <f t="shared" si="7"/>
        <v>0</v>
      </c>
      <c r="K410" s="24"/>
      <c r="L410" s="24">
        <f t="shared" si="8"/>
        <v>420.7526378</v>
      </c>
      <c r="M410" s="30">
        <f t="shared" si="9"/>
        <v>419.5219828</v>
      </c>
      <c r="N410" s="27">
        <f t="shared" si="10"/>
        <v>1.230655015</v>
      </c>
      <c r="O410" s="24"/>
      <c r="P410" s="24"/>
      <c r="Q410" s="24"/>
      <c r="R410" s="26"/>
      <c r="S410" s="14">
        <f t="shared" si="13"/>
        <v>1.130105741</v>
      </c>
    </row>
    <row r="411">
      <c r="A411" s="11">
        <v>399.0</v>
      </c>
      <c r="B411" s="11">
        <v>1.4211304347826E9</v>
      </c>
      <c r="C411" s="2">
        <v>-102.5456924</v>
      </c>
      <c r="D411" s="24">
        <f t="shared" si="1"/>
        <v>730434.7826</v>
      </c>
      <c r="E411" s="25">
        <f t="shared" si="2"/>
        <v>-155.1920463</v>
      </c>
      <c r="F411" s="24">
        <f t="shared" si="3"/>
        <v>0.0002124653015</v>
      </c>
      <c r="G411" s="24">
        <f t="shared" si="4"/>
        <v>0</v>
      </c>
      <c r="H411" s="26">
        <f t="shared" si="5"/>
        <v>0</v>
      </c>
      <c r="I411" s="24">
        <f t="shared" si="6"/>
        <v>0</v>
      </c>
      <c r="J411" s="24">
        <f t="shared" si="7"/>
        <v>0</v>
      </c>
      <c r="K411" s="24"/>
      <c r="L411" s="24">
        <f t="shared" si="8"/>
        <v>423.1914915</v>
      </c>
      <c r="M411" s="30">
        <f t="shared" si="9"/>
        <v>419.3977688</v>
      </c>
      <c r="N411" s="27">
        <f t="shared" si="10"/>
        <v>3.793722713</v>
      </c>
      <c r="O411" s="24"/>
      <c r="P411" s="24"/>
      <c r="Q411" s="24"/>
      <c r="R411" s="26"/>
      <c r="S411" s="14">
        <f t="shared" si="13"/>
        <v>3.483760896</v>
      </c>
    </row>
    <row r="412">
      <c r="A412" s="11">
        <v>400.0</v>
      </c>
      <c r="B412" s="11">
        <v>1.42113478260869E9</v>
      </c>
      <c r="C412" s="2">
        <v>-102.5763702</v>
      </c>
      <c r="D412" s="24">
        <f t="shared" si="1"/>
        <v>734782.6087</v>
      </c>
      <c r="E412" s="25">
        <f t="shared" si="2"/>
        <v>-156.1103425</v>
      </c>
      <c r="F412" s="24">
        <f t="shared" si="3"/>
        <v>0.0002124578625</v>
      </c>
      <c r="G412" s="24">
        <f t="shared" si="4"/>
        <v>0</v>
      </c>
      <c r="H412" s="26">
        <f t="shared" si="5"/>
        <v>0</v>
      </c>
      <c r="I412" s="24">
        <f t="shared" si="6"/>
        <v>0</v>
      </c>
      <c r="J412" s="24">
        <f t="shared" si="7"/>
        <v>0</v>
      </c>
      <c r="K412" s="24"/>
      <c r="L412" s="24">
        <f t="shared" si="8"/>
        <v>420.2126744</v>
      </c>
      <c r="M412" s="30">
        <f t="shared" si="9"/>
        <v>419.2734872</v>
      </c>
      <c r="N412" s="27">
        <f t="shared" si="10"/>
        <v>0.9391871596</v>
      </c>
      <c r="O412" s="24"/>
      <c r="P412" s="24"/>
      <c r="Q412" s="24"/>
      <c r="R412" s="26"/>
      <c r="S412" s="14">
        <f t="shared" si="13"/>
        <v>0.8624519366</v>
      </c>
    </row>
    <row r="413">
      <c r="A413" s="11">
        <v>401.0</v>
      </c>
      <c r="B413" s="11">
        <v>1.42113913043478E9</v>
      </c>
      <c r="C413" s="2">
        <v>-102.6055145</v>
      </c>
      <c r="D413" s="24">
        <f t="shared" si="1"/>
        <v>739130.4348</v>
      </c>
      <c r="E413" s="25">
        <f t="shared" si="2"/>
        <v>-157.0286386</v>
      </c>
      <c r="F413" s="24">
        <f t="shared" si="3"/>
        <v>0.000212450511</v>
      </c>
      <c r="G413" s="24">
        <f t="shared" si="4"/>
        <v>0</v>
      </c>
      <c r="H413" s="26">
        <f t="shared" si="5"/>
        <v>0</v>
      </c>
      <c r="I413" s="24">
        <f t="shared" si="6"/>
        <v>0</v>
      </c>
      <c r="J413" s="24">
        <f t="shared" si="7"/>
        <v>0</v>
      </c>
      <c r="K413" s="24"/>
      <c r="L413" s="24">
        <f t="shared" si="8"/>
        <v>417.4021842</v>
      </c>
      <c r="M413" s="30">
        <f t="shared" si="9"/>
        <v>419.1491389</v>
      </c>
      <c r="N413" s="27">
        <f t="shared" si="10"/>
        <v>-1.746954675</v>
      </c>
      <c r="O413" s="24"/>
      <c r="P413" s="24"/>
      <c r="Q413" s="24"/>
      <c r="R413" s="26"/>
      <c r="S413" s="14">
        <f t="shared" si="13"/>
        <v>-1.604221718</v>
      </c>
    </row>
    <row r="414">
      <c r="A414" s="11">
        <v>402.0</v>
      </c>
      <c r="B414" s="11">
        <v>1.42114347826087E9</v>
      </c>
      <c r="C414" s="2">
        <v>-102.539917</v>
      </c>
      <c r="D414" s="24">
        <f t="shared" si="1"/>
        <v>743478.2609</v>
      </c>
      <c r="E414" s="25">
        <f t="shared" si="2"/>
        <v>-157.9469347</v>
      </c>
      <c r="F414" s="24">
        <f t="shared" si="3"/>
        <v>0.0002124432455</v>
      </c>
      <c r="G414" s="24">
        <f t="shared" si="4"/>
        <v>0</v>
      </c>
      <c r="H414" s="26">
        <f t="shared" si="5"/>
        <v>0</v>
      </c>
      <c r="I414" s="24">
        <f t="shared" si="6"/>
        <v>0</v>
      </c>
      <c r="J414" s="24">
        <f t="shared" si="7"/>
        <v>0</v>
      </c>
      <c r="K414" s="24"/>
      <c r="L414" s="24">
        <f t="shared" si="8"/>
        <v>423.7546407</v>
      </c>
      <c r="M414" s="30">
        <f t="shared" si="9"/>
        <v>419.0247247</v>
      </c>
      <c r="N414" s="27">
        <f t="shared" si="10"/>
        <v>4.729916021</v>
      </c>
      <c r="O414" s="24"/>
      <c r="P414" s="24"/>
      <c r="Q414" s="24"/>
      <c r="R414" s="26"/>
      <c r="S414" s="14">
        <f t="shared" si="13"/>
        <v>4.343463591</v>
      </c>
    </row>
    <row r="415">
      <c r="A415" s="11">
        <v>403.0</v>
      </c>
      <c r="B415" s="11">
        <v>1.42114782608695E9</v>
      </c>
      <c r="C415" s="2">
        <v>-102.6112366</v>
      </c>
      <c r="D415" s="24">
        <f t="shared" si="1"/>
        <v>747826.087</v>
      </c>
      <c r="E415" s="25">
        <f t="shared" si="2"/>
        <v>-158.8652309</v>
      </c>
      <c r="F415" s="24">
        <f t="shared" si="3"/>
        <v>0.0002124360645</v>
      </c>
      <c r="G415" s="24">
        <f t="shared" si="4"/>
        <v>0</v>
      </c>
      <c r="H415" s="26">
        <f t="shared" si="5"/>
        <v>0</v>
      </c>
      <c r="I415" s="24">
        <f t="shared" si="6"/>
        <v>0</v>
      </c>
      <c r="J415" s="24">
        <f t="shared" si="7"/>
        <v>0</v>
      </c>
      <c r="K415" s="24"/>
      <c r="L415" s="24">
        <f t="shared" si="8"/>
        <v>416.852593</v>
      </c>
      <c r="M415" s="30">
        <f t="shared" si="9"/>
        <v>418.9002453</v>
      </c>
      <c r="N415" s="27">
        <f t="shared" si="10"/>
        <v>-2.0476523</v>
      </c>
      <c r="O415" s="24"/>
      <c r="P415" s="24"/>
      <c r="Q415" s="24"/>
      <c r="R415" s="26"/>
      <c r="S415" s="14">
        <f t="shared" si="13"/>
        <v>-1.880351188</v>
      </c>
    </row>
    <row r="416">
      <c r="A416" s="11">
        <v>404.0</v>
      </c>
      <c r="B416" s="11">
        <v>1.42115217391304E9</v>
      </c>
      <c r="C416" s="2">
        <v>-102.5399323</v>
      </c>
      <c r="D416" s="24">
        <f t="shared" si="1"/>
        <v>752173.913</v>
      </c>
      <c r="E416" s="25">
        <f t="shared" si="2"/>
        <v>-159.783527</v>
      </c>
      <c r="F416" s="24">
        <f t="shared" si="3"/>
        <v>0.0002124289665</v>
      </c>
      <c r="G416" s="24">
        <f t="shared" si="4"/>
        <v>0</v>
      </c>
      <c r="H416" s="26">
        <f t="shared" si="5"/>
        <v>0</v>
      </c>
      <c r="I416" s="24">
        <f t="shared" si="6"/>
        <v>0</v>
      </c>
      <c r="J416" s="24">
        <f t="shared" si="7"/>
        <v>0</v>
      </c>
      <c r="K416" s="24"/>
      <c r="L416" s="24">
        <f t="shared" si="8"/>
        <v>423.7531479</v>
      </c>
      <c r="M416" s="30">
        <f t="shared" si="9"/>
        <v>418.7757017</v>
      </c>
      <c r="N416" s="27">
        <f t="shared" si="10"/>
        <v>4.977446188</v>
      </c>
      <c r="O416" s="24"/>
      <c r="P416" s="24"/>
      <c r="Q416" s="24"/>
      <c r="R416" s="26"/>
      <c r="S416" s="14">
        <f t="shared" si="13"/>
        <v>4.570769576</v>
      </c>
    </row>
    <row r="417">
      <c r="A417" s="11">
        <v>405.0</v>
      </c>
      <c r="B417" s="11">
        <v>1.42115652173913E9</v>
      </c>
      <c r="C417" s="2">
        <v>-102.6519165</v>
      </c>
      <c r="D417" s="3">
        <f t="shared" si="1"/>
        <v>756521.7391</v>
      </c>
      <c r="E417" s="4">
        <f t="shared" si="2"/>
        <v>-160.7018231</v>
      </c>
      <c r="F417" s="3">
        <f t="shared" si="3"/>
        <v>0.0002124219501</v>
      </c>
      <c r="G417" s="3">
        <f t="shared" si="4"/>
        <v>0</v>
      </c>
      <c r="H417" s="2">
        <f t="shared" si="5"/>
        <v>0</v>
      </c>
      <c r="I417" s="3">
        <f t="shared" si="6"/>
        <v>0</v>
      </c>
      <c r="J417" s="3">
        <f t="shared" si="7"/>
        <v>0</v>
      </c>
      <c r="K417" s="3"/>
      <c r="L417" s="3">
        <f t="shared" si="8"/>
        <v>412.9662094</v>
      </c>
      <c r="M417" s="30">
        <f t="shared" si="9"/>
        <v>418.6510945</v>
      </c>
      <c r="N417" s="14">
        <f t="shared" si="10"/>
        <v>-5.684885028</v>
      </c>
      <c r="O417" s="3"/>
      <c r="P417" s="3"/>
      <c r="Q417" s="3"/>
      <c r="R417" s="2"/>
      <c r="S417" s="14">
        <f t="shared" si="13"/>
        <v>-5.220407937</v>
      </c>
    </row>
    <row r="418">
      <c r="A418" s="11">
        <v>406.0</v>
      </c>
      <c r="B418" s="11">
        <v>1.42116086956521E9</v>
      </c>
      <c r="C418" s="2">
        <v>-102.5354614</v>
      </c>
      <c r="D418" s="3">
        <f t="shared" si="1"/>
        <v>760869.5652</v>
      </c>
      <c r="E418" s="4">
        <f t="shared" si="2"/>
        <v>-161.6201193</v>
      </c>
      <c r="F418" s="3">
        <f t="shared" si="3"/>
        <v>0.0002124150139</v>
      </c>
      <c r="G418" s="3">
        <f t="shared" si="4"/>
        <v>0</v>
      </c>
      <c r="H418" s="2">
        <f t="shared" si="5"/>
        <v>0</v>
      </c>
      <c r="I418" s="3">
        <f t="shared" si="6"/>
        <v>0</v>
      </c>
      <c r="J418" s="3">
        <f t="shared" si="7"/>
        <v>0</v>
      </c>
      <c r="K418" s="3"/>
      <c r="L418" s="3">
        <f t="shared" si="8"/>
        <v>424.1896106</v>
      </c>
      <c r="M418" s="30">
        <f t="shared" si="9"/>
        <v>418.5264245</v>
      </c>
      <c r="N418" s="14">
        <f t="shared" si="10"/>
        <v>5.663186014</v>
      </c>
      <c r="O418" s="3"/>
      <c r="P418" s="3"/>
      <c r="Q418" s="3"/>
      <c r="R418" s="2"/>
      <c r="S418" s="14">
        <f t="shared" si="13"/>
        <v>5.200481816</v>
      </c>
    </row>
    <row r="419">
      <c r="A419" s="11">
        <v>407.0</v>
      </c>
      <c r="B419" s="11">
        <v>1.4211652173913E9</v>
      </c>
      <c r="C419" s="2">
        <v>-102.597908</v>
      </c>
      <c r="D419" s="3">
        <f t="shared" si="1"/>
        <v>765217.3913</v>
      </c>
      <c r="E419" s="4">
        <f t="shared" si="2"/>
        <v>-162.5384154</v>
      </c>
      <c r="F419" s="3">
        <f t="shared" si="3"/>
        <v>0.0002124081565</v>
      </c>
      <c r="G419" s="3">
        <f t="shared" si="4"/>
        <v>0</v>
      </c>
      <c r="H419" s="2">
        <f t="shared" si="5"/>
        <v>0</v>
      </c>
      <c r="I419" s="3">
        <f t="shared" si="6"/>
        <v>0</v>
      </c>
      <c r="J419" s="3">
        <f t="shared" si="7"/>
        <v>0</v>
      </c>
      <c r="K419" s="3"/>
      <c r="L419" s="3">
        <f t="shared" si="8"/>
        <v>418.1338886</v>
      </c>
      <c r="M419" s="30">
        <f t="shared" si="9"/>
        <v>418.4016927</v>
      </c>
      <c r="N419" s="14">
        <f t="shared" si="10"/>
        <v>-0.2678040886</v>
      </c>
      <c r="O419" s="3"/>
      <c r="P419" s="3"/>
      <c r="Q419" s="3"/>
      <c r="R419" s="2"/>
      <c r="S419" s="14">
        <f t="shared" si="13"/>
        <v>-0.2459234583</v>
      </c>
    </row>
    <row r="420">
      <c r="A420" s="11">
        <v>408.0</v>
      </c>
      <c r="B420" s="11">
        <v>1.42116956521739E9</v>
      </c>
      <c r="C420" s="2">
        <v>-102.5958786</v>
      </c>
      <c r="D420" s="3">
        <f t="shared" si="1"/>
        <v>769565.2174</v>
      </c>
      <c r="E420" s="4">
        <f t="shared" si="2"/>
        <v>-163.4567115</v>
      </c>
      <c r="F420" s="3">
        <f t="shared" si="3"/>
        <v>0.0002124013765</v>
      </c>
      <c r="G420" s="3">
        <f t="shared" si="4"/>
        <v>0</v>
      </c>
      <c r="H420" s="2">
        <f t="shared" si="5"/>
        <v>0</v>
      </c>
      <c r="I420" s="3">
        <f t="shared" si="6"/>
        <v>0</v>
      </c>
      <c r="J420" s="3">
        <f t="shared" si="7"/>
        <v>0</v>
      </c>
      <c r="K420" s="3"/>
      <c r="L420" s="3">
        <f t="shared" si="8"/>
        <v>418.3293227</v>
      </c>
      <c r="M420" s="30">
        <f t="shared" si="9"/>
        <v>418.2768998</v>
      </c>
      <c r="N420" s="14">
        <f t="shared" si="10"/>
        <v>0.05242287998</v>
      </c>
      <c r="O420" s="3"/>
      <c r="P420" s="3"/>
      <c r="Q420" s="3"/>
      <c r="R420" s="2"/>
      <c r="S420" s="14">
        <f t="shared" si="13"/>
        <v>0.04813972796</v>
      </c>
    </row>
    <row r="421">
      <c r="A421" s="11">
        <v>409.0</v>
      </c>
      <c r="B421" s="11">
        <v>1.42117391304347E9</v>
      </c>
      <c r="C421" s="2">
        <v>-102.5228653</v>
      </c>
      <c r="D421" s="3">
        <f t="shared" si="1"/>
        <v>773913.0435</v>
      </c>
      <c r="E421" s="4">
        <f t="shared" si="2"/>
        <v>-164.3750077</v>
      </c>
      <c r="F421" s="3">
        <f t="shared" si="3"/>
        <v>0.0002123946728</v>
      </c>
      <c r="G421" s="3">
        <f t="shared" si="4"/>
        <v>0</v>
      </c>
      <c r="H421" s="2">
        <f t="shared" si="5"/>
        <v>0</v>
      </c>
      <c r="I421" s="3">
        <f t="shared" si="6"/>
        <v>0</v>
      </c>
      <c r="J421" s="3">
        <f t="shared" si="7"/>
        <v>0</v>
      </c>
      <c r="K421" s="3"/>
      <c r="L421" s="3">
        <f t="shared" si="8"/>
        <v>425.4216987</v>
      </c>
      <c r="M421" s="30">
        <f t="shared" si="9"/>
        <v>418.1520465</v>
      </c>
      <c r="N421" s="14">
        <f t="shared" si="10"/>
        <v>7.269652158</v>
      </c>
      <c r="O421" s="3"/>
      <c r="P421" s="3"/>
      <c r="Q421" s="3"/>
      <c r="R421" s="2"/>
      <c r="S421" s="14">
        <f t="shared" si="13"/>
        <v>6.675693463</v>
      </c>
    </row>
    <row r="422">
      <c r="A422" s="11">
        <v>410.0</v>
      </c>
      <c r="B422" s="11">
        <v>1.42117826086956E9</v>
      </c>
      <c r="C422" s="2">
        <v>-102.5592117</v>
      </c>
      <c r="D422" s="3">
        <f t="shared" si="1"/>
        <v>778260.8696</v>
      </c>
      <c r="E422" s="4">
        <f t="shared" si="2"/>
        <v>-165.2933038</v>
      </c>
      <c r="F422" s="3">
        <f t="shared" si="3"/>
        <v>0.000212388044</v>
      </c>
      <c r="G422" s="3">
        <f t="shared" si="4"/>
        <v>0</v>
      </c>
      <c r="H422" s="2">
        <f t="shared" si="5"/>
        <v>0</v>
      </c>
      <c r="I422" s="3">
        <f t="shared" si="6"/>
        <v>0</v>
      </c>
      <c r="J422" s="3">
        <f t="shared" si="7"/>
        <v>0</v>
      </c>
      <c r="K422" s="3"/>
      <c r="L422" s="3">
        <f t="shared" si="8"/>
        <v>421.8761727</v>
      </c>
      <c r="M422" s="30">
        <f t="shared" si="9"/>
        <v>418.0271338</v>
      </c>
      <c r="N422" s="14">
        <f t="shared" si="10"/>
        <v>3.849038901</v>
      </c>
      <c r="O422" s="3"/>
      <c r="P422" s="3"/>
      <c r="Q422" s="3"/>
      <c r="R422" s="2"/>
      <c r="S422" s="14">
        <f t="shared" si="13"/>
        <v>3.53455753</v>
      </c>
    </row>
    <row r="423">
      <c r="A423" s="11">
        <v>411.0</v>
      </c>
      <c r="B423" s="11">
        <v>1.42118260869565E9</v>
      </c>
      <c r="C423" s="2">
        <v>-102.5554886</v>
      </c>
      <c r="D423" s="3">
        <f t="shared" si="1"/>
        <v>782608.6957</v>
      </c>
      <c r="E423" s="4">
        <f t="shared" si="2"/>
        <v>-166.2115999</v>
      </c>
      <c r="F423" s="3">
        <f t="shared" si="3"/>
        <v>0.0002123814888</v>
      </c>
      <c r="G423" s="3">
        <f t="shared" si="4"/>
        <v>0</v>
      </c>
      <c r="H423" s="2">
        <f t="shared" si="5"/>
        <v>0</v>
      </c>
      <c r="I423" s="3">
        <f t="shared" si="6"/>
        <v>0</v>
      </c>
      <c r="J423" s="3">
        <f t="shared" si="7"/>
        <v>0</v>
      </c>
      <c r="K423" s="3"/>
      <c r="L423" s="3">
        <f t="shared" si="8"/>
        <v>422.2379918</v>
      </c>
      <c r="M423" s="30">
        <f t="shared" si="9"/>
        <v>417.9021623</v>
      </c>
      <c r="N423" s="14">
        <f t="shared" si="10"/>
        <v>4.335829507</v>
      </c>
      <c r="O423" s="3"/>
      <c r="P423" s="3"/>
      <c r="Q423" s="3"/>
      <c r="R423" s="2"/>
      <c r="S423" s="14">
        <f t="shared" si="13"/>
        <v>3.981575469</v>
      </c>
    </row>
    <row r="424">
      <c r="A424" s="11">
        <v>412.0</v>
      </c>
      <c r="B424" s="11">
        <v>1.42118695652173E9</v>
      </c>
      <c r="C424" s="2">
        <v>-102.6032867</v>
      </c>
      <c r="D424" s="3">
        <f t="shared" si="1"/>
        <v>786956.5217</v>
      </c>
      <c r="E424" s="4">
        <f t="shared" si="2"/>
        <v>-167.129896</v>
      </c>
      <c r="F424" s="3">
        <f t="shared" si="3"/>
        <v>0.000212375006</v>
      </c>
      <c r="G424" s="3">
        <f t="shared" si="4"/>
        <v>0</v>
      </c>
      <c r="H424" s="2">
        <f t="shared" si="5"/>
        <v>0</v>
      </c>
      <c r="I424" s="3">
        <f t="shared" si="6"/>
        <v>0</v>
      </c>
      <c r="J424" s="3">
        <f t="shared" si="7"/>
        <v>0</v>
      </c>
      <c r="K424" s="3"/>
      <c r="L424" s="3">
        <f t="shared" si="8"/>
        <v>417.6163539</v>
      </c>
      <c r="M424" s="30">
        <f t="shared" si="9"/>
        <v>417.777133</v>
      </c>
      <c r="N424" s="14">
        <f t="shared" si="10"/>
        <v>-0.1607790512</v>
      </c>
      <c r="O424" s="3"/>
      <c r="P424" s="3"/>
      <c r="Q424" s="3"/>
      <c r="R424" s="2"/>
      <c r="S424" s="14">
        <f t="shared" si="13"/>
        <v>-0.147642781</v>
      </c>
    </row>
    <row r="425">
      <c r="A425" s="11">
        <v>413.0</v>
      </c>
      <c r="B425" s="11">
        <v>1.42119130434782E9</v>
      </c>
      <c r="C425" s="2">
        <v>-102.6611176</v>
      </c>
      <c r="D425" s="3">
        <f t="shared" si="1"/>
        <v>791304.3478</v>
      </c>
      <c r="E425" s="4">
        <f t="shared" si="2"/>
        <v>-168.0481922</v>
      </c>
      <c r="F425" s="3">
        <f t="shared" si="3"/>
        <v>0.0002123685945</v>
      </c>
      <c r="G425" s="3">
        <f t="shared" si="4"/>
        <v>0</v>
      </c>
      <c r="H425" s="2">
        <f t="shared" si="5"/>
        <v>0</v>
      </c>
      <c r="I425" s="3">
        <f t="shared" si="6"/>
        <v>0</v>
      </c>
      <c r="J425" s="3">
        <f t="shared" si="7"/>
        <v>0</v>
      </c>
      <c r="K425" s="3"/>
      <c r="L425" s="3">
        <f t="shared" si="8"/>
        <v>412.0922124</v>
      </c>
      <c r="M425" s="30">
        <f t="shared" si="9"/>
        <v>417.6520465</v>
      </c>
      <c r="N425" s="14">
        <f t="shared" si="10"/>
        <v>-5.559834192</v>
      </c>
      <c r="O425" s="3"/>
      <c r="P425" s="3"/>
      <c r="Q425" s="3"/>
      <c r="R425" s="2"/>
      <c r="S425" s="14">
        <f t="shared" si="13"/>
        <v>-5.105574237</v>
      </c>
    </row>
    <row r="426">
      <c r="A426" s="11">
        <v>414.0</v>
      </c>
      <c r="B426" s="11">
        <v>1.42119565217391E9</v>
      </c>
      <c r="C426" s="2">
        <v>-102.6405029</v>
      </c>
      <c r="D426" s="3">
        <f t="shared" si="1"/>
        <v>795652.1739</v>
      </c>
      <c r="E426" s="4">
        <f t="shared" si="2"/>
        <v>-168.9664883</v>
      </c>
      <c r="F426" s="3">
        <f t="shared" si="3"/>
        <v>0.0002123622531</v>
      </c>
      <c r="G426" s="3">
        <f t="shared" si="4"/>
        <v>0</v>
      </c>
      <c r="H426" s="2">
        <f t="shared" si="5"/>
        <v>0</v>
      </c>
      <c r="I426" s="3">
        <f t="shared" si="6"/>
        <v>0</v>
      </c>
      <c r="J426" s="3">
        <f t="shared" si="7"/>
        <v>0</v>
      </c>
      <c r="K426" s="3"/>
      <c r="L426" s="3">
        <f t="shared" si="8"/>
        <v>414.0529444</v>
      </c>
      <c r="M426" s="30">
        <f t="shared" si="9"/>
        <v>417.5269038</v>
      </c>
      <c r="N426" s="14">
        <f t="shared" si="10"/>
        <v>-3.473959365</v>
      </c>
      <c r="O426" s="3"/>
      <c r="P426" s="3"/>
      <c r="Q426" s="3"/>
      <c r="R426" s="2"/>
      <c r="S426" s="14">
        <f t="shared" si="13"/>
        <v>-3.190123443</v>
      </c>
    </row>
    <row r="427">
      <c r="A427" s="11">
        <v>415.0</v>
      </c>
      <c r="B427" s="11">
        <v>1.4212E9</v>
      </c>
      <c r="C427" s="2">
        <v>-102.6202011</v>
      </c>
      <c r="D427" s="3">
        <f t="shared" si="1"/>
        <v>800000</v>
      </c>
      <c r="E427" s="4">
        <f t="shared" si="2"/>
        <v>-169.8847844</v>
      </c>
      <c r="F427" s="3">
        <f t="shared" si="3"/>
        <v>0.0002123559806</v>
      </c>
      <c r="G427" s="3">
        <f t="shared" si="4"/>
        <v>0</v>
      </c>
      <c r="H427" s="2">
        <f t="shared" si="5"/>
        <v>0</v>
      </c>
      <c r="I427" s="3">
        <f t="shared" si="6"/>
        <v>0</v>
      </c>
      <c r="J427" s="3">
        <f t="shared" si="7"/>
        <v>0</v>
      </c>
      <c r="K427" s="3"/>
      <c r="L427" s="3">
        <f t="shared" si="8"/>
        <v>415.9930332</v>
      </c>
      <c r="M427" s="30">
        <f t="shared" si="9"/>
        <v>417.4017056</v>
      </c>
      <c r="N427" s="14">
        <f t="shared" si="10"/>
        <v>-1.408672401</v>
      </c>
      <c r="O427" s="3"/>
      <c r="P427" s="3"/>
      <c r="Q427" s="3"/>
      <c r="R427" s="2"/>
      <c r="S427" s="14">
        <f t="shared" si="13"/>
        <v>-1.293578418</v>
      </c>
    </row>
    <row r="428">
      <c r="A428" s="11">
        <v>416.0</v>
      </c>
      <c r="B428" s="11">
        <v>1.42120434782608E9</v>
      </c>
      <c r="C428" s="2">
        <v>-102.59021</v>
      </c>
      <c r="D428" s="3">
        <f t="shared" si="1"/>
        <v>804347.8261</v>
      </c>
      <c r="E428" s="4">
        <f t="shared" si="2"/>
        <v>-170.8030806</v>
      </c>
      <c r="F428" s="3">
        <f t="shared" si="3"/>
        <v>0.0002123497759</v>
      </c>
      <c r="G428" s="3">
        <f t="shared" si="4"/>
        <v>0</v>
      </c>
      <c r="H428" s="2">
        <f t="shared" si="5"/>
        <v>0</v>
      </c>
      <c r="I428" s="3">
        <f t="shared" si="6"/>
        <v>0</v>
      </c>
      <c r="J428" s="3">
        <f t="shared" si="7"/>
        <v>0</v>
      </c>
      <c r="K428" s="3"/>
      <c r="L428" s="3">
        <f t="shared" si="8"/>
        <v>418.8757007</v>
      </c>
      <c r="M428" s="30">
        <f t="shared" si="9"/>
        <v>417.2764527</v>
      </c>
      <c r="N428" s="14">
        <f t="shared" si="10"/>
        <v>1.599248049</v>
      </c>
      <c r="O428" s="3"/>
      <c r="P428" s="3"/>
      <c r="Q428" s="3"/>
      <c r="R428" s="2"/>
      <c r="S428" s="14">
        <f t="shared" si="13"/>
        <v>1.468583299</v>
      </c>
    </row>
    <row r="429">
      <c r="A429" s="11">
        <v>417.0</v>
      </c>
      <c r="B429" s="11">
        <v>1.42120869565217E9</v>
      </c>
      <c r="C429" s="2">
        <v>-102.5734329</v>
      </c>
      <c r="D429" s="3">
        <f t="shared" si="1"/>
        <v>808695.6522</v>
      </c>
      <c r="E429" s="4">
        <f t="shared" si="2"/>
        <v>-171.7213767</v>
      </c>
      <c r="F429" s="3">
        <f t="shared" si="3"/>
        <v>0.0002123436379</v>
      </c>
      <c r="G429" s="3">
        <f t="shared" si="4"/>
        <v>0</v>
      </c>
      <c r="H429" s="2">
        <f t="shared" si="5"/>
        <v>0</v>
      </c>
      <c r="I429" s="3">
        <f t="shared" si="6"/>
        <v>0</v>
      </c>
      <c r="J429" s="3">
        <f t="shared" si="7"/>
        <v>0</v>
      </c>
      <c r="K429" s="3"/>
      <c r="L429" s="3">
        <f t="shared" si="8"/>
        <v>420.4969764</v>
      </c>
      <c r="M429" s="30">
        <f t="shared" si="9"/>
        <v>417.1511459</v>
      </c>
      <c r="N429" s="14">
        <f t="shared" si="10"/>
        <v>3.345830535</v>
      </c>
      <c r="O429" s="3"/>
      <c r="P429" s="3"/>
      <c r="Q429" s="3"/>
      <c r="R429" s="2"/>
      <c r="S429" s="14">
        <f t="shared" si="13"/>
        <v>3.072463234</v>
      </c>
    </row>
    <row r="430">
      <c r="A430" s="11">
        <v>418.0</v>
      </c>
      <c r="B430" s="11">
        <v>1.42121304347826E9</v>
      </c>
      <c r="C430" s="2">
        <v>-102.5717545</v>
      </c>
      <c r="D430" s="3">
        <f t="shared" si="1"/>
        <v>813043.4783</v>
      </c>
      <c r="E430" s="4">
        <f t="shared" si="2"/>
        <v>-172.6396728</v>
      </c>
      <c r="F430" s="3">
        <f t="shared" si="3"/>
        <v>0.0002123375655</v>
      </c>
      <c r="G430" s="3">
        <f t="shared" si="4"/>
        <v>0</v>
      </c>
      <c r="H430" s="2">
        <f t="shared" si="5"/>
        <v>0</v>
      </c>
      <c r="I430" s="3">
        <f t="shared" si="6"/>
        <v>0</v>
      </c>
      <c r="J430" s="3">
        <f t="shared" si="7"/>
        <v>0</v>
      </c>
      <c r="K430" s="3"/>
      <c r="L430" s="3">
        <f t="shared" si="8"/>
        <v>420.6595156</v>
      </c>
      <c r="M430" s="30">
        <f t="shared" si="9"/>
        <v>417.0257861</v>
      </c>
      <c r="N430" s="14">
        <f t="shared" si="10"/>
        <v>3.633729534</v>
      </c>
      <c r="O430" s="3"/>
      <c r="P430" s="3"/>
      <c r="Q430" s="3"/>
      <c r="R430" s="2"/>
      <c r="S430" s="14">
        <f t="shared" si="13"/>
        <v>3.336839779</v>
      </c>
    </row>
    <row r="431">
      <c r="A431" s="11">
        <v>419.0</v>
      </c>
      <c r="B431" s="11">
        <v>1.42121739130434E9</v>
      </c>
      <c r="C431" s="2">
        <v>-102.6424713</v>
      </c>
      <c r="D431" s="3">
        <f t="shared" si="1"/>
        <v>817391.3043</v>
      </c>
      <c r="E431" s="4">
        <f t="shared" si="2"/>
        <v>-173.557969</v>
      </c>
      <c r="F431" s="3">
        <f t="shared" si="3"/>
        <v>0.0002123315578</v>
      </c>
      <c r="G431" s="3">
        <f t="shared" si="4"/>
        <v>0</v>
      </c>
      <c r="H431" s="2">
        <f t="shared" si="5"/>
        <v>0</v>
      </c>
      <c r="I431" s="3">
        <f t="shared" si="6"/>
        <v>0</v>
      </c>
      <c r="J431" s="3">
        <f t="shared" si="7"/>
        <v>0</v>
      </c>
      <c r="K431" s="3"/>
      <c r="L431" s="3">
        <f t="shared" si="8"/>
        <v>413.8653213</v>
      </c>
      <c r="M431" s="30">
        <f t="shared" si="9"/>
        <v>416.9003739</v>
      </c>
      <c r="N431" s="14">
        <f t="shared" si="10"/>
        <v>-3.035052656</v>
      </c>
      <c r="O431" s="3"/>
      <c r="P431" s="3"/>
      <c r="Q431" s="3"/>
      <c r="R431" s="2"/>
      <c r="S431" s="14">
        <f t="shared" si="13"/>
        <v>-2.787077117</v>
      </c>
    </row>
    <row r="432">
      <c r="A432" s="11">
        <v>420.0</v>
      </c>
      <c r="B432" s="11">
        <v>1.42122173913043E9</v>
      </c>
      <c r="C432" s="2">
        <v>-102.5888824</v>
      </c>
      <c r="D432" s="3">
        <f t="shared" si="1"/>
        <v>821739.1304</v>
      </c>
      <c r="E432" s="4">
        <f t="shared" si="2"/>
        <v>-174.4762651</v>
      </c>
      <c r="F432" s="3">
        <f t="shared" si="3"/>
        <v>0.0002123256136</v>
      </c>
      <c r="G432" s="3">
        <f t="shared" si="4"/>
        <v>0</v>
      </c>
      <c r="H432" s="2">
        <f t="shared" si="5"/>
        <v>0</v>
      </c>
      <c r="I432" s="3">
        <f t="shared" si="6"/>
        <v>0</v>
      </c>
      <c r="J432" s="3">
        <f t="shared" si="7"/>
        <v>0</v>
      </c>
      <c r="K432" s="3"/>
      <c r="L432" s="3">
        <f t="shared" si="8"/>
        <v>419.0037669</v>
      </c>
      <c r="M432" s="30">
        <f t="shared" si="9"/>
        <v>416.7749103</v>
      </c>
      <c r="N432" s="14">
        <f t="shared" si="10"/>
        <v>2.228856615</v>
      </c>
      <c r="O432" s="3"/>
      <c r="P432" s="3"/>
      <c r="Q432" s="3"/>
      <c r="R432" s="2"/>
      <c r="S432" s="14">
        <f t="shared" si="13"/>
        <v>2.046750405</v>
      </c>
    </row>
    <row r="433">
      <c r="A433" s="11">
        <v>421.0</v>
      </c>
      <c r="B433" s="11">
        <v>1.42122608695652E9</v>
      </c>
      <c r="C433" s="2">
        <v>-102.6408005</v>
      </c>
      <c r="D433" s="3">
        <f t="shared" si="1"/>
        <v>826086.9565</v>
      </c>
      <c r="E433" s="4">
        <f t="shared" si="2"/>
        <v>-175.3945612</v>
      </c>
      <c r="F433" s="3">
        <f t="shared" si="3"/>
        <v>0.000212319732</v>
      </c>
      <c r="G433" s="3">
        <f t="shared" si="4"/>
        <v>0</v>
      </c>
      <c r="H433" s="2">
        <f t="shared" si="5"/>
        <v>0</v>
      </c>
      <c r="I433" s="3">
        <f t="shared" si="6"/>
        <v>0</v>
      </c>
      <c r="J433" s="3">
        <f t="shared" si="7"/>
        <v>0</v>
      </c>
      <c r="K433" s="3"/>
      <c r="L433" s="3">
        <f t="shared" si="8"/>
        <v>414.0245725</v>
      </c>
      <c r="M433" s="30">
        <f t="shared" si="9"/>
        <v>416.649396</v>
      </c>
      <c r="N433" s="14">
        <f t="shared" si="10"/>
        <v>-2.624823575</v>
      </c>
      <c r="O433" s="3"/>
      <c r="P433" s="3"/>
      <c r="Q433" s="3"/>
      <c r="R433" s="2"/>
      <c r="S433" s="14">
        <f t="shared" si="13"/>
        <v>-2.410365338</v>
      </c>
    </row>
    <row r="434">
      <c r="A434" s="11">
        <v>422.0</v>
      </c>
      <c r="B434" s="11">
        <v>1.4212304347826E9</v>
      </c>
      <c r="C434" s="2">
        <v>-102.64608</v>
      </c>
      <c r="D434" s="3">
        <f t="shared" si="1"/>
        <v>830434.7826</v>
      </c>
      <c r="E434" s="4">
        <f t="shared" si="2"/>
        <v>-176.3128574</v>
      </c>
      <c r="F434" s="3">
        <f t="shared" si="3"/>
        <v>0.000212313912</v>
      </c>
      <c r="G434" s="3">
        <f t="shared" si="4"/>
        <v>0</v>
      </c>
      <c r="H434" s="2">
        <f t="shared" si="5"/>
        <v>0</v>
      </c>
      <c r="I434" s="3">
        <f t="shared" si="6"/>
        <v>0</v>
      </c>
      <c r="J434" s="3">
        <f t="shared" si="7"/>
        <v>0</v>
      </c>
      <c r="K434" s="3"/>
      <c r="L434" s="3">
        <f t="shared" si="8"/>
        <v>413.5215694</v>
      </c>
      <c r="M434" s="30">
        <f t="shared" si="9"/>
        <v>416.5238319</v>
      </c>
      <c r="N434" s="14">
        <f t="shared" si="10"/>
        <v>-3.00226253</v>
      </c>
      <c r="O434" s="3"/>
      <c r="P434" s="3"/>
      <c r="Q434" s="3"/>
      <c r="R434" s="2"/>
      <c r="S434" s="14">
        <f t="shared" si="13"/>
        <v>-2.756966071</v>
      </c>
    </row>
    <row r="435">
      <c r="A435" s="11">
        <v>423.0</v>
      </c>
      <c r="B435" s="11">
        <v>1.42123478260869E9</v>
      </c>
      <c r="C435" s="2">
        <v>-102.585434</v>
      </c>
      <c r="D435" s="3">
        <f t="shared" si="1"/>
        <v>834782.6087</v>
      </c>
      <c r="E435" s="4">
        <f t="shared" si="2"/>
        <v>-177.2311535</v>
      </c>
      <c r="F435" s="3">
        <f t="shared" si="3"/>
        <v>0.0002123081526</v>
      </c>
      <c r="G435" s="3">
        <f t="shared" si="4"/>
        <v>0</v>
      </c>
      <c r="H435" s="2">
        <f t="shared" si="5"/>
        <v>0</v>
      </c>
      <c r="I435" s="3">
        <f t="shared" si="6"/>
        <v>0</v>
      </c>
      <c r="J435" s="3">
        <f t="shared" si="7"/>
        <v>0</v>
      </c>
      <c r="K435" s="3"/>
      <c r="L435" s="3">
        <f t="shared" si="8"/>
        <v>419.3365979</v>
      </c>
      <c r="M435" s="30">
        <f t="shared" si="9"/>
        <v>416.3982187</v>
      </c>
      <c r="N435" s="14">
        <f t="shared" si="10"/>
        <v>2.938379148</v>
      </c>
      <c r="O435" s="3"/>
      <c r="P435" s="3"/>
      <c r="Q435" s="3"/>
      <c r="R435" s="2"/>
      <c r="S435" s="14">
        <f t="shared" si="13"/>
        <v>2.698302208</v>
      </c>
    </row>
    <row r="436">
      <c r="A436" s="11">
        <v>424.0</v>
      </c>
      <c r="B436" s="11">
        <v>1.42123913043478E9</v>
      </c>
      <c r="C436" s="2">
        <v>-102.633194</v>
      </c>
      <c r="D436" s="3">
        <f t="shared" si="1"/>
        <v>839130.4348</v>
      </c>
      <c r="E436" s="4">
        <f t="shared" si="2"/>
        <v>-178.1494496</v>
      </c>
      <c r="F436" s="3">
        <f t="shared" si="3"/>
        <v>0.0002123024529</v>
      </c>
      <c r="G436" s="3">
        <f t="shared" si="4"/>
        <v>0</v>
      </c>
      <c r="H436" s="2">
        <f t="shared" si="5"/>
        <v>0</v>
      </c>
      <c r="I436" s="3">
        <f t="shared" si="6"/>
        <v>0</v>
      </c>
      <c r="J436" s="3">
        <f t="shared" si="7"/>
        <v>0</v>
      </c>
      <c r="K436" s="3"/>
      <c r="L436" s="3">
        <f t="shared" si="8"/>
        <v>414.7503559</v>
      </c>
      <c r="M436" s="30">
        <f t="shared" si="9"/>
        <v>416.2725573</v>
      </c>
      <c r="N436" s="14">
        <f t="shared" si="10"/>
        <v>-1.522201353</v>
      </c>
      <c r="O436" s="3"/>
      <c r="P436" s="3"/>
      <c r="Q436" s="3"/>
      <c r="R436" s="2"/>
      <c r="S436" s="14">
        <f t="shared" si="13"/>
        <v>-1.397831612</v>
      </c>
    </row>
    <row r="437">
      <c r="A437" s="11">
        <v>425.0</v>
      </c>
      <c r="B437" s="11">
        <v>1.42124347826087E9</v>
      </c>
      <c r="C437" s="2">
        <v>-102.5662842</v>
      </c>
      <c r="D437" s="3">
        <f t="shared" si="1"/>
        <v>843478.2609</v>
      </c>
      <c r="E437" s="4">
        <f t="shared" si="2"/>
        <v>-179.0677458</v>
      </c>
      <c r="F437" s="3">
        <f t="shared" si="3"/>
        <v>0.000212296812</v>
      </c>
      <c r="G437" s="3">
        <f t="shared" si="4"/>
        <v>0</v>
      </c>
      <c r="H437" s="2">
        <f t="shared" si="5"/>
        <v>0</v>
      </c>
      <c r="I437" s="3">
        <f t="shared" si="6"/>
        <v>0</v>
      </c>
      <c r="J437" s="3">
        <f t="shared" si="7"/>
        <v>0</v>
      </c>
      <c r="K437" s="3"/>
      <c r="L437" s="3">
        <f t="shared" si="8"/>
        <v>421.1897051</v>
      </c>
      <c r="M437" s="30">
        <f t="shared" si="9"/>
        <v>416.1468484</v>
      </c>
      <c r="N437" s="14">
        <f t="shared" si="10"/>
        <v>5.042856691</v>
      </c>
      <c r="O437" s="3"/>
      <c r="P437" s="3"/>
      <c r="Q437" s="3"/>
      <c r="R437" s="2"/>
      <c r="S437" s="14">
        <f t="shared" si="13"/>
        <v>4.630835797</v>
      </c>
    </row>
    <row r="438">
      <c r="A438" s="11">
        <v>426.0</v>
      </c>
      <c r="B438" s="11">
        <v>1.42124782608695E9</v>
      </c>
      <c r="C438" s="2">
        <v>-102.675209</v>
      </c>
      <c r="D438" s="3">
        <f t="shared" si="1"/>
        <v>847826.087</v>
      </c>
      <c r="E438" s="4">
        <f t="shared" si="2"/>
        <v>-179.9860419</v>
      </c>
      <c r="F438" s="3">
        <f t="shared" si="3"/>
        <v>0.0002122912289</v>
      </c>
      <c r="G438" s="3">
        <f t="shared" si="4"/>
        <v>0</v>
      </c>
      <c r="H438" s="2">
        <f t="shared" si="5"/>
        <v>0</v>
      </c>
      <c r="I438" s="3">
        <f t="shared" si="6"/>
        <v>0</v>
      </c>
      <c r="J438" s="3">
        <f t="shared" si="7"/>
        <v>0</v>
      </c>
      <c r="K438" s="3"/>
      <c r="L438" s="3">
        <f t="shared" si="8"/>
        <v>410.7572782</v>
      </c>
      <c r="M438" s="30">
        <f t="shared" si="9"/>
        <v>416.0210928</v>
      </c>
      <c r="N438" s="14">
        <f t="shared" si="10"/>
        <v>-5.263814652</v>
      </c>
      <c r="O438" s="3"/>
      <c r="P438" s="3"/>
      <c r="Q438" s="3"/>
      <c r="R438" s="2"/>
      <c r="S438" s="14">
        <f t="shared" si="13"/>
        <v>-4.833740639</v>
      </c>
    </row>
    <row r="439">
      <c r="A439" s="11">
        <v>427.0</v>
      </c>
      <c r="B439" s="11">
        <v>1.42125217391304E9</v>
      </c>
      <c r="C439" s="2">
        <v>-102.6303329</v>
      </c>
      <c r="D439" s="3">
        <f t="shared" si="1"/>
        <v>852173.913</v>
      </c>
      <c r="E439" s="4">
        <f t="shared" si="2"/>
        <v>-180.904338</v>
      </c>
      <c r="F439" s="3">
        <f t="shared" si="3"/>
        <v>0.0002122857028</v>
      </c>
      <c r="G439" s="3">
        <f t="shared" si="4"/>
        <v>0</v>
      </c>
      <c r="H439" s="2">
        <f t="shared" si="5"/>
        <v>0</v>
      </c>
      <c r="I439" s="3">
        <f t="shared" si="6"/>
        <v>0</v>
      </c>
      <c r="J439" s="3">
        <f t="shared" si="7"/>
        <v>0</v>
      </c>
      <c r="K439" s="3"/>
      <c r="L439" s="3">
        <f t="shared" si="8"/>
        <v>415.0236804</v>
      </c>
      <c r="M439" s="30">
        <f t="shared" si="9"/>
        <v>415.8952914</v>
      </c>
      <c r="N439" s="14">
        <f t="shared" si="10"/>
        <v>-0.8716109937</v>
      </c>
      <c r="O439" s="3"/>
      <c r="P439" s="3"/>
      <c r="Q439" s="3"/>
      <c r="R439" s="2"/>
      <c r="S439" s="14">
        <f t="shared" si="13"/>
        <v>-0.800397003</v>
      </c>
    </row>
    <row r="440">
      <c r="A440" s="11">
        <v>428.0</v>
      </c>
      <c r="B440" s="11">
        <v>1.42125652173913E9</v>
      </c>
      <c r="C440" s="2">
        <v>-102.668045</v>
      </c>
      <c r="D440" s="3">
        <f t="shared" si="1"/>
        <v>856521.7391</v>
      </c>
      <c r="E440" s="4">
        <f t="shared" si="2"/>
        <v>-181.8226342</v>
      </c>
      <c r="F440" s="3">
        <f t="shared" si="3"/>
        <v>0.0002122802328</v>
      </c>
      <c r="G440" s="3">
        <f t="shared" si="4"/>
        <v>0</v>
      </c>
      <c r="H440" s="2">
        <f t="shared" si="5"/>
        <v>0</v>
      </c>
      <c r="I440" s="3">
        <f t="shared" si="6"/>
        <v>0</v>
      </c>
      <c r="J440" s="3">
        <f t="shared" si="7"/>
        <v>0</v>
      </c>
      <c r="K440" s="3"/>
      <c r="L440" s="3">
        <f t="shared" si="8"/>
        <v>411.435411</v>
      </c>
      <c r="M440" s="30">
        <f t="shared" si="9"/>
        <v>415.769445</v>
      </c>
      <c r="N440" s="14">
        <f t="shared" si="10"/>
        <v>-4.334033954</v>
      </c>
      <c r="O440" s="3"/>
      <c r="P440" s="3"/>
      <c r="Q440" s="3"/>
      <c r="R440" s="2"/>
      <c r="S440" s="14">
        <f t="shared" si="13"/>
        <v>-3.979926619</v>
      </c>
    </row>
    <row r="441">
      <c r="A441" s="11">
        <v>429.0</v>
      </c>
      <c r="B441" s="11">
        <v>1.42126086956521E9</v>
      </c>
      <c r="C441" s="2">
        <v>-102.6045074</v>
      </c>
      <c r="D441" s="3">
        <f t="shared" si="1"/>
        <v>860869.5652</v>
      </c>
      <c r="E441" s="4">
        <f t="shared" si="2"/>
        <v>-182.7409303</v>
      </c>
      <c r="F441" s="3">
        <f t="shared" si="3"/>
        <v>0.000212274818</v>
      </c>
      <c r="G441" s="3">
        <f t="shared" si="4"/>
        <v>0</v>
      </c>
      <c r="H441" s="2">
        <f t="shared" si="5"/>
        <v>0</v>
      </c>
      <c r="I441" s="3">
        <f t="shared" si="6"/>
        <v>0</v>
      </c>
      <c r="J441" s="3">
        <f t="shared" si="7"/>
        <v>0</v>
      </c>
      <c r="K441" s="3"/>
      <c r="L441" s="3">
        <f t="shared" si="8"/>
        <v>417.4989883</v>
      </c>
      <c r="M441" s="30">
        <f t="shared" si="9"/>
        <v>415.6435543</v>
      </c>
      <c r="N441" s="14">
        <f t="shared" si="10"/>
        <v>1.855433991</v>
      </c>
      <c r="O441" s="3"/>
      <c r="P441" s="3"/>
      <c r="Q441" s="3"/>
      <c r="R441" s="2"/>
      <c r="S441" s="14">
        <f t="shared" si="13"/>
        <v>1.703837858</v>
      </c>
    </row>
    <row r="442">
      <c r="A442" s="11">
        <v>430.0</v>
      </c>
      <c r="B442" s="11">
        <v>1.4212652173913E9</v>
      </c>
      <c r="C442" s="2">
        <v>-102.6485062</v>
      </c>
      <c r="D442" s="3">
        <f t="shared" si="1"/>
        <v>865217.3913</v>
      </c>
      <c r="E442" s="4">
        <f t="shared" si="2"/>
        <v>-183.6592264</v>
      </c>
      <c r="F442" s="3">
        <f t="shared" si="3"/>
        <v>0.0002122694577</v>
      </c>
      <c r="G442" s="3">
        <f t="shared" si="4"/>
        <v>0</v>
      </c>
      <c r="H442" s="2">
        <f t="shared" si="5"/>
        <v>0</v>
      </c>
      <c r="I442" s="3">
        <f t="shared" si="6"/>
        <v>0</v>
      </c>
      <c r="J442" s="3">
        <f t="shared" si="7"/>
        <v>0</v>
      </c>
      <c r="K442" s="3"/>
      <c r="L442" s="3">
        <f t="shared" si="8"/>
        <v>413.2906188</v>
      </c>
      <c r="M442" s="30">
        <f t="shared" si="9"/>
        <v>415.5176201</v>
      </c>
      <c r="N442" s="14">
        <f t="shared" si="10"/>
        <v>-2.227001395</v>
      </c>
      <c r="O442" s="3"/>
      <c r="P442" s="3"/>
      <c r="Q442" s="3"/>
      <c r="R442" s="2"/>
      <c r="S442" s="14">
        <f t="shared" si="13"/>
        <v>-2.045046764</v>
      </c>
    </row>
    <row r="443">
      <c r="A443" s="11">
        <v>431.0</v>
      </c>
      <c r="B443" s="11">
        <v>1.42126956521739E9</v>
      </c>
      <c r="C443" s="2">
        <v>-102.6414871</v>
      </c>
      <c r="D443" s="3">
        <f t="shared" si="1"/>
        <v>869565.2174</v>
      </c>
      <c r="E443" s="4">
        <f t="shared" si="2"/>
        <v>-184.5775226</v>
      </c>
      <c r="F443" s="3">
        <f t="shared" si="3"/>
        <v>0.0002122641509</v>
      </c>
      <c r="G443" s="3">
        <f t="shared" si="4"/>
        <v>0</v>
      </c>
      <c r="H443" s="2">
        <f t="shared" si="5"/>
        <v>0</v>
      </c>
      <c r="I443" s="3">
        <f t="shared" si="6"/>
        <v>0</v>
      </c>
      <c r="J443" s="3">
        <f t="shared" si="7"/>
        <v>0</v>
      </c>
      <c r="K443" s="3"/>
      <c r="L443" s="3">
        <f t="shared" si="8"/>
        <v>413.9591222</v>
      </c>
      <c r="M443" s="30">
        <f t="shared" si="9"/>
        <v>415.3916434</v>
      </c>
      <c r="N443" s="14">
        <f t="shared" si="10"/>
        <v>-1.432521164</v>
      </c>
      <c r="O443" s="3"/>
      <c r="P443" s="3"/>
      <c r="Q443" s="3"/>
      <c r="R443" s="2"/>
      <c r="S443" s="14">
        <f t="shared" si="13"/>
        <v>-1.315478645</v>
      </c>
    </row>
    <row r="444">
      <c r="A444" s="11">
        <v>432.0</v>
      </c>
      <c r="B444" s="11">
        <v>1.42127391304347E9</v>
      </c>
      <c r="C444" s="2">
        <v>-102.5661774</v>
      </c>
      <c r="D444" s="3">
        <f t="shared" si="1"/>
        <v>873913.0435</v>
      </c>
      <c r="E444" s="4">
        <f t="shared" si="2"/>
        <v>-185.4958187</v>
      </c>
      <c r="F444" s="3">
        <f t="shared" si="3"/>
        <v>0.000212258897</v>
      </c>
      <c r="G444" s="3">
        <f t="shared" si="4"/>
        <v>0</v>
      </c>
      <c r="H444" s="2">
        <f t="shared" si="5"/>
        <v>0</v>
      </c>
      <c r="I444" s="3">
        <f t="shared" si="6"/>
        <v>0</v>
      </c>
      <c r="J444" s="3">
        <f t="shared" si="7"/>
        <v>0</v>
      </c>
      <c r="K444" s="3"/>
      <c r="L444" s="3">
        <f t="shared" si="8"/>
        <v>421.2000629</v>
      </c>
      <c r="M444" s="30">
        <f t="shared" si="9"/>
        <v>415.2656248</v>
      </c>
      <c r="N444" s="14">
        <f t="shared" si="10"/>
        <v>5.934438109</v>
      </c>
      <c r="O444" s="3"/>
      <c r="P444" s="3"/>
      <c r="Q444" s="3"/>
      <c r="R444" s="2"/>
      <c r="S444" s="14">
        <f t="shared" si="13"/>
        <v>5.449571566</v>
      </c>
    </row>
    <row r="445">
      <c r="A445" s="11">
        <v>433.0</v>
      </c>
      <c r="B445" s="11">
        <v>1.42127826086956E9</v>
      </c>
      <c r="C445" s="2">
        <v>-102.6126404</v>
      </c>
      <c r="D445" s="3">
        <f t="shared" si="1"/>
        <v>878260.8696</v>
      </c>
      <c r="E445" s="4">
        <f t="shared" si="2"/>
        <v>-186.4141148</v>
      </c>
      <c r="F445" s="3">
        <f t="shared" si="3"/>
        <v>0.0002122536951</v>
      </c>
      <c r="G445" s="3">
        <f t="shared" si="4"/>
        <v>0</v>
      </c>
      <c r="H445" s="2">
        <f t="shared" si="5"/>
        <v>0</v>
      </c>
      <c r="I445" s="3">
        <f t="shared" si="6"/>
        <v>0</v>
      </c>
      <c r="J445" s="3">
        <f t="shared" si="7"/>
        <v>0</v>
      </c>
      <c r="K445" s="3"/>
      <c r="L445" s="3">
        <f t="shared" si="8"/>
        <v>416.7178727</v>
      </c>
      <c r="M445" s="30">
        <f t="shared" si="9"/>
        <v>415.1395652</v>
      </c>
      <c r="N445" s="14">
        <f t="shared" si="10"/>
        <v>1.578307491</v>
      </c>
      <c r="O445" s="3"/>
      <c r="P445" s="3"/>
      <c r="Q445" s="3"/>
      <c r="R445" s="2"/>
      <c r="S445" s="14">
        <f t="shared" si="13"/>
        <v>1.449353662</v>
      </c>
    </row>
    <row r="446">
      <c r="A446" s="11">
        <v>434.0</v>
      </c>
      <c r="B446" s="11">
        <v>1.42128260869565E9</v>
      </c>
      <c r="C446" s="2">
        <v>-102.6121521</v>
      </c>
      <c r="D446" s="3">
        <f t="shared" si="1"/>
        <v>882608.6957</v>
      </c>
      <c r="E446" s="4">
        <f t="shared" si="2"/>
        <v>-187.332411</v>
      </c>
      <c r="F446" s="3">
        <f t="shared" si="3"/>
        <v>0.0002122485444</v>
      </c>
      <c r="G446" s="3">
        <f t="shared" si="4"/>
        <v>0</v>
      </c>
      <c r="H446" s="2">
        <f t="shared" si="5"/>
        <v>0</v>
      </c>
      <c r="I446" s="3">
        <f t="shared" si="6"/>
        <v>0</v>
      </c>
      <c r="J446" s="3">
        <f t="shared" si="7"/>
        <v>0</v>
      </c>
      <c r="K446" s="3"/>
      <c r="L446" s="3">
        <f t="shared" si="8"/>
        <v>416.7647291</v>
      </c>
      <c r="M446" s="30">
        <f t="shared" si="9"/>
        <v>415.0134653</v>
      </c>
      <c r="N446" s="14">
        <f t="shared" si="10"/>
        <v>1.751263733</v>
      </c>
      <c r="O446" s="3"/>
      <c r="P446" s="3"/>
      <c r="Q446" s="3"/>
      <c r="R446" s="2"/>
      <c r="S446" s="14">
        <f t="shared" si="13"/>
        <v>1.608178713</v>
      </c>
    </row>
    <row r="447">
      <c r="A447" s="11">
        <v>435.0</v>
      </c>
      <c r="B447" s="11">
        <v>1.42128695652173E9</v>
      </c>
      <c r="C447" s="2">
        <v>-102.6476898</v>
      </c>
      <c r="D447" s="3">
        <f t="shared" si="1"/>
        <v>886956.5217</v>
      </c>
      <c r="E447" s="4">
        <f t="shared" si="2"/>
        <v>-188.2507071</v>
      </c>
      <c r="F447" s="3">
        <f t="shared" si="3"/>
        <v>0.0002122434443</v>
      </c>
      <c r="G447" s="3">
        <f t="shared" si="4"/>
        <v>0</v>
      </c>
      <c r="H447" s="2">
        <f t="shared" si="5"/>
        <v>0</v>
      </c>
      <c r="I447" s="3">
        <f t="shared" si="6"/>
        <v>0</v>
      </c>
      <c r="J447" s="3">
        <f t="shared" si="7"/>
        <v>0</v>
      </c>
      <c r="K447" s="3"/>
      <c r="L447" s="3">
        <f t="shared" si="8"/>
        <v>413.3683177</v>
      </c>
      <c r="M447" s="30">
        <f t="shared" si="9"/>
        <v>414.8873261</v>
      </c>
      <c r="N447" s="14">
        <f t="shared" si="10"/>
        <v>-1.519008406</v>
      </c>
      <c r="O447" s="3"/>
      <c r="P447" s="3"/>
      <c r="Q447" s="3"/>
      <c r="R447" s="2"/>
      <c r="S447" s="14">
        <f t="shared" si="13"/>
        <v>-1.394899545</v>
      </c>
    </row>
    <row r="448">
      <c r="A448" s="11">
        <v>436.0</v>
      </c>
      <c r="B448" s="11">
        <v>1.42129130434782E9</v>
      </c>
      <c r="C448" s="2">
        <v>-102.6472092</v>
      </c>
      <c r="D448" s="3">
        <f t="shared" si="1"/>
        <v>891304.3478</v>
      </c>
      <c r="E448" s="4">
        <f t="shared" si="2"/>
        <v>-189.1690032</v>
      </c>
      <c r="F448" s="3">
        <f t="shared" si="3"/>
        <v>0.0002122383939</v>
      </c>
      <c r="G448" s="3">
        <f t="shared" si="4"/>
        <v>0</v>
      </c>
      <c r="H448" s="2">
        <f t="shared" si="5"/>
        <v>0</v>
      </c>
      <c r="I448" s="3">
        <f t="shared" si="6"/>
        <v>0</v>
      </c>
      <c r="J448" s="3">
        <f t="shared" si="7"/>
        <v>0</v>
      </c>
      <c r="K448" s="3"/>
      <c r="L448" s="3">
        <f t="shared" si="8"/>
        <v>413.4140645</v>
      </c>
      <c r="M448" s="30">
        <f t="shared" si="9"/>
        <v>414.7611482</v>
      </c>
      <c r="N448" s="14">
        <f t="shared" si="10"/>
        <v>-1.347083735</v>
      </c>
      <c r="O448" s="3"/>
      <c r="P448" s="3"/>
      <c r="Q448" s="3"/>
      <c r="R448" s="2"/>
      <c r="S448" s="14">
        <f t="shared" si="13"/>
        <v>-1.237021785</v>
      </c>
    </row>
    <row r="449">
      <c r="A449" s="11">
        <v>437.0</v>
      </c>
      <c r="B449" s="11">
        <v>1.42129565217391E9</v>
      </c>
      <c r="C449" s="2">
        <v>-102.6561203</v>
      </c>
      <c r="D449" s="3">
        <f t="shared" si="1"/>
        <v>895652.1739</v>
      </c>
      <c r="E449" s="4">
        <f t="shared" si="2"/>
        <v>-190.0872994</v>
      </c>
      <c r="F449" s="3">
        <f t="shared" si="3"/>
        <v>0.0002122333925</v>
      </c>
      <c r="G449" s="3">
        <f t="shared" si="4"/>
        <v>0</v>
      </c>
      <c r="H449" s="2">
        <f t="shared" si="5"/>
        <v>0</v>
      </c>
      <c r="I449" s="3">
        <f t="shared" si="6"/>
        <v>0</v>
      </c>
      <c r="J449" s="3">
        <f t="shared" si="7"/>
        <v>0</v>
      </c>
      <c r="K449" s="3"/>
      <c r="L449" s="3">
        <f t="shared" si="8"/>
        <v>412.5666678</v>
      </c>
      <c r="M449" s="30">
        <f t="shared" si="9"/>
        <v>414.6349325</v>
      </c>
      <c r="N449" s="14">
        <f t="shared" si="10"/>
        <v>-2.068264758</v>
      </c>
      <c r="O449" s="3"/>
      <c r="P449" s="3"/>
      <c r="Q449" s="3"/>
      <c r="R449" s="2"/>
      <c r="S449" s="14">
        <f t="shared" si="13"/>
        <v>-1.899279524</v>
      </c>
    </row>
    <row r="450">
      <c r="A450" s="11">
        <v>438.0</v>
      </c>
      <c r="B450" s="11">
        <v>1.4213E9</v>
      </c>
      <c r="C450" s="2">
        <v>-102.6556549</v>
      </c>
      <c r="D450" s="3">
        <f t="shared" si="1"/>
        <v>900000</v>
      </c>
      <c r="E450" s="4">
        <f t="shared" si="2"/>
        <v>-191.0055955</v>
      </c>
      <c r="F450" s="3">
        <f t="shared" si="3"/>
        <v>0.0002122284394</v>
      </c>
      <c r="G450" s="3">
        <f t="shared" si="4"/>
        <v>0</v>
      </c>
      <c r="H450" s="2">
        <f t="shared" si="5"/>
        <v>0</v>
      </c>
      <c r="I450" s="3">
        <f t="shared" si="6"/>
        <v>0</v>
      </c>
      <c r="J450" s="3">
        <f t="shared" si="7"/>
        <v>0</v>
      </c>
      <c r="K450" s="3"/>
      <c r="L450" s="3">
        <f t="shared" si="8"/>
        <v>412.6108817</v>
      </c>
      <c r="M450" s="30">
        <f t="shared" si="9"/>
        <v>414.5086798</v>
      </c>
      <c r="N450" s="14">
        <f t="shared" si="10"/>
        <v>-1.897798092</v>
      </c>
      <c r="O450" s="3"/>
      <c r="P450" s="3"/>
      <c r="Q450" s="3"/>
      <c r="R450" s="2"/>
      <c r="S450" s="14">
        <f t="shared" si="13"/>
        <v>-1.742740649</v>
      </c>
    </row>
    <row r="451">
      <c r="A451" s="11">
        <v>439.0</v>
      </c>
      <c r="B451" s="11">
        <v>1.42130434782608E9</v>
      </c>
      <c r="C451" s="2">
        <v>-102.6017151</v>
      </c>
      <c r="D451" s="3">
        <f t="shared" si="1"/>
        <v>904347.8261</v>
      </c>
      <c r="E451" s="4">
        <f t="shared" si="2"/>
        <v>-191.9238916</v>
      </c>
      <c r="F451" s="3">
        <f t="shared" si="3"/>
        <v>0.000212223534</v>
      </c>
      <c r="G451" s="3">
        <f t="shared" si="4"/>
        <v>0</v>
      </c>
      <c r="H451" s="2">
        <f t="shared" si="5"/>
        <v>0</v>
      </c>
      <c r="I451" s="3">
        <f t="shared" si="6"/>
        <v>0</v>
      </c>
      <c r="J451" s="3">
        <f t="shared" si="7"/>
        <v>0</v>
      </c>
      <c r="K451" s="3"/>
      <c r="L451" s="3">
        <f t="shared" si="8"/>
        <v>417.7675059</v>
      </c>
      <c r="M451" s="30">
        <f t="shared" si="9"/>
        <v>414.3823909</v>
      </c>
      <c r="N451" s="14">
        <f t="shared" si="10"/>
        <v>3.385114978</v>
      </c>
      <c r="O451" s="3"/>
      <c r="P451" s="3"/>
      <c r="Q451" s="3"/>
      <c r="R451" s="2"/>
      <c r="S451" s="14">
        <f t="shared" si="13"/>
        <v>3.108537993</v>
      </c>
    </row>
    <row r="452">
      <c r="A452" s="11">
        <v>440.0</v>
      </c>
      <c r="B452" s="11">
        <v>1.42130869565217E9</v>
      </c>
      <c r="C452" s="2">
        <v>-102.6802368</v>
      </c>
      <c r="D452" s="3">
        <f t="shared" si="1"/>
        <v>908695.6522</v>
      </c>
      <c r="E452" s="4">
        <f t="shared" si="2"/>
        <v>-192.8421877</v>
      </c>
      <c r="F452" s="3">
        <f t="shared" si="3"/>
        <v>0.0002122186755</v>
      </c>
      <c r="G452" s="3">
        <f t="shared" si="4"/>
        <v>0</v>
      </c>
      <c r="H452" s="2">
        <f t="shared" si="5"/>
        <v>0</v>
      </c>
      <c r="I452" s="3">
        <f t="shared" si="6"/>
        <v>0</v>
      </c>
      <c r="J452" s="3">
        <f t="shared" si="7"/>
        <v>0</v>
      </c>
      <c r="K452" s="3"/>
      <c r="L452" s="3">
        <f t="shared" si="8"/>
        <v>410.2820222</v>
      </c>
      <c r="M452" s="30">
        <f t="shared" si="9"/>
        <v>414.2560666</v>
      </c>
      <c r="N452" s="14">
        <f t="shared" si="10"/>
        <v>-3.974044428</v>
      </c>
      <c r="O452" s="3"/>
      <c r="P452" s="3"/>
      <c r="Q452" s="3"/>
      <c r="R452" s="2"/>
      <c r="S452" s="14">
        <f t="shared" si="13"/>
        <v>-3.649349622</v>
      </c>
    </row>
    <row r="453">
      <c r="A453" s="11">
        <v>441.0</v>
      </c>
      <c r="B453" s="11">
        <v>1.42131304347826E9</v>
      </c>
      <c r="C453" s="2">
        <v>-102.673584</v>
      </c>
      <c r="D453" s="3">
        <f t="shared" si="1"/>
        <v>913043.4783</v>
      </c>
      <c r="E453" s="4">
        <f t="shared" si="2"/>
        <v>-193.7604839</v>
      </c>
      <c r="F453" s="3">
        <f t="shared" si="3"/>
        <v>0.0002122138633</v>
      </c>
      <c r="G453" s="3">
        <f t="shared" si="4"/>
        <v>0</v>
      </c>
      <c r="H453" s="2">
        <f t="shared" si="5"/>
        <v>0</v>
      </c>
      <c r="I453" s="3">
        <f t="shared" si="6"/>
        <v>0</v>
      </c>
      <c r="J453" s="3">
        <f t="shared" si="7"/>
        <v>0</v>
      </c>
      <c r="K453" s="3"/>
      <c r="L453" s="3">
        <f t="shared" si="8"/>
        <v>410.911</v>
      </c>
      <c r="M453" s="30">
        <f t="shared" si="9"/>
        <v>414.1297077</v>
      </c>
      <c r="N453" s="14">
        <f t="shared" si="10"/>
        <v>-3.218707705</v>
      </c>
      <c r="O453" s="3"/>
      <c r="P453" s="3"/>
      <c r="Q453" s="3"/>
      <c r="R453" s="2"/>
      <c r="S453" s="14">
        <f t="shared" si="13"/>
        <v>-2.955726838</v>
      </c>
    </row>
    <row r="454">
      <c r="A454" s="11">
        <v>442.0</v>
      </c>
      <c r="B454" s="11">
        <v>1.42131739130434E9</v>
      </c>
      <c r="C454" s="2">
        <v>-102.6979675</v>
      </c>
      <c r="D454" s="3">
        <f t="shared" si="1"/>
        <v>917391.3043</v>
      </c>
      <c r="E454" s="4">
        <f t="shared" si="2"/>
        <v>-194.67878</v>
      </c>
      <c r="F454" s="3">
        <f t="shared" si="3"/>
        <v>0.0002122090967</v>
      </c>
      <c r="G454" s="3">
        <f t="shared" si="4"/>
        <v>0</v>
      </c>
      <c r="H454" s="2">
        <f t="shared" si="5"/>
        <v>0</v>
      </c>
      <c r="I454" s="3">
        <f t="shared" si="6"/>
        <v>0</v>
      </c>
      <c r="J454" s="3">
        <f t="shared" si="7"/>
        <v>0</v>
      </c>
      <c r="K454" s="3"/>
      <c r="L454" s="3">
        <f t="shared" si="8"/>
        <v>408.6104012</v>
      </c>
      <c r="M454" s="30">
        <f t="shared" si="9"/>
        <v>414.003315</v>
      </c>
      <c r="N454" s="14">
        <f t="shared" si="10"/>
        <v>-5.392913833</v>
      </c>
      <c r="O454" s="3"/>
      <c r="P454" s="3"/>
      <c r="Q454" s="3"/>
      <c r="R454" s="2"/>
      <c r="S454" s="14">
        <f t="shared" si="13"/>
        <v>-4.952291917</v>
      </c>
    </row>
    <row r="455">
      <c r="A455" s="11">
        <v>443.0</v>
      </c>
      <c r="B455" s="11">
        <v>1.42132173913043E9</v>
      </c>
      <c r="C455" s="2">
        <v>-102.6705551</v>
      </c>
      <c r="D455" s="3">
        <f t="shared" si="1"/>
        <v>921739.1304</v>
      </c>
      <c r="E455" s="4">
        <f t="shared" si="2"/>
        <v>-195.5970761</v>
      </c>
      <c r="F455" s="3">
        <f t="shared" si="3"/>
        <v>0.0002122043751</v>
      </c>
      <c r="G455" s="3">
        <f t="shared" si="4"/>
        <v>0</v>
      </c>
      <c r="H455" s="2">
        <f t="shared" si="5"/>
        <v>0</v>
      </c>
      <c r="I455" s="3">
        <f t="shared" si="6"/>
        <v>0</v>
      </c>
      <c r="J455" s="3">
        <f t="shared" si="7"/>
        <v>0</v>
      </c>
      <c r="K455" s="3"/>
      <c r="L455" s="3">
        <f t="shared" si="8"/>
        <v>411.1976816</v>
      </c>
      <c r="M455" s="30">
        <f t="shared" si="9"/>
        <v>413.8768893</v>
      </c>
      <c r="N455" s="14">
        <f t="shared" si="10"/>
        <v>-2.679207678</v>
      </c>
      <c r="O455" s="3"/>
      <c r="P455" s="3"/>
      <c r="Q455" s="3"/>
      <c r="R455" s="2"/>
      <c r="S455" s="14">
        <f t="shared" si="13"/>
        <v>-2.460306044</v>
      </c>
    </row>
    <row r="456">
      <c r="A456" s="11">
        <v>444.0</v>
      </c>
      <c r="B456" s="11">
        <v>1.42132608695652E9</v>
      </c>
      <c r="C456" s="2">
        <v>-102.5978088</v>
      </c>
      <c r="D456" s="3">
        <f t="shared" si="1"/>
        <v>926086.9565</v>
      </c>
      <c r="E456" s="4">
        <f t="shared" si="2"/>
        <v>-196.5153723</v>
      </c>
      <c r="F456" s="3">
        <f t="shared" si="3"/>
        <v>0.0002121996978</v>
      </c>
      <c r="G456" s="3">
        <f t="shared" si="4"/>
        <v>0</v>
      </c>
      <c r="H456" s="2">
        <f t="shared" si="5"/>
        <v>0</v>
      </c>
      <c r="I456" s="3">
        <f t="shared" si="6"/>
        <v>0</v>
      </c>
      <c r="J456" s="3">
        <f t="shared" si="7"/>
        <v>0</v>
      </c>
      <c r="K456" s="3"/>
      <c r="L456" s="3">
        <f t="shared" si="8"/>
        <v>418.1434396</v>
      </c>
      <c r="M456" s="30">
        <f t="shared" si="9"/>
        <v>413.7504314</v>
      </c>
      <c r="N456" s="14">
        <f t="shared" si="10"/>
        <v>4.39300821</v>
      </c>
      <c r="O456" s="3"/>
      <c r="P456" s="3"/>
      <c r="Q456" s="3"/>
      <c r="R456" s="2"/>
      <c r="S456" s="14">
        <f t="shared" si="13"/>
        <v>4.034082451</v>
      </c>
    </row>
    <row r="457">
      <c r="A457" s="11">
        <v>445.0</v>
      </c>
      <c r="B457" s="11">
        <v>1.4213304347826E9</v>
      </c>
      <c r="C457" s="2">
        <v>-102.6842957</v>
      </c>
      <c r="D457" s="3">
        <f t="shared" si="1"/>
        <v>930434.7826</v>
      </c>
      <c r="E457" s="4">
        <f t="shared" si="2"/>
        <v>-197.4336684</v>
      </c>
      <c r="F457" s="3">
        <f t="shared" si="3"/>
        <v>0.0002121950642</v>
      </c>
      <c r="G457" s="3">
        <f t="shared" si="4"/>
        <v>0</v>
      </c>
      <c r="H457" s="2">
        <f t="shared" si="5"/>
        <v>0</v>
      </c>
      <c r="I457" s="3">
        <f t="shared" si="6"/>
        <v>0</v>
      </c>
      <c r="J457" s="3">
        <f t="shared" si="7"/>
        <v>0</v>
      </c>
      <c r="K457" s="3"/>
      <c r="L457" s="3">
        <f t="shared" si="8"/>
        <v>409.8987533</v>
      </c>
      <c r="M457" s="30">
        <f t="shared" si="9"/>
        <v>413.6239421</v>
      </c>
      <c r="N457" s="14">
        <f t="shared" si="10"/>
        <v>-3.725188853</v>
      </c>
      <c r="O457" s="3"/>
      <c r="P457" s="3"/>
      <c r="Q457" s="3"/>
      <c r="R457" s="2"/>
      <c r="S457" s="14">
        <f t="shared" si="13"/>
        <v>-3.420826517</v>
      </c>
    </row>
    <row r="458">
      <c r="A458" s="11">
        <v>446.0</v>
      </c>
      <c r="B458" s="11">
        <v>1.42133478260869E9</v>
      </c>
      <c r="C458" s="2">
        <v>-102.6733093</v>
      </c>
      <c r="D458" s="3">
        <f t="shared" si="1"/>
        <v>934782.6087</v>
      </c>
      <c r="E458" s="4">
        <f t="shared" si="2"/>
        <v>-198.3519645</v>
      </c>
      <c r="F458" s="3">
        <f t="shared" si="3"/>
        <v>0.0002121904737</v>
      </c>
      <c r="G458" s="3">
        <f t="shared" si="4"/>
        <v>0</v>
      </c>
      <c r="H458" s="2">
        <f t="shared" si="5"/>
        <v>0</v>
      </c>
      <c r="I458" s="3">
        <f t="shared" si="6"/>
        <v>0</v>
      </c>
      <c r="J458" s="3">
        <f t="shared" si="7"/>
        <v>0</v>
      </c>
      <c r="K458" s="3"/>
      <c r="L458" s="3">
        <f t="shared" si="8"/>
        <v>410.9369918</v>
      </c>
      <c r="M458" s="30">
        <f t="shared" si="9"/>
        <v>413.4974223</v>
      </c>
      <c r="N458" s="14">
        <f t="shared" si="10"/>
        <v>-2.560430491</v>
      </c>
      <c r="O458" s="3"/>
      <c r="P458" s="3"/>
      <c r="Q458" s="3"/>
      <c r="R458" s="2"/>
      <c r="S458" s="14">
        <f t="shared" si="13"/>
        <v>-2.351233418</v>
      </c>
    </row>
    <row r="459">
      <c r="A459" s="11">
        <v>447.0</v>
      </c>
      <c r="B459" s="11">
        <v>1.42133913043478E9</v>
      </c>
      <c r="C459" s="2">
        <v>-102.7237701</v>
      </c>
      <c r="D459" s="3">
        <f t="shared" si="1"/>
        <v>939130.4348</v>
      </c>
      <c r="E459" s="4">
        <f t="shared" si="2"/>
        <v>-199.2702607</v>
      </c>
      <c r="F459" s="3">
        <f t="shared" si="3"/>
        <v>0.0002121859257</v>
      </c>
      <c r="G459" s="3">
        <f t="shared" si="4"/>
        <v>0</v>
      </c>
      <c r="H459" s="2">
        <f t="shared" si="5"/>
        <v>0</v>
      </c>
      <c r="I459" s="3">
        <f t="shared" si="6"/>
        <v>0</v>
      </c>
      <c r="J459" s="3">
        <f t="shared" si="7"/>
        <v>0</v>
      </c>
      <c r="K459" s="3"/>
      <c r="L459" s="3">
        <f t="shared" si="8"/>
        <v>406.1899346</v>
      </c>
      <c r="M459" s="30">
        <f t="shared" si="9"/>
        <v>413.3708726</v>
      </c>
      <c r="N459" s="14">
        <f t="shared" si="10"/>
        <v>-7.180938001</v>
      </c>
      <c r="O459" s="3"/>
      <c r="P459" s="3"/>
      <c r="Q459" s="3"/>
      <c r="R459" s="2"/>
      <c r="S459" s="14">
        <f t="shared" si="13"/>
        <v>-6.594227581</v>
      </c>
    </row>
    <row r="460">
      <c r="A460" s="11">
        <v>448.0</v>
      </c>
      <c r="B460" s="11">
        <v>1.42134347826087E9</v>
      </c>
      <c r="C460" s="2">
        <v>-102.5919037</v>
      </c>
      <c r="D460" s="3">
        <f t="shared" si="1"/>
        <v>943478.2609</v>
      </c>
      <c r="E460" s="4">
        <f t="shared" si="2"/>
        <v>-200.1885568</v>
      </c>
      <c r="F460" s="3">
        <f t="shared" si="3"/>
        <v>0.0002121814197</v>
      </c>
      <c r="G460" s="3">
        <f t="shared" si="4"/>
        <v>0</v>
      </c>
      <c r="H460" s="2">
        <f t="shared" si="5"/>
        <v>0</v>
      </c>
      <c r="I460" s="3">
        <f t="shared" si="6"/>
        <v>0</v>
      </c>
      <c r="J460" s="3">
        <f t="shared" si="7"/>
        <v>0</v>
      </c>
      <c r="K460" s="3"/>
      <c r="L460" s="3">
        <f t="shared" si="8"/>
        <v>418.7123757</v>
      </c>
      <c r="M460" s="30">
        <f t="shared" si="9"/>
        <v>413.244294</v>
      </c>
      <c r="N460" s="14">
        <f t="shared" si="10"/>
        <v>5.468081755</v>
      </c>
      <c r="O460" s="3"/>
      <c r="P460" s="3"/>
      <c r="Q460" s="3"/>
      <c r="R460" s="2"/>
      <c r="S460" s="14">
        <f t="shared" si="13"/>
        <v>5.021318329</v>
      </c>
    </row>
    <row r="461">
      <c r="A461" s="11">
        <v>449.0</v>
      </c>
      <c r="B461" s="11">
        <v>1.42134782608695E9</v>
      </c>
      <c r="C461" s="2">
        <v>-102.6821747</v>
      </c>
      <c r="D461" s="3">
        <f t="shared" si="1"/>
        <v>947826.087</v>
      </c>
      <c r="E461" s="4">
        <f t="shared" si="2"/>
        <v>-201.1068529</v>
      </c>
      <c r="F461" s="3">
        <f t="shared" si="3"/>
        <v>0.0002121769549</v>
      </c>
      <c r="G461" s="3">
        <f t="shared" si="4"/>
        <v>0</v>
      </c>
      <c r="H461" s="2">
        <f t="shared" si="5"/>
        <v>0</v>
      </c>
      <c r="I461" s="3">
        <f t="shared" si="6"/>
        <v>0</v>
      </c>
      <c r="J461" s="3">
        <f t="shared" si="7"/>
        <v>0</v>
      </c>
      <c r="K461" s="3"/>
      <c r="L461" s="3">
        <f t="shared" si="8"/>
        <v>410.0989878</v>
      </c>
      <c r="M461" s="30">
        <f t="shared" si="9"/>
        <v>413.1176872</v>
      </c>
      <c r="N461" s="14">
        <f t="shared" si="10"/>
        <v>-3.018699385</v>
      </c>
      <c r="O461" s="3"/>
      <c r="P461" s="3"/>
      <c r="Q461" s="3"/>
      <c r="R461" s="2"/>
      <c r="S461" s="14">
        <f t="shared" si="13"/>
        <v>-2.772059972</v>
      </c>
    </row>
    <row r="462">
      <c r="A462" s="11">
        <v>450.0</v>
      </c>
      <c r="B462" s="11">
        <v>1.42135217391304E9</v>
      </c>
      <c r="C462" s="2">
        <v>-102.6629639</v>
      </c>
      <c r="D462" s="3">
        <f t="shared" si="1"/>
        <v>952173.913</v>
      </c>
      <c r="E462" s="4">
        <f t="shared" si="2"/>
        <v>-202.0251491</v>
      </c>
      <c r="F462" s="3">
        <f t="shared" si="3"/>
        <v>0.000212172531</v>
      </c>
      <c r="G462" s="3">
        <f t="shared" si="4"/>
        <v>0</v>
      </c>
      <c r="H462" s="2">
        <f t="shared" si="5"/>
        <v>0</v>
      </c>
      <c r="I462" s="3">
        <f t="shared" si="6"/>
        <v>0</v>
      </c>
      <c r="J462" s="3">
        <f t="shared" si="7"/>
        <v>0</v>
      </c>
      <c r="K462" s="3"/>
      <c r="L462" s="3">
        <f t="shared" si="8"/>
        <v>411.9170584</v>
      </c>
      <c r="M462" s="30">
        <f t="shared" si="9"/>
        <v>412.991053</v>
      </c>
      <c r="N462" s="14">
        <f t="shared" si="10"/>
        <v>-1.073994676</v>
      </c>
      <c r="O462" s="3"/>
      <c r="P462" s="3"/>
      <c r="Q462" s="3"/>
      <c r="R462" s="2"/>
      <c r="S462" s="14">
        <f t="shared" si="13"/>
        <v>-0.986245155</v>
      </c>
    </row>
    <row r="463">
      <c r="A463" s="11">
        <v>451.0</v>
      </c>
      <c r="B463" s="11">
        <v>1.42135652173913E9</v>
      </c>
      <c r="C463" s="2">
        <v>-102.5908203</v>
      </c>
      <c r="D463" s="3">
        <f t="shared" si="1"/>
        <v>956521.7391</v>
      </c>
      <c r="E463" s="4">
        <f t="shared" si="2"/>
        <v>-202.9434452</v>
      </c>
      <c r="F463" s="3">
        <f t="shared" si="3"/>
        <v>0.0002121681473</v>
      </c>
      <c r="G463" s="3">
        <f t="shared" si="4"/>
        <v>0</v>
      </c>
      <c r="H463" s="2">
        <f t="shared" si="5"/>
        <v>0</v>
      </c>
      <c r="I463" s="3">
        <f t="shared" si="6"/>
        <v>0</v>
      </c>
      <c r="J463" s="3">
        <f t="shared" si="7"/>
        <v>0</v>
      </c>
      <c r="K463" s="3"/>
      <c r="L463" s="3">
        <f t="shared" si="8"/>
        <v>418.8168416</v>
      </c>
      <c r="M463" s="30">
        <f t="shared" si="9"/>
        <v>412.8643923</v>
      </c>
      <c r="N463" s="14">
        <f t="shared" si="10"/>
        <v>5.95244933</v>
      </c>
      <c r="O463" s="3"/>
      <c r="P463" s="3"/>
      <c r="Q463" s="3"/>
      <c r="R463" s="2"/>
      <c r="S463" s="14">
        <f t="shared" si="13"/>
        <v>5.4661112</v>
      </c>
    </row>
    <row r="464">
      <c r="A464" s="11">
        <v>452.0</v>
      </c>
      <c r="B464" s="11">
        <v>1.42136086956521E9</v>
      </c>
      <c r="C464" s="2">
        <v>-102.6474991</v>
      </c>
      <c r="D464" s="3">
        <f t="shared" si="1"/>
        <v>960869.5652</v>
      </c>
      <c r="E464" s="4">
        <f t="shared" si="2"/>
        <v>-203.8617413</v>
      </c>
      <c r="F464" s="3">
        <f t="shared" si="3"/>
        <v>0.0002121638032</v>
      </c>
      <c r="G464" s="3">
        <f t="shared" si="4"/>
        <v>0</v>
      </c>
      <c r="H464" s="2">
        <f t="shared" si="5"/>
        <v>0</v>
      </c>
      <c r="I464" s="3">
        <f t="shared" si="6"/>
        <v>0</v>
      </c>
      <c r="J464" s="3">
        <f t="shared" si="7"/>
        <v>0</v>
      </c>
      <c r="K464" s="3"/>
      <c r="L464" s="3">
        <f t="shared" si="8"/>
        <v>413.3864692</v>
      </c>
      <c r="M464" s="30">
        <f t="shared" si="9"/>
        <v>412.7377058</v>
      </c>
      <c r="N464" s="14">
        <f t="shared" si="10"/>
        <v>0.6487634046</v>
      </c>
      <c r="O464" s="3"/>
      <c r="P464" s="3"/>
      <c r="Q464" s="3"/>
      <c r="R464" s="2"/>
      <c r="S464" s="14">
        <f t="shared" si="13"/>
        <v>0.5957569256</v>
      </c>
    </row>
    <row r="465">
      <c r="A465" s="11">
        <v>453.0</v>
      </c>
      <c r="B465" s="11">
        <v>1.4213652173913E9</v>
      </c>
      <c r="C465" s="2">
        <v>-102.6463928</v>
      </c>
      <c r="D465" s="3">
        <f t="shared" si="1"/>
        <v>965217.3913</v>
      </c>
      <c r="E465" s="4">
        <f t="shared" si="2"/>
        <v>-204.7800375</v>
      </c>
      <c r="F465" s="3">
        <f t="shared" si="3"/>
        <v>0.0002121594983</v>
      </c>
      <c r="G465" s="3">
        <f t="shared" si="4"/>
        <v>0</v>
      </c>
      <c r="H465" s="2">
        <f t="shared" si="5"/>
        <v>0</v>
      </c>
      <c r="I465" s="3">
        <f t="shared" si="6"/>
        <v>0</v>
      </c>
      <c r="J465" s="3">
        <f t="shared" si="7"/>
        <v>0</v>
      </c>
      <c r="K465" s="3"/>
      <c r="L465" s="3">
        <f t="shared" si="8"/>
        <v>413.4917866</v>
      </c>
      <c r="M465" s="30">
        <f t="shared" si="9"/>
        <v>412.6109943</v>
      </c>
      <c r="N465" s="14">
        <f t="shared" si="10"/>
        <v>0.8807922715</v>
      </c>
      <c r="O465" s="3"/>
      <c r="P465" s="3"/>
      <c r="Q465" s="3"/>
      <c r="R465" s="2"/>
      <c r="S465" s="14">
        <f t="shared" si="13"/>
        <v>0.8088281348</v>
      </c>
    </row>
    <row r="466">
      <c r="A466" s="11">
        <v>454.0</v>
      </c>
      <c r="B466" s="11">
        <v>1.42136956521739E9</v>
      </c>
      <c r="C466" s="2">
        <v>-102.6522675</v>
      </c>
      <c r="D466" s="3">
        <f t="shared" si="1"/>
        <v>969565.2174</v>
      </c>
      <c r="E466" s="4">
        <f t="shared" si="2"/>
        <v>-205.6983336</v>
      </c>
      <c r="F466" s="3">
        <f t="shared" si="3"/>
        <v>0.000212155232</v>
      </c>
      <c r="G466" s="3">
        <f t="shared" si="4"/>
        <v>0</v>
      </c>
      <c r="H466" s="2">
        <f t="shared" si="5"/>
        <v>0</v>
      </c>
      <c r="I466" s="3">
        <f t="shared" si="6"/>
        <v>0</v>
      </c>
      <c r="J466" s="3">
        <f t="shared" si="7"/>
        <v>0</v>
      </c>
      <c r="K466" s="3"/>
      <c r="L466" s="3">
        <f t="shared" si="8"/>
        <v>412.9328346</v>
      </c>
      <c r="M466" s="30">
        <f t="shared" si="9"/>
        <v>412.4842587</v>
      </c>
      <c r="N466" s="14">
        <f t="shared" si="10"/>
        <v>0.4485758155</v>
      </c>
      <c r="O466" s="3"/>
      <c r="P466" s="3"/>
      <c r="Q466" s="3"/>
      <c r="R466" s="2"/>
      <c r="S466" s="14">
        <f t="shared" si="13"/>
        <v>0.4119254366</v>
      </c>
    </row>
    <row r="467">
      <c r="A467" s="11">
        <v>455.0</v>
      </c>
      <c r="B467" s="11">
        <v>1.42137391304347E9</v>
      </c>
      <c r="C467" s="2">
        <v>-102.6359024</v>
      </c>
      <c r="D467" s="3">
        <f t="shared" si="1"/>
        <v>973913.0435</v>
      </c>
      <c r="E467" s="4">
        <f t="shared" si="2"/>
        <v>-206.6166297</v>
      </c>
      <c r="F467" s="3">
        <f t="shared" si="3"/>
        <v>0.0002121510037</v>
      </c>
      <c r="G467" s="3">
        <f t="shared" si="4"/>
        <v>0</v>
      </c>
      <c r="H467" s="2">
        <f t="shared" si="5"/>
        <v>0</v>
      </c>
      <c r="I467" s="3">
        <f t="shared" si="6"/>
        <v>0</v>
      </c>
      <c r="J467" s="3">
        <f t="shared" si="7"/>
        <v>0</v>
      </c>
      <c r="K467" s="3"/>
      <c r="L467" s="3">
        <f t="shared" si="8"/>
        <v>414.4917849</v>
      </c>
      <c r="M467" s="30">
        <f t="shared" si="9"/>
        <v>412.3574998</v>
      </c>
      <c r="N467" s="14">
        <f t="shared" si="10"/>
        <v>2.134285124</v>
      </c>
      <c r="O467" s="3"/>
      <c r="P467" s="3"/>
      <c r="Q467" s="3"/>
      <c r="R467" s="2"/>
      <c r="S467" s="14">
        <f t="shared" si="13"/>
        <v>1.959905775</v>
      </c>
    </row>
    <row r="468">
      <c r="A468" s="11">
        <v>456.0</v>
      </c>
      <c r="B468" s="11">
        <v>1.42137826086956E9</v>
      </c>
      <c r="C468" s="2">
        <v>-102.6378555</v>
      </c>
      <c r="D468" s="3">
        <f t="shared" si="1"/>
        <v>978260.8696</v>
      </c>
      <c r="E468" s="4">
        <f t="shared" si="2"/>
        <v>-207.5349259</v>
      </c>
      <c r="F468" s="3">
        <f t="shared" si="3"/>
        <v>0.0002121468131</v>
      </c>
      <c r="G468" s="3">
        <f t="shared" si="4"/>
        <v>0</v>
      </c>
      <c r="H468" s="2">
        <f t="shared" si="5"/>
        <v>0</v>
      </c>
      <c r="I468" s="3">
        <f t="shared" si="6"/>
        <v>0</v>
      </c>
      <c r="J468" s="3">
        <f t="shared" si="7"/>
        <v>0</v>
      </c>
      <c r="K468" s="3"/>
      <c r="L468" s="3">
        <f t="shared" si="8"/>
        <v>414.3054224</v>
      </c>
      <c r="M468" s="30">
        <f t="shared" si="9"/>
        <v>412.2307183</v>
      </c>
      <c r="N468" s="14">
        <f t="shared" si="10"/>
        <v>2.074704176</v>
      </c>
      <c r="O468" s="3"/>
      <c r="P468" s="3"/>
      <c r="Q468" s="3"/>
      <c r="R468" s="2"/>
      <c r="S468" s="14">
        <f t="shared" si="13"/>
        <v>1.905192817</v>
      </c>
    </row>
    <row r="469">
      <c r="A469" s="11">
        <v>457.0</v>
      </c>
      <c r="B469" s="11">
        <v>1.42138260869565E9</v>
      </c>
      <c r="C469" s="2">
        <v>-102.6791916</v>
      </c>
      <c r="D469" s="3">
        <f t="shared" si="1"/>
        <v>982608.6957</v>
      </c>
      <c r="E469" s="4">
        <f t="shared" si="2"/>
        <v>-208.453222</v>
      </c>
      <c r="F469" s="3">
        <f t="shared" si="3"/>
        <v>0.0002121426596</v>
      </c>
      <c r="G469" s="3">
        <f t="shared" si="4"/>
        <v>0</v>
      </c>
      <c r="H469" s="2">
        <f t="shared" si="5"/>
        <v>0</v>
      </c>
      <c r="I469" s="3">
        <f t="shared" si="6"/>
        <v>0</v>
      </c>
      <c r="J469" s="3">
        <f t="shared" si="7"/>
        <v>0</v>
      </c>
      <c r="K469" s="3"/>
      <c r="L469" s="3">
        <f t="shared" si="8"/>
        <v>410.3807751</v>
      </c>
      <c r="M469" s="30">
        <f t="shared" si="9"/>
        <v>412.103915</v>
      </c>
      <c r="N469" s="14">
        <f t="shared" si="10"/>
        <v>-1.723139913</v>
      </c>
      <c r="O469" s="3"/>
      <c r="P469" s="3"/>
      <c r="Q469" s="3"/>
      <c r="R469" s="2"/>
      <c r="S469" s="14">
        <f t="shared" si="13"/>
        <v>-1.582352719</v>
      </c>
    </row>
    <row r="470">
      <c r="A470" s="11">
        <v>458.0</v>
      </c>
      <c r="B470" s="11">
        <v>1.42138695652173E9</v>
      </c>
      <c r="C470" s="2">
        <v>-102.6763382</v>
      </c>
      <c r="D470" s="3">
        <f t="shared" si="1"/>
        <v>986956.5217</v>
      </c>
      <c r="E470" s="4">
        <f t="shared" si="2"/>
        <v>-209.3715181</v>
      </c>
      <c r="F470" s="3">
        <f t="shared" si="3"/>
        <v>0.0002121385426</v>
      </c>
      <c r="G470" s="3">
        <f t="shared" si="4"/>
        <v>0</v>
      </c>
      <c r="H470" s="2">
        <f t="shared" si="5"/>
        <v>0</v>
      </c>
      <c r="I470" s="3">
        <f t="shared" si="6"/>
        <v>0</v>
      </c>
      <c r="J470" s="3">
        <f t="shared" si="7"/>
        <v>0</v>
      </c>
      <c r="K470" s="3"/>
      <c r="L470" s="3">
        <f t="shared" si="8"/>
        <v>410.6504919</v>
      </c>
      <c r="M470" s="30">
        <f t="shared" si="9"/>
        <v>411.9770908</v>
      </c>
      <c r="N470" s="14">
        <f t="shared" si="10"/>
        <v>-1.326598885</v>
      </c>
      <c r="O470" s="3"/>
      <c r="P470" s="3"/>
      <c r="Q470" s="3"/>
      <c r="R470" s="2"/>
      <c r="S470" s="14">
        <f t="shared" si="13"/>
        <v>-1.218210626</v>
      </c>
    </row>
    <row r="471">
      <c r="A471" s="11">
        <v>459.0</v>
      </c>
      <c r="B471" s="11">
        <v>1.42139130434782E9</v>
      </c>
      <c r="C471" s="2">
        <v>-102.6422958</v>
      </c>
      <c r="D471" s="3">
        <f t="shared" si="1"/>
        <v>991304.3478</v>
      </c>
      <c r="E471" s="4">
        <f t="shared" si="2"/>
        <v>-210.2898143</v>
      </c>
      <c r="F471" s="3">
        <f t="shared" si="3"/>
        <v>0.0002121344618</v>
      </c>
      <c r="G471" s="3">
        <f t="shared" si="4"/>
        <v>0</v>
      </c>
      <c r="H471" s="2">
        <f t="shared" si="5"/>
        <v>0</v>
      </c>
      <c r="I471" s="3">
        <f t="shared" si="6"/>
        <v>0</v>
      </c>
      <c r="J471" s="3">
        <f t="shared" si="7"/>
        <v>0</v>
      </c>
      <c r="K471" s="3"/>
      <c r="L471" s="3">
        <f t="shared" si="8"/>
        <v>413.882046</v>
      </c>
      <c r="M471" s="30">
        <f t="shared" si="9"/>
        <v>411.8502464</v>
      </c>
      <c r="N471" s="14">
        <f t="shared" si="10"/>
        <v>2.031799618</v>
      </c>
      <c r="O471" s="3"/>
      <c r="P471" s="3"/>
      <c r="Q471" s="3"/>
      <c r="R471" s="2"/>
      <c r="S471" s="14">
        <f t="shared" si="13"/>
        <v>1.865793732</v>
      </c>
    </row>
    <row r="472">
      <c r="A472" s="11">
        <v>460.0</v>
      </c>
      <c r="B472" s="11">
        <v>1.42139565217391E9</v>
      </c>
      <c r="C472" s="2">
        <v>-102.5867767</v>
      </c>
      <c r="D472" s="3">
        <f t="shared" si="1"/>
        <v>995652.1739</v>
      </c>
      <c r="E472" s="4">
        <f t="shared" si="2"/>
        <v>-211.2081104</v>
      </c>
      <c r="F472" s="3">
        <f t="shared" si="3"/>
        <v>0.0002121304166</v>
      </c>
      <c r="G472" s="3">
        <f t="shared" si="4"/>
        <v>0</v>
      </c>
      <c r="H472" s="2">
        <f t="shared" si="5"/>
        <v>0</v>
      </c>
      <c r="I472" s="3">
        <f t="shared" si="6"/>
        <v>0</v>
      </c>
      <c r="J472" s="3">
        <f t="shared" si="7"/>
        <v>0</v>
      </c>
      <c r="K472" s="3"/>
      <c r="L472" s="3">
        <f t="shared" si="8"/>
        <v>419.2069724</v>
      </c>
      <c r="M472" s="30">
        <f t="shared" si="9"/>
        <v>411.7233827</v>
      </c>
      <c r="N472" s="14">
        <f t="shared" si="10"/>
        <v>7.483589657</v>
      </c>
      <c r="O472" s="3"/>
      <c r="P472" s="3"/>
      <c r="Q472" s="3"/>
      <c r="R472" s="2"/>
      <c r="S472" s="14">
        <f t="shared" si="13"/>
        <v>5.926176884</v>
      </c>
    </row>
    <row r="473">
      <c r="A473" s="11">
        <v>461.0</v>
      </c>
      <c r="B473" s="11">
        <v>1.4214E9</v>
      </c>
      <c r="C473" s="2">
        <v>-102.7006607</v>
      </c>
      <c r="D473" s="3">
        <f t="shared" si="1"/>
        <v>1000000</v>
      </c>
      <c r="E473" s="29">
        <f>-0.000212*D473</f>
        <v>-212</v>
      </c>
      <c r="F473" s="3">
        <f t="shared" si="3"/>
        <v>0.000212</v>
      </c>
      <c r="G473" s="3">
        <f t="shared" si="4"/>
        <v>0</v>
      </c>
      <c r="H473" s="2">
        <f t="shared" si="5"/>
        <v>0</v>
      </c>
      <c r="I473" s="3">
        <f t="shared" si="6"/>
        <v>0</v>
      </c>
      <c r="J473" s="3">
        <f t="shared" si="7"/>
        <v>0</v>
      </c>
      <c r="K473" s="3"/>
      <c r="L473" s="3">
        <f t="shared" si="8"/>
        <v>408.3570872</v>
      </c>
      <c r="M473" s="30">
        <f t="shared" si="9"/>
        <v>411.6139674</v>
      </c>
      <c r="N473" s="14">
        <f t="shared" si="10"/>
        <v>-3.256880124</v>
      </c>
      <c r="O473" s="3"/>
      <c r="P473" s="3"/>
      <c r="Q473" s="3"/>
      <c r="R473" s="2"/>
      <c r="S473" s="14"/>
    </row>
    <row r="474">
      <c r="A474" s="11" t="s">
        <v>40</v>
      </c>
      <c r="D474" s="3"/>
      <c r="E474" s="4"/>
      <c r="F474" s="3"/>
      <c r="G474" s="3"/>
      <c r="H474" s="3"/>
      <c r="I474" s="3"/>
      <c r="J474" s="3"/>
      <c r="K474" s="3"/>
      <c r="L474" s="3"/>
      <c r="M474" s="5"/>
      <c r="N474" s="3"/>
      <c r="O474" s="3"/>
      <c r="P474" s="3"/>
      <c r="Q474" s="3"/>
      <c r="R474" s="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0</v>
      </c>
      <c r="B1" s="11" t="s">
        <v>1</v>
      </c>
    </row>
    <row r="2">
      <c r="A2" s="11" t="s">
        <v>2</v>
      </c>
      <c r="B2" s="11" t="s">
        <v>3</v>
      </c>
    </row>
    <row r="3">
      <c r="A3" s="11" t="s">
        <v>5</v>
      </c>
      <c r="B3" s="11" t="s">
        <v>6</v>
      </c>
    </row>
    <row r="4">
      <c r="A4" s="11" t="s">
        <v>7</v>
      </c>
      <c r="B4" s="11">
        <v>1.4204E9</v>
      </c>
      <c r="C4" s="11" t="s">
        <v>8</v>
      </c>
    </row>
    <row r="5">
      <c r="A5" s="11" t="s">
        <v>9</v>
      </c>
      <c r="B5" s="11">
        <v>2000000.0</v>
      </c>
      <c r="C5" s="11" t="s">
        <v>8</v>
      </c>
    </row>
    <row r="6">
      <c r="A6" s="11" t="s">
        <v>10</v>
      </c>
      <c r="B6" s="11">
        <v>30000.0</v>
      </c>
      <c r="C6" s="11" t="s">
        <v>8</v>
      </c>
    </row>
    <row r="7">
      <c r="A7" s="11" t="s">
        <v>11</v>
      </c>
      <c r="B7" s="11">
        <v>30000.0</v>
      </c>
      <c r="C7" s="11" t="s">
        <v>8</v>
      </c>
    </row>
    <row r="8">
      <c r="A8" s="11" t="s">
        <v>12</v>
      </c>
      <c r="B8" s="11">
        <v>-97.0</v>
      </c>
      <c r="C8" s="11" t="s">
        <v>13</v>
      </c>
    </row>
    <row r="9">
      <c r="A9" s="11" t="s">
        <v>14</v>
      </c>
      <c r="B9" s="11">
        <v>1.0</v>
      </c>
      <c r="C9" s="11" t="s">
        <v>15</v>
      </c>
    </row>
    <row r="10">
      <c r="A10" s="11" t="s">
        <v>16</v>
      </c>
      <c r="B10" s="11">
        <v>461.0</v>
      </c>
    </row>
    <row r="11">
      <c r="A11" s="11" t="s">
        <v>17</v>
      </c>
      <c r="B11" s="11" t="s">
        <v>8</v>
      </c>
      <c r="C11" s="11" t="s">
        <v>13</v>
      </c>
      <c r="D11" s="2" t="s">
        <v>18</v>
      </c>
      <c r="E11" s="1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26</v>
      </c>
      <c r="M11" s="6" t="s">
        <v>27</v>
      </c>
      <c r="N11" s="2" t="s">
        <v>28</v>
      </c>
      <c r="O11" s="3"/>
      <c r="P11" s="2" t="s">
        <v>29</v>
      </c>
      <c r="Q11" s="2" t="s">
        <v>30</v>
      </c>
      <c r="R11" s="2"/>
      <c r="S11" s="2" t="s">
        <v>31</v>
      </c>
      <c r="V11" s="13" t="s">
        <v>32</v>
      </c>
    </row>
    <row r="12">
      <c r="A12" s="11" t="s">
        <v>33</v>
      </c>
      <c r="B12" s="11" t="s">
        <v>34</v>
      </c>
      <c r="C12" s="11" t="s">
        <v>35</v>
      </c>
      <c r="D12" s="3"/>
      <c r="E12" s="4"/>
      <c r="F12" s="3"/>
      <c r="G12" s="2" t="s">
        <v>36</v>
      </c>
      <c r="H12" s="2" t="s">
        <v>37</v>
      </c>
      <c r="I12" s="3"/>
      <c r="J12" s="3"/>
      <c r="K12" s="3"/>
      <c r="L12" s="3"/>
      <c r="M12" s="5"/>
      <c r="N12" s="3"/>
      <c r="O12" s="3"/>
      <c r="P12" s="3"/>
      <c r="Q12" s="3"/>
      <c r="R12" s="3"/>
      <c r="S12" s="3"/>
    </row>
    <row r="13">
      <c r="A13" s="11">
        <v>1.0</v>
      </c>
      <c r="B13" s="11">
        <v>1.4194E9</v>
      </c>
      <c r="C13" s="2">
        <v>-102.1927338</v>
      </c>
      <c r="D13" s="3">
        <f t="shared" ref="D13:D473" si="1">B13-$B$4</f>
        <v>-1000000</v>
      </c>
      <c r="E13" s="4">
        <f t="shared" ref="E13:E472" si="2">-((B14-$B$4)/$B$4)*(3*10^5)</f>
        <v>210.2898143</v>
      </c>
      <c r="F13" s="3">
        <f t="shared" ref="F13:F473" si="3">-E13/D13</f>
        <v>0.0002102898143</v>
      </c>
      <c r="G13" s="3">
        <f t="shared" ref="G13:G473" si="4">(10^(C13/10))/1000</f>
        <v>0</v>
      </c>
      <c r="H13" s="2">
        <f t="shared" ref="H13:H473" si="5">G13/30000</f>
        <v>0</v>
      </c>
      <c r="I13" s="3">
        <f t="shared" ref="I13:I473" si="6">0.0063*H13</f>
        <v>0</v>
      </c>
      <c r="J13" s="3">
        <f t="shared" ref="J13:J473" si="7">(1/F13^2)*I13</f>
        <v>0</v>
      </c>
      <c r="K13" s="22">
        <f>1.38064852E-23</f>
        <v>0</v>
      </c>
      <c r="L13" s="3">
        <f t="shared" ref="L13:L473" si="8">(1/(2*$K$13))*(I13)</f>
        <v>459.0212459</v>
      </c>
      <c r="M13" s="14">
        <f t="shared" ref="M13:M473" si="9"> 0.0000002314*E13^3 - 0.0002055695*E13^2 + 0.1034725307*E13 + 448.0007404178
</f>
        <v>462.8211852</v>
      </c>
      <c r="N13" s="14">
        <f t="shared" ref="N13:N473" si="10">L13-(M13)</f>
        <v>-3.799939364</v>
      </c>
      <c r="O13" s="3"/>
      <c r="P13" s="23">
        <f t="shared" ref="P13:P67" si="11">-((B14-$B$4)/$B$4)*(3*10^5)</f>
        <v>210.2898143</v>
      </c>
      <c r="Q13" s="14">
        <f t="shared" ref="Q13:Q67" si="12">(1/(2*$K$13))*(I13)</f>
        <v>459.0212459</v>
      </c>
      <c r="R13" s="2"/>
      <c r="S13" s="14">
        <f t="shared" ref="S13:S472" si="13">(N13 * ABS(E14-E13))</f>
        <v>-3.489469623</v>
      </c>
      <c r="V13" s="3">
        <f>1822400000000000000 * SUM(S13:S473)</f>
        <v>1.07579E+22</v>
      </c>
    </row>
    <row r="14">
      <c r="A14" s="11">
        <v>2.0</v>
      </c>
      <c r="B14" s="11">
        <v>1.41940434782608E9</v>
      </c>
      <c r="C14" s="2">
        <v>-102.1258011</v>
      </c>
      <c r="D14" s="3">
        <f t="shared" si="1"/>
        <v>-995652.1739</v>
      </c>
      <c r="E14" s="4">
        <f t="shared" si="2"/>
        <v>209.3715181</v>
      </c>
      <c r="F14" s="3">
        <f t="shared" si="3"/>
        <v>0.0002102858042</v>
      </c>
      <c r="G14" s="3">
        <f t="shared" si="4"/>
        <v>0</v>
      </c>
      <c r="H14" s="2">
        <f t="shared" si="5"/>
        <v>0</v>
      </c>
      <c r="I14" s="3">
        <f t="shared" si="6"/>
        <v>0</v>
      </c>
      <c r="J14" s="3">
        <f t="shared" si="7"/>
        <v>0</v>
      </c>
      <c r="K14" s="3"/>
      <c r="L14" s="3">
        <f t="shared" si="8"/>
        <v>466.1503959</v>
      </c>
      <c r="M14" s="14">
        <f t="shared" si="9"/>
        <v>462.7773202</v>
      </c>
      <c r="N14" s="14">
        <f t="shared" si="10"/>
        <v>3.373075711</v>
      </c>
      <c r="O14" s="3"/>
      <c r="P14" s="23">
        <f t="shared" si="11"/>
        <v>209.3715181</v>
      </c>
      <c r="Q14" s="14">
        <f t="shared" si="12"/>
        <v>466.1503959</v>
      </c>
      <c r="R14" s="2"/>
      <c r="S14" s="14">
        <f t="shared" si="13"/>
        <v>3.097482381</v>
      </c>
    </row>
    <row r="15">
      <c r="A15" s="11">
        <v>3.0</v>
      </c>
      <c r="B15" s="11">
        <v>1.41940869565217E9</v>
      </c>
      <c r="C15" s="2">
        <v>-102.1250458</v>
      </c>
      <c r="D15" s="3">
        <f t="shared" si="1"/>
        <v>-991304.3478</v>
      </c>
      <c r="E15" s="4">
        <f t="shared" si="2"/>
        <v>208.453222</v>
      </c>
      <c r="F15" s="3">
        <f t="shared" si="3"/>
        <v>0.000210281759</v>
      </c>
      <c r="G15" s="3">
        <f t="shared" si="4"/>
        <v>0</v>
      </c>
      <c r="H15" s="2">
        <f t="shared" si="5"/>
        <v>0</v>
      </c>
      <c r="I15" s="3">
        <f t="shared" si="6"/>
        <v>0</v>
      </c>
      <c r="J15" s="3">
        <f t="shared" si="7"/>
        <v>0</v>
      </c>
      <c r="K15" s="3"/>
      <c r="L15" s="3">
        <f t="shared" si="8"/>
        <v>466.2314731</v>
      </c>
      <c r="M15" s="14">
        <f t="shared" si="9"/>
        <v>462.7333535</v>
      </c>
      <c r="N15" s="14">
        <f t="shared" si="10"/>
        <v>3.498119585</v>
      </c>
      <c r="O15" s="3"/>
      <c r="P15" s="23">
        <f t="shared" si="11"/>
        <v>208.453222</v>
      </c>
      <c r="Q15" s="14">
        <f t="shared" si="12"/>
        <v>466.2314731</v>
      </c>
      <c r="R15" s="2"/>
      <c r="S15" s="14">
        <f t="shared" si="13"/>
        <v>3.212309679</v>
      </c>
    </row>
    <row r="16">
      <c r="A16" s="11">
        <v>4.0</v>
      </c>
      <c r="B16" s="11">
        <v>1.41941304347826E9</v>
      </c>
      <c r="C16" s="2">
        <v>-102.1143188</v>
      </c>
      <c r="D16" s="3">
        <f t="shared" si="1"/>
        <v>-986956.5217</v>
      </c>
      <c r="E16" s="4">
        <f t="shared" si="2"/>
        <v>207.5349259</v>
      </c>
      <c r="F16" s="3">
        <f t="shared" si="3"/>
        <v>0.0002102776782</v>
      </c>
      <c r="G16" s="3">
        <f t="shared" si="4"/>
        <v>0</v>
      </c>
      <c r="H16" s="2">
        <f t="shared" si="5"/>
        <v>0</v>
      </c>
      <c r="I16" s="3">
        <f t="shared" si="6"/>
        <v>0</v>
      </c>
      <c r="J16" s="3">
        <f t="shared" si="7"/>
        <v>0</v>
      </c>
      <c r="K16" s="3"/>
      <c r="L16" s="3">
        <f t="shared" si="8"/>
        <v>467.3844803</v>
      </c>
      <c r="M16" s="14">
        <f t="shared" si="9"/>
        <v>462.6892843</v>
      </c>
      <c r="N16" s="14">
        <f t="shared" si="10"/>
        <v>4.69519605</v>
      </c>
      <c r="O16" s="3"/>
      <c r="P16" s="23">
        <f t="shared" si="11"/>
        <v>207.5349259</v>
      </c>
      <c r="Q16" s="14">
        <f t="shared" si="12"/>
        <v>467.3844803</v>
      </c>
      <c r="R16" s="2"/>
      <c r="S16" s="14">
        <f t="shared" si="13"/>
        <v>4.311580376</v>
      </c>
    </row>
    <row r="17">
      <c r="A17" s="11">
        <v>5.0</v>
      </c>
      <c r="B17" s="11">
        <v>1.41941739130434E9</v>
      </c>
      <c r="C17" s="2">
        <v>-102.140358</v>
      </c>
      <c r="D17" s="3">
        <f t="shared" si="1"/>
        <v>-982608.6957</v>
      </c>
      <c r="E17" s="4">
        <f t="shared" si="2"/>
        <v>206.6166297</v>
      </c>
      <c r="F17" s="3">
        <f t="shared" si="3"/>
        <v>0.0002102735612</v>
      </c>
      <c r="G17" s="3">
        <f t="shared" si="4"/>
        <v>0</v>
      </c>
      <c r="H17" s="2">
        <f t="shared" si="5"/>
        <v>0</v>
      </c>
      <c r="I17" s="3">
        <f t="shared" si="6"/>
        <v>0</v>
      </c>
      <c r="J17" s="3">
        <f t="shared" si="7"/>
        <v>0</v>
      </c>
      <c r="K17" s="3"/>
      <c r="L17" s="3">
        <f t="shared" si="8"/>
        <v>464.5905453</v>
      </c>
      <c r="M17" s="14">
        <f t="shared" si="9"/>
        <v>462.6451113</v>
      </c>
      <c r="N17" s="14">
        <f t="shared" si="10"/>
        <v>1.945434005</v>
      </c>
      <c r="O17" s="3"/>
      <c r="P17" s="23">
        <f t="shared" si="11"/>
        <v>206.6166297</v>
      </c>
      <c r="Q17" s="14">
        <f t="shared" si="12"/>
        <v>464.5905453</v>
      </c>
      <c r="R17" s="2"/>
      <c r="S17" s="14">
        <f t="shared" si="13"/>
        <v>1.786484523</v>
      </c>
    </row>
    <row r="18">
      <c r="A18" s="11">
        <v>6.0</v>
      </c>
      <c r="B18" s="11">
        <v>1.41942173913043E9</v>
      </c>
      <c r="C18" s="2">
        <v>-102.1201553</v>
      </c>
      <c r="D18" s="3">
        <f t="shared" si="1"/>
        <v>-978260.8696</v>
      </c>
      <c r="E18" s="4">
        <f t="shared" si="2"/>
        <v>205.6983336</v>
      </c>
      <c r="F18" s="3">
        <f t="shared" si="3"/>
        <v>0.0002102694077</v>
      </c>
      <c r="G18" s="3">
        <f t="shared" si="4"/>
        <v>0</v>
      </c>
      <c r="H18" s="2">
        <f t="shared" si="5"/>
        <v>0</v>
      </c>
      <c r="I18" s="3">
        <f t="shared" si="6"/>
        <v>0</v>
      </c>
      <c r="J18" s="3">
        <f t="shared" si="7"/>
        <v>0</v>
      </c>
      <c r="K18" s="3"/>
      <c r="L18" s="3">
        <f t="shared" si="8"/>
        <v>466.7567824</v>
      </c>
      <c r="M18" s="14">
        <f t="shared" si="9"/>
        <v>462.6008335</v>
      </c>
      <c r="N18" s="14">
        <f t="shared" si="10"/>
        <v>4.155948931</v>
      </c>
      <c r="O18" s="3"/>
      <c r="P18" s="23">
        <f t="shared" si="11"/>
        <v>205.6983336</v>
      </c>
      <c r="Q18" s="14">
        <f t="shared" si="12"/>
        <v>466.7567824</v>
      </c>
      <c r="R18" s="2"/>
      <c r="S18" s="14">
        <f t="shared" si="13"/>
        <v>3.816391822</v>
      </c>
    </row>
    <row r="19">
      <c r="A19" s="11">
        <v>7.0</v>
      </c>
      <c r="B19" s="11">
        <v>1.41942608695652E9</v>
      </c>
      <c r="C19" s="2">
        <v>-102.2162094</v>
      </c>
      <c r="D19" s="3">
        <f t="shared" si="1"/>
        <v>-973913.0435</v>
      </c>
      <c r="E19" s="4">
        <f t="shared" si="2"/>
        <v>204.7800375</v>
      </c>
      <c r="F19" s="3">
        <f t="shared" si="3"/>
        <v>0.000210265217</v>
      </c>
      <c r="G19" s="3">
        <f t="shared" si="4"/>
        <v>0</v>
      </c>
      <c r="H19" s="2">
        <f t="shared" si="5"/>
        <v>0</v>
      </c>
      <c r="I19" s="3">
        <f t="shared" si="6"/>
        <v>0</v>
      </c>
      <c r="J19" s="3">
        <f t="shared" si="7"/>
        <v>0</v>
      </c>
      <c r="K19" s="3"/>
      <c r="L19" s="3">
        <f t="shared" si="8"/>
        <v>456.5467204</v>
      </c>
      <c r="M19" s="14">
        <f t="shared" si="9"/>
        <v>462.5564498</v>
      </c>
      <c r="N19" s="14">
        <f t="shared" si="10"/>
        <v>-6.009729431</v>
      </c>
      <c r="O19" s="3"/>
      <c r="P19" s="23">
        <f t="shared" si="11"/>
        <v>204.7800375</v>
      </c>
      <c r="Q19" s="14">
        <f t="shared" si="12"/>
        <v>456.5467204</v>
      </c>
      <c r="R19" s="2"/>
      <c r="S19" s="14">
        <f t="shared" si="13"/>
        <v>-5.518711295</v>
      </c>
    </row>
    <row r="20">
      <c r="A20" s="11">
        <v>8.0</v>
      </c>
      <c r="B20" s="11">
        <v>1.4194304347826E9</v>
      </c>
      <c r="C20" s="2">
        <v>-102.1626358</v>
      </c>
      <c r="D20" s="3">
        <f t="shared" si="1"/>
        <v>-969565.2174</v>
      </c>
      <c r="E20" s="4">
        <f t="shared" si="2"/>
        <v>203.8617413</v>
      </c>
      <c r="F20" s="3">
        <f t="shared" si="3"/>
        <v>0.0002102609888</v>
      </c>
      <c r="G20" s="3">
        <f t="shared" si="4"/>
        <v>0</v>
      </c>
      <c r="H20" s="2">
        <f t="shared" si="5"/>
        <v>0</v>
      </c>
      <c r="I20" s="3">
        <f t="shared" si="6"/>
        <v>0</v>
      </c>
      <c r="J20" s="3">
        <f t="shared" si="7"/>
        <v>0</v>
      </c>
      <c r="K20" s="3"/>
      <c r="L20" s="3">
        <f t="shared" si="8"/>
        <v>462.213459</v>
      </c>
      <c r="M20" s="14">
        <f t="shared" si="9"/>
        <v>462.5119592</v>
      </c>
      <c r="N20" s="14">
        <f t="shared" si="10"/>
        <v>-0.2985002179</v>
      </c>
      <c r="O20" s="3"/>
      <c r="P20" s="23">
        <f t="shared" si="11"/>
        <v>203.8617413</v>
      </c>
      <c r="Q20" s="14">
        <f t="shared" si="12"/>
        <v>462.213459</v>
      </c>
      <c r="R20" s="2"/>
      <c r="S20" s="14">
        <f t="shared" si="13"/>
        <v>-0.2741115957</v>
      </c>
    </row>
    <row r="21">
      <c r="A21" s="11">
        <v>9.0</v>
      </c>
      <c r="B21" s="11">
        <v>1.41943478260869E9</v>
      </c>
      <c r="C21" s="2">
        <v>-102.1355972</v>
      </c>
      <c r="D21" s="3">
        <f t="shared" si="1"/>
        <v>-965217.3913</v>
      </c>
      <c r="E21" s="4">
        <f t="shared" si="2"/>
        <v>202.9434452</v>
      </c>
      <c r="F21" s="3">
        <f t="shared" si="3"/>
        <v>0.0002102567225</v>
      </c>
      <c r="G21" s="3">
        <f t="shared" si="4"/>
        <v>0</v>
      </c>
      <c r="H21" s="2">
        <f t="shared" si="5"/>
        <v>0</v>
      </c>
      <c r="I21" s="3">
        <f t="shared" si="6"/>
        <v>0</v>
      </c>
      <c r="J21" s="3">
        <f t="shared" si="7"/>
        <v>0</v>
      </c>
      <c r="K21" s="3"/>
      <c r="L21" s="3">
        <f t="shared" si="8"/>
        <v>465.1001155</v>
      </c>
      <c r="M21" s="14">
        <f t="shared" si="9"/>
        <v>462.4673606</v>
      </c>
      <c r="N21" s="14">
        <f t="shared" si="10"/>
        <v>2.632754909</v>
      </c>
      <c r="O21" s="3"/>
      <c r="P21" s="23">
        <f t="shared" si="11"/>
        <v>202.9434452</v>
      </c>
      <c r="Q21" s="14">
        <f t="shared" si="12"/>
        <v>465.1001155</v>
      </c>
      <c r="R21" s="2"/>
      <c r="S21" s="14">
        <f t="shared" si="13"/>
        <v>2.417648652</v>
      </c>
    </row>
    <row r="22">
      <c r="A22" s="11">
        <v>10.0</v>
      </c>
      <c r="B22" s="11">
        <v>1.41943913043478E9</v>
      </c>
      <c r="C22" s="2">
        <v>-102.1533127</v>
      </c>
      <c r="D22" s="3">
        <f t="shared" si="1"/>
        <v>-960869.5652</v>
      </c>
      <c r="E22" s="4">
        <f t="shared" si="2"/>
        <v>202.0251491</v>
      </c>
      <c r="F22" s="3">
        <f t="shared" si="3"/>
        <v>0.0002102524176</v>
      </c>
      <c r="G22" s="3">
        <f t="shared" si="4"/>
        <v>0</v>
      </c>
      <c r="H22" s="2">
        <f t="shared" si="5"/>
        <v>0</v>
      </c>
      <c r="I22" s="3">
        <f t="shared" si="6"/>
        <v>0</v>
      </c>
      <c r="J22" s="3">
        <f t="shared" si="7"/>
        <v>0</v>
      </c>
      <c r="K22" s="3"/>
      <c r="L22" s="3">
        <f t="shared" si="8"/>
        <v>463.2067691</v>
      </c>
      <c r="M22" s="14">
        <f t="shared" si="9"/>
        <v>462.4226529</v>
      </c>
      <c r="N22" s="14">
        <f t="shared" si="10"/>
        <v>0.7841162343</v>
      </c>
      <c r="O22" s="3"/>
      <c r="P22" s="23">
        <f t="shared" si="11"/>
        <v>202.0251491</v>
      </c>
      <c r="Q22" s="14">
        <f t="shared" si="12"/>
        <v>463.2067691</v>
      </c>
      <c r="R22" s="2"/>
      <c r="S22" s="14">
        <f t="shared" si="13"/>
        <v>0.720050904</v>
      </c>
    </row>
    <row r="23">
      <c r="A23" s="11">
        <v>11.0</v>
      </c>
      <c r="B23" s="11">
        <v>1.41944347826087E9</v>
      </c>
      <c r="C23" s="2">
        <v>-102.1940842</v>
      </c>
      <c r="D23" s="3">
        <f t="shared" si="1"/>
        <v>-956521.7391</v>
      </c>
      <c r="E23" s="4">
        <f t="shared" si="2"/>
        <v>201.1068529</v>
      </c>
      <c r="F23" s="3">
        <f t="shared" si="3"/>
        <v>0.0002102480735</v>
      </c>
      <c r="G23" s="3">
        <f t="shared" si="4"/>
        <v>0</v>
      </c>
      <c r="H23" s="2">
        <f t="shared" si="5"/>
        <v>0</v>
      </c>
      <c r="I23" s="3">
        <f t="shared" si="6"/>
        <v>0</v>
      </c>
      <c r="J23" s="3">
        <f t="shared" si="7"/>
        <v>0</v>
      </c>
      <c r="K23" s="3"/>
      <c r="L23" s="3">
        <f t="shared" si="8"/>
        <v>458.8785395</v>
      </c>
      <c r="M23" s="14">
        <f t="shared" si="9"/>
        <v>462.377835</v>
      </c>
      <c r="N23" s="14">
        <f t="shared" si="10"/>
        <v>-3.499295525</v>
      </c>
      <c r="O23" s="3"/>
      <c r="P23" s="23">
        <f t="shared" si="11"/>
        <v>201.1068529</v>
      </c>
      <c r="Q23" s="14">
        <f t="shared" si="12"/>
        <v>458.8785395</v>
      </c>
      <c r="R23" s="2"/>
      <c r="S23" s="14">
        <f t="shared" si="13"/>
        <v>-3.213389548</v>
      </c>
    </row>
    <row r="24">
      <c r="A24" s="11">
        <v>12.0</v>
      </c>
      <c r="B24" s="11">
        <v>1.41944782608695E9</v>
      </c>
      <c r="C24" s="2">
        <v>-102.196373</v>
      </c>
      <c r="D24" s="3">
        <f t="shared" si="1"/>
        <v>-952173.913</v>
      </c>
      <c r="E24" s="4">
        <f t="shared" si="2"/>
        <v>200.1885568</v>
      </c>
      <c r="F24" s="3">
        <f t="shared" si="3"/>
        <v>0.0002102436898</v>
      </c>
      <c r="G24" s="3">
        <f t="shared" si="4"/>
        <v>0</v>
      </c>
      <c r="H24" s="2">
        <f t="shared" si="5"/>
        <v>0</v>
      </c>
      <c r="I24" s="3">
        <f t="shared" si="6"/>
        <v>0</v>
      </c>
      <c r="J24" s="3">
        <f t="shared" si="7"/>
        <v>0</v>
      </c>
      <c r="K24" s="3"/>
      <c r="L24" s="3">
        <f t="shared" si="8"/>
        <v>458.636767</v>
      </c>
      <c r="M24" s="14">
        <f t="shared" si="9"/>
        <v>462.3329059</v>
      </c>
      <c r="N24" s="14">
        <f t="shared" si="10"/>
        <v>-3.69613886</v>
      </c>
      <c r="O24" s="3"/>
      <c r="P24" s="23">
        <f t="shared" si="11"/>
        <v>200.1885568</v>
      </c>
      <c r="Q24" s="14">
        <f t="shared" si="12"/>
        <v>458.636767</v>
      </c>
      <c r="R24" s="2"/>
      <c r="S24" s="14">
        <f t="shared" si="13"/>
        <v>-3.394150022</v>
      </c>
    </row>
    <row r="25">
      <c r="A25" s="11">
        <v>13.0</v>
      </c>
      <c r="B25" s="11">
        <v>1.41945217391304E9</v>
      </c>
      <c r="C25" s="2">
        <v>-102.1264114</v>
      </c>
      <c r="D25" s="3">
        <f t="shared" si="1"/>
        <v>-947826.087</v>
      </c>
      <c r="E25" s="4">
        <f t="shared" si="2"/>
        <v>199.2702607</v>
      </c>
      <c r="F25" s="3">
        <f t="shared" si="3"/>
        <v>0.0002102392658</v>
      </c>
      <c r="G25" s="3">
        <f t="shared" si="4"/>
        <v>0</v>
      </c>
      <c r="H25" s="2">
        <f t="shared" si="5"/>
        <v>0</v>
      </c>
      <c r="I25" s="3">
        <f t="shared" si="6"/>
        <v>0</v>
      </c>
      <c r="J25" s="3">
        <f t="shared" si="7"/>
        <v>0</v>
      </c>
      <c r="K25" s="3"/>
      <c r="L25" s="3">
        <f t="shared" si="8"/>
        <v>466.0848939</v>
      </c>
      <c r="M25" s="14">
        <f t="shared" si="9"/>
        <v>462.2878644</v>
      </c>
      <c r="N25" s="14">
        <f t="shared" si="10"/>
        <v>3.797029454</v>
      </c>
      <c r="O25" s="3"/>
      <c r="P25" s="23">
        <f t="shared" si="11"/>
        <v>199.2702607</v>
      </c>
      <c r="Q25" s="14">
        <f t="shared" si="12"/>
        <v>466.0848939</v>
      </c>
      <c r="R25" s="2"/>
      <c r="S25" s="14">
        <f t="shared" si="13"/>
        <v>3.486797456</v>
      </c>
    </row>
    <row r="26">
      <c r="A26" s="11">
        <v>14.0</v>
      </c>
      <c r="B26" s="11">
        <v>1.41945652173913E9</v>
      </c>
      <c r="C26" s="2">
        <v>-102.1849365</v>
      </c>
      <c r="D26" s="3">
        <f t="shared" si="1"/>
        <v>-943478.2609</v>
      </c>
      <c r="E26" s="4">
        <f t="shared" si="2"/>
        <v>198.3519645</v>
      </c>
      <c r="F26" s="3">
        <f t="shared" si="3"/>
        <v>0.0002102348011</v>
      </c>
      <c r="G26" s="3">
        <f t="shared" si="4"/>
        <v>0</v>
      </c>
      <c r="H26" s="2">
        <f t="shared" si="5"/>
        <v>0</v>
      </c>
      <c r="I26" s="3">
        <f t="shared" si="6"/>
        <v>0</v>
      </c>
      <c r="J26" s="3">
        <f t="shared" si="7"/>
        <v>0</v>
      </c>
      <c r="K26" s="3"/>
      <c r="L26" s="3">
        <f t="shared" si="8"/>
        <v>459.8461104</v>
      </c>
      <c r="M26" s="14">
        <f t="shared" si="9"/>
        <v>462.2427096</v>
      </c>
      <c r="N26" s="14">
        <f t="shared" si="10"/>
        <v>-2.396599149</v>
      </c>
      <c r="O26" s="3"/>
      <c r="P26" s="23">
        <f t="shared" si="11"/>
        <v>198.3519645</v>
      </c>
      <c r="Q26" s="14">
        <f t="shared" si="12"/>
        <v>459.8461104</v>
      </c>
      <c r="R26" s="2"/>
      <c r="S26" s="14">
        <f t="shared" si="13"/>
        <v>-2.20078773</v>
      </c>
    </row>
    <row r="27">
      <c r="A27" s="11">
        <v>15.0</v>
      </c>
      <c r="B27" s="11">
        <v>1.41946086956521E9</v>
      </c>
      <c r="C27" s="2">
        <v>-102.1238708</v>
      </c>
      <c r="D27" s="3">
        <f t="shared" si="1"/>
        <v>-939130.4348</v>
      </c>
      <c r="E27" s="4">
        <f t="shared" si="2"/>
        <v>197.4336684</v>
      </c>
      <c r="F27" s="3">
        <f t="shared" si="3"/>
        <v>0.0002102302951</v>
      </c>
      <c r="G27" s="3">
        <f t="shared" si="4"/>
        <v>0</v>
      </c>
      <c r="H27" s="2">
        <f t="shared" si="5"/>
        <v>0</v>
      </c>
      <c r="I27" s="3">
        <f t="shared" si="6"/>
        <v>0</v>
      </c>
      <c r="J27" s="3">
        <f t="shared" si="7"/>
        <v>0</v>
      </c>
      <c r="K27" s="3"/>
      <c r="L27" s="3">
        <f t="shared" si="8"/>
        <v>466.3576309</v>
      </c>
      <c r="M27" s="14">
        <f t="shared" si="9"/>
        <v>462.1974402</v>
      </c>
      <c r="N27" s="14">
        <f t="shared" si="10"/>
        <v>4.160190619</v>
      </c>
      <c r="O27" s="3"/>
      <c r="P27" s="23">
        <f t="shared" si="11"/>
        <v>197.4336684</v>
      </c>
      <c r="Q27" s="14">
        <f t="shared" si="12"/>
        <v>466.3576309</v>
      </c>
      <c r="R27" s="2"/>
      <c r="S27" s="14">
        <f t="shared" si="13"/>
        <v>3.820286957</v>
      </c>
    </row>
    <row r="28">
      <c r="A28" s="11">
        <v>16.0</v>
      </c>
      <c r="B28" s="11">
        <v>1.4194652173913E9</v>
      </c>
      <c r="C28" s="2">
        <v>-102.1683502</v>
      </c>
      <c r="D28" s="3">
        <f t="shared" si="1"/>
        <v>-934782.6087</v>
      </c>
      <c r="E28" s="4">
        <f t="shared" si="2"/>
        <v>196.5153723</v>
      </c>
      <c r="F28" s="3">
        <f t="shared" si="3"/>
        <v>0.0002102257471</v>
      </c>
      <c r="G28" s="3">
        <f t="shared" si="4"/>
        <v>0</v>
      </c>
      <c r="H28" s="2">
        <f t="shared" si="5"/>
        <v>0</v>
      </c>
      <c r="I28" s="3">
        <f t="shared" si="6"/>
        <v>0</v>
      </c>
      <c r="J28" s="3">
        <f t="shared" si="7"/>
        <v>0</v>
      </c>
      <c r="K28" s="3"/>
      <c r="L28" s="3">
        <f t="shared" si="8"/>
        <v>461.6056835</v>
      </c>
      <c r="M28" s="14">
        <f t="shared" si="9"/>
        <v>462.1520554</v>
      </c>
      <c r="N28" s="14">
        <f t="shared" si="10"/>
        <v>-0.5463719099</v>
      </c>
      <c r="O28" s="3"/>
      <c r="P28" s="23">
        <f t="shared" si="11"/>
        <v>196.5153723</v>
      </c>
      <c r="Q28" s="14">
        <f t="shared" si="12"/>
        <v>461.6056835</v>
      </c>
      <c r="R28" s="2"/>
      <c r="S28" s="14">
        <f t="shared" si="13"/>
        <v>-0.5017312107</v>
      </c>
    </row>
    <row r="29">
      <c r="A29" s="11">
        <v>17.0</v>
      </c>
      <c r="B29" s="11">
        <v>1.41946956521739E9</v>
      </c>
      <c r="C29" s="2">
        <v>-102.2587585</v>
      </c>
      <c r="D29" s="3">
        <f t="shared" si="1"/>
        <v>-930434.7826</v>
      </c>
      <c r="E29" s="4">
        <f t="shared" si="2"/>
        <v>195.5970761</v>
      </c>
      <c r="F29" s="3">
        <f t="shared" si="3"/>
        <v>0.0002102211566</v>
      </c>
      <c r="G29" s="3">
        <f t="shared" si="4"/>
        <v>0</v>
      </c>
      <c r="H29" s="2">
        <f t="shared" si="5"/>
        <v>0</v>
      </c>
      <c r="I29" s="3">
        <f t="shared" si="6"/>
        <v>0</v>
      </c>
      <c r="J29" s="3">
        <f t="shared" si="7"/>
        <v>0</v>
      </c>
      <c r="K29" s="3"/>
      <c r="L29" s="3">
        <f t="shared" si="8"/>
        <v>452.0956386</v>
      </c>
      <c r="M29" s="14">
        <f t="shared" si="9"/>
        <v>462.1065539</v>
      </c>
      <c r="N29" s="14">
        <f t="shared" si="10"/>
        <v>-10.01091529</v>
      </c>
      <c r="O29" s="3"/>
      <c r="P29" s="23">
        <f t="shared" si="11"/>
        <v>195.5970761</v>
      </c>
      <c r="Q29" s="14">
        <f t="shared" si="12"/>
        <v>452.0956386</v>
      </c>
      <c r="R29" s="2"/>
      <c r="S29" s="14">
        <f t="shared" si="13"/>
        <v>-9.192984796</v>
      </c>
    </row>
    <row r="30">
      <c r="A30" s="11">
        <v>18.0</v>
      </c>
      <c r="B30" s="11">
        <v>1.41947391304347E9</v>
      </c>
      <c r="C30" s="2">
        <v>-102.218956</v>
      </c>
      <c r="D30" s="3">
        <f t="shared" si="1"/>
        <v>-926086.9565</v>
      </c>
      <c r="E30" s="4">
        <f t="shared" si="2"/>
        <v>194.67878</v>
      </c>
      <c r="F30" s="3">
        <f t="shared" si="3"/>
        <v>0.000210216523</v>
      </c>
      <c r="G30" s="3">
        <f t="shared" si="4"/>
        <v>0</v>
      </c>
      <c r="H30" s="2">
        <f t="shared" si="5"/>
        <v>0</v>
      </c>
      <c r="I30" s="3">
        <f t="shared" si="6"/>
        <v>0</v>
      </c>
      <c r="J30" s="3">
        <f t="shared" si="7"/>
        <v>0</v>
      </c>
      <c r="K30" s="3"/>
      <c r="L30" s="3">
        <f t="shared" si="8"/>
        <v>456.2580787</v>
      </c>
      <c r="M30" s="14">
        <f t="shared" si="9"/>
        <v>462.0609347</v>
      </c>
      <c r="N30" s="14">
        <f t="shared" si="10"/>
        <v>-5.802855953</v>
      </c>
      <c r="O30" s="3"/>
      <c r="P30" s="23">
        <f t="shared" si="11"/>
        <v>194.67878</v>
      </c>
      <c r="Q30" s="14">
        <f t="shared" si="12"/>
        <v>456.2580787</v>
      </c>
      <c r="R30" s="2"/>
      <c r="S30" s="14">
        <f t="shared" si="13"/>
        <v>-5.328740181</v>
      </c>
    </row>
    <row r="31">
      <c r="A31" s="11">
        <v>19.0</v>
      </c>
      <c r="B31" s="11">
        <v>1.41947826086956E9</v>
      </c>
      <c r="C31" s="2">
        <v>-102.1645203</v>
      </c>
      <c r="D31" s="3">
        <f t="shared" si="1"/>
        <v>-921739.1304</v>
      </c>
      <c r="E31" s="4">
        <f t="shared" si="2"/>
        <v>193.7604839</v>
      </c>
      <c r="F31" s="3">
        <f t="shared" si="3"/>
        <v>0.0002102118457</v>
      </c>
      <c r="G31" s="3">
        <f t="shared" si="4"/>
        <v>0</v>
      </c>
      <c r="H31" s="2">
        <f t="shared" si="5"/>
        <v>0</v>
      </c>
      <c r="I31" s="3">
        <f t="shared" si="6"/>
        <v>0</v>
      </c>
      <c r="J31" s="3">
        <f t="shared" si="7"/>
        <v>0</v>
      </c>
      <c r="K31" s="3"/>
      <c r="L31" s="3">
        <f t="shared" si="8"/>
        <v>462.0129379</v>
      </c>
      <c r="M31" s="14">
        <f t="shared" si="9"/>
        <v>462.0151967</v>
      </c>
      <c r="N31" s="14">
        <f t="shared" si="10"/>
        <v>-0.002258880748</v>
      </c>
      <c r="O31" s="3"/>
      <c r="P31" s="23">
        <f t="shared" si="11"/>
        <v>193.7604839</v>
      </c>
      <c r="Q31" s="14">
        <f t="shared" si="12"/>
        <v>462.0129379</v>
      </c>
      <c r="R31" s="2"/>
      <c r="S31" s="14">
        <f t="shared" si="13"/>
        <v>-0.002074321451</v>
      </c>
    </row>
    <row r="32">
      <c r="A32" s="11">
        <v>20.0</v>
      </c>
      <c r="B32" s="11">
        <v>1.41948260869565E9</v>
      </c>
      <c r="C32" s="2">
        <v>-102.1689377</v>
      </c>
      <c r="D32" s="3">
        <f t="shared" si="1"/>
        <v>-917391.3043</v>
      </c>
      <c r="E32" s="4">
        <f t="shared" si="2"/>
        <v>192.8421878</v>
      </c>
      <c r="F32" s="3">
        <f t="shared" si="3"/>
        <v>0.0002102071241</v>
      </c>
      <c r="G32" s="3">
        <f t="shared" si="4"/>
        <v>0</v>
      </c>
      <c r="H32" s="2">
        <f t="shared" si="5"/>
        <v>0</v>
      </c>
      <c r="I32" s="3">
        <f t="shared" si="6"/>
        <v>0</v>
      </c>
      <c r="J32" s="3">
        <f t="shared" si="7"/>
        <v>0</v>
      </c>
      <c r="K32" s="3"/>
      <c r="L32" s="3">
        <f t="shared" si="8"/>
        <v>461.5432431</v>
      </c>
      <c r="M32" s="14">
        <f t="shared" si="9"/>
        <v>461.9693389</v>
      </c>
      <c r="N32" s="14">
        <f t="shared" si="10"/>
        <v>-0.4260958213</v>
      </c>
      <c r="O32" s="3"/>
      <c r="P32" s="23">
        <f t="shared" si="11"/>
        <v>192.8421878</v>
      </c>
      <c r="Q32" s="14">
        <f t="shared" si="12"/>
        <v>461.5432431</v>
      </c>
      <c r="R32" s="2"/>
      <c r="S32" s="14">
        <f t="shared" si="13"/>
        <v>-0.3912821449</v>
      </c>
    </row>
    <row r="33">
      <c r="A33" s="11">
        <v>21.0</v>
      </c>
      <c r="B33" s="11">
        <v>1.41948695652173E9</v>
      </c>
      <c r="C33" s="2">
        <v>-102.1806259</v>
      </c>
      <c r="D33" s="3">
        <f t="shared" si="1"/>
        <v>-913043.4783</v>
      </c>
      <c r="E33" s="4">
        <f t="shared" si="2"/>
        <v>191.9238916</v>
      </c>
      <c r="F33" s="3">
        <f t="shared" si="3"/>
        <v>0.0002102023575</v>
      </c>
      <c r="G33" s="3">
        <f t="shared" si="4"/>
        <v>0</v>
      </c>
      <c r="H33" s="2">
        <f t="shared" si="5"/>
        <v>0</v>
      </c>
      <c r="I33" s="3">
        <f t="shared" si="6"/>
        <v>0</v>
      </c>
      <c r="J33" s="3">
        <f t="shared" si="7"/>
        <v>0</v>
      </c>
      <c r="K33" s="3"/>
      <c r="L33" s="3">
        <f t="shared" si="8"/>
        <v>460.3027583</v>
      </c>
      <c r="M33" s="14">
        <f t="shared" si="9"/>
        <v>461.9233602</v>
      </c>
      <c r="N33" s="14">
        <f t="shared" si="10"/>
        <v>-1.620601878</v>
      </c>
      <c r="O33" s="3"/>
      <c r="P33" s="23">
        <f t="shared" si="11"/>
        <v>191.9238916</v>
      </c>
      <c r="Q33" s="14">
        <f t="shared" si="12"/>
        <v>460.3027583</v>
      </c>
      <c r="R33" s="2"/>
      <c r="S33" s="14">
        <f t="shared" si="13"/>
        <v>-1.488192437</v>
      </c>
    </row>
    <row r="34">
      <c r="A34" s="11">
        <v>22.0</v>
      </c>
      <c r="B34" s="11">
        <v>1.41949130434782E9</v>
      </c>
      <c r="C34" s="2">
        <v>-102.2058563</v>
      </c>
      <c r="D34" s="3">
        <f t="shared" si="1"/>
        <v>-908695.6522</v>
      </c>
      <c r="E34" s="4">
        <f t="shared" si="2"/>
        <v>191.0055955</v>
      </c>
      <c r="F34" s="3">
        <f t="shared" si="3"/>
        <v>0.0002101975453</v>
      </c>
      <c r="G34" s="3">
        <f t="shared" si="4"/>
        <v>0</v>
      </c>
      <c r="H34" s="2">
        <f t="shared" si="5"/>
        <v>0</v>
      </c>
      <c r="I34" s="3">
        <f t="shared" si="6"/>
        <v>0</v>
      </c>
      <c r="J34" s="3">
        <f t="shared" si="7"/>
        <v>0</v>
      </c>
      <c r="K34" s="3"/>
      <c r="L34" s="3">
        <f t="shared" si="8"/>
        <v>457.6363756</v>
      </c>
      <c r="M34" s="14">
        <f t="shared" si="9"/>
        <v>461.8772595</v>
      </c>
      <c r="N34" s="14">
        <f t="shared" si="10"/>
        <v>-4.240883914</v>
      </c>
      <c r="O34" s="3"/>
      <c r="P34" s="23">
        <f t="shared" si="11"/>
        <v>191.0055955</v>
      </c>
      <c r="Q34" s="14">
        <f t="shared" si="12"/>
        <v>457.6363756</v>
      </c>
      <c r="R34" s="2"/>
      <c r="S34" s="14">
        <f t="shared" si="13"/>
        <v>-3.894387298</v>
      </c>
    </row>
    <row r="35">
      <c r="A35" s="11">
        <v>23.0</v>
      </c>
      <c r="B35" s="11">
        <v>1.41949565217391E9</v>
      </c>
      <c r="C35" s="2">
        <v>-102.1423645</v>
      </c>
      <c r="D35" s="3">
        <f t="shared" si="1"/>
        <v>-904347.8261</v>
      </c>
      <c r="E35" s="4">
        <f t="shared" si="2"/>
        <v>190.0872994</v>
      </c>
      <c r="F35" s="3">
        <f t="shared" si="3"/>
        <v>0.0002101926868</v>
      </c>
      <c r="G35" s="3">
        <f t="shared" si="4"/>
        <v>0</v>
      </c>
      <c r="H35" s="2">
        <f t="shared" si="5"/>
        <v>0</v>
      </c>
      <c r="I35" s="3">
        <f t="shared" si="6"/>
        <v>0</v>
      </c>
      <c r="J35" s="3">
        <f t="shared" si="7"/>
        <v>0</v>
      </c>
      <c r="K35" s="3"/>
      <c r="L35" s="3">
        <f t="shared" si="8"/>
        <v>464.3759477</v>
      </c>
      <c r="M35" s="14">
        <f t="shared" si="9"/>
        <v>461.8310357</v>
      </c>
      <c r="N35" s="14">
        <f t="shared" si="10"/>
        <v>2.544911974</v>
      </c>
      <c r="O35" s="3"/>
      <c r="P35" s="23">
        <f t="shared" si="11"/>
        <v>190.0872994</v>
      </c>
      <c r="Q35" s="14">
        <f t="shared" si="12"/>
        <v>464.3759477</v>
      </c>
      <c r="R35" s="2"/>
      <c r="S35" s="14">
        <f t="shared" si="13"/>
        <v>2.336982818</v>
      </c>
    </row>
    <row r="36">
      <c r="A36" s="11">
        <v>24.0</v>
      </c>
      <c r="B36" s="11">
        <v>1.4195E9</v>
      </c>
      <c r="C36" s="2">
        <v>-102.1618881</v>
      </c>
      <c r="D36" s="3">
        <f t="shared" si="1"/>
        <v>-900000</v>
      </c>
      <c r="E36" s="4">
        <f t="shared" si="2"/>
        <v>189.1690032</v>
      </c>
      <c r="F36" s="3">
        <f t="shared" si="3"/>
        <v>0.0002101877814</v>
      </c>
      <c r="G36" s="3">
        <f t="shared" si="4"/>
        <v>0</v>
      </c>
      <c r="H36" s="2">
        <f t="shared" si="5"/>
        <v>0</v>
      </c>
      <c r="I36" s="3">
        <f t="shared" si="6"/>
        <v>0</v>
      </c>
      <c r="J36" s="3">
        <f t="shared" si="7"/>
        <v>0</v>
      </c>
      <c r="K36" s="3"/>
      <c r="L36" s="3">
        <f t="shared" si="8"/>
        <v>462.2930425</v>
      </c>
      <c r="M36" s="14">
        <f t="shared" si="9"/>
        <v>461.7846877</v>
      </c>
      <c r="N36" s="14">
        <f t="shared" si="10"/>
        <v>0.508354771</v>
      </c>
      <c r="O36" s="3"/>
      <c r="P36" s="23">
        <f t="shared" si="11"/>
        <v>189.1690032</v>
      </c>
      <c r="Q36" s="14">
        <f t="shared" si="12"/>
        <v>462.2930425</v>
      </c>
      <c r="R36" s="2"/>
      <c r="S36" s="14">
        <f t="shared" si="13"/>
        <v>0.4668202203</v>
      </c>
    </row>
    <row r="37">
      <c r="A37" s="11">
        <v>25.0</v>
      </c>
      <c r="B37" s="11">
        <v>1.41950434782608E9</v>
      </c>
      <c r="C37" s="2">
        <v>-102.1509094</v>
      </c>
      <c r="D37" s="3">
        <f t="shared" si="1"/>
        <v>-895652.1739</v>
      </c>
      <c r="E37" s="4">
        <f t="shared" si="2"/>
        <v>188.2507071</v>
      </c>
      <c r="F37" s="3">
        <f t="shared" si="3"/>
        <v>0.0002101828283</v>
      </c>
      <c r="G37" s="3">
        <f t="shared" si="4"/>
        <v>0</v>
      </c>
      <c r="H37" s="2">
        <f t="shared" si="5"/>
        <v>0</v>
      </c>
      <c r="I37" s="3">
        <f t="shared" si="6"/>
        <v>0</v>
      </c>
      <c r="J37" s="3">
        <f t="shared" si="7"/>
        <v>0</v>
      </c>
      <c r="K37" s="3"/>
      <c r="L37" s="3">
        <f t="shared" si="8"/>
        <v>463.4631696</v>
      </c>
      <c r="M37" s="14">
        <f t="shared" si="9"/>
        <v>461.7382146</v>
      </c>
      <c r="N37" s="14">
        <f t="shared" si="10"/>
        <v>1.724954975</v>
      </c>
      <c r="O37" s="3"/>
      <c r="P37" s="23">
        <f t="shared" si="11"/>
        <v>188.2507071</v>
      </c>
      <c r="Q37" s="14">
        <f t="shared" si="12"/>
        <v>463.4631696</v>
      </c>
      <c r="R37" s="2"/>
      <c r="S37" s="14">
        <f t="shared" si="13"/>
        <v>1.584019483</v>
      </c>
    </row>
    <row r="38">
      <c r="A38" s="11">
        <v>26.0</v>
      </c>
      <c r="B38" s="11">
        <v>1.41950869565217E9</v>
      </c>
      <c r="C38" s="2">
        <v>-102.1718292</v>
      </c>
      <c r="D38" s="3">
        <f t="shared" si="1"/>
        <v>-891304.3478</v>
      </c>
      <c r="E38" s="4">
        <f t="shared" si="2"/>
        <v>187.332411</v>
      </c>
      <c r="F38" s="3">
        <f t="shared" si="3"/>
        <v>0.0002101778269</v>
      </c>
      <c r="G38" s="3">
        <f t="shared" si="4"/>
        <v>0</v>
      </c>
      <c r="H38" s="2">
        <f t="shared" si="5"/>
        <v>0</v>
      </c>
      <c r="I38" s="3">
        <f t="shared" si="6"/>
        <v>0</v>
      </c>
      <c r="J38" s="3">
        <f t="shared" si="7"/>
        <v>0</v>
      </c>
      <c r="K38" s="3"/>
      <c r="L38" s="3">
        <f t="shared" si="8"/>
        <v>461.2360534</v>
      </c>
      <c r="M38" s="14">
        <f t="shared" si="9"/>
        <v>461.6916151</v>
      </c>
      <c r="N38" s="14">
        <f t="shared" si="10"/>
        <v>-0.4555617465</v>
      </c>
      <c r="O38" s="3"/>
      <c r="P38" s="23">
        <f t="shared" si="11"/>
        <v>187.332411</v>
      </c>
      <c r="Q38" s="14">
        <f t="shared" si="12"/>
        <v>461.2360534</v>
      </c>
      <c r="R38" s="2"/>
      <c r="S38" s="14">
        <f t="shared" si="13"/>
        <v>-0.4183405891</v>
      </c>
    </row>
    <row r="39">
      <c r="A39" s="11">
        <v>27.0</v>
      </c>
      <c r="B39" s="11">
        <v>1.41951304347826E9</v>
      </c>
      <c r="C39" s="2">
        <v>-102.1500778</v>
      </c>
      <c r="D39" s="3">
        <f t="shared" si="1"/>
        <v>-886956.5217</v>
      </c>
      <c r="E39" s="4">
        <f t="shared" si="2"/>
        <v>186.4141148</v>
      </c>
      <c r="F39" s="3">
        <f t="shared" si="3"/>
        <v>0.0002101727765</v>
      </c>
      <c r="G39" s="3">
        <f t="shared" si="4"/>
        <v>0</v>
      </c>
      <c r="H39" s="2">
        <f t="shared" si="5"/>
        <v>0</v>
      </c>
      <c r="I39" s="3">
        <f t="shared" si="6"/>
        <v>0</v>
      </c>
      <c r="J39" s="3">
        <f t="shared" si="7"/>
        <v>0</v>
      </c>
      <c r="K39" s="3"/>
      <c r="L39" s="3">
        <f t="shared" si="8"/>
        <v>463.5519234</v>
      </c>
      <c r="M39" s="14">
        <f t="shared" si="9"/>
        <v>461.6448883</v>
      </c>
      <c r="N39" s="14">
        <f t="shared" si="10"/>
        <v>1.90703508</v>
      </c>
      <c r="O39" s="3"/>
      <c r="P39" s="23">
        <f t="shared" si="11"/>
        <v>186.4141148</v>
      </c>
      <c r="Q39" s="14">
        <f t="shared" si="12"/>
        <v>463.5519234</v>
      </c>
      <c r="R39" s="2"/>
      <c r="S39" s="14">
        <f t="shared" si="13"/>
        <v>1.751222939</v>
      </c>
    </row>
    <row r="40">
      <c r="A40" s="11">
        <v>28.0</v>
      </c>
      <c r="B40" s="11">
        <v>1.41951739130434E9</v>
      </c>
      <c r="C40" s="2">
        <v>-102.1694107</v>
      </c>
      <c r="D40" s="3">
        <f t="shared" si="1"/>
        <v>-882608.6957</v>
      </c>
      <c r="E40" s="4">
        <f t="shared" si="2"/>
        <v>185.4958187</v>
      </c>
      <c r="F40" s="3">
        <f t="shared" si="3"/>
        <v>0.0002101676763</v>
      </c>
      <c r="G40" s="3">
        <f t="shared" si="4"/>
        <v>0</v>
      </c>
      <c r="H40" s="2">
        <f t="shared" si="5"/>
        <v>0</v>
      </c>
      <c r="I40" s="3">
        <f t="shared" si="6"/>
        <v>0</v>
      </c>
      <c r="J40" s="3">
        <f t="shared" si="7"/>
        <v>0</v>
      </c>
      <c r="K40" s="3"/>
      <c r="L40" s="3">
        <f t="shared" si="8"/>
        <v>461.4929781</v>
      </c>
      <c r="M40" s="14">
        <f t="shared" si="9"/>
        <v>461.598033</v>
      </c>
      <c r="N40" s="14">
        <f t="shared" si="10"/>
        <v>-0.1050548659</v>
      </c>
      <c r="O40" s="3"/>
      <c r="P40" s="23">
        <f t="shared" si="11"/>
        <v>185.4958187</v>
      </c>
      <c r="Q40" s="14">
        <f t="shared" si="12"/>
        <v>461.4929781</v>
      </c>
      <c r="R40" s="2"/>
      <c r="S40" s="14">
        <f t="shared" si="13"/>
        <v>-0.09647147705</v>
      </c>
    </row>
    <row r="41">
      <c r="A41" s="11">
        <v>29.0</v>
      </c>
      <c r="B41" s="11">
        <v>1.41952173913043E9</v>
      </c>
      <c r="C41" s="2">
        <v>-102.2051773</v>
      </c>
      <c r="D41" s="3">
        <f t="shared" si="1"/>
        <v>-878260.8696</v>
      </c>
      <c r="E41" s="4">
        <f t="shared" si="2"/>
        <v>184.5775226</v>
      </c>
      <c r="F41" s="3">
        <f t="shared" si="3"/>
        <v>0.0002101625257</v>
      </c>
      <c r="G41" s="3">
        <f t="shared" si="4"/>
        <v>0</v>
      </c>
      <c r="H41" s="2">
        <f t="shared" si="5"/>
        <v>0</v>
      </c>
      <c r="I41" s="3">
        <f t="shared" si="6"/>
        <v>0</v>
      </c>
      <c r="J41" s="3">
        <f t="shared" si="7"/>
        <v>0</v>
      </c>
      <c r="K41" s="3"/>
      <c r="L41" s="3">
        <f t="shared" si="8"/>
        <v>457.7079306</v>
      </c>
      <c r="M41" s="14">
        <f t="shared" si="9"/>
        <v>461.5510482</v>
      </c>
      <c r="N41" s="14">
        <f t="shared" si="10"/>
        <v>-3.84311762</v>
      </c>
      <c r="O41" s="3"/>
      <c r="P41" s="23">
        <f t="shared" si="11"/>
        <v>184.5775226</v>
      </c>
      <c r="Q41" s="14">
        <f t="shared" si="12"/>
        <v>457.7079306</v>
      </c>
      <c r="R41" s="2"/>
      <c r="S41" s="14">
        <f t="shared" si="13"/>
        <v>-3.52912004</v>
      </c>
    </row>
    <row r="42">
      <c r="A42" s="11">
        <v>30.0</v>
      </c>
      <c r="B42" s="11">
        <v>1.41952608695652E9</v>
      </c>
      <c r="C42" s="2">
        <v>-102.08992</v>
      </c>
      <c r="D42" s="3">
        <f t="shared" si="1"/>
        <v>-873913.0435</v>
      </c>
      <c r="E42" s="4">
        <f t="shared" si="2"/>
        <v>183.6592264</v>
      </c>
      <c r="F42" s="3">
        <f t="shared" si="3"/>
        <v>0.0002101573238</v>
      </c>
      <c r="G42" s="3">
        <f t="shared" si="4"/>
        <v>0</v>
      </c>
      <c r="H42" s="2">
        <f t="shared" si="5"/>
        <v>0</v>
      </c>
      <c r="I42" s="3">
        <f t="shared" si="6"/>
        <v>0</v>
      </c>
      <c r="J42" s="3">
        <f t="shared" si="7"/>
        <v>0</v>
      </c>
      <c r="K42" s="3"/>
      <c r="L42" s="3">
        <f t="shared" si="8"/>
        <v>470.0176507</v>
      </c>
      <c r="M42" s="14">
        <f t="shared" si="9"/>
        <v>461.5039328</v>
      </c>
      <c r="N42" s="14">
        <f t="shared" si="10"/>
        <v>8.513717877</v>
      </c>
      <c r="O42" s="3"/>
      <c r="P42" s="23">
        <f t="shared" si="11"/>
        <v>183.6592264</v>
      </c>
      <c r="Q42" s="14">
        <f t="shared" si="12"/>
        <v>470.0176507</v>
      </c>
      <c r="R42" s="2"/>
      <c r="S42" s="14">
        <f t="shared" si="13"/>
        <v>7.818114202</v>
      </c>
    </row>
    <row r="43">
      <c r="A43" s="11">
        <v>31.0</v>
      </c>
      <c r="B43" s="11">
        <v>1.4195304347826E9</v>
      </c>
      <c r="C43" s="2">
        <v>-102.1482239</v>
      </c>
      <c r="D43" s="3">
        <f t="shared" si="1"/>
        <v>-869565.2174</v>
      </c>
      <c r="E43" s="4">
        <f t="shared" si="2"/>
        <v>182.7409303</v>
      </c>
      <c r="F43" s="3">
        <f t="shared" si="3"/>
        <v>0.0002101520698</v>
      </c>
      <c r="G43" s="3">
        <f t="shared" si="4"/>
        <v>0</v>
      </c>
      <c r="H43" s="2">
        <f t="shared" si="5"/>
        <v>0</v>
      </c>
      <c r="I43" s="3">
        <f t="shared" si="6"/>
        <v>0</v>
      </c>
      <c r="J43" s="3">
        <f t="shared" si="7"/>
        <v>0</v>
      </c>
      <c r="K43" s="3"/>
      <c r="L43" s="3">
        <f t="shared" si="8"/>
        <v>463.7498449</v>
      </c>
      <c r="M43" s="14">
        <f t="shared" si="9"/>
        <v>461.4566857</v>
      </c>
      <c r="N43" s="14">
        <f t="shared" si="10"/>
        <v>2.293159206</v>
      </c>
      <c r="O43" s="3"/>
      <c r="P43" s="23">
        <f t="shared" si="11"/>
        <v>182.7409303</v>
      </c>
      <c r="Q43" s="14">
        <f t="shared" si="12"/>
        <v>463.7498449</v>
      </c>
      <c r="R43" s="2"/>
      <c r="S43" s="14">
        <f t="shared" si="13"/>
        <v>2.10579923</v>
      </c>
    </row>
    <row r="44">
      <c r="A44" s="11">
        <v>32.0</v>
      </c>
      <c r="B44" s="11">
        <v>1.41953478260869E9</v>
      </c>
      <c r="C44" s="2">
        <v>-102.2120895</v>
      </c>
      <c r="D44" s="3">
        <f t="shared" si="1"/>
        <v>-865217.3913</v>
      </c>
      <c r="E44" s="4">
        <f t="shared" si="2"/>
        <v>181.8226342</v>
      </c>
      <c r="F44" s="3">
        <f t="shared" si="3"/>
        <v>0.0002101467631</v>
      </c>
      <c r="G44" s="3">
        <f t="shared" si="4"/>
        <v>0</v>
      </c>
      <c r="H44" s="2">
        <f t="shared" si="5"/>
        <v>0</v>
      </c>
      <c r="I44" s="3">
        <f t="shared" si="6"/>
        <v>0</v>
      </c>
      <c r="J44" s="3">
        <f t="shared" si="7"/>
        <v>0</v>
      </c>
      <c r="K44" s="3"/>
      <c r="L44" s="3">
        <f t="shared" si="8"/>
        <v>456.9800253</v>
      </c>
      <c r="M44" s="14">
        <f t="shared" si="9"/>
        <v>461.4093059</v>
      </c>
      <c r="N44" s="14">
        <f t="shared" si="10"/>
        <v>-4.429280567</v>
      </c>
      <c r="O44" s="3"/>
      <c r="P44" s="23">
        <f t="shared" si="11"/>
        <v>181.8226342</v>
      </c>
      <c r="Q44" s="14">
        <f t="shared" si="12"/>
        <v>456.9800253</v>
      </c>
      <c r="R44" s="2"/>
      <c r="S44" s="14">
        <f t="shared" si="13"/>
        <v>-4.067391216</v>
      </c>
    </row>
    <row r="45">
      <c r="A45" s="11">
        <v>33.0</v>
      </c>
      <c r="B45" s="11">
        <v>1.41953913043478E9</v>
      </c>
      <c r="C45" s="2">
        <v>-102.1678543</v>
      </c>
      <c r="D45" s="3">
        <f t="shared" si="1"/>
        <v>-860869.5652</v>
      </c>
      <c r="E45" s="4">
        <f t="shared" si="2"/>
        <v>180.904338</v>
      </c>
      <c r="F45" s="3">
        <f t="shared" si="3"/>
        <v>0.0002101414028</v>
      </c>
      <c r="G45" s="3">
        <f t="shared" si="4"/>
        <v>0</v>
      </c>
      <c r="H45" s="2">
        <f t="shared" si="5"/>
        <v>0</v>
      </c>
      <c r="I45" s="3">
        <f t="shared" si="6"/>
        <v>0</v>
      </c>
      <c r="J45" s="3">
        <f t="shared" si="7"/>
        <v>0</v>
      </c>
      <c r="K45" s="3"/>
      <c r="L45" s="3">
        <f t="shared" si="8"/>
        <v>461.658395</v>
      </c>
      <c r="M45" s="14">
        <f t="shared" si="9"/>
        <v>461.3617922</v>
      </c>
      <c r="N45" s="14">
        <f t="shared" si="10"/>
        <v>0.2966027883</v>
      </c>
      <c r="O45" s="3"/>
      <c r="P45" s="23">
        <f t="shared" si="11"/>
        <v>180.904338</v>
      </c>
      <c r="Q45" s="14">
        <f t="shared" si="12"/>
        <v>461.658395</v>
      </c>
      <c r="R45" s="2"/>
      <c r="S45" s="14">
        <f t="shared" si="13"/>
        <v>0.2723691928</v>
      </c>
    </row>
    <row r="46">
      <c r="A46" s="11">
        <v>34.0</v>
      </c>
      <c r="B46" s="11">
        <v>1.41954347826087E9</v>
      </c>
      <c r="C46" s="2">
        <v>-102.1623077</v>
      </c>
      <c r="D46" s="3">
        <f t="shared" si="1"/>
        <v>-856521.7391</v>
      </c>
      <c r="E46" s="4">
        <f t="shared" si="2"/>
        <v>179.9860419</v>
      </c>
      <c r="F46" s="3">
        <f t="shared" si="3"/>
        <v>0.000210135988</v>
      </c>
      <c r="G46" s="3">
        <f t="shared" si="4"/>
        <v>0</v>
      </c>
      <c r="H46" s="2">
        <f t="shared" si="5"/>
        <v>0</v>
      </c>
      <c r="I46" s="3">
        <f t="shared" si="6"/>
        <v>0</v>
      </c>
      <c r="J46" s="3">
        <f t="shared" si="7"/>
        <v>0</v>
      </c>
      <c r="K46" s="3"/>
      <c r="L46" s="3">
        <f t="shared" si="8"/>
        <v>462.2483796</v>
      </c>
      <c r="M46" s="14">
        <f t="shared" si="9"/>
        <v>461.3141437</v>
      </c>
      <c r="N46" s="14">
        <f t="shared" si="10"/>
        <v>0.9342358802</v>
      </c>
      <c r="O46" s="3"/>
      <c r="P46" s="23">
        <f t="shared" si="11"/>
        <v>179.9860419</v>
      </c>
      <c r="Q46" s="14">
        <f t="shared" si="12"/>
        <v>462.2483796</v>
      </c>
      <c r="R46" s="2"/>
      <c r="S46" s="14">
        <f t="shared" si="13"/>
        <v>0.8579051959</v>
      </c>
    </row>
    <row r="47">
      <c r="A47" s="11">
        <v>35.0</v>
      </c>
      <c r="B47" s="11">
        <v>1.41954782608695E9</v>
      </c>
      <c r="C47" s="2">
        <v>-102.1995163</v>
      </c>
      <c r="D47" s="3">
        <f t="shared" si="1"/>
        <v>-852173.913</v>
      </c>
      <c r="E47" s="4">
        <f t="shared" si="2"/>
        <v>179.0677458</v>
      </c>
      <c r="F47" s="3">
        <f t="shared" si="3"/>
        <v>0.000210130518</v>
      </c>
      <c r="G47" s="3">
        <f t="shared" si="4"/>
        <v>0</v>
      </c>
      <c r="H47" s="2">
        <f t="shared" si="5"/>
        <v>0</v>
      </c>
      <c r="I47" s="3">
        <f t="shared" si="6"/>
        <v>0</v>
      </c>
      <c r="J47" s="3">
        <f t="shared" si="7"/>
        <v>0</v>
      </c>
      <c r="K47" s="3"/>
      <c r="L47" s="3">
        <f t="shared" si="8"/>
        <v>458.3049389</v>
      </c>
      <c r="M47" s="14">
        <f t="shared" si="9"/>
        <v>461.2663591</v>
      </c>
      <c r="N47" s="14">
        <f t="shared" si="10"/>
        <v>-2.961420292</v>
      </c>
      <c r="O47" s="3"/>
      <c r="P47" s="23">
        <f t="shared" si="11"/>
        <v>179.0677458</v>
      </c>
      <c r="Q47" s="14">
        <f t="shared" si="12"/>
        <v>458.3049389</v>
      </c>
      <c r="R47" s="2"/>
      <c r="S47" s="14">
        <f t="shared" si="13"/>
        <v>-2.719460802</v>
      </c>
    </row>
    <row r="48">
      <c r="A48" s="11">
        <v>36.0</v>
      </c>
      <c r="B48" s="11">
        <v>1.41955217391304E9</v>
      </c>
      <c r="C48" s="2">
        <v>-102.1823807</v>
      </c>
      <c r="D48" s="3">
        <f t="shared" si="1"/>
        <v>-847826.087</v>
      </c>
      <c r="E48" s="4">
        <f t="shared" si="2"/>
        <v>178.1494496</v>
      </c>
      <c r="F48" s="3">
        <f t="shared" si="3"/>
        <v>0.0002101249919</v>
      </c>
      <c r="G48" s="3">
        <f t="shared" si="4"/>
        <v>0</v>
      </c>
      <c r="H48" s="2">
        <f t="shared" si="5"/>
        <v>0</v>
      </c>
      <c r="I48" s="3">
        <f t="shared" si="6"/>
        <v>0</v>
      </c>
      <c r="J48" s="3">
        <f t="shared" si="7"/>
        <v>0</v>
      </c>
      <c r="K48" s="3"/>
      <c r="L48" s="3">
        <f t="shared" si="8"/>
        <v>460.1168071</v>
      </c>
      <c r="M48" s="14">
        <f t="shared" si="9"/>
        <v>461.2184376</v>
      </c>
      <c r="N48" s="14">
        <f t="shared" si="10"/>
        <v>-1.101630516</v>
      </c>
      <c r="O48" s="3"/>
      <c r="P48" s="23">
        <f t="shared" si="11"/>
        <v>178.1494496</v>
      </c>
      <c r="Q48" s="14">
        <f t="shared" si="12"/>
        <v>460.1168071</v>
      </c>
      <c r="R48" s="2"/>
      <c r="S48" s="14">
        <f t="shared" si="13"/>
        <v>-1.01162304</v>
      </c>
    </row>
    <row r="49">
      <c r="A49" s="11">
        <v>37.0</v>
      </c>
      <c r="B49" s="11">
        <v>1.41955652173913E9</v>
      </c>
      <c r="C49" s="2">
        <v>-102.1620712</v>
      </c>
      <c r="D49" s="3">
        <f t="shared" si="1"/>
        <v>-843478.2609</v>
      </c>
      <c r="E49" s="4">
        <f t="shared" si="2"/>
        <v>177.2311535</v>
      </c>
      <c r="F49" s="3">
        <f t="shared" si="3"/>
        <v>0.0002101194088</v>
      </c>
      <c r="G49" s="3">
        <f t="shared" si="4"/>
        <v>0</v>
      </c>
      <c r="H49" s="2">
        <f t="shared" si="5"/>
        <v>0</v>
      </c>
      <c r="I49" s="3">
        <f t="shared" si="6"/>
        <v>0</v>
      </c>
      <c r="J49" s="3">
        <f t="shared" si="7"/>
        <v>0</v>
      </c>
      <c r="K49" s="3"/>
      <c r="L49" s="3">
        <f t="shared" si="8"/>
        <v>462.2735525</v>
      </c>
      <c r="M49" s="14">
        <f t="shared" si="9"/>
        <v>461.1703779</v>
      </c>
      <c r="N49" s="14">
        <f t="shared" si="10"/>
        <v>1.103174621</v>
      </c>
      <c r="O49" s="3"/>
      <c r="P49" s="23">
        <f t="shared" si="11"/>
        <v>177.2311535</v>
      </c>
      <c r="Q49" s="14">
        <f t="shared" si="12"/>
        <v>462.2735525</v>
      </c>
      <c r="R49" s="2"/>
      <c r="S49" s="14">
        <f t="shared" si="13"/>
        <v>1.013040988</v>
      </c>
    </row>
    <row r="50">
      <c r="A50" s="11">
        <v>38.0</v>
      </c>
      <c r="B50" s="11">
        <v>1.41956086956521E9</v>
      </c>
      <c r="C50" s="2">
        <v>-102.139473</v>
      </c>
      <c r="D50" s="3">
        <f t="shared" si="1"/>
        <v>-839130.4348</v>
      </c>
      <c r="E50" s="4">
        <f t="shared" si="2"/>
        <v>176.3128574</v>
      </c>
      <c r="F50" s="3">
        <f t="shared" si="3"/>
        <v>0.0002101137678</v>
      </c>
      <c r="G50" s="3">
        <f t="shared" si="4"/>
        <v>0</v>
      </c>
      <c r="H50" s="2">
        <f t="shared" si="5"/>
        <v>0</v>
      </c>
      <c r="I50" s="3">
        <f t="shared" si="6"/>
        <v>0</v>
      </c>
      <c r="J50" s="3">
        <f t="shared" si="7"/>
        <v>0</v>
      </c>
      <c r="K50" s="3"/>
      <c r="L50" s="3">
        <f t="shared" si="8"/>
        <v>464.6852286</v>
      </c>
      <c r="M50" s="14">
        <f t="shared" si="9"/>
        <v>461.122179</v>
      </c>
      <c r="N50" s="14">
        <f t="shared" si="10"/>
        <v>3.563049642</v>
      </c>
      <c r="O50" s="3"/>
      <c r="P50" s="23">
        <f t="shared" si="11"/>
        <v>176.3128574</v>
      </c>
      <c r="Q50" s="14">
        <f t="shared" si="12"/>
        <v>464.6852286</v>
      </c>
      <c r="R50" s="2"/>
      <c r="S50" s="14">
        <f t="shared" si="13"/>
        <v>3.271934708</v>
      </c>
    </row>
    <row r="51">
      <c r="A51" s="11">
        <v>39.0</v>
      </c>
      <c r="B51" s="11">
        <v>1.4195652173913E9</v>
      </c>
      <c r="C51" s="2">
        <v>-102.1654434</v>
      </c>
      <c r="D51" s="3">
        <f t="shared" si="1"/>
        <v>-834782.6087</v>
      </c>
      <c r="E51" s="4">
        <f t="shared" si="2"/>
        <v>175.3945612</v>
      </c>
      <c r="F51" s="3">
        <f t="shared" si="3"/>
        <v>0.0002101080681</v>
      </c>
      <c r="G51" s="3">
        <f t="shared" si="4"/>
        <v>0</v>
      </c>
      <c r="H51" s="2">
        <f t="shared" si="5"/>
        <v>0</v>
      </c>
      <c r="I51" s="3">
        <f t="shared" si="6"/>
        <v>0</v>
      </c>
      <c r="J51" s="3">
        <f t="shared" si="7"/>
        <v>0</v>
      </c>
      <c r="K51" s="3"/>
      <c r="L51" s="3">
        <f t="shared" si="8"/>
        <v>461.9147467</v>
      </c>
      <c r="M51" s="14">
        <f t="shared" si="9"/>
        <v>461.0738398</v>
      </c>
      <c r="N51" s="14">
        <f t="shared" si="10"/>
        <v>0.8409068831</v>
      </c>
      <c r="O51" s="3"/>
      <c r="P51" s="23">
        <f t="shared" si="11"/>
        <v>175.3945612</v>
      </c>
      <c r="Q51" s="14">
        <f t="shared" si="12"/>
        <v>461.9147467</v>
      </c>
      <c r="R51" s="2"/>
      <c r="S51" s="14">
        <f t="shared" si="13"/>
        <v>0.7722015369</v>
      </c>
    </row>
    <row r="52">
      <c r="A52" s="11">
        <v>40.0</v>
      </c>
      <c r="B52" s="11">
        <v>1.41956956521739E9</v>
      </c>
      <c r="C52" s="2">
        <v>-102.1238403</v>
      </c>
      <c r="D52" s="3">
        <f t="shared" si="1"/>
        <v>-830434.7826</v>
      </c>
      <c r="E52" s="4">
        <f t="shared" si="2"/>
        <v>174.4762651</v>
      </c>
      <c r="F52" s="3">
        <f t="shared" si="3"/>
        <v>0.0002101023088</v>
      </c>
      <c r="G52" s="3">
        <f t="shared" si="4"/>
        <v>0</v>
      </c>
      <c r="H52" s="2">
        <f t="shared" si="5"/>
        <v>0</v>
      </c>
      <c r="I52" s="3">
        <f t="shared" si="6"/>
        <v>0</v>
      </c>
      <c r="J52" s="3">
        <f t="shared" si="7"/>
        <v>0</v>
      </c>
      <c r="K52" s="3"/>
      <c r="L52" s="3">
        <f t="shared" si="8"/>
        <v>466.360906</v>
      </c>
      <c r="M52" s="14">
        <f t="shared" si="9"/>
        <v>461.0253593</v>
      </c>
      <c r="N52" s="14">
        <f t="shared" si="10"/>
        <v>5.33554676</v>
      </c>
      <c r="O52" s="3"/>
      <c r="P52" s="23">
        <f t="shared" si="11"/>
        <v>174.4762651</v>
      </c>
      <c r="Q52" s="14">
        <f t="shared" si="12"/>
        <v>466.360906</v>
      </c>
      <c r="R52" s="2"/>
      <c r="S52" s="14">
        <f t="shared" si="13"/>
        <v>4.899611956</v>
      </c>
    </row>
    <row r="53">
      <c r="A53" s="11">
        <v>41.0</v>
      </c>
      <c r="B53" s="11">
        <v>1.41957391304347E9</v>
      </c>
      <c r="C53" s="2">
        <v>-102.1604919</v>
      </c>
      <c r="D53" s="3">
        <f t="shared" si="1"/>
        <v>-826086.9565</v>
      </c>
      <c r="E53" s="4">
        <f t="shared" si="2"/>
        <v>173.557969</v>
      </c>
      <c r="F53" s="3">
        <f t="shared" si="3"/>
        <v>0.0002100964888</v>
      </c>
      <c r="G53" s="3">
        <f t="shared" si="4"/>
        <v>0</v>
      </c>
      <c r="H53" s="2">
        <f t="shared" si="5"/>
        <v>0</v>
      </c>
      <c r="I53" s="3">
        <f t="shared" si="6"/>
        <v>0</v>
      </c>
      <c r="J53" s="3">
        <f t="shared" si="7"/>
        <v>0</v>
      </c>
      <c r="K53" s="3"/>
      <c r="L53" s="3">
        <f t="shared" si="8"/>
        <v>462.4416876</v>
      </c>
      <c r="M53" s="14">
        <f t="shared" si="9"/>
        <v>460.9767363</v>
      </c>
      <c r="N53" s="14">
        <f t="shared" si="10"/>
        <v>1.464951235</v>
      </c>
      <c r="O53" s="3"/>
      <c r="P53" s="23">
        <f t="shared" si="11"/>
        <v>173.557969</v>
      </c>
      <c r="Q53" s="14">
        <f t="shared" si="12"/>
        <v>462.4416876</v>
      </c>
      <c r="R53" s="2"/>
      <c r="S53" s="14">
        <f t="shared" si="13"/>
        <v>1.345259054</v>
      </c>
    </row>
    <row r="54">
      <c r="A54" s="11">
        <v>42.0</v>
      </c>
      <c r="B54" s="11">
        <v>1.41957826086956E9</v>
      </c>
      <c r="C54" s="2">
        <v>-102.243782</v>
      </c>
      <c r="D54" s="3">
        <f t="shared" si="1"/>
        <v>-821739.1304</v>
      </c>
      <c r="E54" s="4">
        <f t="shared" si="2"/>
        <v>172.6396728</v>
      </c>
      <c r="F54" s="3">
        <f t="shared" si="3"/>
        <v>0.0002100906072</v>
      </c>
      <c r="G54" s="3">
        <f t="shared" si="4"/>
        <v>0</v>
      </c>
      <c r="H54" s="2">
        <f t="shared" si="5"/>
        <v>0</v>
      </c>
      <c r="I54" s="3">
        <f t="shared" si="6"/>
        <v>0</v>
      </c>
      <c r="J54" s="3">
        <f t="shared" si="7"/>
        <v>0</v>
      </c>
      <c r="K54" s="3"/>
      <c r="L54" s="3">
        <f t="shared" si="8"/>
        <v>453.6573665</v>
      </c>
      <c r="M54" s="14">
        <f t="shared" si="9"/>
        <v>460.9279699</v>
      </c>
      <c r="N54" s="14">
        <f t="shared" si="10"/>
        <v>-7.270603374</v>
      </c>
      <c r="O54" s="3"/>
      <c r="P54" s="23">
        <f t="shared" si="11"/>
        <v>172.6396728</v>
      </c>
      <c r="Q54" s="14">
        <f t="shared" si="12"/>
        <v>453.6573665</v>
      </c>
      <c r="R54" s="2"/>
      <c r="S54" s="14">
        <f t="shared" si="13"/>
        <v>-6.676566946</v>
      </c>
    </row>
    <row r="55">
      <c r="A55" s="11">
        <v>43.0</v>
      </c>
      <c r="B55" s="11">
        <v>1.41958260869565E9</v>
      </c>
      <c r="C55" s="2">
        <v>-102.132309</v>
      </c>
      <c r="D55" s="3">
        <f t="shared" si="1"/>
        <v>-817391.3043</v>
      </c>
      <c r="E55" s="4">
        <f t="shared" si="2"/>
        <v>171.7213767</v>
      </c>
      <c r="F55" s="3">
        <f t="shared" si="3"/>
        <v>0.000210084663</v>
      </c>
      <c r="G55" s="3">
        <f t="shared" si="4"/>
        <v>0</v>
      </c>
      <c r="H55" s="2">
        <f t="shared" si="5"/>
        <v>0</v>
      </c>
      <c r="I55" s="3">
        <f t="shared" si="6"/>
        <v>0</v>
      </c>
      <c r="J55" s="3">
        <f t="shared" si="7"/>
        <v>0</v>
      </c>
      <c r="K55" s="3"/>
      <c r="L55" s="3">
        <f t="shared" si="8"/>
        <v>465.4523929</v>
      </c>
      <c r="M55" s="14">
        <f t="shared" si="9"/>
        <v>460.8790589</v>
      </c>
      <c r="N55" s="14">
        <f t="shared" si="10"/>
        <v>4.573334039</v>
      </c>
      <c r="O55" s="3"/>
      <c r="P55" s="23">
        <f t="shared" si="11"/>
        <v>171.7213767</v>
      </c>
      <c r="Q55" s="14">
        <f t="shared" si="12"/>
        <v>465.4523929</v>
      </c>
      <c r="R55" s="2"/>
      <c r="S55" s="14">
        <f t="shared" si="13"/>
        <v>4.199674962</v>
      </c>
    </row>
    <row r="56">
      <c r="A56" s="11">
        <v>44.0</v>
      </c>
      <c r="B56" s="11">
        <v>1.41958695652173E9</v>
      </c>
      <c r="C56" s="2">
        <v>-102.2016754</v>
      </c>
      <c r="D56" s="3">
        <f t="shared" si="1"/>
        <v>-813043.4783</v>
      </c>
      <c r="E56" s="4">
        <f t="shared" si="2"/>
        <v>170.8030806</v>
      </c>
      <c r="F56" s="3">
        <f t="shared" si="3"/>
        <v>0.0002100786553</v>
      </c>
      <c r="G56" s="3">
        <f t="shared" si="4"/>
        <v>0</v>
      </c>
      <c r="H56" s="2">
        <f t="shared" si="5"/>
        <v>0</v>
      </c>
      <c r="I56" s="3">
        <f t="shared" si="6"/>
        <v>0</v>
      </c>
      <c r="J56" s="3">
        <f t="shared" si="7"/>
        <v>0</v>
      </c>
      <c r="K56" s="3"/>
      <c r="L56" s="3">
        <f t="shared" si="8"/>
        <v>458.0771487</v>
      </c>
      <c r="M56" s="14">
        <f t="shared" si="9"/>
        <v>460.8300022</v>
      </c>
      <c r="N56" s="14">
        <f t="shared" si="10"/>
        <v>-2.752853553</v>
      </c>
      <c r="O56" s="3"/>
      <c r="P56" s="23">
        <f t="shared" si="11"/>
        <v>170.8030806</v>
      </c>
      <c r="Q56" s="14">
        <f t="shared" si="12"/>
        <v>458.0771487</v>
      </c>
      <c r="R56" s="2"/>
      <c r="S56" s="14">
        <f t="shared" si="13"/>
        <v>-2.527934772</v>
      </c>
    </row>
    <row r="57">
      <c r="A57" s="11">
        <v>45.0</v>
      </c>
      <c r="B57" s="11">
        <v>1.41959130434782E9</v>
      </c>
      <c r="C57" s="2">
        <v>-102.121376</v>
      </c>
      <c r="D57" s="3">
        <f t="shared" si="1"/>
        <v>-808695.6522</v>
      </c>
      <c r="E57" s="4">
        <f t="shared" si="2"/>
        <v>169.8847844</v>
      </c>
      <c r="F57" s="3">
        <f t="shared" si="3"/>
        <v>0.0002100725829</v>
      </c>
      <c r="G57" s="3">
        <f t="shared" si="4"/>
        <v>0</v>
      </c>
      <c r="H57" s="2">
        <f t="shared" si="5"/>
        <v>0</v>
      </c>
      <c r="I57" s="3">
        <f t="shared" si="6"/>
        <v>0</v>
      </c>
      <c r="J57" s="3">
        <f t="shared" si="7"/>
        <v>0</v>
      </c>
      <c r="K57" s="3"/>
      <c r="L57" s="3">
        <f t="shared" si="8"/>
        <v>466.6256065</v>
      </c>
      <c r="M57" s="14">
        <f t="shared" si="9"/>
        <v>460.7807988</v>
      </c>
      <c r="N57" s="14">
        <f t="shared" si="10"/>
        <v>5.844807651</v>
      </c>
      <c r="O57" s="3"/>
      <c r="P57" s="23">
        <f t="shared" si="11"/>
        <v>169.8847844</v>
      </c>
      <c r="Q57" s="14">
        <f t="shared" si="12"/>
        <v>466.6256065</v>
      </c>
      <c r="R57" s="2"/>
      <c r="S57" s="14">
        <f t="shared" si="13"/>
        <v>5.367264263</v>
      </c>
    </row>
    <row r="58">
      <c r="A58" s="11">
        <v>46.0</v>
      </c>
      <c r="B58" s="11">
        <v>1.41959565217391E9</v>
      </c>
      <c r="C58" s="2">
        <v>-102.1739883</v>
      </c>
      <c r="D58" s="3">
        <f t="shared" si="1"/>
        <v>-804347.8261</v>
      </c>
      <c r="E58" s="4">
        <f t="shared" si="2"/>
        <v>168.9664883</v>
      </c>
      <c r="F58" s="3">
        <f t="shared" si="3"/>
        <v>0.0002100664449</v>
      </c>
      <c r="G58" s="3">
        <f t="shared" si="4"/>
        <v>0</v>
      </c>
      <c r="H58" s="2">
        <f t="shared" si="5"/>
        <v>0</v>
      </c>
      <c r="I58" s="3">
        <f t="shared" si="6"/>
        <v>0</v>
      </c>
      <c r="J58" s="3">
        <f t="shared" si="7"/>
        <v>0</v>
      </c>
      <c r="K58" s="3"/>
      <c r="L58" s="3">
        <f t="shared" si="8"/>
        <v>461.0068063</v>
      </c>
      <c r="M58" s="14">
        <f t="shared" si="9"/>
        <v>460.7314476</v>
      </c>
      <c r="N58" s="14">
        <f t="shared" si="10"/>
        <v>0.2753587059</v>
      </c>
      <c r="O58" s="3"/>
      <c r="P58" s="23">
        <f t="shared" si="11"/>
        <v>168.9664883</v>
      </c>
      <c r="Q58" s="14">
        <f t="shared" si="12"/>
        <v>461.0068063</v>
      </c>
      <c r="R58" s="2"/>
      <c r="S58" s="14">
        <f t="shared" si="13"/>
        <v>0.2528608341</v>
      </c>
    </row>
    <row r="59">
      <c r="A59" s="11">
        <v>47.0</v>
      </c>
      <c r="B59" s="11">
        <v>1.4196E9</v>
      </c>
      <c r="C59" s="2">
        <v>-102.1968384</v>
      </c>
      <c r="D59" s="3">
        <f t="shared" si="1"/>
        <v>-800000</v>
      </c>
      <c r="E59" s="4">
        <f t="shared" si="2"/>
        <v>168.0481922</v>
      </c>
      <c r="F59" s="3">
        <f t="shared" si="3"/>
        <v>0.0002100602402</v>
      </c>
      <c r="G59" s="3">
        <f t="shared" si="4"/>
        <v>0</v>
      </c>
      <c r="H59" s="2">
        <f t="shared" si="5"/>
        <v>0</v>
      </c>
      <c r="I59" s="3">
        <f t="shared" si="6"/>
        <v>0</v>
      </c>
      <c r="J59" s="3">
        <f t="shared" si="7"/>
        <v>0</v>
      </c>
      <c r="K59" s="3"/>
      <c r="L59" s="3">
        <f t="shared" si="8"/>
        <v>458.5876211</v>
      </c>
      <c r="M59" s="14">
        <f t="shared" si="9"/>
        <v>460.6819475</v>
      </c>
      <c r="N59" s="14">
        <f t="shared" si="10"/>
        <v>-2.09432648</v>
      </c>
      <c r="O59" s="3"/>
      <c r="P59" s="23">
        <f t="shared" si="11"/>
        <v>168.0481922</v>
      </c>
      <c r="Q59" s="14">
        <f t="shared" si="12"/>
        <v>458.5876211</v>
      </c>
      <c r="R59" s="2"/>
      <c r="S59" s="14">
        <f t="shared" si="13"/>
        <v>-1.923211907</v>
      </c>
    </row>
    <row r="60">
      <c r="A60" s="11">
        <v>48.0</v>
      </c>
      <c r="B60" s="11">
        <v>1.41960434782608E9</v>
      </c>
      <c r="C60" s="2">
        <v>-102.1392136</v>
      </c>
      <c r="D60" s="3">
        <f t="shared" si="1"/>
        <v>-795652.1739</v>
      </c>
      <c r="E60" s="4">
        <f t="shared" si="2"/>
        <v>167.129896</v>
      </c>
      <c r="F60" s="3">
        <f t="shared" si="3"/>
        <v>0.0002100539677</v>
      </c>
      <c r="G60" s="3">
        <f t="shared" si="4"/>
        <v>0</v>
      </c>
      <c r="H60" s="2">
        <f t="shared" si="5"/>
        <v>0</v>
      </c>
      <c r="I60" s="3">
        <f t="shared" si="6"/>
        <v>0</v>
      </c>
      <c r="J60" s="3">
        <f t="shared" si="7"/>
        <v>0</v>
      </c>
      <c r="K60" s="3"/>
      <c r="L60" s="3">
        <f t="shared" si="8"/>
        <v>464.7129847</v>
      </c>
      <c r="M60" s="14">
        <f t="shared" si="9"/>
        <v>460.6322975</v>
      </c>
      <c r="N60" s="14">
        <f t="shared" si="10"/>
        <v>4.080687136</v>
      </c>
      <c r="O60" s="3"/>
      <c r="P60" s="23">
        <f t="shared" si="11"/>
        <v>167.129896</v>
      </c>
      <c r="Q60" s="14">
        <f t="shared" si="12"/>
        <v>464.7129847</v>
      </c>
      <c r="R60" s="2"/>
      <c r="S60" s="14">
        <f t="shared" si="13"/>
        <v>3.747279216</v>
      </c>
    </row>
    <row r="61">
      <c r="A61" s="11">
        <v>49.0</v>
      </c>
      <c r="B61" s="11">
        <v>1.41960869565217E9</v>
      </c>
      <c r="C61" s="2">
        <v>-102.1775055</v>
      </c>
      <c r="D61" s="3">
        <f t="shared" si="1"/>
        <v>-791304.3478</v>
      </c>
      <c r="E61" s="4">
        <f t="shared" si="2"/>
        <v>166.2115999</v>
      </c>
      <c r="F61" s="3">
        <f t="shared" si="3"/>
        <v>0.0002100476263</v>
      </c>
      <c r="G61" s="3">
        <f t="shared" si="4"/>
        <v>0</v>
      </c>
      <c r="H61" s="2">
        <f t="shared" si="5"/>
        <v>0</v>
      </c>
      <c r="I61" s="3">
        <f t="shared" si="6"/>
        <v>0</v>
      </c>
      <c r="J61" s="3">
        <f t="shared" si="7"/>
        <v>0</v>
      </c>
      <c r="K61" s="3"/>
      <c r="L61" s="3">
        <f t="shared" si="8"/>
        <v>460.6336041</v>
      </c>
      <c r="M61" s="14">
        <f t="shared" si="9"/>
        <v>460.5824965</v>
      </c>
      <c r="N61" s="14">
        <f t="shared" si="10"/>
        <v>0.05110760532</v>
      </c>
      <c r="O61" s="3"/>
      <c r="P61" s="23">
        <f t="shared" si="11"/>
        <v>166.2115999</v>
      </c>
      <c r="Q61" s="14">
        <f t="shared" si="12"/>
        <v>460.6336041</v>
      </c>
      <c r="R61" s="2"/>
      <c r="S61" s="14">
        <f t="shared" si="13"/>
        <v>0.04693191621</v>
      </c>
    </row>
    <row r="62">
      <c r="A62" s="11">
        <v>50.0</v>
      </c>
      <c r="B62" s="11">
        <v>1.41961304347826E9</v>
      </c>
      <c r="C62" s="2">
        <v>-102.1795731</v>
      </c>
      <c r="D62" s="3">
        <f t="shared" si="1"/>
        <v>-786956.5217</v>
      </c>
      <c r="E62" s="4">
        <f t="shared" si="2"/>
        <v>165.2933038</v>
      </c>
      <c r="F62" s="3">
        <f t="shared" si="3"/>
        <v>0.0002100412148</v>
      </c>
      <c r="G62" s="3">
        <f t="shared" si="4"/>
        <v>0</v>
      </c>
      <c r="H62" s="2">
        <f t="shared" si="5"/>
        <v>0</v>
      </c>
      <c r="I62" s="3">
        <f t="shared" si="6"/>
        <v>0</v>
      </c>
      <c r="J62" s="3">
        <f t="shared" si="7"/>
        <v>0</v>
      </c>
      <c r="K62" s="3"/>
      <c r="L62" s="3">
        <f t="shared" si="8"/>
        <v>460.4143567</v>
      </c>
      <c r="M62" s="14">
        <f t="shared" si="9"/>
        <v>460.5325433</v>
      </c>
      <c r="N62" s="14">
        <f t="shared" si="10"/>
        <v>-0.1181866474</v>
      </c>
      <c r="O62" s="3"/>
      <c r="P62" s="23">
        <f t="shared" si="11"/>
        <v>165.2933038</v>
      </c>
      <c r="Q62" s="14">
        <f t="shared" si="12"/>
        <v>460.4143567</v>
      </c>
      <c r="R62" s="2"/>
      <c r="S62" s="14">
        <f t="shared" si="13"/>
        <v>-0.1085303412</v>
      </c>
    </row>
    <row r="63">
      <c r="A63" s="11">
        <v>51.0</v>
      </c>
      <c r="B63" s="11">
        <v>1.41961739130434E9</v>
      </c>
      <c r="C63" s="2">
        <v>-102.2202835</v>
      </c>
      <c r="D63" s="3">
        <f t="shared" si="1"/>
        <v>-782608.6957</v>
      </c>
      <c r="E63" s="4">
        <f t="shared" si="2"/>
        <v>164.3750077</v>
      </c>
      <c r="F63" s="3">
        <f t="shared" si="3"/>
        <v>0.000210034732</v>
      </c>
      <c r="G63" s="3">
        <f t="shared" si="4"/>
        <v>0</v>
      </c>
      <c r="H63" s="2">
        <f t="shared" si="5"/>
        <v>0</v>
      </c>
      <c r="I63" s="3">
        <f t="shared" si="6"/>
        <v>0</v>
      </c>
      <c r="J63" s="3">
        <f t="shared" si="7"/>
        <v>0</v>
      </c>
      <c r="K63" s="3"/>
      <c r="L63" s="3">
        <f t="shared" si="8"/>
        <v>456.1186365</v>
      </c>
      <c r="M63" s="14">
        <f t="shared" si="9"/>
        <v>460.482437</v>
      </c>
      <c r="N63" s="14">
        <f t="shared" si="10"/>
        <v>-4.36380052</v>
      </c>
      <c r="O63" s="3"/>
      <c r="P63" s="23">
        <f t="shared" si="11"/>
        <v>164.3750077</v>
      </c>
      <c r="Q63" s="14">
        <f t="shared" si="12"/>
        <v>456.1186365</v>
      </c>
      <c r="R63" s="2"/>
      <c r="S63" s="14">
        <f t="shared" si="13"/>
        <v>-4.007261142</v>
      </c>
    </row>
    <row r="64">
      <c r="A64" s="11">
        <v>52.0</v>
      </c>
      <c r="B64" s="11">
        <v>1.41962173913043E9</v>
      </c>
      <c r="C64" s="2">
        <v>-102.1718826</v>
      </c>
      <c r="D64" s="3">
        <f t="shared" si="1"/>
        <v>-778260.8696</v>
      </c>
      <c r="E64" s="4">
        <f t="shared" si="2"/>
        <v>163.4567115</v>
      </c>
      <c r="F64" s="3">
        <f t="shared" si="3"/>
        <v>0.0002100281768</v>
      </c>
      <c r="G64" s="3">
        <f t="shared" si="4"/>
        <v>0</v>
      </c>
      <c r="H64" s="2">
        <f t="shared" si="5"/>
        <v>0</v>
      </c>
      <c r="I64" s="3">
        <f t="shared" si="6"/>
        <v>0</v>
      </c>
      <c r="J64" s="3">
        <f t="shared" si="7"/>
        <v>0</v>
      </c>
      <c r="K64" s="3"/>
      <c r="L64" s="3">
        <f t="shared" si="8"/>
        <v>461.2303821</v>
      </c>
      <c r="M64" s="14">
        <f t="shared" si="9"/>
        <v>460.4321764</v>
      </c>
      <c r="N64" s="14">
        <f t="shared" si="10"/>
        <v>0.7982057038</v>
      </c>
      <c r="O64" s="3"/>
      <c r="P64" s="23">
        <f t="shared" si="11"/>
        <v>163.4567115</v>
      </c>
      <c r="Q64" s="14">
        <f t="shared" si="12"/>
        <v>461.2303821</v>
      </c>
      <c r="R64" s="2"/>
      <c r="S64" s="14">
        <f t="shared" si="13"/>
        <v>0.7329892093</v>
      </c>
    </row>
    <row r="65">
      <c r="A65" s="11">
        <v>53.0</v>
      </c>
      <c r="B65" s="11">
        <v>1.41962608695652E9</v>
      </c>
      <c r="C65" s="2">
        <v>-102.1900406</v>
      </c>
      <c r="D65" s="3">
        <f t="shared" si="1"/>
        <v>-773913.0435</v>
      </c>
      <c r="E65" s="4">
        <f t="shared" si="2"/>
        <v>162.5384154</v>
      </c>
      <c r="F65" s="3">
        <f t="shared" si="3"/>
        <v>0.000210021548</v>
      </c>
      <c r="G65" s="3">
        <f t="shared" si="4"/>
        <v>0</v>
      </c>
      <c r="H65" s="2">
        <f t="shared" si="5"/>
        <v>0</v>
      </c>
      <c r="I65" s="3">
        <f t="shared" si="6"/>
        <v>0</v>
      </c>
      <c r="J65" s="3">
        <f t="shared" si="7"/>
        <v>0</v>
      </c>
      <c r="K65" s="3"/>
      <c r="L65" s="3">
        <f t="shared" si="8"/>
        <v>459.305988</v>
      </c>
      <c r="M65" s="14">
        <f t="shared" si="9"/>
        <v>460.3817605</v>
      </c>
      <c r="N65" s="14">
        <f t="shared" si="10"/>
        <v>-1.075772527</v>
      </c>
      <c r="O65" s="3"/>
      <c r="P65" s="23">
        <f t="shared" si="11"/>
        <v>162.5384154</v>
      </c>
      <c r="Q65" s="14">
        <f t="shared" si="12"/>
        <v>459.305988</v>
      </c>
      <c r="R65" s="2"/>
      <c r="S65" s="14">
        <f t="shared" si="13"/>
        <v>-0.9878777517</v>
      </c>
    </row>
    <row r="66">
      <c r="A66" s="11">
        <v>54.0</v>
      </c>
      <c r="B66" s="11">
        <v>1.4196304347826E9</v>
      </c>
      <c r="C66" s="2">
        <v>-102.1773376</v>
      </c>
      <c r="D66" s="3">
        <f t="shared" si="1"/>
        <v>-769565.2174</v>
      </c>
      <c r="E66" s="4">
        <f t="shared" si="2"/>
        <v>161.6201193</v>
      </c>
      <c r="F66" s="3">
        <f t="shared" si="3"/>
        <v>0.0002100148442</v>
      </c>
      <c r="G66" s="3">
        <f t="shared" si="4"/>
        <v>0</v>
      </c>
      <c r="H66" s="2">
        <f t="shared" si="5"/>
        <v>0</v>
      </c>
      <c r="I66" s="3">
        <f t="shared" si="6"/>
        <v>0</v>
      </c>
      <c r="J66" s="3">
        <f t="shared" si="7"/>
        <v>0</v>
      </c>
      <c r="K66" s="3"/>
      <c r="L66" s="3">
        <f t="shared" si="8"/>
        <v>460.6514127</v>
      </c>
      <c r="M66" s="14">
        <f t="shared" si="9"/>
        <v>460.3311882</v>
      </c>
      <c r="N66" s="14">
        <f t="shared" si="10"/>
        <v>0.3202244838</v>
      </c>
      <c r="O66" s="3"/>
      <c r="P66" s="23">
        <f t="shared" si="11"/>
        <v>161.6201193</v>
      </c>
      <c r="Q66" s="14">
        <f t="shared" si="12"/>
        <v>460.6514127</v>
      </c>
      <c r="R66" s="2"/>
      <c r="S66" s="14">
        <f t="shared" si="13"/>
        <v>0.294060905</v>
      </c>
    </row>
    <row r="67">
      <c r="A67" s="11">
        <v>55.0</v>
      </c>
      <c r="B67" s="11">
        <v>1.41963478260869E9</v>
      </c>
      <c r="C67" s="2">
        <v>-102.2046204</v>
      </c>
      <c r="D67" s="3">
        <f t="shared" si="1"/>
        <v>-765217.3913</v>
      </c>
      <c r="E67" s="4">
        <f t="shared" si="2"/>
        <v>160.7018231</v>
      </c>
      <c r="F67" s="3">
        <f t="shared" si="3"/>
        <v>0.0002100080643</v>
      </c>
      <c r="G67" s="3">
        <f t="shared" si="4"/>
        <v>0</v>
      </c>
      <c r="H67" s="2">
        <f t="shared" si="5"/>
        <v>0</v>
      </c>
      <c r="I67" s="3">
        <f t="shared" si="6"/>
        <v>0</v>
      </c>
      <c r="J67" s="3">
        <f t="shared" si="7"/>
        <v>0</v>
      </c>
      <c r="K67" s="3"/>
      <c r="L67" s="3">
        <f t="shared" si="8"/>
        <v>457.7666267</v>
      </c>
      <c r="M67" s="14">
        <f t="shared" si="9"/>
        <v>460.2804584</v>
      </c>
      <c r="N67" s="14">
        <f t="shared" si="10"/>
        <v>-2.513831789</v>
      </c>
      <c r="O67" s="3"/>
      <c r="P67" s="23">
        <f t="shared" si="11"/>
        <v>160.7018231</v>
      </c>
      <c r="Q67" s="14">
        <f t="shared" si="12"/>
        <v>457.7666267</v>
      </c>
      <c r="R67" s="2"/>
      <c r="S67" s="14">
        <f t="shared" si="13"/>
        <v>-2.30844201</v>
      </c>
    </row>
    <row r="68">
      <c r="A68" s="11">
        <v>56.0</v>
      </c>
      <c r="B68" s="11">
        <v>1.41963913043478E9</v>
      </c>
      <c r="C68" s="2">
        <v>-102.1782608</v>
      </c>
      <c r="D68" s="24">
        <f t="shared" si="1"/>
        <v>-760869.5652</v>
      </c>
      <c r="E68" s="25">
        <f t="shared" si="2"/>
        <v>159.783527</v>
      </c>
      <c r="F68" s="24">
        <f t="shared" si="3"/>
        <v>0.0002100012069</v>
      </c>
      <c r="G68" s="24">
        <f t="shared" si="4"/>
        <v>0</v>
      </c>
      <c r="H68" s="26">
        <f t="shared" si="5"/>
        <v>0</v>
      </c>
      <c r="I68" s="24">
        <f t="shared" si="6"/>
        <v>0</v>
      </c>
      <c r="J68" s="24">
        <f t="shared" si="7"/>
        <v>0</v>
      </c>
      <c r="K68" s="24"/>
      <c r="L68" s="24">
        <f t="shared" si="8"/>
        <v>460.5535003</v>
      </c>
      <c r="M68" s="14">
        <f t="shared" si="9"/>
        <v>460.2295701</v>
      </c>
      <c r="N68" s="27">
        <f t="shared" si="10"/>
        <v>0.3239301869</v>
      </c>
      <c r="O68" s="24"/>
      <c r="P68" s="28">
        <f t="shared" ref="P68:P123" si="14">-((B418-$B$4)/$B$4)*(3*10^5)</f>
        <v>-160.7018231</v>
      </c>
      <c r="Q68" s="27">
        <f t="shared" ref="Q68:Q123" si="15">(1/(2*$K$13))*(I417)</f>
        <v>420.8931012</v>
      </c>
      <c r="R68" s="26"/>
      <c r="S68" s="14">
        <f t="shared" si="13"/>
        <v>0.2974638372</v>
      </c>
    </row>
    <row r="69">
      <c r="A69" s="11">
        <v>57.0</v>
      </c>
      <c r="B69" s="11">
        <v>1.41964347826087E9</v>
      </c>
      <c r="C69" s="2">
        <v>-102.1947327</v>
      </c>
      <c r="D69" s="24">
        <f t="shared" si="1"/>
        <v>-756521.7391</v>
      </c>
      <c r="E69" s="25">
        <f t="shared" si="2"/>
        <v>158.8652309</v>
      </c>
      <c r="F69" s="24">
        <f t="shared" si="3"/>
        <v>0.0002099942707</v>
      </c>
      <c r="G69" s="24">
        <f t="shared" si="4"/>
        <v>0</v>
      </c>
      <c r="H69" s="26">
        <f t="shared" si="5"/>
        <v>0</v>
      </c>
      <c r="I69" s="24">
        <f t="shared" si="6"/>
        <v>0</v>
      </c>
      <c r="J69" s="24">
        <f t="shared" si="7"/>
        <v>0</v>
      </c>
      <c r="K69" s="24"/>
      <c r="L69" s="24">
        <f t="shared" si="8"/>
        <v>458.8100236</v>
      </c>
      <c r="M69" s="14">
        <f t="shared" si="9"/>
        <v>460.1785222</v>
      </c>
      <c r="N69" s="27">
        <f t="shared" si="10"/>
        <v>-1.368498517</v>
      </c>
      <c r="O69" s="24"/>
      <c r="P69" s="28">
        <f t="shared" si="14"/>
        <v>-161.6201193</v>
      </c>
      <c r="Q69" s="27">
        <f t="shared" si="15"/>
        <v>430.1357675</v>
      </c>
      <c r="R69" s="26"/>
      <c r="S69" s="14">
        <f t="shared" si="13"/>
        <v>-1.256686896</v>
      </c>
    </row>
    <row r="70">
      <c r="A70" s="11">
        <v>58.0</v>
      </c>
      <c r="B70" s="11">
        <v>1.41964782608695E9</v>
      </c>
      <c r="C70" s="2">
        <v>-102.2059708</v>
      </c>
      <c r="D70" s="24">
        <f t="shared" si="1"/>
        <v>-752173.913</v>
      </c>
      <c r="E70" s="25">
        <f t="shared" si="2"/>
        <v>157.9469347</v>
      </c>
      <c r="F70" s="24">
        <f t="shared" si="3"/>
        <v>0.0002099872543</v>
      </c>
      <c r="G70" s="24">
        <f t="shared" si="4"/>
        <v>0</v>
      </c>
      <c r="H70" s="26">
        <f t="shared" si="5"/>
        <v>0</v>
      </c>
      <c r="I70" s="24">
        <f t="shared" si="6"/>
        <v>0</v>
      </c>
      <c r="J70" s="24">
        <f t="shared" si="7"/>
        <v>0</v>
      </c>
      <c r="K70" s="24"/>
      <c r="L70" s="24">
        <f t="shared" si="8"/>
        <v>457.6243103</v>
      </c>
      <c r="M70" s="14">
        <f t="shared" si="9"/>
        <v>460.1273135</v>
      </c>
      <c r="N70" s="27">
        <f t="shared" si="10"/>
        <v>-2.503003166</v>
      </c>
      <c r="O70" s="24"/>
      <c r="P70" s="28">
        <f t="shared" si="14"/>
        <v>-162.5384154</v>
      </c>
      <c r="Q70" s="27">
        <f t="shared" si="15"/>
        <v>428.5240072</v>
      </c>
      <c r="R70" s="26"/>
      <c r="S70" s="14">
        <f t="shared" si="13"/>
        <v>-2.298498127</v>
      </c>
    </row>
    <row r="71">
      <c r="A71" s="11">
        <v>59.0</v>
      </c>
      <c r="B71" s="11">
        <v>1.41965217391304E9</v>
      </c>
      <c r="C71" s="2">
        <v>-102.1693497</v>
      </c>
      <c r="D71" s="24">
        <f t="shared" si="1"/>
        <v>-747826.087</v>
      </c>
      <c r="E71" s="25">
        <f t="shared" si="2"/>
        <v>157.0286386</v>
      </c>
      <c r="F71" s="24">
        <f t="shared" si="3"/>
        <v>0.0002099801563</v>
      </c>
      <c r="G71" s="24">
        <f t="shared" si="4"/>
        <v>0</v>
      </c>
      <c r="H71" s="26">
        <f t="shared" si="5"/>
        <v>0</v>
      </c>
      <c r="I71" s="24">
        <f t="shared" si="6"/>
        <v>0</v>
      </c>
      <c r="J71" s="24">
        <f t="shared" si="7"/>
        <v>0</v>
      </c>
      <c r="K71" s="24"/>
      <c r="L71" s="24">
        <f t="shared" si="8"/>
        <v>461.4994602</v>
      </c>
      <c r="M71" s="14">
        <f t="shared" si="9"/>
        <v>460.0759431</v>
      </c>
      <c r="N71" s="27">
        <f t="shared" si="10"/>
        <v>1.423517138</v>
      </c>
      <c r="O71" s="24"/>
      <c r="P71" s="28">
        <f t="shared" si="14"/>
        <v>-163.4567115</v>
      </c>
      <c r="Q71" s="27">
        <f t="shared" si="15"/>
        <v>428.0808373</v>
      </c>
      <c r="R71" s="26"/>
      <c r="S71" s="14">
        <f t="shared" si="13"/>
        <v>1.30721028</v>
      </c>
    </row>
    <row r="72">
      <c r="A72" s="11">
        <v>60.0</v>
      </c>
      <c r="B72" s="11">
        <v>1.41965652173913E9</v>
      </c>
      <c r="C72" s="2">
        <v>-102.2419357</v>
      </c>
      <c r="D72" s="24">
        <f t="shared" si="1"/>
        <v>-743478.2609</v>
      </c>
      <c r="E72" s="25">
        <f t="shared" si="2"/>
        <v>156.1103425</v>
      </c>
      <c r="F72" s="24">
        <f t="shared" si="3"/>
        <v>0.0002099729752</v>
      </c>
      <c r="G72" s="24">
        <f t="shared" si="4"/>
        <v>0</v>
      </c>
      <c r="H72" s="26">
        <f t="shared" si="5"/>
        <v>0</v>
      </c>
      <c r="I72" s="24">
        <f t="shared" si="6"/>
        <v>0</v>
      </c>
      <c r="J72" s="24">
        <f t="shared" si="7"/>
        <v>0</v>
      </c>
      <c r="K72" s="24"/>
      <c r="L72" s="24">
        <f t="shared" si="8"/>
        <v>453.8502692</v>
      </c>
      <c r="M72" s="14">
        <f t="shared" si="9"/>
        <v>460.0244098</v>
      </c>
      <c r="N72" s="27">
        <f t="shared" si="10"/>
        <v>-6.174140571</v>
      </c>
      <c r="O72" s="24"/>
      <c r="P72" s="28">
        <f t="shared" si="14"/>
        <v>-164.3750077</v>
      </c>
      <c r="Q72" s="27">
        <f t="shared" si="15"/>
        <v>419.4301709</v>
      </c>
      <c r="R72" s="26"/>
      <c r="S72" s="14">
        <f t="shared" si="13"/>
        <v>-5.669689409</v>
      </c>
    </row>
    <row r="73">
      <c r="A73" s="11">
        <v>61.0</v>
      </c>
      <c r="B73" s="11">
        <v>1.41966086956521E9</v>
      </c>
      <c r="C73" s="2">
        <v>-102.1693039</v>
      </c>
      <c r="D73" s="24">
        <f t="shared" si="1"/>
        <v>-739130.4348</v>
      </c>
      <c r="E73" s="25">
        <f t="shared" si="2"/>
        <v>155.1920463</v>
      </c>
      <c r="F73" s="24">
        <f t="shared" si="3"/>
        <v>0.0002099657097</v>
      </c>
      <c r="G73" s="24">
        <f t="shared" si="4"/>
        <v>0</v>
      </c>
      <c r="H73" s="26">
        <f t="shared" si="5"/>
        <v>0</v>
      </c>
      <c r="I73" s="24">
        <f t="shared" si="6"/>
        <v>0</v>
      </c>
      <c r="J73" s="24">
        <f t="shared" si="7"/>
        <v>0</v>
      </c>
      <c r="K73" s="24"/>
      <c r="L73" s="24">
        <f t="shared" si="8"/>
        <v>461.5043271</v>
      </c>
      <c r="M73" s="14">
        <f t="shared" si="9"/>
        <v>459.9727126</v>
      </c>
      <c r="N73" s="27">
        <f t="shared" si="10"/>
        <v>1.53161457</v>
      </c>
      <c r="O73" s="24"/>
      <c r="P73" s="28">
        <f t="shared" si="14"/>
        <v>-165.2933038</v>
      </c>
      <c r="Q73" s="27">
        <f t="shared" si="15"/>
        <v>420.4918061</v>
      </c>
      <c r="R73" s="26"/>
      <c r="S73" s="14">
        <f t="shared" si="13"/>
        <v>1.406475737</v>
      </c>
    </row>
    <row r="74">
      <c r="A74" s="11">
        <v>62.0</v>
      </c>
      <c r="B74" s="11">
        <v>1.4196652173913E9</v>
      </c>
      <c r="C74" s="2">
        <v>-102.2219543</v>
      </c>
      <c r="D74" s="24">
        <f t="shared" si="1"/>
        <v>-734782.6087</v>
      </c>
      <c r="E74" s="25">
        <f t="shared" si="2"/>
        <v>154.2737502</v>
      </c>
      <c r="F74" s="24">
        <f t="shared" si="3"/>
        <v>0.0002099583583</v>
      </c>
      <c r="G74" s="24">
        <f t="shared" si="4"/>
        <v>0</v>
      </c>
      <c r="H74" s="26">
        <f t="shared" si="5"/>
        <v>0</v>
      </c>
      <c r="I74" s="24">
        <f t="shared" si="6"/>
        <v>0</v>
      </c>
      <c r="J74" s="24">
        <f t="shared" si="7"/>
        <v>0</v>
      </c>
      <c r="K74" s="24"/>
      <c r="L74" s="24">
        <f t="shared" si="8"/>
        <v>455.9431941</v>
      </c>
      <c r="M74" s="14">
        <f t="shared" si="9"/>
        <v>459.9208503</v>
      </c>
      <c r="N74" s="27">
        <f t="shared" si="10"/>
        <v>-3.977656195</v>
      </c>
      <c r="O74" s="24"/>
      <c r="P74" s="28">
        <f t="shared" si="14"/>
        <v>-166.2115999</v>
      </c>
      <c r="Q74" s="27">
        <f t="shared" si="15"/>
        <v>428.0590244</v>
      </c>
      <c r="R74" s="26"/>
      <c r="S74" s="14">
        <f t="shared" si="13"/>
        <v>-3.652666293</v>
      </c>
    </row>
    <row r="75">
      <c r="A75" s="11">
        <v>63.0</v>
      </c>
      <c r="B75" s="11">
        <v>1.41966956521739E9</v>
      </c>
      <c r="C75" s="2">
        <v>-102.182579</v>
      </c>
      <c r="D75" s="24">
        <f t="shared" si="1"/>
        <v>-730434.7826</v>
      </c>
      <c r="E75" s="25">
        <f t="shared" si="2"/>
        <v>153.3554541</v>
      </c>
      <c r="F75" s="24">
        <f t="shared" si="3"/>
        <v>0.0002099509193</v>
      </c>
      <c r="G75" s="24">
        <f t="shared" si="4"/>
        <v>0</v>
      </c>
      <c r="H75" s="26">
        <f t="shared" si="5"/>
        <v>0</v>
      </c>
      <c r="I75" s="24">
        <f t="shared" si="6"/>
        <v>0</v>
      </c>
      <c r="J75" s="24">
        <f t="shared" si="7"/>
        <v>0</v>
      </c>
      <c r="K75" s="24"/>
      <c r="L75" s="24">
        <f t="shared" si="8"/>
        <v>460.0957985</v>
      </c>
      <c r="M75" s="14">
        <f t="shared" si="9"/>
        <v>459.868822</v>
      </c>
      <c r="N75" s="27">
        <f t="shared" si="10"/>
        <v>0.2269764488</v>
      </c>
      <c r="O75" s="24"/>
      <c r="P75" s="28">
        <f t="shared" si="14"/>
        <v>-167.129896</v>
      </c>
      <c r="Q75" s="27">
        <f t="shared" si="15"/>
        <v>419.5782984</v>
      </c>
      <c r="R75" s="26"/>
      <c r="S75" s="14">
        <f t="shared" si="13"/>
        <v>0.2084315952</v>
      </c>
    </row>
    <row r="76">
      <c r="A76" s="11">
        <v>64.0</v>
      </c>
      <c r="B76" s="11">
        <v>1.41967391304347E9</v>
      </c>
      <c r="C76" s="2">
        <v>-102.3017349</v>
      </c>
      <c r="D76" s="24">
        <f t="shared" si="1"/>
        <v>-726086.9565</v>
      </c>
      <c r="E76" s="25">
        <f t="shared" si="2"/>
        <v>152.4371579</v>
      </c>
      <c r="F76" s="24">
        <f t="shared" si="3"/>
        <v>0.0002099433912</v>
      </c>
      <c r="G76" s="24">
        <f t="shared" si="4"/>
        <v>0</v>
      </c>
      <c r="H76" s="26">
        <f t="shared" si="5"/>
        <v>0</v>
      </c>
      <c r="I76" s="24">
        <f t="shared" si="6"/>
        <v>0</v>
      </c>
      <c r="J76" s="24">
        <f t="shared" si="7"/>
        <v>0</v>
      </c>
      <c r="K76" s="24"/>
      <c r="L76" s="24">
        <f t="shared" si="8"/>
        <v>447.6439068</v>
      </c>
      <c r="M76" s="14">
        <f t="shared" si="9"/>
        <v>459.8166266</v>
      </c>
      <c r="N76" s="27">
        <f t="shared" si="10"/>
        <v>-12.17271978</v>
      </c>
      <c r="O76" s="24"/>
      <c r="P76" s="28">
        <f t="shared" si="14"/>
        <v>-168.0481922</v>
      </c>
      <c r="Q76" s="27">
        <f t="shared" si="15"/>
        <v>424.9675483</v>
      </c>
      <c r="R76" s="26"/>
      <c r="S76" s="14">
        <f t="shared" si="13"/>
        <v>-11.1781615</v>
      </c>
    </row>
    <row r="77">
      <c r="A77" s="11">
        <v>65.0</v>
      </c>
      <c r="B77" s="11">
        <v>1.41967826086956E9</v>
      </c>
      <c r="C77" s="2">
        <v>-102.2138214</v>
      </c>
      <c r="D77" s="24">
        <f t="shared" si="1"/>
        <v>-721739.1304</v>
      </c>
      <c r="E77" s="25">
        <f t="shared" si="2"/>
        <v>151.5188618</v>
      </c>
      <c r="F77" s="24">
        <f t="shared" si="3"/>
        <v>0.0002099357724</v>
      </c>
      <c r="G77" s="24">
        <f t="shared" si="4"/>
        <v>0</v>
      </c>
      <c r="H77" s="26">
        <f t="shared" si="5"/>
        <v>0</v>
      </c>
      <c r="I77" s="24">
        <f t="shared" si="6"/>
        <v>0</v>
      </c>
      <c r="J77" s="24">
        <f t="shared" si="7"/>
        <v>0</v>
      </c>
      <c r="K77" s="24"/>
      <c r="L77" s="24">
        <f t="shared" si="8"/>
        <v>456.797825</v>
      </c>
      <c r="M77" s="14">
        <f t="shared" si="9"/>
        <v>459.7642629</v>
      </c>
      <c r="N77" s="27">
        <f t="shared" si="10"/>
        <v>-2.966437918</v>
      </c>
      <c r="O77" s="24"/>
      <c r="P77" s="28">
        <f t="shared" si="14"/>
        <v>-168.9664883</v>
      </c>
      <c r="Q77" s="27">
        <f t="shared" si="15"/>
        <v>427.2468972</v>
      </c>
      <c r="R77" s="26"/>
      <c r="S77" s="14">
        <f t="shared" si="13"/>
        <v>-2.724068462</v>
      </c>
    </row>
    <row r="78">
      <c r="A78" s="11">
        <v>66.0</v>
      </c>
      <c r="B78" s="11">
        <v>1.41968260869565E9</v>
      </c>
      <c r="C78" s="2">
        <v>-102.2576904</v>
      </c>
      <c r="D78" s="24">
        <f t="shared" si="1"/>
        <v>-717391.3043</v>
      </c>
      <c r="E78" s="25">
        <f t="shared" si="2"/>
        <v>150.6005657</v>
      </c>
      <c r="F78" s="24">
        <f t="shared" si="3"/>
        <v>0.0002099280612</v>
      </c>
      <c r="G78" s="24">
        <f t="shared" si="4"/>
        <v>0</v>
      </c>
      <c r="H78" s="26">
        <f t="shared" si="5"/>
        <v>0</v>
      </c>
      <c r="I78" s="24">
        <f t="shared" si="6"/>
        <v>0</v>
      </c>
      <c r="J78" s="24">
        <f t="shared" si="7"/>
        <v>0</v>
      </c>
      <c r="K78" s="24"/>
      <c r="L78" s="24">
        <f t="shared" si="8"/>
        <v>452.2068403</v>
      </c>
      <c r="M78" s="14">
        <f t="shared" si="9"/>
        <v>459.7117299</v>
      </c>
      <c r="N78" s="27">
        <f t="shared" si="10"/>
        <v>-7.504889655</v>
      </c>
      <c r="O78" s="24"/>
      <c r="P78" s="28">
        <f t="shared" si="14"/>
        <v>-169.8847844</v>
      </c>
      <c r="Q78" s="27">
        <f t="shared" si="15"/>
        <v>427.1861142</v>
      </c>
      <c r="R78" s="26"/>
      <c r="S78" s="14">
        <f t="shared" si="13"/>
        <v>-6.891711148</v>
      </c>
    </row>
    <row r="79">
      <c r="A79" s="11">
        <v>67.0</v>
      </c>
      <c r="B79" s="11">
        <v>1.41968695652173E9</v>
      </c>
      <c r="C79" s="2">
        <v>-102.2142944</v>
      </c>
      <c r="D79" s="24">
        <f t="shared" si="1"/>
        <v>-713043.4783</v>
      </c>
      <c r="E79" s="25">
        <f t="shared" si="2"/>
        <v>149.6822695</v>
      </c>
      <c r="F79" s="24">
        <f t="shared" si="3"/>
        <v>0.0002099202561</v>
      </c>
      <c r="G79" s="24">
        <f t="shared" si="4"/>
        <v>0</v>
      </c>
      <c r="H79" s="26">
        <f t="shared" si="5"/>
        <v>0</v>
      </c>
      <c r="I79" s="24">
        <f t="shared" si="6"/>
        <v>0</v>
      </c>
      <c r="J79" s="24">
        <f t="shared" si="7"/>
        <v>0</v>
      </c>
      <c r="K79" s="24"/>
      <c r="L79" s="24">
        <f t="shared" si="8"/>
        <v>456.7480768</v>
      </c>
      <c r="M79" s="14">
        <f t="shared" si="9"/>
        <v>459.6590266</v>
      </c>
      <c r="N79" s="27">
        <f t="shared" si="10"/>
        <v>-2.910949759</v>
      </c>
      <c r="O79" s="24"/>
      <c r="P79" s="28">
        <f t="shared" si="14"/>
        <v>-170.8030806</v>
      </c>
      <c r="Q79" s="27">
        <f t="shared" si="15"/>
        <v>418.9772649</v>
      </c>
      <c r="R79" s="26"/>
      <c r="S79" s="14">
        <f t="shared" si="13"/>
        <v>-2.673113906</v>
      </c>
    </row>
    <row r="80">
      <c r="A80" s="11">
        <v>68.0</v>
      </c>
      <c r="B80" s="11">
        <v>1.41969130434782E9</v>
      </c>
      <c r="C80" s="2">
        <v>-102.2317429</v>
      </c>
      <c r="D80" s="24">
        <f t="shared" si="1"/>
        <v>-708695.6522</v>
      </c>
      <c r="E80" s="25">
        <f t="shared" si="2"/>
        <v>148.7639734</v>
      </c>
      <c r="F80" s="24">
        <f t="shared" si="3"/>
        <v>0.0002099123551</v>
      </c>
      <c r="G80" s="24">
        <f t="shared" si="4"/>
        <v>0</v>
      </c>
      <c r="H80" s="26">
        <f t="shared" si="5"/>
        <v>0</v>
      </c>
      <c r="I80" s="24">
        <f t="shared" si="6"/>
        <v>0</v>
      </c>
      <c r="J80" s="24">
        <f t="shared" si="7"/>
        <v>0</v>
      </c>
      <c r="K80" s="24"/>
      <c r="L80" s="24">
        <f t="shared" si="8"/>
        <v>454.9166972</v>
      </c>
      <c r="M80" s="14">
        <f t="shared" si="9"/>
        <v>459.6061518</v>
      </c>
      <c r="N80" s="27">
        <f t="shared" si="10"/>
        <v>-4.689454583</v>
      </c>
      <c r="O80" s="24"/>
      <c r="P80" s="28">
        <f t="shared" si="14"/>
        <v>-171.7213767</v>
      </c>
      <c r="Q80" s="27">
        <f t="shared" si="15"/>
        <v>418.366804</v>
      </c>
      <c r="R80" s="26"/>
      <c r="S80" s="14">
        <f t="shared" si="13"/>
        <v>-4.306308009</v>
      </c>
    </row>
    <row r="81">
      <c r="A81" s="11">
        <v>69.0</v>
      </c>
      <c r="B81" s="11">
        <v>1.41969565217391E9</v>
      </c>
      <c r="C81" s="2">
        <v>-102.2240143</v>
      </c>
      <c r="D81" s="24">
        <f t="shared" si="1"/>
        <v>-704347.8261</v>
      </c>
      <c r="E81" s="25">
        <f t="shared" si="2"/>
        <v>147.8456773</v>
      </c>
      <c r="F81" s="24">
        <f t="shared" si="3"/>
        <v>0.0002099043566</v>
      </c>
      <c r="G81" s="24">
        <f t="shared" si="4"/>
        <v>0</v>
      </c>
      <c r="H81" s="26">
        <f t="shared" si="5"/>
        <v>0</v>
      </c>
      <c r="I81" s="24">
        <f t="shared" si="6"/>
        <v>0</v>
      </c>
      <c r="J81" s="24">
        <f t="shared" si="7"/>
        <v>0</v>
      </c>
      <c r="K81" s="24"/>
      <c r="L81" s="24">
        <f t="shared" si="8"/>
        <v>455.7269767</v>
      </c>
      <c r="M81" s="14">
        <f t="shared" si="9"/>
        <v>459.5531044</v>
      </c>
      <c r="N81" s="27">
        <f t="shared" si="10"/>
        <v>-3.826127682</v>
      </c>
      <c r="O81" s="24"/>
      <c r="P81" s="28">
        <f t="shared" si="14"/>
        <v>-172.6396728</v>
      </c>
      <c r="Q81" s="27">
        <f t="shared" si="15"/>
        <v>426.5247208</v>
      </c>
      <c r="R81" s="26"/>
      <c r="S81" s="14">
        <f t="shared" si="13"/>
        <v>-3.513518245</v>
      </c>
    </row>
    <row r="82">
      <c r="A82" s="11">
        <v>70.0</v>
      </c>
      <c r="B82" s="11">
        <v>1.4197E9</v>
      </c>
      <c r="C82" s="2">
        <v>-102.2129211</v>
      </c>
      <c r="D82" s="24">
        <f t="shared" si="1"/>
        <v>-700000</v>
      </c>
      <c r="E82" s="25">
        <f t="shared" si="2"/>
        <v>146.9273811</v>
      </c>
      <c r="F82" s="24">
        <f t="shared" si="3"/>
        <v>0.0002098962588</v>
      </c>
      <c r="G82" s="24">
        <f t="shared" si="4"/>
        <v>0</v>
      </c>
      <c r="H82" s="26">
        <f t="shared" si="5"/>
        <v>0</v>
      </c>
      <c r="I82" s="24">
        <f t="shared" si="6"/>
        <v>0</v>
      </c>
      <c r="J82" s="24">
        <f t="shared" si="7"/>
        <v>0</v>
      </c>
      <c r="K82" s="24"/>
      <c r="L82" s="24">
        <f t="shared" si="8"/>
        <v>456.8925298</v>
      </c>
      <c r="M82" s="14">
        <f t="shared" si="9"/>
        <v>459.4998835</v>
      </c>
      <c r="N82" s="27">
        <f t="shared" si="10"/>
        <v>-2.607353682</v>
      </c>
      <c r="O82" s="24"/>
      <c r="P82" s="28">
        <f t="shared" si="14"/>
        <v>-173.557969</v>
      </c>
      <c r="Q82" s="27">
        <f t="shared" si="15"/>
        <v>419.8046429</v>
      </c>
      <c r="R82" s="26"/>
      <c r="S82" s="14">
        <f t="shared" si="13"/>
        <v>-2.394322803</v>
      </c>
    </row>
    <row r="83">
      <c r="A83" s="11">
        <v>71.0</v>
      </c>
      <c r="B83" s="11">
        <v>1.41970434782608E9</v>
      </c>
      <c r="C83" s="2">
        <v>-102.2021713</v>
      </c>
      <c r="D83" s="24">
        <f t="shared" si="1"/>
        <v>-695652.1739</v>
      </c>
      <c r="E83" s="25">
        <f t="shared" si="2"/>
        <v>146.009085</v>
      </c>
      <c r="F83" s="24">
        <f t="shared" si="3"/>
        <v>0.0002098880597</v>
      </c>
      <c r="G83" s="24">
        <f t="shared" si="4"/>
        <v>0</v>
      </c>
      <c r="H83" s="26">
        <f t="shared" si="5"/>
        <v>0</v>
      </c>
      <c r="I83" s="24">
        <f t="shared" si="6"/>
        <v>0</v>
      </c>
      <c r="J83" s="24">
        <f t="shared" si="7"/>
        <v>0</v>
      </c>
      <c r="K83" s="24"/>
      <c r="L83" s="24">
        <f t="shared" si="8"/>
        <v>458.024846</v>
      </c>
      <c r="M83" s="14">
        <f t="shared" si="9"/>
        <v>459.4464878</v>
      </c>
      <c r="N83" s="27">
        <f t="shared" si="10"/>
        <v>-1.421641831</v>
      </c>
      <c r="O83" s="24"/>
      <c r="P83" s="28">
        <f t="shared" si="14"/>
        <v>-174.4762651</v>
      </c>
      <c r="Q83" s="27">
        <f t="shared" si="15"/>
        <v>424.1396829</v>
      </c>
      <c r="R83" s="26"/>
      <c r="S83" s="14">
        <f t="shared" si="13"/>
        <v>-1.305488196</v>
      </c>
    </row>
    <row r="84">
      <c r="A84" s="11">
        <v>72.0</v>
      </c>
      <c r="B84" s="11">
        <v>1.41970869565217E9</v>
      </c>
      <c r="C84" s="2">
        <v>-102.279541</v>
      </c>
      <c r="D84" s="24">
        <f t="shared" si="1"/>
        <v>-691304.3478</v>
      </c>
      <c r="E84" s="25">
        <f t="shared" si="2"/>
        <v>145.0907889</v>
      </c>
      <c r="F84" s="24">
        <f t="shared" si="3"/>
        <v>0.0002098797575</v>
      </c>
      <c r="G84" s="24">
        <f t="shared" si="4"/>
        <v>0</v>
      </c>
      <c r="H84" s="26">
        <f t="shared" si="5"/>
        <v>0</v>
      </c>
      <c r="I84" s="24">
        <f t="shared" si="6"/>
        <v>0</v>
      </c>
      <c r="J84" s="24">
        <f t="shared" si="7"/>
        <v>0</v>
      </c>
      <c r="K84" s="24"/>
      <c r="L84" s="24">
        <f t="shared" si="8"/>
        <v>449.937372</v>
      </c>
      <c r="M84" s="14">
        <f t="shared" si="9"/>
        <v>459.3929165</v>
      </c>
      <c r="N84" s="27">
        <f t="shared" si="10"/>
        <v>-9.455544446</v>
      </c>
      <c r="O84" s="24"/>
      <c r="P84" s="28">
        <f t="shared" si="14"/>
        <v>-175.3945612</v>
      </c>
      <c r="Q84" s="27">
        <f t="shared" si="15"/>
        <v>419.7331179</v>
      </c>
      <c r="R84" s="26"/>
      <c r="S84" s="14">
        <f t="shared" si="13"/>
        <v>-8.682989878</v>
      </c>
    </row>
    <row r="85">
      <c r="A85" s="11">
        <v>73.0</v>
      </c>
      <c r="B85" s="11">
        <v>1.41971304347826E9</v>
      </c>
      <c r="C85" s="2">
        <v>-102.287178</v>
      </c>
      <c r="D85" s="24">
        <f t="shared" si="1"/>
        <v>-686956.5217</v>
      </c>
      <c r="E85" s="25">
        <f t="shared" si="2"/>
        <v>144.1724927</v>
      </c>
      <c r="F85" s="24">
        <f t="shared" si="3"/>
        <v>0.0002098713502</v>
      </c>
      <c r="G85" s="24">
        <f t="shared" si="4"/>
        <v>0</v>
      </c>
      <c r="H85" s="26">
        <f t="shared" si="5"/>
        <v>0</v>
      </c>
      <c r="I85" s="24">
        <f t="shared" si="6"/>
        <v>0</v>
      </c>
      <c r="J85" s="24">
        <f t="shared" si="7"/>
        <v>0</v>
      </c>
      <c r="K85" s="24"/>
      <c r="L85" s="24">
        <f t="shared" si="8"/>
        <v>449.1468595</v>
      </c>
      <c r="M85" s="14">
        <f t="shared" si="9"/>
        <v>459.3391683</v>
      </c>
      <c r="N85" s="27">
        <f t="shared" si="10"/>
        <v>-10.19230876</v>
      </c>
      <c r="O85" s="24"/>
      <c r="P85" s="28">
        <f t="shared" si="14"/>
        <v>-176.3128574</v>
      </c>
      <c r="Q85" s="27">
        <f t="shared" si="15"/>
        <v>421.8287416</v>
      </c>
      <c r="R85" s="26"/>
      <c r="S85" s="14">
        <f t="shared" si="13"/>
        <v>-9.359557719</v>
      </c>
    </row>
    <row r="86">
      <c r="A86" s="11">
        <v>74.0</v>
      </c>
      <c r="B86" s="11">
        <v>1.41971739130434E9</v>
      </c>
      <c r="C86" s="2">
        <v>-102.2420425</v>
      </c>
      <c r="D86" s="24">
        <f t="shared" si="1"/>
        <v>-682608.6957</v>
      </c>
      <c r="E86" s="25">
        <f t="shared" si="2"/>
        <v>143.2541966</v>
      </c>
      <c r="F86" s="24">
        <f t="shared" si="3"/>
        <v>0.0002098628358</v>
      </c>
      <c r="G86" s="24">
        <f t="shared" si="4"/>
        <v>0</v>
      </c>
      <c r="H86" s="26">
        <f t="shared" si="5"/>
        <v>0</v>
      </c>
      <c r="I86" s="24">
        <f t="shared" si="6"/>
        <v>0</v>
      </c>
      <c r="J86" s="24">
        <f t="shared" si="7"/>
        <v>0</v>
      </c>
      <c r="K86" s="24"/>
      <c r="L86" s="24">
        <f t="shared" si="8"/>
        <v>453.8391084</v>
      </c>
      <c r="M86" s="14">
        <f t="shared" si="9"/>
        <v>459.2852422</v>
      </c>
      <c r="N86" s="27">
        <f t="shared" si="10"/>
        <v>-5.446133725</v>
      </c>
      <c r="O86" s="24"/>
      <c r="P86" s="28">
        <f t="shared" si="14"/>
        <v>-177.2311535</v>
      </c>
      <c r="Q86" s="27">
        <f t="shared" si="15"/>
        <v>424.1672537</v>
      </c>
      <c r="R86" s="26"/>
      <c r="S86" s="14">
        <f t="shared" si="13"/>
        <v>-5.001163539</v>
      </c>
    </row>
    <row r="87">
      <c r="A87" s="11">
        <v>75.0</v>
      </c>
      <c r="B87" s="11">
        <v>1.41972173913043E9</v>
      </c>
      <c r="C87" s="2">
        <v>-102.1971207</v>
      </c>
      <c r="D87" s="24">
        <f t="shared" si="1"/>
        <v>-678260.8696</v>
      </c>
      <c r="E87" s="25">
        <f t="shared" si="2"/>
        <v>142.3359005</v>
      </c>
      <c r="F87" s="24">
        <f t="shared" si="3"/>
        <v>0.0002098542122</v>
      </c>
      <c r="G87" s="24">
        <f t="shared" si="4"/>
        <v>0</v>
      </c>
      <c r="H87" s="26">
        <f t="shared" si="5"/>
        <v>0</v>
      </c>
      <c r="I87" s="24">
        <f t="shared" si="6"/>
        <v>0</v>
      </c>
      <c r="J87" s="24">
        <f t="shared" si="7"/>
        <v>0</v>
      </c>
      <c r="K87" s="24"/>
      <c r="L87" s="24">
        <f t="shared" si="8"/>
        <v>458.5578129</v>
      </c>
      <c r="M87" s="14">
        <f t="shared" si="9"/>
        <v>459.2311371</v>
      </c>
      <c r="N87" s="27">
        <f t="shared" si="10"/>
        <v>-0.6733241274</v>
      </c>
      <c r="O87" s="24"/>
      <c r="P87" s="28">
        <f t="shared" si="14"/>
        <v>-178.1494496</v>
      </c>
      <c r="Q87" s="27">
        <f t="shared" si="15"/>
        <v>421.8465264</v>
      </c>
      <c r="R87" s="26"/>
      <c r="S87" s="14">
        <f t="shared" si="13"/>
        <v>-0.6183109409</v>
      </c>
    </row>
    <row r="88">
      <c r="A88" s="11">
        <v>76.0</v>
      </c>
      <c r="B88" s="11">
        <v>1.41972608695652E9</v>
      </c>
      <c r="C88" s="2">
        <v>-102.2493744</v>
      </c>
      <c r="D88" s="24">
        <f t="shared" si="1"/>
        <v>-673913.0435</v>
      </c>
      <c r="E88" s="25">
        <f t="shared" si="2"/>
        <v>141.4176044</v>
      </c>
      <c r="F88" s="24">
        <f t="shared" si="3"/>
        <v>0.0002098454774</v>
      </c>
      <c r="G88" s="24">
        <f t="shared" si="4"/>
        <v>0</v>
      </c>
      <c r="H88" s="26">
        <f t="shared" si="5"/>
        <v>0</v>
      </c>
      <c r="I88" s="24">
        <f t="shared" si="6"/>
        <v>0</v>
      </c>
      <c r="J88" s="24">
        <f t="shared" si="7"/>
        <v>0</v>
      </c>
      <c r="K88" s="24"/>
      <c r="L88" s="24">
        <f t="shared" si="8"/>
        <v>453.0735689</v>
      </c>
      <c r="M88" s="14">
        <f t="shared" si="9"/>
        <v>459.1768519</v>
      </c>
      <c r="N88" s="27">
        <f t="shared" si="10"/>
        <v>-6.103282977</v>
      </c>
      <c r="O88" s="24"/>
      <c r="P88" s="28">
        <f t="shared" si="14"/>
        <v>-179.0677458</v>
      </c>
      <c r="Q88" s="27">
        <f t="shared" si="15"/>
        <v>422.6068064</v>
      </c>
      <c r="R88" s="26"/>
      <c r="S88" s="14">
        <f t="shared" si="13"/>
        <v>-5.604621155</v>
      </c>
    </row>
    <row r="89">
      <c r="A89" s="11">
        <v>77.0</v>
      </c>
      <c r="B89" s="11">
        <v>1.4197304347826E9</v>
      </c>
      <c r="C89" s="2">
        <v>-102.2477417</v>
      </c>
      <c r="D89" s="24">
        <f t="shared" si="1"/>
        <v>-669565.2174</v>
      </c>
      <c r="E89" s="25">
        <f t="shared" si="2"/>
        <v>140.4993082</v>
      </c>
      <c r="F89" s="24">
        <f t="shared" si="3"/>
        <v>0.0002098366292</v>
      </c>
      <c r="G89" s="24">
        <f t="shared" si="4"/>
        <v>0</v>
      </c>
      <c r="H89" s="26">
        <f t="shared" si="5"/>
        <v>0</v>
      </c>
      <c r="I89" s="24">
        <f t="shared" si="6"/>
        <v>0</v>
      </c>
      <c r="J89" s="24">
        <f t="shared" si="7"/>
        <v>0</v>
      </c>
      <c r="K89" s="24"/>
      <c r="L89" s="24">
        <f t="shared" si="8"/>
        <v>453.2439308</v>
      </c>
      <c r="M89" s="14">
        <f t="shared" si="9"/>
        <v>459.1223856</v>
      </c>
      <c r="N89" s="27">
        <f t="shared" si="10"/>
        <v>-5.878454815</v>
      </c>
      <c r="O89" s="24"/>
      <c r="P89" s="28">
        <f t="shared" si="14"/>
        <v>-179.9860419</v>
      </c>
      <c r="Q89" s="27">
        <f t="shared" si="15"/>
        <v>422.6335379</v>
      </c>
      <c r="R89" s="26"/>
      <c r="S89" s="14">
        <f t="shared" si="13"/>
        <v>-5.398162323</v>
      </c>
    </row>
    <row r="90">
      <c r="A90" s="11">
        <v>78.0</v>
      </c>
      <c r="B90" s="11">
        <v>1.41973478260869E9</v>
      </c>
      <c r="C90" s="2">
        <v>-102.2311707</v>
      </c>
      <c r="D90" s="24">
        <f t="shared" si="1"/>
        <v>-665217.3913</v>
      </c>
      <c r="E90" s="25">
        <f t="shared" si="2"/>
        <v>139.5810121</v>
      </c>
      <c r="F90" s="24">
        <f t="shared" si="3"/>
        <v>0.0002098276652</v>
      </c>
      <c r="G90" s="24">
        <f t="shared" si="4"/>
        <v>0</v>
      </c>
      <c r="H90" s="26">
        <f t="shared" si="5"/>
        <v>0</v>
      </c>
      <c r="I90" s="24">
        <f t="shared" si="6"/>
        <v>0</v>
      </c>
      <c r="J90" s="24">
        <f t="shared" si="7"/>
        <v>0</v>
      </c>
      <c r="K90" s="24"/>
      <c r="L90" s="24">
        <f t="shared" si="8"/>
        <v>454.9766382</v>
      </c>
      <c r="M90" s="14">
        <f t="shared" si="9"/>
        <v>459.0677372</v>
      </c>
      <c r="N90" s="27">
        <f t="shared" si="10"/>
        <v>-4.09109899</v>
      </c>
      <c r="O90" s="24"/>
      <c r="P90" s="28">
        <f t="shared" si="14"/>
        <v>-180.904338</v>
      </c>
      <c r="Q90" s="27">
        <f t="shared" si="15"/>
        <v>422.7954232</v>
      </c>
      <c r="R90" s="26"/>
      <c r="S90" s="14">
        <f t="shared" si="13"/>
        <v>-3.756840381</v>
      </c>
    </row>
    <row r="91">
      <c r="A91" s="11">
        <v>79.0</v>
      </c>
      <c r="B91" s="11">
        <v>1.41973913043478E9</v>
      </c>
      <c r="C91" s="2">
        <v>-102.2258453</v>
      </c>
      <c r="D91" s="24">
        <f t="shared" si="1"/>
        <v>-660869.5652</v>
      </c>
      <c r="E91" s="25">
        <f t="shared" si="2"/>
        <v>138.662716</v>
      </c>
      <c r="F91" s="24">
        <f t="shared" si="3"/>
        <v>0.0002098185833</v>
      </c>
      <c r="G91" s="24">
        <f t="shared" si="4"/>
        <v>0</v>
      </c>
      <c r="H91" s="26">
        <f t="shared" si="5"/>
        <v>0</v>
      </c>
      <c r="I91" s="24">
        <f t="shared" si="6"/>
        <v>0</v>
      </c>
      <c r="J91" s="24">
        <f t="shared" si="7"/>
        <v>0</v>
      </c>
      <c r="K91" s="24"/>
      <c r="L91" s="24">
        <f t="shared" si="8"/>
        <v>455.5348812</v>
      </c>
      <c r="M91" s="14">
        <f t="shared" si="9"/>
        <v>459.0129054</v>
      </c>
      <c r="N91" s="27">
        <f t="shared" si="10"/>
        <v>-3.478024192</v>
      </c>
      <c r="O91" s="24"/>
      <c r="P91" s="28">
        <f t="shared" si="14"/>
        <v>-181.8226342</v>
      </c>
      <c r="Q91" s="27">
        <f t="shared" si="15"/>
        <v>419.452278</v>
      </c>
      <c r="R91" s="26"/>
      <c r="S91" s="14">
        <f t="shared" si="13"/>
        <v>-3.193856158</v>
      </c>
    </row>
    <row r="92">
      <c r="A92" s="11">
        <v>80.0</v>
      </c>
      <c r="B92" s="11">
        <v>1.41974347826087E9</v>
      </c>
      <c r="C92" s="2">
        <v>-102.229538</v>
      </c>
      <c r="D92" s="24">
        <f t="shared" si="1"/>
        <v>-656521.7391</v>
      </c>
      <c r="E92" s="25">
        <f t="shared" si="2"/>
        <v>137.7444198</v>
      </c>
      <c r="F92" s="24">
        <f t="shared" si="3"/>
        <v>0.0002098093812</v>
      </c>
      <c r="G92" s="24">
        <f t="shared" si="4"/>
        <v>0</v>
      </c>
      <c r="H92" s="26">
        <f t="shared" si="5"/>
        <v>0</v>
      </c>
      <c r="I92" s="24">
        <f t="shared" si="6"/>
        <v>0</v>
      </c>
      <c r="J92" s="24">
        <f t="shared" si="7"/>
        <v>0</v>
      </c>
      <c r="K92" s="24"/>
      <c r="L92" s="24">
        <f t="shared" si="8"/>
        <v>455.1477156</v>
      </c>
      <c r="M92" s="14">
        <f t="shared" si="9"/>
        <v>458.9578893</v>
      </c>
      <c r="N92" s="27">
        <f t="shared" si="10"/>
        <v>-3.81017365</v>
      </c>
      <c r="O92" s="24"/>
      <c r="P92" s="28">
        <f t="shared" si="14"/>
        <v>-182.7409303</v>
      </c>
      <c r="Q92" s="27">
        <f t="shared" si="15"/>
        <v>417.3677205</v>
      </c>
      <c r="R92" s="26"/>
      <c r="S92" s="14">
        <f t="shared" si="13"/>
        <v>-3.498867728</v>
      </c>
    </row>
    <row r="93">
      <c r="A93" s="11">
        <v>81.0</v>
      </c>
      <c r="B93" s="11">
        <v>1.41974782608695E9</v>
      </c>
      <c r="C93" s="2">
        <v>-102.2372513</v>
      </c>
      <c r="D93" s="24">
        <f t="shared" si="1"/>
        <v>-652173.913</v>
      </c>
      <c r="E93" s="25">
        <f t="shared" si="2"/>
        <v>136.8261237</v>
      </c>
      <c r="F93" s="24">
        <f t="shared" si="3"/>
        <v>0.0002098000563</v>
      </c>
      <c r="G93" s="24">
        <f t="shared" si="4"/>
        <v>0</v>
      </c>
      <c r="H93" s="26">
        <f t="shared" si="5"/>
        <v>0</v>
      </c>
      <c r="I93" s="24">
        <f t="shared" si="6"/>
        <v>0</v>
      </c>
      <c r="J93" s="24">
        <f t="shared" si="7"/>
        <v>0</v>
      </c>
      <c r="K93" s="24"/>
      <c r="L93" s="24">
        <f t="shared" si="8"/>
        <v>454.3400666</v>
      </c>
      <c r="M93" s="14">
        <f t="shared" si="9"/>
        <v>458.9026878</v>
      </c>
      <c r="N93" s="27">
        <f t="shared" si="10"/>
        <v>-4.562621129</v>
      </c>
      <c r="O93" s="24"/>
      <c r="P93" s="28">
        <f t="shared" si="14"/>
        <v>-183.6592264</v>
      </c>
      <c r="Q93" s="27">
        <f t="shared" si="15"/>
        <v>421.482073</v>
      </c>
      <c r="R93" s="26"/>
      <c r="S93" s="14">
        <f t="shared" si="13"/>
        <v>-4.189837338</v>
      </c>
    </row>
    <row r="94">
      <c r="A94" s="11">
        <v>82.0</v>
      </c>
      <c r="B94" s="11">
        <v>1.41975217391304E9</v>
      </c>
      <c r="C94" s="2">
        <v>-102.2411346</v>
      </c>
      <c r="D94" s="24">
        <f t="shared" si="1"/>
        <v>-647826.087</v>
      </c>
      <c r="E94" s="25">
        <f t="shared" si="2"/>
        <v>135.9078276</v>
      </c>
      <c r="F94" s="24">
        <f t="shared" si="3"/>
        <v>0.0002097906063</v>
      </c>
      <c r="G94" s="24">
        <f t="shared" si="4"/>
        <v>0</v>
      </c>
      <c r="H94" s="26">
        <f t="shared" si="5"/>
        <v>0</v>
      </c>
      <c r="I94" s="24">
        <f t="shared" si="6"/>
        <v>0</v>
      </c>
      <c r="J94" s="24">
        <f t="shared" si="7"/>
        <v>0</v>
      </c>
      <c r="K94" s="24"/>
      <c r="L94" s="24">
        <f t="shared" si="8"/>
        <v>453.9339942</v>
      </c>
      <c r="M94" s="14">
        <f t="shared" si="9"/>
        <v>458.8472997</v>
      </c>
      <c r="N94" s="27">
        <f t="shared" si="10"/>
        <v>-4.913305524</v>
      </c>
      <c r="O94" s="24"/>
      <c r="P94" s="28">
        <f t="shared" si="14"/>
        <v>-184.5775226</v>
      </c>
      <c r="Q94" s="27">
        <f t="shared" si="15"/>
        <v>421.3199533</v>
      </c>
      <c r="R94" s="26"/>
      <c r="S94" s="14">
        <f t="shared" si="13"/>
        <v>-4.511869451</v>
      </c>
    </row>
    <row r="95">
      <c r="A95" s="11">
        <v>83.0</v>
      </c>
      <c r="B95" s="11">
        <v>1.41975652173913E9</v>
      </c>
      <c r="C95" s="2">
        <v>-102.2461624</v>
      </c>
      <c r="D95" s="24">
        <f t="shared" si="1"/>
        <v>-643478.2609</v>
      </c>
      <c r="E95" s="25">
        <f t="shared" si="2"/>
        <v>134.9895314</v>
      </c>
      <c r="F95" s="24">
        <f t="shared" si="3"/>
        <v>0.0002097810286</v>
      </c>
      <c r="G95" s="24">
        <f t="shared" si="4"/>
        <v>0</v>
      </c>
      <c r="H95" s="26">
        <f t="shared" si="5"/>
        <v>0</v>
      </c>
      <c r="I95" s="24">
        <f t="shared" si="6"/>
        <v>0</v>
      </c>
      <c r="J95" s="24">
        <f t="shared" si="7"/>
        <v>0</v>
      </c>
      <c r="K95" s="24"/>
      <c r="L95" s="24">
        <f t="shared" si="8"/>
        <v>453.4087817</v>
      </c>
      <c r="M95" s="14">
        <f t="shared" si="9"/>
        <v>458.7917241</v>
      </c>
      <c r="N95" s="27">
        <f t="shared" si="10"/>
        <v>-5.382942359</v>
      </c>
      <c r="O95" s="24"/>
      <c r="P95" s="28">
        <f t="shared" si="14"/>
        <v>-185.4958187</v>
      </c>
      <c r="Q95" s="27">
        <f t="shared" si="15"/>
        <v>418.3278489</v>
      </c>
      <c r="R95" s="26"/>
      <c r="S95" s="14">
        <f t="shared" si="13"/>
        <v>-4.943135151</v>
      </c>
    </row>
    <row r="96">
      <c r="A96" s="11">
        <v>84.0</v>
      </c>
      <c r="B96" s="11">
        <v>1.41976086956521E9</v>
      </c>
      <c r="C96" s="2">
        <v>-102.2809296</v>
      </c>
      <c r="D96" s="24">
        <f t="shared" si="1"/>
        <v>-639130.4348</v>
      </c>
      <c r="E96" s="25">
        <f t="shared" si="2"/>
        <v>134.0712353</v>
      </c>
      <c r="F96" s="24">
        <f t="shared" si="3"/>
        <v>0.0002097713205</v>
      </c>
      <c r="G96" s="24">
        <f t="shared" si="4"/>
        <v>0</v>
      </c>
      <c r="H96" s="26">
        <f t="shared" si="5"/>
        <v>0</v>
      </c>
      <c r="I96" s="24">
        <f t="shared" si="6"/>
        <v>0</v>
      </c>
      <c r="J96" s="24">
        <f t="shared" si="7"/>
        <v>0</v>
      </c>
      <c r="K96" s="24"/>
      <c r="L96" s="24">
        <f t="shared" si="8"/>
        <v>449.7935334</v>
      </c>
      <c r="M96" s="14">
        <f t="shared" si="9"/>
        <v>458.7359598</v>
      </c>
      <c r="N96" s="27">
        <f t="shared" si="10"/>
        <v>-8.942426384</v>
      </c>
      <c r="O96" s="24"/>
      <c r="P96" s="28">
        <f t="shared" si="14"/>
        <v>-186.4141148</v>
      </c>
      <c r="Q96" s="27">
        <f t="shared" si="15"/>
        <v>420.3928272</v>
      </c>
      <c r="R96" s="26"/>
      <c r="S96" s="14">
        <f t="shared" si="13"/>
        <v>-8.211795567</v>
      </c>
    </row>
    <row r="97">
      <c r="A97" s="11">
        <v>85.0</v>
      </c>
      <c r="B97" s="11">
        <v>1.4197652173913E9</v>
      </c>
      <c r="C97" s="2">
        <v>-102.1823959</v>
      </c>
      <c r="D97" s="24">
        <f t="shared" si="1"/>
        <v>-634782.6087</v>
      </c>
      <c r="E97" s="25">
        <f t="shared" si="2"/>
        <v>133.1529392</v>
      </c>
      <c r="F97" s="24">
        <f t="shared" si="3"/>
        <v>0.0002097614795</v>
      </c>
      <c r="G97" s="24">
        <f t="shared" si="4"/>
        <v>0</v>
      </c>
      <c r="H97" s="26">
        <f t="shared" si="5"/>
        <v>0</v>
      </c>
      <c r="I97" s="24">
        <f t="shared" si="6"/>
        <v>0</v>
      </c>
      <c r="J97" s="24">
        <f t="shared" si="7"/>
        <v>0</v>
      </c>
      <c r="K97" s="24"/>
      <c r="L97" s="24">
        <f t="shared" si="8"/>
        <v>460.1151967</v>
      </c>
      <c r="M97" s="14">
        <f t="shared" si="9"/>
        <v>458.6800058</v>
      </c>
      <c r="N97" s="27">
        <f t="shared" si="10"/>
        <v>1.435190906</v>
      </c>
      <c r="O97" s="24"/>
      <c r="P97" s="28">
        <f t="shared" si="14"/>
        <v>-187.332411</v>
      </c>
      <c r="Q97" s="27">
        <f t="shared" si="15"/>
        <v>417.1397604</v>
      </c>
      <c r="R97" s="26"/>
      <c r="S97" s="14">
        <f t="shared" si="13"/>
        <v>1.317930256</v>
      </c>
    </row>
    <row r="98">
      <c r="A98" s="11">
        <v>86.0</v>
      </c>
      <c r="B98" s="11">
        <v>1.41976956521739E9</v>
      </c>
      <c r="C98" s="2">
        <v>-102.1725845</v>
      </c>
      <c r="D98" s="24">
        <f t="shared" si="1"/>
        <v>-630434.7826</v>
      </c>
      <c r="E98" s="25">
        <f t="shared" si="2"/>
        <v>132.234643</v>
      </c>
      <c r="F98" s="24">
        <f t="shared" si="3"/>
        <v>0.0002097515027</v>
      </c>
      <c r="G98" s="24">
        <f t="shared" si="4"/>
        <v>0</v>
      </c>
      <c r="H98" s="26">
        <f t="shared" si="5"/>
        <v>0</v>
      </c>
      <c r="I98" s="24">
        <f t="shared" si="6"/>
        <v>0</v>
      </c>
      <c r="J98" s="24">
        <f t="shared" si="7"/>
        <v>0</v>
      </c>
      <c r="K98" s="24"/>
      <c r="L98" s="24">
        <f t="shared" si="8"/>
        <v>461.1558448</v>
      </c>
      <c r="M98" s="14">
        <f t="shared" si="9"/>
        <v>458.623861</v>
      </c>
      <c r="N98" s="27">
        <f t="shared" si="10"/>
        <v>2.531983862</v>
      </c>
      <c r="O98" s="24"/>
      <c r="P98" s="28">
        <f t="shared" si="14"/>
        <v>-188.2507071</v>
      </c>
      <c r="Q98" s="27">
        <f t="shared" si="15"/>
        <v>420.219312</v>
      </c>
      <c r="R98" s="26"/>
      <c r="S98" s="14">
        <f t="shared" si="13"/>
        <v>2.325110988</v>
      </c>
    </row>
    <row r="99">
      <c r="A99" s="11">
        <v>87.0</v>
      </c>
      <c r="B99" s="11">
        <v>1.41977391304347E9</v>
      </c>
      <c r="C99" s="2">
        <v>-102.1954956</v>
      </c>
      <c r="D99" s="24">
        <f t="shared" si="1"/>
        <v>-626086.9565</v>
      </c>
      <c r="E99" s="25">
        <f t="shared" si="2"/>
        <v>131.3163469</v>
      </c>
      <c r="F99" s="24">
        <f t="shared" si="3"/>
        <v>0.0002097413874</v>
      </c>
      <c r="G99" s="24">
        <f t="shared" si="4"/>
        <v>0</v>
      </c>
      <c r="H99" s="26">
        <f t="shared" si="5"/>
        <v>0</v>
      </c>
      <c r="I99" s="24">
        <f t="shared" si="6"/>
        <v>0</v>
      </c>
      <c r="J99" s="24">
        <f t="shared" si="7"/>
        <v>0</v>
      </c>
      <c r="K99" s="24"/>
      <c r="L99" s="24">
        <f t="shared" si="8"/>
        <v>458.7294342</v>
      </c>
      <c r="M99" s="14">
        <f t="shared" si="9"/>
        <v>458.5675243</v>
      </c>
      <c r="N99" s="27">
        <f t="shared" si="10"/>
        <v>0.1619099571</v>
      </c>
      <c r="O99" s="24"/>
      <c r="P99" s="28">
        <f t="shared" si="14"/>
        <v>-189.1690032</v>
      </c>
      <c r="Q99" s="27">
        <f t="shared" si="15"/>
        <v>418.1206697</v>
      </c>
      <c r="R99" s="26"/>
      <c r="S99" s="14">
        <f t="shared" si="13"/>
        <v>0.1486812875</v>
      </c>
    </row>
    <row r="100">
      <c r="A100" s="11">
        <v>88.0</v>
      </c>
      <c r="B100" s="11">
        <v>1.41977826086956E9</v>
      </c>
      <c r="C100" s="2">
        <v>-102.2538681</v>
      </c>
      <c r="D100" s="24">
        <f t="shared" si="1"/>
        <v>-621739.1304</v>
      </c>
      <c r="E100" s="25">
        <f t="shared" si="2"/>
        <v>130.3980508</v>
      </c>
      <c r="F100" s="24">
        <f t="shared" si="3"/>
        <v>0.0002097311306</v>
      </c>
      <c r="G100" s="24">
        <f t="shared" si="4"/>
        <v>0</v>
      </c>
      <c r="H100" s="26">
        <f t="shared" si="5"/>
        <v>0</v>
      </c>
      <c r="I100" s="24">
        <f t="shared" si="6"/>
        <v>0</v>
      </c>
      <c r="J100" s="24">
        <f t="shared" si="7"/>
        <v>0</v>
      </c>
      <c r="K100" s="24"/>
      <c r="L100" s="24">
        <f t="shared" si="8"/>
        <v>452.6050104</v>
      </c>
      <c r="M100" s="14">
        <f t="shared" si="9"/>
        <v>458.5109946</v>
      </c>
      <c r="N100" s="27">
        <f t="shared" si="10"/>
        <v>-5.905984164</v>
      </c>
      <c r="O100" s="24"/>
      <c r="P100" s="28">
        <f t="shared" si="14"/>
        <v>-190.0872994</v>
      </c>
      <c r="Q100" s="27">
        <f t="shared" si="15"/>
        <v>417.5092554</v>
      </c>
      <c r="R100" s="26"/>
      <c r="S100" s="14">
        <f t="shared" si="13"/>
        <v>-5.423442405</v>
      </c>
    </row>
    <row r="101">
      <c r="A101" s="11">
        <v>89.0</v>
      </c>
      <c r="B101" s="11">
        <v>1.41978260869565E9</v>
      </c>
      <c r="C101" s="2">
        <v>-102.2178421</v>
      </c>
      <c r="D101" s="24">
        <f t="shared" si="1"/>
        <v>-617391.3043</v>
      </c>
      <c r="E101" s="25">
        <f t="shared" si="2"/>
        <v>129.4797546</v>
      </c>
      <c r="F101" s="24">
        <f t="shared" si="3"/>
        <v>0.0002097207293</v>
      </c>
      <c r="G101" s="24">
        <f t="shared" si="4"/>
        <v>0</v>
      </c>
      <c r="H101" s="26">
        <f t="shared" si="5"/>
        <v>0</v>
      </c>
      <c r="I101" s="24">
        <f t="shared" si="6"/>
        <v>0</v>
      </c>
      <c r="J101" s="24">
        <f t="shared" si="7"/>
        <v>0</v>
      </c>
      <c r="K101" s="24"/>
      <c r="L101" s="24">
        <f t="shared" si="8"/>
        <v>456.3751171</v>
      </c>
      <c r="M101" s="14">
        <f t="shared" si="9"/>
        <v>458.4542709</v>
      </c>
      <c r="N101" s="27">
        <f t="shared" si="10"/>
        <v>-2.079153824</v>
      </c>
      <c r="O101" s="24"/>
      <c r="P101" s="28">
        <f t="shared" si="14"/>
        <v>-191.0055955</v>
      </c>
      <c r="Q101" s="27">
        <f t="shared" si="15"/>
        <v>420.800694</v>
      </c>
      <c r="R101" s="26"/>
      <c r="S101" s="14">
        <f t="shared" si="13"/>
        <v>-1.909278916</v>
      </c>
    </row>
    <row r="102">
      <c r="A102" s="11">
        <v>90.0</v>
      </c>
      <c r="B102" s="11">
        <v>1.41978695652173E9</v>
      </c>
      <c r="C102" s="2">
        <v>-102.182457</v>
      </c>
      <c r="D102" s="24">
        <f t="shared" si="1"/>
        <v>-613043.4783</v>
      </c>
      <c r="E102" s="25">
        <f t="shared" si="2"/>
        <v>128.5614585</v>
      </c>
      <c r="F102" s="24">
        <f t="shared" si="3"/>
        <v>0.0002097101805</v>
      </c>
      <c r="G102" s="24">
        <f t="shared" si="4"/>
        <v>0</v>
      </c>
      <c r="H102" s="26">
        <f t="shared" si="5"/>
        <v>0</v>
      </c>
      <c r="I102" s="24">
        <f t="shared" si="6"/>
        <v>0</v>
      </c>
      <c r="J102" s="24">
        <f t="shared" si="7"/>
        <v>0</v>
      </c>
      <c r="K102" s="24"/>
      <c r="L102" s="24">
        <f t="shared" si="8"/>
        <v>460.1087235</v>
      </c>
      <c r="M102" s="14">
        <f t="shared" si="9"/>
        <v>458.3973521</v>
      </c>
      <c r="N102" s="27">
        <f t="shared" si="10"/>
        <v>1.711371347</v>
      </c>
      <c r="O102" s="24"/>
      <c r="P102" s="28">
        <f t="shared" si="14"/>
        <v>-191.9238916</v>
      </c>
      <c r="Q102" s="27">
        <f t="shared" si="15"/>
        <v>425.6437173</v>
      </c>
      <c r="R102" s="26"/>
      <c r="S102" s="14">
        <f t="shared" si="13"/>
        <v>1.57154569</v>
      </c>
    </row>
    <row r="103">
      <c r="A103" s="11">
        <v>91.0</v>
      </c>
      <c r="B103" s="11">
        <v>1.41979130434782E9</v>
      </c>
      <c r="C103" s="2">
        <v>-102.1839218</v>
      </c>
      <c r="D103" s="24">
        <f t="shared" si="1"/>
        <v>-608695.6522</v>
      </c>
      <c r="E103" s="25">
        <f t="shared" si="2"/>
        <v>127.6431624</v>
      </c>
      <c r="F103" s="24">
        <f t="shared" si="3"/>
        <v>0.000209699481</v>
      </c>
      <c r="G103" s="24">
        <f t="shared" si="4"/>
        <v>0</v>
      </c>
      <c r="H103" s="26">
        <f t="shared" si="5"/>
        <v>0</v>
      </c>
      <c r="I103" s="24">
        <f t="shared" si="6"/>
        <v>0</v>
      </c>
      <c r="J103" s="24">
        <f t="shared" si="7"/>
        <v>0</v>
      </c>
      <c r="K103" s="24"/>
      <c r="L103" s="24">
        <f t="shared" si="8"/>
        <v>459.9535629</v>
      </c>
      <c r="M103" s="14">
        <f t="shared" si="9"/>
        <v>458.3402371</v>
      </c>
      <c r="N103" s="27">
        <f t="shared" si="10"/>
        <v>1.613325795</v>
      </c>
      <c r="O103" s="24"/>
      <c r="P103" s="28">
        <f t="shared" si="14"/>
        <v>-192.8421877</v>
      </c>
      <c r="Q103" s="27">
        <f t="shared" si="15"/>
        <v>416.5136775</v>
      </c>
      <c r="R103" s="26"/>
      <c r="S103" s="14">
        <f t="shared" si="13"/>
        <v>1.481510839</v>
      </c>
    </row>
    <row r="104">
      <c r="A104" s="11">
        <v>92.0</v>
      </c>
      <c r="B104" s="11">
        <v>1.41979565217391E9</v>
      </c>
      <c r="C104" s="2">
        <v>-102.2572098</v>
      </c>
      <c r="D104" s="24">
        <f t="shared" si="1"/>
        <v>-604347.8261</v>
      </c>
      <c r="E104" s="25">
        <f t="shared" si="2"/>
        <v>126.7248662</v>
      </c>
      <c r="F104" s="24">
        <f t="shared" si="3"/>
        <v>0.0002096886276</v>
      </c>
      <c r="G104" s="24">
        <f t="shared" si="4"/>
        <v>0</v>
      </c>
      <c r="H104" s="26">
        <f t="shared" si="5"/>
        <v>0</v>
      </c>
      <c r="I104" s="24">
        <f t="shared" si="6"/>
        <v>0</v>
      </c>
      <c r="J104" s="24">
        <f t="shared" si="7"/>
        <v>0</v>
      </c>
      <c r="K104" s="24"/>
      <c r="L104" s="24">
        <f t="shared" si="8"/>
        <v>452.2568853</v>
      </c>
      <c r="M104" s="14">
        <f t="shared" si="9"/>
        <v>458.2829249</v>
      </c>
      <c r="N104" s="27">
        <f t="shared" si="10"/>
        <v>-6.026039647</v>
      </c>
      <c r="O104" s="24"/>
      <c r="P104" s="28">
        <f t="shared" si="14"/>
        <v>-193.7604839</v>
      </c>
      <c r="Q104" s="27">
        <f t="shared" si="15"/>
        <v>417.489452</v>
      </c>
      <c r="R104" s="26"/>
      <c r="S104" s="14">
        <f t="shared" si="13"/>
        <v>-5.533688891</v>
      </c>
    </row>
    <row r="105">
      <c r="A105" s="11">
        <v>93.0</v>
      </c>
      <c r="B105" s="11">
        <v>1.4198E9</v>
      </c>
      <c r="C105" s="2">
        <v>-102.1647644</v>
      </c>
      <c r="D105" s="24">
        <f t="shared" si="1"/>
        <v>-600000</v>
      </c>
      <c r="E105" s="25">
        <f t="shared" si="2"/>
        <v>125.8065701</v>
      </c>
      <c r="F105" s="24">
        <f t="shared" si="3"/>
        <v>0.0002096776168</v>
      </c>
      <c r="G105" s="24">
        <f t="shared" si="4"/>
        <v>0</v>
      </c>
      <c r="H105" s="26">
        <f t="shared" si="5"/>
        <v>0</v>
      </c>
      <c r="I105" s="24">
        <f t="shared" si="6"/>
        <v>0</v>
      </c>
      <c r="J105" s="24">
        <f t="shared" si="7"/>
        <v>0</v>
      </c>
      <c r="K105" s="24"/>
      <c r="L105" s="24">
        <f t="shared" si="8"/>
        <v>461.9869706</v>
      </c>
      <c r="M105" s="14">
        <f t="shared" si="9"/>
        <v>458.2254143</v>
      </c>
      <c r="N105" s="27">
        <f t="shared" si="10"/>
        <v>3.7615563</v>
      </c>
      <c r="O105" s="24"/>
      <c r="P105" s="28">
        <f t="shared" si="14"/>
        <v>-194.67878</v>
      </c>
      <c r="Q105" s="27">
        <f t="shared" si="15"/>
        <v>420.5161769</v>
      </c>
      <c r="R105" s="26"/>
      <c r="S105" s="14">
        <f t="shared" si="13"/>
        <v>3.454222603</v>
      </c>
    </row>
    <row r="106">
      <c r="A106" s="11">
        <v>94.0</v>
      </c>
      <c r="B106" s="11">
        <v>1.41980434782608E9</v>
      </c>
      <c r="C106" s="2">
        <v>-102.2021103</v>
      </c>
      <c r="D106" s="24">
        <f t="shared" si="1"/>
        <v>-595652.1739</v>
      </c>
      <c r="E106" s="25">
        <f t="shared" si="2"/>
        <v>124.888274</v>
      </c>
      <c r="F106" s="24">
        <f t="shared" si="3"/>
        <v>0.0002096664454</v>
      </c>
      <c r="G106" s="24">
        <f t="shared" si="4"/>
        <v>0</v>
      </c>
      <c r="H106" s="26">
        <f t="shared" si="5"/>
        <v>0</v>
      </c>
      <c r="I106" s="24">
        <f t="shared" si="6"/>
        <v>0</v>
      </c>
      <c r="J106" s="24">
        <f t="shared" si="7"/>
        <v>0</v>
      </c>
      <c r="K106" s="24"/>
      <c r="L106" s="24">
        <f t="shared" si="8"/>
        <v>458.0312794</v>
      </c>
      <c r="M106" s="14">
        <f t="shared" si="9"/>
        <v>458.1677044</v>
      </c>
      <c r="N106" s="27">
        <f t="shared" si="10"/>
        <v>-0.1364250019</v>
      </c>
      <c r="O106" s="24"/>
      <c r="P106" s="28">
        <f t="shared" si="14"/>
        <v>-195.5970761</v>
      </c>
      <c r="Q106" s="27">
        <f t="shared" si="15"/>
        <v>416.2225613</v>
      </c>
      <c r="R106" s="26"/>
      <c r="S106" s="14">
        <f t="shared" si="13"/>
        <v>-0.1252785517</v>
      </c>
    </row>
    <row r="107">
      <c r="A107" s="11">
        <v>95.0</v>
      </c>
      <c r="B107" s="11">
        <v>1.41980869565217E9</v>
      </c>
      <c r="C107" s="2">
        <v>-102.2277222</v>
      </c>
      <c r="D107" s="24">
        <f t="shared" si="1"/>
        <v>-591304.3478</v>
      </c>
      <c r="E107" s="25">
        <f t="shared" si="2"/>
        <v>123.9699778</v>
      </c>
      <c r="F107" s="24">
        <f t="shared" si="3"/>
        <v>0.0002096551096</v>
      </c>
      <c r="G107" s="24">
        <f t="shared" si="4"/>
        <v>0</v>
      </c>
      <c r="H107" s="26">
        <f t="shared" si="5"/>
        <v>0</v>
      </c>
      <c r="I107" s="24">
        <f t="shared" si="6"/>
        <v>0</v>
      </c>
      <c r="J107" s="24">
        <f t="shared" si="7"/>
        <v>0</v>
      </c>
      <c r="K107" s="24"/>
      <c r="L107" s="24">
        <f t="shared" si="8"/>
        <v>455.3380542</v>
      </c>
      <c r="M107" s="14">
        <f t="shared" si="9"/>
        <v>458.1097939</v>
      </c>
      <c r="N107" s="27">
        <f t="shared" si="10"/>
        <v>-2.771739677</v>
      </c>
      <c r="O107" s="24"/>
      <c r="P107" s="28">
        <f t="shared" si="14"/>
        <v>-196.5153723</v>
      </c>
      <c r="Q107" s="27">
        <f t="shared" si="15"/>
        <v>416.6951804</v>
      </c>
      <c r="R107" s="26"/>
      <c r="S107" s="14">
        <f t="shared" si="13"/>
        <v>-2.545277821</v>
      </c>
    </row>
    <row r="108">
      <c r="A108" s="11">
        <v>96.0</v>
      </c>
      <c r="B108" s="11">
        <v>1.41981304347826E9</v>
      </c>
      <c r="C108" s="2">
        <v>-102.2720337</v>
      </c>
      <c r="D108" s="24">
        <f t="shared" si="1"/>
        <v>-586956.5217</v>
      </c>
      <c r="E108" s="25">
        <f t="shared" si="2"/>
        <v>123.0516817</v>
      </c>
      <c r="F108" s="24">
        <f t="shared" si="3"/>
        <v>0.0002096436059</v>
      </c>
      <c r="G108" s="24">
        <f t="shared" si="4"/>
        <v>0</v>
      </c>
      <c r="H108" s="26">
        <f t="shared" si="5"/>
        <v>0</v>
      </c>
      <c r="I108" s="24">
        <f t="shared" si="6"/>
        <v>0</v>
      </c>
      <c r="J108" s="24">
        <f t="shared" si="7"/>
        <v>0</v>
      </c>
      <c r="K108" s="24"/>
      <c r="L108" s="24">
        <f t="shared" si="8"/>
        <v>450.7158153</v>
      </c>
      <c r="M108" s="14">
        <f t="shared" si="9"/>
        <v>458.0516819</v>
      </c>
      <c r="N108" s="27">
        <f t="shared" si="10"/>
        <v>-7.335866657</v>
      </c>
      <c r="O108" s="24"/>
      <c r="P108" s="28">
        <f t="shared" si="14"/>
        <v>-197.4336684</v>
      </c>
      <c r="Q108" s="27">
        <f t="shared" si="15"/>
        <v>415.840321</v>
      </c>
      <c r="R108" s="26"/>
      <c r="S108" s="14">
        <f t="shared" si="13"/>
        <v>-6.736497981</v>
      </c>
    </row>
    <row r="109">
      <c r="A109" s="11">
        <v>97.0</v>
      </c>
      <c r="B109" s="11">
        <v>1.41981739130434E9</v>
      </c>
      <c r="C109" s="2">
        <v>-102.2513123</v>
      </c>
      <c r="D109" s="24">
        <f t="shared" si="1"/>
        <v>-582608.6957</v>
      </c>
      <c r="E109" s="25">
        <f t="shared" si="2"/>
        <v>122.1333856</v>
      </c>
      <c r="F109" s="24">
        <f t="shared" si="3"/>
        <v>0.0002096319305</v>
      </c>
      <c r="G109" s="24">
        <f t="shared" si="4"/>
        <v>0</v>
      </c>
      <c r="H109" s="26">
        <f t="shared" si="5"/>
        <v>0</v>
      </c>
      <c r="I109" s="24">
        <f t="shared" si="6"/>
        <v>0</v>
      </c>
      <c r="J109" s="24">
        <f t="shared" si="7"/>
        <v>0</v>
      </c>
      <c r="K109" s="24"/>
      <c r="L109" s="24">
        <f t="shared" si="8"/>
        <v>452.8714445</v>
      </c>
      <c r="M109" s="14">
        <f t="shared" si="9"/>
        <v>457.9933673</v>
      </c>
      <c r="N109" s="27">
        <f t="shared" si="10"/>
        <v>-5.121922792</v>
      </c>
      <c r="O109" s="24"/>
      <c r="P109" s="28">
        <f t="shared" si="14"/>
        <v>-198.3519645</v>
      </c>
      <c r="Q109" s="27">
        <f t="shared" si="15"/>
        <v>418.3021313</v>
      </c>
      <c r="R109" s="26"/>
      <c r="S109" s="14">
        <f t="shared" si="13"/>
        <v>-4.703441892</v>
      </c>
    </row>
    <row r="110">
      <c r="A110" s="11">
        <v>98.0</v>
      </c>
      <c r="B110" s="11">
        <v>1.41982173913043E9</v>
      </c>
      <c r="C110" s="2">
        <v>-102.172142</v>
      </c>
      <c r="D110" s="24">
        <f t="shared" si="1"/>
        <v>-578260.8696</v>
      </c>
      <c r="E110" s="25">
        <f t="shared" si="2"/>
        <v>121.2150894</v>
      </c>
      <c r="F110" s="24">
        <f t="shared" si="3"/>
        <v>0.0002096200795</v>
      </c>
      <c r="G110" s="24">
        <f t="shared" si="4"/>
        <v>0</v>
      </c>
      <c r="H110" s="26">
        <f t="shared" si="5"/>
        <v>0</v>
      </c>
      <c r="I110" s="24">
        <f t="shared" si="6"/>
        <v>0</v>
      </c>
      <c r="J110" s="24">
        <f t="shared" si="7"/>
        <v>0</v>
      </c>
      <c r="K110" s="24"/>
      <c r="L110" s="24">
        <f t="shared" si="8"/>
        <v>461.2028341</v>
      </c>
      <c r="M110" s="14">
        <f t="shared" si="9"/>
        <v>457.9348489</v>
      </c>
      <c r="N110" s="27">
        <f t="shared" si="10"/>
        <v>3.267985184</v>
      </c>
      <c r="O110" s="24"/>
      <c r="P110" s="28">
        <f t="shared" si="14"/>
        <v>-199.2702607</v>
      </c>
      <c r="Q110" s="27">
        <f t="shared" si="15"/>
        <v>418.0038938</v>
      </c>
      <c r="R110" s="26"/>
      <c r="S110" s="14">
        <f t="shared" si="13"/>
        <v>3.00097815</v>
      </c>
    </row>
    <row r="111">
      <c r="A111" s="11">
        <v>99.0</v>
      </c>
      <c r="B111" s="11">
        <v>1.41982608695652E9</v>
      </c>
      <c r="C111" s="2">
        <v>-102.2641602</v>
      </c>
      <c r="D111" s="24">
        <f t="shared" si="1"/>
        <v>-573913.0435</v>
      </c>
      <c r="E111" s="25">
        <f t="shared" si="2"/>
        <v>120.2967933</v>
      </c>
      <c r="F111" s="24">
        <f t="shared" si="3"/>
        <v>0.000209608049</v>
      </c>
      <c r="G111" s="24">
        <f t="shared" si="4"/>
        <v>0</v>
      </c>
      <c r="H111" s="26">
        <f t="shared" si="5"/>
        <v>0</v>
      </c>
      <c r="I111" s="24">
        <f t="shared" si="6"/>
        <v>0</v>
      </c>
      <c r="J111" s="24">
        <f t="shared" si="7"/>
        <v>0</v>
      </c>
      <c r="K111" s="24"/>
      <c r="L111" s="24">
        <f t="shared" si="8"/>
        <v>451.5336773</v>
      </c>
      <c r="M111" s="14">
        <f t="shared" si="9"/>
        <v>457.8761258</v>
      </c>
      <c r="N111" s="27">
        <f t="shared" si="10"/>
        <v>-6.34244849</v>
      </c>
      <c r="O111" s="24"/>
      <c r="P111" s="28">
        <f t="shared" si="14"/>
        <v>-200.1885568</v>
      </c>
      <c r="Q111" s="27">
        <f t="shared" si="15"/>
        <v>415.0907613</v>
      </c>
      <c r="R111" s="26"/>
      <c r="S111" s="14">
        <f t="shared" si="13"/>
        <v>-5.824245921</v>
      </c>
    </row>
    <row r="112">
      <c r="A112" s="11">
        <v>100.0</v>
      </c>
      <c r="B112" s="11">
        <v>1.4198304347826E9</v>
      </c>
      <c r="C112" s="2">
        <v>-102.1825714</v>
      </c>
      <c r="D112" s="24">
        <f t="shared" si="1"/>
        <v>-569565.2174</v>
      </c>
      <c r="E112" s="25">
        <f t="shared" si="2"/>
        <v>119.3784972</v>
      </c>
      <c r="F112" s="24">
        <f t="shared" si="3"/>
        <v>0.0002095958347</v>
      </c>
      <c r="G112" s="24">
        <f t="shared" si="4"/>
        <v>0</v>
      </c>
      <c r="H112" s="26">
        <f t="shared" si="5"/>
        <v>0</v>
      </c>
      <c r="I112" s="24">
        <f t="shared" si="6"/>
        <v>0</v>
      </c>
      <c r="J112" s="24">
        <f t="shared" si="7"/>
        <v>0</v>
      </c>
      <c r="K112" s="24"/>
      <c r="L112" s="24">
        <f t="shared" si="8"/>
        <v>460.0966036</v>
      </c>
      <c r="M112" s="14">
        <f t="shared" si="9"/>
        <v>457.8171968</v>
      </c>
      <c r="N112" s="27">
        <f t="shared" si="10"/>
        <v>2.279406841</v>
      </c>
      <c r="O112" s="24"/>
      <c r="P112" s="28">
        <f t="shared" si="14"/>
        <v>-201.1068529</v>
      </c>
      <c r="Q112" s="27">
        <f t="shared" si="15"/>
        <v>413.8420506</v>
      </c>
      <c r="R112" s="26"/>
      <c r="S112" s="14">
        <f t="shared" si="13"/>
        <v>2.093170487</v>
      </c>
      <c r="U112" s="21"/>
      <c r="V112" s="21"/>
    </row>
    <row r="113">
      <c r="A113" s="11">
        <v>101.0</v>
      </c>
      <c r="B113" s="11">
        <v>1.41983478260869E9</v>
      </c>
      <c r="C113" s="2">
        <v>-102.2422256</v>
      </c>
      <c r="D113" s="24">
        <f t="shared" si="1"/>
        <v>-565217.3913</v>
      </c>
      <c r="E113" s="25">
        <f t="shared" si="2"/>
        <v>118.460201</v>
      </c>
      <c r="F113" s="24">
        <f t="shared" si="3"/>
        <v>0.0002095834326</v>
      </c>
      <c r="G113" s="24">
        <f t="shared" si="4"/>
        <v>0</v>
      </c>
      <c r="H113" s="26">
        <f t="shared" si="5"/>
        <v>0</v>
      </c>
      <c r="I113" s="24">
        <f t="shared" si="6"/>
        <v>0</v>
      </c>
      <c r="J113" s="24">
        <f t="shared" si="7"/>
        <v>0</v>
      </c>
      <c r="K113" s="24"/>
      <c r="L113" s="24">
        <f t="shared" si="8"/>
        <v>453.8199748</v>
      </c>
      <c r="M113" s="14">
        <f t="shared" si="9"/>
        <v>457.7580609</v>
      </c>
      <c r="N113" s="27">
        <f t="shared" si="10"/>
        <v>-3.93808605</v>
      </c>
      <c r="O113" s="24"/>
      <c r="P113" s="28">
        <f t="shared" si="14"/>
        <v>-202.0251491</v>
      </c>
      <c r="Q113" s="27">
        <f t="shared" si="15"/>
        <v>417.6075458</v>
      </c>
      <c r="R113" s="26"/>
      <c r="S113" s="14">
        <f t="shared" si="13"/>
        <v>-3.616329191</v>
      </c>
      <c r="U113" s="21"/>
      <c r="V113" s="21"/>
    </row>
    <row r="114">
      <c r="A114" s="11">
        <v>102.0</v>
      </c>
      <c r="B114" s="11">
        <v>1.41983913043478E9</v>
      </c>
      <c r="C114" s="2">
        <v>-102.2653351</v>
      </c>
      <c r="D114" s="24">
        <f t="shared" si="1"/>
        <v>-560869.5652</v>
      </c>
      <c r="E114" s="25">
        <f t="shared" si="2"/>
        <v>117.5419049</v>
      </c>
      <c r="F114" s="24">
        <f t="shared" si="3"/>
        <v>0.0002095708382</v>
      </c>
      <c r="G114" s="24">
        <f t="shared" si="4"/>
        <v>0</v>
      </c>
      <c r="H114" s="26">
        <f t="shared" si="5"/>
        <v>0</v>
      </c>
      <c r="I114" s="24">
        <f t="shared" si="6"/>
        <v>0</v>
      </c>
      <c r="J114" s="24">
        <f t="shared" si="7"/>
        <v>0</v>
      </c>
      <c r="K114" s="24"/>
      <c r="L114" s="24">
        <f t="shared" si="8"/>
        <v>451.4115401</v>
      </c>
      <c r="M114" s="14">
        <f t="shared" si="9"/>
        <v>457.6987169</v>
      </c>
      <c r="N114" s="27">
        <f t="shared" si="10"/>
        <v>-6.287176857</v>
      </c>
      <c r="O114" s="24"/>
      <c r="P114" s="28">
        <f t="shared" si="14"/>
        <v>-202.9434452</v>
      </c>
      <c r="Q114" s="27">
        <f t="shared" si="15"/>
        <v>417.4073166</v>
      </c>
      <c r="R114" s="26"/>
      <c r="S114" s="14">
        <f t="shared" si="13"/>
        <v>-5.773490181</v>
      </c>
      <c r="U114" s="21"/>
      <c r="V114" s="21"/>
    </row>
    <row r="115">
      <c r="A115" s="11">
        <v>103.0</v>
      </c>
      <c r="B115" s="11">
        <v>1.41984347826087E9</v>
      </c>
      <c r="C115" s="2">
        <v>-102.2197495</v>
      </c>
      <c r="D115" s="24">
        <f t="shared" si="1"/>
        <v>-556521.7391</v>
      </c>
      <c r="E115" s="25">
        <f t="shared" si="2"/>
        <v>116.6236088</v>
      </c>
      <c r="F115" s="24">
        <f t="shared" si="3"/>
        <v>0.000209558047</v>
      </c>
      <c r="G115" s="24">
        <f t="shared" si="4"/>
        <v>0</v>
      </c>
      <c r="H115" s="26">
        <f t="shared" si="5"/>
        <v>0</v>
      </c>
      <c r="I115" s="24">
        <f t="shared" si="6"/>
        <v>0</v>
      </c>
      <c r="J115" s="24">
        <f t="shared" si="7"/>
        <v>0</v>
      </c>
      <c r="K115" s="24"/>
      <c r="L115" s="24">
        <f t="shared" si="8"/>
        <v>456.1747234</v>
      </c>
      <c r="M115" s="14">
        <f t="shared" si="9"/>
        <v>457.6391639</v>
      </c>
      <c r="N115" s="27">
        <f t="shared" si="10"/>
        <v>-1.464440538</v>
      </c>
      <c r="O115" s="24"/>
      <c r="P115" s="28">
        <f t="shared" si="14"/>
        <v>-203.8617413</v>
      </c>
      <c r="Q115" s="27">
        <f t="shared" si="15"/>
        <v>416.5202663</v>
      </c>
      <c r="R115" s="26"/>
      <c r="S115" s="14">
        <f t="shared" si="13"/>
        <v>-1.344790083</v>
      </c>
      <c r="U115" s="21"/>
      <c r="V115" s="21"/>
    </row>
    <row r="116">
      <c r="A116" s="11">
        <v>104.0</v>
      </c>
      <c r="B116" s="11">
        <v>1.41984782608695E9</v>
      </c>
      <c r="C116" s="2">
        <v>-102.2382736</v>
      </c>
      <c r="D116" s="24">
        <f t="shared" si="1"/>
        <v>-552173.913</v>
      </c>
      <c r="E116" s="25">
        <f t="shared" si="2"/>
        <v>115.7053126</v>
      </c>
      <c r="F116" s="24">
        <f t="shared" si="3"/>
        <v>0.0002095450544</v>
      </c>
      <c r="G116" s="24">
        <f t="shared" si="4"/>
        <v>0</v>
      </c>
      <c r="H116" s="26">
        <f t="shared" si="5"/>
        <v>0</v>
      </c>
      <c r="I116" s="24">
        <f t="shared" si="6"/>
        <v>0</v>
      </c>
      <c r="J116" s="24">
        <f t="shared" si="7"/>
        <v>0</v>
      </c>
      <c r="K116" s="24"/>
      <c r="L116" s="24">
        <f t="shared" si="8"/>
        <v>454.2331306</v>
      </c>
      <c r="M116" s="14">
        <f t="shared" si="9"/>
        <v>457.5794008</v>
      </c>
      <c r="N116" s="27">
        <f t="shared" si="10"/>
        <v>-3.346270141</v>
      </c>
      <c r="O116" s="24"/>
      <c r="P116" s="28">
        <f t="shared" si="14"/>
        <v>-204.7800375</v>
      </c>
      <c r="Q116" s="27">
        <f t="shared" si="15"/>
        <v>423.5001294</v>
      </c>
      <c r="R116" s="26"/>
      <c r="S116" s="14">
        <f t="shared" si="13"/>
        <v>-3.07286693</v>
      </c>
      <c r="U116" s="21"/>
      <c r="V116" s="21"/>
    </row>
    <row r="117">
      <c r="A117" s="11">
        <v>105.0</v>
      </c>
      <c r="B117" s="11">
        <v>1.41985217391304E9</v>
      </c>
      <c r="C117" s="2">
        <v>-102.2745972</v>
      </c>
      <c r="D117" s="24">
        <f t="shared" si="1"/>
        <v>-547826.087</v>
      </c>
      <c r="E117" s="25">
        <f t="shared" si="2"/>
        <v>114.7870165</v>
      </c>
      <c r="F117" s="24">
        <f t="shared" si="3"/>
        <v>0.0002095318555</v>
      </c>
      <c r="G117" s="24">
        <f t="shared" si="4"/>
        <v>0</v>
      </c>
      <c r="H117" s="26">
        <f t="shared" si="5"/>
        <v>0</v>
      </c>
      <c r="I117" s="24">
        <f t="shared" si="6"/>
        <v>0</v>
      </c>
      <c r="J117" s="24">
        <f t="shared" si="7"/>
        <v>0</v>
      </c>
      <c r="K117" s="24"/>
      <c r="L117" s="24">
        <f t="shared" si="8"/>
        <v>450.4498508</v>
      </c>
      <c r="M117" s="14">
        <f t="shared" si="9"/>
        <v>457.5194264</v>
      </c>
      <c r="N117" s="27">
        <f t="shared" si="10"/>
        <v>-7.069575578</v>
      </c>
      <c r="O117" s="24"/>
      <c r="P117" s="28">
        <f t="shared" si="14"/>
        <v>-205.6983336</v>
      </c>
      <c r="Q117" s="27">
        <f t="shared" si="15"/>
        <v>415.9813379</v>
      </c>
      <c r="R117" s="26"/>
      <c r="S117" s="14">
        <f t="shared" si="13"/>
        <v>-6.491963899</v>
      </c>
      <c r="U117" s="21"/>
      <c r="V117" s="21"/>
    </row>
    <row r="118">
      <c r="A118" s="11">
        <v>106.0</v>
      </c>
      <c r="B118" s="11">
        <v>1.41985652173913E9</v>
      </c>
      <c r="C118" s="2">
        <v>-102.3104935</v>
      </c>
      <c r="D118" s="24">
        <f t="shared" si="1"/>
        <v>-543478.2609</v>
      </c>
      <c r="E118" s="25">
        <f t="shared" si="2"/>
        <v>113.8687204</v>
      </c>
      <c r="F118" s="24">
        <f t="shared" si="3"/>
        <v>0.0002095184455</v>
      </c>
      <c r="G118" s="24">
        <f t="shared" si="4"/>
        <v>0</v>
      </c>
      <c r="H118" s="26">
        <f t="shared" si="5"/>
        <v>0</v>
      </c>
      <c r="I118" s="24">
        <f t="shared" si="6"/>
        <v>0</v>
      </c>
      <c r="J118" s="24">
        <f t="shared" si="7"/>
        <v>0</v>
      </c>
      <c r="K118" s="24"/>
      <c r="L118" s="24">
        <f t="shared" si="8"/>
        <v>446.7420342</v>
      </c>
      <c r="M118" s="14">
        <f t="shared" si="9"/>
        <v>457.4592396</v>
      </c>
      <c r="N118" s="27">
        <f t="shared" si="10"/>
        <v>-10.71720546</v>
      </c>
      <c r="O118" s="24"/>
      <c r="P118" s="28">
        <f t="shared" si="14"/>
        <v>-206.6166297</v>
      </c>
      <c r="Q118" s="27">
        <f t="shared" si="15"/>
        <v>412.5470989</v>
      </c>
      <c r="R118" s="26"/>
      <c r="S118" s="14">
        <f t="shared" si="13"/>
        <v>-9.841568324</v>
      </c>
      <c r="U118" s="21"/>
      <c r="V118" s="21"/>
    </row>
    <row r="119">
      <c r="A119" s="11">
        <v>107.0</v>
      </c>
      <c r="B119" s="11">
        <v>1.41986086956521E9</v>
      </c>
      <c r="C119" s="2">
        <v>-102.2492218</v>
      </c>
      <c r="D119" s="24">
        <f t="shared" si="1"/>
        <v>-539130.4348</v>
      </c>
      <c r="E119" s="25">
        <f t="shared" si="2"/>
        <v>112.9504243</v>
      </c>
      <c r="F119" s="24">
        <f t="shared" si="3"/>
        <v>0.0002095048192</v>
      </c>
      <c r="G119" s="24">
        <f t="shared" si="4"/>
        <v>0</v>
      </c>
      <c r="H119" s="26">
        <f t="shared" si="5"/>
        <v>0</v>
      </c>
      <c r="I119" s="24">
        <f t="shared" si="6"/>
        <v>0</v>
      </c>
      <c r="J119" s="24">
        <f t="shared" si="7"/>
        <v>0</v>
      </c>
      <c r="K119" s="24"/>
      <c r="L119" s="24">
        <f t="shared" si="8"/>
        <v>453.0894891</v>
      </c>
      <c r="M119" s="14">
        <f t="shared" si="9"/>
        <v>457.3988395</v>
      </c>
      <c r="N119" s="27">
        <f t="shared" si="10"/>
        <v>-4.30935047</v>
      </c>
      <c r="O119" s="24"/>
      <c r="P119" s="28">
        <f t="shared" si="14"/>
        <v>-207.5349259</v>
      </c>
      <c r="Q119" s="27">
        <f t="shared" si="15"/>
        <v>412.7130936</v>
      </c>
      <c r="R119" s="26"/>
      <c r="S119" s="14">
        <f t="shared" si="13"/>
        <v>-3.957259872</v>
      </c>
      <c r="U119" s="21"/>
      <c r="V119" s="21"/>
    </row>
    <row r="120">
      <c r="A120" s="11">
        <v>108.0</v>
      </c>
      <c r="B120" s="11">
        <v>1.4198652173913E9</v>
      </c>
      <c r="C120" s="2">
        <v>-102.2410049</v>
      </c>
      <c r="D120" s="24">
        <f t="shared" si="1"/>
        <v>-534782.6087</v>
      </c>
      <c r="E120" s="25">
        <f t="shared" si="2"/>
        <v>112.0321281</v>
      </c>
      <c r="F120" s="24">
        <f t="shared" si="3"/>
        <v>0.0002094909713</v>
      </c>
      <c r="G120" s="24">
        <f t="shared" si="4"/>
        <v>0</v>
      </c>
      <c r="H120" s="26">
        <f t="shared" si="5"/>
        <v>0</v>
      </c>
      <c r="I120" s="24">
        <f t="shared" si="6"/>
        <v>0</v>
      </c>
      <c r="J120" s="24">
        <f t="shared" si="7"/>
        <v>0</v>
      </c>
      <c r="K120" s="24"/>
      <c r="L120" s="24">
        <f t="shared" si="8"/>
        <v>453.9475509</v>
      </c>
      <c r="M120" s="14">
        <f t="shared" si="9"/>
        <v>457.338225</v>
      </c>
      <c r="N120" s="27">
        <f t="shared" si="10"/>
        <v>-3.390674076</v>
      </c>
      <c r="O120" s="24"/>
      <c r="P120" s="28">
        <f t="shared" si="14"/>
        <v>-208.453222</v>
      </c>
      <c r="Q120" s="27">
        <f t="shared" si="15"/>
        <v>424.0227198</v>
      </c>
      <c r="R120" s="26"/>
      <c r="S120" s="14">
        <f t="shared" si="13"/>
        <v>-3.113642884</v>
      </c>
      <c r="U120" s="21"/>
      <c r="V120" s="21"/>
    </row>
    <row r="121">
      <c r="A121" s="11">
        <v>109.0</v>
      </c>
      <c r="B121" s="11">
        <v>1.41986956521739E9</v>
      </c>
      <c r="C121" s="2">
        <v>-102.2077179</v>
      </c>
      <c r="D121" s="24">
        <f t="shared" si="1"/>
        <v>-530434.7826</v>
      </c>
      <c r="E121" s="25">
        <f t="shared" si="2"/>
        <v>111.113832</v>
      </c>
      <c r="F121" s="24">
        <f t="shared" si="3"/>
        <v>0.0002094768964</v>
      </c>
      <c r="G121" s="24">
        <f t="shared" si="4"/>
        <v>0</v>
      </c>
      <c r="H121" s="26">
        <f t="shared" si="5"/>
        <v>0</v>
      </c>
      <c r="I121" s="24">
        <f t="shared" si="6"/>
        <v>0</v>
      </c>
      <c r="J121" s="24">
        <f t="shared" si="7"/>
        <v>0</v>
      </c>
      <c r="K121" s="24"/>
      <c r="L121" s="24">
        <f t="shared" si="8"/>
        <v>457.4402521</v>
      </c>
      <c r="M121" s="14">
        <f t="shared" si="9"/>
        <v>457.2773949</v>
      </c>
      <c r="N121" s="27">
        <f t="shared" si="10"/>
        <v>0.1628572275</v>
      </c>
      <c r="O121" s="24"/>
      <c r="P121" s="28">
        <f t="shared" si="14"/>
        <v>-209.3715181</v>
      </c>
      <c r="Q121" s="27">
        <f t="shared" si="15"/>
        <v>409.3151857</v>
      </c>
      <c r="R121" s="26"/>
      <c r="S121" s="14">
        <f t="shared" si="13"/>
        <v>0.1495511622</v>
      </c>
      <c r="U121" s="21"/>
      <c r="V121" s="21"/>
    </row>
    <row r="122">
      <c r="A122" s="11">
        <v>110.0</v>
      </c>
      <c r="B122" s="11">
        <v>1.41987391304347E9</v>
      </c>
      <c r="C122" s="2">
        <v>-102.2061081</v>
      </c>
      <c r="D122" s="24">
        <f t="shared" si="1"/>
        <v>-526086.9565</v>
      </c>
      <c r="E122" s="25">
        <f t="shared" si="2"/>
        <v>110.1955359</v>
      </c>
      <c r="F122" s="24">
        <f t="shared" si="3"/>
        <v>0.0002094625888</v>
      </c>
      <c r="G122" s="24">
        <f t="shared" si="4"/>
        <v>0</v>
      </c>
      <c r="H122" s="26">
        <f t="shared" si="5"/>
        <v>0</v>
      </c>
      <c r="I122" s="24">
        <f t="shared" si="6"/>
        <v>0</v>
      </c>
      <c r="J122" s="24">
        <f t="shared" si="7"/>
        <v>0</v>
      </c>
      <c r="K122" s="24"/>
      <c r="L122" s="24">
        <f t="shared" si="8"/>
        <v>457.609843</v>
      </c>
      <c r="M122" s="14">
        <f t="shared" si="9"/>
        <v>457.2163482</v>
      </c>
      <c r="N122" s="27">
        <f t="shared" si="10"/>
        <v>0.3934948014</v>
      </c>
      <c r="O122" s="24"/>
      <c r="P122" s="28">
        <f t="shared" si="14"/>
        <v>-210.2898143</v>
      </c>
      <c r="Q122" s="27">
        <f t="shared" si="15"/>
        <v>418.3396102</v>
      </c>
      <c r="R122" s="26"/>
      <c r="S122" s="14">
        <f t="shared" si="13"/>
        <v>0.3613447544</v>
      </c>
      <c r="U122" s="21"/>
      <c r="V122" s="21"/>
    </row>
    <row r="123">
      <c r="A123" s="11">
        <v>111.0</v>
      </c>
      <c r="B123" s="11">
        <v>1.41987826086956E9</v>
      </c>
      <c r="C123" s="2">
        <v>-102.2084351</v>
      </c>
      <c r="D123" s="24">
        <f t="shared" si="1"/>
        <v>-521739.1304</v>
      </c>
      <c r="E123" s="25">
        <f t="shared" si="2"/>
        <v>109.2772397</v>
      </c>
      <c r="F123" s="24">
        <f t="shared" si="3"/>
        <v>0.0002094480428</v>
      </c>
      <c r="G123" s="24">
        <f t="shared" si="4"/>
        <v>0</v>
      </c>
      <c r="H123" s="26">
        <f t="shared" si="5"/>
        <v>0</v>
      </c>
      <c r="I123" s="24">
        <f t="shared" si="6"/>
        <v>0</v>
      </c>
      <c r="J123" s="24">
        <f t="shared" si="7"/>
        <v>0</v>
      </c>
      <c r="K123" s="24"/>
      <c r="L123" s="24">
        <f t="shared" si="8"/>
        <v>457.364716</v>
      </c>
      <c r="M123" s="14">
        <f t="shared" si="9"/>
        <v>457.1550838</v>
      </c>
      <c r="N123" s="27">
        <f t="shared" si="10"/>
        <v>0.2096322212</v>
      </c>
      <c r="O123" s="24"/>
      <c r="P123" s="28">
        <f t="shared" si="14"/>
        <v>-211.2081104</v>
      </c>
      <c r="Q123" s="27">
        <f t="shared" si="15"/>
        <v>412.4101519</v>
      </c>
      <c r="R123" s="26"/>
      <c r="S123" s="14">
        <f t="shared" si="13"/>
        <v>0.1925044576</v>
      </c>
      <c r="U123" s="21"/>
      <c r="V123" s="21"/>
    </row>
    <row r="124">
      <c r="A124" s="11">
        <v>112.0</v>
      </c>
      <c r="B124" s="11">
        <v>1.41988260869565E9</v>
      </c>
      <c r="C124" s="2">
        <v>-102.2378006</v>
      </c>
      <c r="D124" s="24">
        <f t="shared" si="1"/>
        <v>-517391.3043</v>
      </c>
      <c r="E124" s="25">
        <f t="shared" si="2"/>
        <v>108.3589436</v>
      </c>
      <c r="F124" s="24">
        <f t="shared" si="3"/>
        <v>0.0002094332523</v>
      </c>
      <c r="G124" s="24">
        <f t="shared" si="4"/>
        <v>0</v>
      </c>
      <c r="H124" s="26">
        <f t="shared" si="5"/>
        <v>0</v>
      </c>
      <c r="I124" s="24">
        <f t="shared" si="6"/>
        <v>0</v>
      </c>
      <c r="J124" s="24">
        <f t="shared" si="7"/>
        <v>0</v>
      </c>
      <c r="K124" s="24"/>
      <c r="L124" s="24">
        <f t="shared" si="8"/>
        <v>454.2826049</v>
      </c>
      <c r="M124" s="14">
        <f t="shared" si="9"/>
        <v>457.0936007</v>
      </c>
      <c r="N124" s="27">
        <f t="shared" si="10"/>
        <v>-2.810995799</v>
      </c>
      <c r="O124" s="24"/>
      <c r="P124" s="28"/>
      <c r="Q124" s="27"/>
      <c r="R124" s="26"/>
      <c r="S124" s="14">
        <f t="shared" si="13"/>
        <v>-2.581326571</v>
      </c>
      <c r="U124" s="21"/>
      <c r="V124" s="21"/>
    </row>
    <row r="125">
      <c r="A125" s="11">
        <v>113.0</v>
      </c>
      <c r="B125" s="11">
        <v>1.41988695652173E9</v>
      </c>
      <c r="C125" s="2">
        <v>-102.2545929</v>
      </c>
      <c r="D125" s="24">
        <f t="shared" si="1"/>
        <v>-513043.4783</v>
      </c>
      <c r="E125" s="25">
        <f t="shared" si="2"/>
        <v>107.4406475</v>
      </c>
      <c r="F125" s="24">
        <f t="shared" si="3"/>
        <v>0.0002094182111</v>
      </c>
      <c r="G125" s="24">
        <f t="shared" si="4"/>
        <v>0</v>
      </c>
      <c r="H125" s="26">
        <f t="shared" si="5"/>
        <v>0</v>
      </c>
      <c r="I125" s="24">
        <f t="shared" si="6"/>
        <v>0</v>
      </c>
      <c r="J125" s="24">
        <f t="shared" si="7"/>
        <v>0</v>
      </c>
      <c r="K125" s="24"/>
      <c r="L125" s="24">
        <f t="shared" si="8"/>
        <v>452.5294809</v>
      </c>
      <c r="M125" s="14">
        <f t="shared" si="9"/>
        <v>457.0318977</v>
      </c>
      <c r="N125" s="27">
        <f t="shared" si="10"/>
        <v>-4.502416826</v>
      </c>
      <c r="O125" s="24"/>
      <c r="P125" s="24"/>
      <c r="Q125" s="24"/>
      <c r="R125" s="26"/>
      <c r="S125" s="14">
        <f t="shared" si="13"/>
        <v>-4.134551959</v>
      </c>
      <c r="U125" s="21"/>
      <c r="V125" s="21"/>
    </row>
    <row r="126">
      <c r="A126" s="11">
        <v>114.0</v>
      </c>
      <c r="B126" s="11">
        <v>1.41989130434782E9</v>
      </c>
      <c r="C126" s="2">
        <v>-102.2485504</v>
      </c>
      <c r="D126" s="24">
        <f t="shared" si="1"/>
        <v>-508695.6522</v>
      </c>
      <c r="E126" s="25">
        <f t="shared" si="2"/>
        <v>106.5223513</v>
      </c>
      <c r="F126" s="24">
        <f t="shared" si="3"/>
        <v>0.0002094029129</v>
      </c>
      <c r="G126" s="24">
        <f t="shared" si="4"/>
        <v>0</v>
      </c>
      <c r="H126" s="26">
        <f t="shared" si="5"/>
        <v>0</v>
      </c>
      <c r="I126" s="24">
        <f t="shared" si="6"/>
        <v>0</v>
      </c>
      <c r="J126" s="24">
        <f t="shared" si="7"/>
        <v>0</v>
      </c>
      <c r="K126" s="24"/>
      <c r="L126" s="24">
        <f t="shared" si="8"/>
        <v>453.1595401</v>
      </c>
      <c r="M126" s="14">
        <f t="shared" si="9"/>
        <v>456.9699738</v>
      </c>
      <c r="N126" s="27">
        <f t="shared" si="10"/>
        <v>-3.8104337</v>
      </c>
      <c r="O126" s="24"/>
      <c r="P126" s="24"/>
      <c r="Q126" s="24"/>
      <c r="R126" s="26"/>
      <c r="S126" s="14">
        <f t="shared" si="13"/>
        <v>-3.499106531</v>
      </c>
      <c r="U126" s="21"/>
      <c r="V126" s="21"/>
    </row>
    <row r="127">
      <c r="A127" s="11">
        <v>115.0</v>
      </c>
      <c r="B127" s="11">
        <v>1.41989565217391E9</v>
      </c>
      <c r="C127" s="2">
        <v>-102.2666245</v>
      </c>
      <c r="D127" s="24">
        <f t="shared" si="1"/>
        <v>-504347.8261</v>
      </c>
      <c r="E127" s="25">
        <f t="shared" si="2"/>
        <v>105.6040552</v>
      </c>
      <c r="F127" s="24">
        <f t="shared" si="3"/>
        <v>0.0002093873508</v>
      </c>
      <c r="G127" s="24">
        <f t="shared" si="4"/>
        <v>0</v>
      </c>
      <c r="H127" s="26">
        <f t="shared" si="5"/>
        <v>0</v>
      </c>
      <c r="I127" s="24">
        <f t="shared" si="6"/>
        <v>0</v>
      </c>
      <c r="J127" s="24">
        <f t="shared" si="7"/>
        <v>0</v>
      </c>
      <c r="K127" s="24"/>
      <c r="L127" s="24">
        <f t="shared" si="8"/>
        <v>451.277538</v>
      </c>
      <c r="M127" s="14">
        <f t="shared" si="9"/>
        <v>456.9078279</v>
      </c>
      <c r="N127" s="27">
        <f t="shared" si="10"/>
        <v>-5.630289936</v>
      </c>
      <c r="O127" s="24"/>
      <c r="P127" s="24"/>
      <c r="Q127" s="24"/>
      <c r="R127" s="26"/>
      <c r="S127" s="14">
        <f t="shared" si="13"/>
        <v>-5.170273463</v>
      </c>
      <c r="U127" s="21"/>
      <c r="V127" s="21"/>
    </row>
    <row r="128">
      <c r="A128" s="11">
        <v>116.0</v>
      </c>
      <c r="B128" s="11">
        <v>1.4199E9</v>
      </c>
      <c r="C128" s="2">
        <v>-102.321907</v>
      </c>
      <c r="D128" s="24">
        <f t="shared" si="1"/>
        <v>-500000</v>
      </c>
      <c r="E128" s="25">
        <f t="shared" si="2"/>
        <v>104.6857591</v>
      </c>
      <c r="F128" s="24">
        <f t="shared" si="3"/>
        <v>0.0002093715181</v>
      </c>
      <c r="G128" s="24">
        <f t="shared" si="4"/>
        <v>0</v>
      </c>
      <c r="H128" s="26">
        <f t="shared" si="5"/>
        <v>0</v>
      </c>
      <c r="I128" s="24">
        <f t="shared" si="6"/>
        <v>0</v>
      </c>
      <c r="J128" s="24">
        <f t="shared" si="7"/>
        <v>0</v>
      </c>
      <c r="K128" s="24"/>
      <c r="L128" s="24">
        <f t="shared" si="8"/>
        <v>445.5695127</v>
      </c>
      <c r="M128" s="14">
        <f t="shared" si="9"/>
        <v>456.845459</v>
      </c>
      <c r="N128" s="27">
        <f t="shared" si="10"/>
        <v>-11.27594628</v>
      </c>
      <c r="O128" s="24"/>
      <c r="P128" s="24"/>
      <c r="Q128" s="24"/>
      <c r="R128" s="26"/>
      <c r="S128" s="14">
        <f t="shared" si="13"/>
        <v>-10.35465787</v>
      </c>
      <c r="U128" s="21"/>
      <c r="V128" s="21"/>
    </row>
    <row r="129">
      <c r="A129" s="11">
        <v>117.0</v>
      </c>
      <c r="B129" s="11">
        <v>1.41990434782608E9</v>
      </c>
      <c r="C129" s="2">
        <v>-102.2764053</v>
      </c>
      <c r="D129" s="24">
        <f t="shared" si="1"/>
        <v>-495652.1739</v>
      </c>
      <c r="E129" s="25">
        <f t="shared" si="2"/>
        <v>103.7674629</v>
      </c>
      <c r="F129" s="24">
        <f t="shared" si="3"/>
        <v>0.0002093554077</v>
      </c>
      <c r="G129" s="24">
        <f t="shared" si="4"/>
        <v>0</v>
      </c>
      <c r="H129" s="26">
        <f t="shared" si="5"/>
        <v>0</v>
      </c>
      <c r="I129" s="24">
        <f t="shared" si="6"/>
        <v>0</v>
      </c>
      <c r="J129" s="24">
        <f t="shared" si="7"/>
        <v>0</v>
      </c>
      <c r="K129" s="24"/>
      <c r="L129" s="24">
        <f t="shared" si="8"/>
        <v>450.2623538</v>
      </c>
      <c r="M129" s="14">
        <f t="shared" si="9"/>
        <v>456.7828659</v>
      </c>
      <c r="N129" s="27">
        <f t="shared" si="10"/>
        <v>-6.520512109</v>
      </c>
      <c r="O129" s="24"/>
      <c r="P129" s="24"/>
      <c r="Q129" s="24"/>
      <c r="R129" s="26"/>
      <c r="S129" s="14">
        <f t="shared" si="13"/>
        <v>-5.987761053</v>
      </c>
      <c r="U129" s="21"/>
      <c r="V129" s="21"/>
    </row>
    <row r="130">
      <c r="A130" s="11">
        <v>118.0</v>
      </c>
      <c r="B130" s="11">
        <v>1.41990869565217E9</v>
      </c>
      <c r="C130" s="2">
        <v>-102.216095</v>
      </c>
      <c r="D130" s="24">
        <f t="shared" si="1"/>
        <v>-491304.3478</v>
      </c>
      <c r="E130" s="25">
        <f t="shared" si="2"/>
        <v>102.8491668</v>
      </c>
      <c r="F130" s="24">
        <f t="shared" si="3"/>
        <v>0.0002093390121</v>
      </c>
      <c r="G130" s="24">
        <f t="shared" si="4"/>
        <v>0</v>
      </c>
      <c r="H130" s="26">
        <f t="shared" si="5"/>
        <v>0</v>
      </c>
      <c r="I130" s="24">
        <f t="shared" si="6"/>
        <v>0</v>
      </c>
      <c r="J130" s="24">
        <f t="shared" si="7"/>
        <v>0</v>
      </c>
      <c r="K130" s="24"/>
      <c r="L130" s="24">
        <f t="shared" si="8"/>
        <v>456.5587467</v>
      </c>
      <c r="M130" s="14">
        <f t="shared" si="9"/>
        <v>456.7200477</v>
      </c>
      <c r="N130" s="27">
        <f t="shared" si="10"/>
        <v>-0.1613009477</v>
      </c>
      <c r="O130" s="24"/>
      <c r="P130" s="24"/>
      <c r="Q130" s="24"/>
      <c r="R130" s="26"/>
      <c r="S130" s="14">
        <f t="shared" si="13"/>
        <v>-0.1481220362</v>
      </c>
      <c r="U130" s="21"/>
      <c r="V130" s="21"/>
    </row>
    <row r="131">
      <c r="A131" s="11">
        <v>119.0</v>
      </c>
      <c r="B131" s="11">
        <v>1.41991304347826E9</v>
      </c>
      <c r="C131" s="2">
        <v>-102.2420731</v>
      </c>
      <c r="D131" s="24">
        <f t="shared" si="1"/>
        <v>-486956.5217</v>
      </c>
      <c r="E131" s="25">
        <f t="shared" si="2"/>
        <v>101.9308707</v>
      </c>
      <c r="F131" s="24">
        <f t="shared" si="3"/>
        <v>0.0002093223237</v>
      </c>
      <c r="G131" s="24">
        <f t="shared" si="4"/>
        <v>0</v>
      </c>
      <c r="H131" s="26">
        <f t="shared" si="5"/>
        <v>0</v>
      </c>
      <c r="I131" s="24">
        <f t="shared" si="6"/>
        <v>0</v>
      </c>
      <c r="J131" s="24">
        <f t="shared" si="7"/>
        <v>0</v>
      </c>
      <c r="K131" s="24"/>
      <c r="L131" s="24">
        <f t="shared" si="8"/>
        <v>453.8359107</v>
      </c>
      <c r="M131" s="14">
        <f t="shared" si="9"/>
        <v>456.6570031</v>
      </c>
      <c r="N131" s="27">
        <f t="shared" si="10"/>
        <v>-2.82109238</v>
      </c>
      <c r="O131" s="24"/>
      <c r="P131" s="24"/>
      <c r="Q131" s="24"/>
      <c r="R131" s="26"/>
      <c r="S131" s="14">
        <f t="shared" si="13"/>
        <v>-2.590598223</v>
      </c>
      <c r="U131" s="21"/>
      <c r="V131" s="21"/>
    </row>
    <row r="132">
      <c r="A132" s="11">
        <v>120.0</v>
      </c>
      <c r="B132" s="11">
        <v>1.41991739130434E9</v>
      </c>
      <c r="C132" s="2">
        <v>-102.2996674</v>
      </c>
      <c r="D132" s="24">
        <f t="shared" si="1"/>
        <v>-482608.6957</v>
      </c>
      <c r="E132" s="25">
        <f t="shared" si="2"/>
        <v>101.0125745</v>
      </c>
      <c r="F132" s="24">
        <f t="shared" si="3"/>
        <v>0.0002093053346</v>
      </c>
      <c r="G132" s="24">
        <f t="shared" si="4"/>
        <v>0</v>
      </c>
      <c r="H132" s="26">
        <f t="shared" si="5"/>
        <v>0</v>
      </c>
      <c r="I132" s="24">
        <f t="shared" si="6"/>
        <v>0</v>
      </c>
      <c r="J132" s="24">
        <f t="shared" si="7"/>
        <v>0</v>
      </c>
      <c r="K132" s="24"/>
      <c r="L132" s="24">
        <f t="shared" si="8"/>
        <v>447.8570627</v>
      </c>
      <c r="M132" s="14">
        <f t="shared" si="9"/>
        <v>456.5937312</v>
      </c>
      <c r="N132" s="27">
        <f t="shared" si="10"/>
        <v>-8.736668531</v>
      </c>
      <c r="O132" s="24"/>
      <c r="P132" s="24"/>
      <c r="Q132" s="24"/>
      <c r="R132" s="26"/>
      <c r="S132" s="14">
        <f t="shared" si="13"/>
        <v>-8.022848926</v>
      </c>
      <c r="U132" s="21"/>
      <c r="V132" s="21"/>
    </row>
    <row r="133">
      <c r="A133" s="11">
        <v>121.0</v>
      </c>
      <c r="B133" s="11">
        <v>1.41992173913043E9</v>
      </c>
      <c r="C133" s="2">
        <v>-102.2820206</v>
      </c>
      <c r="D133" s="24">
        <f t="shared" si="1"/>
        <v>-478260.8696</v>
      </c>
      <c r="E133" s="25">
        <f t="shared" si="2"/>
        <v>100.0942784</v>
      </c>
      <c r="F133" s="24">
        <f t="shared" si="3"/>
        <v>0.0002092880367</v>
      </c>
      <c r="G133" s="24">
        <f t="shared" si="4"/>
        <v>0</v>
      </c>
      <c r="H133" s="26">
        <f t="shared" si="5"/>
        <v>0</v>
      </c>
      <c r="I133" s="24">
        <f t="shared" si="6"/>
        <v>0</v>
      </c>
      <c r="J133" s="24">
        <f t="shared" si="7"/>
        <v>0</v>
      </c>
      <c r="K133" s="24"/>
      <c r="L133" s="24">
        <f t="shared" si="8"/>
        <v>449.6805541</v>
      </c>
      <c r="M133" s="14">
        <f t="shared" si="9"/>
        <v>456.5302308</v>
      </c>
      <c r="N133" s="27">
        <f t="shared" si="10"/>
        <v>-6.849676779</v>
      </c>
      <c r="O133" s="24"/>
      <c r="P133" s="24"/>
      <c r="Q133" s="24"/>
      <c r="R133" s="26"/>
      <c r="S133" s="14">
        <f t="shared" si="13"/>
        <v>-6.290031682</v>
      </c>
      <c r="U133" s="21"/>
      <c r="V133" s="21"/>
    </row>
    <row r="134">
      <c r="A134" s="11">
        <v>122.0</v>
      </c>
      <c r="B134" s="11">
        <v>1.41992608695652E9</v>
      </c>
      <c r="C134" s="2">
        <v>-102.2287674</v>
      </c>
      <c r="D134" s="24">
        <f t="shared" si="1"/>
        <v>-473913.0435</v>
      </c>
      <c r="E134" s="25">
        <f t="shared" si="2"/>
        <v>99.17598227</v>
      </c>
      <c r="F134" s="24">
        <f t="shared" si="3"/>
        <v>0.0002092704213</v>
      </c>
      <c r="G134" s="24">
        <f t="shared" si="4"/>
        <v>0</v>
      </c>
      <c r="H134" s="26">
        <f t="shared" si="5"/>
        <v>0</v>
      </c>
      <c r="I134" s="24">
        <f t="shared" si="6"/>
        <v>0</v>
      </c>
      <c r="J134" s="24">
        <f t="shared" si="7"/>
        <v>0</v>
      </c>
      <c r="K134" s="24"/>
      <c r="L134" s="24">
        <f t="shared" si="8"/>
        <v>455.228483</v>
      </c>
      <c r="M134" s="14">
        <f t="shared" si="9"/>
        <v>456.466501</v>
      </c>
      <c r="N134" s="27">
        <f t="shared" si="10"/>
        <v>-1.238018013</v>
      </c>
      <c r="O134" s="24"/>
      <c r="P134" s="24"/>
      <c r="Q134" s="24"/>
      <c r="R134" s="26"/>
      <c r="S134" s="14">
        <f t="shared" si="13"/>
        <v>-1.136867154</v>
      </c>
      <c r="U134" s="21"/>
      <c r="V134" s="21"/>
    </row>
    <row r="135">
      <c r="A135" s="11">
        <v>123.0</v>
      </c>
      <c r="B135" s="11">
        <v>1.4199304347826E9</v>
      </c>
      <c r="C135" s="2">
        <v>-102.2936325</v>
      </c>
      <c r="D135" s="24">
        <f t="shared" si="1"/>
        <v>-469565.2174</v>
      </c>
      <c r="E135" s="25">
        <f t="shared" si="2"/>
        <v>98.25768614</v>
      </c>
      <c r="F135" s="24">
        <f t="shared" si="3"/>
        <v>0.0002092524797</v>
      </c>
      <c r="G135" s="24">
        <f t="shared" si="4"/>
        <v>0</v>
      </c>
      <c r="H135" s="26">
        <f t="shared" si="5"/>
        <v>0</v>
      </c>
      <c r="I135" s="24">
        <f t="shared" si="6"/>
        <v>0</v>
      </c>
      <c r="J135" s="24">
        <f t="shared" si="7"/>
        <v>0</v>
      </c>
      <c r="K135" s="24"/>
      <c r="L135" s="24">
        <f t="shared" si="8"/>
        <v>448.4798316</v>
      </c>
      <c r="M135" s="14">
        <f t="shared" si="9"/>
        <v>456.4025405</v>
      </c>
      <c r="N135" s="27">
        <f t="shared" si="10"/>
        <v>-7.922708873</v>
      </c>
      <c r="O135" s="24"/>
      <c r="P135" s="24"/>
      <c r="Q135" s="24"/>
      <c r="R135" s="26"/>
      <c r="S135" s="14">
        <f t="shared" si="13"/>
        <v>-7.275392919</v>
      </c>
      <c r="U135" s="21"/>
      <c r="V135" s="21"/>
    </row>
    <row r="136">
      <c r="A136" s="11">
        <v>124.0</v>
      </c>
      <c r="B136" s="11">
        <v>1.41993478260869E9</v>
      </c>
      <c r="C136" s="2">
        <v>-102.2550583</v>
      </c>
      <c r="D136" s="24">
        <f t="shared" si="1"/>
        <v>-465217.3913</v>
      </c>
      <c r="E136" s="25">
        <f t="shared" si="2"/>
        <v>97.33939001</v>
      </c>
      <c r="F136" s="24">
        <f t="shared" si="3"/>
        <v>0.0002092342028</v>
      </c>
      <c r="G136" s="24">
        <f t="shared" si="4"/>
        <v>0</v>
      </c>
      <c r="H136" s="26">
        <f t="shared" si="5"/>
        <v>0</v>
      </c>
      <c r="I136" s="24">
        <f t="shared" si="6"/>
        <v>0</v>
      </c>
      <c r="J136" s="24">
        <f t="shared" si="7"/>
        <v>0</v>
      </c>
      <c r="K136" s="24"/>
      <c r="L136" s="24">
        <f t="shared" si="8"/>
        <v>452.4809894</v>
      </c>
      <c r="M136" s="14">
        <f t="shared" si="9"/>
        <v>456.3383484</v>
      </c>
      <c r="N136" s="27">
        <f t="shared" si="10"/>
        <v>-3.857359035</v>
      </c>
      <c r="O136" s="24"/>
      <c r="P136" s="24"/>
      <c r="Q136" s="24"/>
      <c r="R136" s="26"/>
      <c r="S136" s="14">
        <f t="shared" si="13"/>
        <v>-3.542197884</v>
      </c>
      <c r="U136" s="21"/>
      <c r="V136" s="21"/>
    </row>
    <row r="137">
      <c r="A137" s="11">
        <v>125.0</v>
      </c>
      <c r="B137" s="11">
        <v>1.41993913043478E9</v>
      </c>
      <c r="C137" s="2">
        <v>-102.2486115</v>
      </c>
      <c r="D137" s="24">
        <f t="shared" si="1"/>
        <v>-460869.5652</v>
      </c>
      <c r="E137" s="25">
        <f t="shared" si="2"/>
        <v>96.42109387</v>
      </c>
      <c r="F137" s="24">
        <f t="shared" si="3"/>
        <v>0.000209215581</v>
      </c>
      <c r="G137" s="24">
        <f t="shared" si="4"/>
        <v>0</v>
      </c>
      <c r="H137" s="26">
        <f t="shared" si="5"/>
        <v>0</v>
      </c>
      <c r="I137" s="24">
        <f t="shared" si="6"/>
        <v>0</v>
      </c>
      <c r="J137" s="24">
        <f t="shared" si="7"/>
        <v>0</v>
      </c>
      <c r="K137" s="24"/>
      <c r="L137" s="24">
        <f t="shared" si="8"/>
        <v>453.1531647</v>
      </c>
      <c r="M137" s="14">
        <f t="shared" si="9"/>
        <v>456.2739235</v>
      </c>
      <c r="N137" s="27">
        <f t="shared" si="10"/>
        <v>-3.120758802</v>
      </c>
      <c r="O137" s="24"/>
      <c r="P137" s="24"/>
      <c r="Q137" s="24"/>
      <c r="R137" s="26"/>
      <c r="S137" s="14">
        <f t="shared" si="13"/>
        <v>-2.865780733</v>
      </c>
      <c r="U137" s="21"/>
      <c r="V137" s="21"/>
    </row>
    <row r="138">
      <c r="A138" s="11">
        <v>126.0</v>
      </c>
      <c r="B138" s="11">
        <v>1.41994347826087E9</v>
      </c>
      <c r="C138" s="2">
        <v>-102.2985229</v>
      </c>
      <c r="D138" s="24">
        <f t="shared" si="1"/>
        <v>-456521.7391</v>
      </c>
      <c r="E138" s="25">
        <f t="shared" si="2"/>
        <v>95.50279774</v>
      </c>
      <c r="F138" s="24">
        <f t="shared" si="3"/>
        <v>0.0002091966046</v>
      </c>
      <c r="G138" s="24">
        <f t="shared" si="4"/>
        <v>0</v>
      </c>
      <c r="H138" s="26">
        <f t="shared" si="5"/>
        <v>0</v>
      </c>
      <c r="I138" s="24">
        <f t="shared" si="6"/>
        <v>0</v>
      </c>
      <c r="J138" s="24">
        <f t="shared" si="7"/>
        <v>0</v>
      </c>
      <c r="K138" s="24"/>
      <c r="L138" s="24">
        <f t="shared" si="8"/>
        <v>447.9751024</v>
      </c>
      <c r="M138" s="14">
        <f t="shared" si="9"/>
        <v>456.2092649</v>
      </c>
      <c r="N138" s="27">
        <f t="shared" si="10"/>
        <v>-8.234162521</v>
      </c>
      <c r="O138" s="24"/>
      <c r="P138" s="24"/>
      <c r="Q138" s="24"/>
      <c r="R138" s="26"/>
      <c r="S138" s="14">
        <f t="shared" si="13"/>
        <v>-7.561399599</v>
      </c>
      <c r="U138" s="21"/>
      <c r="V138" s="21"/>
    </row>
    <row r="139">
      <c r="A139" s="11">
        <v>127.0</v>
      </c>
      <c r="B139" s="11">
        <v>1.41994782608695E9</v>
      </c>
      <c r="C139" s="2">
        <v>-102.2472</v>
      </c>
      <c r="D139" s="24">
        <f t="shared" si="1"/>
        <v>-452173.913</v>
      </c>
      <c r="E139" s="25">
        <f t="shared" si="2"/>
        <v>94.58450161</v>
      </c>
      <c r="F139" s="24">
        <f t="shared" si="3"/>
        <v>0.0002091772632</v>
      </c>
      <c r="G139" s="24">
        <f t="shared" si="4"/>
        <v>0</v>
      </c>
      <c r="H139" s="26">
        <f t="shared" si="5"/>
        <v>0</v>
      </c>
      <c r="I139" s="24">
        <f t="shared" si="6"/>
        <v>0</v>
      </c>
      <c r="J139" s="24">
        <f t="shared" si="7"/>
        <v>0</v>
      </c>
      <c r="K139" s="24"/>
      <c r="L139" s="24">
        <f t="shared" si="8"/>
        <v>453.3004679</v>
      </c>
      <c r="M139" s="14">
        <f t="shared" si="9"/>
        <v>456.1443713</v>
      </c>
      <c r="N139" s="27">
        <f t="shared" si="10"/>
        <v>-2.8439034</v>
      </c>
      <c r="O139" s="24"/>
      <c r="P139" s="24"/>
      <c r="Q139" s="24"/>
      <c r="R139" s="26"/>
      <c r="S139" s="14">
        <f t="shared" si="13"/>
        <v>-2.611545495</v>
      </c>
      <c r="U139" s="21"/>
      <c r="V139" s="21"/>
    </row>
    <row r="140">
      <c r="A140" s="11">
        <v>128.0</v>
      </c>
      <c r="B140" s="11">
        <v>1.41995217391304E9</v>
      </c>
      <c r="C140" s="2">
        <v>-102.2159958</v>
      </c>
      <c r="D140" s="24">
        <f t="shared" si="1"/>
        <v>-447826.087</v>
      </c>
      <c r="E140" s="25">
        <f t="shared" si="2"/>
        <v>93.66620548</v>
      </c>
      <c r="F140" s="24">
        <f t="shared" si="3"/>
        <v>0.0002091575462</v>
      </c>
      <c r="G140" s="24">
        <f t="shared" si="4"/>
        <v>0</v>
      </c>
      <c r="H140" s="26">
        <f t="shared" si="5"/>
        <v>0</v>
      </c>
      <c r="I140" s="24">
        <f t="shared" si="6"/>
        <v>0</v>
      </c>
      <c r="J140" s="24">
        <f t="shared" si="7"/>
        <v>0</v>
      </c>
      <c r="K140" s="24"/>
      <c r="L140" s="24">
        <f t="shared" si="8"/>
        <v>456.5691754</v>
      </c>
      <c r="M140" s="14">
        <f t="shared" si="9"/>
        <v>456.0792418</v>
      </c>
      <c r="N140" s="27">
        <f t="shared" si="10"/>
        <v>0.4899335594</v>
      </c>
      <c r="O140" s="24"/>
      <c r="P140" s="24"/>
      <c r="Q140" s="24"/>
      <c r="R140" s="26"/>
      <c r="S140" s="14">
        <f t="shared" si="13"/>
        <v>0.4499040919</v>
      </c>
      <c r="U140" s="21"/>
      <c r="V140" s="21"/>
    </row>
    <row r="141">
      <c r="A141" s="11">
        <v>129.0</v>
      </c>
      <c r="B141" s="11">
        <v>1.41995652173913E9</v>
      </c>
      <c r="C141" s="2">
        <v>-102.3165054</v>
      </c>
      <c r="D141" s="24">
        <f t="shared" si="1"/>
        <v>-443478.2609</v>
      </c>
      <c r="E141" s="25">
        <f t="shared" si="2"/>
        <v>92.74790935</v>
      </c>
      <c r="F141" s="24">
        <f t="shared" si="3"/>
        <v>0.0002091374426</v>
      </c>
      <c r="G141" s="24">
        <f t="shared" si="4"/>
        <v>0</v>
      </c>
      <c r="H141" s="26">
        <f t="shared" si="5"/>
        <v>0</v>
      </c>
      <c r="I141" s="24">
        <f t="shared" si="6"/>
        <v>0</v>
      </c>
      <c r="J141" s="24">
        <f t="shared" si="7"/>
        <v>0</v>
      </c>
      <c r="K141" s="24"/>
      <c r="L141" s="24">
        <f t="shared" si="8"/>
        <v>446.124041</v>
      </c>
      <c r="M141" s="14">
        <f t="shared" si="9"/>
        <v>456.0138753</v>
      </c>
      <c r="N141" s="27">
        <f t="shared" si="10"/>
        <v>-9.889834302</v>
      </c>
      <c r="O141" s="24"/>
      <c r="P141" s="24"/>
      <c r="Q141" s="24"/>
      <c r="R141" s="26"/>
      <c r="S141" s="14">
        <f t="shared" si="13"/>
        <v>-9.081796593</v>
      </c>
      <c r="U141" s="21"/>
      <c r="V141" s="21"/>
    </row>
    <row r="142">
      <c r="A142" s="11">
        <v>130.0</v>
      </c>
      <c r="B142" s="11">
        <v>1.41996086956521E9</v>
      </c>
      <c r="C142" s="2">
        <v>-102.2830887</v>
      </c>
      <c r="D142" s="24">
        <f t="shared" si="1"/>
        <v>-439130.4348</v>
      </c>
      <c r="E142" s="25">
        <f t="shared" si="2"/>
        <v>91.82961321</v>
      </c>
      <c r="F142" s="24">
        <f t="shared" si="3"/>
        <v>0.000209116941</v>
      </c>
      <c r="G142" s="24">
        <f t="shared" si="4"/>
        <v>0</v>
      </c>
      <c r="H142" s="26">
        <f t="shared" si="5"/>
        <v>0</v>
      </c>
      <c r="I142" s="24">
        <f t="shared" si="6"/>
        <v>0</v>
      </c>
      <c r="J142" s="24">
        <f t="shared" si="7"/>
        <v>0</v>
      </c>
      <c r="K142" s="24"/>
      <c r="L142" s="24">
        <f t="shared" si="8"/>
        <v>449.5699736</v>
      </c>
      <c r="M142" s="14">
        <f t="shared" si="9"/>
        <v>455.9482706</v>
      </c>
      <c r="N142" s="27">
        <f t="shared" si="10"/>
        <v>-6.378297018</v>
      </c>
      <c r="O142" s="24"/>
      <c r="P142" s="24"/>
      <c r="Q142" s="24"/>
      <c r="R142" s="26"/>
      <c r="S142" s="14">
        <f t="shared" si="13"/>
        <v>-5.857165486</v>
      </c>
      <c r="U142" s="21"/>
      <c r="V142" s="21"/>
    </row>
    <row r="143">
      <c r="A143" s="11">
        <v>131.0</v>
      </c>
      <c r="B143" s="11">
        <v>1.4199652173913E9</v>
      </c>
      <c r="C143" s="2">
        <v>-102.2825317</v>
      </c>
      <c r="D143" s="24">
        <f t="shared" si="1"/>
        <v>-434782.6087</v>
      </c>
      <c r="E143" s="25">
        <f t="shared" si="2"/>
        <v>90.91131708</v>
      </c>
      <c r="F143" s="24">
        <f t="shared" si="3"/>
        <v>0.0002090960293</v>
      </c>
      <c r="G143" s="24">
        <f t="shared" si="4"/>
        <v>0</v>
      </c>
      <c r="H143" s="26">
        <f t="shared" si="5"/>
        <v>0</v>
      </c>
      <c r="I143" s="24">
        <f t="shared" si="6"/>
        <v>0</v>
      </c>
      <c r="J143" s="24">
        <f t="shared" si="7"/>
        <v>0</v>
      </c>
      <c r="K143" s="24"/>
      <c r="L143" s="24">
        <f t="shared" si="8"/>
        <v>449.6276365</v>
      </c>
      <c r="M143" s="14">
        <f t="shared" si="9"/>
        <v>455.8824268</v>
      </c>
      <c r="N143" s="27">
        <f t="shared" si="10"/>
        <v>-6.254790334</v>
      </c>
      <c r="O143" s="24"/>
      <c r="P143" s="24"/>
      <c r="Q143" s="24"/>
      <c r="R143" s="26"/>
      <c r="S143" s="14">
        <f t="shared" si="13"/>
        <v>-5.743749762</v>
      </c>
      <c r="U143" s="21"/>
      <c r="V143" s="21"/>
    </row>
    <row r="144">
      <c r="A144" s="11">
        <v>132.0</v>
      </c>
      <c r="B144" s="11">
        <v>1.41996956521739E9</v>
      </c>
      <c r="C144" s="2">
        <v>-102.2105255</v>
      </c>
      <c r="D144" s="24">
        <f t="shared" si="1"/>
        <v>-430434.7826</v>
      </c>
      <c r="E144" s="25">
        <f t="shared" si="2"/>
        <v>89.99302095</v>
      </c>
      <c r="F144" s="24">
        <f t="shared" si="3"/>
        <v>0.0002090746951</v>
      </c>
      <c r="G144" s="24">
        <f t="shared" si="4"/>
        <v>0</v>
      </c>
      <c r="H144" s="26">
        <f t="shared" si="5"/>
        <v>0</v>
      </c>
      <c r="I144" s="24">
        <f t="shared" si="6"/>
        <v>0</v>
      </c>
      <c r="J144" s="24">
        <f t="shared" si="7"/>
        <v>0</v>
      </c>
      <c r="K144" s="24"/>
      <c r="L144" s="24">
        <f t="shared" si="8"/>
        <v>457.1446246</v>
      </c>
      <c r="M144" s="14">
        <f t="shared" si="9"/>
        <v>455.8163427</v>
      </c>
      <c r="N144" s="27">
        <f t="shared" si="10"/>
        <v>1.328281874</v>
      </c>
      <c r="O144" s="24"/>
      <c r="P144" s="24"/>
      <c r="Q144" s="24"/>
      <c r="R144" s="26"/>
      <c r="S144" s="14">
        <f t="shared" si="13"/>
        <v>1.219756108</v>
      </c>
      <c r="U144" s="21"/>
      <c r="V144" s="21"/>
    </row>
    <row r="145">
      <c r="A145" s="11">
        <v>133.0</v>
      </c>
      <c r="B145" s="11">
        <v>1.41997391304347E9</v>
      </c>
      <c r="C145" s="2">
        <v>-102.2461014</v>
      </c>
      <c r="D145" s="24">
        <f t="shared" si="1"/>
        <v>-426086.9565</v>
      </c>
      <c r="E145" s="25">
        <f t="shared" si="2"/>
        <v>89.07472482</v>
      </c>
      <c r="F145" s="24">
        <f t="shared" si="3"/>
        <v>0.0002090529256</v>
      </c>
      <c r="G145" s="24">
        <f t="shared" si="4"/>
        <v>0</v>
      </c>
      <c r="H145" s="26">
        <f t="shared" si="5"/>
        <v>0</v>
      </c>
      <c r="I145" s="24">
        <f t="shared" si="6"/>
        <v>0</v>
      </c>
      <c r="J145" s="24">
        <f t="shared" si="7"/>
        <v>0</v>
      </c>
      <c r="K145" s="24"/>
      <c r="L145" s="24">
        <f t="shared" si="8"/>
        <v>453.4151502</v>
      </c>
      <c r="M145" s="14">
        <f t="shared" si="9"/>
        <v>455.7500172</v>
      </c>
      <c r="N145" s="27">
        <f t="shared" si="10"/>
        <v>-2.334867003</v>
      </c>
      <c r="O145" s="24"/>
      <c r="P145" s="24"/>
      <c r="Q145" s="24"/>
      <c r="R145" s="26"/>
      <c r="S145" s="14">
        <f t="shared" si="13"/>
        <v>-2.14409934</v>
      </c>
      <c r="U145" s="21"/>
      <c r="V145" s="21"/>
    </row>
    <row r="146">
      <c r="A146" s="11">
        <v>134.0</v>
      </c>
      <c r="B146" s="11">
        <v>1.41997826086956E9</v>
      </c>
      <c r="C146" s="2">
        <v>-102.2883301</v>
      </c>
      <c r="D146" s="24">
        <f t="shared" si="1"/>
        <v>-421739.1304</v>
      </c>
      <c r="E146" s="25">
        <f t="shared" si="2"/>
        <v>88.15642869</v>
      </c>
      <c r="F146" s="24">
        <f t="shared" si="3"/>
        <v>0.0002090307072</v>
      </c>
      <c r="G146" s="24">
        <f t="shared" si="4"/>
        <v>0</v>
      </c>
      <c r="H146" s="26">
        <f t="shared" si="5"/>
        <v>0</v>
      </c>
      <c r="I146" s="24">
        <f t="shared" si="6"/>
        <v>0</v>
      </c>
      <c r="J146" s="24">
        <f t="shared" si="7"/>
        <v>0</v>
      </c>
      <c r="K146" s="24"/>
      <c r="L146" s="24">
        <f t="shared" si="8"/>
        <v>449.0277253</v>
      </c>
      <c r="M146" s="14">
        <f t="shared" si="9"/>
        <v>455.6834494</v>
      </c>
      <c r="N146" s="27">
        <f t="shared" si="10"/>
        <v>-6.655724132</v>
      </c>
      <c r="O146" s="24"/>
      <c r="P146" s="24"/>
      <c r="Q146" s="24"/>
      <c r="R146" s="26"/>
      <c r="S146" s="14">
        <f t="shared" si="13"/>
        <v>-6.111925717</v>
      </c>
      <c r="U146" s="21"/>
      <c r="V146" s="21"/>
    </row>
    <row r="147">
      <c r="A147" s="11">
        <v>135.0</v>
      </c>
      <c r="B147" s="11">
        <v>1.41998260869565E9</v>
      </c>
      <c r="C147" s="2">
        <v>-102.2517242</v>
      </c>
      <c r="D147" s="24">
        <f t="shared" si="1"/>
        <v>-417391.3043</v>
      </c>
      <c r="E147" s="25">
        <f t="shared" si="2"/>
        <v>87.23813255</v>
      </c>
      <c r="F147" s="24">
        <f t="shared" si="3"/>
        <v>0.0002090080259</v>
      </c>
      <c r="G147" s="24">
        <f t="shared" si="4"/>
        <v>0</v>
      </c>
      <c r="H147" s="26">
        <f t="shared" si="5"/>
        <v>0</v>
      </c>
      <c r="I147" s="24">
        <f t="shared" si="6"/>
        <v>0</v>
      </c>
      <c r="J147" s="24">
        <f t="shared" si="7"/>
        <v>0</v>
      </c>
      <c r="K147" s="24"/>
      <c r="L147" s="24">
        <f t="shared" si="8"/>
        <v>452.8284946</v>
      </c>
      <c r="M147" s="14">
        <f t="shared" si="9"/>
        <v>455.616638</v>
      </c>
      <c r="N147" s="27">
        <f t="shared" si="10"/>
        <v>-2.788143437</v>
      </c>
      <c r="O147" s="24"/>
      <c r="P147" s="24"/>
      <c r="Q147" s="24"/>
      <c r="R147" s="26"/>
      <c r="S147" s="14">
        <f t="shared" si="13"/>
        <v>-2.560341336</v>
      </c>
      <c r="U147" s="21"/>
      <c r="V147" s="21"/>
    </row>
    <row r="148">
      <c r="A148" s="11">
        <v>136.0</v>
      </c>
      <c r="B148" s="11">
        <v>1.41998695652173E9</v>
      </c>
      <c r="C148" s="2">
        <v>-102.2435913</v>
      </c>
      <c r="D148" s="24">
        <f t="shared" si="1"/>
        <v>-413043.4783</v>
      </c>
      <c r="E148" s="25">
        <f t="shared" si="2"/>
        <v>86.31983642</v>
      </c>
      <c r="F148" s="24">
        <f t="shared" si="3"/>
        <v>0.0002089848671</v>
      </c>
      <c r="G148" s="24">
        <f t="shared" si="4"/>
        <v>0</v>
      </c>
      <c r="H148" s="26">
        <f t="shared" si="5"/>
        <v>0</v>
      </c>
      <c r="I148" s="24">
        <f t="shared" si="6"/>
        <v>0</v>
      </c>
      <c r="J148" s="24">
        <f t="shared" si="7"/>
        <v>0</v>
      </c>
      <c r="K148" s="24"/>
      <c r="L148" s="24">
        <f t="shared" si="8"/>
        <v>453.6772872</v>
      </c>
      <c r="M148" s="14">
        <f t="shared" si="9"/>
        <v>455.5495821</v>
      </c>
      <c r="N148" s="27">
        <f t="shared" si="10"/>
        <v>-1.872294947</v>
      </c>
      <c r="O148" s="24"/>
      <c r="P148" s="24"/>
      <c r="Q148" s="24"/>
      <c r="R148" s="26"/>
      <c r="S148" s="14">
        <f t="shared" si="13"/>
        <v>-1.71932121</v>
      </c>
      <c r="U148" s="21"/>
      <c r="V148" s="21"/>
    </row>
    <row r="149">
      <c r="A149" s="11">
        <v>137.0</v>
      </c>
      <c r="B149" s="11">
        <v>1.41999130434782E9</v>
      </c>
      <c r="C149" s="2">
        <v>-102.2868652</v>
      </c>
      <c r="D149" s="24">
        <f t="shared" si="1"/>
        <v>-408695.6522</v>
      </c>
      <c r="E149" s="25">
        <f t="shared" si="2"/>
        <v>85.40154029</v>
      </c>
      <c r="F149" s="24">
        <f t="shared" si="3"/>
        <v>0.0002089612156</v>
      </c>
      <c r="G149" s="24">
        <f t="shared" si="4"/>
        <v>0</v>
      </c>
      <c r="H149" s="26">
        <f t="shared" si="5"/>
        <v>0</v>
      </c>
      <c r="I149" s="24">
        <f t="shared" si="6"/>
        <v>0</v>
      </c>
      <c r="J149" s="24">
        <f t="shared" si="7"/>
        <v>0</v>
      </c>
      <c r="K149" s="24"/>
      <c r="L149" s="24">
        <f t="shared" si="8"/>
        <v>449.1792104</v>
      </c>
      <c r="M149" s="14">
        <f t="shared" si="9"/>
        <v>455.4822806</v>
      </c>
      <c r="N149" s="27">
        <f t="shared" si="10"/>
        <v>-6.30307019</v>
      </c>
      <c r="O149" s="24"/>
      <c r="P149" s="24"/>
      <c r="Q149" s="24"/>
      <c r="R149" s="26"/>
      <c r="S149" s="14">
        <f t="shared" si="13"/>
        <v>-5.788084981</v>
      </c>
      <c r="U149" s="21"/>
      <c r="V149" s="21"/>
    </row>
    <row r="150">
      <c r="A150" s="11">
        <v>138.0</v>
      </c>
      <c r="B150" s="11">
        <v>1.41999565217391E9</v>
      </c>
      <c r="C150" s="2">
        <v>-102.2796326</v>
      </c>
      <c r="D150" s="24">
        <f t="shared" si="1"/>
        <v>-404347.8261</v>
      </c>
      <c r="E150" s="25">
        <f t="shared" si="2"/>
        <v>84.48324416</v>
      </c>
      <c r="F150" s="24">
        <f t="shared" si="3"/>
        <v>0.0002089370554</v>
      </c>
      <c r="G150" s="24">
        <f t="shared" si="4"/>
        <v>0</v>
      </c>
      <c r="H150" s="26">
        <f t="shared" si="5"/>
        <v>0</v>
      </c>
      <c r="I150" s="24">
        <f t="shared" si="6"/>
        <v>0</v>
      </c>
      <c r="J150" s="24">
        <f t="shared" si="7"/>
        <v>0</v>
      </c>
      <c r="K150" s="24"/>
      <c r="L150" s="24">
        <f t="shared" si="8"/>
        <v>449.9278822</v>
      </c>
      <c r="M150" s="14">
        <f t="shared" si="9"/>
        <v>455.4147323</v>
      </c>
      <c r="N150" s="27">
        <f t="shared" si="10"/>
        <v>-5.486850156</v>
      </c>
      <c r="O150" s="24"/>
      <c r="P150" s="24"/>
      <c r="Q150" s="24"/>
      <c r="R150" s="26"/>
      <c r="S150" s="14">
        <f t="shared" si="13"/>
        <v>-5.038553268</v>
      </c>
      <c r="U150" s="21"/>
      <c r="V150" s="21"/>
    </row>
    <row r="151">
      <c r="A151" s="11">
        <v>139.0</v>
      </c>
      <c r="B151" s="11">
        <v>1.42E9</v>
      </c>
      <c r="C151" s="2">
        <v>-102.2507553</v>
      </c>
      <c r="D151" s="24">
        <f t="shared" si="1"/>
        <v>-400000</v>
      </c>
      <c r="E151" s="25">
        <f t="shared" si="2"/>
        <v>83.56494803</v>
      </c>
      <c r="F151" s="24">
        <f t="shared" si="3"/>
        <v>0.0002089123701</v>
      </c>
      <c r="G151" s="24">
        <f t="shared" si="4"/>
        <v>0</v>
      </c>
      <c r="H151" s="26">
        <f t="shared" si="5"/>
        <v>0</v>
      </c>
      <c r="I151" s="24">
        <f t="shared" si="6"/>
        <v>0</v>
      </c>
      <c r="J151" s="24">
        <f t="shared" si="7"/>
        <v>0</v>
      </c>
      <c r="K151" s="24"/>
      <c r="L151" s="24">
        <f t="shared" si="8"/>
        <v>452.9295308</v>
      </c>
      <c r="M151" s="14">
        <f t="shared" si="9"/>
        <v>455.3469363</v>
      </c>
      <c r="N151" s="27">
        <f t="shared" si="10"/>
        <v>-2.417405532</v>
      </c>
      <c r="O151" s="24"/>
      <c r="P151" s="24"/>
      <c r="Q151" s="24"/>
      <c r="R151" s="26"/>
      <c r="S151" s="14">
        <f t="shared" si="13"/>
        <v>-2.219894151</v>
      </c>
      <c r="U151" s="21"/>
      <c r="V151" s="21"/>
    </row>
    <row r="152">
      <c r="A152" s="11">
        <v>140.0</v>
      </c>
      <c r="B152" s="11">
        <v>1.42000434782608E9</v>
      </c>
      <c r="C152" s="2">
        <v>-102.2617111</v>
      </c>
      <c r="D152" s="24">
        <f t="shared" si="1"/>
        <v>-395652.1739</v>
      </c>
      <c r="E152" s="25">
        <f t="shared" si="2"/>
        <v>82.64665189</v>
      </c>
      <c r="F152" s="24">
        <f t="shared" si="3"/>
        <v>0.0002088871421</v>
      </c>
      <c r="G152" s="24">
        <f t="shared" si="4"/>
        <v>0</v>
      </c>
      <c r="H152" s="26">
        <f t="shared" si="5"/>
        <v>0</v>
      </c>
      <c r="I152" s="24">
        <f t="shared" si="6"/>
        <v>0</v>
      </c>
      <c r="J152" s="24">
        <f t="shared" si="7"/>
        <v>0</v>
      </c>
      <c r="K152" s="24"/>
      <c r="L152" s="24">
        <f t="shared" si="8"/>
        <v>451.7883807</v>
      </c>
      <c r="M152" s="14">
        <f t="shared" si="9"/>
        <v>455.2788914</v>
      </c>
      <c r="N152" s="27">
        <f t="shared" si="10"/>
        <v>-3.490510658</v>
      </c>
      <c r="O152" s="24"/>
      <c r="P152" s="24"/>
      <c r="Q152" s="24"/>
      <c r="R152" s="26"/>
      <c r="S152" s="14">
        <f t="shared" si="13"/>
        <v>-3.205322439</v>
      </c>
      <c r="U152" s="21"/>
      <c r="V152" s="21"/>
    </row>
    <row r="153">
      <c r="A153" s="11">
        <v>141.0</v>
      </c>
      <c r="B153" s="11">
        <v>1.42000869565217E9</v>
      </c>
      <c r="C153" s="2">
        <v>-102.2598419</v>
      </c>
      <c r="D153" s="24">
        <f t="shared" si="1"/>
        <v>-391304.3478</v>
      </c>
      <c r="E153" s="25">
        <f t="shared" si="2"/>
        <v>81.72835576</v>
      </c>
      <c r="F153" s="24">
        <f t="shared" si="3"/>
        <v>0.0002088613536</v>
      </c>
      <c r="G153" s="24">
        <f t="shared" si="4"/>
        <v>0</v>
      </c>
      <c r="H153" s="26">
        <f t="shared" si="5"/>
        <v>0</v>
      </c>
      <c r="I153" s="24">
        <f t="shared" si="6"/>
        <v>0</v>
      </c>
      <c r="J153" s="24">
        <f t="shared" si="7"/>
        <v>0</v>
      </c>
      <c r="K153" s="24"/>
      <c r="L153" s="24">
        <f t="shared" si="8"/>
        <v>451.9828719</v>
      </c>
      <c r="M153" s="14">
        <f t="shared" si="9"/>
        <v>455.2105966</v>
      </c>
      <c r="N153" s="27">
        <f t="shared" si="10"/>
        <v>-3.227724603</v>
      </c>
      <c r="O153" s="24"/>
      <c r="P153" s="24"/>
      <c r="Q153" s="24"/>
      <c r="R153" s="26"/>
      <c r="S153" s="14">
        <f t="shared" si="13"/>
        <v>-2.964007013</v>
      </c>
      <c r="U153" s="21"/>
      <c r="V153" s="21"/>
    </row>
    <row r="154">
      <c r="A154" s="11">
        <v>142.0</v>
      </c>
      <c r="B154" s="11">
        <v>1.42001304347826E9</v>
      </c>
      <c r="C154" s="2">
        <v>-102.2413101</v>
      </c>
      <c r="D154" s="24">
        <f t="shared" si="1"/>
        <v>-386956.5217</v>
      </c>
      <c r="E154" s="25">
        <f t="shared" si="2"/>
        <v>80.81005963</v>
      </c>
      <c r="F154" s="24">
        <f t="shared" si="3"/>
        <v>0.0002088349856</v>
      </c>
      <c r="G154" s="24">
        <f t="shared" si="4"/>
        <v>0</v>
      </c>
      <c r="H154" s="26">
        <f t="shared" si="5"/>
        <v>0</v>
      </c>
      <c r="I154" s="24">
        <f t="shared" si="6"/>
        <v>0</v>
      </c>
      <c r="J154" s="24">
        <f t="shared" si="7"/>
        <v>0</v>
      </c>
      <c r="K154" s="24"/>
      <c r="L154" s="24">
        <f t="shared" si="8"/>
        <v>453.9156509</v>
      </c>
      <c r="M154" s="14">
        <f t="shared" si="9"/>
        <v>455.1420507</v>
      </c>
      <c r="N154" s="27">
        <f t="shared" si="10"/>
        <v>-1.226399782</v>
      </c>
      <c r="O154" s="24"/>
      <c r="P154" s="24"/>
      <c r="Q154" s="24"/>
      <c r="R154" s="26"/>
      <c r="S154" s="14">
        <f t="shared" si="13"/>
        <v>-1.126198177</v>
      </c>
      <c r="U154" s="21"/>
      <c r="V154" s="21"/>
    </row>
    <row r="155">
      <c r="A155" s="11">
        <v>143.0</v>
      </c>
      <c r="B155" s="11">
        <v>1.42001739130434E9</v>
      </c>
      <c r="C155" s="2">
        <v>-102.2148285</v>
      </c>
      <c r="D155" s="24">
        <f t="shared" si="1"/>
        <v>-382608.6957</v>
      </c>
      <c r="E155" s="25">
        <f t="shared" si="2"/>
        <v>79.8917635</v>
      </c>
      <c r="F155" s="24">
        <f t="shared" si="3"/>
        <v>0.0002088080182</v>
      </c>
      <c r="G155" s="24">
        <f t="shared" si="4"/>
        <v>0</v>
      </c>
      <c r="H155" s="26">
        <f t="shared" si="5"/>
        <v>0</v>
      </c>
      <c r="I155" s="24">
        <f t="shared" si="6"/>
        <v>0</v>
      </c>
      <c r="J155" s="24">
        <f t="shared" si="7"/>
        <v>0</v>
      </c>
      <c r="K155" s="24"/>
      <c r="L155" s="24">
        <f t="shared" si="8"/>
        <v>456.6919089</v>
      </c>
      <c r="M155" s="14">
        <f t="shared" si="9"/>
        <v>455.0732527</v>
      </c>
      <c r="N155" s="27">
        <f t="shared" si="10"/>
        <v>1.618656145</v>
      </c>
      <c r="O155" s="24"/>
      <c r="P155" s="24"/>
      <c r="Q155" s="24"/>
      <c r="R155" s="26"/>
      <c r="S155" s="14">
        <f t="shared" si="13"/>
        <v>1.486405679</v>
      </c>
      <c r="U155" s="21"/>
      <c r="V155" s="21"/>
    </row>
    <row r="156">
      <c r="A156" s="11">
        <v>144.0</v>
      </c>
      <c r="B156" s="11">
        <v>1.42002173913043E9</v>
      </c>
      <c r="C156" s="2">
        <v>-102.2694092</v>
      </c>
      <c r="D156" s="24">
        <f t="shared" si="1"/>
        <v>-378260.8696</v>
      </c>
      <c r="E156" s="25">
        <f t="shared" si="2"/>
        <v>78.97346736</v>
      </c>
      <c r="F156" s="24">
        <f t="shared" si="3"/>
        <v>0.000208780431</v>
      </c>
      <c r="G156" s="24">
        <f t="shared" si="4"/>
        <v>0</v>
      </c>
      <c r="H156" s="26">
        <f t="shared" si="5"/>
        <v>0</v>
      </c>
      <c r="I156" s="24">
        <f t="shared" si="6"/>
        <v>0</v>
      </c>
      <c r="J156" s="24">
        <f t="shared" si="7"/>
        <v>0</v>
      </c>
      <c r="K156" s="24"/>
      <c r="L156" s="24">
        <f t="shared" si="8"/>
        <v>450.9882712</v>
      </c>
      <c r="M156" s="14">
        <f t="shared" si="9"/>
        <v>455.0042016</v>
      </c>
      <c r="N156" s="27">
        <f t="shared" si="10"/>
        <v>-4.015930438</v>
      </c>
      <c r="O156" s="24"/>
      <c r="P156" s="24"/>
      <c r="Q156" s="24"/>
      <c r="R156" s="26"/>
      <c r="S156" s="14">
        <f t="shared" si="13"/>
        <v>-3.687813383</v>
      </c>
      <c r="U156" s="21"/>
      <c r="V156" s="21"/>
    </row>
    <row r="157">
      <c r="A157" s="11">
        <v>145.0</v>
      </c>
      <c r="B157" s="11">
        <v>1.42002608695652E9</v>
      </c>
      <c r="C157" s="2">
        <v>-102.1788025</v>
      </c>
      <c r="D157" s="24">
        <f t="shared" si="1"/>
        <v>-373913.0435</v>
      </c>
      <c r="E157" s="25">
        <f t="shared" si="2"/>
        <v>78.05517123</v>
      </c>
      <c r="F157" s="24">
        <f t="shared" si="3"/>
        <v>0.0002087522021</v>
      </c>
      <c r="G157" s="24">
        <f t="shared" si="4"/>
        <v>0</v>
      </c>
      <c r="H157" s="26">
        <f t="shared" si="5"/>
        <v>0</v>
      </c>
      <c r="I157" s="24">
        <f t="shared" si="6"/>
        <v>0</v>
      </c>
      <c r="J157" s="24">
        <f t="shared" si="7"/>
        <v>0</v>
      </c>
      <c r="K157" s="24"/>
      <c r="L157" s="24">
        <f t="shared" si="8"/>
        <v>460.4960586</v>
      </c>
      <c r="M157" s="14">
        <f t="shared" si="9"/>
        <v>454.9348963</v>
      </c>
      <c r="N157" s="27">
        <f t="shared" si="10"/>
        <v>5.561162277</v>
      </c>
      <c r="O157" s="24"/>
      <c r="P157" s="24"/>
      <c r="Q157" s="24"/>
      <c r="R157" s="26"/>
      <c r="S157" s="14">
        <f t="shared" si="13"/>
        <v>5.106793813</v>
      </c>
      <c r="U157" s="21"/>
      <c r="V157" s="21"/>
    </row>
    <row r="158">
      <c r="A158" s="11">
        <v>146.0</v>
      </c>
      <c r="B158" s="11">
        <v>1.4200304347826E9</v>
      </c>
      <c r="C158" s="2">
        <v>-102.2522125</v>
      </c>
      <c r="D158" s="24">
        <f t="shared" si="1"/>
        <v>-369565.2174</v>
      </c>
      <c r="E158" s="25">
        <f t="shared" si="2"/>
        <v>77.1368751</v>
      </c>
      <c r="F158" s="24">
        <f t="shared" si="3"/>
        <v>0.0002087233091</v>
      </c>
      <c r="G158" s="24">
        <f t="shared" si="4"/>
        <v>0</v>
      </c>
      <c r="H158" s="26">
        <f t="shared" si="5"/>
        <v>0</v>
      </c>
      <c r="I158" s="24">
        <f t="shared" si="6"/>
        <v>0</v>
      </c>
      <c r="J158" s="24">
        <f t="shared" si="7"/>
        <v>0</v>
      </c>
      <c r="K158" s="24"/>
      <c r="L158" s="24">
        <f t="shared" si="8"/>
        <v>452.7775836</v>
      </c>
      <c r="M158" s="14">
        <f t="shared" si="9"/>
        <v>454.8653356</v>
      </c>
      <c r="N158" s="27">
        <f t="shared" si="10"/>
        <v>-2.087752037</v>
      </c>
      <c r="O158" s="24"/>
      <c r="P158" s="24"/>
      <c r="Q158" s="24"/>
      <c r="R158" s="26"/>
      <c r="S158" s="14">
        <f t="shared" si="13"/>
        <v>-1.917174622</v>
      </c>
      <c r="U158" s="21"/>
      <c r="V158" s="21"/>
    </row>
    <row r="159">
      <c r="A159" s="11">
        <v>147.0</v>
      </c>
      <c r="B159" s="11">
        <v>1.42003478260869E9</v>
      </c>
      <c r="C159" s="2">
        <v>-102.1992035</v>
      </c>
      <c r="D159" s="24">
        <f t="shared" si="1"/>
        <v>-365217.3913</v>
      </c>
      <c r="E159" s="25">
        <f t="shared" si="2"/>
        <v>76.21857897</v>
      </c>
      <c r="F159" s="24">
        <f t="shared" si="3"/>
        <v>0.0002086937281</v>
      </c>
      <c r="G159" s="24">
        <f t="shared" si="4"/>
        <v>0</v>
      </c>
      <c r="H159" s="26">
        <f t="shared" si="5"/>
        <v>0</v>
      </c>
      <c r="I159" s="24">
        <f t="shared" si="6"/>
        <v>0</v>
      </c>
      <c r="J159" s="24">
        <f t="shared" si="7"/>
        <v>0</v>
      </c>
      <c r="K159" s="24"/>
      <c r="L159" s="24">
        <f t="shared" si="8"/>
        <v>458.3379494</v>
      </c>
      <c r="M159" s="14">
        <f t="shared" si="9"/>
        <v>454.7955186</v>
      </c>
      <c r="N159" s="27">
        <f t="shared" si="10"/>
        <v>3.542430813</v>
      </c>
      <c r="O159" s="24"/>
      <c r="P159" s="24"/>
      <c r="Q159" s="24"/>
      <c r="R159" s="26"/>
      <c r="S159" s="14">
        <f t="shared" si="13"/>
        <v>3.253000516</v>
      </c>
      <c r="U159" s="21"/>
      <c r="V159" s="21"/>
    </row>
    <row r="160">
      <c r="A160" s="11">
        <v>148.0</v>
      </c>
      <c r="B160" s="11">
        <v>1.42003913043478E9</v>
      </c>
      <c r="C160" s="2">
        <v>-102.1837234</v>
      </c>
      <c r="D160" s="24">
        <f t="shared" si="1"/>
        <v>-360869.5652</v>
      </c>
      <c r="E160" s="25">
        <f t="shared" si="2"/>
        <v>75.30028284</v>
      </c>
      <c r="F160" s="24">
        <f t="shared" si="3"/>
        <v>0.0002086634344</v>
      </c>
      <c r="G160" s="24">
        <f t="shared" si="4"/>
        <v>0</v>
      </c>
      <c r="H160" s="26">
        <f t="shared" si="5"/>
        <v>0</v>
      </c>
      <c r="I160" s="24">
        <f t="shared" si="6"/>
        <v>0</v>
      </c>
      <c r="J160" s="24">
        <f t="shared" si="7"/>
        <v>0</v>
      </c>
      <c r="K160" s="24"/>
      <c r="L160" s="24">
        <f t="shared" si="8"/>
        <v>459.9745756</v>
      </c>
      <c r="M160" s="14">
        <f t="shared" si="9"/>
        <v>454.7254441</v>
      </c>
      <c r="N160" s="27">
        <f t="shared" si="10"/>
        <v>5.249131541</v>
      </c>
      <c r="O160" s="24"/>
      <c r="P160" s="24"/>
      <c r="Q160" s="24"/>
      <c r="R160" s="26"/>
      <c r="S160" s="14">
        <f t="shared" si="13"/>
        <v>4.820257184</v>
      </c>
      <c r="U160" s="21"/>
      <c r="V160" s="21"/>
    </row>
    <row r="161">
      <c r="A161" s="11">
        <v>149.0</v>
      </c>
      <c r="B161" s="11">
        <v>1.42004347826087E9</v>
      </c>
      <c r="C161" s="2">
        <v>-102.2592087</v>
      </c>
      <c r="D161" s="24">
        <f t="shared" si="1"/>
        <v>-356521.7391</v>
      </c>
      <c r="E161" s="25">
        <f t="shared" si="2"/>
        <v>74.3819867</v>
      </c>
      <c r="F161" s="24">
        <f t="shared" si="3"/>
        <v>0.0002086324017</v>
      </c>
      <c r="G161" s="24">
        <f t="shared" si="4"/>
        <v>0</v>
      </c>
      <c r="H161" s="26">
        <f t="shared" si="5"/>
        <v>0</v>
      </c>
      <c r="I161" s="24">
        <f t="shared" si="6"/>
        <v>0</v>
      </c>
      <c r="J161" s="24">
        <f t="shared" si="7"/>
        <v>0</v>
      </c>
      <c r="K161" s="24"/>
      <c r="L161" s="24">
        <f t="shared" si="8"/>
        <v>452.0487757</v>
      </c>
      <c r="M161" s="14">
        <f t="shared" si="9"/>
        <v>454.655111</v>
      </c>
      <c r="N161" s="27">
        <f t="shared" si="10"/>
        <v>-2.606335297</v>
      </c>
      <c r="O161" s="24"/>
      <c r="P161" s="24"/>
      <c r="Q161" s="24"/>
      <c r="R161" s="26"/>
      <c r="S161" s="14">
        <f t="shared" si="13"/>
        <v>-2.393387624</v>
      </c>
      <c r="U161" s="21"/>
      <c r="V161" s="21"/>
    </row>
    <row r="162">
      <c r="A162" s="11">
        <v>150.0</v>
      </c>
      <c r="B162" s="11">
        <v>1.42004782608695E9</v>
      </c>
      <c r="C162" s="2">
        <v>-102.2226715</v>
      </c>
      <c r="D162" s="24">
        <f t="shared" si="1"/>
        <v>-352173.913</v>
      </c>
      <c r="E162" s="25">
        <f t="shared" si="2"/>
        <v>73.46369057</v>
      </c>
      <c r="F162" s="24">
        <f t="shared" si="3"/>
        <v>0.0002086006029</v>
      </c>
      <c r="G162" s="24">
        <f t="shared" si="4"/>
        <v>0</v>
      </c>
      <c r="H162" s="26">
        <f t="shared" si="5"/>
        <v>0</v>
      </c>
      <c r="I162" s="24">
        <f t="shared" si="6"/>
        <v>0</v>
      </c>
      <c r="J162" s="24">
        <f t="shared" si="7"/>
        <v>0</v>
      </c>
      <c r="K162" s="24"/>
      <c r="L162" s="24">
        <f t="shared" si="8"/>
        <v>455.8679053</v>
      </c>
      <c r="M162" s="14">
        <f t="shared" si="9"/>
        <v>454.5845183</v>
      </c>
      <c r="N162" s="27">
        <f t="shared" si="10"/>
        <v>1.283386911</v>
      </c>
      <c r="O162" s="24"/>
      <c r="P162" s="24"/>
      <c r="Q162" s="24"/>
      <c r="R162" s="26"/>
      <c r="S162" s="14">
        <f t="shared" si="13"/>
        <v>1.178529237</v>
      </c>
      <c r="U162" s="21"/>
      <c r="V162" s="21"/>
    </row>
    <row r="163">
      <c r="A163" s="11">
        <v>151.0</v>
      </c>
      <c r="B163" s="11">
        <v>1.42005217391304E9</v>
      </c>
      <c r="C163" s="2">
        <v>-102.2436447</v>
      </c>
      <c r="D163" s="24">
        <f t="shared" si="1"/>
        <v>-347826.087</v>
      </c>
      <c r="E163" s="25">
        <f t="shared" si="2"/>
        <v>72.54539444</v>
      </c>
      <c r="F163" s="24">
        <f t="shared" si="3"/>
        <v>0.000208568009</v>
      </c>
      <c r="G163" s="24">
        <f t="shared" si="4"/>
        <v>0</v>
      </c>
      <c r="H163" s="26">
        <f t="shared" si="5"/>
        <v>0</v>
      </c>
      <c r="I163" s="24">
        <f t="shared" si="6"/>
        <v>0</v>
      </c>
      <c r="J163" s="24">
        <f t="shared" si="7"/>
        <v>0</v>
      </c>
      <c r="K163" s="24"/>
      <c r="L163" s="24">
        <f t="shared" si="8"/>
        <v>453.6717089</v>
      </c>
      <c r="M163" s="14">
        <f t="shared" si="9"/>
        <v>454.513665</v>
      </c>
      <c r="N163" s="27">
        <f t="shared" si="10"/>
        <v>-0.8419560862</v>
      </c>
      <c r="O163" s="24"/>
      <c r="P163" s="24"/>
      <c r="Q163" s="24"/>
      <c r="R163" s="26"/>
      <c r="S163" s="14">
        <f t="shared" si="13"/>
        <v>-0.7731650162</v>
      </c>
      <c r="U163" s="21"/>
      <c r="V163" s="21"/>
    </row>
    <row r="164">
      <c r="A164" s="11">
        <v>152.0</v>
      </c>
      <c r="B164" s="11">
        <v>1.42005652173913E9</v>
      </c>
      <c r="C164" s="2">
        <v>-102.1834335</v>
      </c>
      <c r="D164" s="24">
        <f t="shared" si="1"/>
        <v>-343478.2609</v>
      </c>
      <c r="E164" s="25">
        <f t="shared" si="2"/>
        <v>71.62709831</v>
      </c>
      <c r="F164" s="24">
        <f t="shared" si="3"/>
        <v>0.00020853459</v>
      </c>
      <c r="G164" s="24">
        <f t="shared" si="4"/>
        <v>0</v>
      </c>
      <c r="H164" s="26">
        <f t="shared" si="5"/>
        <v>0</v>
      </c>
      <c r="I164" s="24">
        <f t="shared" si="6"/>
        <v>0</v>
      </c>
      <c r="J164" s="24">
        <f t="shared" si="7"/>
        <v>0</v>
      </c>
      <c r="K164" s="24"/>
      <c r="L164" s="24">
        <f t="shared" si="8"/>
        <v>460.0052808</v>
      </c>
      <c r="M164" s="14">
        <f t="shared" si="9"/>
        <v>454.4425499</v>
      </c>
      <c r="N164" s="27">
        <f t="shared" si="10"/>
        <v>5.562730964</v>
      </c>
      <c r="O164" s="24"/>
      <c r="P164" s="24"/>
      <c r="Q164" s="24"/>
      <c r="R164" s="26"/>
      <c r="S164" s="14">
        <f t="shared" si="13"/>
        <v>5.108234332</v>
      </c>
      <c r="U164" s="21"/>
      <c r="V164" s="21"/>
    </row>
    <row r="165">
      <c r="A165" s="11">
        <v>153.0</v>
      </c>
      <c r="B165" s="11">
        <v>1.42006086956521E9</v>
      </c>
      <c r="C165" s="2">
        <v>-102.1483154</v>
      </c>
      <c r="D165" s="24">
        <f t="shared" si="1"/>
        <v>-339130.4348</v>
      </c>
      <c r="E165" s="25">
        <f t="shared" si="2"/>
        <v>70.70880218</v>
      </c>
      <c r="F165" s="24">
        <f t="shared" si="3"/>
        <v>0.0002085003141</v>
      </c>
      <c r="G165" s="24">
        <f t="shared" si="4"/>
        <v>0</v>
      </c>
      <c r="H165" s="26">
        <f t="shared" si="5"/>
        <v>0</v>
      </c>
      <c r="I165" s="24">
        <f t="shared" si="6"/>
        <v>0</v>
      </c>
      <c r="J165" s="24">
        <f t="shared" si="7"/>
        <v>0</v>
      </c>
      <c r="K165" s="24"/>
      <c r="L165" s="24">
        <f t="shared" si="8"/>
        <v>463.7400744</v>
      </c>
      <c r="M165" s="14">
        <f t="shared" si="9"/>
        <v>454.3711719</v>
      </c>
      <c r="N165" s="27">
        <f t="shared" si="10"/>
        <v>9.368902522</v>
      </c>
      <c r="O165" s="24"/>
      <c r="P165" s="24"/>
      <c r="Q165" s="24"/>
      <c r="R165" s="26"/>
      <c r="S165" s="14">
        <f t="shared" si="13"/>
        <v>8.603426955</v>
      </c>
      <c r="U165" s="21"/>
      <c r="V165" s="21"/>
    </row>
    <row r="166">
      <c r="A166" s="11">
        <v>154.0</v>
      </c>
      <c r="B166" s="11">
        <v>1.4200652173913E9</v>
      </c>
      <c r="C166" s="2">
        <v>-102.2161407</v>
      </c>
      <c r="D166" s="24">
        <f t="shared" si="1"/>
        <v>-334782.6087</v>
      </c>
      <c r="E166" s="25">
        <f t="shared" si="2"/>
        <v>69.79050604</v>
      </c>
      <c r="F166" s="24">
        <f t="shared" si="3"/>
        <v>0.0002084651479</v>
      </c>
      <c r="G166" s="24">
        <f t="shared" si="4"/>
        <v>0</v>
      </c>
      <c r="H166" s="26">
        <f t="shared" si="5"/>
        <v>0</v>
      </c>
      <c r="I166" s="24">
        <f t="shared" si="6"/>
        <v>0</v>
      </c>
      <c r="J166" s="24">
        <f t="shared" si="7"/>
        <v>0</v>
      </c>
      <c r="K166" s="24"/>
      <c r="L166" s="24">
        <f t="shared" si="8"/>
        <v>456.5539425</v>
      </c>
      <c r="M166" s="14">
        <f t="shared" si="9"/>
        <v>454.29953</v>
      </c>
      <c r="N166" s="27">
        <f t="shared" si="10"/>
        <v>2.254412439</v>
      </c>
      <c r="O166" s="24"/>
      <c r="P166" s="24"/>
      <c r="Q166" s="24"/>
      <c r="R166" s="26"/>
      <c r="S166" s="14">
        <f t="shared" si="13"/>
        <v>2.070218219</v>
      </c>
      <c r="U166" s="21"/>
      <c r="V166" s="21"/>
    </row>
    <row r="167">
      <c r="A167" s="11">
        <v>155.0</v>
      </c>
      <c r="B167" s="11">
        <v>1.42006956521739E9</v>
      </c>
      <c r="C167" s="2">
        <v>-102.2049561</v>
      </c>
      <c r="D167" s="24">
        <f t="shared" si="1"/>
        <v>-330434.7826</v>
      </c>
      <c r="E167" s="25">
        <f t="shared" si="2"/>
        <v>68.87220991</v>
      </c>
      <c r="F167" s="24">
        <f t="shared" si="3"/>
        <v>0.0002084290563</v>
      </c>
      <c r="G167" s="24">
        <f t="shared" si="4"/>
        <v>0</v>
      </c>
      <c r="H167" s="26">
        <f t="shared" si="5"/>
        <v>0</v>
      </c>
      <c r="I167" s="24">
        <f t="shared" si="6"/>
        <v>0</v>
      </c>
      <c r="J167" s="24">
        <f t="shared" si="7"/>
        <v>0</v>
      </c>
      <c r="K167" s="24"/>
      <c r="L167" s="24">
        <f t="shared" si="8"/>
        <v>457.7312437</v>
      </c>
      <c r="M167" s="14">
        <f t="shared" si="9"/>
        <v>454.2276232</v>
      </c>
      <c r="N167" s="27">
        <f t="shared" si="10"/>
        <v>3.503620522</v>
      </c>
      <c r="O167" s="24"/>
      <c r="P167" s="24"/>
      <c r="Q167" s="24"/>
      <c r="R167" s="26"/>
      <c r="S167" s="14">
        <f t="shared" si="13"/>
        <v>3.217361176</v>
      </c>
      <c r="U167" s="21"/>
      <c r="V167" s="21"/>
    </row>
    <row r="168">
      <c r="A168" s="11">
        <v>156.0</v>
      </c>
      <c r="B168" s="11">
        <v>1.42007391304347E9</v>
      </c>
      <c r="C168" s="2">
        <v>-102.195015</v>
      </c>
      <c r="D168" s="24">
        <f t="shared" si="1"/>
        <v>-326086.9565</v>
      </c>
      <c r="E168" s="25">
        <f t="shared" si="2"/>
        <v>67.95391378</v>
      </c>
      <c r="F168" s="24">
        <f t="shared" si="3"/>
        <v>0.0002083920023</v>
      </c>
      <c r="G168" s="24">
        <f t="shared" si="4"/>
        <v>0</v>
      </c>
      <c r="H168" s="26">
        <f t="shared" si="5"/>
        <v>0</v>
      </c>
      <c r="I168" s="24">
        <f t="shared" si="6"/>
        <v>0</v>
      </c>
      <c r="J168" s="24">
        <f t="shared" si="7"/>
        <v>0</v>
      </c>
      <c r="K168" s="24"/>
      <c r="L168" s="24">
        <f t="shared" si="8"/>
        <v>458.780201</v>
      </c>
      <c r="M168" s="14">
        <f t="shared" si="9"/>
        <v>454.1554502</v>
      </c>
      <c r="N168" s="27">
        <f t="shared" si="10"/>
        <v>4.624750824</v>
      </c>
      <c r="O168" s="24"/>
      <c r="P168" s="24"/>
      <c r="Q168" s="24"/>
      <c r="R168" s="26"/>
      <c r="S168" s="14">
        <f t="shared" si="13"/>
        <v>4.246890797</v>
      </c>
      <c r="U168" s="21"/>
      <c r="V168" s="21"/>
    </row>
    <row r="169">
      <c r="A169" s="11">
        <v>157.0</v>
      </c>
      <c r="B169" s="11">
        <v>1.42007826086956E9</v>
      </c>
      <c r="C169" s="2">
        <v>-102.1687317</v>
      </c>
      <c r="D169" s="24">
        <f t="shared" si="1"/>
        <v>-321739.1304</v>
      </c>
      <c r="E169" s="25">
        <f t="shared" si="2"/>
        <v>67.03561765</v>
      </c>
      <c r="F169" s="24">
        <f t="shared" si="3"/>
        <v>0.0002083539467</v>
      </c>
      <c r="G169" s="24">
        <f t="shared" si="4"/>
        <v>0</v>
      </c>
      <c r="H169" s="26">
        <f t="shared" si="5"/>
        <v>0</v>
      </c>
      <c r="I169" s="24">
        <f t="shared" si="6"/>
        <v>0</v>
      </c>
      <c r="J169" s="24">
        <f t="shared" si="7"/>
        <v>0</v>
      </c>
      <c r="K169" s="24"/>
      <c r="L169" s="24">
        <f t="shared" si="8"/>
        <v>461.5651361</v>
      </c>
      <c r="M169" s="14">
        <f t="shared" si="9"/>
        <v>454.0830102</v>
      </c>
      <c r="N169" s="27">
        <f t="shared" si="10"/>
        <v>7.482125978</v>
      </c>
      <c r="O169" s="24"/>
      <c r="P169" s="24"/>
      <c r="Q169" s="24"/>
      <c r="R169" s="26"/>
      <c r="S169" s="14">
        <f t="shared" si="13"/>
        <v>6.870807335</v>
      </c>
      <c r="U169" s="21"/>
      <c r="V169" s="21"/>
    </row>
    <row r="170">
      <c r="A170" s="11">
        <v>158.0</v>
      </c>
      <c r="B170" s="11">
        <v>1.42008260869565E9</v>
      </c>
      <c r="C170" s="2">
        <v>-102.2243576</v>
      </c>
      <c r="D170" s="24">
        <f t="shared" si="1"/>
        <v>-317391.3043</v>
      </c>
      <c r="E170" s="25">
        <f t="shared" si="2"/>
        <v>66.11732152</v>
      </c>
      <c r="F170" s="24">
        <f t="shared" si="3"/>
        <v>0.0002083148486</v>
      </c>
      <c r="G170" s="24">
        <f t="shared" si="4"/>
        <v>0</v>
      </c>
      <c r="H170" s="26">
        <f t="shared" si="5"/>
        <v>0</v>
      </c>
      <c r="I170" s="24">
        <f t="shared" si="6"/>
        <v>0</v>
      </c>
      <c r="J170" s="24">
        <f t="shared" si="7"/>
        <v>0</v>
      </c>
      <c r="K170" s="24"/>
      <c r="L170" s="24">
        <f t="shared" si="8"/>
        <v>455.690954</v>
      </c>
      <c r="M170" s="14">
        <f t="shared" si="9"/>
        <v>454.0103019</v>
      </c>
      <c r="N170" s="27">
        <f t="shared" si="10"/>
        <v>1.6806521</v>
      </c>
      <c r="O170" s="24"/>
      <c r="P170" s="24"/>
      <c r="Q170" s="24"/>
      <c r="R170" s="26"/>
      <c r="S170" s="14">
        <f t="shared" si="13"/>
        <v>1.543336324</v>
      </c>
      <c r="U170" s="21"/>
      <c r="V170" s="21"/>
    </row>
    <row r="171">
      <c r="A171" s="11">
        <v>159.0</v>
      </c>
      <c r="B171" s="11">
        <v>1.42008695652173E9</v>
      </c>
      <c r="C171" s="2">
        <v>-102.2915039</v>
      </c>
      <c r="D171" s="24">
        <f t="shared" si="1"/>
        <v>-313043.4783</v>
      </c>
      <c r="E171" s="25">
        <f t="shared" si="2"/>
        <v>65.19902538</v>
      </c>
      <c r="F171" s="24">
        <f t="shared" si="3"/>
        <v>0.0002082746644</v>
      </c>
      <c r="G171" s="24">
        <f t="shared" si="4"/>
        <v>0</v>
      </c>
      <c r="H171" s="26">
        <f t="shared" si="5"/>
        <v>0</v>
      </c>
      <c r="I171" s="24">
        <f t="shared" si="6"/>
        <v>0</v>
      </c>
      <c r="J171" s="24">
        <f t="shared" si="7"/>
        <v>0</v>
      </c>
      <c r="K171" s="24"/>
      <c r="L171" s="24">
        <f t="shared" si="8"/>
        <v>448.6996982</v>
      </c>
      <c r="M171" s="14">
        <f t="shared" si="9"/>
        <v>453.9373243</v>
      </c>
      <c r="N171" s="27">
        <f t="shared" si="10"/>
        <v>-5.23762613</v>
      </c>
      <c r="O171" s="24"/>
      <c r="P171" s="24"/>
      <c r="Q171" s="24"/>
      <c r="R171" s="26"/>
      <c r="S171" s="14">
        <f t="shared" si="13"/>
        <v>-4.80969182</v>
      </c>
      <c r="U171" s="21"/>
      <c r="V171" s="21"/>
    </row>
    <row r="172">
      <c r="A172" s="11">
        <v>160.0</v>
      </c>
      <c r="B172" s="11">
        <v>1.42009130434782E9</v>
      </c>
      <c r="C172" s="2">
        <v>-102.2488708</v>
      </c>
      <c r="D172" s="24">
        <f t="shared" si="1"/>
        <v>-308695.6522</v>
      </c>
      <c r="E172" s="25">
        <f t="shared" si="2"/>
        <v>64.28072925</v>
      </c>
      <c r="F172" s="24">
        <f t="shared" si="3"/>
        <v>0.0002082333483</v>
      </c>
      <c r="G172" s="24">
        <f t="shared" si="4"/>
        <v>0</v>
      </c>
      <c r="H172" s="26">
        <f t="shared" si="5"/>
        <v>0</v>
      </c>
      <c r="I172" s="24">
        <f t="shared" si="6"/>
        <v>0</v>
      </c>
      <c r="J172" s="24">
        <f t="shared" si="7"/>
        <v>0</v>
      </c>
      <c r="K172" s="24"/>
      <c r="L172" s="24">
        <f t="shared" si="8"/>
        <v>453.1261096</v>
      </c>
      <c r="M172" s="14">
        <f t="shared" si="9"/>
        <v>453.8640763</v>
      </c>
      <c r="N172" s="27">
        <f t="shared" si="10"/>
        <v>-0.7379667655</v>
      </c>
      <c r="O172" s="24"/>
      <c r="P172" s="24"/>
      <c r="Q172" s="24"/>
      <c r="R172" s="26"/>
      <c r="S172" s="14">
        <f t="shared" si="13"/>
        <v>-0.6776720269</v>
      </c>
      <c r="U172" s="21"/>
      <c r="V172" s="21"/>
    </row>
    <row r="173">
      <c r="A173" s="11">
        <v>161.0</v>
      </c>
      <c r="B173" s="11">
        <v>1.42009565217391E9</v>
      </c>
      <c r="C173" s="2">
        <v>-102.228775</v>
      </c>
      <c r="D173" s="24">
        <f t="shared" si="1"/>
        <v>-304347.8261</v>
      </c>
      <c r="E173" s="25">
        <f t="shared" si="2"/>
        <v>63.36243312</v>
      </c>
      <c r="F173" s="24">
        <f t="shared" si="3"/>
        <v>0.0002081908517</v>
      </c>
      <c r="G173" s="24">
        <f t="shared" si="4"/>
        <v>0</v>
      </c>
      <c r="H173" s="26">
        <f t="shared" si="5"/>
        <v>0</v>
      </c>
      <c r="I173" s="24">
        <f t="shared" si="6"/>
        <v>0</v>
      </c>
      <c r="J173" s="24">
        <f t="shared" si="7"/>
        <v>0</v>
      </c>
      <c r="K173" s="24"/>
      <c r="L173" s="24">
        <f t="shared" si="8"/>
        <v>455.2276863</v>
      </c>
      <c r="M173" s="14">
        <f t="shared" si="9"/>
        <v>453.790557</v>
      </c>
      <c r="N173" s="27">
        <f t="shared" si="10"/>
        <v>1.437129361</v>
      </c>
      <c r="O173" s="24"/>
      <c r="P173" s="24"/>
      <c r="Q173" s="24"/>
      <c r="R173" s="26"/>
      <c r="S173" s="14">
        <f t="shared" si="13"/>
        <v>1.319710332</v>
      </c>
      <c r="U173" s="21"/>
      <c r="V173" s="21"/>
    </row>
    <row r="174">
      <c r="A174" s="11">
        <v>162.0</v>
      </c>
      <c r="B174" s="11">
        <v>1.4201E9</v>
      </c>
      <c r="C174" s="2">
        <v>-102.2084351</v>
      </c>
      <c r="D174" s="24">
        <f t="shared" si="1"/>
        <v>-300000</v>
      </c>
      <c r="E174" s="25">
        <f t="shared" si="2"/>
        <v>62.44413699</v>
      </c>
      <c r="F174" s="24">
        <f t="shared" si="3"/>
        <v>0.0002081471233</v>
      </c>
      <c r="G174" s="24">
        <f t="shared" si="4"/>
        <v>0</v>
      </c>
      <c r="H174" s="26">
        <f t="shared" si="5"/>
        <v>0</v>
      </c>
      <c r="I174" s="24">
        <f t="shared" si="6"/>
        <v>0</v>
      </c>
      <c r="J174" s="24">
        <f t="shared" si="7"/>
        <v>0</v>
      </c>
      <c r="K174" s="24"/>
      <c r="L174" s="24">
        <f t="shared" si="8"/>
        <v>457.364716</v>
      </c>
      <c r="M174" s="14">
        <f t="shared" si="9"/>
        <v>453.7167651</v>
      </c>
      <c r="N174" s="27">
        <f t="shared" si="10"/>
        <v>3.647950979</v>
      </c>
      <c r="O174" s="24"/>
      <c r="P174" s="24"/>
      <c r="Q174" s="24"/>
      <c r="R174" s="26"/>
      <c r="S174" s="14">
        <f t="shared" si="13"/>
        <v>3.349899276</v>
      </c>
      <c r="U174" s="21"/>
      <c r="V174" s="21"/>
    </row>
    <row r="175">
      <c r="A175" s="11">
        <v>163.0</v>
      </c>
      <c r="B175" s="11">
        <v>1.42010434782608E9</v>
      </c>
      <c r="C175" s="2">
        <v>-102.2263031</v>
      </c>
      <c r="D175" s="24">
        <f t="shared" si="1"/>
        <v>-295652.1739</v>
      </c>
      <c r="E175" s="25">
        <f t="shared" si="2"/>
        <v>61.52584085</v>
      </c>
      <c r="F175" s="24">
        <f t="shared" si="3"/>
        <v>0.0002081021088</v>
      </c>
      <c r="G175" s="24">
        <f t="shared" si="4"/>
        <v>0</v>
      </c>
      <c r="H175" s="26">
        <f t="shared" si="5"/>
        <v>0</v>
      </c>
      <c r="I175" s="24">
        <f t="shared" si="6"/>
        <v>0</v>
      </c>
      <c r="J175" s="24">
        <f t="shared" si="7"/>
        <v>0</v>
      </c>
      <c r="K175" s="24"/>
      <c r="L175" s="24">
        <f t="shared" si="8"/>
        <v>455.4868647</v>
      </c>
      <c r="M175" s="14">
        <f t="shared" si="9"/>
        <v>453.6426996</v>
      </c>
      <c r="N175" s="27">
        <f t="shared" si="10"/>
        <v>1.844165184</v>
      </c>
      <c r="O175" s="24"/>
      <c r="P175" s="24"/>
      <c r="Q175" s="24"/>
      <c r="R175" s="26"/>
      <c r="S175" s="14">
        <f t="shared" si="13"/>
        <v>1.693489757</v>
      </c>
      <c r="U175" s="21"/>
      <c r="V175" s="21"/>
    </row>
    <row r="176">
      <c r="A176" s="11">
        <v>164.0</v>
      </c>
      <c r="B176" s="11">
        <v>1.42010869565217E9</v>
      </c>
      <c r="C176" s="2">
        <v>-102.1626587</v>
      </c>
      <c r="D176" s="24">
        <f t="shared" si="1"/>
        <v>-291304.3478</v>
      </c>
      <c r="E176" s="25">
        <f t="shared" si="2"/>
        <v>60.60754472</v>
      </c>
      <c r="F176" s="24">
        <f t="shared" si="3"/>
        <v>0.0002080557505</v>
      </c>
      <c r="G176" s="24">
        <f t="shared" si="4"/>
        <v>0</v>
      </c>
      <c r="H176" s="26">
        <f t="shared" si="5"/>
        <v>0</v>
      </c>
      <c r="I176" s="24">
        <f t="shared" si="6"/>
        <v>0</v>
      </c>
      <c r="J176" s="24">
        <f t="shared" si="7"/>
        <v>0</v>
      </c>
      <c r="K176" s="24"/>
      <c r="L176" s="24">
        <f t="shared" si="8"/>
        <v>462.2110218</v>
      </c>
      <c r="M176" s="14">
        <f t="shared" si="9"/>
        <v>453.5683594</v>
      </c>
      <c r="N176" s="27">
        <f t="shared" si="10"/>
        <v>8.642662401</v>
      </c>
      <c r="O176" s="24"/>
      <c r="P176" s="24"/>
      <c r="Q176" s="24"/>
      <c r="R176" s="26"/>
      <c r="S176" s="14">
        <f t="shared" si="13"/>
        <v>7.936523441</v>
      </c>
      <c r="U176" s="21"/>
      <c r="V176" s="21"/>
    </row>
    <row r="177">
      <c r="A177" s="11">
        <v>165.0</v>
      </c>
      <c r="B177" s="11">
        <v>1.42011304347826E9</v>
      </c>
      <c r="C177" s="2">
        <v>-102.2507019</v>
      </c>
      <c r="D177" s="24">
        <f t="shared" si="1"/>
        <v>-286956.5217</v>
      </c>
      <c r="E177" s="25">
        <f t="shared" si="2"/>
        <v>59.68924859</v>
      </c>
      <c r="F177" s="24">
        <f t="shared" si="3"/>
        <v>0.0002080079875</v>
      </c>
      <c r="G177" s="24">
        <f t="shared" si="4"/>
        <v>0</v>
      </c>
      <c r="H177" s="26">
        <f t="shared" si="5"/>
        <v>0</v>
      </c>
      <c r="I177" s="24">
        <f t="shared" si="6"/>
        <v>0</v>
      </c>
      <c r="J177" s="24">
        <f t="shared" si="7"/>
        <v>0</v>
      </c>
      <c r="K177" s="24"/>
      <c r="L177" s="24">
        <f t="shared" si="8"/>
        <v>452.9350999</v>
      </c>
      <c r="M177" s="14">
        <f t="shared" si="9"/>
        <v>453.4937435</v>
      </c>
      <c r="N177" s="27">
        <f t="shared" si="10"/>
        <v>-0.5586435693</v>
      </c>
      <c r="O177" s="24"/>
      <c r="P177" s="24"/>
      <c r="Q177" s="24"/>
      <c r="R177" s="26"/>
      <c r="S177" s="14">
        <f t="shared" si="13"/>
        <v>-0.5130002293</v>
      </c>
      <c r="U177" s="21"/>
      <c r="V177" s="21"/>
    </row>
    <row r="178">
      <c r="A178" s="11">
        <v>166.0</v>
      </c>
      <c r="B178" s="11">
        <v>1.42011739130434E9</v>
      </c>
      <c r="C178" s="2">
        <v>-102.253746</v>
      </c>
      <c r="D178" s="24">
        <f t="shared" si="1"/>
        <v>-282608.6957</v>
      </c>
      <c r="E178" s="25">
        <f t="shared" si="2"/>
        <v>58.77095246</v>
      </c>
      <c r="F178" s="24">
        <f t="shared" si="3"/>
        <v>0.0002079587548</v>
      </c>
      <c r="G178" s="24">
        <f t="shared" si="4"/>
        <v>0</v>
      </c>
      <c r="H178" s="26">
        <f t="shared" si="5"/>
        <v>0</v>
      </c>
      <c r="I178" s="24">
        <f t="shared" si="6"/>
        <v>0</v>
      </c>
      <c r="J178" s="24">
        <f t="shared" si="7"/>
        <v>0</v>
      </c>
      <c r="K178" s="24"/>
      <c r="L178" s="24">
        <f t="shared" si="8"/>
        <v>452.6177354</v>
      </c>
      <c r="M178" s="14">
        <f t="shared" si="9"/>
        <v>453.4188508</v>
      </c>
      <c r="N178" s="27">
        <f t="shared" si="10"/>
        <v>-0.8011153818</v>
      </c>
      <c r="O178" s="24"/>
      <c r="P178" s="24"/>
      <c r="Q178" s="24"/>
      <c r="R178" s="26"/>
      <c r="S178" s="14">
        <f t="shared" si="13"/>
        <v>-0.7356611571</v>
      </c>
      <c r="U178" s="21"/>
      <c r="V178" s="21"/>
    </row>
    <row r="179">
      <c r="A179" s="11">
        <v>167.0</v>
      </c>
      <c r="B179" s="11">
        <v>1.42012173913043E9</v>
      </c>
      <c r="C179" s="2">
        <v>-102.2390518</v>
      </c>
      <c r="D179" s="24">
        <f t="shared" si="1"/>
        <v>-278260.8696</v>
      </c>
      <c r="E179" s="25">
        <f t="shared" si="2"/>
        <v>57.85265632</v>
      </c>
      <c r="F179" s="24">
        <f t="shared" si="3"/>
        <v>0.0002079079837</v>
      </c>
      <c r="G179" s="24">
        <f t="shared" si="4"/>
        <v>0</v>
      </c>
      <c r="H179" s="26">
        <f t="shared" si="5"/>
        <v>0</v>
      </c>
      <c r="I179" s="24">
        <f t="shared" si="6"/>
        <v>0</v>
      </c>
      <c r="J179" s="24">
        <f t="shared" si="7"/>
        <v>0</v>
      </c>
      <c r="K179" s="24"/>
      <c r="L179" s="24">
        <f t="shared" si="8"/>
        <v>454.1517452</v>
      </c>
      <c r="M179" s="14">
        <f t="shared" si="9"/>
        <v>453.3436802</v>
      </c>
      <c r="N179" s="27">
        <f t="shared" si="10"/>
        <v>0.808064976</v>
      </c>
      <c r="O179" s="24"/>
      <c r="P179" s="24"/>
      <c r="Q179" s="24"/>
      <c r="R179" s="26"/>
      <c r="S179" s="14">
        <f t="shared" si="13"/>
        <v>0.7420429407</v>
      </c>
      <c r="U179" s="21"/>
      <c r="V179" s="21"/>
    </row>
    <row r="180">
      <c r="A180" s="11">
        <v>168.0</v>
      </c>
      <c r="B180" s="11">
        <v>1.42012608695652E9</v>
      </c>
      <c r="C180" s="2">
        <v>-102.2369919</v>
      </c>
      <c r="D180" s="24">
        <f t="shared" si="1"/>
        <v>-273913.0435</v>
      </c>
      <c r="E180" s="25">
        <f t="shared" si="2"/>
        <v>56.93436019</v>
      </c>
      <c r="F180" s="24">
        <f t="shared" si="3"/>
        <v>0.0002078556007</v>
      </c>
      <c r="G180" s="24">
        <f t="shared" si="4"/>
        <v>0</v>
      </c>
      <c r="H180" s="26">
        <f t="shared" si="5"/>
        <v>0</v>
      </c>
      <c r="I180" s="24">
        <f t="shared" si="6"/>
        <v>0</v>
      </c>
      <c r="J180" s="24">
        <f t="shared" si="7"/>
        <v>0</v>
      </c>
      <c r="K180" s="24"/>
      <c r="L180" s="24">
        <f t="shared" si="8"/>
        <v>454.3672047</v>
      </c>
      <c r="M180" s="14">
        <f t="shared" si="9"/>
        <v>453.2682306</v>
      </c>
      <c r="N180" s="27">
        <f t="shared" si="10"/>
        <v>1.098974133</v>
      </c>
      <c r="O180" s="24"/>
      <c r="P180" s="24"/>
      <c r="Q180" s="24"/>
      <c r="R180" s="26"/>
      <c r="S180" s="14">
        <f t="shared" si="13"/>
        <v>1.009183696</v>
      </c>
      <c r="U180" s="21"/>
      <c r="V180" s="21"/>
    </row>
    <row r="181">
      <c r="A181" s="11">
        <v>169.0</v>
      </c>
      <c r="B181" s="11">
        <v>1.4201304347826E9</v>
      </c>
      <c r="C181" s="2">
        <v>-102.1993027</v>
      </c>
      <c r="D181" s="24">
        <f t="shared" si="1"/>
        <v>-269565.2174</v>
      </c>
      <c r="E181" s="25">
        <f t="shared" si="2"/>
        <v>56.01606406</v>
      </c>
      <c r="F181" s="24">
        <f t="shared" si="3"/>
        <v>0.000207801528</v>
      </c>
      <c r="G181" s="24">
        <f t="shared" si="4"/>
        <v>0</v>
      </c>
      <c r="H181" s="26">
        <f t="shared" si="5"/>
        <v>0</v>
      </c>
      <c r="I181" s="24">
        <f t="shared" si="6"/>
        <v>0</v>
      </c>
      <c r="J181" s="24">
        <f t="shared" si="7"/>
        <v>0</v>
      </c>
      <c r="K181" s="24"/>
      <c r="L181" s="24">
        <f t="shared" si="8"/>
        <v>458.3274803</v>
      </c>
      <c r="M181" s="14">
        <f t="shared" si="9"/>
        <v>453.192501</v>
      </c>
      <c r="N181" s="27">
        <f t="shared" si="10"/>
        <v>5.134979331</v>
      </c>
      <c r="O181" s="24"/>
      <c r="P181" s="24"/>
      <c r="Q181" s="24"/>
      <c r="R181" s="26"/>
      <c r="S181" s="14">
        <f t="shared" si="13"/>
        <v>4.715431661</v>
      </c>
      <c r="U181" s="21"/>
      <c r="V181" s="21"/>
    </row>
    <row r="182">
      <c r="A182" s="11">
        <v>170.0</v>
      </c>
      <c r="B182" s="11">
        <v>1.42013478260869E9</v>
      </c>
      <c r="C182" s="2">
        <v>-102.2082672</v>
      </c>
      <c r="D182" s="24">
        <f t="shared" si="1"/>
        <v>-265217.3913</v>
      </c>
      <c r="E182" s="25">
        <f t="shared" si="2"/>
        <v>55.09776793</v>
      </c>
      <c r="F182" s="24">
        <f t="shared" si="3"/>
        <v>0.0002077456823</v>
      </c>
      <c r="G182" s="24">
        <f t="shared" si="4"/>
        <v>0</v>
      </c>
      <c r="H182" s="26">
        <f t="shared" si="5"/>
        <v>0</v>
      </c>
      <c r="I182" s="24">
        <f t="shared" si="6"/>
        <v>0</v>
      </c>
      <c r="J182" s="24">
        <f t="shared" si="7"/>
        <v>0</v>
      </c>
      <c r="K182" s="24"/>
      <c r="L182" s="24">
        <f t="shared" si="8"/>
        <v>457.3823983</v>
      </c>
      <c r="M182" s="14">
        <f t="shared" si="9"/>
        <v>453.1164903</v>
      </c>
      <c r="N182" s="27">
        <f t="shared" si="10"/>
        <v>4.265908026</v>
      </c>
      <c r="O182" s="24"/>
      <c r="P182" s="24"/>
      <c r="Q182" s="24"/>
      <c r="R182" s="26"/>
      <c r="S182" s="14">
        <f t="shared" si="13"/>
        <v>3.917366843</v>
      </c>
      <c r="U182" s="21"/>
      <c r="V182" s="21"/>
    </row>
    <row r="183">
      <c r="A183" s="11">
        <v>171.0</v>
      </c>
      <c r="B183" s="11">
        <v>1.42013913043478E9</v>
      </c>
      <c r="C183" s="2">
        <v>-102.222084</v>
      </c>
      <c r="D183" s="24">
        <f t="shared" si="1"/>
        <v>-260869.5652</v>
      </c>
      <c r="E183" s="25">
        <f t="shared" si="2"/>
        <v>54.1794718</v>
      </c>
      <c r="F183" s="24">
        <f t="shared" si="3"/>
        <v>0.0002076879752</v>
      </c>
      <c r="G183" s="24">
        <f t="shared" si="4"/>
        <v>0</v>
      </c>
      <c r="H183" s="26">
        <f t="shared" si="5"/>
        <v>0</v>
      </c>
      <c r="I183" s="24">
        <f t="shared" si="6"/>
        <v>0</v>
      </c>
      <c r="J183" s="24">
        <f t="shared" si="7"/>
        <v>0</v>
      </c>
      <c r="K183" s="24"/>
      <c r="L183" s="24">
        <f t="shared" si="8"/>
        <v>455.9295778</v>
      </c>
      <c r="M183" s="14">
        <f t="shared" si="9"/>
        <v>453.0401973</v>
      </c>
      <c r="N183" s="27">
        <f t="shared" si="10"/>
        <v>2.889380481</v>
      </c>
      <c r="O183" s="24"/>
      <c r="P183" s="24"/>
      <c r="Q183" s="24"/>
      <c r="R183" s="26"/>
      <c r="S183" s="14">
        <f t="shared" si="13"/>
        <v>2.653306916</v>
      </c>
      <c r="U183" s="21"/>
      <c r="V183" s="21"/>
    </row>
    <row r="184">
      <c r="A184" s="11">
        <v>172.0</v>
      </c>
      <c r="B184" s="11">
        <v>1.42014347826087E9</v>
      </c>
      <c r="C184" s="2">
        <v>-102.2041931</v>
      </c>
      <c r="D184" s="24">
        <f t="shared" si="1"/>
        <v>-256521.7391</v>
      </c>
      <c r="E184" s="25">
        <f t="shared" si="2"/>
        <v>53.26117567</v>
      </c>
      <c r="F184" s="24">
        <f t="shared" si="3"/>
        <v>0.0002076283119</v>
      </c>
      <c r="G184" s="24">
        <f t="shared" si="4"/>
        <v>0</v>
      </c>
      <c r="H184" s="26">
        <f t="shared" si="5"/>
        <v>0</v>
      </c>
      <c r="I184" s="24">
        <f t="shared" si="6"/>
        <v>0</v>
      </c>
      <c r="J184" s="24">
        <f t="shared" si="7"/>
        <v>0</v>
      </c>
      <c r="K184" s="24"/>
      <c r="L184" s="24">
        <f t="shared" si="8"/>
        <v>457.8116683</v>
      </c>
      <c r="M184" s="14">
        <f t="shared" si="9"/>
        <v>452.9636211</v>
      </c>
      <c r="N184" s="27">
        <f t="shared" si="10"/>
        <v>4.848047148</v>
      </c>
      <c r="O184" s="24"/>
      <c r="P184" s="24"/>
      <c r="Q184" s="24"/>
      <c r="R184" s="26"/>
      <c r="S184" s="14">
        <f t="shared" si="13"/>
        <v>4.451942947</v>
      </c>
      <c r="U184" s="21"/>
      <c r="V184" s="21"/>
    </row>
    <row r="185">
      <c r="A185" s="11">
        <v>173.0</v>
      </c>
      <c r="B185" s="11">
        <v>1.42014782608695E9</v>
      </c>
      <c r="C185" s="2">
        <v>-102.1475449</v>
      </c>
      <c r="D185" s="24">
        <f t="shared" si="1"/>
        <v>-252173.913</v>
      </c>
      <c r="E185" s="25">
        <f t="shared" si="2"/>
        <v>52.34287953</v>
      </c>
      <c r="F185" s="24">
        <f t="shared" si="3"/>
        <v>0.0002075665912</v>
      </c>
      <c r="G185" s="24">
        <f t="shared" si="4"/>
        <v>0</v>
      </c>
      <c r="H185" s="26">
        <f t="shared" si="5"/>
        <v>0</v>
      </c>
      <c r="I185" s="24">
        <f t="shared" si="6"/>
        <v>0</v>
      </c>
      <c r="J185" s="24">
        <f t="shared" si="7"/>
        <v>0</v>
      </c>
      <c r="K185" s="24"/>
      <c r="L185" s="24">
        <f t="shared" si="8"/>
        <v>463.8223558</v>
      </c>
      <c r="M185" s="14">
        <f t="shared" si="9"/>
        <v>452.8867606</v>
      </c>
      <c r="N185" s="27">
        <f t="shared" si="10"/>
        <v>10.93559519</v>
      </c>
      <c r="O185" s="24"/>
      <c r="P185" s="24"/>
      <c r="Q185" s="24"/>
      <c r="R185" s="26"/>
      <c r="S185" s="14">
        <f t="shared" si="13"/>
        <v>10.04211477</v>
      </c>
      <c r="U185" s="21"/>
      <c r="V185" s="21"/>
    </row>
    <row r="186">
      <c r="A186" s="11">
        <v>174.0</v>
      </c>
      <c r="B186" s="11">
        <v>1.42015217391304E9</v>
      </c>
      <c r="C186" s="2">
        <v>-102.2258301</v>
      </c>
      <c r="D186" s="24">
        <f t="shared" si="1"/>
        <v>-247826.087</v>
      </c>
      <c r="E186" s="25">
        <f t="shared" si="2"/>
        <v>51.4245834</v>
      </c>
      <c r="F186" s="24">
        <f t="shared" si="3"/>
        <v>0.0002075027049</v>
      </c>
      <c r="G186" s="24">
        <f t="shared" si="4"/>
        <v>0</v>
      </c>
      <c r="H186" s="26">
        <f t="shared" si="5"/>
        <v>0</v>
      </c>
      <c r="I186" s="24">
        <f t="shared" si="6"/>
        <v>0</v>
      </c>
      <c r="J186" s="24">
        <f t="shared" si="7"/>
        <v>0</v>
      </c>
      <c r="K186" s="24"/>
      <c r="L186" s="24">
        <f t="shared" si="8"/>
        <v>455.5364756</v>
      </c>
      <c r="M186" s="14">
        <f t="shared" si="9"/>
        <v>452.8096146</v>
      </c>
      <c r="N186" s="27">
        <f t="shared" si="10"/>
        <v>2.726860913</v>
      </c>
      <c r="O186" s="24"/>
      <c r="P186" s="24"/>
      <c r="Q186" s="24"/>
      <c r="R186" s="26"/>
      <c r="S186" s="14">
        <f t="shared" si="13"/>
        <v>2.504065825</v>
      </c>
      <c r="U186" s="21"/>
      <c r="V186" s="21"/>
    </row>
    <row r="187">
      <c r="A187" s="11">
        <v>175.0</v>
      </c>
      <c r="B187" s="11">
        <v>1.42015652173913E9</v>
      </c>
      <c r="C187" s="2">
        <v>-102.2603912</v>
      </c>
      <c r="D187" s="24">
        <f t="shared" si="1"/>
        <v>-243478.2609</v>
      </c>
      <c r="E187" s="25">
        <f t="shared" si="2"/>
        <v>50.50628727</v>
      </c>
      <c r="F187" s="24">
        <f t="shared" si="3"/>
        <v>0.000207436537</v>
      </c>
      <c r="G187" s="24">
        <f t="shared" si="4"/>
        <v>0</v>
      </c>
      <c r="H187" s="26">
        <f t="shared" si="5"/>
        <v>0</v>
      </c>
      <c r="I187" s="24">
        <f t="shared" si="6"/>
        <v>0</v>
      </c>
      <c r="J187" s="24">
        <f t="shared" si="7"/>
        <v>0</v>
      </c>
      <c r="K187" s="24"/>
      <c r="L187" s="24">
        <f t="shared" si="8"/>
        <v>451.9257083</v>
      </c>
      <c r="M187" s="14">
        <f t="shared" si="9"/>
        <v>452.7321822</v>
      </c>
      <c r="N187" s="27">
        <f t="shared" si="10"/>
        <v>-0.8064738829</v>
      </c>
      <c r="O187" s="24"/>
      <c r="P187" s="24"/>
      <c r="Q187" s="24"/>
      <c r="R187" s="26"/>
      <c r="S187" s="14">
        <f t="shared" si="13"/>
        <v>-0.7405818478</v>
      </c>
      <c r="U187" s="21"/>
      <c r="V187" s="21"/>
    </row>
    <row r="188">
      <c r="A188" s="11">
        <v>176.0</v>
      </c>
      <c r="B188" s="11">
        <v>1.42016086956521E9</v>
      </c>
      <c r="C188" s="2">
        <v>-102.1946716</v>
      </c>
      <c r="D188" s="24">
        <f t="shared" si="1"/>
        <v>-239130.4348</v>
      </c>
      <c r="E188" s="25">
        <f t="shared" si="2"/>
        <v>49.58799114</v>
      </c>
      <c r="F188" s="24">
        <f t="shared" si="3"/>
        <v>0.0002073679629</v>
      </c>
      <c r="G188" s="24">
        <f t="shared" si="4"/>
        <v>0</v>
      </c>
      <c r="H188" s="26">
        <f t="shared" si="5"/>
        <v>0</v>
      </c>
      <c r="I188" s="24">
        <f t="shared" si="6"/>
        <v>0</v>
      </c>
      <c r="J188" s="24">
        <f t="shared" si="7"/>
        <v>0</v>
      </c>
      <c r="K188" s="24"/>
      <c r="L188" s="24">
        <f t="shared" si="8"/>
        <v>458.8164786</v>
      </c>
      <c r="M188" s="14">
        <f t="shared" si="9"/>
        <v>452.6544622</v>
      </c>
      <c r="N188" s="27">
        <f t="shared" si="10"/>
        <v>6.162016401</v>
      </c>
      <c r="O188" s="24"/>
      <c r="P188" s="24"/>
      <c r="Q188" s="24"/>
      <c r="R188" s="26"/>
      <c r="S188" s="14">
        <f t="shared" si="13"/>
        <v>5.658555831</v>
      </c>
      <c r="U188" s="21"/>
      <c r="V188" s="21"/>
    </row>
    <row r="189">
      <c r="A189" s="11">
        <v>177.0</v>
      </c>
      <c r="B189" s="11">
        <v>1.4201652173913E9</v>
      </c>
      <c r="C189" s="2">
        <v>-102.2392654</v>
      </c>
      <c r="D189" s="24">
        <f t="shared" si="1"/>
        <v>-234782.6087</v>
      </c>
      <c r="E189" s="25">
        <f t="shared" si="2"/>
        <v>48.669695</v>
      </c>
      <c r="F189" s="24">
        <f t="shared" si="3"/>
        <v>0.0002072968491</v>
      </c>
      <c r="G189" s="24">
        <f t="shared" si="4"/>
        <v>0</v>
      </c>
      <c r="H189" s="26">
        <f t="shared" si="5"/>
        <v>0</v>
      </c>
      <c r="I189" s="24">
        <f t="shared" si="6"/>
        <v>0</v>
      </c>
      <c r="J189" s="24">
        <f t="shared" si="7"/>
        <v>0</v>
      </c>
      <c r="K189" s="24"/>
      <c r="L189" s="24">
        <f t="shared" si="8"/>
        <v>454.1294091</v>
      </c>
      <c r="M189" s="14">
        <f t="shared" si="9"/>
        <v>452.5764535</v>
      </c>
      <c r="N189" s="27">
        <f t="shared" si="10"/>
        <v>1.552955532</v>
      </c>
      <c r="O189" s="24"/>
      <c r="P189" s="24"/>
      <c r="Q189" s="24"/>
      <c r="R189" s="26"/>
      <c r="S189" s="14">
        <f t="shared" si="13"/>
        <v>1.426073056</v>
      </c>
      <c r="U189" s="21"/>
      <c r="V189" s="21"/>
    </row>
    <row r="190">
      <c r="A190" s="11">
        <v>178.0</v>
      </c>
      <c r="B190" s="11">
        <v>1.42016956521739E9</v>
      </c>
      <c r="C190" s="2">
        <v>-102.1836166</v>
      </c>
      <c r="D190" s="24">
        <f t="shared" si="1"/>
        <v>-230434.7826</v>
      </c>
      <c r="E190" s="25">
        <f t="shared" si="2"/>
        <v>47.75139887</v>
      </c>
      <c r="F190" s="24">
        <f t="shared" si="3"/>
        <v>0.0002072230517</v>
      </c>
      <c r="G190" s="24">
        <f t="shared" si="4"/>
        <v>0</v>
      </c>
      <c r="H190" s="26">
        <f t="shared" si="5"/>
        <v>0</v>
      </c>
      <c r="I190" s="24">
        <f t="shared" si="6"/>
        <v>0</v>
      </c>
      <c r="J190" s="24">
        <f t="shared" si="7"/>
        <v>0</v>
      </c>
      <c r="K190" s="24"/>
      <c r="L190" s="24">
        <f t="shared" si="8"/>
        <v>459.9858873</v>
      </c>
      <c r="M190" s="14">
        <f t="shared" si="9"/>
        <v>452.4981552</v>
      </c>
      <c r="N190" s="27">
        <f t="shared" si="10"/>
        <v>7.487732105</v>
      </c>
      <c r="O190" s="24"/>
      <c r="P190" s="24"/>
      <c r="Q190" s="24"/>
      <c r="R190" s="26"/>
      <c r="S190" s="14">
        <f t="shared" si="13"/>
        <v>6.875955436</v>
      </c>
      <c r="U190" s="21"/>
      <c r="V190" s="21"/>
    </row>
    <row r="191">
      <c r="A191" s="11">
        <v>179.0</v>
      </c>
      <c r="B191" s="11">
        <v>1.42017391304347E9</v>
      </c>
      <c r="C191" s="2">
        <v>-102.1757965</v>
      </c>
      <c r="D191" s="24">
        <f t="shared" si="1"/>
        <v>-226086.9565</v>
      </c>
      <c r="E191" s="25">
        <f t="shared" si="2"/>
        <v>46.83310274</v>
      </c>
      <c r="F191" s="24">
        <f t="shared" si="3"/>
        <v>0.000207146416</v>
      </c>
      <c r="G191" s="24">
        <f t="shared" si="4"/>
        <v>0</v>
      </c>
      <c r="H191" s="26">
        <f t="shared" si="5"/>
        <v>0</v>
      </c>
      <c r="I191" s="24">
        <f t="shared" si="6"/>
        <v>0</v>
      </c>
      <c r="J191" s="24">
        <f t="shared" si="7"/>
        <v>0</v>
      </c>
      <c r="K191" s="24"/>
      <c r="L191" s="24">
        <f t="shared" si="8"/>
        <v>460.8149045</v>
      </c>
      <c r="M191" s="14">
        <f t="shared" si="9"/>
        <v>452.419566</v>
      </c>
      <c r="N191" s="27">
        <f t="shared" si="10"/>
        <v>8.395338522</v>
      </c>
      <c r="O191" s="24"/>
      <c r="P191" s="24"/>
      <c r="Q191" s="24"/>
      <c r="R191" s="26"/>
      <c r="S191" s="14">
        <f t="shared" si="13"/>
        <v>7.709406898</v>
      </c>
      <c r="U191" s="21"/>
      <c r="V191" s="21"/>
    </row>
    <row r="192">
      <c r="A192" s="11">
        <v>180.0</v>
      </c>
      <c r="B192" s="11">
        <v>1.42017826086956E9</v>
      </c>
      <c r="C192" s="2">
        <v>-102.1488342</v>
      </c>
      <c r="D192" s="24">
        <f t="shared" si="1"/>
        <v>-221739.1304</v>
      </c>
      <c r="E192" s="25">
        <f t="shared" si="2"/>
        <v>45.91480661</v>
      </c>
      <c r="F192" s="24">
        <f t="shared" si="3"/>
        <v>0.0002070667749</v>
      </c>
      <c r="G192" s="24">
        <f t="shared" si="4"/>
        <v>0</v>
      </c>
      <c r="H192" s="26">
        <f t="shared" si="5"/>
        <v>0</v>
      </c>
      <c r="I192" s="24">
        <f t="shared" si="6"/>
        <v>0</v>
      </c>
      <c r="J192" s="24">
        <f t="shared" si="7"/>
        <v>0</v>
      </c>
      <c r="K192" s="24"/>
      <c r="L192" s="24">
        <f t="shared" si="8"/>
        <v>463.6846802</v>
      </c>
      <c r="M192" s="14">
        <f t="shared" si="9"/>
        <v>452.340685</v>
      </c>
      <c r="N192" s="27">
        <f t="shared" si="10"/>
        <v>11.34399527</v>
      </c>
      <c r="O192" s="24"/>
      <c r="P192" s="24"/>
      <c r="Q192" s="24"/>
      <c r="R192" s="26"/>
      <c r="S192" s="14">
        <f t="shared" si="13"/>
        <v>10.41714696</v>
      </c>
      <c r="U192" s="21"/>
      <c r="V192" s="21"/>
    </row>
    <row r="193">
      <c r="A193" s="11">
        <v>181.0</v>
      </c>
      <c r="B193" s="11">
        <v>1.42018260869565E9</v>
      </c>
      <c r="C193" s="2">
        <v>-102.2122116</v>
      </c>
      <c r="D193" s="24">
        <f t="shared" si="1"/>
        <v>-217391.3043</v>
      </c>
      <c r="E193" s="25">
        <f t="shared" si="2"/>
        <v>44.99651048</v>
      </c>
      <c r="F193" s="24">
        <f t="shared" si="3"/>
        <v>0.0002069839482</v>
      </c>
      <c r="G193" s="24">
        <f t="shared" si="4"/>
        <v>0</v>
      </c>
      <c r="H193" s="26">
        <f t="shared" si="5"/>
        <v>0</v>
      </c>
      <c r="I193" s="24">
        <f t="shared" si="6"/>
        <v>0</v>
      </c>
      <c r="J193" s="24">
        <f t="shared" si="7"/>
        <v>0</v>
      </c>
      <c r="K193" s="24"/>
      <c r="L193" s="24">
        <f t="shared" si="8"/>
        <v>456.9671777</v>
      </c>
      <c r="M193" s="14">
        <f t="shared" si="9"/>
        <v>452.261511</v>
      </c>
      <c r="N193" s="27">
        <f t="shared" si="10"/>
        <v>4.705666721</v>
      </c>
      <c r="O193" s="24"/>
      <c r="P193" s="24"/>
      <c r="Q193" s="24"/>
      <c r="R193" s="26"/>
      <c r="S193" s="14">
        <f t="shared" si="13"/>
        <v>4.321195553</v>
      </c>
      <c r="U193" s="21"/>
      <c r="V193" s="21"/>
    </row>
    <row r="194">
      <c r="A194" s="11">
        <v>182.0</v>
      </c>
      <c r="B194" s="11">
        <v>1.42018695652173E9</v>
      </c>
      <c r="C194" s="2">
        <v>-102.2573471</v>
      </c>
      <c r="D194" s="24">
        <f t="shared" si="1"/>
        <v>-213043.4783</v>
      </c>
      <c r="E194" s="25">
        <f t="shared" si="2"/>
        <v>44.07821434</v>
      </c>
      <c r="F194" s="24">
        <f t="shared" si="3"/>
        <v>0.0002068977408</v>
      </c>
      <c r="G194" s="24">
        <f t="shared" si="4"/>
        <v>0</v>
      </c>
      <c r="H194" s="26">
        <f t="shared" si="5"/>
        <v>0</v>
      </c>
      <c r="I194" s="24">
        <f t="shared" si="6"/>
        <v>0</v>
      </c>
      <c r="J194" s="24">
        <f t="shared" si="7"/>
        <v>0</v>
      </c>
      <c r="K194" s="24"/>
      <c r="L194" s="24">
        <f t="shared" si="8"/>
        <v>452.2425876</v>
      </c>
      <c r="M194" s="14">
        <f t="shared" si="9"/>
        <v>452.182043</v>
      </c>
      <c r="N194" s="27">
        <f t="shared" si="10"/>
        <v>0.06054464394</v>
      </c>
      <c r="O194" s="24"/>
      <c r="P194" s="24"/>
      <c r="Q194" s="24"/>
      <c r="R194" s="26"/>
      <c r="S194" s="14">
        <f t="shared" si="13"/>
        <v>0.05559791239</v>
      </c>
      <c r="U194" s="21"/>
      <c r="V194" s="21"/>
    </row>
    <row r="195">
      <c r="A195" s="11">
        <v>183.0</v>
      </c>
      <c r="B195" s="11">
        <v>1.42019130434782E9</v>
      </c>
      <c r="C195" s="2">
        <v>-102.1432266</v>
      </c>
      <c r="D195" s="24">
        <f t="shared" si="1"/>
        <v>-208695.6522</v>
      </c>
      <c r="E195" s="25">
        <f t="shared" si="2"/>
        <v>43.15991821</v>
      </c>
      <c r="F195" s="24">
        <f t="shared" si="3"/>
        <v>0.0002068079414</v>
      </c>
      <c r="G195" s="24">
        <f t="shared" si="4"/>
        <v>0</v>
      </c>
      <c r="H195" s="26">
        <f t="shared" si="5"/>
        <v>0</v>
      </c>
      <c r="I195" s="24">
        <f t="shared" si="6"/>
        <v>0</v>
      </c>
      <c r="J195" s="24">
        <f t="shared" si="7"/>
        <v>0</v>
      </c>
      <c r="K195" s="24"/>
      <c r="L195" s="24">
        <f t="shared" si="8"/>
        <v>464.2837755</v>
      </c>
      <c r="M195" s="14">
        <f t="shared" si="9"/>
        <v>452.1022799</v>
      </c>
      <c r="N195" s="27">
        <f t="shared" si="10"/>
        <v>12.18149559</v>
      </c>
      <c r="O195" s="24"/>
      <c r="P195" s="24"/>
      <c r="Q195" s="24"/>
      <c r="R195" s="26"/>
      <c r="S195" s="14">
        <f t="shared" si="13"/>
        <v>11.18622029</v>
      </c>
      <c r="U195" s="21"/>
      <c r="V195" s="21"/>
    </row>
    <row r="196">
      <c r="A196" s="11">
        <v>184.0</v>
      </c>
      <c r="B196" s="11">
        <v>1.42019565217391E9</v>
      </c>
      <c r="C196" s="2">
        <v>-102.2020798</v>
      </c>
      <c r="D196" s="24">
        <f t="shared" si="1"/>
        <v>-204347.8261</v>
      </c>
      <c r="E196" s="25">
        <f t="shared" si="2"/>
        <v>42.24162208</v>
      </c>
      <c r="F196" s="24">
        <f t="shared" si="3"/>
        <v>0.0002067143208</v>
      </c>
      <c r="G196" s="24">
        <f t="shared" si="4"/>
        <v>0</v>
      </c>
      <c r="H196" s="26">
        <f t="shared" si="5"/>
        <v>0</v>
      </c>
      <c r="I196" s="24">
        <f t="shared" si="6"/>
        <v>0</v>
      </c>
      <c r="J196" s="24">
        <f t="shared" si="7"/>
        <v>0</v>
      </c>
      <c r="K196" s="24"/>
      <c r="L196" s="24">
        <f t="shared" si="8"/>
        <v>458.0344961</v>
      </c>
      <c r="M196" s="14">
        <f t="shared" si="9"/>
        <v>452.0222206</v>
      </c>
      <c r="N196" s="27">
        <f t="shared" si="10"/>
        <v>6.012275466</v>
      </c>
      <c r="O196" s="24"/>
      <c r="P196" s="24"/>
      <c r="Q196" s="24"/>
      <c r="R196" s="26"/>
      <c r="S196" s="14">
        <f t="shared" si="13"/>
        <v>5.521049297</v>
      </c>
      <c r="U196" s="21"/>
      <c r="V196" s="21"/>
    </row>
    <row r="197">
      <c r="A197" s="11">
        <v>185.0</v>
      </c>
      <c r="B197" s="11">
        <v>1.4202E9</v>
      </c>
      <c r="C197" s="2">
        <v>-102.1903915</v>
      </c>
      <c r="D197" s="24">
        <f t="shared" si="1"/>
        <v>-200000</v>
      </c>
      <c r="E197" s="25">
        <f t="shared" si="2"/>
        <v>41.32332595</v>
      </c>
      <c r="F197" s="24">
        <f t="shared" si="3"/>
        <v>0.0002066166297</v>
      </c>
      <c r="G197" s="24">
        <f t="shared" si="4"/>
        <v>0</v>
      </c>
      <c r="H197" s="26">
        <f t="shared" si="5"/>
        <v>0</v>
      </c>
      <c r="I197" s="24">
        <f t="shared" si="6"/>
        <v>0</v>
      </c>
      <c r="J197" s="24">
        <f t="shared" si="7"/>
        <v>0</v>
      </c>
      <c r="K197" s="24"/>
      <c r="L197" s="24">
        <f t="shared" si="8"/>
        <v>459.2688786</v>
      </c>
      <c r="M197" s="14">
        <f t="shared" si="9"/>
        <v>451.9418641</v>
      </c>
      <c r="N197" s="27">
        <f t="shared" si="10"/>
        <v>7.327014518</v>
      </c>
      <c r="O197" s="24"/>
      <c r="P197" s="24"/>
      <c r="Q197" s="24"/>
      <c r="R197" s="26"/>
      <c r="S197" s="14">
        <f t="shared" si="13"/>
        <v>6.728369096</v>
      </c>
      <c r="U197" s="21"/>
      <c r="V197" s="21"/>
    </row>
    <row r="198">
      <c r="A198" s="11">
        <v>186.0</v>
      </c>
      <c r="B198" s="11">
        <v>1.42020434782608E9</v>
      </c>
      <c r="C198" s="2">
        <v>-102.1875229</v>
      </c>
      <c r="D198" s="24">
        <f t="shared" si="1"/>
        <v>-195652.1739</v>
      </c>
      <c r="E198" s="25">
        <f t="shared" si="2"/>
        <v>40.40502981</v>
      </c>
      <c r="F198" s="24">
        <f t="shared" si="3"/>
        <v>0.0002065145968</v>
      </c>
      <c r="G198" s="24">
        <f t="shared" si="4"/>
        <v>0</v>
      </c>
      <c r="H198" s="26">
        <f t="shared" si="5"/>
        <v>0</v>
      </c>
      <c r="I198" s="24">
        <f t="shared" si="6"/>
        <v>0</v>
      </c>
      <c r="J198" s="24">
        <f t="shared" si="7"/>
        <v>0</v>
      </c>
      <c r="K198" s="24"/>
      <c r="L198" s="24">
        <f t="shared" si="8"/>
        <v>459.5723349</v>
      </c>
      <c r="M198" s="14">
        <f t="shared" si="9"/>
        <v>451.8612093</v>
      </c>
      <c r="N198" s="27">
        <f t="shared" si="10"/>
        <v>7.711125629</v>
      </c>
      <c r="O198" s="24"/>
      <c r="P198" s="24"/>
      <c r="Q198" s="24"/>
      <c r="R198" s="26"/>
      <c r="S198" s="14">
        <f t="shared" si="13"/>
        <v>7.081096844</v>
      </c>
      <c r="U198" s="21"/>
      <c r="V198" s="21"/>
    </row>
    <row r="199">
      <c r="A199" s="11">
        <v>187.0</v>
      </c>
      <c r="B199" s="11">
        <v>1.42020869565217E9</v>
      </c>
      <c r="C199" s="2">
        <v>-102.1924896</v>
      </c>
      <c r="D199" s="24">
        <f t="shared" si="1"/>
        <v>-191304.3478</v>
      </c>
      <c r="E199" s="25">
        <f t="shared" si="2"/>
        <v>39.48673368</v>
      </c>
      <c r="F199" s="24">
        <f t="shared" si="3"/>
        <v>0.0002064079261</v>
      </c>
      <c r="G199" s="24">
        <f t="shared" si="4"/>
        <v>0</v>
      </c>
      <c r="H199" s="26">
        <f t="shared" si="5"/>
        <v>0</v>
      </c>
      <c r="I199" s="24">
        <f t="shared" si="6"/>
        <v>0</v>
      </c>
      <c r="J199" s="24">
        <f t="shared" si="7"/>
        <v>0</v>
      </c>
      <c r="K199" s="24"/>
      <c r="L199" s="24">
        <f t="shared" si="8"/>
        <v>459.0470569</v>
      </c>
      <c r="M199" s="14">
        <f t="shared" si="9"/>
        <v>451.7802551</v>
      </c>
      <c r="N199" s="27">
        <f t="shared" si="10"/>
        <v>7.266801883</v>
      </c>
      <c r="O199" s="24"/>
      <c r="P199" s="24"/>
      <c r="Q199" s="24"/>
      <c r="R199" s="26"/>
      <c r="S199" s="14">
        <f t="shared" si="13"/>
        <v>6.673076051</v>
      </c>
      <c r="U199" s="21"/>
      <c r="V199" s="21"/>
    </row>
    <row r="200">
      <c r="A200" s="11">
        <v>188.0</v>
      </c>
      <c r="B200" s="11">
        <v>1.42021304347826E9</v>
      </c>
      <c r="C200" s="2">
        <v>-102.2320328</v>
      </c>
      <c r="D200" s="24">
        <f t="shared" si="1"/>
        <v>-186956.5217</v>
      </c>
      <c r="E200" s="25">
        <f t="shared" si="2"/>
        <v>38.56843755</v>
      </c>
      <c r="F200" s="24">
        <f t="shared" si="3"/>
        <v>0.0002062962939</v>
      </c>
      <c r="G200" s="24">
        <f t="shared" si="4"/>
        <v>0</v>
      </c>
      <c r="H200" s="26">
        <f t="shared" si="5"/>
        <v>0</v>
      </c>
      <c r="I200" s="24">
        <f t="shared" si="6"/>
        <v>0</v>
      </c>
      <c r="J200" s="24">
        <f t="shared" si="7"/>
        <v>0</v>
      </c>
      <c r="K200" s="24"/>
      <c r="L200" s="24">
        <f t="shared" si="8"/>
        <v>454.8863316</v>
      </c>
      <c r="M200" s="14">
        <f t="shared" si="9"/>
        <v>451.6990004</v>
      </c>
      <c r="N200" s="27">
        <f t="shared" si="10"/>
        <v>3.187331234</v>
      </c>
      <c r="O200" s="24"/>
      <c r="P200" s="24"/>
      <c r="Q200" s="24"/>
      <c r="R200" s="26"/>
      <c r="S200" s="14">
        <f t="shared" si="13"/>
        <v>2.926913946</v>
      </c>
      <c r="U200" s="21"/>
      <c r="V200" s="21"/>
    </row>
    <row r="201">
      <c r="A201" s="11">
        <v>189.0</v>
      </c>
      <c r="B201" s="11">
        <v>1.42021739130434E9</v>
      </c>
      <c r="C201" s="2">
        <v>-102.1695099</v>
      </c>
      <c r="D201" s="24">
        <f t="shared" si="1"/>
        <v>-182608.6957</v>
      </c>
      <c r="E201" s="25">
        <f t="shared" si="2"/>
        <v>37.65014142</v>
      </c>
      <c r="F201" s="24">
        <f t="shared" si="3"/>
        <v>0.0002061793459</v>
      </c>
      <c r="G201" s="24">
        <f t="shared" si="4"/>
        <v>0</v>
      </c>
      <c r="H201" s="26">
        <f t="shared" si="5"/>
        <v>0</v>
      </c>
      <c r="I201" s="24">
        <f t="shared" si="6"/>
        <v>0</v>
      </c>
      <c r="J201" s="24">
        <f t="shared" si="7"/>
        <v>0</v>
      </c>
      <c r="K201" s="24"/>
      <c r="L201" s="24">
        <f t="shared" si="8"/>
        <v>461.482437</v>
      </c>
      <c r="M201" s="14">
        <f t="shared" si="9"/>
        <v>451.6174441</v>
      </c>
      <c r="N201" s="27">
        <f t="shared" si="10"/>
        <v>9.864992845</v>
      </c>
      <c r="O201" s="24"/>
      <c r="P201" s="24"/>
      <c r="Q201" s="24"/>
      <c r="R201" s="26"/>
      <c r="S201" s="14">
        <f t="shared" si="13"/>
        <v>9.05898478</v>
      </c>
      <c r="U201" s="21"/>
      <c r="V201" s="21"/>
    </row>
    <row r="202">
      <c r="A202" s="11">
        <v>190.0</v>
      </c>
      <c r="B202" s="11">
        <v>1.42022173913043E9</v>
      </c>
      <c r="C202" s="2">
        <v>-102.1804352</v>
      </c>
      <c r="D202" s="24">
        <f t="shared" si="1"/>
        <v>-178260.8696</v>
      </c>
      <c r="E202" s="25">
        <f t="shared" si="2"/>
        <v>36.73184529</v>
      </c>
      <c r="F202" s="24">
        <f t="shared" si="3"/>
        <v>0.0002060566931</v>
      </c>
      <c r="G202" s="24">
        <f t="shared" si="4"/>
        <v>0</v>
      </c>
      <c r="H202" s="26">
        <f t="shared" si="5"/>
        <v>0</v>
      </c>
      <c r="I202" s="24">
        <f t="shared" si="6"/>
        <v>0</v>
      </c>
      <c r="J202" s="24">
        <f t="shared" si="7"/>
        <v>0</v>
      </c>
      <c r="K202" s="24"/>
      <c r="L202" s="24">
        <f t="shared" si="8"/>
        <v>460.3229708</v>
      </c>
      <c r="M202" s="14">
        <f t="shared" si="9"/>
        <v>451.5355853</v>
      </c>
      <c r="N202" s="27">
        <f t="shared" si="10"/>
        <v>8.787385515</v>
      </c>
      <c r="O202" s="24"/>
      <c r="P202" s="24"/>
      <c r="Q202" s="24"/>
      <c r="R202" s="26"/>
      <c r="S202" s="14">
        <f t="shared" si="13"/>
        <v>8.069422117</v>
      </c>
      <c r="U202" s="21"/>
      <c r="V202" s="21"/>
    </row>
    <row r="203">
      <c r="A203" s="11">
        <v>191.0</v>
      </c>
      <c r="B203" s="11">
        <v>1.42022608695652E9</v>
      </c>
      <c r="C203" s="2">
        <v>-102.1990891</v>
      </c>
      <c r="D203" s="24">
        <f t="shared" si="1"/>
        <v>-173913.0435</v>
      </c>
      <c r="E203" s="25">
        <f t="shared" si="2"/>
        <v>35.81354916</v>
      </c>
      <c r="F203" s="24">
        <f t="shared" si="3"/>
        <v>0.0002059279076</v>
      </c>
      <c r="G203" s="24">
        <f t="shared" si="4"/>
        <v>0</v>
      </c>
      <c r="H203" s="26">
        <f t="shared" si="5"/>
        <v>0</v>
      </c>
      <c r="I203" s="24">
        <f t="shared" si="6"/>
        <v>0</v>
      </c>
      <c r="J203" s="24">
        <f t="shared" si="7"/>
        <v>0</v>
      </c>
      <c r="K203" s="24"/>
      <c r="L203" s="24">
        <f t="shared" si="8"/>
        <v>458.3500229</v>
      </c>
      <c r="M203" s="14">
        <f t="shared" si="9"/>
        <v>451.4534227</v>
      </c>
      <c r="N203" s="27">
        <f t="shared" si="10"/>
        <v>6.896600153</v>
      </c>
      <c r="O203" s="24"/>
      <c r="P203" s="24"/>
      <c r="Q203" s="24"/>
      <c r="R203" s="26"/>
      <c r="S203" s="14">
        <f t="shared" si="13"/>
        <v>6.33312125</v>
      </c>
      <c r="U203" s="21"/>
      <c r="V203" s="21"/>
    </row>
    <row r="204">
      <c r="A204" s="11">
        <v>192.0</v>
      </c>
      <c r="B204" s="11">
        <v>1.4202304347826E9</v>
      </c>
      <c r="C204" s="2">
        <v>-102.2728424</v>
      </c>
      <c r="D204" s="24">
        <f t="shared" si="1"/>
        <v>-169565.2174</v>
      </c>
      <c r="E204" s="25">
        <f t="shared" si="2"/>
        <v>34.89525302</v>
      </c>
      <c r="F204" s="24">
        <f t="shared" si="3"/>
        <v>0.0002057925178</v>
      </c>
      <c r="G204" s="24">
        <f t="shared" si="4"/>
        <v>0</v>
      </c>
      <c r="H204" s="26">
        <f t="shared" si="5"/>
        <v>0</v>
      </c>
      <c r="I204" s="24">
        <f t="shared" si="6"/>
        <v>0</v>
      </c>
      <c r="J204" s="24">
        <f t="shared" si="7"/>
        <v>0</v>
      </c>
      <c r="K204" s="24"/>
      <c r="L204" s="24">
        <f t="shared" si="8"/>
        <v>450.6318952</v>
      </c>
      <c r="M204" s="14">
        <f t="shared" si="9"/>
        <v>451.3709554</v>
      </c>
      <c r="N204" s="27">
        <f t="shared" si="10"/>
        <v>-0.7390601755</v>
      </c>
      <c r="O204" s="24"/>
      <c r="P204" s="24"/>
      <c r="Q204" s="24"/>
      <c r="R204" s="26"/>
      <c r="S204" s="14">
        <f t="shared" si="13"/>
        <v>-0.678676101</v>
      </c>
      <c r="U204" s="21"/>
      <c r="V204" s="21"/>
    </row>
    <row r="205">
      <c r="A205" s="11">
        <v>193.0</v>
      </c>
      <c r="B205" s="11">
        <v>1.42023478260869E9</v>
      </c>
      <c r="C205" s="2">
        <v>-102.1455307</v>
      </c>
      <c r="D205" s="24">
        <f t="shared" si="1"/>
        <v>-165217.3913</v>
      </c>
      <c r="E205" s="25">
        <f t="shared" si="2"/>
        <v>33.97695689</v>
      </c>
      <c r="F205" s="24">
        <f t="shared" si="3"/>
        <v>0.0002056500022</v>
      </c>
      <c r="G205" s="24">
        <f t="shared" si="4"/>
        <v>0</v>
      </c>
      <c r="H205" s="26">
        <f t="shared" si="5"/>
        <v>0</v>
      </c>
      <c r="I205" s="24">
        <f t="shared" si="6"/>
        <v>0</v>
      </c>
      <c r="J205" s="24">
        <f t="shared" si="7"/>
        <v>0</v>
      </c>
      <c r="K205" s="24"/>
      <c r="L205" s="24">
        <f t="shared" si="8"/>
        <v>464.0375203</v>
      </c>
      <c r="M205" s="14">
        <f t="shared" si="9"/>
        <v>451.2881823</v>
      </c>
      <c r="N205" s="27">
        <f t="shared" si="10"/>
        <v>12.74933805</v>
      </c>
      <c r="O205" s="24"/>
      <c r="P205" s="24"/>
      <c r="Q205" s="24"/>
      <c r="R205" s="26"/>
      <c r="S205" s="14">
        <f t="shared" si="13"/>
        <v>11.70766783</v>
      </c>
      <c r="U205" s="21"/>
      <c r="V205" s="21"/>
    </row>
    <row r="206">
      <c r="A206" s="11">
        <v>194.0</v>
      </c>
      <c r="B206" s="11">
        <v>1.42023913043478E9</v>
      </c>
      <c r="C206" s="2">
        <v>-102.1824799</v>
      </c>
      <c r="D206" s="24">
        <f t="shared" si="1"/>
        <v>-160869.5652</v>
      </c>
      <c r="E206" s="25">
        <f t="shared" si="2"/>
        <v>33.05866076</v>
      </c>
      <c r="F206" s="24">
        <f t="shared" si="3"/>
        <v>0.0002054997831</v>
      </c>
      <c r="G206" s="24">
        <f t="shared" si="4"/>
        <v>0</v>
      </c>
      <c r="H206" s="26">
        <f t="shared" si="5"/>
        <v>0</v>
      </c>
      <c r="I206" s="24">
        <f t="shared" si="6"/>
        <v>0</v>
      </c>
      <c r="J206" s="24">
        <f t="shared" si="7"/>
        <v>0</v>
      </c>
      <c r="K206" s="24"/>
      <c r="L206" s="24">
        <f t="shared" si="8"/>
        <v>460.1062974</v>
      </c>
      <c r="M206" s="14">
        <f t="shared" si="9"/>
        <v>451.2051022</v>
      </c>
      <c r="N206" s="27">
        <f t="shared" si="10"/>
        <v>8.901195176</v>
      </c>
      <c r="O206" s="24"/>
      <c r="P206" s="24"/>
      <c r="Q206" s="24"/>
      <c r="R206" s="26"/>
      <c r="S206" s="14">
        <f t="shared" si="13"/>
        <v>8.173933089</v>
      </c>
      <c r="U206" s="21"/>
      <c r="V206" s="21"/>
    </row>
    <row r="207">
      <c r="A207" s="11">
        <v>195.0</v>
      </c>
      <c r="B207" s="11">
        <v>1.42024347826087E9</v>
      </c>
      <c r="C207" s="2">
        <v>-102.1901016</v>
      </c>
      <c r="D207" s="24">
        <f t="shared" si="1"/>
        <v>-156521.7391</v>
      </c>
      <c r="E207" s="25">
        <f t="shared" si="2"/>
        <v>32.14036463</v>
      </c>
      <c r="F207" s="24">
        <f t="shared" si="3"/>
        <v>0.0002053412184</v>
      </c>
      <c r="G207" s="24">
        <f t="shared" si="4"/>
        <v>0</v>
      </c>
      <c r="H207" s="26">
        <f t="shared" si="5"/>
        <v>0</v>
      </c>
      <c r="I207" s="24">
        <f t="shared" si="6"/>
        <v>0</v>
      </c>
      <c r="J207" s="24">
        <f t="shared" si="7"/>
        <v>0</v>
      </c>
      <c r="K207" s="24"/>
      <c r="L207" s="24">
        <f t="shared" si="8"/>
        <v>459.2995367</v>
      </c>
      <c r="M207" s="14">
        <f t="shared" si="9"/>
        <v>451.1217141</v>
      </c>
      <c r="N207" s="27">
        <f t="shared" si="10"/>
        <v>8.177822642</v>
      </c>
      <c r="O207" s="24"/>
      <c r="P207" s="24"/>
      <c r="Q207" s="24"/>
      <c r="R207" s="26"/>
      <c r="S207" s="14">
        <f t="shared" si="13"/>
        <v>7.509662907</v>
      </c>
      <c r="U207" s="21"/>
      <c r="V207" s="21"/>
    </row>
    <row r="208">
      <c r="A208" s="11">
        <v>196.0</v>
      </c>
      <c r="B208" s="11">
        <v>1.42024782608695E9</v>
      </c>
      <c r="C208" s="2">
        <v>-102.1750183</v>
      </c>
      <c r="D208" s="24">
        <f t="shared" si="1"/>
        <v>-152173.913</v>
      </c>
      <c r="E208" s="25">
        <f t="shared" si="2"/>
        <v>31.22206849</v>
      </c>
      <c r="F208" s="24">
        <f t="shared" si="3"/>
        <v>0.0002051735929</v>
      </c>
      <c r="G208" s="24">
        <f t="shared" si="4"/>
        <v>0</v>
      </c>
      <c r="H208" s="26">
        <f t="shared" si="5"/>
        <v>0</v>
      </c>
      <c r="I208" s="24">
        <f t="shared" si="6"/>
        <v>0</v>
      </c>
      <c r="J208" s="24">
        <f t="shared" si="7"/>
        <v>0</v>
      </c>
      <c r="K208" s="24"/>
      <c r="L208" s="24">
        <f t="shared" si="8"/>
        <v>460.897484</v>
      </c>
      <c r="M208" s="14">
        <f t="shared" si="9"/>
        <v>451.0380169</v>
      </c>
      <c r="N208" s="27">
        <f t="shared" si="10"/>
        <v>9.859467078</v>
      </c>
      <c r="O208" s="24"/>
      <c r="P208" s="24"/>
      <c r="Q208" s="24"/>
      <c r="R208" s="26"/>
      <c r="S208" s="14">
        <f t="shared" si="13"/>
        <v>9.053910489</v>
      </c>
      <c r="U208" s="21"/>
      <c r="V208" s="21"/>
    </row>
    <row r="209">
      <c r="A209" s="11">
        <v>197.0</v>
      </c>
      <c r="B209" s="11">
        <v>1.42025217391304E9</v>
      </c>
      <c r="C209" s="2">
        <v>-102.1534882</v>
      </c>
      <c r="D209" s="24">
        <f t="shared" si="1"/>
        <v>-147826.087</v>
      </c>
      <c r="E209" s="25">
        <f t="shared" si="2"/>
        <v>30.30377236</v>
      </c>
      <c r="F209" s="24">
        <f t="shared" si="3"/>
        <v>0.0002049961071</v>
      </c>
      <c r="G209" s="24">
        <f t="shared" si="4"/>
        <v>0</v>
      </c>
      <c r="H209" s="26">
        <f t="shared" si="5"/>
        <v>0</v>
      </c>
      <c r="I209" s="24">
        <f t="shared" si="6"/>
        <v>0</v>
      </c>
      <c r="J209" s="24">
        <f t="shared" si="7"/>
        <v>0</v>
      </c>
      <c r="K209" s="24"/>
      <c r="L209" s="24">
        <f t="shared" si="8"/>
        <v>463.1880511</v>
      </c>
      <c r="M209" s="14">
        <f t="shared" si="9"/>
        <v>450.9540097</v>
      </c>
      <c r="N209" s="27">
        <f t="shared" si="10"/>
        <v>12.2340415</v>
      </c>
      <c r="O209" s="24"/>
      <c r="P209" s="24"/>
      <c r="Q209" s="24"/>
      <c r="R209" s="26"/>
      <c r="S209" s="14">
        <f t="shared" si="13"/>
        <v>11.23447297</v>
      </c>
      <c r="U209" s="21"/>
      <c r="V209" s="21"/>
    </row>
    <row r="210">
      <c r="A210" s="11">
        <v>198.0</v>
      </c>
      <c r="B210" s="11">
        <v>1.42025652173913E9</v>
      </c>
      <c r="C210" s="2">
        <v>-102.1167679</v>
      </c>
      <c r="D210" s="24">
        <f t="shared" si="1"/>
        <v>-143478.2609</v>
      </c>
      <c r="E210" s="25">
        <f t="shared" si="2"/>
        <v>29.38547623</v>
      </c>
      <c r="F210" s="24">
        <f t="shared" si="3"/>
        <v>0.0002048078646</v>
      </c>
      <c r="G210" s="24">
        <f t="shared" si="4"/>
        <v>0</v>
      </c>
      <c r="H210" s="26">
        <f t="shared" si="5"/>
        <v>0</v>
      </c>
      <c r="I210" s="24">
        <f t="shared" si="6"/>
        <v>0</v>
      </c>
      <c r="J210" s="24">
        <f t="shared" si="7"/>
        <v>0</v>
      </c>
      <c r="K210" s="24"/>
      <c r="L210" s="24">
        <f t="shared" si="8"/>
        <v>467.1209843</v>
      </c>
      <c r="M210" s="14">
        <f t="shared" si="9"/>
        <v>450.8696911</v>
      </c>
      <c r="N210" s="27">
        <f t="shared" si="10"/>
        <v>16.25129317</v>
      </c>
      <c r="O210" s="24"/>
      <c r="P210" s="24"/>
      <c r="Q210" s="24"/>
      <c r="R210" s="26"/>
      <c r="S210" s="14">
        <f t="shared" si="13"/>
        <v>14.92349967</v>
      </c>
      <c r="U210" s="21"/>
      <c r="V210" s="21"/>
    </row>
    <row r="211">
      <c r="A211" s="11">
        <v>199.0</v>
      </c>
      <c r="B211" s="11">
        <v>1.42026086956521E9</v>
      </c>
      <c r="C211" s="2">
        <v>-102.1170731</v>
      </c>
      <c r="D211" s="24">
        <f t="shared" si="1"/>
        <v>-139130.4348</v>
      </c>
      <c r="E211" s="25">
        <f t="shared" si="2"/>
        <v>28.4671801</v>
      </c>
      <c r="F211" s="24">
        <f t="shared" si="3"/>
        <v>0.0002046078569</v>
      </c>
      <c r="G211" s="24">
        <f t="shared" si="4"/>
        <v>0</v>
      </c>
      <c r="H211" s="26">
        <f t="shared" si="5"/>
        <v>0</v>
      </c>
      <c r="I211" s="24">
        <f t="shared" si="6"/>
        <v>0</v>
      </c>
      <c r="J211" s="24">
        <f t="shared" si="7"/>
        <v>0</v>
      </c>
      <c r="K211" s="24"/>
      <c r="L211" s="24">
        <f t="shared" si="8"/>
        <v>467.0881586</v>
      </c>
      <c r="M211" s="14">
        <f t="shared" si="9"/>
        <v>450.7850603</v>
      </c>
      <c r="N211" s="27">
        <f t="shared" si="10"/>
        <v>16.30309826</v>
      </c>
      <c r="O211" s="24"/>
      <c r="P211" s="24"/>
      <c r="Q211" s="24"/>
      <c r="R211" s="26"/>
      <c r="S211" s="14">
        <f t="shared" si="13"/>
        <v>14.97107208</v>
      </c>
      <c r="U211" s="21"/>
      <c r="V211" s="21"/>
    </row>
    <row r="212">
      <c r="A212" s="11">
        <v>200.0</v>
      </c>
      <c r="B212" s="11">
        <v>1.4202652173913E9</v>
      </c>
      <c r="C212" s="2">
        <v>-102.149292</v>
      </c>
      <c r="D212" s="24">
        <f t="shared" si="1"/>
        <v>-134782.6087</v>
      </c>
      <c r="E212" s="25">
        <f t="shared" si="2"/>
        <v>27.54888396</v>
      </c>
      <c r="F212" s="24">
        <f t="shared" si="3"/>
        <v>0.0002043949455</v>
      </c>
      <c r="G212" s="24">
        <f t="shared" si="4"/>
        <v>0</v>
      </c>
      <c r="H212" s="26">
        <f t="shared" si="5"/>
        <v>0</v>
      </c>
      <c r="I212" s="24">
        <f t="shared" si="6"/>
        <v>0</v>
      </c>
      <c r="J212" s="24">
        <f t="shared" si="7"/>
        <v>0</v>
      </c>
      <c r="K212" s="24"/>
      <c r="L212" s="24">
        <f t="shared" si="8"/>
        <v>463.6358047</v>
      </c>
      <c r="M212" s="14">
        <f t="shared" si="9"/>
        <v>450.7001161</v>
      </c>
      <c r="N212" s="27">
        <f t="shared" si="10"/>
        <v>12.93568856</v>
      </c>
      <c r="O212" s="24"/>
      <c r="P212" s="24"/>
      <c r="Q212" s="24"/>
      <c r="R212" s="26"/>
      <c r="S212" s="14">
        <f t="shared" si="13"/>
        <v>11.87879275</v>
      </c>
      <c r="U212" s="21"/>
      <c r="V212" s="21"/>
    </row>
    <row r="213">
      <c r="A213" s="11">
        <v>201.0</v>
      </c>
      <c r="B213" s="11">
        <v>1.42026956521739E9</v>
      </c>
      <c r="C213" s="2">
        <v>-102.1961441</v>
      </c>
      <c r="D213" s="24">
        <f t="shared" si="1"/>
        <v>-130434.7826</v>
      </c>
      <c r="E213" s="25">
        <f t="shared" si="2"/>
        <v>26.63058783</v>
      </c>
      <c r="F213" s="24">
        <f t="shared" si="3"/>
        <v>0.0002041678401</v>
      </c>
      <c r="G213" s="24">
        <f t="shared" si="4"/>
        <v>0</v>
      </c>
      <c r="H213" s="26">
        <f t="shared" si="5"/>
        <v>0</v>
      </c>
      <c r="I213" s="24">
        <f t="shared" si="6"/>
        <v>0</v>
      </c>
      <c r="J213" s="24">
        <f t="shared" si="7"/>
        <v>0</v>
      </c>
      <c r="K213" s="24"/>
      <c r="L213" s="24">
        <f t="shared" si="8"/>
        <v>458.6609406</v>
      </c>
      <c r="M213" s="14">
        <f t="shared" si="9"/>
        <v>450.6148575</v>
      </c>
      <c r="N213" s="27">
        <f t="shared" si="10"/>
        <v>8.046083123</v>
      </c>
      <c r="O213" s="24"/>
      <c r="P213" s="24"/>
      <c r="Q213" s="24"/>
      <c r="R213" s="26"/>
      <c r="S213" s="14">
        <f t="shared" si="13"/>
        <v>7.388687016</v>
      </c>
      <c r="U213" s="21"/>
      <c r="V213" s="21"/>
    </row>
    <row r="214">
      <c r="A214" s="11">
        <v>202.0</v>
      </c>
      <c r="B214" s="11">
        <v>1.42027391304347E9</v>
      </c>
      <c r="C214" s="2">
        <v>-102.170578</v>
      </c>
      <c r="D214" s="24">
        <f t="shared" si="1"/>
        <v>-126086.9565</v>
      </c>
      <c r="E214" s="25">
        <f t="shared" si="2"/>
        <v>25.7122917</v>
      </c>
      <c r="F214" s="24">
        <f t="shared" si="3"/>
        <v>0.0002039250721</v>
      </c>
      <c r="G214" s="24">
        <f t="shared" si="4"/>
        <v>0</v>
      </c>
      <c r="H214" s="26">
        <f t="shared" si="5"/>
        <v>0</v>
      </c>
      <c r="I214" s="24">
        <f t="shared" si="6"/>
        <v>0</v>
      </c>
      <c r="J214" s="24">
        <f t="shared" si="7"/>
        <v>0</v>
      </c>
      <c r="K214" s="24"/>
      <c r="L214" s="24">
        <f t="shared" si="8"/>
        <v>461.3689544</v>
      </c>
      <c r="M214" s="14">
        <f t="shared" si="9"/>
        <v>450.5292834</v>
      </c>
      <c r="N214" s="27">
        <f t="shared" si="10"/>
        <v>10.839671</v>
      </c>
      <c r="O214" s="24"/>
      <c r="P214" s="24"/>
      <c r="Q214" s="24"/>
      <c r="R214" s="26"/>
      <c r="S214" s="14">
        <f t="shared" si="13"/>
        <v>9.954027961</v>
      </c>
      <c r="U214" s="21"/>
      <c r="V214" s="21"/>
    </row>
    <row r="215">
      <c r="A215" s="11">
        <v>203.0</v>
      </c>
      <c r="B215" s="11">
        <v>1.42027826086956E9</v>
      </c>
      <c r="C215" s="2">
        <v>-102.1532669</v>
      </c>
      <c r="D215" s="24">
        <f t="shared" si="1"/>
        <v>-121739.1304</v>
      </c>
      <c r="E215" s="25">
        <f t="shared" si="2"/>
        <v>24.79399557</v>
      </c>
      <c r="F215" s="24">
        <f t="shared" si="3"/>
        <v>0.0002036649636</v>
      </c>
      <c r="G215" s="24">
        <f t="shared" si="4"/>
        <v>0</v>
      </c>
      <c r="H215" s="26">
        <f t="shared" si="5"/>
        <v>0</v>
      </c>
      <c r="I215" s="24">
        <f t="shared" si="6"/>
        <v>0</v>
      </c>
      <c r="J215" s="24">
        <f t="shared" si="7"/>
        <v>0</v>
      </c>
      <c r="K215" s="24"/>
      <c r="L215" s="24">
        <f t="shared" si="8"/>
        <v>463.2116541</v>
      </c>
      <c r="M215" s="14">
        <f t="shared" si="9"/>
        <v>450.4433926</v>
      </c>
      <c r="N215" s="27">
        <f t="shared" si="10"/>
        <v>12.76826144</v>
      </c>
      <c r="O215" s="24"/>
      <c r="P215" s="24"/>
      <c r="Q215" s="24"/>
      <c r="R215" s="26"/>
      <c r="S215" s="14">
        <f t="shared" si="13"/>
        <v>11.72504508</v>
      </c>
      <c r="U215" s="21"/>
      <c r="V215" s="21"/>
    </row>
    <row r="216">
      <c r="A216" s="11">
        <v>204.0</v>
      </c>
      <c r="B216" s="11">
        <v>1.42028260869565E9</v>
      </c>
      <c r="C216" s="2">
        <v>-102.1644135</v>
      </c>
      <c r="D216" s="24">
        <f t="shared" si="1"/>
        <v>-117391.3043</v>
      </c>
      <c r="E216" s="25">
        <f t="shared" si="2"/>
        <v>23.87569944</v>
      </c>
      <c r="F216" s="24">
        <f t="shared" si="3"/>
        <v>0.0002033855878</v>
      </c>
      <c r="G216" s="24">
        <f t="shared" si="4"/>
        <v>0</v>
      </c>
      <c r="H216" s="26">
        <f t="shared" si="5"/>
        <v>0</v>
      </c>
      <c r="I216" s="24">
        <f t="shared" si="6"/>
        <v>0</v>
      </c>
      <c r="J216" s="24">
        <f t="shared" si="7"/>
        <v>0</v>
      </c>
      <c r="K216" s="24"/>
      <c r="L216" s="24">
        <f t="shared" si="8"/>
        <v>462.0242996</v>
      </c>
      <c r="M216" s="14">
        <f t="shared" si="9"/>
        <v>450.3571842</v>
      </c>
      <c r="N216" s="27">
        <f t="shared" si="10"/>
        <v>11.66711545</v>
      </c>
      <c r="O216" s="24"/>
      <c r="P216" s="24"/>
      <c r="Q216" s="24"/>
      <c r="R216" s="26"/>
      <c r="S216" s="14">
        <f t="shared" si="13"/>
        <v>10.71386699</v>
      </c>
      <c r="U216" s="21"/>
      <c r="V216" s="21"/>
    </row>
    <row r="217">
      <c r="A217" s="11">
        <v>205.0</v>
      </c>
      <c r="B217" s="11">
        <v>1.42028695652173E9</v>
      </c>
      <c r="C217" s="2">
        <v>-102.1192551</v>
      </c>
      <c r="D217" s="24">
        <f t="shared" si="1"/>
        <v>-113043.4783</v>
      </c>
      <c r="E217" s="25">
        <f t="shared" si="2"/>
        <v>22.9574033</v>
      </c>
      <c r="F217" s="24">
        <f t="shared" si="3"/>
        <v>0.0002030847215</v>
      </c>
      <c r="G217" s="24">
        <f t="shared" si="4"/>
        <v>0</v>
      </c>
      <c r="H217" s="26">
        <f t="shared" si="5"/>
        <v>0</v>
      </c>
      <c r="I217" s="24">
        <f t="shared" si="6"/>
        <v>0</v>
      </c>
      <c r="J217" s="24">
        <f t="shared" si="7"/>
        <v>0</v>
      </c>
      <c r="K217" s="24"/>
      <c r="L217" s="24">
        <f t="shared" si="8"/>
        <v>466.8535412</v>
      </c>
      <c r="M217" s="14">
        <f t="shared" si="9"/>
        <v>450.270657</v>
      </c>
      <c r="N217" s="27">
        <f t="shared" si="10"/>
        <v>16.58288416</v>
      </c>
      <c r="O217" s="24"/>
      <c r="P217" s="24"/>
      <c r="Q217" s="24"/>
      <c r="R217" s="26"/>
      <c r="S217" s="14">
        <f t="shared" si="13"/>
        <v>15.2279984</v>
      </c>
      <c r="U217" s="21"/>
      <c r="V217" s="21"/>
    </row>
    <row r="218">
      <c r="A218" s="11">
        <v>206.0</v>
      </c>
      <c r="B218" s="11">
        <v>1.42029130434782E9</v>
      </c>
      <c r="C218" s="2">
        <v>-102.0444641</v>
      </c>
      <c r="D218" s="24">
        <f t="shared" si="1"/>
        <v>-108695.6522</v>
      </c>
      <c r="E218" s="25">
        <f t="shared" si="2"/>
        <v>22.03910717</v>
      </c>
      <c r="F218" s="24">
        <f t="shared" si="3"/>
        <v>0.000202759786</v>
      </c>
      <c r="G218" s="24">
        <f t="shared" si="4"/>
        <v>0</v>
      </c>
      <c r="H218" s="26">
        <f t="shared" si="5"/>
        <v>0</v>
      </c>
      <c r="I218" s="24">
        <f t="shared" si="6"/>
        <v>0</v>
      </c>
      <c r="J218" s="24">
        <f t="shared" si="7"/>
        <v>0</v>
      </c>
      <c r="K218" s="24"/>
      <c r="L218" s="24">
        <f t="shared" si="8"/>
        <v>474.9629763</v>
      </c>
      <c r="M218" s="14">
        <f t="shared" si="9"/>
        <v>450.18381</v>
      </c>
      <c r="N218" s="27">
        <f t="shared" si="10"/>
        <v>24.77916625</v>
      </c>
      <c r="O218" s="24"/>
      <c r="P218" s="24"/>
      <c r="Q218" s="24"/>
      <c r="R218" s="26"/>
      <c r="S218" s="14">
        <f t="shared" si="13"/>
        <v>22.75461255</v>
      </c>
      <c r="U218" s="21"/>
      <c r="V218" s="21"/>
    </row>
    <row r="219">
      <c r="A219" s="11">
        <v>207.0</v>
      </c>
      <c r="B219" s="11">
        <v>1.42029565217391E9</v>
      </c>
      <c r="C219" s="2">
        <v>-102.1114273</v>
      </c>
      <c r="D219" s="24">
        <f t="shared" si="1"/>
        <v>-104347.8261</v>
      </c>
      <c r="E219" s="25">
        <f t="shared" si="2"/>
        <v>21.12081104</v>
      </c>
      <c r="F219" s="24">
        <f t="shared" si="3"/>
        <v>0.0002024077725</v>
      </c>
      <c r="G219" s="24">
        <f t="shared" si="4"/>
        <v>0</v>
      </c>
      <c r="H219" s="26">
        <f t="shared" si="5"/>
        <v>0</v>
      </c>
      <c r="I219" s="24">
        <f t="shared" si="6"/>
        <v>0</v>
      </c>
      <c r="J219" s="24">
        <f t="shared" si="7"/>
        <v>0</v>
      </c>
      <c r="K219" s="24"/>
      <c r="L219" s="24">
        <f t="shared" si="8"/>
        <v>467.695765</v>
      </c>
      <c r="M219" s="14">
        <f t="shared" si="9"/>
        <v>450.0966422</v>
      </c>
      <c r="N219" s="27">
        <f t="shared" si="10"/>
        <v>17.59912285</v>
      </c>
      <c r="O219" s="24"/>
      <c r="P219" s="24"/>
      <c r="Q219" s="24"/>
      <c r="R219" s="26"/>
      <c r="S219" s="14">
        <f t="shared" si="13"/>
        <v>16.16120641</v>
      </c>
      <c r="U219" s="21"/>
      <c r="V219" s="21"/>
    </row>
    <row r="220">
      <c r="A220" s="11">
        <v>208.0</v>
      </c>
      <c r="B220" s="11">
        <v>1.4203E9</v>
      </c>
      <c r="C220" s="2">
        <v>-102.0676727</v>
      </c>
      <c r="D220" s="24">
        <f t="shared" si="1"/>
        <v>-100000</v>
      </c>
      <c r="E220" s="25">
        <f t="shared" si="2"/>
        <v>20.20251491</v>
      </c>
      <c r="F220" s="24">
        <f t="shared" si="3"/>
        <v>0.0002020251491</v>
      </c>
      <c r="G220" s="24">
        <f t="shared" si="4"/>
        <v>0</v>
      </c>
      <c r="H220" s="26">
        <f t="shared" si="5"/>
        <v>0</v>
      </c>
      <c r="I220" s="24">
        <f t="shared" si="6"/>
        <v>0</v>
      </c>
      <c r="J220" s="24">
        <f t="shared" si="7"/>
        <v>0</v>
      </c>
      <c r="K220" s="24"/>
      <c r="L220" s="24">
        <f t="shared" si="8"/>
        <v>472.4315547</v>
      </c>
      <c r="M220" s="14">
        <f t="shared" si="9"/>
        <v>450.0091523</v>
      </c>
      <c r="N220" s="27">
        <f t="shared" si="10"/>
        <v>22.42240243</v>
      </c>
      <c r="O220" s="24"/>
      <c r="P220" s="24"/>
      <c r="Q220" s="24"/>
      <c r="R220" s="26"/>
      <c r="S220" s="14">
        <f t="shared" si="13"/>
        <v>20.59040543</v>
      </c>
      <c r="U220" s="21"/>
      <c r="V220" s="21"/>
    </row>
    <row r="221">
      <c r="A221" s="11">
        <v>209.0</v>
      </c>
      <c r="B221" s="11">
        <v>1.42030434782608E9</v>
      </c>
      <c r="C221" s="2">
        <v>-102.0803528</v>
      </c>
      <c r="D221" s="24">
        <f t="shared" si="1"/>
        <v>-95652.17392</v>
      </c>
      <c r="E221" s="25">
        <f t="shared" si="2"/>
        <v>19.28421878</v>
      </c>
      <c r="F221" s="24">
        <f t="shared" si="3"/>
        <v>0.0002016077417</v>
      </c>
      <c r="G221" s="24">
        <f t="shared" si="4"/>
        <v>0</v>
      </c>
      <c r="H221" s="26">
        <f t="shared" si="5"/>
        <v>0</v>
      </c>
      <c r="I221" s="24">
        <f t="shared" si="6"/>
        <v>0</v>
      </c>
      <c r="J221" s="24">
        <f t="shared" si="7"/>
        <v>0</v>
      </c>
      <c r="K221" s="24"/>
      <c r="L221" s="24">
        <f t="shared" si="8"/>
        <v>471.0542076</v>
      </c>
      <c r="M221" s="14">
        <f t="shared" si="9"/>
        <v>449.9213394</v>
      </c>
      <c r="N221" s="27">
        <f t="shared" si="10"/>
        <v>21.13286818</v>
      </c>
      <c r="O221" s="24"/>
      <c r="P221" s="24"/>
      <c r="Q221" s="24"/>
      <c r="R221" s="26"/>
      <c r="S221" s="14">
        <f t="shared" si="13"/>
        <v>19.40623113</v>
      </c>
      <c r="U221" s="21"/>
      <c r="V221" s="21"/>
    </row>
    <row r="222">
      <c r="A222" s="11">
        <v>210.0</v>
      </c>
      <c r="B222" s="11">
        <v>1.42030869565217E9</v>
      </c>
      <c r="C222" s="2">
        <v>-102.0365448</v>
      </c>
      <c r="D222" s="24">
        <f t="shared" si="1"/>
        <v>-91304.34783</v>
      </c>
      <c r="E222" s="25">
        <f t="shared" si="2"/>
        <v>18.36592264</v>
      </c>
      <c r="F222" s="24">
        <f t="shared" si="3"/>
        <v>0.0002011505813</v>
      </c>
      <c r="G222" s="24">
        <f t="shared" si="4"/>
        <v>0</v>
      </c>
      <c r="H222" s="26">
        <f t="shared" si="5"/>
        <v>0</v>
      </c>
      <c r="I222" s="24">
        <f t="shared" si="6"/>
        <v>0</v>
      </c>
      <c r="J222" s="24">
        <f t="shared" si="7"/>
        <v>0</v>
      </c>
      <c r="K222" s="24"/>
      <c r="L222" s="24">
        <f t="shared" si="8"/>
        <v>475.8298549</v>
      </c>
      <c r="M222" s="14">
        <f t="shared" si="9"/>
        <v>449.8332024</v>
      </c>
      <c r="N222" s="27">
        <f t="shared" si="10"/>
        <v>25.9966525</v>
      </c>
      <c r="O222" s="24"/>
      <c r="P222" s="24"/>
      <c r="Q222" s="24"/>
      <c r="R222" s="26"/>
      <c r="S222" s="14">
        <f t="shared" si="13"/>
        <v>23.8726254</v>
      </c>
      <c r="U222" s="21"/>
      <c r="V222" s="21"/>
    </row>
    <row r="223">
      <c r="A223" s="11">
        <v>211.0</v>
      </c>
      <c r="B223" s="11">
        <v>1.42031304347826E9</v>
      </c>
      <c r="C223" s="2">
        <v>-102.0416641</v>
      </c>
      <c r="D223" s="24">
        <f t="shared" si="1"/>
        <v>-86956.52174</v>
      </c>
      <c r="E223" s="25">
        <f t="shared" si="2"/>
        <v>17.44762651</v>
      </c>
      <c r="F223" s="24">
        <f t="shared" si="3"/>
        <v>0.0002006477049</v>
      </c>
      <c r="G223" s="24">
        <f t="shared" si="4"/>
        <v>0</v>
      </c>
      <c r="H223" s="26">
        <f t="shared" si="5"/>
        <v>0</v>
      </c>
      <c r="I223" s="24">
        <f t="shared" si="6"/>
        <v>0</v>
      </c>
      <c r="J223" s="24">
        <f t="shared" si="7"/>
        <v>0</v>
      </c>
      <c r="K223" s="24"/>
      <c r="L223" s="24">
        <f t="shared" si="8"/>
        <v>475.269295</v>
      </c>
      <c r="M223" s="14">
        <f t="shared" si="9"/>
        <v>449.7447401</v>
      </c>
      <c r="N223" s="27">
        <f t="shared" si="10"/>
        <v>25.52455483</v>
      </c>
      <c r="O223" s="24"/>
      <c r="P223" s="24"/>
      <c r="Q223" s="24"/>
      <c r="R223" s="26"/>
      <c r="S223" s="14">
        <f t="shared" si="13"/>
        <v>23.43909999</v>
      </c>
      <c r="U223" s="21"/>
      <c r="V223" s="21"/>
    </row>
    <row r="224">
      <c r="A224" s="11">
        <v>212.0</v>
      </c>
      <c r="B224" s="11">
        <v>1.42031739130434E9</v>
      </c>
      <c r="C224" s="2">
        <v>-101.9686127</v>
      </c>
      <c r="D224" s="24">
        <f t="shared" si="1"/>
        <v>-82608.69566</v>
      </c>
      <c r="E224" s="25">
        <f t="shared" si="2"/>
        <v>16.52933038</v>
      </c>
      <c r="F224" s="24">
        <f t="shared" si="3"/>
        <v>0.000200091894</v>
      </c>
      <c r="G224" s="24">
        <f t="shared" si="4"/>
        <v>0</v>
      </c>
      <c r="H224" s="26">
        <f t="shared" si="5"/>
        <v>0</v>
      </c>
      <c r="I224" s="24">
        <f t="shared" si="6"/>
        <v>0</v>
      </c>
      <c r="J224" s="24">
        <f t="shared" si="7"/>
        <v>0</v>
      </c>
      <c r="K224" s="24"/>
      <c r="L224" s="24">
        <f t="shared" si="8"/>
        <v>483.3312743</v>
      </c>
      <c r="M224" s="14">
        <f t="shared" si="9"/>
        <v>449.6559516</v>
      </c>
      <c r="N224" s="27">
        <f t="shared" si="10"/>
        <v>33.67532264</v>
      </c>
      <c r="O224" s="24"/>
      <c r="P224" s="24"/>
      <c r="Q224" s="24"/>
      <c r="R224" s="26"/>
      <c r="S224" s="14">
        <f t="shared" si="13"/>
        <v>30.92391855</v>
      </c>
      <c r="U224" s="21"/>
      <c r="V224" s="21"/>
    </row>
    <row r="225">
      <c r="A225" s="11">
        <v>213.0</v>
      </c>
      <c r="B225" s="11">
        <v>1.42032173913043E9</v>
      </c>
      <c r="C225" s="2">
        <v>-102.0515366</v>
      </c>
      <c r="D225" s="24">
        <f t="shared" si="1"/>
        <v>-78260.86957</v>
      </c>
      <c r="E225" s="25">
        <f t="shared" si="2"/>
        <v>15.61103425</v>
      </c>
      <c r="F225" s="24">
        <f t="shared" si="3"/>
        <v>0.0001994743265</v>
      </c>
      <c r="G225" s="24">
        <f t="shared" si="4"/>
        <v>0</v>
      </c>
      <c r="H225" s="26">
        <f t="shared" si="5"/>
        <v>0</v>
      </c>
      <c r="I225" s="24">
        <f t="shared" si="6"/>
        <v>0</v>
      </c>
      <c r="J225" s="24">
        <f t="shared" si="7"/>
        <v>0</v>
      </c>
      <c r="K225" s="24"/>
      <c r="L225" s="24">
        <f t="shared" si="8"/>
        <v>474.190127</v>
      </c>
      <c r="M225" s="14">
        <f t="shared" si="9"/>
        <v>449.5668358</v>
      </c>
      <c r="N225" s="27">
        <f t="shared" si="10"/>
        <v>24.62329118</v>
      </c>
      <c r="O225" s="24"/>
      <c r="P225" s="24"/>
      <c r="Q225" s="24"/>
      <c r="R225" s="26"/>
      <c r="S225" s="14">
        <f t="shared" si="13"/>
        <v>22.61147301</v>
      </c>
      <c r="U225" s="21"/>
      <c r="V225" s="21"/>
    </row>
    <row r="226">
      <c r="A226" s="11">
        <v>214.0</v>
      </c>
      <c r="B226" s="11">
        <v>1.42032608695652E9</v>
      </c>
      <c r="C226" s="2">
        <v>-102.0545349</v>
      </c>
      <c r="D226" s="24">
        <f t="shared" si="1"/>
        <v>-73913.04348</v>
      </c>
      <c r="E226" s="25">
        <f t="shared" si="2"/>
        <v>14.69273812</v>
      </c>
      <c r="F226" s="24">
        <f t="shared" si="3"/>
        <v>0.0001987841039</v>
      </c>
      <c r="G226" s="24">
        <f t="shared" si="4"/>
        <v>0</v>
      </c>
      <c r="H226" s="26">
        <f t="shared" si="5"/>
        <v>0</v>
      </c>
      <c r="I226" s="24">
        <f t="shared" si="6"/>
        <v>0</v>
      </c>
      <c r="J226" s="24">
        <f t="shared" si="7"/>
        <v>0</v>
      </c>
      <c r="K226" s="24"/>
      <c r="L226" s="24">
        <f t="shared" si="8"/>
        <v>473.8628666</v>
      </c>
      <c r="M226" s="14">
        <f t="shared" si="9"/>
        <v>449.4773915</v>
      </c>
      <c r="N226" s="27">
        <f t="shared" si="10"/>
        <v>24.38547511</v>
      </c>
      <c r="O226" s="24"/>
      <c r="P226" s="24"/>
      <c r="Q226" s="24"/>
      <c r="R226" s="26"/>
      <c r="S226" s="14">
        <f t="shared" si="13"/>
        <v>22.39308749</v>
      </c>
      <c r="U226" s="21"/>
      <c r="V226" s="21"/>
    </row>
    <row r="227">
      <c r="A227" s="11">
        <v>215.0</v>
      </c>
      <c r="B227" s="11">
        <v>1.4203304347826E9</v>
      </c>
      <c r="C227" s="2">
        <v>-101.9396515</v>
      </c>
      <c r="D227" s="24">
        <f t="shared" si="1"/>
        <v>-69565.2174</v>
      </c>
      <c r="E227" s="25">
        <f t="shared" si="2"/>
        <v>13.77444198</v>
      </c>
      <c r="F227" s="24">
        <f t="shared" si="3"/>
        <v>0.0001980076035</v>
      </c>
      <c r="G227" s="24">
        <f t="shared" si="4"/>
        <v>0</v>
      </c>
      <c r="H227" s="26">
        <f t="shared" si="5"/>
        <v>0</v>
      </c>
      <c r="I227" s="24">
        <f t="shared" si="6"/>
        <v>0</v>
      </c>
      <c r="J227" s="24">
        <f t="shared" si="7"/>
        <v>0</v>
      </c>
      <c r="K227" s="24"/>
      <c r="L227" s="24">
        <f t="shared" si="8"/>
        <v>486.56517</v>
      </c>
      <c r="M227" s="14">
        <f t="shared" si="9"/>
        <v>449.3876178</v>
      </c>
      <c r="N227" s="27">
        <f t="shared" si="10"/>
        <v>37.17755218</v>
      </c>
      <c r="O227" s="24"/>
      <c r="P227" s="24"/>
      <c r="Q227" s="24"/>
      <c r="R227" s="26"/>
      <c r="S227" s="14">
        <f t="shared" si="13"/>
        <v>34.14000239</v>
      </c>
      <c r="U227" s="21"/>
      <c r="V227" s="21"/>
    </row>
    <row r="228">
      <c r="A228" s="11">
        <v>216.0</v>
      </c>
      <c r="B228" s="11">
        <v>1.42033478260869E9</v>
      </c>
      <c r="C228" s="2">
        <v>-102.0019073</v>
      </c>
      <c r="D228" s="24">
        <f t="shared" si="1"/>
        <v>-65217.39131</v>
      </c>
      <c r="E228" s="25">
        <f t="shared" si="2"/>
        <v>12.85614585</v>
      </c>
      <c r="F228" s="24">
        <f t="shared" si="3"/>
        <v>0.0001971275697</v>
      </c>
      <c r="G228" s="24">
        <f t="shared" si="4"/>
        <v>0</v>
      </c>
      <c r="H228" s="26">
        <f t="shared" si="5"/>
        <v>0</v>
      </c>
      <c r="I228" s="24">
        <f t="shared" si="6"/>
        <v>0</v>
      </c>
      <c r="J228" s="24">
        <f t="shared" si="7"/>
        <v>0</v>
      </c>
      <c r="K228" s="24"/>
      <c r="L228" s="24">
        <f t="shared" si="8"/>
        <v>479.6400476</v>
      </c>
      <c r="M228" s="14">
        <f t="shared" si="9"/>
        <v>449.2975134</v>
      </c>
      <c r="N228" s="27">
        <f t="shared" si="10"/>
        <v>30.34253414</v>
      </c>
      <c r="O228" s="24"/>
      <c r="P228" s="24"/>
      <c r="Q228" s="24"/>
      <c r="R228" s="26"/>
      <c r="S228" s="14">
        <f t="shared" si="13"/>
        <v>27.86343176</v>
      </c>
      <c r="U228" s="21"/>
      <c r="V228" s="21"/>
    </row>
    <row r="229">
      <c r="A229" s="11">
        <v>217.0</v>
      </c>
      <c r="B229" s="11">
        <v>1.42033913043478E9</v>
      </c>
      <c r="C229" s="2">
        <v>-101.970726</v>
      </c>
      <c r="D229" s="24">
        <f t="shared" si="1"/>
        <v>-60869.56522</v>
      </c>
      <c r="E229" s="25">
        <f t="shared" si="2"/>
        <v>11.93784972</v>
      </c>
      <c r="F229" s="24">
        <f t="shared" si="3"/>
        <v>0.0001961218168</v>
      </c>
      <c r="G229" s="24">
        <f t="shared" si="4"/>
        <v>0</v>
      </c>
      <c r="H229" s="26">
        <f t="shared" si="5"/>
        <v>0</v>
      </c>
      <c r="I229" s="24">
        <f t="shared" si="6"/>
        <v>0</v>
      </c>
      <c r="J229" s="24">
        <f t="shared" si="7"/>
        <v>0</v>
      </c>
      <c r="K229" s="24"/>
      <c r="L229" s="24">
        <f t="shared" si="8"/>
        <v>483.0961399</v>
      </c>
      <c r="M229" s="14">
        <f t="shared" si="9"/>
        <v>449.2070774</v>
      </c>
      <c r="N229" s="27">
        <f t="shared" si="10"/>
        <v>33.8890625</v>
      </c>
      <c r="O229" s="24"/>
      <c r="P229" s="24"/>
      <c r="Q229" s="24"/>
      <c r="R229" s="26"/>
      <c r="S229" s="14">
        <f t="shared" si="13"/>
        <v>31.12019496</v>
      </c>
      <c r="U229" s="21"/>
      <c r="V229" s="21"/>
    </row>
    <row r="230">
      <c r="A230" s="11">
        <v>218.0</v>
      </c>
      <c r="B230" s="11">
        <v>1.42034347826087E9</v>
      </c>
      <c r="C230" s="2">
        <v>-102.0015106</v>
      </c>
      <c r="D230" s="24">
        <f t="shared" si="1"/>
        <v>-56521.73913</v>
      </c>
      <c r="E230" s="25">
        <f t="shared" si="2"/>
        <v>11.01955359</v>
      </c>
      <c r="F230" s="24">
        <f t="shared" si="3"/>
        <v>0.0001949613327</v>
      </c>
      <c r="G230" s="24">
        <f t="shared" si="4"/>
        <v>0</v>
      </c>
      <c r="H230" s="26">
        <f t="shared" si="5"/>
        <v>0</v>
      </c>
      <c r="I230" s="24">
        <f t="shared" si="6"/>
        <v>0</v>
      </c>
      <c r="J230" s="24">
        <f t="shared" si="7"/>
        <v>0</v>
      </c>
      <c r="K230" s="24"/>
      <c r="L230" s="24">
        <f t="shared" si="8"/>
        <v>479.6838616</v>
      </c>
      <c r="M230" s="14">
        <f t="shared" si="9"/>
        <v>449.1163087</v>
      </c>
      <c r="N230" s="27">
        <f t="shared" si="10"/>
        <v>30.56755286</v>
      </c>
      <c r="O230" s="24"/>
      <c r="P230" s="24"/>
      <c r="Q230" s="24"/>
      <c r="R230" s="26"/>
      <c r="S230" s="14">
        <f t="shared" si="13"/>
        <v>28.07006558</v>
      </c>
      <c r="U230" s="21"/>
      <c r="V230" s="21"/>
    </row>
    <row r="231">
      <c r="A231" s="11">
        <v>219.0</v>
      </c>
      <c r="B231" s="11">
        <v>1.42034782608695E9</v>
      </c>
      <c r="C231" s="2">
        <v>-101.9457169</v>
      </c>
      <c r="D231" s="24">
        <f t="shared" si="1"/>
        <v>-52173.91305</v>
      </c>
      <c r="E231" s="25">
        <f t="shared" si="2"/>
        <v>10.10125745</v>
      </c>
      <c r="F231" s="24">
        <f t="shared" si="3"/>
        <v>0.0001936074345</v>
      </c>
      <c r="G231" s="24">
        <f t="shared" si="4"/>
        <v>0</v>
      </c>
      <c r="H231" s="26">
        <f t="shared" si="5"/>
        <v>0</v>
      </c>
      <c r="I231" s="24">
        <f t="shared" si="6"/>
        <v>0</v>
      </c>
      <c r="J231" s="24">
        <f t="shared" si="7"/>
        <v>0</v>
      </c>
      <c r="K231" s="24"/>
      <c r="L231" s="24">
        <f t="shared" si="8"/>
        <v>485.8861025</v>
      </c>
      <c r="M231" s="14">
        <f t="shared" si="9"/>
        <v>449.0252062</v>
      </c>
      <c r="N231" s="27">
        <f t="shared" si="10"/>
        <v>36.86089627</v>
      </c>
      <c r="O231" s="24"/>
      <c r="P231" s="24"/>
      <c r="Q231" s="24"/>
      <c r="R231" s="26"/>
      <c r="S231" s="14">
        <f t="shared" si="13"/>
        <v>33.8492185</v>
      </c>
      <c r="U231" s="21"/>
      <c r="V231" s="21"/>
    </row>
    <row r="232">
      <c r="A232" s="11">
        <v>220.0</v>
      </c>
      <c r="B232" s="11">
        <v>1.42035217391304E9</v>
      </c>
      <c r="C232" s="2">
        <v>-101.9581604</v>
      </c>
      <c r="D232" s="24">
        <f t="shared" si="1"/>
        <v>-47826.08696</v>
      </c>
      <c r="E232" s="25">
        <f t="shared" si="2"/>
        <v>9.182961321</v>
      </c>
      <c r="F232" s="24">
        <f t="shared" si="3"/>
        <v>0.0001920073731</v>
      </c>
      <c r="G232" s="24">
        <f t="shared" si="4"/>
        <v>0</v>
      </c>
      <c r="H232" s="26">
        <f t="shared" si="5"/>
        <v>0</v>
      </c>
      <c r="I232" s="24">
        <f t="shared" si="6"/>
        <v>0</v>
      </c>
      <c r="J232" s="24">
        <f t="shared" si="7"/>
        <v>0</v>
      </c>
      <c r="K232" s="24"/>
      <c r="L232" s="24">
        <f t="shared" si="8"/>
        <v>484.4959236</v>
      </c>
      <c r="M232" s="14">
        <f t="shared" si="9"/>
        <v>448.9337688</v>
      </c>
      <c r="N232" s="27">
        <f t="shared" si="10"/>
        <v>35.56215476</v>
      </c>
      <c r="O232" s="24"/>
      <c r="P232" s="24"/>
      <c r="Q232" s="24"/>
      <c r="R232" s="26"/>
      <c r="S232" s="14">
        <f t="shared" si="13"/>
        <v>32.65658911</v>
      </c>
      <c r="U232" s="21"/>
      <c r="V232" s="21"/>
    </row>
    <row r="233">
      <c r="A233" s="11">
        <v>221.0</v>
      </c>
      <c r="B233" s="11">
        <v>1.42035652173913E9</v>
      </c>
      <c r="C233" s="2">
        <v>-101.9089127</v>
      </c>
      <c r="D233" s="24">
        <f t="shared" si="1"/>
        <v>-43478.26087</v>
      </c>
      <c r="E233" s="25">
        <f t="shared" si="2"/>
        <v>8.264665191</v>
      </c>
      <c r="F233" s="24">
        <f t="shared" si="3"/>
        <v>0.0001900872994</v>
      </c>
      <c r="G233" s="24">
        <f t="shared" si="4"/>
        <v>0</v>
      </c>
      <c r="H233" s="26">
        <f t="shared" si="5"/>
        <v>0</v>
      </c>
      <c r="I233" s="24">
        <f t="shared" si="6"/>
        <v>0</v>
      </c>
      <c r="J233" s="24">
        <f t="shared" si="7"/>
        <v>0</v>
      </c>
      <c r="K233" s="24"/>
      <c r="L233" s="24">
        <f t="shared" si="8"/>
        <v>490.0212315</v>
      </c>
      <c r="M233" s="14">
        <f t="shared" si="9"/>
        <v>448.8419955</v>
      </c>
      <c r="N233" s="27">
        <f t="shared" si="10"/>
        <v>41.17923594</v>
      </c>
      <c r="O233" s="24"/>
      <c r="P233" s="24"/>
      <c r="Q233" s="24"/>
      <c r="R233" s="26"/>
      <c r="S233" s="14">
        <f t="shared" si="13"/>
        <v>37.81473312</v>
      </c>
      <c r="U233" s="21"/>
      <c r="V233" s="21"/>
    </row>
    <row r="234">
      <c r="A234" s="11">
        <v>222.0</v>
      </c>
      <c r="B234" s="11">
        <v>1.42036086956521E9</v>
      </c>
      <c r="C234" s="2">
        <v>-101.9399948</v>
      </c>
      <c r="D234" s="24">
        <f t="shared" si="1"/>
        <v>-39130.43479</v>
      </c>
      <c r="E234" s="25">
        <f t="shared" si="2"/>
        <v>7.346369058</v>
      </c>
      <c r="F234" s="24">
        <f t="shared" si="3"/>
        <v>0.0001877405426</v>
      </c>
      <c r="G234" s="24">
        <f t="shared" si="4"/>
        <v>0</v>
      </c>
      <c r="H234" s="26">
        <f t="shared" si="5"/>
        <v>0</v>
      </c>
      <c r="I234" s="24">
        <f t="shared" si="6"/>
        <v>0</v>
      </c>
      <c r="J234" s="24">
        <f t="shared" si="7"/>
        <v>0</v>
      </c>
      <c r="K234" s="24"/>
      <c r="L234" s="24">
        <f t="shared" si="8"/>
        <v>486.5267096</v>
      </c>
      <c r="M234" s="14">
        <f t="shared" si="9"/>
        <v>448.7498852</v>
      </c>
      <c r="N234" s="27">
        <f t="shared" si="10"/>
        <v>37.77682444</v>
      </c>
      <c r="O234" s="24"/>
      <c r="P234" s="24"/>
      <c r="Q234" s="24"/>
      <c r="R234" s="26"/>
      <c r="S234" s="14">
        <f t="shared" si="13"/>
        <v>34.69031179</v>
      </c>
      <c r="U234" s="21"/>
      <c r="V234" s="21"/>
    </row>
    <row r="235">
      <c r="A235" s="11">
        <v>223.0</v>
      </c>
      <c r="B235" s="11">
        <v>1.4203652173913E9</v>
      </c>
      <c r="C235" s="2">
        <v>-101.8936386</v>
      </c>
      <c r="D235" s="24">
        <f t="shared" si="1"/>
        <v>-34782.6087</v>
      </c>
      <c r="E235" s="25">
        <f t="shared" si="2"/>
        <v>6.428072925</v>
      </c>
      <c r="F235" s="24">
        <f t="shared" si="3"/>
        <v>0.0001848070966</v>
      </c>
      <c r="G235" s="24">
        <f t="shared" si="4"/>
        <v>0</v>
      </c>
      <c r="H235" s="26">
        <f t="shared" si="5"/>
        <v>0</v>
      </c>
      <c r="I235" s="24">
        <f t="shared" si="6"/>
        <v>0</v>
      </c>
      <c r="J235" s="24">
        <f t="shared" si="7"/>
        <v>0</v>
      </c>
      <c r="K235" s="24"/>
      <c r="L235" s="24">
        <f t="shared" si="8"/>
        <v>491.7476661</v>
      </c>
      <c r="M235" s="14">
        <f t="shared" si="9"/>
        <v>448.6574367</v>
      </c>
      <c r="N235" s="27">
        <f t="shared" si="10"/>
        <v>43.09022941</v>
      </c>
      <c r="O235" s="24"/>
      <c r="P235" s="24"/>
      <c r="Q235" s="24"/>
      <c r="R235" s="26"/>
      <c r="S235" s="14">
        <f t="shared" si="13"/>
        <v>39.56959093</v>
      </c>
      <c r="U235" s="21"/>
      <c r="V235" s="21"/>
    </row>
    <row r="236">
      <c r="A236" s="11">
        <v>224.0</v>
      </c>
      <c r="B236" s="11">
        <v>1.42036956521739E9</v>
      </c>
      <c r="C236" s="2">
        <v>-101.8791199</v>
      </c>
      <c r="D236" s="24">
        <f t="shared" si="1"/>
        <v>-30434.78261</v>
      </c>
      <c r="E236" s="25">
        <f t="shared" si="2"/>
        <v>5.509776795</v>
      </c>
      <c r="F236" s="24">
        <f t="shared" si="3"/>
        <v>0.0001810355232</v>
      </c>
      <c r="G236" s="24">
        <f t="shared" si="4"/>
        <v>0</v>
      </c>
      <c r="H236" s="26">
        <f t="shared" si="5"/>
        <v>0</v>
      </c>
      <c r="I236" s="24">
        <f t="shared" si="6"/>
        <v>0</v>
      </c>
      <c r="J236" s="24">
        <f t="shared" si="7"/>
        <v>0</v>
      </c>
      <c r="K236" s="24"/>
      <c r="L236" s="24">
        <f t="shared" si="8"/>
        <v>493.3943562</v>
      </c>
      <c r="M236" s="14">
        <f t="shared" si="9"/>
        <v>448.5646491</v>
      </c>
      <c r="N236" s="27">
        <f t="shared" si="10"/>
        <v>44.8297071</v>
      </c>
      <c r="O236" s="24"/>
      <c r="P236" s="24"/>
      <c r="Q236" s="24"/>
      <c r="R236" s="26"/>
      <c r="S236" s="14">
        <f t="shared" si="13"/>
        <v>41.16694666</v>
      </c>
      <c r="U236" s="21"/>
      <c r="V236" s="21"/>
    </row>
    <row r="237">
      <c r="A237" s="11">
        <v>225.0</v>
      </c>
      <c r="B237" s="11">
        <v>1.42037391304347E9</v>
      </c>
      <c r="C237" s="2">
        <v>-101.8816986</v>
      </c>
      <c r="D237" s="24">
        <f t="shared" si="1"/>
        <v>-26086.95653</v>
      </c>
      <c r="E237" s="25">
        <f t="shared" si="2"/>
        <v>4.591480662</v>
      </c>
      <c r="F237" s="24">
        <f t="shared" si="3"/>
        <v>0.0001760067586</v>
      </c>
      <c r="G237" s="24">
        <f t="shared" si="4"/>
        <v>0</v>
      </c>
      <c r="H237" s="26">
        <f t="shared" si="5"/>
        <v>0</v>
      </c>
      <c r="I237" s="24">
        <f t="shared" si="6"/>
        <v>0</v>
      </c>
      <c r="J237" s="24">
        <f t="shared" si="7"/>
        <v>0</v>
      </c>
      <c r="K237" s="24"/>
      <c r="L237" s="24">
        <f t="shared" si="8"/>
        <v>493.1014815</v>
      </c>
      <c r="M237" s="14">
        <f t="shared" si="9"/>
        <v>448.4715212</v>
      </c>
      <c r="N237" s="27">
        <f t="shared" si="10"/>
        <v>44.62996035</v>
      </c>
      <c r="O237" s="24"/>
      <c r="P237" s="24"/>
      <c r="Q237" s="24"/>
      <c r="R237" s="26"/>
      <c r="S237" s="14">
        <f t="shared" si="13"/>
        <v>40.98351999</v>
      </c>
      <c r="U237" s="21"/>
      <c r="V237" s="21"/>
    </row>
    <row r="238">
      <c r="A238" s="11">
        <v>226.0</v>
      </c>
      <c r="B238" s="11">
        <v>1.42037826086956E9</v>
      </c>
      <c r="C238" s="2">
        <v>-101.8489761</v>
      </c>
      <c r="D238" s="24">
        <f t="shared" si="1"/>
        <v>-21739.13044</v>
      </c>
      <c r="E238" s="25">
        <f t="shared" si="2"/>
        <v>3.673184529</v>
      </c>
      <c r="F238" s="24">
        <f t="shared" si="3"/>
        <v>0.0001689664883</v>
      </c>
      <c r="G238" s="24">
        <f t="shared" si="4"/>
        <v>0</v>
      </c>
      <c r="H238" s="26">
        <f t="shared" si="5"/>
        <v>0</v>
      </c>
      <c r="I238" s="24">
        <f t="shared" si="6"/>
        <v>0</v>
      </c>
      <c r="J238" s="24">
        <f t="shared" si="7"/>
        <v>0</v>
      </c>
      <c r="K238" s="24"/>
      <c r="L238" s="24">
        <f t="shared" si="8"/>
        <v>496.8308528</v>
      </c>
      <c r="M238" s="14">
        <f t="shared" si="9"/>
        <v>448.378052</v>
      </c>
      <c r="N238" s="27">
        <f t="shared" si="10"/>
        <v>48.45280085</v>
      </c>
      <c r="O238" s="24"/>
      <c r="P238" s="24"/>
      <c r="Q238" s="24"/>
      <c r="R238" s="26"/>
      <c r="S238" s="14">
        <f t="shared" si="13"/>
        <v>44.49401954</v>
      </c>
      <c r="U238" s="21"/>
      <c r="V238" s="21"/>
    </row>
    <row r="239">
      <c r="A239" s="11">
        <v>227.0</v>
      </c>
      <c r="B239" s="11">
        <v>1.42038260869565E9</v>
      </c>
      <c r="C239" s="2">
        <v>-101.8354111</v>
      </c>
      <c r="D239" s="24">
        <f t="shared" si="1"/>
        <v>-17391.30435</v>
      </c>
      <c r="E239" s="25">
        <f t="shared" si="2"/>
        <v>2.754888398</v>
      </c>
      <c r="F239" s="24">
        <f t="shared" si="3"/>
        <v>0.0001584060829</v>
      </c>
      <c r="G239" s="24">
        <f t="shared" si="4"/>
        <v>0</v>
      </c>
      <c r="H239" s="26">
        <f t="shared" si="5"/>
        <v>0</v>
      </c>
      <c r="I239" s="24">
        <f t="shared" si="6"/>
        <v>0</v>
      </c>
      <c r="J239" s="24">
        <f t="shared" si="7"/>
        <v>0</v>
      </c>
      <c r="K239" s="24"/>
      <c r="L239" s="24">
        <f t="shared" si="8"/>
        <v>498.3851085</v>
      </c>
      <c r="M239" s="14">
        <f t="shared" si="9"/>
        <v>448.2842404</v>
      </c>
      <c r="N239" s="27">
        <f t="shared" si="10"/>
        <v>50.10086817</v>
      </c>
      <c r="O239" s="24"/>
      <c r="P239" s="24"/>
      <c r="Q239" s="24"/>
      <c r="R239" s="26"/>
      <c r="S239" s="14">
        <f t="shared" si="13"/>
        <v>46.00743349</v>
      </c>
      <c r="U239" s="21"/>
      <c r="V239" s="21"/>
    </row>
    <row r="240">
      <c r="A240" s="11">
        <v>228.0</v>
      </c>
      <c r="B240" s="11">
        <v>1.42038695652173E9</v>
      </c>
      <c r="C240" s="2">
        <v>-101.8277664</v>
      </c>
      <c r="D240" s="24">
        <f t="shared" si="1"/>
        <v>-13043.47827</v>
      </c>
      <c r="E240" s="25">
        <f t="shared" si="2"/>
        <v>1.836592266</v>
      </c>
      <c r="F240" s="24">
        <f t="shared" si="3"/>
        <v>0.0001408054069</v>
      </c>
      <c r="G240" s="24">
        <f t="shared" si="4"/>
        <v>0</v>
      </c>
      <c r="H240" s="26">
        <f t="shared" si="5"/>
        <v>0</v>
      </c>
      <c r="I240" s="24">
        <f t="shared" si="6"/>
        <v>0</v>
      </c>
      <c r="J240" s="24">
        <f t="shared" si="7"/>
        <v>0</v>
      </c>
      <c r="K240" s="24"/>
      <c r="L240" s="24">
        <f t="shared" si="8"/>
        <v>499.2631671</v>
      </c>
      <c r="M240" s="14">
        <f t="shared" si="9"/>
        <v>448.1900853</v>
      </c>
      <c r="N240" s="27">
        <f t="shared" si="10"/>
        <v>51.07308181</v>
      </c>
      <c r="O240" s="24"/>
      <c r="P240" s="24"/>
      <c r="Q240" s="24"/>
      <c r="R240" s="26"/>
      <c r="S240" s="14">
        <f t="shared" si="13"/>
        <v>46.90021351</v>
      </c>
      <c r="U240" s="21"/>
      <c r="V240" s="21"/>
    </row>
    <row r="241">
      <c r="A241" s="11">
        <v>229.0</v>
      </c>
      <c r="B241" s="11">
        <v>1.42039130434782E9</v>
      </c>
      <c r="C241" s="2">
        <v>-101.8492432</v>
      </c>
      <c r="D241" s="24">
        <f t="shared" si="1"/>
        <v>-8695.65218</v>
      </c>
      <c r="E241" s="25">
        <f t="shared" si="2"/>
        <v>0.9182961328</v>
      </c>
      <c r="F241" s="24">
        <f t="shared" si="3"/>
        <v>0.0001056040552</v>
      </c>
      <c r="G241" s="24">
        <f t="shared" si="4"/>
        <v>0</v>
      </c>
      <c r="H241" s="26">
        <f t="shared" si="5"/>
        <v>0</v>
      </c>
      <c r="I241" s="24">
        <f t="shared" si="6"/>
        <v>0</v>
      </c>
      <c r="J241" s="24">
        <f t="shared" si="7"/>
        <v>0</v>
      </c>
      <c r="K241" s="24"/>
      <c r="L241" s="24">
        <f t="shared" si="8"/>
        <v>496.8002977</v>
      </c>
      <c r="M241" s="14">
        <f t="shared" si="9"/>
        <v>448.0955857</v>
      </c>
      <c r="N241" s="27">
        <f t="shared" si="10"/>
        <v>48.70471199</v>
      </c>
      <c r="O241" s="24"/>
      <c r="P241" s="24"/>
      <c r="Q241" s="24"/>
      <c r="R241" s="26"/>
      <c r="S241" s="14">
        <f t="shared" si="13"/>
        <v>44.72534867</v>
      </c>
      <c r="U241" s="21"/>
      <c r="V241" s="21"/>
    </row>
    <row r="242">
      <c r="A242" s="11">
        <v>230.0</v>
      </c>
      <c r="B242" s="11">
        <v>1.42039565217391E9</v>
      </c>
      <c r="C242" s="2">
        <v>-101.7869873</v>
      </c>
      <c r="D242" s="24">
        <f t="shared" si="1"/>
        <v>-4347.82609</v>
      </c>
      <c r="E242" s="25">
        <f t="shared" si="2"/>
        <v>0</v>
      </c>
      <c r="F242" s="24">
        <f t="shared" si="3"/>
        <v>0</v>
      </c>
      <c r="G242" s="24">
        <f t="shared" si="4"/>
        <v>0</v>
      </c>
      <c r="H242" s="26">
        <f t="shared" si="5"/>
        <v>0</v>
      </c>
      <c r="I242" s="24">
        <f t="shared" si="6"/>
        <v>0</v>
      </c>
      <c r="J242" s="24" t="str">
        <f t="shared" si="7"/>
        <v>#DIV/0!</v>
      </c>
      <c r="K242" s="24"/>
      <c r="L242" s="24">
        <f t="shared" si="8"/>
        <v>503.9731942</v>
      </c>
      <c r="M242" s="14">
        <f t="shared" si="9"/>
        <v>448.0007404</v>
      </c>
      <c r="N242" s="27">
        <f t="shared" si="10"/>
        <v>55.97245376</v>
      </c>
      <c r="O242" s="24"/>
      <c r="P242" s="24"/>
      <c r="Q242" s="24"/>
      <c r="R242" s="26"/>
      <c r="S242" s="14">
        <f t="shared" si="13"/>
        <v>51.39928772</v>
      </c>
      <c r="U242" s="21"/>
      <c r="V242" s="21"/>
    </row>
    <row r="243">
      <c r="A243" s="11">
        <v>231.0</v>
      </c>
      <c r="B243" s="11">
        <v>1.4204E9</v>
      </c>
      <c r="C243" s="2">
        <v>-101.7601852</v>
      </c>
      <c r="D243" s="24">
        <f t="shared" si="1"/>
        <v>0</v>
      </c>
      <c r="E243" s="25">
        <f t="shared" si="2"/>
        <v>-0.9182961307</v>
      </c>
      <c r="F243" s="24" t="str">
        <f t="shared" si="3"/>
        <v>#DIV/0!</v>
      </c>
      <c r="G243" s="24">
        <f t="shared" si="4"/>
        <v>0</v>
      </c>
      <c r="H243" s="26">
        <f t="shared" si="5"/>
        <v>0</v>
      </c>
      <c r="I243" s="24">
        <f t="shared" si="6"/>
        <v>0</v>
      </c>
      <c r="J243" s="24" t="str">
        <f t="shared" si="7"/>
        <v>#DIV/0!</v>
      </c>
      <c r="K243" s="24"/>
      <c r="L243" s="24">
        <f t="shared" si="8"/>
        <v>507.0930372</v>
      </c>
      <c r="M243" s="14">
        <f t="shared" si="9"/>
        <v>447.9055485</v>
      </c>
      <c r="N243" s="27">
        <f t="shared" si="10"/>
        <v>59.18748874</v>
      </c>
      <c r="O243" s="24"/>
      <c r="P243" s="24"/>
      <c r="Q243" s="24"/>
      <c r="R243" s="26"/>
      <c r="S243" s="14">
        <f t="shared" si="13"/>
        <v>54.35164202</v>
      </c>
      <c r="U243" s="21"/>
      <c r="V243" s="21"/>
    </row>
    <row r="244">
      <c r="A244" s="11">
        <v>232.0</v>
      </c>
      <c r="B244" s="11">
        <v>1.42040434782608E9</v>
      </c>
      <c r="C244" s="2">
        <v>-101.689415</v>
      </c>
      <c r="D244" s="24">
        <f t="shared" si="1"/>
        <v>4347.82608</v>
      </c>
      <c r="E244" s="25">
        <f t="shared" si="2"/>
        <v>-1.836592263</v>
      </c>
      <c r="F244" s="24">
        <f t="shared" si="3"/>
        <v>0.0004224162213</v>
      </c>
      <c r="G244" s="24">
        <f t="shared" si="4"/>
        <v>0</v>
      </c>
      <c r="H244" s="26">
        <f t="shared" si="5"/>
        <v>0</v>
      </c>
      <c r="I244" s="24">
        <f t="shared" si="6"/>
        <v>0</v>
      </c>
      <c r="J244" s="24">
        <f t="shared" si="7"/>
        <v>0</v>
      </c>
      <c r="K244" s="24"/>
      <c r="L244" s="24">
        <f t="shared" si="8"/>
        <v>515.4240361</v>
      </c>
      <c r="M244" s="14">
        <f t="shared" si="9"/>
        <v>447.8100087</v>
      </c>
      <c r="N244" s="27">
        <f t="shared" si="10"/>
        <v>67.61402732</v>
      </c>
      <c r="O244" s="24"/>
      <c r="P244" s="24"/>
      <c r="Q244" s="24"/>
      <c r="R244" s="26"/>
      <c r="S244" s="14">
        <f t="shared" si="13"/>
        <v>62.08969981</v>
      </c>
      <c r="U244" s="21"/>
      <c r="V244" s="21"/>
    </row>
    <row r="245">
      <c r="A245" s="11">
        <v>233.0</v>
      </c>
      <c r="B245" s="11">
        <v>1.42040869565217E9</v>
      </c>
      <c r="C245" s="2">
        <v>-101.7181473</v>
      </c>
      <c r="D245" s="24">
        <f t="shared" si="1"/>
        <v>8695.65217</v>
      </c>
      <c r="E245" s="25">
        <f t="shared" si="2"/>
        <v>-2.754888396</v>
      </c>
      <c r="F245" s="24">
        <f t="shared" si="3"/>
        <v>0.0003168121657</v>
      </c>
      <c r="G245" s="24">
        <f t="shared" si="4"/>
        <v>0</v>
      </c>
      <c r="H245" s="26">
        <f t="shared" si="5"/>
        <v>0</v>
      </c>
      <c r="I245" s="24">
        <f t="shared" si="6"/>
        <v>0</v>
      </c>
      <c r="J245" s="24">
        <f t="shared" si="7"/>
        <v>0</v>
      </c>
      <c r="K245" s="24"/>
      <c r="L245" s="24">
        <f t="shared" si="8"/>
        <v>512.0253197</v>
      </c>
      <c r="M245" s="14">
        <f t="shared" si="9"/>
        <v>447.7141202</v>
      </c>
      <c r="N245" s="27">
        <f t="shared" si="10"/>
        <v>64.31119951</v>
      </c>
      <c r="O245" s="24"/>
      <c r="P245" s="24"/>
      <c r="Q245" s="24"/>
      <c r="R245" s="26"/>
      <c r="S245" s="14">
        <f t="shared" si="13"/>
        <v>59.05672567</v>
      </c>
      <c r="U245" s="21"/>
      <c r="V245" s="21"/>
    </row>
    <row r="246">
      <c r="A246" s="11">
        <v>234.0</v>
      </c>
      <c r="B246" s="11">
        <v>1.42041304347826E9</v>
      </c>
      <c r="C246" s="2">
        <v>-101.6208801</v>
      </c>
      <c r="D246" s="24">
        <f t="shared" si="1"/>
        <v>13043.47826</v>
      </c>
      <c r="E246" s="25">
        <f t="shared" si="2"/>
        <v>-3.673184527</v>
      </c>
      <c r="F246" s="24">
        <f t="shared" si="3"/>
        <v>0.0002816108137</v>
      </c>
      <c r="G246" s="24">
        <f t="shared" si="4"/>
        <v>0</v>
      </c>
      <c r="H246" s="26">
        <f t="shared" si="5"/>
        <v>0</v>
      </c>
      <c r="I246" s="24">
        <f t="shared" si="6"/>
        <v>0</v>
      </c>
      <c r="J246" s="24">
        <f t="shared" si="7"/>
        <v>0</v>
      </c>
      <c r="K246" s="24"/>
      <c r="L246" s="24">
        <f t="shared" si="8"/>
        <v>523.6223282</v>
      </c>
      <c r="M246" s="14">
        <f t="shared" si="9"/>
        <v>447.6178816</v>
      </c>
      <c r="N246" s="27">
        <f t="shared" si="10"/>
        <v>76.00444656</v>
      </c>
      <c r="O246" s="24"/>
      <c r="P246" s="24"/>
      <c r="Q246" s="24"/>
      <c r="R246" s="26"/>
      <c r="S246" s="14">
        <f t="shared" si="13"/>
        <v>69.79458935</v>
      </c>
      <c r="U246" s="21"/>
      <c r="V246" s="21"/>
    </row>
    <row r="247">
      <c r="A247" s="11">
        <v>235.0</v>
      </c>
      <c r="B247" s="11">
        <v>1.42041739130434E9</v>
      </c>
      <c r="C247" s="2">
        <v>-101.5689468</v>
      </c>
      <c r="D247" s="24">
        <f t="shared" si="1"/>
        <v>17391.30434</v>
      </c>
      <c r="E247" s="25">
        <f t="shared" si="2"/>
        <v>-4.59148066</v>
      </c>
      <c r="F247" s="24">
        <f t="shared" si="3"/>
        <v>0.0002640101381</v>
      </c>
      <c r="G247" s="24">
        <f t="shared" si="4"/>
        <v>0</v>
      </c>
      <c r="H247" s="26">
        <f t="shared" si="5"/>
        <v>0</v>
      </c>
      <c r="I247" s="24">
        <f t="shared" si="6"/>
        <v>0</v>
      </c>
      <c r="J247" s="24">
        <f t="shared" si="7"/>
        <v>0</v>
      </c>
      <c r="K247" s="24"/>
      <c r="L247" s="24">
        <f t="shared" si="8"/>
        <v>529.9214357</v>
      </c>
      <c r="M247" s="14">
        <f t="shared" si="9"/>
        <v>447.5212921</v>
      </c>
      <c r="N247" s="27">
        <f t="shared" si="10"/>
        <v>82.40014354</v>
      </c>
      <c r="O247" s="24"/>
      <c r="P247" s="24"/>
      <c r="Q247" s="24"/>
      <c r="R247" s="26"/>
      <c r="S247" s="14">
        <f t="shared" si="13"/>
        <v>75.66773316</v>
      </c>
      <c r="U247" s="21"/>
      <c r="V247" s="21"/>
    </row>
    <row r="248">
      <c r="A248" s="11">
        <v>236.0</v>
      </c>
      <c r="B248" s="11">
        <v>1.42042173913043E9</v>
      </c>
      <c r="C248" s="2">
        <v>-101.5074615</v>
      </c>
      <c r="D248" s="24">
        <f t="shared" si="1"/>
        <v>21739.13043</v>
      </c>
      <c r="E248" s="25">
        <f t="shared" si="2"/>
        <v>-5.509776792</v>
      </c>
      <c r="F248" s="24">
        <f t="shared" si="3"/>
        <v>0.0002534497325</v>
      </c>
      <c r="G248" s="24">
        <f t="shared" si="4"/>
        <v>0</v>
      </c>
      <c r="H248" s="26">
        <f t="shared" si="5"/>
        <v>0</v>
      </c>
      <c r="I248" s="24">
        <f t="shared" si="6"/>
        <v>0</v>
      </c>
      <c r="J248" s="24">
        <f t="shared" si="7"/>
        <v>0</v>
      </c>
      <c r="K248" s="24"/>
      <c r="L248" s="24">
        <f t="shared" si="8"/>
        <v>537.4771645</v>
      </c>
      <c r="M248" s="14">
        <f t="shared" si="9"/>
        <v>447.4243506</v>
      </c>
      <c r="N248" s="27">
        <f t="shared" si="10"/>
        <v>90.05281398</v>
      </c>
      <c r="O248" s="24"/>
      <c r="P248" s="24"/>
      <c r="Q248" s="24"/>
      <c r="R248" s="26"/>
      <c r="S248" s="14">
        <f t="shared" si="13"/>
        <v>82.69515063</v>
      </c>
      <c r="U248" s="21"/>
      <c r="V248" s="21"/>
    </row>
    <row r="249">
      <c r="A249" s="11">
        <v>237.0</v>
      </c>
      <c r="B249" s="11">
        <v>1.42042608695652E9</v>
      </c>
      <c r="C249" s="2">
        <v>-101.5122147</v>
      </c>
      <c r="D249" s="24">
        <f t="shared" si="1"/>
        <v>26086.95652</v>
      </c>
      <c r="E249" s="25">
        <f t="shared" si="2"/>
        <v>-6.428072923</v>
      </c>
      <c r="F249" s="24">
        <f t="shared" si="3"/>
        <v>0.0002464094621</v>
      </c>
      <c r="G249" s="24">
        <f t="shared" si="4"/>
        <v>0</v>
      </c>
      <c r="H249" s="26">
        <f t="shared" si="5"/>
        <v>0</v>
      </c>
      <c r="I249" s="24">
        <f t="shared" si="6"/>
        <v>0</v>
      </c>
      <c r="J249" s="24">
        <f t="shared" si="7"/>
        <v>0</v>
      </c>
      <c r="K249" s="24"/>
      <c r="L249" s="24">
        <f t="shared" si="8"/>
        <v>536.8892365</v>
      </c>
      <c r="M249" s="14">
        <f t="shared" si="9"/>
        <v>447.3270558</v>
      </c>
      <c r="N249" s="27">
        <f t="shared" si="10"/>
        <v>89.5621807</v>
      </c>
      <c r="O249" s="24"/>
      <c r="P249" s="24"/>
      <c r="Q249" s="24"/>
      <c r="R249" s="26"/>
      <c r="S249" s="14">
        <f t="shared" si="13"/>
        <v>82.24460418</v>
      </c>
      <c r="U249" s="21"/>
      <c r="V249" s="21"/>
    </row>
    <row r="250">
      <c r="A250" s="11">
        <v>238.0</v>
      </c>
      <c r="B250" s="11">
        <v>1.4204304347826E9</v>
      </c>
      <c r="C250" s="2">
        <v>-101.3829193</v>
      </c>
      <c r="D250" s="24">
        <f t="shared" si="1"/>
        <v>30434.7826</v>
      </c>
      <c r="E250" s="25">
        <f t="shared" si="2"/>
        <v>-7.346369056</v>
      </c>
      <c r="F250" s="24">
        <f t="shared" si="3"/>
        <v>0.0002413806976</v>
      </c>
      <c r="G250" s="24">
        <f t="shared" si="4"/>
        <v>0</v>
      </c>
      <c r="H250" s="26">
        <f t="shared" si="5"/>
        <v>0</v>
      </c>
      <c r="I250" s="24">
        <f t="shared" si="6"/>
        <v>0</v>
      </c>
      <c r="J250" s="24">
        <f t="shared" si="7"/>
        <v>0</v>
      </c>
      <c r="K250" s="24"/>
      <c r="L250" s="24">
        <f t="shared" si="8"/>
        <v>553.113473</v>
      </c>
      <c r="M250" s="14">
        <f t="shared" si="9"/>
        <v>447.2294069</v>
      </c>
      <c r="N250" s="27">
        <f t="shared" si="10"/>
        <v>105.8840662</v>
      </c>
      <c r="O250" s="24"/>
      <c r="P250" s="24"/>
      <c r="Q250" s="24"/>
      <c r="R250" s="26"/>
      <c r="S250" s="14">
        <f t="shared" si="13"/>
        <v>97.23292849</v>
      </c>
      <c r="U250" s="21"/>
      <c r="V250" s="21"/>
    </row>
    <row r="251">
      <c r="A251" s="11">
        <v>239.0</v>
      </c>
      <c r="B251" s="11">
        <v>1.42043478260869E9</v>
      </c>
      <c r="C251" s="2">
        <v>-101.4213257</v>
      </c>
      <c r="D251" s="24">
        <f t="shared" si="1"/>
        <v>34782.60869</v>
      </c>
      <c r="E251" s="25">
        <f t="shared" si="2"/>
        <v>-8.264665189</v>
      </c>
      <c r="F251" s="24">
        <f t="shared" si="3"/>
        <v>0.0002376091242</v>
      </c>
      <c r="G251" s="24">
        <f t="shared" si="4"/>
        <v>0</v>
      </c>
      <c r="H251" s="26">
        <f t="shared" si="5"/>
        <v>0</v>
      </c>
      <c r="I251" s="24">
        <f t="shared" si="6"/>
        <v>0</v>
      </c>
      <c r="J251" s="24">
        <f t="shared" si="7"/>
        <v>0</v>
      </c>
      <c r="K251" s="24"/>
      <c r="L251" s="24">
        <f t="shared" si="8"/>
        <v>548.2436338</v>
      </c>
      <c r="M251" s="14">
        <f t="shared" si="9"/>
        <v>447.1314026</v>
      </c>
      <c r="N251" s="27">
        <f t="shared" si="10"/>
        <v>101.1122312</v>
      </c>
      <c r="O251" s="24"/>
      <c r="P251" s="24"/>
      <c r="Q251" s="24"/>
      <c r="R251" s="26"/>
      <c r="S251" s="14">
        <f t="shared" si="13"/>
        <v>92.85097091</v>
      </c>
      <c r="U251" s="21"/>
      <c r="V251" s="21"/>
    </row>
    <row r="252">
      <c r="A252" s="11">
        <v>240.0</v>
      </c>
      <c r="B252" s="11">
        <v>1.42043913043478E9</v>
      </c>
      <c r="C252" s="2">
        <v>-101.3379059</v>
      </c>
      <c r="D252" s="24">
        <f t="shared" si="1"/>
        <v>39130.43478</v>
      </c>
      <c r="E252" s="25">
        <f t="shared" si="2"/>
        <v>-9.182961321</v>
      </c>
      <c r="F252" s="24">
        <f t="shared" si="3"/>
        <v>0.0002346756782</v>
      </c>
      <c r="G252" s="24">
        <f t="shared" si="4"/>
        <v>0</v>
      </c>
      <c r="H252" s="26">
        <f t="shared" si="5"/>
        <v>0</v>
      </c>
      <c r="I252" s="24">
        <f t="shared" si="6"/>
        <v>0</v>
      </c>
      <c r="J252" s="24">
        <f t="shared" si="7"/>
        <v>0</v>
      </c>
      <c r="K252" s="24"/>
      <c r="L252" s="24">
        <f t="shared" si="8"/>
        <v>558.8761511</v>
      </c>
      <c r="M252" s="14">
        <f t="shared" si="9"/>
        <v>447.033042</v>
      </c>
      <c r="N252" s="27">
        <f t="shared" si="10"/>
        <v>111.8431091</v>
      </c>
      <c r="O252" s="24"/>
      <c r="P252" s="24"/>
      <c r="Q252" s="24"/>
      <c r="R252" s="26"/>
      <c r="S252" s="14">
        <f t="shared" si="13"/>
        <v>102.7050944</v>
      </c>
      <c r="U252" s="21"/>
      <c r="V252" s="21"/>
    </row>
    <row r="253">
      <c r="A253" s="11">
        <v>241.0</v>
      </c>
      <c r="B253" s="11">
        <v>1.42044347826087E9</v>
      </c>
      <c r="C253" s="2">
        <v>-101.2758179</v>
      </c>
      <c r="D253" s="24">
        <f t="shared" si="1"/>
        <v>43478.26087</v>
      </c>
      <c r="E253" s="25">
        <f t="shared" si="2"/>
        <v>-10.10125745</v>
      </c>
      <c r="F253" s="24">
        <f t="shared" si="3"/>
        <v>0.0002323289214</v>
      </c>
      <c r="G253" s="24">
        <f t="shared" si="4"/>
        <v>0</v>
      </c>
      <c r="H253" s="26">
        <f t="shared" si="5"/>
        <v>0</v>
      </c>
      <c r="I253" s="24">
        <f t="shared" si="6"/>
        <v>0</v>
      </c>
      <c r="J253" s="24">
        <f t="shared" si="7"/>
        <v>0</v>
      </c>
      <c r="K253" s="24"/>
      <c r="L253" s="24">
        <f t="shared" si="8"/>
        <v>566.9233926</v>
      </c>
      <c r="M253" s="14">
        <f t="shared" si="9"/>
        <v>446.9343239</v>
      </c>
      <c r="N253" s="27">
        <f t="shared" si="10"/>
        <v>119.9890687</v>
      </c>
      <c r="O253" s="24"/>
      <c r="P253" s="24"/>
      <c r="Q253" s="24"/>
      <c r="R253" s="26"/>
      <c r="S253" s="14">
        <f t="shared" si="13"/>
        <v>110.1854978</v>
      </c>
      <c r="U253" s="21"/>
      <c r="V253" s="21"/>
    </row>
    <row r="254">
      <c r="A254" s="11">
        <v>242.0</v>
      </c>
      <c r="B254" s="11">
        <v>1.42044782608695E9</v>
      </c>
      <c r="C254" s="2">
        <v>-101.2863388</v>
      </c>
      <c r="D254" s="24">
        <f t="shared" si="1"/>
        <v>47826.08695</v>
      </c>
      <c r="E254" s="25">
        <f t="shared" si="2"/>
        <v>-11.01955358</v>
      </c>
      <c r="F254" s="24">
        <f t="shared" si="3"/>
        <v>0.0002304088477</v>
      </c>
      <c r="G254" s="24">
        <f t="shared" si="4"/>
        <v>0</v>
      </c>
      <c r="H254" s="26">
        <f t="shared" si="5"/>
        <v>0</v>
      </c>
      <c r="I254" s="24">
        <f t="shared" si="6"/>
        <v>0</v>
      </c>
      <c r="J254" s="24">
        <f t="shared" si="7"/>
        <v>0</v>
      </c>
      <c r="K254" s="24"/>
      <c r="L254" s="24">
        <f t="shared" si="8"/>
        <v>565.5516677</v>
      </c>
      <c r="M254" s="14">
        <f t="shared" si="9"/>
        <v>446.8352473</v>
      </c>
      <c r="N254" s="27">
        <f t="shared" si="10"/>
        <v>118.7164204</v>
      </c>
      <c r="O254" s="24"/>
      <c r="P254" s="24"/>
      <c r="Q254" s="24"/>
      <c r="R254" s="26"/>
      <c r="S254" s="14">
        <f t="shared" si="13"/>
        <v>109.0168298</v>
      </c>
      <c r="U254" s="21"/>
      <c r="V254" s="21"/>
    </row>
    <row r="255">
      <c r="A255" s="11">
        <v>243.0</v>
      </c>
      <c r="B255" s="11">
        <v>1.42045217391304E9</v>
      </c>
      <c r="C255" s="2">
        <v>-101.231781</v>
      </c>
      <c r="D255" s="24">
        <f t="shared" si="1"/>
        <v>52173.91304</v>
      </c>
      <c r="E255" s="25">
        <f t="shared" si="2"/>
        <v>-11.93784972</v>
      </c>
      <c r="F255" s="24">
        <f t="shared" si="3"/>
        <v>0.0002288087863</v>
      </c>
      <c r="G255" s="24">
        <f t="shared" si="4"/>
        <v>0</v>
      </c>
      <c r="H255" s="26">
        <f t="shared" si="5"/>
        <v>0</v>
      </c>
      <c r="I255" s="24">
        <f t="shared" si="6"/>
        <v>0</v>
      </c>
      <c r="J255" s="24">
        <f t="shared" si="7"/>
        <v>0</v>
      </c>
      <c r="K255" s="24"/>
      <c r="L255" s="24">
        <f t="shared" si="8"/>
        <v>572.7011661</v>
      </c>
      <c r="M255" s="14">
        <f t="shared" si="9"/>
        <v>446.735811</v>
      </c>
      <c r="N255" s="27">
        <f t="shared" si="10"/>
        <v>125.965355</v>
      </c>
      <c r="O255" s="24"/>
      <c r="P255" s="24"/>
      <c r="Q255" s="24"/>
      <c r="R255" s="26"/>
      <c r="S255" s="14">
        <f t="shared" si="13"/>
        <v>115.6734981</v>
      </c>
      <c r="U255" s="21"/>
      <c r="V255" s="21"/>
    </row>
    <row r="256">
      <c r="A256" s="11">
        <v>244.0</v>
      </c>
      <c r="B256" s="11">
        <v>1.42045652173913E9</v>
      </c>
      <c r="C256" s="2">
        <v>-101.1872635</v>
      </c>
      <c r="D256" s="24">
        <f t="shared" si="1"/>
        <v>56521.73913</v>
      </c>
      <c r="E256" s="25">
        <f t="shared" si="2"/>
        <v>-12.85614585</v>
      </c>
      <c r="F256" s="24">
        <f t="shared" si="3"/>
        <v>0.0002274548881</v>
      </c>
      <c r="G256" s="24">
        <f t="shared" si="4"/>
        <v>0</v>
      </c>
      <c r="H256" s="26">
        <f t="shared" si="5"/>
        <v>0</v>
      </c>
      <c r="I256" s="24">
        <f t="shared" si="6"/>
        <v>0</v>
      </c>
      <c r="J256" s="24">
        <f t="shared" si="7"/>
        <v>0</v>
      </c>
      <c r="K256" s="24"/>
      <c r="L256" s="24">
        <f t="shared" si="8"/>
        <v>578.6018493</v>
      </c>
      <c r="M256" s="14">
        <f t="shared" si="9"/>
        <v>446.6360142</v>
      </c>
      <c r="N256" s="27">
        <f t="shared" si="10"/>
        <v>131.9658351</v>
      </c>
      <c r="O256" s="24"/>
      <c r="P256" s="24"/>
      <c r="Q256" s="24"/>
      <c r="R256" s="26"/>
      <c r="S256" s="14">
        <f t="shared" si="13"/>
        <v>121.1837161</v>
      </c>
      <c r="U256" s="21"/>
      <c r="V256" s="21"/>
    </row>
    <row r="257">
      <c r="A257" s="11">
        <v>245.0</v>
      </c>
      <c r="B257" s="11">
        <v>1.42046086956521E9</v>
      </c>
      <c r="C257" s="2">
        <v>-101.1275101</v>
      </c>
      <c r="D257" s="24">
        <f t="shared" si="1"/>
        <v>60869.56521</v>
      </c>
      <c r="E257" s="25">
        <f t="shared" si="2"/>
        <v>-13.77444198</v>
      </c>
      <c r="F257" s="24">
        <f t="shared" si="3"/>
        <v>0.000226294404</v>
      </c>
      <c r="G257" s="24">
        <f t="shared" si="4"/>
        <v>0</v>
      </c>
      <c r="H257" s="26">
        <f t="shared" si="5"/>
        <v>0</v>
      </c>
      <c r="I257" s="24">
        <f t="shared" si="6"/>
        <v>0</v>
      </c>
      <c r="J257" s="24">
        <f t="shared" si="7"/>
        <v>0</v>
      </c>
      <c r="K257" s="24"/>
      <c r="L257" s="24">
        <f t="shared" si="8"/>
        <v>586.6176927</v>
      </c>
      <c r="M257" s="14">
        <f t="shared" si="9"/>
        <v>446.5358555</v>
      </c>
      <c r="N257" s="27">
        <f t="shared" si="10"/>
        <v>140.0818372</v>
      </c>
      <c r="O257" s="24"/>
      <c r="P257" s="24"/>
      <c r="Q257" s="24"/>
      <c r="R257" s="26"/>
      <c r="S257" s="14">
        <f t="shared" si="13"/>
        <v>128.6366094</v>
      </c>
      <c r="U257" s="21"/>
      <c r="V257" s="21"/>
    </row>
    <row r="258">
      <c r="A258" s="11">
        <v>246.0</v>
      </c>
      <c r="B258" s="11">
        <v>1.4204652173913E9</v>
      </c>
      <c r="C258" s="2">
        <v>-101.1255035</v>
      </c>
      <c r="D258" s="24">
        <f t="shared" si="1"/>
        <v>65217.3913</v>
      </c>
      <c r="E258" s="25">
        <f t="shared" si="2"/>
        <v>-14.69273811</v>
      </c>
      <c r="F258" s="24">
        <f t="shared" si="3"/>
        <v>0.0002252886511</v>
      </c>
      <c r="G258" s="24">
        <f t="shared" si="4"/>
        <v>0</v>
      </c>
      <c r="H258" s="26">
        <f t="shared" si="5"/>
        <v>0</v>
      </c>
      <c r="I258" s="24">
        <f t="shared" si="6"/>
        <v>0</v>
      </c>
      <c r="J258" s="24">
        <f t="shared" si="7"/>
        <v>0</v>
      </c>
      <c r="K258" s="24"/>
      <c r="L258" s="24">
        <f t="shared" si="8"/>
        <v>586.8887942</v>
      </c>
      <c r="M258" s="14">
        <f t="shared" si="9"/>
        <v>446.435334</v>
      </c>
      <c r="N258" s="27">
        <f t="shared" si="10"/>
        <v>140.4534602</v>
      </c>
      <c r="O258" s="24"/>
      <c r="P258" s="24"/>
      <c r="Q258" s="24"/>
      <c r="R258" s="26"/>
      <c r="S258" s="14">
        <f t="shared" si="13"/>
        <v>128.977869</v>
      </c>
      <c r="U258" s="21"/>
      <c r="V258" s="21"/>
    </row>
    <row r="259">
      <c r="A259" s="11">
        <v>247.0</v>
      </c>
      <c r="B259" s="11">
        <v>1.42046956521739E9</v>
      </c>
      <c r="C259" s="2">
        <v>-101.1392059</v>
      </c>
      <c r="D259" s="24">
        <f t="shared" si="1"/>
        <v>69565.21739</v>
      </c>
      <c r="E259" s="25">
        <f t="shared" si="2"/>
        <v>-15.61103424</v>
      </c>
      <c r="F259" s="24">
        <f t="shared" si="3"/>
        <v>0.0002244086173</v>
      </c>
      <c r="G259" s="24">
        <f t="shared" si="4"/>
        <v>0</v>
      </c>
      <c r="H259" s="26">
        <f t="shared" si="5"/>
        <v>0</v>
      </c>
      <c r="I259" s="24">
        <f t="shared" si="6"/>
        <v>0</v>
      </c>
      <c r="J259" s="24">
        <f t="shared" si="7"/>
        <v>0</v>
      </c>
      <c r="K259" s="24"/>
      <c r="L259" s="24">
        <f t="shared" si="8"/>
        <v>585.0400229</v>
      </c>
      <c r="M259" s="14">
        <f t="shared" si="9"/>
        <v>446.3344487</v>
      </c>
      <c r="N259" s="27">
        <f t="shared" si="10"/>
        <v>138.7055742</v>
      </c>
      <c r="O259" s="24"/>
      <c r="P259" s="24"/>
      <c r="Q259" s="24"/>
      <c r="R259" s="26"/>
      <c r="S259" s="14">
        <f t="shared" si="13"/>
        <v>127.3727924</v>
      </c>
      <c r="U259" s="21"/>
      <c r="V259" s="21"/>
    </row>
    <row r="260">
      <c r="A260" s="11">
        <v>248.0</v>
      </c>
      <c r="B260" s="11">
        <v>1.42047391304347E9</v>
      </c>
      <c r="C260" s="2">
        <v>-101.0676804</v>
      </c>
      <c r="D260" s="24">
        <f t="shared" si="1"/>
        <v>73913.04347</v>
      </c>
      <c r="E260" s="25">
        <f t="shared" si="2"/>
        <v>-16.52933038</v>
      </c>
      <c r="F260" s="24">
        <f t="shared" si="3"/>
        <v>0.0002236321169</v>
      </c>
      <c r="G260" s="24">
        <f t="shared" si="4"/>
        <v>0</v>
      </c>
      <c r="H260" s="26">
        <f t="shared" si="5"/>
        <v>0</v>
      </c>
      <c r="I260" s="24">
        <f t="shared" si="6"/>
        <v>0</v>
      </c>
      <c r="J260" s="24">
        <f t="shared" si="7"/>
        <v>0</v>
      </c>
      <c r="K260" s="24"/>
      <c r="L260" s="24">
        <f t="shared" si="8"/>
        <v>594.7550351</v>
      </c>
      <c r="M260" s="14">
        <f t="shared" si="9"/>
        <v>446.2331983</v>
      </c>
      <c r="N260" s="27">
        <f t="shared" si="10"/>
        <v>148.5218368</v>
      </c>
      <c r="O260" s="24"/>
      <c r="P260" s="24"/>
      <c r="Q260" s="24"/>
      <c r="R260" s="26"/>
      <c r="S260" s="14">
        <f t="shared" si="13"/>
        <v>136.3870284</v>
      </c>
      <c r="U260" s="21"/>
      <c r="V260" s="21"/>
    </row>
    <row r="261">
      <c r="A261" s="11">
        <v>249.0</v>
      </c>
      <c r="B261" s="11">
        <v>1.42047826086956E9</v>
      </c>
      <c r="C261" s="2">
        <v>-101.0844193</v>
      </c>
      <c r="D261" s="24">
        <f t="shared" si="1"/>
        <v>78260.86956</v>
      </c>
      <c r="E261" s="25">
        <f t="shared" si="2"/>
        <v>-17.44762651</v>
      </c>
      <c r="F261" s="24">
        <f t="shared" si="3"/>
        <v>0.0002229418943</v>
      </c>
      <c r="G261" s="24">
        <f t="shared" si="4"/>
        <v>0</v>
      </c>
      <c r="H261" s="26">
        <f t="shared" si="5"/>
        <v>0</v>
      </c>
      <c r="I261" s="24">
        <f t="shared" si="6"/>
        <v>0</v>
      </c>
      <c r="J261" s="24">
        <f t="shared" si="7"/>
        <v>0</v>
      </c>
      <c r="K261" s="24"/>
      <c r="L261" s="24">
        <f t="shared" si="8"/>
        <v>592.4670981</v>
      </c>
      <c r="M261" s="14">
        <f t="shared" si="9"/>
        <v>446.1315819</v>
      </c>
      <c r="N261" s="27">
        <f t="shared" si="10"/>
        <v>146.3355162</v>
      </c>
      <c r="O261" s="24"/>
      <c r="P261" s="24"/>
      <c r="Q261" s="24"/>
      <c r="R261" s="26"/>
      <c r="S261" s="14">
        <f t="shared" si="13"/>
        <v>134.3793383</v>
      </c>
      <c r="U261" s="21"/>
      <c r="V261" s="21"/>
    </row>
    <row r="262">
      <c r="A262" s="11">
        <v>250.0</v>
      </c>
      <c r="B262" s="11">
        <v>1.42048260869565E9</v>
      </c>
      <c r="C262" s="2">
        <v>-101.1079559</v>
      </c>
      <c r="D262" s="24">
        <f t="shared" si="1"/>
        <v>82608.69565</v>
      </c>
      <c r="E262" s="25">
        <f t="shared" si="2"/>
        <v>-18.36592264</v>
      </c>
      <c r="F262" s="24">
        <f t="shared" si="3"/>
        <v>0.0002223243267</v>
      </c>
      <c r="G262" s="24">
        <f t="shared" si="4"/>
        <v>0</v>
      </c>
      <c r="H262" s="26">
        <f t="shared" si="5"/>
        <v>0</v>
      </c>
      <c r="I262" s="24">
        <f t="shared" si="6"/>
        <v>0</v>
      </c>
      <c r="J262" s="24">
        <f t="shared" si="7"/>
        <v>0</v>
      </c>
      <c r="K262" s="24"/>
      <c r="L262" s="24">
        <f t="shared" si="8"/>
        <v>589.2649062</v>
      </c>
      <c r="M262" s="14">
        <f t="shared" si="9"/>
        <v>446.0295984</v>
      </c>
      <c r="N262" s="27">
        <f t="shared" si="10"/>
        <v>143.2353079</v>
      </c>
      <c r="O262" s="24"/>
      <c r="P262" s="24"/>
      <c r="Q262" s="24"/>
      <c r="R262" s="26"/>
      <c r="S262" s="14">
        <f t="shared" si="13"/>
        <v>131.5324293</v>
      </c>
      <c r="U262" s="21"/>
      <c r="V262" s="21"/>
    </row>
    <row r="263">
      <c r="A263" s="11">
        <v>251.0</v>
      </c>
      <c r="B263" s="11">
        <v>1.42048695652173E9</v>
      </c>
      <c r="C263" s="2">
        <v>-101.1258392</v>
      </c>
      <c r="D263" s="24">
        <f t="shared" si="1"/>
        <v>86956.52173</v>
      </c>
      <c r="E263" s="25">
        <f t="shared" si="2"/>
        <v>-19.28421877</v>
      </c>
      <c r="F263" s="24">
        <f t="shared" si="3"/>
        <v>0.0002217685159</v>
      </c>
      <c r="G263" s="24">
        <f t="shared" si="4"/>
        <v>0</v>
      </c>
      <c r="H263" s="26">
        <f t="shared" si="5"/>
        <v>0</v>
      </c>
      <c r="I263" s="24">
        <f t="shared" si="6"/>
        <v>0</v>
      </c>
      <c r="J263" s="24">
        <f t="shared" si="7"/>
        <v>0</v>
      </c>
      <c r="K263" s="24"/>
      <c r="L263" s="24">
        <f t="shared" si="8"/>
        <v>586.8434308</v>
      </c>
      <c r="M263" s="14">
        <f t="shared" si="9"/>
        <v>445.9272466</v>
      </c>
      <c r="N263" s="27">
        <f t="shared" si="10"/>
        <v>140.9161842</v>
      </c>
      <c r="O263" s="24"/>
      <c r="P263" s="24"/>
      <c r="Q263" s="24"/>
      <c r="R263" s="26"/>
      <c r="S263" s="14">
        <f t="shared" si="13"/>
        <v>129.402787</v>
      </c>
      <c r="U263" s="21"/>
      <c r="V263" s="21"/>
    </row>
    <row r="264">
      <c r="A264" s="11">
        <v>252.0</v>
      </c>
      <c r="B264" s="11">
        <v>1.42049130434782E9</v>
      </c>
      <c r="C264" s="2">
        <v>-101.0734558</v>
      </c>
      <c r="D264" s="24">
        <f t="shared" si="1"/>
        <v>91304.34782</v>
      </c>
      <c r="E264" s="25">
        <f t="shared" si="2"/>
        <v>-20.20251491</v>
      </c>
      <c r="F264" s="24">
        <f t="shared" si="3"/>
        <v>0.0002212656395</v>
      </c>
      <c r="G264" s="24">
        <f t="shared" si="4"/>
        <v>0</v>
      </c>
      <c r="H264" s="26">
        <f t="shared" si="5"/>
        <v>0</v>
      </c>
      <c r="I264" s="24">
        <f t="shared" si="6"/>
        <v>0</v>
      </c>
      <c r="J264" s="24">
        <f t="shared" si="7"/>
        <v>0</v>
      </c>
      <c r="K264" s="24"/>
      <c r="L264" s="24">
        <f t="shared" si="8"/>
        <v>593.9646347</v>
      </c>
      <c r="M264" s="14">
        <f t="shared" si="9"/>
        <v>445.8245256</v>
      </c>
      <c r="N264" s="27">
        <f t="shared" si="10"/>
        <v>148.1401091</v>
      </c>
      <c r="O264" s="24"/>
      <c r="P264" s="24"/>
      <c r="Q264" s="24"/>
      <c r="R264" s="26"/>
      <c r="S264" s="14">
        <f t="shared" si="13"/>
        <v>136.0364893</v>
      </c>
      <c r="U264" s="21"/>
      <c r="V264" s="21"/>
    </row>
    <row r="265">
      <c r="A265" s="11">
        <v>253.0</v>
      </c>
      <c r="B265" s="11">
        <v>1.42049565217391E9</v>
      </c>
      <c r="C265" s="2">
        <v>-101.0351715</v>
      </c>
      <c r="D265" s="24">
        <f t="shared" si="1"/>
        <v>95652.17391</v>
      </c>
      <c r="E265" s="25">
        <f t="shared" si="2"/>
        <v>-21.12081104</v>
      </c>
      <c r="F265" s="24">
        <f t="shared" si="3"/>
        <v>0.0002208084791</v>
      </c>
      <c r="G265" s="24">
        <f t="shared" si="4"/>
        <v>0</v>
      </c>
      <c r="H265" s="26">
        <f t="shared" si="5"/>
        <v>0</v>
      </c>
      <c r="I265" s="24">
        <f t="shared" si="6"/>
        <v>0</v>
      </c>
      <c r="J265" s="24">
        <f t="shared" si="7"/>
        <v>0</v>
      </c>
      <c r="K265" s="24"/>
      <c r="L265" s="24">
        <f t="shared" si="8"/>
        <v>599.223749</v>
      </c>
      <c r="M265" s="14">
        <f t="shared" si="9"/>
        <v>445.7214342</v>
      </c>
      <c r="N265" s="27">
        <f t="shared" si="10"/>
        <v>153.5023147</v>
      </c>
      <c r="O265" s="24"/>
      <c r="P265" s="24"/>
      <c r="Q265" s="24"/>
      <c r="R265" s="26"/>
      <c r="S265" s="14">
        <f t="shared" si="13"/>
        <v>140.9605817</v>
      </c>
      <c r="U265" s="21"/>
      <c r="V265" s="21"/>
    </row>
    <row r="266">
      <c r="A266" s="11">
        <v>254.0</v>
      </c>
      <c r="B266" s="11">
        <v>1.4205E9</v>
      </c>
      <c r="C266" s="2">
        <v>-100.8995132</v>
      </c>
      <c r="D266" s="24">
        <f t="shared" si="1"/>
        <v>100000</v>
      </c>
      <c r="E266" s="25">
        <f t="shared" si="2"/>
        <v>-22.03910717</v>
      </c>
      <c r="F266" s="24">
        <f t="shared" si="3"/>
        <v>0.0002203910717</v>
      </c>
      <c r="G266" s="24">
        <f t="shared" si="4"/>
        <v>0</v>
      </c>
      <c r="H266" s="26">
        <f t="shared" si="5"/>
        <v>0</v>
      </c>
      <c r="I266" s="24">
        <f t="shared" si="6"/>
        <v>0</v>
      </c>
      <c r="J266" s="24">
        <f t="shared" si="7"/>
        <v>0</v>
      </c>
      <c r="K266" s="24"/>
      <c r="L266" s="24">
        <f t="shared" si="8"/>
        <v>618.2367927</v>
      </c>
      <c r="M266" s="14">
        <f t="shared" si="9"/>
        <v>445.6179714</v>
      </c>
      <c r="N266" s="27">
        <f t="shared" si="10"/>
        <v>172.6188213</v>
      </c>
      <c r="O266" s="24"/>
      <c r="P266" s="24"/>
      <c r="Q266" s="24"/>
      <c r="R266" s="26"/>
      <c r="S266" s="14">
        <f t="shared" si="13"/>
        <v>158.515196</v>
      </c>
      <c r="U266" s="21"/>
      <c r="V266" s="21"/>
    </row>
    <row r="267">
      <c r="A267" s="11">
        <v>255.0</v>
      </c>
      <c r="B267" s="11">
        <v>1.42050434782608E9</v>
      </c>
      <c r="C267" s="2">
        <v>-100.9589157</v>
      </c>
      <c r="D267" s="24">
        <f t="shared" si="1"/>
        <v>104347.8261</v>
      </c>
      <c r="E267" s="25">
        <f t="shared" si="2"/>
        <v>-22.9574033</v>
      </c>
      <c r="F267" s="24">
        <f t="shared" si="3"/>
        <v>0.0002200084483</v>
      </c>
      <c r="G267" s="24">
        <f t="shared" si="4"/>
        <v>0</v>
      </c>
      <c r="H267" s="26">
        <f t="shared" si="5"/>
        <v>0</v>
      </c>
      <c r="I267" s="24">
        <f t="shared" si="6"/>
        <v>0</v>
      </c>
      <c r="J267" s="24">
        <f t="shared" si="7"/>
        <v>0</v>
      </c>
      <c r="K267" s="24"/>
      <c r="L267" s="24">
        <f t="shared" si="8"/>
        <v>609.8381614</v>
      </c>
      <c r="M267" s="14">
        <f t="shared" si="9"/>
        <v>445.5141361</v>
      </c>
      <c r="N267" s="27">
        <f t="shared" si="10"/>
        <v>164.3240252</v>
      </c>
      <c r="O267" s="24"/>
      <c r="P267" s="24"/>
      <c r="Q267" s="24"/>
      <c r="R267" s="26"/>
      <c r="S267" s="14">
        <f t="shared" si="13"/>
        <v>150.8981169</v>
      </c>
      <c r="U267" s="21"/>
      <c r="V267" s="21"/>
    </row>
    <row r="268">
      <c r="A268" s="11">
        <v>256.0</v>
      </c>
      <c r="B268" s="11">
        <v>1.42050869565217E9</v>
      </c>
      <c r="C268" s="2">
        <v>-100.8772812</v>
      </c>
      <c r="D268" s="24">
        <f t="shared" si="1"/>
        <v>108695.6522</v>
      </c>
      <c r="E268" s="25">
        <f t="shared" si="2"/>
        <v>-23.87569944</v>
      </c>
      <c r="F268" s="24">
        <f t="shared" si="3"/>
        <v>0.0002196564348</v>
      </c>
      <c r="G268" s="24">
        <f t="shared" si="4"/>
        <v>0</v>
      </c>
      <c r="H268" s="26">
        <f t="shared" si="5"/>
        <v>0</v>
      </c>
      <c r="I268" s="24">
        <f t="shared" si="6"/>
        <v>0</v>
      </c>
      <c r="J268" s="24">
        <f t="shared" si="7"/>
        <v>0</v>
      </c>
      <c r="K268" s="24"/>
      <c r="L268" s="24">
        <f t="shared" si="8"/>
        <v>621.4097275</v>
      </c>
      <c r="M268" s="14">
        <f t="shared" si="9"/>
        <v>445.4099273</v>
      </c>
      <c r="N268" s="27">
        <f t="shared" si="10"/>
        <v>175.9998002</v>
      </c>
      <c r="O268" s="24"/>
      <c r="P268" s="24"/>
      <c r="Q268" s="24"/>
      <c r="R268" s="26"/>
      <c r="S268" s="14">
        <f t="shared" si="13"/>
        <v>161.6199356</v>
      </c>
      <c r="U268" s="21"/>
      <c r="V268" s="21"/>
    </row>
    <row r="269">
      <c r="A269" s="11">
        <v>257.0</v>
      </c>
      <c r="B269" s="11">
        <v>1.42051304347826E9</v>
      </c>
      <c r="C269" s="2">
        <v>-100.8720779</v>
      </c>
      <c r="D269" s="24">
        <f t="shared" si="1"/>
        <v>113043.4783</v>
      </c>
      <c r="E269" s="25">
        <f t="shared" si="2"/>
        <v>-24.79399557</v>
      </c>
      <c r="F269" s="24">
        <f t="shared" si="3"/>
        <v>0.0002193314992</v>
      </c>
      <c r="G269" s="24">
        <f t="shared" si="4"/>
        <v>0</v>
      </c>
      <c r="H269" s="26">
        <f t="shared" si="5"/>
        <v>0</v>
      </c>
      <c r="I269" s="24">
        <f t="shared" si="6"/>
        <v>0</v>
      </c>
      <c r="J269" s="24">
        <f t="shared" si="7"/>
        <v>0</v>
      </c>
      <c r="K269" s="24"/>
      <c r="L269" s="24">
        <f t="shared" si="8"/>
        <v>622.1546872</v>
      </c>
      <c r="M269" s="14">
        <f t="shared" si="9"/>
        <v>445.3053437</v>
      </c>
      <c r="N269" s="27">
        <f t="shared" si="10"/>
        <v>176.8493435</v>
      </c>
      <c r="O269" s="24"/>
      <c r="P269" s="24"/>
      <c r="Q269" s="24"/>
      <c r="R269" s="26"/>
      <c r="S269" s="14">
        <f t="shared" si="13"/>
        <v>162.4000682</v>
      </c>
      <c r="U269" s="21"/>
      <c r="V269" s="21"/>
    </row>
    <row r="270">
      <c r="A270" s="11">
        <v>258.0</v>
      </c>
      <c r="B270" s="11">
        <v>1.42051739130434E9</v>
      </c>
      <c r="C270" s="2">
        <v>-100.8204346</v>
      </c>
      <c r="D270" s="24">
        <f t="shared" si="1"/>
        <v>117391.3043</v>
      </c>
      <c r="E270" s="25">
        <f t="shared" si="2"/>
        <v>-25.7122917</v>
      </c>
      <c r="F270" s="24">
        <f t="shared" si="3"/>
        <v>0.000219030633</v>
      </c>
      <c r="G270" s="24">
        <f t="shared" si="4"/>
        <v>0</v>
      </c>
      <c r="H270" s="26">
        <f t="shared" si="5"/>
        <v>0</v>
      </c>
      <c r="I270" s="24">
        <f t="shared" si="6"/>
        <v>0</v>
      </c>
      <c r="J270" s="24">
        <f t="shared" si="7"/>
        <v>0</v>
      </c>
      <c r="K270" s="24"/>
      <c r="L270" s="24">
        <f t="shared" si="8"/>
        <v>629.5970832</v>
      </c>
      <c r="M270" s="14">
        <f t="shared" si="9"/>
        <v>445.2003845</v>
      </c>
      <c r="N270" s="27">
        <f t="shared" si="10"/>
        <v>184.3966988</v>
      </c>
      <c r="O270" s="24"/>
      <c r="P270" s="24"/>
      <c r="Q270" s="24"/>
      <c r="R270" s="26"/>
      <c r="S270" s="14">
        <f t="shared" si="13"/>
        <v>169.3307754</v>
      </c>
      <c r="U270" s="21"/>
      <c r="V270" s="21"/>
    </row>
    <row r="271">
      <c r="A271" s="11">
        <v>259.0</v>
      </c>
      <c r="B271" s="11">
        <v>1.42052173913043E9</v>
      </c>
      <c r="C271" s="2">
        <v>-100.8990326</v>
      </c>
      <c r="D271" s="24">
        <f t="shared" si="1"/>
        <v>121739.1304</v>
      </c>
      <c r="E271" s="25">
        <f t="shared" si="2"/>
        <v>-26.63058783</v>
      </c>
      <c r="F271" s="24">
        <f t="shared" si="3"/>
        <v>0.0002187512572</v>
      </c>
      <c r="G271" s="24">
        <f t="shared" si="4"/>
        <v>0</v>
      </c>
      <c r="H271" s="26">
        <f t="shared" si="5"/>
        <v>0</v>
      </c>
      <c r="I271" s="24">
        <f t="shared" si="6"/>
        <v>0</v>
      </c>
      <c r="J271" s="24">
        <f t="shared" si="7"/>
        <v>0</v>
      </c>
      <c r="K271" s="24"/>
      <c r="L271" s="24">
        <f t="shared" si="8"/>
        <v>618.305212</v>
      </c>
      <c r="M271" s="14">
        <f t="shared" si="9"/>
        <v>445.0950484</v>
      </c>
      <c r="N271" s="27">
        <f t="shared" si="10"/>
        <v>173.2101636</v>
      </c>
      <c r="O271" s="24"/>
      <c r="P271" s="24"/>
      <c r="Q271" s="24"/>
      <c r="R271" s="26"/>
      <c r="S271" s="14">
        <f t="shared" si="13"/>
        <v>159.058223</v>
      </c>
      <c r="U271" s="21"/>
      <c r="V271" s="21"/>
    </row>
    <row r="272">
      <c r="A272" s="11">
        <v>260.0</v>
      </c>
      <c r="B272" s="11">
        <v>1.42052608695652E9</v>
      </c>
      <c r="C272" s="2">
        <v>-100.9151459</v>
      </c>
      <c r="D272" s="24">
        <f t="shared" si="1"/>
        <v>126086.9565</v>
      </c>
      <c r="E272" s="25">
        <f t="shared" si="2"/>
        <v>-27.54888396</v>
      </c>
      <c r="F272" s="24">
        <f t="shared" si="3"/>
        <v>0.0002184911487</v>
      </c>
      <c r="G272" s="24">
        <f t="shared" si="4"/>
        <v>0</v>
      </c>
      <c r="H272" s="26">
        <f t="shared" si="5"/>
        <v>0</v>
      </c>
      <c r="I272" s="24">
        <f t="shared" si="6"/>
        <v>0</v>
      </c>
      <c r="J272" s="24">
        <f t="shared" si="7"/>
        <v>0</v>
      </c>
      <c r="K272" s="24"/>
      <c r="L272" s="24">
        <f t="shared" si="8"/>
        <v>616.0154113</v>
      </c>
      <c r="M272" s="14">
        <f t="shared" si="9"/>
        <v>444.9893344</v>
      </c>
      <c r="N272" s="27">
        <f t="shared" si="10"/>
        <v>171.0260769</v>
      </c>
      <c r="O272" s="24"/>
      <c r="P272" s="24"/>
      <c r="Q272" s="24"/>
      <c r="R272" s="26"/>
      <c r="S272" s="14">
        <f t="shared" si="13"/>
        <v>157.052585</v>
      </c>
      <c r="U272" s="21"/>
      <c r="V272" s="21"/>
    </row>
    <row r="273">
      <c r="A273" s="11">
        <v>261.0</v>
      </c>
      <c r="B273" s="11">
        <v>1.4205304347826E9</v>
      </c>
      <c r="C273" s="2">
        <v>-101.0258408</v>
      </c>
      <c r="D273" s="24">
        <f t="shared" si="1"/>
        <v>130434.7826</v>
      </c>
      <c r="E273" s="25">
        <f t="shared" si="2"/>
        <v>-28.4671801</v>
      </c>
      <c r="F273" s="24">
        <f t="shared" si="3"/>
        <v>0.0002182483807</v>
      </c>
      <c r="G273" s="24">
        <f t="shared" si="4"/>
        <v>0</v>
      </c>
      <c r="H273" s="26">
        <f t="shared" si="5"/>
        <v>0</v>
      </c>
      <c r="I273" s="24">
        <f t="shared" si="6"/>
        <v>0</v>
      </c>
      <c r="J273" s="24">
        <f t="shared" si="7"/>
        <v>0</v>
      </c>
      <c r="K273" s="24"/>
      <c r="L273" s="24">
        <f t="shared" si="8"/>
        <v>600.512549</v>
      </c>
      <c r="M273" s="14">
        <f t="shared" si="9"/>
        <v>444.8832415</v>
      </c>
      <c r="N273" s="27">
        <f t="shared" si="10"/>
        <v>155.6293075</v>
      </c>
      <c r="O273" s="24"/>
      <c r="P273" s="24"/>
      <c r="Q273" s="24"/>
      <c r="R273" s="26"/>
      <c r="S273" s="14">
        <f t="shared" si="13"/>
        <v>142.9137912</v>
      </c>
      <c r="U273" s="21"/>
      <c r="V273" s="21"/>
    </row>
    <row r="274">
      <c r="A274" s="11">
        <v>262.0</v>
      </c>
      <c r="B274" s="11">
        <v>1.42053478260869E9</v>
      </c>
      <c r="C274" s="2">
        <v>-101.0426788</v>
      </c>
      <c r="D274" s="24">
        <f t="shared" si="1"/>
        <v>134782.6087</v>
      </c>
      <c r="E274" s="25">
        <f t="shared" si="2"/>
        <v>-29.38547623</v>
      </c>
      <c r="F274" s="24">
        <f t="shared" si="3"/>
        <v>0.0002180212752</v>
      </c>
      <c r="G274" s="24">
        <f t="shared" si="4"/>
        <v>0</v>
      </c>
      <c r="H274" s="26">
        <f t="shared" si="5"/>
        <v>0</v>
      </c>
      <c r="I274" s="24">
        <f t="shared" si="6"/>
        <v>0</v>
      </c>
      <c r="J274" s="24">
        <f t="shared" si="7"/>
        <v>0</v>
      </c>
      <c r="K274" s="24"/>
      <c r="L274" s="24">
        <f t="shared" si="8"/>
        <v>598.1888138</v>
      </c>
      <c r="M274" s="14">
        <f t="shared" si="9"/>
        <v>444.7767686</v>
      </c>
      <c r="N274" s="27">
        <f t="shared" si="10"/>
        <v>153.4120451</v>
      </c>
      <c r="O274" s="24"/>
      <c r="P274" s="24"/>
      <c r="Q274" s="24"/>
      <c r="R274" s="26"/>
      <c r="S274" s="14">
        <f t="shared" si="13"/>
        <v>140.8776878</v>
      </c>
      <c r="U274" s="21"/>
      <c r="V274" s="21"/>
    </row>
    <row r="275">
      <c r="A275" s="11">
        <v>263.0</v>
      </c>
      <c r="B275" s="11">
        <v>1.42053913043478E9</v>
      </c>
      <c r="C275" s="2">
        <v>-101.1847839</v>
      </c>
      <c r="D275" s="24">
        <f t="shared" si="1"/>
        <v>139130.4348</v>
      </c>
      <c r="E275" s="25">
        <f t="shared" si="2"/>
        <v>-30.30377236</v>
      </c>
      <c r="F275" s="24">
        <f t="shared" si="3"/>
        <v>0.0002178083638</v>
      </c>
      <c r="G275" s="24">
        <f t="shared" si="4"/>
        <v>0</v>
      </c>
      <c r="H275" s="26">
        <f t="shared" si="5"/>
        <v>0</v>
      </c>
      <c r="I275" s="24">
        <f t="shared" si="6"/>
        <v>0</v>
      </c>
      <c r="J275" s="24">
        <f t="shared" si="7"/>
        <v>0</v>
      </c>
      <c r="K275" s="24"/>
      <c r="L275" s="24">
        <f t="shared" si="8"/>
        <v>578.9322958</v>
      </c>
      <c r="M275" s="14">
        <f t="shared" si="9"/>
        <v>444.6699146</v>
      </c>
      <c r="N275" s="27">
        <f t="shared" si="10"/>
        <v>134.2623812</v>
      </c>
      <c r="O275" s="24"/>
      <c r="P275" s="24"/>
      <c r="Q275" s="24"/>
      <c r="R275" s="26"/>
      <c r="S275" s="14">
        <f t="shared" si="13"/>
        <v>123.2926251</v>
      </c>
      <c r="U275" s="21"/>
      <c r="V275" s="21"/>
    </row>
    <row r="276">
      <c r="A276" s="11">
        <v>264.0</v>
      </c>
      <c r="B276" s="11">
        <v>1.42054347826087E9</v>
      </c>
      <c r="C276" s="2">
        <v>-101.2965698</v>
      </c>
      <c r="D276" s="24">
        <f t="shared" si="1"/>
        <v>143478.2609</v>
      </c>
      <c r="E276" s="25">
        <f t="shared" si="2"/>
        <v>-31.22206849</v>
      </c>
      <c r="F276" s="24">
        <f t="shared" si="3"/>
        <v>0.0002176083562</v>
      </c>
      <c r="G276" s="24">
        <f t="shared" si="4"/>
        <v>0</v>
      </c>
      <c r="H276" s="26">
        <f t="shared" si="5"/>
        <v>0</v>
      </c>
      <c r="I276" s="24">
        <f t="shared" si="6"/>
        <v>0</v>
      </c>
      <c r="J276" s="24">
        <f t="shared" si="7"/>
        <v>0</v>
      </c>
      <c r="K276" s="24"/>
      <c r="L276" s="24">
        <f t="shared" si="8"/>
        <v>564.2209234</v>
      </c>
      <c r="M276" s="14">
        <f t="shared" si="9"/>
        <v>444.5626784</v>
      </c>
      <c r="N276" s="27">
        <f t="shared" si="10"/>
        <v>119.658245</v>
      </c>
      <c r="O276" s="24"/>
      <c r="P276" s="24"/>
      <c r="Q276" s="24"/>
      <c r="R276" s="26"/>
      <c r="S276" s="14">
        <f t="shared" si="13"/>
        <v>109.8817037</v>
      </c>
      <c r="U276" s="21"/>
      <c r="V276" s="21"/>
    </row>
    <row r="277">
      <c r="A277" s="11">
        <v>265.0</v>
      </c>
      <c r="B277" s="11">
        <v>1.42054782608695E9</v>
      </c>
      <c r="C277" s="2">
        <v>-101.3950348</v>
      </c>
      <c r="D277" s="24">
        <f t="shared" si="1"/>
        <v>147826.087</v>
      </c>
      <c r="E277" s="25">
        <f t="shared" si="2"/>
        <v>-32.14036462</v>
      </c>
      <c r="F277" s="24">
        <f t="shared" si="3"/>
        <v>0.0002174201136</v>
      </c>
      <c r="G277" s="24">
        <f t="shared" si="4"/>
        <v>0</v>
      </c>
      <c r="H277" s="26">
        <f t="shared" si="5"/>
        <v>0</v>
      </c>
      <c r="I277" s="24">
        <f t="shared" si="6"/>
        <v>0</v>
      </c>
      <c r="J277" s="24">
        <f t="shared" si="7"/>
        <v>0</v>
      </c>
      <c r="K277" s="24"/>
      <c r="L277" s="24">
        <f t="shared" si="8"/>
        <v>551.5726043</v>
      </c>
      <c r="M277" s="14">
        <f t="shared" si="9"/>
        <v>444.4550589</v>
      </c>
      <c r="N277" s="27">
        <f t="shared" si="10"/>
        <v>107.1175454</v>
      </c>
      <c r="O277" s="24"/>
      <c r="P277" s="24"/>
      <c r="Q277" s="24"/>
      <c r="R277" s="26"/>
      <c r="S277" s="14">
        <f t="shared" si="13"/>
        <v>98.36562773</v>
      </c>
      <c r="U277" s="21"/>
      <c r="V277" s="21"/>
    </row>
    <row r="278">
      <c r="A278" s="11">
        <v>266.0</v>
      </c>
      <c r="B278" s="11">
        <v>1.42055217391304E9</v>
      </c>
      <c r="C278" s="2">
        <v>-101.4871597</v>
      </c>
      <c r="D278" s="24">
        <f t="shared" si="1"/>
        <v>152173.913</v>
      </c>
      <c r="E278" s="25">
        <f t="shared" si="2"/>
        <v>-33.05866076</v>
      </c>
      <c r="F278" s="24">
        <f t="shared" si="3"/>
        <v>0.0002172426278</v>
      </c>
      <c r="G278" s="24">
        <f t="shared" si="4"/>
        <v>0</v>
      </c>
      <c r="H278" s="26">
        <f t="shared" si="5"/>
        <v>0</v>
      </c>
      <c r="I278" s="24">
        <f t="shared" si="6"/>
        <v>0</v>
      </c>
      <c r="J278" s="24">
        <f t="shared" si="7"/>
        <v>0</v>
      </c>
      <c r="K278" s="24"/>
      <c r="L278" s="24">
        <f t="shared" si="8"/>
        <v>539.9955705</v>
      </c>
      <c r="M278" s="14">
        <f t="shared" si="9"/>
        <v>444.3470551</v>
      </c>
      <c r="N278" s="27">
        <f t="shared" si="10"/>
        <v>95.64851539</v>
      </c>
      <c r="O278" s="24"/>
      <c r="P278" s="24"/>
      <c r="Q278" s="24"/>
      <c r="R278" s="26"/>
      <c r="S278" s="14">
        <f t="shared" si="13"/>
        <v>87.83366159</v>
      </c>
      <c r="U278" s="21"/>
      <c r="V278" s="21"/>
    </row>
    <row r="279">
      <c r="A279" s="11">
        <v>267.0</v>
      </c>
      <c r="B279" s="11">
        <v>1.42055652173913E9</v>
      </c>
      <c r="C279" s="2">
        <v>-101.6099091</v>
      </c>
      <c r="D279" s="24">
        <f t="shared" si="1"/>
        <v>156521.7391</v>
      </c>
      <c r="E279" s="25">
        <f t="shared" si="2"/>
        <v>-33.97695689</v>
      </c>
      <c r="F279" s="24">
        <f t="shared" si="3"/>
        <v>0.0002170750023</v>
      </c>
      <c r="G279" s="24">
        <f t="shared" si="4"/>
        <v>0</v>
      </c>
      <c r="H279" s="26">
        <f t="shared" si="5"/>
        <v>0</v>
      </c>
      <c r="I279" s="24">
        <f t="shared" si="6"/>
        <v>0</v>
      </c>
      <c r="J279" s="24">
        <f t="shared" si="7"/>
        <v>0</v>
      </c>
      <c r="K279" s="24"/>
      <c r="L279" s="24">
        <f t="shared" si="8"/>
        <v>524.9467573</v>
      </c>
      <c r="M279" s="14">
        <f t="shared" si="9"/>
        <v>444.2386659</v>
      </c>
      <c r="N279" s="27">
        <f t="shared" si="10"/>
        <v>80.70809145</v>
      </c>
      <c r="O279" s="24"/>
      <c r="P279" s="24"/>
      <c r="Q279" s="24"/>
      <c r="R279" s="26"/>
      <c r="S279" s="14">
        <f t="shared" si="13"/>
        <v>74.11392826</v>
      </c>
      <c r="U279" s="21"/>
      <c r="V279" s="21"/>
    </row>
    <row r="280">
      <c r="A280" s="11">
        <v>268.0</v>
      </c>
      <c r="B280" s="11">
        <v>1.42056086956521E9</v>
      </c>
      <c r="C280" s="2">
        <v>-101.7279816</v>
      </c>
      <c r="D280" s="24">
        <f t="shared" si="1"/>
        <v>160869.5652</v>
      </c>
      <c r="E280" s="25">
        <f t="shared" si="2"/>
        <v>-34.89525302</v>
      </c>
      <c r="F280" s="24">
        <f t="shared" si="3"/>
        <v>0.0002169164377</v>
      </c>
      <c r="G280" s="24">
        <f t="shared" si="4"/>
        <v>0</v>
      </c>
      <c r="H280" s="26">
        <f t="shared" si="5"/>
        <v>0</v>
      </c>
      <c r="I280" s="24">
        <f t="shared" si="6"/>
        <v>0</v>
      </c>
      <c r="J280" s="24">
        <f t="shared" si="7"/>
        <v>0</v>
      </c>
      <c r="K280" s="24"/>
      <c r="L280" s="24">
        <f t="shared" si="8"/>
        <v>510.8671853</v>
      </c>
      <c r="M280" s="14">
        <f t="shared" si="9"/>
        <v>444.1298902</v>
      </c>
      <c r="N280" s="27">
        <f t="shared" si="10"/>
        <v>66.73729506</v>
      </c>
      <c r="O280" s="24"/>
      <c r="P280" s="24"/>
      <c r="Q280" s="24"/>
      <c r="R280" s="26"/>
      <c r="S280" s="14">
        <f t="shared" si="13"/>
        <v>61.28459997</v>
      </c>
      <c r="U280" s="21"/>
      <c r="V280" s="21"/>
    </row>
    <row r="281">
      <c r="A281" s="11">
        <v>269.0</v>
      </c>
      <c r="B281" s="11">
        <v>1.4205652173913E9</v>
      </c>
      <c r="C281" s="2">
        <v>-101.8595352</v>
      </c>
      <c r="D281" s="24">
        <f t="shared" si="1"/>
        <v>165217.3913</v>
      </c>
      <c r="E281" s="25">
        <f t="shared" si="2"/>
        <v>-35.81354915</v>
      </c>
      <c r="F281" s="24">
        <f t="shared" si="3"/>
        <v>0.0002167662186</v>
      </c>
      <c r="G281" s="24">
        <f t="shared" si="4"/>
        <v>0</v>
      </c>
      <c r="H281" s="26">
        <f t="shared" si="5"/>
        <v>0</v>
      </c>
      <c r="I281" s="24">
        <f t="shared" si="6"/>
        <v>0</v>
      </c>
      <c r="J281" s="24">
        <f t="shared" si="7"/>
        <v>0</v>
      </c>
      <c r="K281" s="24"/>
      <c r="L281" s="24">
        <f t="shared" si="8"/>
        <v>495.624364</v>
      </c>
      <c r="M281" s="14">
        <f t="shared" si="9"/>
        <v>444.020727</v>
      </c>
      <c r="N281" s="27">
        <f t="shared" si="10"/>
        <v>51.60363704</v>
      </c>
      <c r="O281" s="24"/>
      <c r="P281" s="24"/>
      <c r="Q281" s="24"/>
      <c r="R281" s="26"/>
      <c r="S281" s="14">
        <f t="shared" si="13"/>
        <v>47.38742022</v>
      </c>
      <c r="U281" s="21"/>
      <c r="V281" s="21"/>
    </row>
    <row r="282">
      <c r="A282" s="11">
        <v>270.0</v>
      </c>
      <c r="B282" s="11">
        <v>1.42056956521739E9</v>
      </c>
      <c r="C282" s="2">
        <v>-101.9350662</v>
      </c>
      <c r="D282" s="24">
        <f t="shared" si="1"/>
        <v>169565.2174</v>
      </c>
      <c r="E282" s="25">
        <f t="shared" si="2"/>
        <v>-36.73184528</v>
      </c>
      <c r="F282" s="24">
        <f t="shared" si="3"/>
        <v>0.000216623703</v>
      </c>
      <c r="G282" s="24">
        <f t="shared" si="4"/>
        <v>0</v>
      </c>
      <c r="H282" s="26">
        <f t="shared" si="5"/>
        <v>0</v>
      </c>
      <c r="I282" s="24">
        <f t="shared" si="6"/>
        <v>0</v>
      </c>
      <c r="J282" s="24">
        <f t="shared" si="7"/>
        <v>0</v>
      </c>
      <c r="K282" s="24"/>
      <c r="L282" s="24">
        <f t="shared" si="8"/>
        <v>487.0791589</v>
      </c>
      <c r="M282" s="14">
        <f t="shared" si="9"/>
        <v>443.9111751</v>
      </c>
      <c r="N282" s="27">
        <f t="shared" si="10"/>
        <v>43.16798375</v>
      </c>
      <c r="O282" s="24"/>
      <c r="P282" s="24"/>
      <c r="Q282" s="24"/>
      <c r="R282" s="26"/>
      <c r="S282" s="14">
        <f t="shared" si="13"/>
        <v>39.64099254</v>
      </c>
      <c r="U282" s="21"/>
      <c r="V282" s="21"/>
    </row>
    <row r="283">
      <c r="A283" s="11">
        <v>271.0</v>
      </c>
      <c r="B283" s="11">
        <v>1.42057391304347E9</v>
      </c>
      <c r="C283" s="2">
        <v>-101.9751968</v>
      </c>
      <c r="D283" s="24">
        <f t="shared" si="1"/>
        <v>173913.0435</v>
      </c>
      <c r="E283" s="25">
        <f t="shared" si="2"/>
        <v>-37.65014142</v>
      </c>
      <c r="F283" s="24">
        <f t="shared" si="3"/>
        <v>0.0002164883132</v>
      </c>
      <c r="G283" s="24">
        <f t="shared" si="4"/>
        <v>0</v>
      </c>
      <c r="H283" s="26">
        <f t="shared" si="5"/>
        <v>0</v>
      </c>
      <c r="I283" s="24">
        <f t="shared" si="6"/>
        <v>0</v>
      </c>
      <c r="J283" s="24">
        <f t="shared" si="7"/>
        <v>0</v>
      </c>
      <c r="K283" s="24"/>
      <c r="L283" s="24">
        <f t="shared" si="8"/>
        <v>482.5990775</v>
      </c>
      <c r="M283" s="14">
        <f t="shared" si="9"/>
        <v>443.8012335</v>
      </c>
      <c r="N283" s="27">
        <f t="shared" si="10"/>
        <v>38.79784394</v>
      </c>
      <c r="O283" s="24"/>
      <c r="P283" s="24"/>
      <c r="Q283" s="24"/>
      <c r="R283" s="26"/>
      <c r="S283" s="14">
        <f t="shared" si="13"/>
        <v>35.62791005</v>
      </c>
      <c r="U283" s="21"/>
      <c r="V283" s="21"/>
    </row>
    <row r="284">
      <c r="A284" s="11">
        <v>272.0</v>
      </c>
      <c r="B284" s="11">
        <v>1.42057826086956E9</v>
      </c>
      <c r="C284" s="2">
        <v>-101.9882355</v>
      </c>
      <c r="D284" s="24">
        <f t="shared" si="1"/>
        <v>178260.8696</v>
      </c>
      <c r="E284" s="25">
        <f t="shared" si="2"/>
        <v>-38.56843755</v>
      </c>
      <c r="F284" s="24">
        <f t="shared" si="3"/>
        <v>0.0002163595277</v>
      </c>
      <c r="G284" s="24">
        <f t="shared" si="4"/>
        <v>0</v>
      </c>
      <c r="H284" s="26">
        <f t="shared" si="5"/>
        <v>0</v>
      </c>
      <c r="I284" s="24">
        <f t="shared" si="6"/>
        <v>0</v>
      </c>
      <c r="J284" s="24">
        <f t="shared" si="7"/>
        <v>0</v>
      </c>
      <c r="K284" s="24"/>
      <c r="L284" s="24">
        <f t="shared" si="8"/>
        <v>481.1523568</v>
      </c>
      <c r="M284" s="14">
        <f t="shared" si="9"/>
        <v>443.6909012</v>
      </c>
      <c r="N284" s="27">
        <f t="shared" si="10"/>
        <v>37.46145559</v>
      </c>
      <c r="O284" s="24"/>
      <c r="P284" s="24"/>
      <c r="Q284" s="24"/>
      <c r="R284" s="26"/>
      <c r="S284" s="14">
        <f t="shared" si="13"/>
        <v>34.40070971</v>
      </c>
      <c r="U284" s="21"/>
      <c r="V284" s="21"/>
    </row>
    <row r="285">
      <c r="A285" s="11">
        <v>273.0</v>
      </c>
      <c r="B285" s="11">
        <v>1.42058260869565E9</v>
      </c>
      <c r="C285" s="2">
        <v>-102.0803604</v>
      </c>
      <c r="D285" s="24">
        <f t="shared" si="1"/>
        <v>182608.6957</v>
      </c>
      <c r="E285" s="25">
        <f t="shared" si="2"/>
        <v>-39.48673368</v>
      </c>
      <c r="F285" s="24">
        <f t="shared" si="3"/>
        <v>0.0002162368749</v>
      </c>
      <c r="G285" s="24">
        <f t="shared" si="4"/>
        <v>0</v>
      </c>
      <c r="H285" s="26">
        <f t="shared" si="5"/>
        <v>0</v>
      </c>
      <c r="I285" s="24">
        <f t="shared" si="6"/>
        <v>0</v>
      </c>
      <c r="J285" s="24">
        <f t="shared" si="7"/>
        <v>0</v>
      </c>
      <c r="K285" s="24"/>
      <c r="L285" s="24">
        <f t="shared" si="8"/>
        <v>471.0533833</v>
      </c>
      <c r="M285" s="14">
        <f t="shared" si="9"/>
        <v>443.580177</v>
      </c>
      <c r="N285" s="27">
        <f t="shared" si="10"/>
        <v>27.47320629</v>
      </c>
      <c r="O285" s="24"/>
      <c r="P285" s="24"/>
      <c r="Q285" s="24"/>
      <c r="R285" s="26"/>
      <c r="S285" s="14">
        <f t="shared" si="13"/>
        <v>25.22853909</v>
      </c>
      <c r="U285" s="21"/>
      <c r="V285" s="21"/>
    </row>
    <row r="286">
      <c r="A286" s="11">
        <v>274.0</v>
      </c>
      <c r="B286" s="11">
        <v>1.42058695652173E9</v>
      </c>
      <c r="C286" s="2">
        <v>-102.144043</v>
      </c>
      <c r="D286" s="24">
        <f t="shared" si="1"/>
        <v>186956.5217</v>
      </c>
      <c r="E286" s="25">
        <f t="shared" si="2"/>
        <v>-40.40502981</v>
      </c>
      <c r="F286" s="24">
        <f t="shared" si="3"/>
        <v>0.0002161199269</v>
      </c>
      <c r="G286" s="24">
        <f t="shared" si="4"/>
        <v>0</v>
      </c>
      <c r="H286" s="26">
        <f t="shared" si="5"/>
        <v>0</v>
      </c>
      <c r="I286" s="24">
        <f t="shared" si="6"/>
        <v>0</v>
      </c>
      <c r="J286" s="24">
        <f t="shared" si="7"/>
        <v>0</v>
      </c>
      <c r="K286" s="24"/>
      <c r="L286" s="24">
        <f t="shared" si="8"/>
        <v>464.1965062</v>
      </c>
      <c r="M286" s="14">
        <f t="shared" si="9"/>
        <v>443.4690598</v>
      </c>
      <c r="N286" s="27">
        <f t="shared" si="10"/>
        <v>20.72744637</v>
      </c>
      <c r="O286" s="24"/>
      <c r="P286" s="24"/>
      <c r="Q286" s="24"/>
      <c r="R286" s="26"/>
      <c r="S286" s="14">
        <f t="shared" si="13"/>
        <v>19.03393384</v>
      </c>
      <c r="U286" s="21"/>
      <c r="V286" s="21"/>
    </row>
    <row r="287">
      <c r="A287" s="11">
        <v>275.0</v>
      </c>
      <c r="B287" s="11">
        <v>1.42059130434782E9</v>
      </c>
      <c r="C287" s="2">
        <v>-102.1697464</v>
      </c>
      <c r="D287" s="24">
        <f t="shared" si="1"/>
        <v>191304.3478</v>
      </c>
      <c r="E287" s="25">
        <f t="shared" si="2"/>
        <v>-41.32332595</v>
      </c>
      <c r="F287" s="24">
        <f t="shared" si="3"/>
        <v>0.0002160082947</v>
      </c>
      <c r="G287" s="24">
        <f t="shared" si="4"/>
        <v>0</v>
      </c>
      <c r="H287" s="26">
        <f t="shared" si="5"/>
        <v>0</v>
      </c>
      <c r="I287" s="24">
        <f t="shared" si="6"/>
        <v>0</v>
      </c>
      <c r="J287" s="24">
        <f t="shared" si="7"/>
        <v>0</v>
      </c>
      <c r="K287" s="24"/>
      <c r="L287" s="24">
        <f t="shared" si="8"/>
        <v>461.4573071</v>
      </c>
      <c r="M287" s="14">
        <f t="shared" si="9"/>
        <v>443.3575487</v>
      </c>
      <c r="N287" s="27">
        <f t="shared" si="10"/>
        <v>18.09975845</v>
      </c>
      <c r="O287" s="24"/>
      <c r="P287" s="24"/>
      <c r="Q287" s="24"/>
      <c r="R287" s="26"/>
      <c r="S287" s="14">
        <f t="shared" si="13"/>
        <v>16.62093819</v>
      </c>
      <c r="U287" s="21"/>
      <c r="V287" s="21"/>
    </row>
    <row r="288">
      <c r="A288" s="11">
        <v>276.0</v>
      </c>
      <c r="B288" s="11">
        <v>1.42059565217391E9</v>
      </c>
      <c r="C288" s="2">
        <v>-102.1216965</v>
      </c>
      <c r="D288" s="24">
        <f t="shared" si="1"/>
        <v>195652.1739</v>
      </c>
      <c r="E288" s="25">
        <f t="shared" si="2"/>
        <v>-42.24162208</v>
      </c>
      <c r="F288" s="24">
        <f t="shared" si="3"/>
        <v>0.000215901624</v>
      </c>
      <c r="G288" s="24">
        <f t="shared" si="4"/>
        <v>0</v>
      </c>
      <c r="H288" s="26">
        <f t="shared" si="5"/>
        <v>0</v>
      </c>
      <c r="I288" s="24">
        <f t="shared" si="6"/>
        <v>0</v>
      </c>
      <c r="J288" s="24">
        <f t="shared" si="7"/>
        <v>0</v>
      </c>
      <c r="K288" s="24"/>
      <c r="L288" s="24">
        <f t="shared" si="8"/>
        <v>466.5911718</v>
      </c>
      <c r="M288" s="14">
        <f t="shared" si="9"/>
        <v>443.2456424</v>
      </c>
      <c r="N288" s="27">
        <f t="shared" si="10"/>
        <v>23.34552933</v>
      </c>
      <c r="O288" s="24"/>
      <c r="P288" s="24"/>
      <c r="Q288" s="24"/>
      <c r="R288" s="26"/>
      <c r="S288" s="14">
        <f t="shared" si="13"/>
        <v>21.43810925</v>
      </c>
      <c r="U288" s="21"/>
      <c r="V288" s="21"/>
    </row>
    <row r="289">
      <c r="A289" s="11">
        <v>277.0</v>
      </c>
      <c r="B289" s="11">
        <v>1.4206E9</v>
      </c>
      <c r="C289" s="2">
        <v>-102.2626114</v>
      </c>
      <c r="D289" s="24">
        <f t="shared" si="1"/>
        <v>200000</v>
      </c>
      <c r="E289" s="25">
        <f t="shared" si="2"/>
        <v>-43.15991821</v>
      </c>
      <c r="F289" s="24">
        <f t="shared" si="3"/>
        <v>0.000215799591</v>
      </c>
      <c r="G289" s="24">
        <f t="shared" si="4"/>
        <v>0</v>
      </c>
      <c r="H289" s="26">
        <f t="shared" si="5"/>
        <v>0</v>
      </c>
      <c r="I289" s="24">
        <f t="shared" si="6"/>
        <v>0</v>
      </c>
      <c r="J289" s="24">
        <f t="shared" si="7"/>
        <v>0</v>
      </c>
      <c r="K289" s="24"/>
      <c r="L289" s="24">
        <f t="shared" si="8"/>
        <v>451.6947339</v>
      </c>
      <c r="M289" s="14">
        <f t="shared" si="9"/>
        <v>443.1333401</v>
      </c>
      <c r="N289" s="27">
        <f t="shared" si="10"/>
        <v>8.561393877</v>
      </c>
      <c r="O289" s="24"/>
      <c r="P289" s="24"/>
      <c r="Q289" s="24"/>
      <c r="R289" s="26"/>
      <c r="S289" s="14">
        <f t="shared" si="13"/>
        <v>7.861894888</v>
      </c>
      <c r="U289" s="21"/>
      <c r="V289" s="21"/>
    </row>
    <row r="290">
      <c r="A290" s="11">
        <v>278.0</v>
      </c>
      <c r="B290" s="11">
        <v>1.42060434782608E9</v>
      </c>
      <c r="C290" s="2">
        <v>-102.2174606</v>
      </c>
      <c r="D290" s="24">
        <f t="shared" si="1"/>
        <v>204347.8261</v>
      </c>
      <c r="E290" s="25">
        <f t="shared" si="2"/>
        <v>-44.07821434</v>
      </c>
      <c r="F290" s="24">
        <f t="shared" si="3"/>
        <v>0.0002157019</v>
      </c>
      <c r="G290" s="24">
        <f t="shared" si="4"/>
        <v>0</v>
      </c>
      <c r="H290" s="26">
        <f t="shared" si="5"/>
        <v>0</v>
      </c>
      <c r="I290" s="24">
        <f t="shared" si="6"/>
        <v>0</v>
      </c>
      <c r="J290" s="24">
        <f t="shared" si="7"/>
        <v>0</v>
      </c>
      <c r="K290" s="24"/>
      <c r="L290" s="24">
        <f t="shared" si="8"/>
        <v>456.4152085</v>
      </c>
      <c r="M290" s="14">
        <f t="shared" si="9"/>
        <v>443.0206404</v>
      </c>
      <c r="N290" s="27">
        <f t="shared" si="10"/>
        <v>13.39456806</v>
      </c>
      <c r="O290" s="24"/>
      <c r="P290" s="24"/>
      <c r="Q290" s="24"/>
      <c r="R290" s="26"/>
      <c r="S290" s="14">
        <f t="shared" si="13"/>
        <v>12.30018005</v>
      </c>
      <c r="U290" s="21"/>
      <c r="V290" s="21"/>
    </row>
    <row r="291">
      <c r="A291" s="11">
        <v>279.0</v>
      </c>
      <c r="B291" s="11">
        <v>1.42060869565217E9</v>
      </c>
      <c r="C291" s="2">
        <v>-102.2358932</v>
      </c>
      <c r="D291" s="24">
        <f t="shared" si="1"/>
        <v>208695.6522</v>
      </c>
      <c r="E291" s="25">
        <f t="shared" si="2"/>
        <v>-44.99651047</v>
      </c>
      <c r="F291" s="24">
        <f t="shared" si="3"/>
        <v>0.0002156082794</v>
      </c>
      <c r="G291" s="24">
        <f t="shared" si="4"/>
        <v>0</v>
      </c>
      <c r="H291" s="26">
        <f t="shared" si="5"/>
        <v>0</v>
      </c>
      <c r="I291" s="24">
        <f t="shared" si="6"/>
        <v>0</v>
      </c>
      <c r="J291" s="24">
        <f t="shared" si="7"/>
        <v>0</v>
      </c>
      <c r="K291" s="24"/>
      <c r="L291" s="24">
        <f t="shared" si="8"/>
        <v>454.4821674</v>
      </c>
      <c r="M291" s="14">
        <f t="shared" si="9"/>
        <v>442.9075425</v>
      </c>
      <c r="N291" s="27">
        <f t="shared" si="10"/>
        <v>11.57462487</v>
      </c>
      <c r="O291" s="24"/>
      <c r="P291" s="24"/>
      <c r="Q291" s="24"/>
      <c r="R291" s="26"/>
      <c r="S291" s="14">
        <f t="shared" si="13"/>
        <v>10.62893323</v>
      </c>
      <c r="U291" s="21"/>
      <c r="V291" s="21"/>
    </row>
    <row r="292">
      <c r="A292" s="11">
        <v>280.0</v>
      </c>
      <c r="B292" s="11">
        <v>1.42061304347826E9</v>
      </c>
      <c r="C292" s="2">
        <v>-102.1802521</v>
      </c>
      <c r="D292" s="24">
        <f t="shared" si="1"/>
        <v>213043.4783</v>
      </c>
      <c r="E292" s="25">
        <f t="shared" si="2"/>
        <v>-45.91480661</v>
      </c>
      <c r="F292" s="24">
        <f t="shared" si="3"/>
        <v>0.00021551848</v>
      </c>
      <c r="G292" s="24">
        <f t="shared" si="4"/>
        <v>0</v>
      </c>
      <c r="H292" s="26">
        <f t="shared" si="5"/>
        <v>0</v>
      </c>
      <c r="I292" s="24">
        <f t="shared" si="6"/>
        <v>0</v>
      </c>
      <c r="J292" s="24">
        <f t="shared" si="7"/>
        <v>0</v>
      </c>
      <c r="K292" s="24"/>
      <c r="L292" s="24">
        <f t="shared" si="8"/>
        <v>460.3423786</v>
      </c>
      <c r="M292" s="14">
        <f t="shared" si="9"/>
        <v>442.7940452</v>
      </c>
      <c r="N292" s="27">
        <f t="shared" si="10"/>
        <v>17.54833338</v>
      </c>
      <c r="O292" s="24"/>
      <c r="P292" s="24"/>
      <c r="Q292" s="24"/>
      <c r="R292" s="26"/>
      <c r="S292" s="14">
        <f t="shared" si="13"/>
        <v>16.11456668</v>
      </c>
      <c r="U292" s="21"/>
      <c r="V292" s="21"/>
    </row>
    <row r="293">
      <c r="A293" s="11">
        <v>281.0</v>
      </c>
      <c r="B293" s="11">
        <v>1.42061739130434E9</v>
      </c>
      <c r="C293" s="2">
        <v>-102.2250671</v>
      </c>
      <c r="D293" s="24">
        <f t="shared" si="1"/>
        <v>217391.3043</v>
      </c>
      <c r="E293" s="25">
        <f t="shared" si="2"/>
        <v>-46.83310274</v>
      </c>
      <c r="F293" s="24">
        <f t="shared" si="3"/>
        <v>0.0002154322726</v>
      </c>
      <c r="G293" s="24">
        <f t="shared" si="4"/>
        <v>0</v>
      </c>
      <c r="H293" s="26">
        <f t="shared" si="5"/>
        <v>0</v>
      </c>
      <c r="I293" s="24">
        <f t="shared" si="6"/>
        <v>0</v>
      </c>
      <c r="J293" s="24">
        <f t="shared" si="7"/>
        <v>0</v>
      </c>
      <c r="K293" s="24"/>
      <c r="L293" s="24">
        <f t="shared" si="8"/>
        <v>455.6165145</v>
      </c>
      <c r="M293" s="14">
        <f t="shared" si="9"/>
        <v>442.6801474</v>
      </c>
      <c r="N293" s="27">
        <f t="shared" si="10"/>
        <v>12.9363671</v>
      </c>
      <c r="O293" s="24"/>
      <c r="P293" s="24"/>
      <c r="Q293" s="24"/>
      <c r="R293" s="26"/>
      <c r="S293" s="14">
        <f t="shared" si="13"/>
        <v>11.87941588</v>
      </c>
      <c r="U293" s="21"/>
      <c r="V293" s="21"/>
    </row>
    <row r="294">
      <c r="A294" s="11">
        <v>282.0</v>
      </c>
      <c r="B294" s="11">
        <v>1.42062173913043E9</v>
      </c>
      <c r="C294" s="2">
        <v>-102.2148056</v>
      </c>
      <c r="D294" s="24">
        <f t="shared" si="1"/>
        <v>221739.1304</v>
      </c>
      <c r="E294" s="25">
        <f t="shared" si="2"/>
        <v>-47.75139887</v>
      </c>
      <c r="F294" s="24">
        <f t="shared" si="3"/>
        <v>0.0002153494459</v>
      </c>
      <c r="G294" s="24">
        <f t="shared" si="4"/>
        <v>0</v>
      </c>
      <c r="H294" s="26">
        <f t="shared" si="5"/>
        <v>0</v>
      </c>
      <c r="I294" s="24">
        <f t="shared" si="6"/>
        <v>0</v>
      </c>
      <c r="J294" s="24">
        <f t="shared" si="7"/>
        <v>0</v>
      </c>
      <c r="K294" s="24"/>
      <c r="L294" s="24">
        <f t="shared" si="8"/>
        <v>456.694317</v>
      </c>
      <c r="M294" s="14">
        <f t="shared" si="9"/>
        <v>442.5658481</v>
      </c>
      <c r="N294" s="27">
        <f t="shared" si="10"/>
        <v>14.12846886</v>
      </c>
      <c r="O294" s="24"/>
      <c r="P294" s="24"/>
      <c r="Q294" s="24"/>
      <c r="R294" s="26"/>
      <c r="S294" s="14">
        <f t="shared" si="13"/>
        <v>12.97411829</v>
      </c>
      <c r="U294" s="21"/>
      <c r="V294" s="21"/>
    </row>
    <row r="295">
      <c r="A295" s="11">
        <v>283.0</v>
      </c>
      <c r="B295" s="11">
        <v>1.42062608695652E9</v>
      </c>
      <c r="C295" s="2">
        <v>-102.2405243</v>
      </c>
      <c r="D295" s="24">
        <f t="shared" si="1"/>
        <v>226086.9565</v>
      </c>
      <c r="E295" s="25">
        <f t="shared" si="2"/>
        <v>-48.669695</v>
      </c>
      <c r="F295" s="24">
        <f t="shared" si="3"/>
        <v>0.0002152698048</v>
      </c>
      <c r="G295" s="24">
        <f t="shared" si="4"/>
        <v>0</v>
      </c>
      <c r="H295" s="26">
        <f t="shared" si="5"/>
        <v>0</v>
      </c>
      <c r="I295" s="24">
        <f t="shared" si="6"/>
        <v>0</v>
      </c>
      <c r="J295" s="24">
        <f t="shared" si="7"/>
        <v>0</v>
      </c>
      <c r="K295" s="24"/>
      <c r="L295" s="24">
        <f t="shared" si="8"/>
        <v>453.9977885</v>
      </c>
      <c r="M295" s="14">
        <f t="shared" si="9"/>
        <v>442.4511462</v>
      </c>
      <c r="N295" s="27">
        <f t="shared" si="10"/>
        <v>11.54664231</v>
      </c>
      <c r="O295" s="24"/>
      <c r="P295" s="24"/>
      <c r="Q295" s="24"/>
      <c r="R295" s="26"/>
      <c r="S295" s="14">
        <f t="shared" si="13"/>
        <v>10.60323698</v>
      </c>
      <c r="U295" s="21"/>
      <c r="V295" s="21"/>
    </row>
    <row r="296">
      <c r="A296" s="11">
        <v>284.0</v>
      </c>
      <c r="B296" s="11">
        <v>1.4206304347826E9</v>
      </c>
      <c r="C296" s="2">
        <v>-102.2273254</v>
      </c>
      <c r="D296" s="24">
        <f t="shared" si="1"/>
        <v>230434.7826</v>
      </c>
      <c r="E296" s="25">
        <f t="shared" si="2"/>
        <v>-49.58799113</v>
      </c>
      <c r="F296" s="24">
        <f t="shared" si="3"/>
        <v>0.0002151931691</v>
      </c>
      <c r="G296" s="24">
        <f t="shared" si="4"/>
        <v>0</v>
      </c>
      <c r="H296" s="26">
        <f t="shared" si="5"/>
        <v>0</v>
      </c>
      <c r="I296" s="24">
        <f t="shared" si="6"/>
        <v>0</v>
      </c>
      <c r="J296" s="24">
        <f t="shared" si="7"/>
        <v>0</v>
      </c>
      <c r="K296" s="24"/>
      <c r="L296" s="24">
        <f t="shared" si="8"/>
        <v>455.3796588</v>
      </c>
      <c r="M296" s="14">
        <f t="shared" si="9"/>
        <v>442.3360406</v>
      </c>
      <c r="N296" s="27">
        <f t="shared" si="10"/>
        <v>13.04361817</v>
      </c>
      <c r="O296" s="24"/>
      <c r="P296" s="24"/>
      <c r="Q296" s="24"/>
      <c r="R296" s="26"/>
      <c r="S296" s="14">
        <f t="shared" si="13"/>
        <v>11.97790413</v>
      </c>
      <c r="U296" s="21"/>
      <c r="V296" s="21"/>
    </row>
    <row r="297">
      <c r="A297" s="11">
        <v>285.0</v>
      </c>
      <c r="B297" s="11">
        <v>1.42063478260869E9</v>
      </c>
      <c r="C297" s="2">
        <v>-102.1915283</v>
      </c>
      <c r="D297" s="24">
        <f t="shared" si="1"/>
        <v>234782.6087</v>
      </c>
      <c r="E297" s="25">
        <f t="shared" si="2"/>
        <v>-50.50628727</v>
      </c>
      <c r="F297" s="24">
        <f t="shared" si="3"/>
        <v>0.0002151193717</v>
      </c>
      <c r="G297" s="24">
        <f t="shared" si="4"/>
        <v>0</v>
      </c>
      <c r="H297" s="26">
        <f t="shared" si="5"/>
        <v>0</v>
      </c>
      <c r="I297" s="24">
        <f t="shared" si="6"/>
        <v>0</v>
      </c>
      <c r="J297" s="24">
        <f t="shared" si="7"/>
        <v>0</v>
      </c>
      <c r="K297" s="24"/>
      <c r="L297" s="24">
        <f t="shared" si="8"/>
        <v>459.1486771</v>
      </c>
      <c r="M297" s="14">
        <f t="shared" si="9"/>
        <v>442.2205303</v>
      </c>
      <c r="N297" s="27">
        <f t="shared" si="10"/>
        <v>16.92814681</v>
      </c>
      <c r="O297" s="24"/>
      <c r="P297" s="24"/>
      <c r="Q297" s="24"/>
      <c r="R297" s="26"/>
      <c r="S297" s="14">
        <f t="shared" si="13"/>
        <v>15.54505175</v>
      </c>
      <c r="U297" s="21"/>
      <c r="V297" s="21"/>
    </row>
    <row r="298">
      <c r="A298" s="11">
        <v>286.0</v>
      </c>
      <c r="B298" s="11">
        <v>1.42063913043478E9</v>
      </c>
      <c r="C298" s="2">
        <v>-102.1912155</v>
      </c>
      <c r="D298" s="24">
        <f t="shared" si="1"/>
        <v>239130.4348</v>
      </c>
      <c r="E298" s="25">
        <f t="shared" si="2"/>
        <v>-51.4245834</v>
      </c>
      <c r="F298" s="24">
        <f t="shared" si="3"/>
        <v>0.0002150482579</v>
      </c>
      <c r="G298" s="24">
        <f t="shared" si="4"/>
        <v>0</v>
      </c>
      <c r="H298" s="26">
        <f t="shared" si="5"/>
        <v>0</v>
      </c>
      <c r="I298" s="24">
        <f t="shared" si="6"/>
        <v>0</v>
      </c>
      <c r="J298" s="24">
        <f t="shared" si="7"/>
        <v>0</v>
      </c>
      <c r="K298" s="24"/>
      <c r="L298" s="24">
        <f t="shared" si="8"/>
        <v>459.1817484</v>
      </c>
      <c r="M298" s="14">
        <f t="shared" si="9"/>
        <v>442.1046141</v>
      </c>
      <c r="N298" s="27">
        <f t="shared" si="10"/>
        <v>17.0771343</v>
      </c>
      <c r="O298" s="24"/>
      <c r="P298" s="24"/>
      <c r="Q298" s="24"/>
      <c r="R298" s="26"/>
      <c r="S298" s="14">
        <f t="shared" si="13"/>
        <v>15.68186635</v>
      </c>
      <c r="U298" s="21"/>
      <c r="V298" s="21"/>
    </row>
    <row r="299">
      <c r="A299" s="11">
        <v>287.0</v>
      </c>
      <c r="B299" s="11">
        <v>1.42064347826087E9</v>
      </c>
      <c r="C299" s="2">
        <v>-102.1930618</v>
      </c>
      <c r="D299" s="24">
        <f t="shared" si="1"/>
        <v>243478.2609</v>
      </c>
      <c r="E299" s="25">
        <f t="shared" si="2"/>
        <v>-52.34287953</v>
      </c>
      <c r="F299" s="24">
        <f t="shared" si="3"/>
        <v>0.0002149796838</v>
      </c>
      <c r="G299" s="24">
        <f t="shared" si="4"/>
        <v>0</v>
      </c>
      <c r="H299" s="26">
        <f t="shared" si="5"/>
        <v>0</v>
      </c>
      <c r="I299" s="24">
        <f t="shared" si="6"/>
        <v>0</v>
      </c>
      <c r="J299" s="24">
        <f t="shared" si="7"/>
        <v>0</v>
      </c>
      <c r="K299" s="24"/>
      <c r="L299" s="24">
        <f t="shared" si="8"/>
        <v>458.9865797</v>
      </c>
      <c r="M299" s="14">
        <f t="shared" si="9"/>
        <v>441.988291</v>
      </c>
      <c r="N299" s="27">
        <f t="shared" si="10"/>
        <v>16.99828864</v>
      </c>
      <c r="O299" s="24"/>
      <c r="P299" s="24"/>
      <c r="Q299" s="24"/>
      <c r="R299" s="26"/>
      <c r="S299" s="14">
        <f t="shared" si="13"/>
        <v>15.60946272</v>
      </c>
      <c r="U299" s="21"/>
      <c r="V299" s="21"/>
    </row>
    <row r="300">
      <c r="A300" s="11">
        <v>288.0</v>
      </c>
      <c r="B300" s="11">
        <v>1.42064782608695E9</v>
      </c>
      <c r="C300" s="2">
        <v>-102.2353287</v>
      </c>
      <c r="D300" s="24">
        <f t="shared" si="1"/>
        <v>247826.087</v>
      </c>
      <c r="E300" s="25">
        <f t="shared" si="2"/>
        <v>-53.26117566</v>
      </c>
      <c r="F300" s="24">
        <f t="shared" si="3"/>
        <v>0.0002149135158</v>
      </c>
      <c r="G300" s="24">
        <f t="shared" si="4"/>
        <v>0</v>
      </c>
      <c r="H300" s="26">
        <f t="shared" si="5"/>
        <v>0</v>
      </c>
      <c r="I300" s="24">
        <f t="shared" si="6"/>
        <v>0</v>
      </c>
      <c r="J300" s="24">
        <f t="shared" si="7"/>
        <v>0</v>
      </c>
      <c r="K300" s="24"/>
      <c r="L300" s="24">
        <f t="shared" si="8"/>
        <v>454.5412452</v>
      </c>
      <c r="M300" s="14">
        <f t="shared" si="9"/>
        <v>441.87156</v>
      </c>
      <c r="N300" s="27">
        <f t="shared" si="10"/>
        <v>12.66968526</v>
      </c>
      <c r="O300" s="24"/>
      <c r="P300" s="24"/>
      <c r="Q300" s="24"/>
      <c r="R300" s="26"/>
      <c r="S300" s="14">
        <f t="shared" si="13"/>
        <v>11.63452297</v>
      </c>
      <c r="U300" s="21"/>
      <c r="V300" s="21"/>
    </row>
    <row r="301">
      <c r="A301" s="11">
        <v>289.0</v>
      </c>
      <c r="B301" s="11">
        <v>1.42065217391304E9</v>
      </c>
      <c r="C301" s="2">
        <v>-102.2328873</v>
      </c>
      <c r="D301" s="24">
        <f t="shared" si="1"/>
        <v>252173.913</v>
      </c>
      <c r="E301" s="25">
        <f t="shared" si="2"/>
        <v>-54.1794718</v>
      </c>
      <c r="F301" s="24">
        <f t="shared" si="3"/>
        <v>0.0002148496295</v>
      </c>
      <c r="G301" s="24">
        <f t="shared" si="4"/>
        <v>0</v>
      </c>
      <c r="H301" s="26">
        <f t="shared" si="5"/>
        <v>0</v>
      </c>
      <c r="I301" s="24">
        <f t="shared" si="6"/>
        <v>0</v>
      </c>
      <c r="J301" s="24">
        <f t="shared" si="7"/>
        <v>0</v>
      </c>
      <c r="K301" s="24"/>
      <c r="L301" s="24">
        <f t="shared" si="8"/>
        <v>454.7968388</v>
      </c>
      <c r="M301" s="14">
        <f t="shared" si="9"/>
        <v>441.7544199</v>
      </c>
      <c r="N301" s="27">
        <f t="shared" si="10"/>
        <v>13.042419</v>
      </c>
      <c r="O301" s="24"/>
      <c r="P301" s="24"/>
      <c r="Q301" s="24"/>
      <c r="R301" s="26"/>
      <c r="S301" s="14">
        <f t="shared" si="13"/>
        <v>11.9768029</v>
      </c>
      <c r="U301" s="21"/>
      <c r="V301" s="21"/>
    </row>
    <row r="302">
      <c r="A302" s="11">
        <v>290.0</v>
      </c>
      <c r="B302" s="11">
        <v>1.42065652173913E9</v>
      </c>
      <c r="C302" s="2">
        <v>-102.199234</v>
      </c>
      <c r="D302" s="24">
        <f t="shared" si="1"/>
        <v>256521.7391</v>
      </c>
      <c r="E302" s="25">
        <f t="shared" si="2"/>
        <v>-55.09776793</v>
      </c>
      <c r="F302" s="24">
        <f t="shared" si="3"/>
        <v>0.0002147879089</v>
      </c>
      <c r="G302" s="24">
        <f t="shared" si="4"/>
        <v>0</v>
      </c>
      <c r="H302" s="26">
        <f t="shared" si="5"/>
        <v>0</v>
      </c>
      <c r="I302" s="24">
        <f t="shared" si="6"/>
        <v>0</v>
      </c>
      <c r="J302" s="24">
        <f t="shared" si="7"/>
        <v>0</v>
      </c>
      <c r="K302" s="24"/>
      <c r="L302" s="24">
        <f t="shared" si="8"/>
        <v>458.3347306</v>
      </c>
      <c r="M302" s="14">
        <f t="shared" si="9"/>
        <v>441.6368696</v>
      </c>
      <c r="N302" s="27">
        <f t="shared" si="10"/>
        <v>16.69786096</v>
      </c>
      <c r="O302" s="24"/>
      <c r="P302" s="24"/>
      <c r="Q302" s="24"/>
      <c r="R302" s="26"/>
      <c r="S302" s="14">
        <f t="shared" si="13"/>
        <v>15.33358114</v>
      </c>
      <c r="U302" s="21"/>
      <c r="V302" s="21"/>
    </row>
    <row r="303">
      <c r="A303" s="11">
        <v>291.0</v>
      </c>
      <c r="B303" s="11">
        <v>1.42066086956521E9</v>
      </c>
      <c r="C303" s="2">
        <v>-102.2668228</v>
      </c>
      <c r="D303" s="24">
        <f t="shared" si="1"/>
        <v>260869.5652</v>
      </c>
      <c r="E303" s="25">
        <f t="shared" si="2"/>
        <v>-56.01606406</v>
      </c>
      <c r="F303" s="24">
        <f t="shared" si="3"/>
        <v>0.0002147282456</v>
      </c>
      <c r="G303" s="24">
        <f t="shared" si="4"/>
        <v>0</v>
      </c>
      <c r="H303" s="26">
        <f t="shared" si="5"/>
        <v>0</v>
      </c>
      <c r="I303" s="24">
        <f t="shared" si="6"/>
        <v>0</v>
      </c>
      <c r="J303" s="24">
        <f t="shared" si="7"/>
        <v>0</v>
      </c>
      <c r="K303" s="24"/>
      <c r="L303" s="24">
        <f t="shared" si="8"/>
        <v>451.256933</v>
      </c>
      <c r="M303" s="14">
        <f t="shared" si="9"/>
        <v>441.5189081</v>
      </c>
      <c r="N303" s="27">
        <f t="shared" si="10"/>
        <v>9.738024897</v>
      </c>
      <c r="O303" s="24"/>
      <c r="P303" s="24"/>
      <c r="Q303" s="24"/>
      <c r="R303" s="26"/>
      <c r="S303" s="14">
        <f t="shared" si="13"/>
        <v>8.942390604</v>
      </c>
      <c r="U303" s="21"/>
      <c r="V303" s="21"/>
    </row>
    <row r="304">
      <c r="A304" s="11">
        <v>292.0</v>
      </c>
      <c r="B304" s="11">
        <v>1.4206652173913E9</v>
      </c>
      <c r="C304" s="2">
        <v>-102.2040405</v>
      </c>
      <c r="D304" s="24">
        <f t="shared" si="1"/>
        <v>265217.3913</v>
      </c>
      <c r="E304" s="25">
        <f t="shared" si="2"/>
        <v>-56.93436019</v>
      </c>
      <c r="F304" s="24">
        <f t="shared" si="3"/>
        <v>0.0002146705384</v>
      </c>
      <c r="G304" s="24">
        <f t="shared" si="4"/>
        <v>0</v>
      </c>
      <c r="H304" s="26">
        <f t="shared" si="5"/>
        <v>0</v>
      </c>
      <c r="I304" s="24">
        <f t="shared" si="6"/>
        <v>0</v>
      </c>
      <c r="J304" s="24">
        <f t="shared" si="7"/>
        <v>0</v>
      </c>
      <c r="K304" s="24"/>
      <c r="L304" s="24">
        <f t="shared" si="8"/>
        <v>457.8277549</v>
      </c>
      <c r="M304" s="14">
        <f t="shared" si="9"/>
        <v>441.4005344</v>
      </c>
      <c r="N304" s="27">
        <f t="shared" si="10"/>
        <v>16.42722053</v>
      </c>
      <c r="O304" s="24"/>
      <c r="P304" s="24"/>
      <c r="Q304" s="24"/>
      <c r="R304" s="26"/>
      <c r="S304" s="14">
        <f t="shared" si="13"/>
        <v>15.08505305</v>
      </c>
      <c r="U304" s="21"/>
      <c r="V304" s="21"/>
    </row>
    <row r="305">
      <c r="A305" s="11">
        <v>293.0</v>
      </c>
      <c r="B305" s="11">
        <v>1.42066956521739E9</v>
      </c>
      <c r="C305" s="2">
        <v>-102.2209854</v>
      </c>
      <c r="D305" s="24">
        <f t="shared" si="1"/>
        <v>269565.2174</v>
      </c>
      <c r="E305" s="25">
        <f t="shared" si="2"/>
        <v>-57.85265632</v>
      </c>
      <c r="F305" s="24">
        <f t="shared" si="3"/>
        <v>0.0002146146928</v>
      </c>
      <c r="G305" s="24">
        <f t="shared" si="4"/>
        <v>0</v>
      </c>
      <c r="H305" s="26">
        <f t="shared" si="5"/>
        <v>0</v>
      </c>
      <c r="I305" s="24">
        <f t="shared" si="6"/>
        <v>0</v>
      </c>
      <c r="J305" s="24">
        <f t="shared" si="7"/>
        <v>0</v>
      </c>
      <c r="K305" s="24"/>
      <c r="L305" s="24">
        <f t="shared" si="8"/>
        <v>456.0449253</v>
      </c>
      <c r="M305" s="14">
        <f t="shared" si="9"/>
        <v>441.2817473</v>
      </c>
      <c r="N305" s="27">
        <f t="shared" si="10"/>
        <v>14.76317799</v>
      </c>
      <c r="O305" s="24"/>
      <c r="P305" s="24"/>
      <c r="Q305" s="24"/>
      <c r="R305" s="26"/>
      <c r="S305" s="14">
        <f t="shared" si="13"/>
        <v>13.55696926</v>
      </c>
      <c r="U305" s="21"/>
      <c r="V305" s="21"/>
    </row>
    <row r="306">
      <c r="A306" s="11">
        <v>294.0</v>
      </c>
      <c r="B306" s="11">
        <v>1.42067391304347E9</v>
      </c>
      <c r="C306" s="2">
        <v>-102.1962585</v>
      </c>
      <c r="D306" s="24">
        <f t="shared" si="1"/>
        <v>273913.0435</v>
      </c>
      <c r="E306" s="25">
        <f t="shared" si="2"/>
        <v>-58.77095246</v>
      </c>
      <c r="F306" s="24">
        <f t="shared" si="3"/>
        <v>0.0002145606201</v>
      </c>
      <c r="G306" s="24">
        <f t="shared" si="4"/>
        <v>0</v>
      </c>
      <c r="H306" s="26">
        <f t="shared" si="5"/>
        <v>0</v>
      </c>
      <c r="I306" s="24">
        <f t="shared" si="6"/>
        <v>0</v>
      </c>
      <c r="J306" s="24">
        <f t="shared" si="7"/>
        <v>0</v>
      </c>
      <c r="K306" s="24"/>
      <c r="L306" s="24">
        <f t="shared" si="8"/>
        <v>458.6488589</v>
      </c>
      <c r="M306" s="14">
        <f t="shared" si="9"/>
        <v>441.1625457</v>
      </c>
      <c r="N306" s="27">
        <f t="shared" si="10"/>
        <v>17.48631322</v>
      </c>
      <c r="O306" s="24"/>
      <c r="P306" s="24"/>
      <c r="Q306" s="24"/>
      <c r="R306" s="26"/>
      <c r="S306" s="14">
        <f t="shared" si="13"/>
        <v>16.05761381</v>
      </c>
      <c r="U306" s="21"/>
      <c r="V306" s="21"/>
    </row>
    <row r="307">
      <c r="A307" s="11">
        <v>295.0</v>
      </c>
      <c r="B307" s="11">
        <v>1.42067826086956E9</v>
      </c>
      <c r="C307" s="2">
        <v>-102.1608582</v>
      </c>
      <c r="D307" s="24">
        <f t="shared" si="1"/>
        <v>278260.8696</v>
      </c>
      <c r="E307" s="25">
        <f t="shared" si="2"/>
        <v>-59.68924859</v>
      </c>
      <c r="F307" s="24">
        <f t="shared" si="3"/>
        <v>0.0002145082371</v>
      </c>
      <c r="G307" s="24">
        <f t="shared" si="4"/>
        <v>0</v>
      </c>
      <c r="H307" s="26">
        <f t="shared" si="5"/>
        <v>0</v>
      </c>
      <c r="I307" s="24">
        <f t="shared" si="6"/>
        <v>0</v>
      </c>
      <c r="J307" s="24">
        <f t="shared" si="7"/>
        <v>0</v>
      </c>
      <c r="K307" s="24"/>
      <c r="L307" s="24">
        <f t="shared" si="8"/>
        <v>462.4026852</v>
      </c>
      <c r="M307" s="14">
        <f t="shared" si="9"/>
        <v>441.0429287</v>
      </c>
      <c r="N307" s="27">
        <f t="shared" si="10"/>
        <v>21.35975651</v>
      </c>
      <c r="O307" s="24"/>
      <c r="P307" s="24"/>
      <c r="Q307" s="24"/>
      <c r="R307" s="26"/>
      <c r="S307" s="14">
        <f t="shared" si="13"/>
        <v>19.61458176</v>
      </c>
      <c r="U307" s="21"/>
      <c r="V307" s="21"/>
    </row>
    <row r="308">
      <c r="A308" s="11">
        <v>296.0</v>
      </c>
      <c r="B308" s="11">
        <v>1.42068260869565E9</v>
      </c>
      <c r="C308" s="2">
        <v>-102.1920013</v>
      </c>
      <c r="D308" s="24">
        <f t="shared" si="1"/>
        <v>282608.6957</v>
      </c>
      <c r="E308" s="25">
        <f t="shared" si="2"/>
        <v>-60.60754472</v>
      </c>
      <c r="F308" s="24">
        <f t="shared" si="3"/>
        <v>0.0002144574659</v>
      </c>
      <c r="G308" s="24">
        <f t="shared" si="4"/>
        <v>0</v>
      </c>
      <c r="H308" s="26">
        <f t="shared" si="5"/>
        <v>0</v>
      </c>
      <c r="I308" s="24">
        <f t="shared" si="6"/>
        <v>0</v>
      </c>
      <c r="J308" s="24">
        <f t="shared" si="7"/>
        <v>0</v>
      </c>
      <c r="K308" s="24"/>
      <c r="L308" s="24">
        <f t="shared" si="8"/>
        <v>459.0986729</v>
      </c>
      <c r="M308" s="14">
        <f t="shared" si="9"/>
        <v>440.922895</v>
      </c>
      <c r="N308" s="27">
        <f t="shared" si="10"/>
        <v>18.17577788</v>
      </c>
      <c r="O308" s="24"/>
      <c r="P308" s="24"/>
      <c r="Q308" s="24"/>
      <c r="R308" s="26"/>
      <c r="S308" s="14">
        <f t="shared" si="13"/>
        <v>16.69074653</v>
      </c>
      <c r="U308" s="21"/>
      <c r="V308" s="21"/>
    </row>
    <row r="309">
      <c r="A309" s="11">
        <v>297.0</v>
      </c>
      <c r="B309" s="11">
        <v>1.42068695652173E9</v>
      </c>
      <c r="C309" s="2">
        <v>-102.1616669</v>
      </c>
      <c r="D309" s="24">
        <f t="shared" si="1"/>
        <v>286956.5217</v>
      </c>
      <c r="E309" s="25">
        <f t="shared" si="2"/>
        <v>-61.52584085</v>
      </c>
      <c r="F309" s="24">
        <f t="shared" si="3"/>
        <v>0.0002144082333</v>
      </c>
      <c r="G309" s="24">
        <f t="shared" si="4"/>
        <v>0</v>
      </c>
      <c r="H309" s="26">
        <f t="shared" si="5"/>
        <v>0</v>
      </c>
      <c r="I309" s="24">
        <f t="shared" si="6"/>
        <v>0</v>
      </c>
      <c r="J309" s="24">
        <f t="shared" si="7"/>
        <v>0</v>
      </c>
      <c r="K309" s="24"/>
      <c r="L309" s="24">
        <f t="shared" si="8"/>
        <v>462.3165892</v>
      </c>
      <c r="M309" s="14">
        <f t="shared" si="9"/>
        <v>440.8024437</v>
      </c>
      <c r="N309" s="27">
        <f t="shared" si="10"/>
        <v>21.51414543</v>
      </c>
      <c r="O309" s="24"/>
      <c r="P309" s="24"/>
      <c r="Q309" s="24"/>
      <c r="R309" s="26"/>
      <c r="S309" s="14">
        <f t="shared" si="13"/>
        <v>19.75635655</v>
      </c>
      <c r="U309" s="21"/>
      <c r="V309" s="21"/>
    </row>
    <row r="310">
      <c r="A310" s="11">
        <v>298.0</v>
      </c>
      <c r="B310" s="11">
        <v>1.42069130434782E9</v>
      </c>
      <c r="C310" s="2">
        <v>-102.1676788</v>
      </c>
      <c r="D310" s="24">
        <f t="shared" si="1"/>
        <v>291304.3478</v>
      </c>
      <c r="E310" s="25">
        <f t="shared" si="2"/>
        <v>-62.44413698</v>
      </c>
      <c r="F310" s="24">
        <f t="shared" si="3"/>
        <v>0.0002143604703</v>
      </c>
      <c r="G310" s="24">
        <f t="shared" si="4"/>
        <v>0</v>
      </c>
      <c r="H310" s="26">
        <f t="shared" si="5"/>
        <v>0</v>
      </c>
      <c r="I310" s="24">
        <f t="shared" si="6"/>
        <v>0</v>
      </c>
      <c r="J310" s="24">
        <f t="shared" si="7"/>
        <v>0</v>
      </c>
      <c r="K310" s="24"/>
      <c r="L310" s="24">
        <f t="shared" si="8"/>
        <v>461.6770512</v>
      </c>
      <c r="M310" s="14">
        <f t="shared" si="9"/>
        <v>440.6815737</v>
      </c>
      <c r="N310" s="27">
        <f t="shared" si="10"/>
        <v>20.99547746</v>
      </c>
      <c r="O310" s="24"/>
      <c r="P310" s="24"/>
      <c r="Q310" s="24"/>
      <c r="R310" s="26"/>
      <c r="S310" s="14">
        <f t="shared" si="13"/>
        <v>19.28006576</v>
      </c>
      <c r="U310" s="21"/>
      <c r="V310" s="21"/>
    </row>
    <row r="311">
      <c r="A311" s="11">
        <v>299.0</v>
      </c>
      <c r="B311" s="11">
        <v>1.42069565217391E9</v>
      </c>
      <c r="C311" s="2">
        <v>-102.0946808</v>
      </c>
      <c r="D311" s="24">
        <f t="shared" si="1"/>
        <v>295652.1739</v>
      </c>
      <c r="E311" s="25">
        <f t="shared" si="2"/>
        <v>-63.36243312</v>
      </c>
      <c r="F311" s="24">
        <f t="shared" si="3"/>
        <v>0.000214314112</v>
      </c>
      <c r="G311" s="24">
        <f t="shared" si="4"/>
        <v>0</v>
      </c>
      <c r="H311" s="26">
        <f t="shared" si="5"/>
        <v>0</v>
      </c>
      <c r="I311" s="24">
        <f t="shared" si="6"/>
        <v>0</v>
      </c>
      <c r="J311" s="24">
        <f t="shared" si="7"/>
        <v>0</v>
      </c>
      <c r="K311" s="24"/>
      <c r="L311" s="24">
        <f t="shared" si="8"/>
        <v>469.5026927</v>
      </c>
      <c r="M311" s="14">
        <f t="shared" si="9"/>
        <v>440.5602839</v>
      </c>
      <c r="N311" s="27">
        <f t="shared" si="10"/>
        <v>28.94240882</v>
      </c>
      <c r="O311" s="24"/>
      <c r="P311" s="24"/>
      <c r="Q311" s="24"/>
      <c r="R311" s="26"/>
      <c r="S311" s="14">
        <f t="shared" si="13"/>
        <v>26.57770204</v>
      </c>
      <c r="U311" s="21"/>
      <c r="V311" s="21"/>
    </row>
    <row r="312">
      <c r="A312" s="11">
        <v>300.0</v>
      </c>
      <c r="B312" s="11">
        <v>1.4207E9</v>
      </c>
      <c r="C312" s="2">
        <v>-102.1207428</v>
      </c>
      <c r="D312" s="24">
        <f t="shared" si="1"/>
        <v>300000</v>
      </c>
      <c r="E312" s="25">
        <f t="shared" si="2"/>
        <v>-64.28072925</v>
      </c>
      <c r="F312" s="24">
        <f t="shared" si="3"/>
        <v>0.0002142690975</v>
      </c>
      <c r="G312" s="24">
        <f t="shared" si="4"/>
        <v>0</v>
      </c>
      <c r="H312" s="26">
        <f t="shared" si="5"/>
        <v>0</v>
      </c>
      <c r="I312" s="24">
        <f t="shared" si="6"/>
        <v>0</v>
      </c>
      <c r="J312" s="24">
        <f t="shared" si="7"/>
        <v>0</v>
      </c>
      <c r="K312" s="24"/>
      <c r="L312" s="24">
        <f t="shared" si="8"/>
        <v>466.6936453</v>
      </c>
      <c r="M312" s="14">
        <f t="shared" si="9"/>
        <v>440.4385731</v>
      </c>
      <c r="N312" s="27">
        <f t="shared" si="10"/>
        <v>26.25507214</v>
      </c>
      <c r="O312" s="24"/>
      <c r="P312" s="24"/>
      <c r="Q312" s="24"/>
      <c r="R312" s="26"/>
      <c r="S312" s="14">
        <f t="shared" si="13"/>
        <v>24.10993121</v>
      </c>
      <c r="U312" s="21"/>
      <c r="V312" s="21"/>
    </row>
    <row r="313">
      <c r="A313" s="11">
        <v>301.0</v>
      </c>
      <c r="B313" s="11">
        <v>1.42070434782608E9</v>
      </c>
      <c r="C313" s="2">
        <v>-102.2201843</v>
      </c>
      <c r="D313" s="24">
        <f t="shared" si="1"/>
        <v>304347.8261</v>
      </c>
      <c r="E313" s="25">
        <f t="shared" si="2"/>
        <v>-65.19902538</v>
      </c>
      <c r="F313" s="24">
        <f t="shared" si="3"/>
        <v>0.0002142253691</v>
      </c>
      <c r="G313" s="24">
        <f t="shared" si="4"/>
        <v>0</v>
      </c>
      <c r="H313" s="26">
        <f t="shared" si="5"/>
        <v>0</v>
      </c>
      <c r="I313" s="24">
        <f t="shared" si="6"/>
        <v>0</v>
      </c>
      <c r="J313" s="24">
        <f t="shared" si="7"/>
        <v>0</v>
      </c>
      <c r="K313" s="24"/>
      <c r="L313" s="24">
        <f t="shared" si="8"/>
        <v>456.1290551</v>
      </c>
      <c r="M313" s="14">
        <f t="shared" si="9"/>
        <v>440.3164405</v>
      </c>
      <c r="N313" s="27">
        <f t="shared" si="10"/>
        <v>15.81261464</v>
      </c>
      <c r="O313" s="24"/>
      <c r="P313" s="24"/>
      <c r="Q313" s="24"/>
      <c r="R313" s="26"/>
      <c r="S313" s="14">
        <f t="shared" si="13"/>
        <v>14.52066287</v>
      </c>
      <c r="U313" s="21"/>
      <c r="V313" s="21"/>
    </row>
    <row r="314">
      <c r="A314" s="11">
        <v>302.0</v>
      </c>
      <c r="B314" s="11">
        <v>1.42070869565217E9</v>
      </c>
      <c r="C314" s="2">
        <v>-102.169426</v>
      </c>
      <c r="D314" s="24">
        <f t="shared" si="1"/>
        <v>308695.6522</v>
      </c>
      <c r="E314" s="25">
        <f t="shared" si="2"/>
        <v>-66.11732151</v>
      </c>
      <c r="F314" s="24">
        <f t="shared" si="3"/>
        <v>0.0002141828725</v>
      </c>
      <c r="G314" s="24">
        <f t="shared" si="4"/>
        <v>0</v>
      </c>
      <c r="H314" s="26">
        <f t="shared" si="5"/>
        <v>0</v>
      </c>
      <c r="I314" s="24">
        <f t="shared" si="6"/>
        <v>0</v>
      </c>
      <c r="J314" s="24">
        <f t="shared" si="7"/>
        <v>0</v>
      </c>
      <c r="K314" s="24"/>
      <c r="L314" s="24">
        <f t="shared" si="8"/>
        <v>461.4913523</v>
      </c>
      <c r="M314" s="14">
        <f t="shared" si="9"/>
        <v>440.1938847</v>
      </c>
      <c r="N314" s="27">
        <f t="shared" si="10"/>
        <v>21.29746756</v>
      </c>
      <c r="O314" s="24"/>
      <c r="P314" s="24"/>
      <c r="Q314" s="24"/>
      <c r="R314" s="26"/>
      <c r="S314" s="14">
        <f t="shared" si="13"/>
        <v>19.55738206</v>
      </c>
      <c r="U314" s="21"/>
      <c r="V314" s="21"/>
    </row>
    <row r="315">
      <c r="A315" s="11">
        <v>303.0</v>
      </c>
      <c r="B315" s="11">
        <v>1.42071304347826E9</v>
      </c>
      <c r="C315" s="2">
        <v>-102.1144485</v>
      </c>
      <c r="D315" s="24">
        <f t="shared" si="1"/>
        <v>313043.4783</v>
      </c>
      <c r="E315" s="25">
        <f t="shared" si="2"/>
        <v>-67.03561764</v>
      </c>
      <c r="F315" s="24">
        <f t="shared" si="3"/>
        <v>0.0002141415564</v>
      </c>
      <c r="G315" s="24">
        <f t="shared" si="4"/>
        <v>0</v>
      </c>
      <c r="H315" s="26">
        <f t="shared" si="5"/>
        <v>0</v>
      </c>
      <c r="I315" s="24">
        <f t="shared" si="6"/>
        <v>0</v>
      </c>
      <c r="J315" s="24">
        <f t="shared" si="7"/>
        <v>0</v>
      </c>
      <c r="K315" s="24"/>
      <c r="L315" s="24">
        <f t="shared" si="8"/>
        <v>467.3705223</v>
      </c>
      <c r="M315" s="14">
        <f t="shared" si="9"/>
        <v>440.0709049</v>
      </c>
      <c r="N315" s="27">
        <f t="shared" si="10"/>
        <v>27.29961739</v>
      </c>
      <c r="O315" s="24"/>
      <c r="P315" s="24"/>
      <c r="Q315" s="24"/>
      <c r="R315" s="26"/>
      <c r="S315" s="14">
        <f t="shared" si="13"/>
        <v>25.06913307</v>
      </c>
      <c r="U315" s="21"/>
      <c r="V315" s="21"/>
    </row>
    <row r="316">
      <c r="A316" s="11">
        <v>304.0</v>
      </c>
      <c r="B316" s="11">
        <v>1.42071739130434E9</v>
      </c>
      <c r="C316" s="2">
        <v>-102.154541</v>
      </c>
      <c r="D316" s="24">
        <f t="shared" si="1"/>
        <v>317391.3043</v>
      </c>
      <c r="E316" s="25">
        <f t="shared" si="2"/>
        <v>-67.95391378</v>
      </c>
      <c r="F316" s="24">
        <f t="shared" si="3"/>
        <v>0.0002141013722</v>
      </c>
      <c r="G316" s="24">
        <f t="shared" si="4"/>
        <v>0</v>
      </c>
      <c r="H316" s="26">
        <f t="shared" si="5"/>
        <v>0</v>
      </c>
      <c r="I316" s="24">
        <f t="shared" si="6"/>
        <v>0</v>
      </c>
      <c r="J316" s="24">
        <f t="shared" si="7"/>
        <v>0</v>
      </c>
      <c r="K316" s="24"/>
      <c r="L316" s="24">
        <f t="shared" si="8"/>
        <v>463.0757805</v>
      </c>
      <c r="M316" s="14">
        <f t="shared" si="9"/>
        <v>439.9474999</v>
      </c>
      <c r="N316" s="27">
        <f t="shared" si="10"/>
        <v>23.12828058</v>
      </c>
      <c r="O316" s="24"/>
      <c r="P316" s="24"/>
      <c r="Q316" s="24"/>
      <c r="R316" s="26"/>
      <c r="S316" s="14">
        <f t="shared" si="13"/>
        <v>21.23861062</v>
      </c>
      <c r="U316" s="21"/>
      <c r="V316" s="21"/>
    </row>
    <row r="317">
      <c r="A317" s="11">
        <v>305.0</v>
      </c>
      <c r="B317" s="11">
        <v>1.42072173913043E9</v>
      </c>
      <c r="C317" s="2">
        <v>-102.1999435</v>
      </c>
      <c r="D317" s="24">
        <f t="shared" si="1"/>
        <v>321739.1304</v>
      </c>
      <c r="E317" s="25">
        <f t="shared" si="2"/>
        <v>-68.87220991</v>
      </c>
      <c r="F317" s="24">
        <f t="shared" si="3"/>
        <v>0.000214062274</v>
      </c>
      <c r="G317" s="24">
        <f t="shared" si="4"/>
        <v>0</v>
      </c>
      <c r="H317" s="26">
        <f t="shared" si="5"/>
        <v>0</v>
      </c>
      <c r="I317" s="24">
        <f t="shared" si="6"/>
        <v>0</v>
      </c>
      <c r="J317" s="24">
        <f t="shared" si="7"/>
        <v>0</v>
      </c>
      <c r="K317" s="24"/>
      <c r="L317" s="24">
        <f t="shared" si="8"/>
        <v>458.2598592</v>
      </c>
      <c r="M317" s="14">
        <f t="shared" si="9"/>
        <v>439.8236686</v>
      </c>
      <c r="N317" s="27">
        <f t="shared" si="10"/>
        <v>18.43619061</v>
      </c>
      <c r="O317" s="24"/>
      <c r="P317" s="24"/>
      <c r="Q317" s="24"/>
      <c r="R317" s="26"/>
      <c r="S317" s="14">
        <f t="shared" si="13"/>
        <v>16.9298825</v>
      </c>
      <c r="U317" s="21"/>
      <c r="V317" s="21"/>
    </row>
    <row r="318">
      <c r="A318" s="11">
        <v>306.0</v>
      </c>
      <c r="B318" s="11">
        <v>1.42072608695652E9</v>
      </c>
      <c r="C318" s="2">
        <v>-102.1341705</v>
      </c>
      <c r="D318" s="24">
        <f t="shared" si="1"/>
        <v>326086.9565</v>
      </c>
      <c r="E318" s="25">
        <f t="shared" si="2"/>
        <v>-69.79050604</v>
      </c>
      <c r="F318" s="24">
        <f t="shared" si="3"/>
        <v>0.0002140242185</v>
      </c>
      <c r="G318" s="24">
        <f t="shared" si="4"/>
        <v>0</v>
      </c>
      <c r="H318" s="26">
        <f t="shared" si="5"/>
        <v>0</v>
      </c>
      <c r="I318" s="24">
        <f t="shared" si="6"/>
        <v>0</v>
      </c>
      <c r="J318" s="24">
        <f t="shared" si="7"/>
        <v>0</v>
      </c>
      <c r="K318" s="24"/>
      <c r="L318" s="24">
        <f t="shared" si="8"/>
        <v>465.2529306</v>
      </c>
      <c r="M318" s="14">
        <f t="shared" si="9"/>
        <v>439.69941</v>
      </c>
      <c r="N318" s="27">
        <f t="shared" si="10"/>
        <v>25.55352055</v>
      </c>
      <c r="O318" s="24"/>
      <c r="P318" s="24"/>
      <c r="Q318" s="24"/>
      <c r="R318" s="26"/>
      <c r="S318" s="14">
        <f t="shared" si="13"/>
        <v>23.4656991</v>
      </c>
      <c r="U318" s="21"/>
      <c r="V318" s="21"/>
    </row>
    <row r="319">
      <c r="A319" s="11">
        <v>307.0</v>
      </c>
      <c r="B319" s="11">
        <v>1.4207304347826E9</v>
      </c>
      <c r="C319" s="2">
        <v>-102.1615295</v>
      </c>
      <c r="D319" s="24">
        <f t="shared" si="1"/>
        <v>330434.7826</v>
      </c>
      <c r="E319" s="25">
        <f t="shared" si="2"/>
        <v>-70.70880217</v>
      </c>
      <c r="F319" s="24">
        <f t="shared" si="3"/>
        <v>0.0002139871645</v>
      </c>
      <c r="G319" s="24">
        <f t="shared" si="4"/>
        <v>0</v>
      </c>
      <c r="H319" s="26">
        <f t="shared" si="5"/>
        <v>0</v>
      </c>
      <c r="I319" s="24">
        <f t="shared" si="6"/>
        <v>0</v>
      </c>
      <c r="J319" s="24">
        <f t="shared" si="7"/>
        <v>0</v>
      </c>
      <c r="K319" s="24"/>
      <c r="L319" s="24">
        <f t="shared" si="8"/>
        <v>462.331216</v>
      </c>
      <c r="M319" s="14">
        <f t="shared" si="9"/>
        <v>439.574723</v>
      </c>
      <c r="N319" s="27">
        <f t="shared" si="10"/>
        <v>22.75649294</v>
      </c>
      <c r="O319" s="24"/>
      <c r="P319" s="24"/>
      <c r="Q319" s="24"/>
      <c r="R319" s="26"/>
      <c r="S319" s="14">
        <f t="shared" si="13"/>
        <v>20.89719947</v>
      </c>
      <c r="U319" s="21"/>
      <c r="V319" s="21"/>
    </row>
    <row r="320">
      <c r="A320" s="11">
        <v>308.0</v>
      </c>
      <c r="B320" s="11">
        <v>1.42073478260869E9</v>
      </c>
      <c r="C320" s="2">
        <v>-102.1968079</v>
      </c>
      <c r="D320" s="24">
        <f t="shared" si="1"/>
        <v>334782.6087</v>
      </c>
      <c r="E320" s="25">
        <f t="shared" si="2"/>
        <v>-71.62709831</v>
      </c>
      <c r="F320" s="24">
        <f t="shared" si="3"/>
        <v>0.0002139510729</v>
      </c>
      <c r="G320" s="24">
        <f t="shared" si="4"/>
        <v>0</v>
      </c>
      <c r="H320" s="26">
        <f t="shared" si="5"/>
        <v>0</v>
      </c>
      <c r="I320" s="24">
        <f t="shared" si="6"/>
        <v>0</v>
      </c>
      <c r="J320" s="24">
        <f t="shared" si="7"/>
        <v>0</v>
      </c>
      <c r="K320" s="24"/>
      <c r="L320" s="24">
        <f t="shared" si="8"/>
        <v>458.5908417</v>
      </c>
      <c r="M320" s="14">
        <f t="shared" si="9"/>
        <v>439.4496065</v>
      </c>
      <c r="N320" s="27">
        <f t="shared" si="10"/>
        <v>19.14123518</v>
      </c>
      <c r="O320" s="24"/>
      <c r="P320" s="24"/>
      <c r="Q320" s="24"/>
      <c r="R320" s="26"/>
      <c r="S320" s="14">
        <f t="shared" si="13"/>
        <v>17.57732225</v>
      </c>
      <c r="U320" s="21"/>
      <c r="V320" s="21"/>
    </row>
    <row r="321">
      <c r="A321" s="11">
        <v>309.0</v>
      </c>
      <c r="B321" s="11">
        <v>1.42073913043478E9</v>
      </c>
      <c r="C321" s="2">
        <v>-102.1185608</v>
      </c>
      <c r="D321" s="24">
        <f t="shared" si="1"/>
        <v>339130.4348</v>
      </c>
      <c r="E321" s="25">
        <f t="shared" si="2"/>
        <v>-72.54539444</v>
      </c>
      <c r="F321" s="24">
        <f t="shared" si="3"/>
        <v>0.0002139159067</v>
      </c>
      <c r="G321" s="24">
        <f t="shared" si="4"/>
        <v>0</v>
      </c>
      <c r="H321" s="26">
        <f t="shared" si="5"/>
        <v>0</v>
      </c>
      <c r="I321" s="24">
        <f t="shared" si="6"/>
        <v>0</v>
      </c>
      <c r="J321" s="24">
        <f t="shared" si="7"/>
        <v>0</v>
      </c>
      <c r="K321" s="24"/>
      <c r="L321" s="24">
        <f t="shared" si="8"/>
        <v>466.9281823</v>
      </c>
      <c r="M321" s="14">
        <f t="shared" si="9"/>
        <v>439.3240594</v>
      </c>
      <c r="N321" s="27">
        <f t="shared" si="10"/>
        <v>27.60412289</v>
      </c>
      <c r="O321" s="24"/>
      <c r="P321" s="24"/>
      <c r="Q321" s="24"/>
      <c r="R321" s="26"/>
      <c r="S321" s="14">
        <f t="shared" si="13"/>
        <v>25.34875924</v>
      </c>
      <c r="U321" s="21"/>
      <c r="V321" s="21"/>
    </row>
    <row r="322">
      <c r="A322" s="11">
        <v>310.0</v>
      </c>
      <c r="B322" s="11">
        <v>1.42074347826087E9</v>
      </c>
      <c r="C322" s="2">
        <v>-102.1800156</v>
      </c>
      <c r="D322" s="24">
        <f t="shared" si="1"/>
        <v>343478.2609</v>
      </c>
      <c r="E322" s="25">
        <f t="shared" si="2"/>
        <v>-73.46369057</v>
      </c>
      <c r="F322" s="24">
        <f t="shared" si="3"/>
        <v>0.0002138816308</v>
      </c>
      <c r="G322" s="24">
        <f t="shared" si="4"/>
        <v>0</v>
      </c>
      <c r="H322" s="26">
        <f t="shared" si="5"/>
        <v>0</v>
      </c>
      <c r="I322" s="24">
        <f t="shared" si="6"/>
        <v>0</v>
      </c>
      <c r="J322" s="24">
        <f t="shared" si="7"/>
        <v>0</v>
      </c>
      <c r="K322" s="24"/>
      <c r="L322" s="24">
        <f t="shared" si="8"/>
        <v>460.3674477</v>
      </c>
      <c r="M322" s="14">
        <f t="shared" si="9"/>
        <v>439.1980807</v>
      </c>
      <c r="N322" s="27">
        <f t="shared" si="10"/>
        <v>21.169367</v>
      </c>
      <c r="O322" s="24"/>
      <c r="P322" s="24"/>
      <c r="Q322" s="24"/>
      <c r="R322" s="26"/>
      <c r="S322" s="14">
        <f t="shared" si="13"/>
        <v>19.43974785</v>
      </c>
      <c r="U322" s="21"/>
      <c r="V322" s="21"/>
    </row>
    <row r="323">
      <c r="A323" s="11">
        <v>311.0</v>
      </c>
      <c r="B323" s="11">
        <v>1.42074782608695E9</v>
      </c>
      <c r="C323" s="2">
        <v>-102.2457123</v>
      </c>
      <c r="D323" s="24">
        <f t="shared" si="1"/>
        <v>347826.087</v>
      </c>
      <c r="E323" s="25">
        <f t="shared" si="2"/>
        <v>-74.3819867</v>
      </c>
      <c r="F323" s="24">
        <f t="shared" si="3"/>
        <v>0.0002138482118</v>
      </c>
      <c r="G323" s="24">
        <f t="shared" si="4"/>
        <v>0</v>
      </c>
      <c r="H323" s="26">
        <f t="shared" si="5"/>
        <v>0</v>
      </c>
      <c r="I323" s="24">
        <f t="shared" si="6"/>
        <v>0</v>
      </c>
      <c r="J323" s="24">
        <f t="shared" si="7"/>
        <v>0</v>
      </c>
      <c r="K323" s="24"/>
      <c r="L323" s="24">
        <f t="shared" si="8"/>
        <v>453.4557751</v>
      </c>
      <c r="M323" s="14">
        <f t="shared" si="9"/>
        <v>439.0716693</v>
      </c>
      <c r="N323" s="27">
        <f t="shared" si="10"/>
        <v>14.38410582</v>
      </c>
      <c r="O323" s="24"/>
      <c r="P323" s="24"/>
      <c r="Q323" s="24"/>
      <c r="R323" s="26"/>
      <c r="S323" s="14">
        <f t="shared" si="13"/>
        <v>13.20886875</v>
      </c>
      <c r="U323" s="21"/>
      <c r="V323" s="21"/>
    </row>
    <row r="324">
      <c r="A324" s="11">
        <v>312.0</v>
      </c>
      <c r="B324" s="11">
        <v>1.42075217391304E9</v>
      </c>
      <c r="C324" s="2">
        <v>-102.249527</v>
      </c>
      <c r="D324" s="24">
        <f t="shared" si="1"/>
        <v>352173.913</v>
      </c>
      <c r="E324" s="25">
        <f t="shared" si="2"/>
        <v>-75.30028284</v>
      </c>
      <c r="F324" s="24">
        <f t="shared" si="3"/>
        <v>0.0002138156179</v>
      </c>
      <c r="G324" s="24">
        <f t="shared" si="4"/>
        <v>0</v>
      </c>
      <c r="H324" s="26">
        <f t="shared" si="5"/>
        <v>0</v>
      </c>
      <c r="I324" s="24">
        <f t="shared" si="6"/>
        <v>0</v>
      </c>
      <c r="J324" s="24">
        <f t="shared" si="7"/>
        <v>0</v>
      </c>
      <c r="K324" s="24"/>
      <c r="L324" s="24">
        <f t="shared" si="8"/>
        <v>453.0576494</v>
      </c>
      <c r="M324" s="14">
        <f t="shared" si="9"/>
        <v>438.9448241</v>
      </c>
      <c r="N324" s="27">
        <f t="shared" si="10"/>
        <v>14.11282525</v>
      </c>
      <c r="O324" s="24"/>
      <c r="P324" s="24"/>
      <c r="Q324" s="24"/>
      <c r="R324" s="26"/>
      <c r="S324" s="14">
        <f t="shared" si="13"/>
        <v>12.95975282</v>
      </c>
      <c r="U324" s="21"/>
      <c r="V324" s="21"/>
    </row>
    <row r="325">
      <c r="A325" s="11">
        <v>313.0</v>
      </c>
      <c r="B325" s="11">
        <v>1.42075652173913E9</v>
      </c>
      <c r="C325" s="2">
        <v>-102.2042618</v>
      </c>
      <c r="D325" s="24">
        <f t="shared" si="1"/>
        <v>356521.7391</v>
      </c>
      <c r="E325" s="25">
        <f t="shared" si="2"/>
        <v>-76.21857897</v>
      </c>
      <c r="F325" s="24">
        <f t="shared" si="3"/>
        <v>0.0002137838191</v>
      </c>
      <c r="G325" s="24">
        <f t="shared" si="4"/>
        <v>0</v>
      </c>
      <c r="H325" s="26">
        <f t="shared" si="5"/>
        <v>0</v>
      </c>
      <c r="I325" s="24">
        <f t="shared" si="6"/>
        <v>0</v>
      </c>
      <c r="J325" s="24">
        <f t="shared" si="7"/>
        <v>0</v>
      </c>
      <c r="K325" s="24"/>
      <c r="L325" s="24">
        <f t="shared" si="8"/>
        <v>457.8044263</v>
      </c>
      <c r="M325" s="14">
        <f t="shared" si="9"/>
        <v>438.8175441</v>
      </c>
      <c r="N325" s="27">
        <f t="shared" si="10"/>
        <v>18.98688226</v>
      </c>
      <c r="O325" s="24"/>
      <c r="P325" s="24"/>
      <c r="Q325" s="24"/>
      <c r="R325" s="26"/>
      <c r="S325" s="14">
        <f t="shared" si="13"/>
        <v>17.43558056</v>
      </c>
      <c r="U325" s="21"/>
      <c r="V325" s="21"/>
    </row>
    <row r="326">
      <c r="A326" s="11">
        <v>314.0</v>
      </c>
      <c r="B326" s="11">
        <v>1.42076086956521E9</v>
      </c>
      <c r="C326" s="2">
        <v>-102.2107773</v>
      </c>
      <c r="D326" s="24">
        <f t="shared" si="1"/>
        <v>360869.5652</v>
      </c>
      <c r="E326" s="25">
        <f t="shared" si="2"/>
        <v>-77.1368751</v>
      </c>
      <c r="F326" s="24">
        <f t="shared" si="3"/>
        <v>0.0002137527864</v>
      </c>
      <c r="G326" s="24">
        <f t="shared" si="4"/>
        <v>0</v>
      </c>
      <c r="H326" s="26">
        <f t="shared" si="5"/>
        <v>0</v>
      </c>
      <c r="I326" s="24">
        <f t="shared" si="6"/>
        <v>0</v>
      </c>
      <c r="J326" s="24">
        <f t="shared" si="7"/>
        <v>0</v>
      </c>
      <c r="K326" s="24"/>
      <c r="L326" s="24">
        <f t="shared" si="8"/>
        <v>457.1181205</v>
      </c>
      <c r="M326" s="14">
        <f t="shared" si="9"/>
        <v>438.6898281</v>
      </c>
      <c r="N326" s="27">
        <f t="shared" si="10"/>
        <v>18.42829243</v>
      </c>
      <c r="O326" s="24"/>
      <c r="P326" s="24"/>
      <c r="Q326" s="24"/>
      <c r="R326" s="26"/>
      <c r="S326" s="14">
        <f t="shared" si="13"/>
        <v>16.92262967</v>
      </c>
      <c r="U326" s="21"/>
      <c r="V326" s="21"/>
    </row>
    <row r="327">
      <c r="A327" s="11">
        <v>315.0</v>
      </c>
      <c r="B327" s="11">
        <v>1.4207652173913E9</v>
      </c>
      <c r="C327" s="2">
        <v>-102.303009</v>
      </c>
      <c r="D327" s="24">
        <f t="shared" si="1"/>
        <v>365217.3913</v>
      </c>
      <c r="E327" s="25">
        <f t="shared" si="2"/>
        <v>-78.05517123</v>
      </c>
      <c r="F327" s="24">
        <f t="shared" si="3"/>
        <v>0.0002137224927</v>
      </c>
      <c r="G327" s="24">
        <f t="shared" si="4"/>
        <v>0</v>
      </c>
      <c r="H327" s="26">
        <f t="shared" si="5"/>
        <v>0</v>
      </c>
      <c r="I327" s="24">
        <f t="shared" si="6"/>
        <v>0</v>
      </c>
      <c r="J327" s="24">
        <f t="shared" si="7"/>
        <v>0</v>
      </c>
      <c r="K327" s="24"/>
      <c r="L327" s="24">
        <f t="shared" si="8"/>
        <v>447.5125997</v>
      </c>
      <c r="M327" s="14">
        <f t="shared" si="9"/>
        <v>438.5616751</v>
      </c>
      <c r="N327" s="27">
        <f t="shared" si="10"/>
        <v>8.950924651</v>
      </c>
      <c r="O327" s="24"/>
      <c r="P327" s="24"/>
      <c r="Q327" s="24"/>
      <c r="R327" s="26"/>
      <c r="S327" s="14">
        <f t="shared" si="13"/>
        <v>8.219599472</v>
      </c>
      <c r="U327" s="21"/>
      <c r="V327" s="21"/>
    </row>
    <row r="328">
      <c r="A328" s="11">
        <v>316.0</v>
      </c>
      <c r="B328" s="11">
        <v>1.42076956521739E9</v>
      </c>
      <c r="C328" s="2">
        <v>-102.3519135</v>
      </c>
      <c r="D328" s="24">
        <f t="shared" si="1"/>
        <v>369565.2174</v>
      </c>
      <c r="E328" s="25">
        <f t="shared" si="2"/>
        <v>-78.97346736</v>
      </c>
      <c r="F328" s="24">
        <f t="shared" si="3"/>
        <v>0.0002136929117</v>
      </c>
      <c r="G328" s="24">
        <f t="shared" si="4"/>
        <v>0</v>
      </c>
      <c r="H328" s="26">
        <f t="shared" si="5"/>
        <v>0</v>
      </c>
      <c r="I328" s="24">
        <f t="shared" si="6"/>
        <v>0</v>
      </c>
      <c r="J328" s="24">
        <f t="shared" si="7"/>
        <v>0</v>
      </c>
      <c r="K328" s="24"/>
      <c r="L328" s="24">
        <f t="shared" si="8"/>
        <v>442.5015715</v>
      </c>
      <c r="M328" s="14">
        <f t="shared" si="9"/>
        <v>438.433084</v>
      </c>
      <c r="N328" s="27">
        <f t="shared" si="10"/>
        <v>4.068487523</v>
      </c>
      <c r="O328" s="24"/>
      <c r="P328" s="24"/>
      <c r="Q328" s="24"/>
      <c r="R328" s="26"/>
      <c r="S328" s="14">
        <f t="shared" si="13"/>
        <v>3.736076359</v>
      </c>
      <c r="U328" s="21"/>
      <c r="V328" s="21"/>
    </row>
    <row r="329">
      <c r="A329" s="11">
        <v>317.0</v>
      </c>
      <c r="B329" s="11">
        <v>1.42077391304347E9</v>
      </c>
      <c r="C329" s="2">
        <v>-102.3310623</v>
      </c>
      <c r="D329" s="24">
        <f t="shared" si="1"/>
        <v>373913.0435</v>
      </c>
      <c r="E329" s="25">
        <f t="shared" si="2"/>
        <v>-79.89176349</v>
      </c>
      <c r="F329" s="24">
        <f t="shared" si="3"/>
        <v>0.0002136640187</v>
      </c>
      <c r="G329" s="24">
        <f t="shared" si="4"/>
        <v>0</v>
      </c>
      <c r="H329" s="26">
        <f t="shared" si="5"/>
        <v>0</v>
      </c>
      <c r="I329" s="24">
        <f t="shared" si="6"/>
        <v>0</v>
      </c>
      <c r="J329" s="24">
        <f t="shared" si="7"/>
        <v>0</v>
      </c>
      <c r="K329" s="24"/>
      <c r="L329" s="24">
        <f t="shared" si="8"/>
        <v>444.6312034</v>
      </c>
      <c r="M329" s="14">
        <f t="shared" si="9"/>
        <v>438.3040537</v>
      </c>
      <c r="N329" s="27">
        <f t="shared" si="10"/>
        <v>6.327149648</v>
      </c>
      <c r="O329" s="24"/>
      <c r="P329" s="24"/>
      <c r="Q329" s="24"/>
      <c r="R329" s="26"/>
      <c r="S329" s="14">
        <f t="shared" si="13"/>
        <v>5.810197054</v>
      </c>
      <c r="U329" s="21"/>
      <c r="V329" s="21"/>
    </row>
    <row r="330">
      <c r="A330" s="11">
        <v>318.0</v>
      </c>
      <c r="B330" s="11">
        <v>1.42077826086956E9</v>
      </c>
      <c r="C330" s="2">
        <v>-102.2454224</v>
      </c>
      <c r="D330" s="24">
        <f t="shared" si="1"/>
        <v>378260.8696</v>
      </c>
      <c r="E330" s="25">
        <f t="shared" si="2"/>
        <v>-80.81005963</v>
      </c>
      <c r="F330" s="24">
        <f t="shared" si="3"/>
        <v>0.0002136357898</v>
      </c>
      <c r="G330" s="24">
        <f t="shared" si="4"/>
        <v>0</v>
      </c>
      <c r="H330" s="26">
        <f t="shared" si="5"/>
        <v>0</v>
      </c>
      <c r="I330" s="24">
        <f t="shared" si="6"/>
        <v>0</v>
      </c>
      <c r="J330" s="24">
        <f t="shared" si="7"/>
        <v>0</v>
      </c>
      <c r="K330" s="24"/>
      <c r="L330" s="24">
        <f t="shared" si="8"/>
        <v>453.4860452</v>
      </c>
      <c r="M330" s="14">
        <f t="shared" si="9"/>
        <v>438.1745832</v>
      </c>
      <c r="N330" s="27">
        <f t="shared" si="10"/>
        <v>15.31146199</v>
      </c>
      <c r="O330" s="24"/>
      <c r="P330" s="24"/>
      <c r="Q330" s="24"/>
      <c r="R330" s="26"/>
      <c r="S330" s="14">
        <f t="shared" si="13"/>
        <v>14.0604563</v>
      </c>
      <c r="U330" s="21"/>
      <c r="V330" s="21"/>
    </row>
    <row r="331">
      <c r="A331" s="11">
        <v>319.0</v>
      </c>
      <c r="B331" s="11">
        <v>1.42078260869565E9</v>
      </c>
      <c r="C331" s="2">
        <v>-102.3393402</v>
      </c>
      <c r="D331" s="24">
        <f t="shared" si="1"/>
        <v>382608.6957</v>
      </c>
      <c r="E331" s="25">
        <f t="shared" si="2"/>
        <v>-81.72835576</v>
      </c>
      <c r="F331" s="24">
        <f t="shared" si="3"/>
        <v>0.0002136082026</v>
      </c>
      <c r="G331" s="24">
        <f t="shared" si="4"/>
        <v>0</v>
      </c>
      <c r="H331" s="26">
        <f t="shared" si="5"/>
        <v>0</v>
      </c>
      <c r="I331" s="24">
        <f t="shared" si="6"/>
        <v>0</v>
      </c>
      <c r="J331" s="24">
        <f t="shared" si="7"/>
        <v>0</v>
      </c>
      <c r="K331" s="24"/>
      <c r="L331" s="24">
        <f t="shared" si="8"/>
        <v>443.7845182</v>
      </c>
      <c r="M331" s="14">
        <f t="shared" si="9"/>
        <v>438.0446714</v>
      </c>
      <c r="N331" s="27">
        <f t="shared" si="10"/>
        <v>5.739846739</v>
      </c>
      <c r="O331" s="24"/>
      <c r="P331" s="24"/>
      <c r="Q331" s="24"/>
      <c r="R331" s="26"/>
      <c r="S331" s="14">
        <f t="shared" si="13"/>
        <v>5.270879064</v>
      </c>
      <c r="U331" s="21"/>
      <c r="V331" s="21"/>
    </row>
    <row r="332">
      <c r="A332" s="11">
        <v>320.0</v>
      </c>
      <c r="B332" s="11">
        <v>1.42078695652173E9</v>
      </c>
      <c r="C332" s="2">
        <v>-102.3045273</v>
      </c>
      <c r="D332" s="24">
        <f t="shared" si="1"/>
        <v>386956.5217</v>
      </c>
      <c r="E332" s="25">
        <f t="shared" si="2"/>
        <v>-82.64665189</v>
      </c>
      <c r="F332" s="24">
        <f t="shared" si="3"/>
        <v>0.0002135812352</v>
      </c>
      <c r="G332" s="24">
        <f t="shared" si="4"/>
        <v>0</v>
      </c>
      <c r="H332" s="26">
        <f t="shared" si="5"/>
        <v>0</v>
      </c>
      <c r="I332" s="24">
        <f t="shared" si="6"/>
        <v>0</v>
      </c>
      <c r="J332" s="24">
        <f t="shared" si="7"/>
        <v>0</v>
      </c>
      <c r="K332" s="24"/>
      <c r="L332" s="24">
        <f t="shared" si="8"/>
        <v>447.356176</v>
      </c>
      <c r="M332" s="14">
        <f t="shared" si="9"/>
        <v>437.9143172</v>
      </c>
      <c r="N332" s="27">
        <f t="shared" si="10"/>
        <v>9.441858764</v>
      </c>
      <c r="O332" s="24"/>
      <c r="P332" s="24"/>
      <c r="Q332" s="24"/>
      <c r="R332" s="26"/>
      <c r="S332" s="14">
        <f t="shared" si="13"/>
        <v>8.670422389</v>
      </c>
      <c r="U332" s="21"/>
      <c r="V332" s="21"/>
    </row>
    <row r="333">
      <c r="A333" s="11">
        <v>321.0</v>
      </c>
      <c r="B333" s="11">
        <v>1.42079130434782E9</v>
      </c>
      <c r="C333" s="2">
        <v>-102.3262634</v>
      </c>
      <c r="D333" s="24">
        <f t="shared" si="1"/>
        <v>391304.3478</v>
      </c>
      <c r="E333" s="25">
        <f t="shared" si="2"/>
        <v>-83.56494802</v>
      </c>
      <c r="F333" s="24">
        <f t="shared" si="3"/>
        <v>0.0002135548672</v>
      </c>
      <c r="G333" s="24">
        <f t="shared" si="4"/>
        <v>0</v>
      </c>
      <c r="H333" s="26">
        <f t="shared" si="5"/>
        <v>0</v>
      </c>
      <c r="I333" s="24">
        <f t="shared" si="6"/>
        <v>0</v>
      </c>
      <c r="J333" s="24">
        <f t="shared" si="7"/>
        <v>0</v>
      </c>
      <c r="K333" s="24"/>
      <c r="L333" s="24">
        <f t="shared" si="8"/>
        <v>445.1227869</v>
      </c>
      <c r="M333" s="14">
        <f t="shared" si="9"/>
        <v>437.7835196</v>
      </c>
      <c r="N333" s="27">
        <f t="shared" si="10"/>
        <v>7.339267291</v>
      </c>
      <c r="O333" s="24"/>
      <c r="P333" s="24"/>
      <c r="Q333" s="24"/>
      <c r="R333" s="26"/>
      <c r="S333" s="14">
        <f t="shared" si="13"/>
        <v>6.739620771</v>
      </c>
      <c r="U333" s="21"/>
      <c r="V333" s="21"/>
    </row>
    <row r="334">
      <c r="A334" s="11">
        <v>322.0</v>
      </c>
      <c r="B334" s="11">
        <v>1.42079565217391E9</v>
      </c>
      <c r="C334" s="2">
        <v>-102.3889542</v>
      </c>
      <c r="D334" s="24">
        <f t="shared" si="1"/>
        <v>395652.1739</v>
      </c>
      <c r="E334" s="25">
        <f t="shared" si="2"/>
        <v>-84.48324416</v>
      </c>
      <c r="F334" s="24">
        <f t="shared" si="3"/>
        <v>0.0002135290786</v>
      </c>
      <c r="G334" s="24">
        <f t="shared" si="4"/>
        <v>0</v>
      </c>
      <c r="H334" s="26">
        <f t="shared" si="5"/>
        <v>0</v>
      </c>
      <c r="I334" s="24">
        <f t="shared" si="6"/>
        <v>0</v>
      </c>
      <c r="J334" s="24">
        <f t="shared" si="7"/>
        <v>0</v>
      </c>
      <c r="K334" s="24"/>
      <c r="L334" s="24">
        <f t="shared" si="8"/>
        <v>438.7435525</v>
      </c>
      <c r="M334" s="14">
        <f t="shared" si="9"/>
        <v>437.6522774</v>
      </c>
      <c r="N334" s="27">
        <f t="shared" si="10"/>
        <v>1.091275108</v>
      </c>
      <c r="O334" s="24"/>
      <c r="P334" s="24"/>
      <c r="Q334" s="24"/>
      <c r="R334" s="26"/>
      <c r="S334" s="14">
        <f t="shared" si="13"/>
        <v>1.002113709</v>
      </c>
      <c r="U334" s="21"/>
      <c r="V334" s="21"/>
    </row>
    <row r="335">
      <c r="A335" s="11">
        <v>323.0</v>
      </c>
      <c r="B335" s="11">
        <v>1.4208E9</v>
      </c>
      <c r="C335" s="2">
        <v>-102.4259644</v>
      </c>
      <c r="D335" s="24">
        <f t="shared" si="1"/>
        <v>400000</v>
      </c>
      <c r="E335" s="25">
        <f t="shared" si="2"/>
        <v>-85.40154029</v>
      </c>
      <c r="F335" s="24">
        <f t="shared" si="3"/>
        <v>0.0002135038507</v>
      </c>
      <c r="G335" s="24">
        <f t="shared" si="4"/>
        <v>0</v>
      </c>
      <c r="H335" s="26">
        <f t="shared" si="5"/>
        <v>0</v>
      </c>
      <c r="I335" s="24">
        <f t="shared" si="6"/>
        <v>0</v>
      </c>
      <c r="J335" s="24">
        <f t="shared" si="7"/>
        <v>0</v>
      </c>
      <c r="K335" s="24"/>
      <c r="L335" s="24">
        <f t="shared" si="8"/>
        <v>435.0205042</v>
      </c>
      <c r="M335" s="14">
        <f t="shared" si="9"/>
        <v>437.5205896</v>
      </c>
      <c r="N335" s="27">
        <f t="shared" si="10"/>
        <v>-2.500085402</v>
      </c>
      <c r="O335" s="24"/>
      <c r="P335" s="24"/>
      <c r="Q335" s="24"/>
      <c r="R335" s="26"/>
      <c r="S335" s="14">
        <f t="shared" si="13"/>
        <v>-2.295818756</v>
      </c>
      <c r="U335" s="21"/>
      <c r="V335" s="21"/>
    </row>
    <row r="336">
      <c r="A336" s="11">
        <v>324.0</v>
      </c>
      <c r="B336" s="11">
        <v>1.42080434782608E9</v>
      </c>
      <c r="C336" s="2">
        <v>-102.3823471</v>
      </c>
      <c r="D336" s="24">
        <f t="shared" si="1"/>
        <v>404347.8261</v>
      </c>
      <c r="E336" s="25">
        <f t="shared" si="2"/>
        <v>-86.31983642</v>
      </c>
      <c r="F336" s="24">
        <f t="shared" si="3"/>
        <v>0.0002134791653</v>
      </c>
      <c r="G336" s="24">
        <f t="shared" si="4"/>
        <v>0</v>
      </c>
      <c r="H336" s="26">
        <f t="shared" si="5"/>
        <v>0</v>
      </c>
      <c r="I336" s="24">
        <f t="shared" si="6"/>
        <v>0</v>
      </c>
      <c r="J336" s="24">
        <f t="shared" si="7"/>
        <v>0</v>
      </c>
      <c r="K336" s="24"/>
      <c r="L336" s="24">
        <f t="shared" si="8"/>
        <v>439.411539</v>
      </c>
      <c r="M336" s="14">
        <f t="shared" si="9"/>
        <v>437.3884551</v>
      </c>
      <c r="N336" s="27">
        <f t="shared" si="10"/>
        <v>2.023083949</v>
      </c>
      <c r="O336" s="24"/>
      <c r="P336" s="24"/>
      <c r="Q336" s="24"/>
      <c r="R336" s="26"/>
      <c r="S336" s="14">
        <f t="shared" si="13"/>
        <v>1.857790167</v>
      </c>
      <c r="U336" s="21"/>
      <c r="V336" s="21"/>
    </row>
    <row r="337">
      <c r="A337" s="11">
        <v>325.0</v>
      </c>
      <c r="B337" s="11">
        <v>1.42080869565217E9</v>
      </c>
      <c r="C337" s="2">
        <v>-102.4247131</v>
      </c>
      <c r="D337" s="24">
        <f t="shared" si="1"/>
        <v>408695.6522</v>
      </c>
      <c r="E337" s="25">
        <f t="shared" si="2"/>
        <v>-87.23813255</v>
      </c>
      <c r="F337" s="24">
        <f t="shared" si="3"/>
        <v>0.0002134550052</v>
      </c>
      <c r="G337" s="24">
        <f t="shared" si="4"/>
        <v>0</v>
      </c>
      <c r="H337" s="26">
        <f t="shared" si="5"/>
        <v>0</v>
      </c>
      <c r="I337" s="24">
        <f t="shared" si="6"/>
        <v>0</v>
      </c>
      <c r="J337" s="24">
        <f t="shared" si="7"/>
        <v>0</v>
      </c>
      <c r="K337" s="24"/>
      <c r="L337" s="24">
        <f t="shared" si="8"/>
        <v>435.1458614</v>
      </c>
      <c r="M337" s="14">
        <f t="shared" si="9"/>
        <v>437.2558728</v>
      </c>
      <c r="N337" s="27">
        <f t="shared" si="10"/>
        <v>-2.110011411</v>
      </c>
      <c r="O337" s="24"/>
      <c r="P337" s="24"/>
      <c r="Q337" s="24"/>
      <c r="R337" s="26"/>
      <c r="S337" s="14">
        <f t="shared" si="13"/>
        <v>-1.937615314</v>
      </c>
      <c r="U337" s="21"/>
      <c r="V337" s="21"/>
    </row>
    <row r="338">
      <c r="A338" s="11">
        <v>326.0</v>
      </c>
      <c r="B338" s="11">
        <v>1.42081304347826E9</v>
      </c>
      <c r="C338" s="2">
        <v>-102.3697128</v>
      </c>
      <c r="D338" s="24">
        <f t="shared" si="1"/>
        <v>413043.4783</v>
      </c>
      <c r="E338" s="25">
        <f t="shared" si="2"/>
        <v>-88.15642868</v>
      </c>
      <c r="F338" s="24">
        <f t="shared" si="3"/>
        <v>0.0002134313537</v>
      </c>
      <c r="G338" s="24">
        <f t="shared" si="4"/>
        <v>0</v>
      </c>
      <c r="H338" s="26">
        <f t="shared" si="5"/>
        <v>0</v>
      </c>
      <c r="I338" s="24">
        <f t="shared" si="6"/>
        <v>0</v>
      </c>
      <c r="J338" s="24">
        <f t="shared" si="7"/>
        <v>0</v>
      </c>
      <c r="K338" s="24"/>
      <c r="L338" s="24">
        <f t="shared" si="8"/>
        <v>440.6917165</v>
      </c>
      <c r="M338" s="14">
        <f t="shared" si="9"/>
        <v>437.1228417</v>
      </c>
      <c r="N338" s="27">
        <f t="shared" si="10"/>
        <v>3.568874827</v>
      </c>
      <c r="O338" s="24"/>
      <c r="P338" s="24"/>
      <c r="Q338" s="24"/>
      <c r="R338" s="26"/>
      <c r="S338" s="14">
        <f t="shared" si="13"/>
        <v>3.277283952</v>
      </c>
      <c r="U338" s="21"/>
      <c r="V338" s="21"/>
    </row>
    <row r="339">
      <c r="A339" s="11">
        <v>327.0</v>
      </c>
      <c r="B339" s="11">
        <v>1.42081739130434E9</v>
      </c>
      <c r="C339" s="2">
        <v>-102.3732986</v>
      </c>
      <c r="D339" s="24">
        <f t="shared" si="1"/>
        <v>417391.3043</v>
      </c>
      <c r="E339" s="25">
        <f t="shared" si="2"/>
        <v>-89.07472482</v>
      </c>
      <c r="F339" s="24">
        <f t="shared" si="3"/>
        <v>0.0002134081949</v>
      </c>
      <c r="G339" s="24">
        <f t="shared" si="4"/>
        <v>0</v>
      </c>
      <c r="H339" s="26">
        <f t="shared" si="5"/>
        <v>0</v>
      </c>
      <c r="I339" s="24">
        <f t="shared" si="6"/>
        <v>0</v>
      </c>
      <c r="J339" s="24">
        <f t="shared" si="7"/>
        <v>0</v>
      </c>
      <c r="K339" s="24"/>
      <c r="L339" s="24">
        <f t="shared" si="8"/>
        <v>440.3280048</v>
      </c>
      <c r="M339" s="14">
        <f t="shared" si="9"/>
        <v>436.9893607</v>
      </c>
      <c r="N339" s="27">
        <f t="shared" si="10"/>
        <v>3.338644059</v>
      </c>
      <c r="O339" s="24"/>
      <c r="P339" s="24"/>
      <c r="Q339" s="24"/>
      <c r="R339" s="26"/>
      <c r="S339" s="14">
        <f t="shared" si="13"/>
        <v>3.065863928</v>
      </c>
      <c r="U339" s="21"/>
      <c r="V339" s="21"/>
    </row>
    <row r="340">
      <c r="A340" s="11">
        <v>328.0</v>
      </c>
      <c r="B340" s="11">
        <v>1.42082173913043E9</v>
      </c>
      <c r="C340" s="2">
        <v>-102.4277802</v>
      </c>
      <c r="D340" s="24">
        <f t="shared" si="1"/>
        <v>421739.1304</v>
      </c>
      <c r="E340" s="25">
        <f t="shared" si="2"/>
        <v>-89.99302095</v>
      </c>
      <c r="F340" s="24">
        <f t="shared" si="3"/>
        <v>0.0002133855136</v>
      </c>
      <c r="G340" s="24">
        <f t="shared" si="4"/>
        <v>0</v>
      </c>
      <c r="H340" s="26">
        <f t="shared" si="5"/>
        <v>0</v>
      </c>
      <c r="I340" s="24">
        <f t="shared" si="6"/>
        <v>0</v>
      </c>
      <c r="J340" s="24">
        <f t="shared" si="7"/>
        <v>0</v>
      </c>
      <c r="K340" s="24"/>
      <c r="L340" s="24">
        <f t="shared" si="8"/>
        <v>434.8386586</v>
      </c>
      <c r="M340" s="14">
        <f t="shared" si="9"/>
        <v>436.8554287</v>
      </c>
      <c r="N340" s="27">
        <f t="shared" si="10"/>
        <v>-2.016770089</v>
      </c>
      <c r="O340" s="24"/>
      <c r="P340" s="24"/>
      <c r="Q340" s="24"/>
      <c r="R340" s="26"/>
      <c r="S340" s="14">
        <f t="shared" si="13"/>
        <v>-1.851992169</v>
      </c>
      <c r="U340" s="21"/>
      <c r="V340" s="21"/>
    </row>
    <row r="341">
      <c r="A341" s="11">
        <v>329.0</v>
      </c>
      <c r="B341" s="11">
        <v>1.42082608695652E9</v>
      </c>
      <c r="C341" s="2">
        <v>-102.4640427</v>
      </c>
      <c r="D341" s="24">
        <f t="shared" si="1"/>
        <v>426086.9565</v>
      </c>
      <c r="E341" s="25">
        <f t="shared" si="2"/>
        <v>-90.91131708</v>
      </c>
      <c r="F341" s="24">
        <f t="shared" si="3"/>
        <v>0.0002133632952</v>
      </c>
      <c r="G341" s="24">
        <f t="shared" si="4"/>
        <v>0</v>
      </c>
      <c r="H341" s="26">
        <f t="shared" si="5"/>
        <v>0</v>
      </c>
      <c r="I341" s="24">
        <f t="shared" si="6"/>
        <v>0</v>
      </c>
      <c r="J341" s="24">
        <f t="shared" si="7"/>
        <v>0</v>
      </c>
      <c r="K341" s="24"/>
      <c r="L341" s="24">
        <f t="shared" si="8"/>
        <v>431.2229809</v>
      </c>
      <c r="M341" s="14">
        <f t="shared" si="9"/>
        <v>436.7210447</v>
      </c>
      <c r="N341" s="27">
        <f t="shared" si="10"/>
        <v>-5.498063762</v>
      </c>
      <c r="O341" s="24"/>
      <c r="P341" s="24"/>
      <c r="Q341" s="24"/>
      <c r="R341" s="26"/>
      <c r="S341" s="14">
        <f t="shared" si="13"/>
        <v>-5.04885069</v>
      </c>
      <c r="U341" s="21"/>
      <c r="V341" s="21"/>
    </row>
    <row r="342">
      <c r="A342" s="11">
        <v>330.0</v>
      </c>
      <c r="B342" s="11">
        <v>1.4208304347826E9</v>
      </c>
      <c r="C342" s="2">
        <v>-102.396698</v>
      </c>
      <c r="D342" s="24">
        <f t="shared" si="1"/>
        <v>430434.7826</v>
      </c>
      <c r="E342" s="25">
        <f t="shared" si="2"/>
        <v>-91.82961321</v>
      </c>
      <c r="F342" s="24">
        <f t="shared" si="3"/>
        <v>0.0002133415256</v>
      </c>
      <c r="G342" s="24">
        <f t="shared" si="4"/>
        <v>0</v>
      </c>
      <c r="H342" s="26">
        <f t="shared" si="5"/>
        <v>0</v>
      </c>
      <c r="I342" s="24">
        <f t="shared" si="6"/>
        <v>0</v>
      </c>
      <c r="J342" s="24">
        <f t="shared" si="7"/>
        <v>0</v>
      </c>
      <c r="K342" s="24"/>
      <c r="L342" s="24">
        <f t="shared" si="8"/>
        <v>437.9619365</v>
      </c>
      <c r="M342" s="14">
        <f t="shared" si="9"/>
        <v>436.5862075</v>
      </c>
      <c r="N342" s="27">
        <f t="shared" si="10"/>
        <v>1.375729034</v>
      </c>
      <c r="O342" s="24"/>
      <c r="P342" s="24"/>
      <c r="Q342" s="24"/>
      <c r="R342" s="26"/>
      <c r="S342" s="14">
        <f t="shared" si="13"/>
        <v>1.263326652</v>
      </c>
      <c r="U342" s="21"/>
      <c r="V342" s="21"/>
    </row>
    <row r="343">
      <c r="A343" s="11">
        <v>331.0</v>
      </c>
      <c r="B343" s="11">
        <v>1.42083478260869E9</v>
      </c>
      <c r="C343" s="2">
        <v>-102.3631592</v>
      </c>
      <c r="D343" s="24">
        <f t="shared" si="1"/>
        <v>434782.6087</v>
      </c>
      <c r="E343" s="25">
        <f t="shared" si="2"/>
        <v>-92.74790935</v>
      </c>
      <c r="F343" s="24">
        <f t="shared" si="3"/>
        <v>0.0002133201915</v>
      </c>
      <c r="G343" s="24">
        <f t="shared" si="4"/>
        <v>0</v>
      </c>
      <c r="H343" s="26">
        <f t="shared" si="5"/>
        <v>0</v>
      </c>
      <c r="I343" s="24">
        <f t="shared" si="6"/>
        <v>0</v>
      </c>
      <c r="J343" s="24">
        <f t="shared" si="7"/>
        <v>0</v>
      </c>
      <c r="K343" s="24"/>
      <c r="L343" s="24">
        <f t="shared" si="8"/>
        <v>441.3572321</v>
      </c>
      <c r="M343" s="14">
        <f t="shared" si="9"/>
        <v>436.450916</v>
      </c>
      <c r="N343" s="27">
        <f t="shared" si="10"/>
        <v>4.90631608</v>
      </c>
      <c r="O343" s="24"/>
      <c r="P343" s="24"/>
      <c r="Q343" s="24"/>
      <c r="R343" s="26"/>
      <c r="S343" s="14">
        <f t="shared" si="13"/>
        <v>4.505451083</v>
      </c>
      <c r="U343" s="21"/>
      <c r="V343" s="21"/>
    </row>
    <row r="344">
      <c r="A344" s="11">
        <v>332.0</v>
      </c>
      <c r="B344" s="11">
        <v>1.42083913043478E9</v>
      </c>
      <c r="C344" s="2">
        <v>-102.4200668</v>
      </c>
      <c r="D344" s="24">
        <f t="shared" si="1"/>
        <v>439130.4348</v>
      </c>
      <c r="E344" s="25">
        <f t="shared" si="2"/>
        <v>-93.66620548</v>
      </c>
      <c r="F344" s="24">
        <f t="shared" si="3"/>
        <v>0.0002132992798</v>
      </c>
      <c r="G344" s="24">
        <f t="shared" si="4"/>
        <v>0</v>
      </c>
      <c r="H344" s="26">
        <f t="shared" si="5"/>
        <v>0</v>
      </c>
      <c r="I344" s="24">
        <f t="shared" si="6"/>
        <v>0</v>
      </c>
      <c r="J344" s="24">
        <f t="shared" si="7"/>
        <v>0</v>
      </c>
      <c r="K344" s="24"/>
      <c r="L344" s="24">
        <f t="shared" si="8"/>
        <v>435.6116514</v>
      </c>
      <c r="M344" s="14">
        <f t="shared" si="9"/>
        <v>436.3151693</v>
      </c>
      <c r="N344" s="27">
        <f t="shared" si="10"/>
        <v>-0.7035179771</v>
      </c>
      <c r="O344" s="24"/>
      <c r="P344" s="24"/>
      <c r="Q344" s="24"/>
      <c r="R344" s="26"/>
      <c r="S344" s="14">
        <f t="shared" si="13"/>
        <v>-0.6460378363</v>
      </c>
      <c r="U344" s="21"/>
      <c r="V344" s="21"/>
    </row>
    <row r="345">
      <c r="A345" s="11">
        <v>333.0</v>
      </c>
      <c r="B345" s="11">
        <v>1.42084347826087E9</v>
      </c>
      <c r="C345" s="2">
        <v>-102.4217148</v>
      </c>
      <c r="D345" s="24">
        <f t="shared" si="1"/>
        <v>443478.2609</v>
      </c>
      <c r="E345" s="25">
        <f t="shared" si="2"/>
        <v>-94.58450161</v>
      </c>
      <c r="F345" s="24">
        <f t="shared" si="3"/>
        <v>0.0002132787781</v>
      </c>
      <c r="G345" s="24">
        <f t="shared" si="4"/>
        <v>0</v>
      </c>
      <c r="H345" s="26">
        <f t="shared" si="5"/>
        <v>0</v>
      </c>
      <c r="I345" s="24">
        <f t="shared" si="6"/>
        <v>0</v>
      </c>
      <c r="J345" s="24">
        <f t="shared" si="7"/>
        <v>0</v>
      </c>
      <c r="K345" s="24"/>
      <c r="L345" s="24">
        <f t="shared" si="8"/>
        <v>435.4463829</v>
      </c>
      <c r="M345" s="14">
        <f t="shared" si="9"/>
        <v>436.1789663</v>
      </c>
      <c r="N345" s="27">
        <f t="shared" si="10"/>
        <v>-0.732583375</v>
      </c>
      <c r="O345" s="24"/>
      <c r="P345" s="24"/>
      <c r="Q345" s="24"/>
      <c r="R345" s="26"/>
      <c r="S345" s="14">
        <f t="shared" si="13"/>
        <v>-0.6727284802</v>
      </c>
      <c r="U345" s="21"/>
      <c r="V345" s="21"/>
    </row>
    <row r="346">
      <c r="A346" s="11">
        <v>334.0</v>
      </c>
      <c r="B346" s="11">
        <v>1.42084782608695E9</v>
      </c>
      <c r="C346" s="2">
        <v>-102.4094162</v>
      </c>
      <c r="D346" s="24">
        <f t="shared" si="1"/>
        <v>447826.087</v>
      </c>
      <c r="E346" s="25">
        <f t="shared" si="2"/>
        <v>-95.50279774</v>
      </c>
      <c r="F346" s="24">
        <f t="shared" si="3"/>
        <v>0.0002132586746</v>
      </c>
      <c r="G346" s="24">
        <f t="shared" si="4"/>
        <v>0</v>
      </c>
      <c r="H346" s="26">
        <f t="shared" si="5"/>
        <v>0</v>
      </c>
      <c r="I346" s="24">
        <f t="shared" si="6"/>
        <v>0</v>
      </c>
      <c r="J346" s="24">
        <f t="shared" si="7"/>
        <v>0</v>
      </c>
      <c r="K346" s="24"/>
      <c r="L346" s="24">
        <f t="shared" si="8"/>
        <v>436.6812526</v>
      </c>
      <c r="M346" s="14">
        <f t="shared" si="9"/>
        <v>436.0423058</v>
      </c>
      <c r="N346" s="27">
        <f t="shared" si="10"/>
        <v>0.6389468101</v>
      </c>
      <c r="O346" s="24"/>
      <c r="P346" s="24"/>
      <c r="Q346" s="24"/>
      <c r="R346" s="26"/>
      <c r="S346" s="14">
        <f t="shared" si="13"/>
        <v>0.5867423848</v>
      </c>
      <c r="U346" s="21"/>
      <c r="V346" s="21"/>
    </row>
    <row r="347">
      <c r="A347" s="11">
        <v>335.0</v>
      </c>
      <c r="B347" s="11">
        <v>1.42085217391304E9</v>
      </c>
      <c r="C347" s="2">
        <v>-102.4147034</v>
      </c>
      <c r="D347" s="24">
        <f t="shared" si="1"/>
        <v>452173.913</v>
      </c>
      <c r="E347" s="25">
        <f t="shared" si="2"/>
        <v>-96.42109387</v>
      </c>
      <c r="F347" s="24">
        <f t="shared" si="3"/>
        <v>0.0002132389576</v>
      </c>
      <c r="G347" s="24">
        <f t="shared" si="4"/>
        <v>0</v>
      </c>
      <c r="H347" s="26">
        <f t="shared" si="5"/>
        <v>0</v>
      </c>
      <c r="I347" s="24">
        <f t="shared" si="6"/>
        <v>0</v>
      </c>
      <c r="J347" s="24">
        <f t="shared" si="7"/>
        <v>0</v>
      </c>
      <c r="K347" s="24"/>
      <c r="L347" s="24">
        <f t="shared" si="8"/>
        <v>436.1499504</v>
      </c>
      <c r="M347" s="14">
        <f t="shared" si="9"/>
        <v>435.9051868</v>
      </c>
      <c r="N347" s="27">
        <f t="shared" si="10"/>
        <v>0.2447635944</v>
      </c>
      <c r="O347" s="24"/>
      <c r="P347" s="24"/>
      <c r="Q347" s="24"/>
      <c r="R347" s="26"/>
      <c r="S347" s="14">
        <f t="shared" si="13"/>
        <v>0.2247654617</v>
      </c>
      <c r="U347" s="21"/>
      <c r="V347" s="21"/>
    </row>
    <row r="348">
      <c r="A348" s="11">
        <v>336.0</v>
      </c>
      <c r="B348" s="11">
        <v>1.42085652173913E9</v>
      </c>
      <c r="C348" s="2">
        <v>-102.4278564</v>
      </c>
      <c r="D348" s="24">
        <f t="shared" si="1"/>
        <v>456521.7391</v>
      </c>
      <c r="E348" s="25">
        <f t="shared" si="2"/>
        <v>-97.33939</v>
      </c>
      <c r="F348" s="24">
        <f t="shared" si="3"/>
        <v>0.0002132196162</v>
      </c>
      <c r="G348" s="24">
        <f t="shared" si="4"/>
        <v>0</v>
      </c>
      <c r="H348" s="26">
        <f t="shared" si="5"/>
        <v>0</v>
      </c>
      <c r="I348" s="24">
        <f t="shared" si="6"/>
        <v>0</v>
      </c>
      <c r="J348" s="24">
        <f t="shared" si="7"/>
        <v>0</v>
      </c>
      <c r="K348" s="24"/>
      <c r="L348" s="24">
        <f t="shared" si="8"/>
        <v>434.8310291</v>
      </c>
      <c r="M348" s="14">
        <f t="shared" si="9"/>
        <v>435.7676082</v>
      </c>
      <c r="N348" s="27">
        <f t="shared" si="10"/>
        <v>-0.9365790079</v>
      </c>
      <c r="O348" s="24"/>
      <c r="P348" s="24"/>
      <c r="Q348" s="24"/>
      <c r="R348" s="26"/>
      <c r="S348" s="14">
        <f t="shared" si="13"/>
        <v>-0.860056881</v>
      </c>
      <c r="U348" s="21"/>
      <c r="V348" s="21"/>
    </row>
    <row r="349">
      <c r="A349" s="11">
        <v>337.0</v>
      </c>
      <c r="B349" s="11">
        <v>1.42086086956521E9</v>
      </c>
      <c r="C349" s="2">
        <v>-102.4724197</v>
      </c>
      <c r="D349" s="24">
        <f t="shared" si="1"/>
        <v>460869.5652</v>
      </c>
      <c r="E349" s="25">
        <f t="shared" si="2"/>
        <v>-98.25768614</v>
      </c>
      <c r="F349" s="24">
        <f t="shared" si="3"/>
        <v>0.0002132006397</v>
      </c>
      <c r="G349" s="24">
        <f t="shared" si="4"/>
        <v>0</v>
      </c>
      <c r="H349" s="26">
        <f t="shared" si="5"/>
        <v>0</v>
      </c>
      <c r="I349" s="24">
        <f t="shared" si="6"/>
        <v>0</v>
      </c>
      <c r="J349" s="24">
        <f t="shared" si="7"/>
        <v>0</v>
      </c>
      <c r="K349" s="24"/>
      <c r="L349" s="24">
        <f t="shared" si="8"/>
        <v>430.3920071</v>
      </c>
      <c r="M349" s="14">
        <f t="shared" si="9"/>
        <v>435.6295689</v>
      </c>
      <c r="N349" s="27">
        <f t="shared" si="10"/>
        <v>-5.237561763</v>
      </c>
      <c r="O349" s="24"/>
      <c r="P349" s="24"/>
      <c r="Q349" s="24"/>
      <c r="R349" s="26"/>
      <c r="S349" s="14">
        <f t="shared" si="13"/>
        <v>-4.809632712</v>
      </c>
      <c r="U349" s="21"/>
      <c r="V349" s="21"/>
    </row>
    <row r="350">
      <c r="A350" s="11">
        <v>338.0</v>
      </c>
      <c r="B350" s="11">
        <v>1.4208652173913E9</v>
      </c>
      <c r="C350" s="2">
        <v>-102.4613266</v>
      </c>
      <c r="D350" s="24">
        <f t="shared" si="1"/>
        <v>465217.3913</v>
      </c>
      <c r="E350" s="25">
        <f t="shared" si="2"/>
        <v>-99.17598227</v>
      </c>
      <c r="F350" s="24">
        <f t="shared" si="3"/>
        <v>0.000213182018</v>
      </c>
      <c r="G350" s="24">
        <f t="shared" si="4"/>
        <v>0</v>
      </c>
      <c r="H350" s="26">
        <f t="shared" si="5"/>
        <v>0</v>
      </c>
      <c r="I350" s="24">
        <f t="shared" si="6"/>
        <v>0</v>
      </c>
      <c r="J350" s="24">
        <f t="shared" si="7"/>
        <v>0</v>
      </c>
      <c r="K350" s="24"/>
      <c r="L350" s="24">
        <f t="shared" si="8"/>
        <v>431.4927543</v>
      </c>
      <c r="M350" s="14">
        <f t="shared" si="9"/>
        <v>435.4910679</v>
      </c>
      <c r="N350" s="27">
        <f t="shared" si="10"/>
        <v>-3.998313557</v>
      </c>
      <c r="O350" s="24"/>
      <c r="P350" s="24"/>
      <c r="Q350" s="24"/>
      <c r="R350" s="26"/>
      <c r="S350" s="14">
        <f t="shared" si="13"/>
        <v>-3.671635869</v>
      </c>
      <c r="U350" s="21"/>
      <c r="V350" s="21"/>
    </row>
    <row r="351">
      <c r="A351" s="11">
        <v>339.0</v>
      </c>
      <c r="B351" s="11">
        <v>1.42086956521739E9</v>
      </c>
      <c r="C351" s="2">
        <v>-102.4456482</v>
      </c>
      <c r="D351" s="24">
        <f t="shared" si="1"/>
        <v>469565.2174</v>
      </c>
      <c r="E351" s="25">
        <f t="shared" si="2"/>
        <v>-100.0942784</v>
      </c>
      <c r="F351" s="24">
        <f t="shared" si="3"/>
        <v>0.000213163741</v>
      </c>
      <c r="G351" s="24">
        <f t="shared" si="4"/>
        <v>0</v>
      </c>
      <c r="H351" s="26">
        <f t="shared" si="5"/>
        <v>0</v>
      </c>
      <c r="I351" s="24">
        <f t="shared" si="6"/>
        <v>0</v>
      </c>
      <c r="J351" s="24">
        <f t="shared" si="7"/>
        <v>0</v>
      </c>
      <c r="K351" s="24"/>
      <c r="L351" s="24">
        <f t="shared" si="8"/>
        <v>433.053295</v>
      </c>
      <c r="M351" s="14">
        <f t="shared" si="9"/>
        <v>435.352104</v>
      </c>
      <c r="N351" s="27">
        <f t="shared" si="10"/>
        <v>-2.298809058</v>
      </c>
      <c r="O351" s="24"/>
      <c r="P351" s="24"/>
      <c r="Q351" s="24"/>
      <c r="R351" s="26"/>
      <c r="S351" s="14">
        <f t="shared" si="13"/>
        <v>-2.110987468</v>
      </c>
      <c r="U351" s="21"/>
      <c r="V351" s="21"/>
    </row>
    <row r="352">
      <c r="A352" s="11">
        <v>340.0</v>
      </c>
      <c r="B352" s="11">
        <v>1.42087391304347E9</v>
      </c>
      <c r="C352" s="2">
        <v>-102.4550934</v>
      </c>
      <c r="D352" s="24">
        <f t="shared" si="1"/>
        <v>473913.0435</v>
      </c>
      <c r="E352" s="25">
        <f t="shared" si="2"/>
        <v>-101.0125745</v>
      </c>
      <c r="F352" s="24">
        <f t="shared" si="3"/>
        <v>0.0002131457995</v>
      </c>
      <c r="G352" s="24">
        <f t="shared" si="4"/>
        <v>0</v>
      </c>
      <c r="H352" s="26">
        <f t="shared" si="5"/>
        <v>0</v>
      </c>
      <c r="I352" s="24">
        <f t="shared" si="6"/>
        <v>0</v>
      </c>
      <c r="J352" s="24">
        <f t="shared" si="7"/>
        <v>0</v>
      </c>
      <c r="K352" s="24"/>
      <c r="L352" s="24">
        <f t="shared" si="8"/>
        <v>432.1124978</v>
      </c>
      <c r="M352" s="14">
        <f t="shared" si="9"/>
        <v>435.2126763</v>
      </c>
      <c r="N352" s="27">
        <f t="shared" si="10"/>
        <v>-3.10017855</v>
      </c>
      <c r="O352" s="24"/>
      <c r="P352" s="24"/>
      <c r="Q352" s="24"/>
      <c r="R352" s="26"/>
      <c r="S352" s="14">
        <f t="shared" si="13"/>
        <v>-2.846881974</v>
      </c>
      <c r="U352" s="21"/>
      <c r="V352" s="21"/>
    </row>
    <row r="353">
      <c r="A353" s="11">
        <v>341.0</v>
      </c>
      <c r="B353" s="11">
        <v>1.42087826086956E9</v>
      </c>
      <c r="C353" s="2">
        <v>-102.4106827</v>
      </c>
      <c r="D353" s="24">
        <f t="shared" si="1"/>
        <v>478260.8696</v>
      </c>
      <c r="E353" s="25">
        <f t="shared" si="2"/>
        <v>-101.9308707</v>
      </c>
      <c r="F353" s="24">
        <f t="shared" si="3"/>
        <v>0.0002131281841</v>
      </c>
      <c r="G353" s="24">
        <f t="shared" si="4"/>
        <v>0</v>
      </c>
      <c r="H353" s="26">
        <f t="shared" si="5"/>
        <v>0</v>
      </c>
      <c r="I353" s="24">
        <f t="shared" si="6"/>
        <v>0</v>
      </c>
      <c r="J353" s="24">
        <f t="shared" si="7"/>
        <v>0</v>
      </c>
      <c r="K353" s="24"/>
      <c r="L353" s="24">
        <f t="shared" si="8"/>
        <v>436.5539251</v>
      </c>
      <c r="M353" s="14">
        <f t="shared" si="9"/>
        <v>435.0727836</v>
      </c>
      <c r="N353" s="27">
        <f t="shared" si="10"/>
        <v>1.481141474</v>
      </c>
      <c r="O353" s="24"/>
      <c r="P353" s="24"/>
      <c r="Q353" s="24"/>
      <c r="R353" s="26"/>
      <c r="S353" s="14">
        <f t="shared" si="13"/>
        <v>1.360126484</v>
      </c>
      <c r="U353" s="21"/>
      <c r="V353" s="21"/>
    </row>
    <row r="354">
      <c r="A354" s="11">
        <v>342.0</v>
      </c>
      <c r="B354" s="11">
        <v>1.42088260869565E9</v>
      </c>
      <c r="C354" s="2">
        <v>-102.4509735</v>
      </c>
      <c r="D354" s="24">
        <f t="shared" si="1"/>
        <v>482608.6957</v>
      </c>
      <c r="E354" s="25">
        <f t="shared" si="2"/>
        <v>-102.8491668</v>
      </c>
      <c r="F354" s="24">
        <f t="shared" si="3"/>
        <v>0.0002131108862</v>
      </c>
      <c r="G354" s="24">
        <f t="shared" si="4"/>
        <v>0</v>
      </c>
      <c r="H354" s="26">
        <f t="shared" si="5"/>
        <v>0</v>
      </c>
      <c r="I354" s="24">
        <f t="shared" si="6"/>
        <v>0</v>
      </c>
      <c r="J354" s="24">
        <f t="shared" si="7"/>
        <v>0</v>
      </c>
      <c r="K354" s="24"/>
      <c r="L354" s="24">
        <f t="shared" si="8"/>
        <v>432.5226124</v>
      </c>
      <c r="M354" s="14">
        <f t="shared" si="9"/>
        <v>434.9324249</v>
      </c>
      <c r="N354" s="27">
        <f t="shared" si="10"/>
        <v>-2.409812574</v>
      </c>
      <c r="O354" s="24"/>
      <c r="P354" s="24"/>
      <c r="Q354" s="24"/>
      <c r="R354" s="26"/>
      <c r="S354" s="14">
        <f t="shared" si="13"/>
        <v>-2.212921568</v>
      </c>
      <c r="U354" s="21"/>
      <c r="V354" s="21"/>
    </row>
    <row r="355">
      <c r="A355" s="11">
        <v>343.0</v>
      </c>
      <c r="B355" s="11">
        <v>1.42088695652173E9</v>
      </c>
      <c r="C355" s="2">
        <v>-102.4830093</v>
      </c>
      <c r="D355" s="24">
        <f t="shared" si="1"/>
        <v>486956.5217</v>
      </c>
      <c r="E355" s="25">
        <f t="shared" si="2"/>
        <v>-103.7674629</v>
      </c>
      <c r="F355" s="24">
        <f t="shared" si="3"/>
        <v>0.0002130938971</v>
      </c>
      <c r="G355" s="24">
        <f t="shared" si="4"/>
        <v>0</v>
      </c>
      <c r="H355" s="26">
        <f t="shared" si="5"/>
        <v>0</v>
      </c>
      <c r="I355" s="24">
        <f t="shared" si="6"/>
        <v>0</v>
      </c>
      <c r="J355" s="24">
        <f t="shared" si="7"/>
        <v>0</v>
      </c>
      <c r="K355" s="24"/>
      <c r="L355" s="24">
        <f t="shared" si="8"/>
        <v>429.3438411</v>
      </c>
      <c r="M355" s="14">
        <f t="shared" si="9"/>
        <v>434.7915991</v>
      </c>
      <c r="N355" s="27">
        <f t="shared" si="10"/>
        <v>-5.447757972</v>
      </c>
      <c r="O355" s="24"/>
      <c r="P355" s="24"/>
      <c r="Q355" s="24"/>
      <c r="R355" s="26"/>
      <c r="S355" s="14">
        <f t="shared" si="13"/>
        <v>-5.002655078</v>
      </c>
      <c r="U355" s="21"/>
      <c r="V355" s="21"/>
    </row>
    <row r="356">
      <c r="A356" s="11">
        <v>344.0</v>
      </c>
      <c r="B356" s="11">
        <v>1.42089130434782E9</v>
      </c>
      <c r="C356" s="2">
        <v>-102.466835</v>
      </c>
      <c r="D356" s="24">
        <f t="shared" si="1"/>
        <v>491304.3478</v>
      </c>
      <c r="E356" s="25">
        <f t="shared" si="2"/>
        <v>-104.6857591</v>
      </c>
      <c r="F356" s="24">
        <f t="shared" si="3"/>
        <v>0.0002130772087</v>
      </c>
      <c r="G356" s="24">
        <f t="shared" si="4"/>
        <v>0</v>
      </c>
      <c r="H356" s="26">
        <f t="shared" si="5"/>
        <v>0</v>
      </c>
      <c r="I356" s="24">
        <f t="shared" si="6"/>
        <v>0</v>
      </c>
      <c r="J356" s="24">
        <f t="shared" si="7"/>
        <v>0</v>
      </c>
      <c r="K356" s="24"/>
      <c r="L356" s="24">
        <f t="shared" si="8"/>
        <v>430.9458148</v>
      </c>
      <c r="M356" s="14">
        <f t="shared" si="9"/>
        <v>434.6503051</v>
      </c>
      <c r="N356" s="27">
        <f t="shared" si="10"/>
        <v>-3.704490229</v>
      </c>
      <c r="O356" s="24"/>
      <c r="P356" s="24"/>
      <c r="Q356" s="24"/>
      <c r="R356" s="26"/>
      <c r="S356" s="14">
        <f t="shared" si="13"/>
        <v>-3.401819051</v>
      </c>
      <c r="U356" s="21"/>
      <c r="V356" s="21"/>
    </row>
    <row r="357">
      <c r="A357" s="11">
        <v>345.0</v>
      </c>
      <c r="B357" s="11">
        <v>1.42089565217391E9</v>
      </c>
      <c r="C357" s="2">
        <v>-102.4887619</v>
      </c>
      <c r="D357" s="24">
        <f t="shared" si="1"/>
        <v>495652.1739</v>
      </c>
      <c r="E357" s="25">
        <f t="shared" si="2"/>
        <v>-105.6040552</v>
      </c>
      <c r="F357" s="24">
        <f t="shared" si="3"/>
        <v>0.0002130608131</v>
      </c>
      <c r="G357" s="24">
        <f t="shared" si="4"/>
        <v>0</v>
      </c>
      <c r="H357" s="26">
        <f t="shared" si="5"/>
        <v>0</v>
      </c>
      <c r="I357" s="24">
        <f t="shared" si="6"/>
        <v>0</v>
      </c>
      <c r="J357" s="24">
        <f t="shared" si="7"/>
        <v>0</v>
      </c>
      <c r="K357" s="24"/>
      <c r="L357" s="24">
        <f t="shared" si="8"/>
        <v>428.7755151</v>
      </c>
      <c r="M357" s="14">
        <f t="shared" si="9"/>
        <v>434.5085418</v>
      </c>
      <c r="N357" s="27">
        <f t="shared" si="10"/>
        <v>-5.733026625</v>
      </c>
      <c r="O357" s="24"/>
      <c r="P357" s="24"/>
      <c r="Q357" s="24"/>
      <c r="R357" s="26"/>
      <c r="S357" s="14">
        <f t="shared" si="13"/>
        <v>-5.264616167</v>
      </c>
      <c r="U357" s="21"/>
      <c r="V357" s="21"/>
    </row>
    <row r="358">
      <c r="A358" s="11">
        <v>346.0</v>
      </c>
      <c r="B358" s="11">
        <v>1.4209E9</v>
      </c>
      <c r="C358" s="2">
        <v>-102.5185165</v>
      </c>
      <c r="D358" s="24">
        <f t="shared" si="1"/>
        <v>500000</v>
      </c>
      <c r="E358" s="25">
        <f t="shared" si="2"/>
        <v>-106.5223513</v>
      </c>
      <c r="F358" s="24">
        <f t="shared" si="3"/>
        <v>0.0002130447027</v>
      </c>
      <c r="G358" s="24">
        <f t="shared" si="4"/>
        <v>0</v>
      </c>
      <c r="H358" s="26">
        <f t="shared" si="5"/>
        <v>0</v>
      </c>
      <c r="I358" s="24">
        <f t="shared" si="6"/>
        <v>0</v>
      </c>
      <c r="J358" s="24">
        <f t="shared" si="7"/>
        <v>0</v>
      </c>
      <c r="K358" s="24"/>
      <c r="L358" s="24">
        <f t="shared" si="8"/>
        <v>425.8479073</v>
      </c>
      <c r="M358" s="14">
        <f t="shared" si="9"/>
        <v>434.3663081</v>
      </c>
      <c r="N358" s="27">
        <f t="shared" si="10"/>
        <v>-8.518400833</v>
      </c>
      <c r="O358" s="24"/>
      <c r="P358" s="24"/>
      <c r="Q358" s="24"/>
      <c r="R358" s="26"/>
      <c r="S358" s="14">
        <f t="shared" si="13"/>
        <v>-7.822414542</v>
      </c>
      <c r="U358" s="21"/>
      <c r="V358" s="21"/>
    </row>
    <row r="359">
      <c r="A359" s="11">
        <v>347.0</v>
      </c>
      <c r="B359" s="11">
        <v>1.42090434782608E9</v>
      </c>
      <c r="C359" s="2">
        <v>-102.5020065</v>
      </c>
      <c r="D359" s="24">
        <f t="shared" si="1"/>
        <v>504347.8261</v>
      </c>
      <c r="E359" s="25">
        <f t="shared" si="2"/>
        <v>-107.4406475</v>
      </c>
      <c r="F359" s="24">
        <f t="shared" si="3"/>
        <v>0.00021302887</v>
      </c>
      <c r="G359" s="24">
        <f t="shared" si="4"/>
        <v>0</v>
      </c>
      <c r="H359" s="26">
        <f t="shared" si="5"/>
        <v>0</v>
      </c>
      <c r="I359" s="24">
        <f t="shared" si="6"/>
        <v>0</v>
      </c>
      <c r="J359" s="24">
        <f t="shared" si="7"/>
        <v>0</v>
      </c>
      <c r="K359" s="24"/>
      <c r="L359" s="24">
        <f t="shared" si="8"/>
        <v>427.4698781</v>
      </c>
      <c r="M359" s="14">
        <f t="shared" si="9"/>
        <v>434.2236031</v>
      </c>
      <c r="N359" s="27">
        <f t="shared" si="10"/>
        <v>-6.753724948</v>
      </c>
      <c r="O359" s="24"/>
      <c r="P359" s="24"/>
      <c r="Q359" s="24"/>
      <c r="R359" s="26"/>
      <c r="S359" s="14">
        <f t="shared" si="13"/>
        <v>-6.201919502</v>
      </c>
      <c r="U359" s="21"/>
      <c r="V359" s="21"/>
    </row>
    <row r="360">
      <c r="A360" s="11">
        <v>348.0</v>
      </c>
      <c r="B360" s="11">
        <v>1.42090869565217E9</v>
      </c>
      <c r="C360" s="2">
        <v>-102.4296722</v>
      </c>
      <c r="D360" s="24">
        <f t="shared" si="1"/>
        <v>508695.6522</v>
      </c>
      <c r="E360" s="25">
        <f t="shared" si="2"/>
        <v>-108.3589436</v>
      </c>
      <c r="F360" s="24">
        <f t="shared" si="3"/>
        <v>0.0002130133079</v>
      </c>
      <c r="G360" s="24">
        <f t="shared" si="4"/>
        <v>0</v>
      </c>
      <c r="H360" s="26">
        <f t="shared" si="5"/>
        <v>0</v>
      </c>
      <c r="I360" s="24">
        <f t="shared" si="6"/>
        <v>0</v>
      </c>
      <c r="J360" s="24">
        <f t="shared" si="7"/>
        <v>0</v>
      </c>
      <c r="K360" s="24"/>
      <c r="L360" s="24">
        <f t="shared" si="8"/>
        <v>434.6492628</v>
      </c>
      <c r="M360" s="14">
        <f t="shared" si="9"/>
        <v>434.0804255</v>
      </c>
      <c r="N360" s="27">
        <f t="shared" si="10"/>
        <v>0.5688372729</v>
      </c>
      <c r="O360" s="24"/>
      <c r="P360" s="24"/>
      <c r="Q360" s="24"/>
      <c r="R360" s="26"/>
      <c r="S360" s="14">
        <f t="shared" si="13"/>
        <v>0.5223610666</v>
      </c>
      <c r="U360" s="21"/>
      <c r="V360" s="21"/>
    </row>
    <row r="361">
      <c r="A361" s="11">
        <v>349.0</v>
      </c>
      <c r="B361" s="11">
        <v>1.42091304347826E9</v>
      </c>
      <c r="C361" s="2">
        <v>-102.4682617</v>
      </c>
      <c r="D361" s="24">
        <f t="shared" si="1"/>
        <v>513043.4783</v>
      </c>
      <c r="E361" s="25">
        <f t="shared" si="2"/>
        <v>-109.2772397</v>
      </c>
      <c r="F361" s="24">
        <f t="shared" si="3"/>
        <v>0.0002129980096</v>
      </c>
      <c r="G361" s="24">
        <f t="shared" si="4"/>
        <v>0</v>
      </c>
      <c r="H361" s="26">
        <f t="shared" si="5"/>
        <v>0</v>
      </c>
      <c r="I361" s="24">
        <f t="shared" si="6"/>
        <v>0</v>
      </c>
      <c r="J361" s="24">
        <f t="shared" si="7"/>
        <v>0</v>
      </c>
      <c r="K361" s="24"/>
      <c r="L361" s="24">
        <f t="shared" si="8"/>
        <v>430.8042682</v>
      </c>
      <c r="M361" s="14">
        <f t="shared" si="9"/>
        <v>433.9367744</v>
      </c>
      <c r="N361" s="27">
        <f t="shared" si="10"/>
        <v>-3.132506283</v>
      </c>
      <c r="O361" s="24"/>
      <c r="P361" s="24"/>
      <c r="Q361" s="24"/>
      <c r="R361" s="26"/>
      <c r="S361" s="14">
        <f t="shared" si="13"/>
        <v>-2.876568406</v>
      </c>
      <c r="U361" s="21"/>
      <c r="V361" s="21"/>
    </row>
    <row r="362">
      <c r="A362" s="11">
        <v>350.0</v>
      </c>
      <c r="B362" s="11">
        <v>1.42091739130434E9</v>
      </c>
      <c r="C362" s="2">
        <v>-102.5235748</v>
      </c>
      <c r="D362" s="24">
        <f t="shared" si="1"/>
        <v>517391.3043</v>
      </c>
      <c r="E362" s="25">
        <f t="shared" si="2"/>
        <v>-110.1955359</v>
      </c>
      <c r="F362" s="24">
        <f t="shared" si="3"/>
        <v>0.0002129829685</v>
      </c>
      <c r="G362" s="24">
        <f t="shared" si="4"/>
        <v>0</v>
      </c>
      <c r="H362" s="26">
        <f t="shared" si="5"/>
        <v>0</v>
      </c>
      <c r="I362" s="24">
        <f t="shared" si="6"/>
        <v>0</v>
      </c>
      <c r="J362" s="24">
        <f t="shared" si="7"/>
        <v>0</v>
      </c>
      <c r="K362" s="24"/>
      <c r="L362" s="24">
        <f t="shared" si="8"/>
        <v>425.3522039</v>
      </c>
      <c r="M362" s="14">
        <f t="shared" si="9"/>
        <v>433.7926487</v>
      </c>
      <c r="N362" s="27">
        <f t="shared" si="10"/>
        <v>-8.440444788</v>
      </c>
      <c r="O362" s="24"/>
      <c r="P362" s="24"/>
      <c r="Q362" s="24"/>
      <c r="R362" s="26"/>
      <c r="S362" s="14">
        <f t="shared" si="13"/>
        <v>-7.750827808</v>
      </c>
      <c r="U362" s="21"/>
      <c r="V362" s="21"/>
    </row>
    <row r="363">
      <c r="A363" s="11">
        <v>351.0</v>
      </c>
      <c r="B363" s="11">
        <v>1.42092173913043E9</v>
      </c>
      <c r="C363" s="2">
        <v>-102.4696503</v>
      </c>
      <c r="D363" s="24">
        <f t="shared" si="1"/>
        <v>521739.1304</v>
      </c>
      <c r="E363" s="25">
        <f t="shared" si="2"/>
        <v>-111.113832</v>
      </c>
      <c r="F363" s="24">
        <f t="shared" si="3"/>
        <v>0.000212968178</v>
      </c>
      <c r="G363" s="24">
        <f t="shared" si="4"/>
        <v>0</v>
      </c>
      <c r="H363" s="26">
        <f t="shared" si="5"/>
        <v>0</v>
      </c>
      <c r="I363" s="24">
        <f t="shared" si="6"/>
        <v>0</v>
      </c>
      <c r="J363" s="24">
        <f t="shared" si="7"/>
        <v>0</v>
      </c>
      <c r="K363" s="24"/>
      <c r="L363" s="24">
        <f t="shared" si="8"/>
        <v>430.6665461</v>
      </c>
      <c r="M363" s="14">
        <f t="shared" si="9"/>
        <v>433.6480472</v>
      </c>
      <c r="N363" s="27">
        <f t="shared" si="10"/>
        <v>-2.981501101</v>
      </c>
      <c r="O363" s="24"/>
      <c r="P363" s="24"/>
      <c r="Q363" s="24"/>
      <c r="R363" s="26"/>
      <c r="S363" s="14">
        <f t="shared" si="13"/>
        <v>-2.737900924</v>
      </c>
      <c r="U363" s="21"/>
      <c r="V363" s="21"/>
    </row>
    <row r="364">
      <c r="A364" s="11">
        <v>352.0</v>
      </c>
      <c r="B364" s="11">
        <v>1.42092608695652E9</v>
      </c>
      <c r="C364" s="2">
        <v>-102.4032593</v>
      </c>
      <c r="D364" s="24">
        <f t="shared" si="1"/>
        <v>526086.9565</v>
      </c>
      <c r="E364" s="25">
        <f t="shared" si="2"/>
        <v>-112.0321281</v>
      </c>
      <c r="F364" s="24">
        <f t="shared" si="3"/>
        <v>0.000212953632</v>
      </c>
      <c r="G364" s="24">
        <f t="shared" si="4"/>
        <v>0</v>
      </c>
      <c r="H364" s="26">
        <f t="shared" si="5"/>
        <v>0</v>
      </c>
      <c r="I364" s="24">
        <f t="shared" si="6"/>
        <v>0</v>
      </c>
      <c r="J364" s="24">
        <f t="shared" si="7"/>
        <v>0</v>
      </c>
      <c r="K364" s="24"/>
      <c r="L364" s="24">
        <f t="shared" si="8"/>
        <v>437.3007653</v>
      </c>
      <c r="M364" s="14">
        <f t="shared" si="9"/>
        <v>433.502969</v>
      </c>
      <c r="N364" s="27">
        <f t="shared" si="10"/>
        <v>3.797796328</v>
      </c>
      <c r="O364" s="24"/>
      <c r="P364" s="24"/>
      <c r="Q364" s="24"/>
      <c r="R364" s="26"/>
      <c r="S364" s="14">
        <f t="shared" si="13"/>
        <v>3.487501681</v>
      </c>
      <c r="U364" s="21"/>
      <c r="V364" s="21"/>
    </row>
    <row r="365">
      <c r="A365" s="11">
        <v>353.0</v>
      </c>
      <c r="B365" s="11">
        <v>1.4209304347826E9</v>
      </c>
      <c r="C365" s="2">
        <v>-102.5279999</v>
      </c>
      <c r="D365" s="24">
        <f t="shared" si="1"/>
        <v>530434.7826</v>
      </c>
      <c r="E365" s="25">
        <f t="shared" si="2"/>
        <v>-112.9504243</v>
      </c>
      <c r="F365" s="24">
        <f t="shared" si="3"/>
        <v>0.0002129393244</v>
      </c>
      <c r="G365" s="24">
        <f t="shared" si="4"/>
        <v>0</v>
      </c>
      <c r="H365" s="26">
        <f t="shared" si="5"/>
        <v>0</v>
      </c>
      <c r="I365" s="24">
        <f t="shared" si="6"/>
        <v>0</v>
      </c>
      <c r="J365" s="24">
        <f t="shared" si="7"/>
        <v>0</v>
      </c>
      <c r="K365" s="24"/>
      <c r="L365" s="24">
        <f t="shared" si="8"/>
        <v>424.9190261</v>
      </c>
      <c r="M365" s="14">
        <f t="shared" si="9"/>
        <v>433.3574128</v>
      </c>
      <c r="N365" s="27">
        <f t="shared" si="10"/>
        <v>-8.438386782</v>
      </c>
      <c r="O365" s="24"/>
      <c r="P365" s="24"/>
      <c r="Q365" s="24"/>
      <c r="R365" s="26"/>
      <c r="S365" s="14">
        <f t="shared" si="13"/>
        <v>-7.748937949</v>
      </c>
      <c r="U365" s="21"/>
      <c r="V365" s="21"/>
    </row>
    <row r="366">
      <c r="A366" s="11">
        <v>354.0</v>
      </c>
      <c r="B366" s="11">
        <v>1.42093478260869E9</v>
      </c>
      <c r="C366" s="2">
        <v>-102.5533524</v>
      </c>
      <c r="D366" s="24">
        <f t="shared" si="1"/>
        <v>534782.6087</v>
      </c>
      <c r="E366" s="25">
        <f t="shared" si="2"/>
        <v>-113.8687204</v>
      </c>
      <c r="F366" s="24">
        <f t="shared" si="3"/>
        <v>0.0002129252495</v>
      </c>
      <c r="G366" s="24">
        <f t="shared" si="4"/>
        <v>0</v>
      </c>
      <c r="H366" s="26">
        <f t="shared" si="5"/>
        <v>0</v>
      </c>
      <c r="I366" s="24">
        <f t="shared" si="6"/>
        <v>0</v>
      </c>
      <c r="J366" s="24">
        <f t="shared" si="7"/>
        <v>0</v>
      </c>
      <c r="K366" s="24"/>
      <c r="L366" s="24">
        <f t="shared" si="8"/>
        <v>422.4457326</v>
      </c>
      <c r="M366" s="14">
        <f t="shared" si="9"/>
        <v>433.2113778</v>
      </c>
      <c r="N366" s="27">
        <f t="shared" si="10"/>
        <v>-10.76564518</v>
      </c>
      <c r="O366" s="24"/>
      <c r="P366" s="24"/>
      <c r="Q366" s="24"/>
      <c r="R366" s="26"/>
      <c r="S366" s="14">
        <f t="shared" si="13"/>
        <v>-9.886050333</v>
      </c>
      <c r="U366" s="21"/>
      <c r="V366" s="21"/>
    </row>
    <row r="367">
      <c r="A367" s="11">
        <v>355.0</v>
      </c>
      <c r="B367" s="11">
        <v>1.42093913043478E9</v>
      </c>
      <c r="C367" s="2">
        <v>-102.5090942</v>
      </c>
      <c r="D367" s="24">
        <f t="shared" si="1"/>
        <v>539130.4348</v>
      </c>
      <c r="E367" s="25">
        <f t="shared" si="2"/>
        <v>-114.7870165</v>
      </c>
      <c r="F367" s="24">
        <f t="shared" si="3"/>
        <v>0.0002129114016</v>
      </c>
      <c r="G367" s="24">
        <f t="shared" si="4"/>
        <v>0</v>
      </c>
      <c r="H367" s="26">
        <f t="shared" si="5"/>
        <v>0</v>
      </c>
      <c r="I367" s="24">
        <f t="shared" si="6"/>
        <v>0</v>
      </c>
      <c r="J367" s="24">
        <f t="shared" si="7"/>
        <v>0</v>
      </c>
      <c r="K367" s="24"/>
      <c r="L367" s="24">
        <f t="shared" si="8"/>
        <v>426.7728149</v>
      </c>
      <c r="M367" s="14">
        <f t="shared" si="9"/>
        <v>433.0648627</v>
      </c>
      <c r="N367" s="27">
        <f t="shared" si="10"/>
        <v>-6.292047826</v>
      </c>
      <c r="O367" s="24"/>
      <c r="P367" s="24"/>
      <c r="Q367" s="24"/>
      <c r="R367" s="26"/>
      <c r="S367" s="14">
        <f t="shared" si="13"/>
        <v>-5.777963173</v>
      </c>
      <c r="U367" s="21"/>
      <c r="V367" s="21"/>
    </row>
    <row r="368">
      <c r="A368" s="11">
        <v>356.0</v>
      </c>
      <c r="B368" s="11">
        <v>1.42094347826087E9</v>
      </c>
      <c r="C368" s="2">
        <v>-102.4979401</v>
      </c>
      <c r="D368" s="24">
        <f t="shared" si="1"/>
        <v>543478.2609</v>
      </c>
      <c r="E368" s="25">
        <f t="shared" si="2"/>
        <v>-115.7053126</v>
      </c>
      <c r="F368" s="24">
        <f t="shared" si="3"/>
        <v>0.0002128977753</v>
      </c>
      <c r="G368" s="24">
        <f t="shared" si="4"/>
        <v>0</v>
      </c>
      <c r="H368" s="26">
        <f t="shared" si="5"/>
        <v>0</v>
      </c>
      <c r="I368" s="24">
        <f t="shared" si="6"/>
        <v>0</v>
      </c>
      <c r="J368" s="24">
        <f t="shared" si="7"/>
        <v>0</v>
      </c>
      <c r="K368" s="24"/>
      <c r="L368" s="24">
        <f t="shared" si="8"/>
        <v>427.8703155</v>
      </c>
      <c r="M368" s="14">
        <f t="shared" si="9"/>
        <v>432.9178665</v>
      </c>
      <c r="N368" s="27">
        <f t="shared" si="10"/>
        <v>-5.047550982</v>
      </c>
      <c r="O368" s="24"/>
      <c r="P368" s="24"/>
      <c r="Q368" s="24"/>
      <c r="R368" s="26"/>
      <c r="S368" s="14">
        <f t="shared" si="13"/>
        <v>-4.635146547</v>
      </c>
      <c r="U368" s="21"/>
      <c r="V368" s="21"/>
    </row>
    <row r="369">
      <c r="A369" s="11">
        <v>357.0</v>
      </c>
      <c r="B369" s="11">
        <v>1.42094782608695E9</v>
      </c>
      <c r="C369" s="2">
        <v>-102.5318298</v>
      </c>
      <c r="D369" s="24">
        <f t="shared" si="1"/>
        <v>547826.087</v>
      </c>
      <c r="E369" s="25">
        <f t="shared" si="2"/>
        <v>-116.6236088</v>
      </c>
      <c r="F369" s="24">
        <f t="shared" si="3"/>
        <v>0.0002128843652</v>
      </c>
      <c r="G369" s="24">
        <f t="shared" si="4"/>
        <v>0</v>
      </c>
      <c r="H369" s="26">
        <f t="shared" si="5"/>
        <v>0</v>
      </c>
      <c r="I369" s="24">
        <f t="shared" si="6"/>
        <v>0</v>
      </c>
      <c r="J369" s="24">
        <f t="shared" si="7"/>
        <v>0</v>
      </c>
      <c r="K369" s="24"/>
      <c r="L369" s="24">
        <f t="shared" si="8"/>
        <v>424.5444691</v>
      </c>
      <c r="M369" s="14">
        <f t="shared" si="9"/>
        <v>432.7703882</v>
      </c>
      <c r="N369" s="27">
        <f t="shared" si="10"/>
        <v>-8.225919036</v>
      </c>
      <c r="O369" s="24"/>
      <c r="P369" s="24"/>
      <c r="Q369" s="24"/>
      <c r="R369" s="26"/>
      <c r="S369" s="14">
        <f t="shared" si="13"/>
        <v>-7.553829639</v>
      </c>
      <c r="U369" s="21"/>
      <c r="V369" s="21"/>
    </row>
    <row r="370">
      <c r="A370" s="11">
        <v>358.0</v>
      </c>
      <c r="B370" s="11">
        <v>1.42095217391304E9</v>
      </c>
      <c r="C370" s="2">
        <v>-102.5269699</v>
      </c>
      <c r="D370" s="24">
        <f t="shared" si="1"/>
        <v>552173.913</v>
      </c>
      <c r="E370" s="25">
        <f t="shared" si="2"/>
        <v>-117.5419049</v>
      </c>
      <c r="F370" s="24">
        <f t="shared" si="3"/>
        <v>0.0002128711664</v>
      </c>
      <c r="G370" s="24">
        <f t="shared" si="4"/>
        <v>0</v>
      </c>
      <c r="H370" s="26">
        <f t="shared" si="5"/>
        <v>0</v>
      </c>
      <c r="I370" s="24">
        <f t="shared" si="6"/>
        <v>0</v>
      </c>
      <c r="J370" s="24">
        <f t="shared" si="7"/>
        <v>0</v>
      </c>
      <c r="K370" s="24"/>
      <c r="L370" s="24">
        <f t="shared" si="8"/>
        <v>425.0198145</v>
      </c>
      <c r="M370" s="14">
        <f t="shared" si="9"/>
        <v>432.6224266</v>
      </c>
      <c r="N370" s="27">
        <f t="shared" si="10"/>
        <v>-7.602612127</v>
      </c>
      <c r="O370" s="24"/>
      <c r="P370" s="24"/>
      <c r="Q370" s="24"/>
      <c r="R370" s="26"/>
      <c r="S370" s="14">
        <f t="shared" si="13"/>
        <v>-6.981449299</v>
      </c>
      <c r="U370" s="21"/>
      <c r="V370" s="21"/>
    </row>
    <row r="371">
      <c r="A371" s="11">
        <v>359.0</v>
      </c>
      <c r="B371" s="11">
        <v>1.42095652173913E9</v>
      </c>
      <c r="C371" s="2">
        <v>-102.4966125</v>
      </c>
      <c r="D371" s="24">
        <f t="shared" si="1"/>
        <v>556521.7391</v>
      </c>
      <c r="E371" s="25">
        <f t="shared" si="2"/>
        <v>-118.460201</v>
      </c>
      <c r="F371" s="24">
        <f t="shared" si="3"/>
        <v>0.0002128581738</v>
      </c>
      <c r="G371" s="24">
        <f t="shared" si="4"/>
        <v>0</v>
      </c>
      <c r="H371" s="26">
        <f t="shared" si="5"/>
        <v>0</v>
      </c>
      <c r="I371" s="24">
        <f t="shared" si="6"/>
        <v>0</v>
      </c>
      <c r="J371" s="24">
        <f t="shared" si="7"/>
        <v>0</v>
      </c>
      <c r="K371" s="24"/>
      <c r="L371" s="24">
        <f t="shared" si="8"/>
        <v>428.0011317</v>
      </c>
      <c r="M371" s="14">
        <f t="shared" si="9"/>
        <v>432.4739807</v>
      </c>
      <c r="N371" s="27">
        <f t="shared" si="10"/>
        <v>-4.472848974</v>
      </c>
      <c r="O371" s="24"/>
      <c r="P371" s="24"/>
      <c r="Q371" s="24"/>
      <c r="R371" s="26"/>
      <c r="S371" s="14">
        <f t="shared" si="13"/>
        <v>-4.107399915</v>
      </c>
      <c r="U371" s="21"/>
      <c r="V371" s="21"/>
    </row>
    <row r="372">
      <c r="A372" s="11">
        <v>360.0</v>
      </c>
      <c r="B372" s="11">
        <v>1.42096086956521E9</v>
      </c>
      <c r="C372" s="2">
        <v>-102.4527893</v>
      </c>
      <c r="D372" s="24">
        <f t="shared" si="1"/>
        <v>560869.5652</v>
      </c>
      <c r="E372" s="25">
        <f t="shared" si="2"/>
        <v>-119.3784972</v>
      </c>
      <c r="F372" s="24">
        <f t="shared" si="3"/>
        <v>0.0002128453826</v>
      </c>
      <c r="G372" s="24">
        <f t="shared" si="4"/>
        <v>0</v>
      </c>
      <c r="H372" s="26">
        <f t="shared" si="5"/>
        <v>0</v>
      </c>
      <c r="I372" s="24">
        <f t="shared" si="6"/>
        <v>0</v>
      </c>
      <c r="J372" s="24">
        <f t="shared" si="7"/>
        <v>0</v>
      </c>
      <c r="K372" s="24"/>
      <c r="L372" s="24">
        <f t="shared" si="8"/>
        <v>432.341811</v>
      </c>
      <c r="M372" s="14">
        <f t="shared" si="9"/>
        <v>432.3250494</v>
      </c>
      <c r="N372" s="27">
        <f t="shared" si="10"/>
        <v>0.01676157203</v>
      </c>
      <c r="O372" s="24"/>
      <c r="P372" s="24"/>
      <c r="Q372" s="24"/>
      <c r="R372" s="26"/>
      <c r="S372" s="14">
        <f t="shared" si="13"/>
        <v>0.01539208678</v>
      </c>
      <c r="U372" s="21"/>
      <c r="V372" s="21"/>
    </row>
    <row r="373">
      <c r="A373" s="11">
        <v>361.0</v>
      </c>
      <c r="B373" s="11">
        <v>1.4209652173913E9</v>
      </c>
      <c r="C373" s="2">
        <v>-102.5294418</v>
      </c>
      <c r="D373" s="24">
        <f t="shared" si="1"/>
        <v>565217.3913</v>
      </c>
      <c r="E373" s="25">
        <f t="shared" si="2"/>
        <v>-120.2967933</v>
      </c>
      <c r="F373" s="24">
        <f t="shared" si="3"/>
        <v>0.0002128327882</v>
      </c>
      <c r="G373" s="24">
        <f t="shared" si="4"/>
        <v>0</v>
      </c>
      <c r="H373" s="26">
        <f t="shared" si="5"/>
        <v>0</v>
      </c>
      <c r="I373" s="24">
        <f t="shared" si="6"/>
        <v>0</v>
      </c>
      <c r="J373" s="24">
        <f t="shared" si="7"/>
        <v>0</v>
      </c>
      <c r="K373" s="24"/>
      <c r="L373" s="24">
        <f t="shared" si="8"/>
        <v>424.7779722</v>
      </c>
      <c r="M373" s="14">
        <f t="shared" si="9"/>
        <v>432.1756316</v>
      </c>
      <c r="N373" s="27">
        <f t="shared" si="10"/>
        <v>-7.397659421</v>
      </c>
      <c r="O373" s="24"/>
      <c r="P373" s="24"/>
      <c r="Q373" s="24"/>
      <c r="R373" s="26"/>
      <c r="S373" s="14">
        <f t="shared" si="13"/>
        <v>-6.793242022</v>
      </c>
      <c r="U373" s="21"/>
      <c r="V373" s="21"/>
    </row>
    <row r="374">
      <c r="A374" s="11">
        <v>362.0</v>
      </c>
      <c r="B374" s="11">
        <v>1.42096956521739E9</v>
      </c>
      <c r="C374" s="2">
        <v>-102.519783</v>
      </c>
      <c r="D374" s="24">
        <f t="shared" si="1"/>
        <v>569565.2174</v>
      </c>
      <c r="E374" s="25">
        <f t="shared" si="2"/>
        <v>-121.2150894</v>
      </c>
      <c r="F374" s="24">
        <f t="shared" si="3"/>
        <v>0.000212820386</v>
      </c>
      <c r="G374" s="24">
        <f t="shared" si="4"/>
        <v>0</v>
      </c>
      <c r="H374" s="26">
        <f t="shared" si="5"/>
        <v>0</v>
      </c>
      <c r="I374" s="24">
        <f t="shared" si="6"/>
        <v>0</v>
      </c>
      <c r="J374" s="24">
        <f t="shared" si="7"/>
        <v>0</v>
      </c>
      <c r="K374" s="24"/>
      <c r="L374" s="24">
        <f t="shared" si="8"/>
        <v>425.7237386</v>
      </c>
      <c r="M374" s="14">
        <f t="shared" si="9"/>
        <v>432.0257263</v>
      </c>
      <c r="N374" s="27">
        <f t="shared" si="10"/>
        <v>-6.301987721</v>
      </c>
      <c r="O374" s="24"/>
      <c r="P374" s="24"/>
      <c r="Q374" s="24"/>
      <c r="R374" s="26"/>
      <c r="S374" s="14">
        <f t="shared" si="13"/>
        <v>-5.787090953</v>
      </c>
    </row>
    <row r="375">
      <c r="A375" s="11">
        <v>363.0</v>
      </c>
      <c r="B375" s="11">
        <v>1.42097391304347E9</v>
      </c>
      <c r="C375" s="2">
        <v>-102.4835281</v>
      </c>
      <c r="D375" s="24">
        <f t="shared" si="1"/>
        <v>573913.0435</v>
      </c>
      <c r="E375" s="25">
        <f t="shared" si="2"/>
        <v>-122.1333856</v>
      </c>
      <c r="F375" s="24">
        <f t="shared" si="3"/>
        <v>0.0002128081718</v>
      </c>
      <c r="G375" s="24">
        <f t="shared" si="4"/>
        <v>0</v>
      </c>
      <c r="H375" s="26">
        <f t="shared" si="5"/>
        <v>0</v>
      </c>
      <c r="I375" s="24">
        <f t="shared" si="6"/>
        <v>0</v>
      </c>
      <c r="J375" s="24">
        <f t="shared" si="7"/>
        <v>0</v>
      </c>
      <c r="K375" s="24"/>
      <c r="L375" s="24">
        <f t="shared" si="8"/>
        <v>429.2925556</v>
      </c>
      <c r="M375" s="14">
        <f t="shared" si="9"/>
        <v>431.8753324</v>
      </c>
      <c r="N375" s="27">
        <f t="shared" si="10"/>
        <v>-2.582776841</v>
      </c>
      <c r="O375" s="24"/>
      <c r="P375" s="24"/>
      <c r="Q375" s="24"/>
      <c r="R375" s="26"/>
      <c r="S375" s="14">
        <f t="shared" si="13"/>
        <v>-2.371753985</v>
      </c>
    </row>
    <row r="376">
      <c r="A376" s="11">
        <v>364.0</v>
      </c>
      <c r="B376" s="11">
        <v>1.42097826086956E9</v>
      </c>
      <c r="C376" s="2">
        <v>-102.4921265</v>
      </c>
      <c r="D376" s="24">
        <f t="shared" si="1"/>
        <v>578260.8696</v>
      </c>
      <c r="E376" s="25">
        <f t="shared" si="2"/>
        <v>-123.0516817</v>
      </c>
      <c r="F376" s="24">
        <f t="shared" si="3"/>
        <v>0.0002127961413</v>
      </c>
      <c r="G376" s="24">
        <f t="shared" si="4"/>
        <v>0</v>
      </c>
      <c r="H376" s="26">
        <f t="shared" si="5"/>
        <v>0</v>
      </c>
      <c r="I376" s="24">
        <f t="shared" si="6"/>
        <v>0</v>
      </c>
      <c r="J376" s="24">
        <f t="shared" si="7"/>
        <v>0</v>
      </c>
      <c r="K376" s="24"/>
      <c r="L376" s="24">
        <f t="shared" si="8"/>
        <v>428.4434595</v>
      </c>
      <c r="M376" s="14">
        <f t="shared" si="9"/>
        <v>431.7244488</v>
      </c>
      <c r="N376" s="27">
        <f t="shared" si="10"/>
        <v>-3.280989317</v>
      </c>
      <c r="O376" s="24"/>
      <c r="P376" s="24"/>
      <c r="Q376" s="24"/>
      <c r="R376" s="26"/>
      <c r="S376" s="14">
        <f t="shared" si="13"/>
        <v>-3.012919795</v>
      </c>
    </row>
    <row r="377">
      <c r="A377" s="11">
        <v>365.0</v>
      </c>
      <c r="B377" s="11">
        <v>1.42098260869565E9</v>
      </c>
      <c r="C377" s="2">
        <v>-102.4980011</v>
      </c>
      <c r="D377" s="24">
        <f t="shared" si="1"/>
        <v>582608.6957</v>
      </c>
      <c r="E377" s="25">
        <f t="shared" si="2"/>
        <v>-123.9699778</v>
      </c>
      <c r="F377" s="24">
        <f t="shared" si="3"/>
        <v>0.0002127842903</v>
      </c>
      <c r="G377" s="24">
        <f t="shared" si="4"/>
        <v>0</v>
      </c>
      <c r="H377" s="26">
        <f t="shared" si="5"/>
        <v>0</v>
      </c>
      <c r="I377" s="24">
        <f t="shared" si="6"/>
        <v>0</v>
      </c>
      <c r="J377" s="24">
        <f t="shared" si="7"/>
        <v>0</v>
      </c>
      <c r="K377" s="24"/>
      <c r="L377" s="24">
        <f t="shared" si="8"/>
        <v>427.8643058</v>
      </c>
      <c r="M377" s="14">
        <f t="shared" si="9"/>
        <v>431.5730744</v>
      </c>
      <c r="N377" s="27">
        <f t="shared" si="10"/>
        <v>-3.7087686</v>
      </c>
      <c r="O377" s="24"/>
      <c r="P377" s="24"/>
      <c r="Q377" s="24"/>
      <c r="R377" s="26"/>
      <c r="S377" s="14">
        <f t="shared" si="13"/>
        <v>-3.405747863</v>
      </c>
    </row>
    <row r="378">
      <c r="A378" s="11">
        <v>366.0</v>
      </c>
      <c r="B378" s="11">
        <v>1.42098695652173E9</v>
      </c>
      <c r="C378" s="2">
        <v>-102.5168076</v>
      </c>
      <c r="D378" s="24">
        <f t="shared" si="1"/>
        <v>586956.5217</v>
      </c>
      <c r="E378" s="25">
        <f t="shared" si="2"/>
        <v>-124.888274</v>
      </c>
      <c r="F378" s="24">
        <f t="shared" si="3"/>
        <v>0.0002127726149</v>
      </c>
      <c r="G378" s="24">
        <f t="shared" si="4"/>
        <v>0</v>
      </c>
      <c r="H378" s="26">
        <f t="shared" si="5"/>
        <v>0</v>
      </c>
      <c r="I378" s="24">
        <f t="shared" si="6"/>
        <v>0</v>
      </c>
      <c r="J378" s="24">
        <f t="shared" si="7"/>
        <v>0</v>
      </c>
      <c r="K378" s="24"/>
      <c r="L378" s="24">
        <f t="shared" si="8"/>
        <v>426.0155066</v>
      </c>
      <c r="M378" s="14">
        <f t="shared" si="9"/>
        <v>431.4212082</v>
      </c>
      <c r="N378" s="27">
        <f t="shared" si="10"/>
        <v>-5.405701548</v>
      </c>
      <c r="O378" s="24"/>
      <c r="P378" s="24"/>
      <c r="Q378" s="24"/>
      <c r="R378" s="26"/>
      <c r="S378" s="14">
        <f t="shared" si="13"/>
        <v>-4.964034826</v>
      </c>
    </row>
    <row r="379">
      <c r="A379" s="11">
        <v>367.0</v>
      </c>
      <c r="B379" s="11">
        <v>1.42099130434782E9</v>
      </c>
      <c r="C379" s="2">
        <v>-102.4665833</v>
      </c>
      <c r="D379" s="24">
        <f t="shared" si="1"/>
        <v>591304.3478</v>
      </c>
      <c r="E379" s="25">
        <f t="shared" si="2"/>
        <v>-125.8065701</v>
      </c>
      <c r="F379" s="24">
        <f t="shared" si="3"/>
        <v>0.0002127611112</v>
      </c>
      <c r="G379" s="24">
        <f t="shared" si="4"/>
        <v>0</v>
      </c>
      <c r="H379" s="26">
        <f t="shared" si="5"/>
        <v>0</v>
      </c>
      <c r="I379" s="24">
        <f t="shared" si="6"/>
        <v>0</v>
      </c>
      <c r="J379" s="24">
        <f t="shared" si="7"/>
        <v>0</v>
      </c>
      <c r="K379" s="24"/>
      <c r="L379" s="24">
        <f t="shared" si="8"/>
        <v>430.9707915</v>
      </c>
      <c r="M379" s="14">
        <f t="shared" si="9"/>
        <v>431.268849</v>
      </c>
      <c r="N379" s="27">
        <f t="shared" si="10"/>
        <v>-0.2980575616</v>
      </c>
      <c r="O379" s="24"/>
      <c r="P379" s="24"/>
      <c r="Q379" s="24"/>
      <c r="R379" s="26"/>
      <c r="S379" s="14">
        <f t="shared" si="13"/>
        <v>-0.2737051062</v>
      </c>
    </row>
    <row r="380">
      <c r="A380" s="11">
        <v>368.0</v>
      </c>
      <c r="B380" s="11">
        <v>1.42099565217391E9</v>
      </c>
      <c r="C380" s="2">
        <v>-102.5375519</v>
      </c>
      <c r="D380" s="24">
        <f t="shared" si="1"/>
        <v>595652.1739</v>
      </c>
      <c r="E380" s="25">
        <f t="shared" si="2"/>
        <v>-126.7248662</v>
      </c>
      <c r="F380" s="24">
        <f t="shared" si="3"/>
        <v>0.0002127497754</v>
      </c>
      <c r="G380" s="24">
        <f t="shared" si="4"/>
        <v>0</v>
      </c>
      <c r="H380" s="26">
        <f t="shared" si="5"/>
        <v>0</v>
      </c>
      <c r="I380" s="24">
        <f t="shared" si="6"/>
        <v>0</v>
      </c>
      <c r="J380" s="24">
        <f t="shared" si="7"/>
        <v>0</v>
      </c>
      <c r="K380" s="24"/>
      <c r="L380" s="24">
        <f t="shared" si="8"/>
        <v>423.9854737</v>
      </c>
      <c r="M380" s="14">
        <f t="shared" si="9"/>
        <v>431.1159959</v>
      </c>
      <c r="N380" s="27">
        <f t="shared" si="10"/>
        <v>-7.130522171</v>
      </c>
      <c r="O380" s="24"/>
      <c r="P380" s="24"/>
      <c r="Q380" s="24"/>
      <c r="R380" s="26"/>
      <c r="S380" s="14">
        <f t="shared" si="13"/>
        <v>-6.547930919</v>
      </c>
    </row>
    <row r="381">
      <c r="A381" s="11">
        <v>369.0</v>
      </c>
      <c r="B381" s="11">
        <v>1.421E9</v>
      </c>
      <c r="C381" s="2">
        <v>-102.5730133</v>
      </c>
      <c r="D381" s="24">
        <f t="shared" si="1"/>
        <v>600000</v>
      </c>
      <c r="E381" s="25">
        <f t="shared" si="2"/>
        <v>-127.6431624</v>
      </c>
      <c r="F381" s="24">
        <f t="shared" si="3"/>
        <v>0.0002127386039</v>
      </c>
      <c r="G381" s="24">
        <f t="shared" si="4"/>
        <v>0</v>
      </c>
      <c r="H381" s="26">
        <f t="shared" si="5"/>
        <v>0</v>
      </c>
      <c r="I381" s="24">
        <f t="shared" si="6"/>
        <v>0</v>
      </c>
      <c r="J381" s="24">
        <f t="shared" si="7"/>
        <v>0</v>
      </c>
      <c r="K381" s="24"/>
      <c r="L381" s="24">
        <f t="shared" si="8"/>
        <v>420.5376053</v>
      </c>
      <c r="M381" s="14">
        <f t="shared" si="9"/>
        <v>430.9626477</v>
      </c>
      <c r="N381" s="27">
        <f t="shared" si="10"/>
        <v>-10.42504235</v>
      </c>
      <c r="O381" s="24"/>
      <c r="P381" s="24"/>
      <c r="Q381" s="24"/>
      <c r="R381" s="26"/>
      <c r="S381" s="14">
        <f t="shared" si="13"/>
        <v>-9.573276077</v>
      </c>
    </row>
    <row r="382">
      <c r="A382" s="11">
        <v>370.0</v>
      </c>
      <c r="B382" s="11">
        <v>1.42100434782608E9</v>
      </c>
      <c r="C382" s="2">
        <v>-102.5037155</v>
      </c>
      <c r="D382" s="24">
        <f t="shared" si="1"/>
        <v>604347.8261</v>
      </c>
      <c r="E382" s="25">
        <f t="shared" si="2"/>
        <v>-128.5614585</v>
      </c>
      <c r="F382" s="24">
        <f t="shared" si="3"/>
        <v>0.0002127275932</v>
      </c>
      <c r="G382" s="24">
        <f t="shared" si="4"/>
        <v>0</v>
      </c>
      <c r="H382" s="26">
        <f t="shared" si="5"/>
        <v>0</v>
      </c>
      <c r="I382" s="24">
        <f t="shared" si="6"/>
        <v>0</v>
      </c>
      <c r="J382" s="24">
        <f t="shared" si="7"/>
        <v>0</v>
      </c>
      <c r="K382" s="24"/>
      <c r="L382" s="24">
        <f t="shared" si="8"/>
        <v>427.3016968</v>
      </c>
      <c r="M382" s="14">
        <f t="shared" si="9"/>
        <v>430.8088033</v>
      </c>
      <c r="N382" s="27">
        <f t="shared" si="10"/>
        <v>-3.50710655</v>
      </c>
      <c r="O382" s="24"/>
      <c r="P382" s="24"/>
      <c r="Q382" s="24"/>
      <c r="R382" s="26"/>
      <c r="S382" s="14">
        <f t="shared" si="13"/>
        <v>-3.220562382</v>
      </c>
    </row>
    <row r="383">
      <c r="A383" s="11">
        <v>371.0</v>
      </c>
      <c r="B383" s="11">
        <v>1.42100869565217E9</v>
      </c>
      <c r="C383" s="2">
        <v>-102.5731659</v>
      </c>
      <c r="D383" s="24">
        <f t="shared" si="1"/>
        <v>608695.6522</v>
      </c>
      <c r="E383" s="25">
        <f t="shared" si="2"/>
        <v>-129.4797546</v>
      </c>
      <c r="F383" s="24">
        <f t="shared" si="3"/>
        <v>0.0002127167398</v>
      </c>
      <c r="G383" s="24">
        <f t="shared" si="4"/>
        <v>0</v>
      </c>
      <c r="H383" s="26">
        <f t="shared" si="5"/>
        <v>0</v>
      </c>
      <c r="I383" s="24">
        <f t="shared" si="6"/>
        <v>0</v>
      </c>
      <c r="J383" s="24">
        <f t="shared" si="7"/>
        <v>0</v>
      </c>
      <c r="K383" s="24"/>
      <c r="L383" s="24">
        <f t="shared" si="8"/>
        <v>420.522829</v>
      </c>
      <c r="M383" s="14">
        <f t="shared" si="9"/>
        <v>430.6544618</v>
      </c>
      <c r="N383" s="27">
        <f t="shared" si="10"/>
        <v>-10.13163279</v>
      </c>
      <c r="O383" s="24"/>
      <c r="P383" s="24"/>
      <c r="Q383" s="24"/>
      <c r="R383" s="26"/>
      <c r="S383" s="14">
        <f t="shared" si="13"/>
        <v>-9.303839186</v>
      </c>
    </row>
    <row r="384">
      <c r="A384" s="11">
        <v>372.0</v>
      </c>
      <c r="B384" s="11">
        <v>1.42101304347826E9</v>
      </c>
      <c r="C384" s="2">
        <v>-102.5447311</v>
      </c>
      <c r="D384" s="24">
        <f t="shared" si="1"/>
        <v>613043.4783</v>
      </c>
      <c r="E384" s="25">
        <f t="shared" si="2"/>
        <v>-130.3980508</v>
      </c>
      <c r="F384" s="24">
        <f t="shared" si="3"/>
        <v>0.0002127060402</v>
      </c>
      <c r="G384" s="24">
        <f t="shared" si="4"/>
        <v>0</v>
      </c>
      <c r="H384" s="26">
        <f t="shared" si="5"/>
        <v>0</v>
      </c>
      <c r="I384" s="24">
        <f t="shared" si="6"/>
        <v>0</v>
      </c>
      <c r="J384" s="24">
        <f t="shared" si="7"/>
        <v>0</v>
      </c>
      <c r="K384" s="24"/>
      <c r="L384" s="24">
        <f t="shared" si="8"/>
        <v>423.2851742</v>
      </c>
      <c r="M384" s="14">
        <f t="shared" si="9"/>
        <v>430.4996219</v>
      </c>
      <c r="N384" s="27">
        <f t="shared" si="10"/>
        <v>-7.214447658</v>
      </c>
      <c r="O384" s="24"/>
      <c r="P384" s="24"/>
      <c r="Q384" s="24"/>
      <c r="R384" s="26"/>
      <c r="S384" s="14">
        <f t="shared" si="13"/>
        <v>-6.624999385</v>
      </c>
    </row>
    <row r="385">
      <c r="A385" s="11">
        <v>373.0</v>
      </c>
      <c r="B385" s="11">
        <v>1.42101739130434E9</v>
      </c>
      <c r="C385" s="2">
        <v>-102.5066681</v>
      </c>
      <c r="D385" s="24">
        <f t="shared" si="1"/>
        <v>617391.3043</v>
      </c>
      <c r="E385" s="25">
        <f t="shared" si="2"/>
        <v>-131.3163469</v>
      </c>
      <c r="F385" s="24">
        <f t="shared" si="3"/>
        <v>0.0002126954915</v>
      </c>
      <c r="G385" s="24">
        <f t="shared" si="4"/>
        <v>0</v>
      </c>
      <c r="H385" s="26">
        <f t="shared" si="5"/>
        <v>0</v>
      </c>
      <c r="I385" s="24">
        <f t="shared" si="6"/>
        <v>0</v>
      </c>
      <c r="J385" s="24">
        <f t="shared" si="7"/>
        <v>0</v>
      </c>
      <c r="K385" s="24"/>
      <c r="L385" s="24">
        <f t="shared" si="8"/>
        <v>427.0112896</v>
      </c>
      <c r="M385" s="14">
        <f t="shared" si="9"/>
        <v>430.3442827</v>
      </c>
      <c r="N385" s="27">
        <f t="shared" si="10"/>
        <v>-3.332993024</v>
      </c>
      <c r="O385" s="24"/>
      <c r="P385" s="24"/>
      <c r="Q385" s="24"/>
      <c r="R385" s="26"/>
      <c r="S385" s="14">
        <f t="shared" si="13"/>
        <v>-3.060674604</v>
      </c>
    </row>
    <row r="386">
      <c r="A386" s="11">
        <v>374.0</v>
      </c>
      <c r="B386" s="11">
        <v>1.42102173913043E9</v>
      </c>
      <c r="C386" s="2">
        <v>-102.5266571</v>
      </c>
      <c r="D386" s="24">
        <f t="shared" si="1"/>
        <v>621739.1304</v>
      </c>
      <c r="E386" s="25">
        <f t="shared" si="2"/>
        <v>-132.234643</v>
      </c>
      <c r="F386" s="24">
        <f t="shared" si="3"/>
        <v>0.0002126850902</v>
      </c>
      <c r="G386" s="24">
        <f t="shared" si="4"/>
        <v>0</v>
      </c>
      <c r="H386" s="26">
        <f t="shared" si="5"/>
        <v>0</v>
      </c>
      <c r="I386" s="24">
        <f t="shared" si="6"/>
        <v>0</v>
      </c>
      <c r="J386" s="24">
        <f t="shared" si="7"/>
        <v>0</v>
      </c>
      <c r="K386" s="24"/>
      <c r="L386" s="24">
        <f t="shared" si="8"/>
        <v>425.0504276</v>
      </c>
      <c r="M386" s="14">
        <f t="shared" si="9"/>
        <v>430.188443</v>
      </c>
      <c r="N386" s="27">
        <f t="shared" si="10"/>
        <v>-5.138015421</v>
      </c>
      <c r="O386" s="24"/>
      <c r="P386" s="24"/>
      <c r="Q386" s="24"/>
      <c r="R386" s="26"/>
      <c r="S386" s="14">
        <f t="shared" si="13"/>
        <v>-4.71821968</v>
      </c>
    </row>
    <row r="387">
      <c r="A387" s="11">
        <v>375.0</v>
      </c>
      <c r="B387" s="11">
        <v>1.42102608695652E9</v>
      </c>
      <c r="C387" s="2">
        <v>-102.5126953</v>
      </c>
      <c r="D387" s="24">
        <f t="shared" si="1"/>
        <v>626086.9565</v>
      </c>
      <c r="E387" s="25">
        <f t="shared" si="2"/>
        <v>-133.1529392</v>
      </c>
      <c r="F387" s="24">
        <f t="shared" si="3"/>
        <v>0.0002126748334</v>
      </c>
      <c r="G387" s="24">
        <f t="shared" si="4"/>
        <v>0</v>
      </c>
      <c r="H387" s="26">
        <f t="shared" si="5"/>
        <v>0</v>
      </c>
      <c r="I387" s="24">
        <f t="shared" si="6"/>
        <v>0</v>
      </c>
      <c r="J387" s="24">
        <f t="shared" si="7"/>
        <v>0</v>
      </c>
      <c r="K387" s="24"/>
      <c r="L387" s="24">
        <f t="shared" si="8"/>
        <v>426.4190884</v>
      </c>
      <c r="M387" s="14">
        <f t="shared" si="9"/>
        <v>430.0321018</v>
      </c>
      <c r="N387" s="27">
        <f t="shared" si="10"/>
        <v>-3.6130134</v>
      </c>
      <c r="O387" s="24"/>
      <c r="P387" s="24"/>
      <c r="Q387" s="24"/>
      <c r="R387" s="26"/>
      <c r="S387" s="14">
        <f t="shared" si="13"/>
        <v>-3.317816233</v>
      </c>
    </row>
    <row r="388">
      <c r="A388" s="11">
        <v>376.0</v>
      </c>
      <c r="B388" s="11">
        <v>1.4210304347826E9</v>
      </c>
      <c r="C388" s="2">
        <v>-102.5024567</v>
      </c>
      <c r="D388" s="24">
        <f t="shared" si="1"/>
        <v>630434.7826</v>
      </c>
      <c r="E388" s="25">
        <f t="shared" si="2"/>
        <v>-134.0712353</v>
      </c>
      <c r="F388" s="24">
        <f t="shared" si="3"/>
        <v>0.0002126647181</v>
      </c>
      <c r="G388" s="24">
        <f t="shared" si="4"/>
        <v>0</v>
      </c>
      <c r="H388" s="26">
        <f t="shared" si="5"/>
        <v>0</v>
      </c>
      <c r="I388" s="24">
        <f t="shared" si="6"/>
        <v>0</v>
      </c>
      <c r="J388" s="24">
        <f t="shared" si="7"/>
        <v>0</v>
      </c>
      <c r="K388" s="24"/>
      <c r="L388" s="24">
        <f t="shared" si="8"/>
        <v>427.4255679</v>
      </c>
      <c r="M388" s="14">
        <f t="shared" si="9"/>
        <v>429.875258</v>
      </c>
      <c r="N388" s="27">
        <f t="shared" si="10"/>
        <v>-2.449690107</v>
      </c>
      <c r="O388" s="24"/>
      <c r="P388" s="24"/>
      <c r="Q388" s="24"/>
      <c r="R388" s="26"/>
      <c r="S388" s="14">
        <f t="shared" si="13"/>
        <v>-2.249540951</v>
      </c>
    </row>
    <row r="389">
      <c r="A389" s="11">
        <v>377.0</v>
      </c>
      <c r="B389" s="11">
        <v>1.42103478260869E9</v>
      </c>
      <c r="C389" s="2">
        <v>-102.5188828</v>
      </c>
      <c r="D389" s="24">
        <f t="shared" si="1"/>
        <v>634782.6087</v>
      </c>
      <c r="E389" s="25">
        <f t="shared" si="2"/>
        <v>-134.9895314</v>
      </c>
      <c r="F389" s="24">
        <f t="shared" si="3"/>
        <v>0.0002126547413</v>
      </c>
      <c r="G389" s="24">
        <f t="shared" si="4"/>
        <v>0</v>
      </c>
      <c r="H389" s="26">
        <f t="shared" si="5"/>
        <v>0</v>
      </c>
      <c r="I389" s="24">
        <f t="shared" si="6"/>
        <v>0</v>
      </c>
      <c r="J389" s="24">
        <f t="shared" si="7"/>
        <v>0</v>
      </c>
      <c r="K389" s="24"/>
      <c r="L389" s="24">
        <f t="shared" si="8"/>
        <v>425.8119912</v>
      </c>
      <c r="M389" s="14">
        <f t="shared" si="9"/>
        <v>429.7179105</v>
      </c>
      <c r="N389" s="27">
        <f t="shared" si="10"/>
        <v>-3.905919299</v>
      </c>
      <c r="O389" s="24"/>
      <c r="P389" s="24"/>
      <c r="Q389" s="24"/>
      <c r="R389" s="26"/>
      <c r="S389" s="14">
        <f t="shared" si="13"/>
        <v>-3.586790587</v>
      </c>
    </row>
    <row r="390">
      <c r="A390" s="11">
        <v>378.0</v>
      </c>
      <c r="B390" s="11">
        <v>1.42103913043478E9</v>
      </c>
      <c r="C390" s="2">
        <v>-102.5300522</v>
      </c>
      <c r="D390" s="24">
        <f t="shared" si="1"/>
        <v>639130.4348</v>
      </c>
      <c r="E390" s="25">
        <f t="shared" si="2"/>
        <v>-135.9078276</v>
      </c>
      <c r="F390" s="24">
        <f t="shared" si="3"/>
        <v>0.0002126449003</v>
      </c>
      <c r="G390" s="24">
        <f t="shared" si="4"/>
        <v>0</v>
      </c>
      <c r="H390" s="26">
        <f t="shared" si="5"/>
        <v>0</v>
      </c>
      <c r="I390" s="24">
        <f t="shared" si="6"/>
        <v>0</v>
      </c>
      <c r="J390" s="24">
        <f t="shared" si="7"/>
        <v>0</v>
      </c>
      <c r="K390" s="24"/>
      <c r="L390" s="24">
        <f t="shared" si="8"/>
        <v>424.718274</v>
      </c>
      <c r="M390" s="14">
        <f t="shared" si="9"/>
        <v>429.5600583</v>
      </c>
      <c r="N390" s="27">
        <f t="shared" si="10"/>
        <v>-4.84178436</v>
      </c>
      <c r="O390" s="24"/>
      <c r="P390" s="24"/>
      <c r="Q390" s="24"/>
      <c r="R390" s="26"/>
      <c r="S390" s="14">
        <f t="shared" si="13"/>
        <v>-4.446191843</v>
      </c>
    </row>
    <row r="391">
      <c r="A391" s="11">
        <v>379.0</v>
      </c>
      <c r="B391" s="11">
        <v>1.42104347826087E9</v>
      </c>
      <c r="C391" s="2">
        <v>-102.5448303</v>
      </c>
      <c r="D391" s="24">
        <f t="shared" si="1"/>
        <v>643478.2609</v>
      </c>
      <c r="E391" s="25">
        <f t="shared" si="2"/>
        <v>-136.8261237</v>
      </c>
      <c r="F391" s="24">
        <f t="shared" si="3"/>
        <v>0.0002126351922</v>
      </c>
      <c r="G391" s="24">
        <f t="shared" si="4"/>
        <v>0</v>
      </c>
      <c r="H391" s="26">
        <f t="shared" si="5"/>
        <v>0</v>
      </c>
      <c r="I391" s="24">
        <f t="shared" si="6"/>
        <v>0</v>
      </c>
      <c r="J391" s="24">
        <f t="shared" si="7"/>
        <v>0</v>
      </c>
      <c r="K391" s="24"/>
      <c r="L391" s="24">
        <f t="shared" si="8"/>
        <v>423.2755058</v>
      </c>
      <c r="M391" s="14">
        <f t="shared" si="9"/>
        <v>429.4017003</v>
      </c>
      <c r="N391" s="27">
        <f t="shared" si="10"/>
        <v>-6.126194465</v>
      </c>
      <c r="O391" s="24"/>
      <c r="P391" s="24"/>
      <c r="Q391" s="24"/>
      <c r="R391" s="26"/>
      <c r="S391" s="14">
        <f t="shared" si="13"/>
        <v>-5.625660685</v>
      </c>
    </row>
    <row r="392">
      <c r="A392" s="11">
        <v>380.0</v>
      </c>
      <c r="B392" s="11">
        <v>1.42104782608695E9</v>
      </c>
      <c r="C392" s="2">
        <v>-102.5157166</v>
      </c>
      <c r="D392" s="24">
        <f t="shared" si="1"/>
        <v>647826.087</v>
      </c>
      <c r="E392" s="25">
        <f t="shared" si="2"/>
        <v>-137.7444198</v>
      </c>
      <c r="F392" s="24">
        <f t="shared" si="3"/>
        <v>0.0002126256145</v>
      </c>
      <c r="G392" s="24">
        <f t="shared" si="4"/>
        <v>0</v>
      </c>
      <c r="H392" s="26">
        <f t="shared" si="5"/>
        <v>0</v>
      </c>
      <c r="I392" s="24">
        <f t="shared" si="6"/>
        <v>0</v>
      </c>
      <c r="J392" s="24">
        <f t="shared" si="7"/>
        <v>0</v>
      </c>
      <c r="K392" s="24"/>
      <c r="L392" s="24">
        <f t="shared" si="8"/>
        <v>426.1225403</v>
      </c>
      <c r="M392" s="14">
        <f t="shared" si="9"/>
        <v>429.2428354</v>
      </c>
      <c r="N392" s="27">
        <f t="shared" si="10"/>
        <v>-3.12029506</v>
      </c>
      <c r="O392" s="24"/>
      <c r="P392" s="24"/>
      <c r="Q392" s="24"/>
      <c r="R392" s="26"/>
      <c r="S392" s="14">
        <f t="shared" si="13"/>
        <v>-2.865354887</v>
      </c>
    </row>
    <row r="393">
      <c r="A393" s="11">
        <v>381.0</v>
      </c>
      <c r="B393" s="11">
        <v>1.42105217391304E9</v>
      </c>
      <c r="C393" s="2">
        <v>-102.5285034</v>
      </c>
      <c r="D393" s="24">
        <f t="shared" si="1"/>
        <v>652173.913</v>
      </c>
      <c r="E393" s="25">
        <f t="shared" si="2"/>
        <v>-138.662716</v>
      </c>
      <c r="F393" s="24">
        <f t="shared" si="3"/>
        <v>0.0002126161645</v>
      </c>
      <c r="G393" s="24">
        <f t="shared" si="4"/>
        <v>0</v>
      </c>
      <c r="H393" s="26">
        <f t="shared" si="5"/>
        <v>0</v>
      </c>
      <c r="I393" s="24">
        <f t="shared" si="6"/>
        <v>0</v>
      </c>
      <c r="J393" s="24">
        <f t="shared" si="7"/>
        <v>0</v>
      </c>
      <c r="K393" s="24"/>
      <c r="L393" s="24">
        <f t="shared" si="8"/>
        <v>424.8697659</v>
      </c>
      <c r="M393" s="14">
        <f t="shared" si="9"/>
        <v>429.0834625</v>
      </c>
      <c r="N393" s="27">
        <f t="shared" si="10"/>
        <v>-4.213696608</v>
      </c>
      <c r="O393" s="24"/>
      <c r="P393" s="24"/>
      <c r="Q393" s="24"/>
      <c r="R393" s="26"/>
      <c r="S393" s="14">
        <f t="shared" si="13"/>
        <v>-3.869421291</v>
      </c>
    </row>
    <row r="394">
      <c r="A394" s="11">
        <v>382.0</v>
      </c>
      <c r="B394" s="11">
        <v>1.42105652173913E9</v>
      </c>
      <c r="C394" s="2">
        <v>-102.497139</v>
      </c>
      <c r="D394" s="24">
        <f t="shared" si="1"/>
        <v>656521.7391</v>
      </c>
      <c r="E394" s="25">
        <f t="shared" si="2"/>
        <v>-139.5810121</v>
      </c>
      <c r="F394" s="24">
        <f t="shared" si="3"/>
        <v>0.0002126068396</v>
      </c>
      <c r="G394" s="24">
        <f t="shared" si="4"/>
        <v>0</v>
      </c>
      <c r="H394" s="26">
        <f t="shared" si="5"/>
        <v>0</v>
      </c>
      <c r="I394" s="24">
        <f t="shared" si="6"/>
        <v>0</v>
      </c>
      <c r="J394" s="24">
        <f t="shared" si="7"/>
        <v>0</v>
      </c>
      <c r="K394" s="24"/>
      <c r="L394" s="24">
        <f t="shared" si="8"/>
        <v>427.9492478</v>
      </c>
      <c r="M394" s="14">
        <f t="shared" si="9"/>
        <v>428.9235805</v>
      </c>
      <c r="N394" s="27">
        <f t="shared" si="10"/>
        <v>-0.9743327106</v>
      </c>
      <c r="O394" s="24"/>
      <c r="P394" s="24"/>
      <c r="Q394" s="24"/>
      <c r="R394" s="26"/>
      <c r="S394" s="14">
        <f t="shared" si="13"/>
        <v>-0.8947259601</v>
      </c>
    </row>
    <row r="395">
      <c r="A395" s="11">
        <v>383.0</v>
      </c>
      <c r="B395" s="11">
        <v>1.42106086956521E9</v>
      </c>
      <c r="C395" s="2">
        <v>-102.498436</v>
      </c>
      <c r="D395" s="24">
        <f t="shared" si="1"/>
        <v>660869.5652</v>
      </c>
      <c r="E395" s="25">
        <f t="shared" si="2"/>
        <v>-140.4993082</v>
      </c>
      <c r="F395" s="24">
        <f t="shared" si="3"/>
        <v>0.0002125976374</v>
      </c>
      <c r="G395" s="24">
        <f t="shared" si="4"/>
        <v>0</v>
      </c>
      <c r="H395" s="26">
        <f t="shared" si="5"/>
        <v>0</v>
      </c>
      <c r="I395" s="24">
        <f t="shared" si="6"/>
        <v>0</v>
      </c>
      <c r="J395" s="24">
        <f t="shared" si="7"/>
        <v>0</v>
      </c>
      <c r="K395" s="24"/>
      <c r="L395" s="24">
        <f t="shared" si="8"/>
        <v>427.8214619</v>
      </c>
      <c r="M395" s="14">
        <f t="shared" si="9"/>
        <v>428.7631885</v>
      </c>
      <c r="N395" s="27">
        <f t="shared" si="10"/>
        <v>-0.9417265921</v>
      </c>
      <c r="O395" s="24"/>
      <c r="P395" s="24"/>
      <c r="Q395" s="24"/>
      <c r="R395" s="26"/>
      <c r="S395" s="14">
        <f t="shared" si="13"/>
        <v>-0.8647838877</v>
      </c>
    </row>
    <row r="396">
      <c r="A396" s="11">
        <v>384.0</v>
      </c>
      <c r="B396" s="11">
        <v>1.4210652173913E9</v>
      </c>
      <c r="C396" s="2">
        <v>-102.5912704</v>
      </c>
      <c r="D396" s="24">
        <f t="shared" si="1"/>
        <v>665217.3913</v>
      </c>
      <c r="E396" s="25">
        <f t="shared" si="2"/>
        <v>-141.4176043</v>
      </c>
      <c r="F396" s="24">
        <f t="shared" si="3"/>
        <v>0.0002125885556</v>
      </c>
      <c r="G396" s="24">
        <f t="shared" si="4"/>
        <v>0</v>
      </c>
      <c r="H396" s="26">
        <f t="shared" si="5"/>
        <v>0</v>
      </c>
      <c r="I396" s="24">
        <f t="shared" si="6"/>
        <v>0</v>
      </c>
      <c r="J396" s="24">
        <f t="shared" si="7"/>
        <v>0</v>
      </c>
      <c r="K396" s="24"/>
      <c r="L396" s="24">
        <f t="shared" si="8"/>
        <v>418.773438</v>
      </c>
      <c r="M396" s="14">
        <f t="shared" si="9"/>
        <v>428.6022852</v>
      </c>
      <c r="N396" s="27">
        <f t="shared" si="10"/>
        <v>-9.828847239</v>
      </c>
      <c r="O396" s="24"/>
      <c r="P396" s="24"/>
      <c r="Q396" s="24"/>
      <c r="R396" s="26"/>
      <c r="S396" s="14">
        <f t="shared" si="13"/>
        <v>-9.025792388</v>
      </c>
    </row>
    <row r="397">
      <c r="A397" s="11">
        <v>385.0</v>
      </c>
      <c r="B397" s="11">
        <v>1.42106956521739E9</v>
      </c>
      <c r="C397" s="2">
        <v>-102.4848938</v>
      </c>
      <c r="D397" s="24">
        <f t="shared" si="1"/>
        <v>669565.2174</v>
      </c>
      <c r="E397" s="25">
        <f t="shared" si="2"/>
        <v>-142.3359005</v>
      </c>
      <c r="F397" s="24">
        <f t="shared" si="3"/>
        <v>0.0002125795916</v>
      </c>
      <c r="G397" s="24">
        <f t="shared" si="4"/>
        <v>0</v>
      </c>
      <c r="H397" s="26">
        <f t="shared" si="5"/>
        <v>0</v>
      </c>
      <c r="I397" s="24">
        <f t="shared" si="6"/>
        <v>0</v>
      </c>
      <c r="J397" s="24">
        <f t="shared" si="7"/>
        <v>0</v>
      </c>
      <c r="K397" s="24"/>
      <c r="L397" s="24">
        <f t="shared" si="8"/>
        <v>429.1575797</v>
      </c>
      <c r="M397" s="14">
        <f t="shared" si="9"/>
        <v>428.4408697</v>
      </c>
      <c r="N397" s="27">
        <f t="shared" si="10"/>
        <v>0.7167100424</v>
      </c>
      <c r="O397" s="24"/>
      <c r="P397" s="24"/>
      <c r="Q397" s="24"/>
      <c r="R397" s="26"/>
      <c r="S397" s="14">
        <f t="shared" si="13"/>
        <v>0.6581520603</v>
      </c>
    </row>
    <row r="398">
      <c r="A398" s="11">
        <v>386.0</v>
      </c>
      <c r="B398" s="11">
        <v>1.42107391304347E9</v>
      </c>
      <c r="C398" s="2">
        <v>-102.5227203</v>
      </c>
      <c r="D398" s="24">
        <f t="shared" si="1"/>
        <v>673913.0435</v>
      </c>
      <c r="E398" s="25">
        <f t="shared" si="2"/>
        <v>-143.2541966</v>
      </c>
      <c r="F398" s="24">
        <f t="shared" si="3"/>
        <v>0.0002125707434</v>
      </c>
      <c r="G398" s="24">
        <f t="shared" si="4"/>
        <v>0</v>
      </c>
      <c r="H398" s="26">
        <f t="shared" si="5"/>
        <v>0</v>
      </c>
      <c r="I398" s="24">
        <f t="shared" si="6"/>
        <v>0</v>
      </c>
      <c r="J398" s="24">
        <f t="shared" si="7"/>
        <v>0</v>
      </c>
      <c r="K398" s="24"/>
      <c r="L398" s="24">
        <f t="shared" si="8"/>
        <v>425.4359027</v>
      </c>
      <c r="M398" s="14">
        <f t="shared" si="9"/>
        <v>428.2789408</v>
      </c>
      <c r="N398" s="27">
        <f t="shared" si="10"/>
        <v>-2.843038119</v>
      </c>
      <c r="O398" s="24"/>
      <c r="P398" s="24"/>
      <c r="Q398" s="24"/>
      <c r="R398" s="26"/>
      <c r="S398" s="14">
        <f t="shared" si="13"/>
        <v>-2.61075091</v>
      </c>
    </row>
    <row r="399">
      <c r="A399" s="11">
        <v>387.0</v>
      </c>
      <c r="B399" s="11">
        <v>1.42107826086956E9</v>
      </c>
      <c r="C399" s="2">
        <v>-102.4849777</v>
      </c>
      <c r="D399" s="24">
        <f t="shared" si="1"/>
        <v>678260.8696</v>
      </c>
      <c r="E399" s="25">
        <f t="shared" si="2"/>
        <v>-144.1724927</v>
      </c>
      <c r="F399" s="24">
        <f t="shared" si="3"/>
        <v>0.0002125620085</v>
      </c>
      <c r="G399" s="24">
        <f t="shared" si="4"/>
        <v>0</v>
      </c>
      <c r="H399" s="26">
        <f t="shared" si="5"/>
        <v>0</v>
      </c>
      <c r="I399" s="24">
        <f t="shared" si="6"/>
        <v>0</v>
      </c>
      <c r="J399" s="24">
        <f t="shared" si="7"/>
        <v>0</v>
      </c>
      <c r="K399" s="24"/>
      <c r="L399" s="24">
        <f t="shared" si="8"/>
        <v>429.149289</v>
      </c>
      <c r="M399" s="14">
        <f t="shared" si="9"/>
        <v>428.1164975</v>
      </c>
      <c r="N399" s="27">
        <f t="shared" si="10"/>
        <v>1.032791532</v>
      </c>
      <c r="O399" s="24"/>
      <c r="P399" s="24"/>
      <c r="Q399" s="24"/>
      <c r="R399" s="26"/>
      <c r="S399" s="14">
        <f t="shared" si="13"/>
        <v>0.9484084675</v>
      </c>
    </row>
    <row r="400">
      <c r="A400" s="11">
        <v>388.0</v>
      </c>
      <c r="B400" s="11">
        <v>1.42108260869565E9</v>
      </c>
      <c r="C400" s="2">
        <v>-102.4855347</v>
      </c>
      <c r="D400" s="24">
        <f t="shared" si="1"/>
        <v>682608.6957</v>
      </c>
      <c r="E400" s="25">
        <f t="shared" si="2"/>
        <v>-145.0907889</v>
      </c>
      <c r="F400" s="24">
        <f t="shared" si="3"/>
        <v>0.000212553385</v>
      </c>
      <c r="G400" s="24">
        <f t="shared" si="4"/>
        <v>0</v>
      </c>
      <c r="H400" s="26">
        <f t="shared" si="5"/>
        <v>0</v>
      </c>
      <c r="I400" s="24">
        <f t="shared" si="6"/>
        <v>0</v>
      </c>
      <c r="J400" s="24">
        <f t="shared" si="7"/>
        <v>0</v>
      </c>
      <c r="K400" s="24"/>
      <c r="L400" s="24">
        <f t="shared" si="8"/>
        <v>429.0942525</v>
      </c>
      <c r="M400" s="14">
        <f t="shared" si="9"/>
        <v>427.9535387</v>
      </c>
      <c r="N400" s="27">
        <f t="shared" si="10"/>
        <v>1.140713745</v>
      </c>
      <c r="O400" s="24"/>
      <c r="P400" s="24"/>
      <c r="Q400" s="24"/>
      <c r="R400" s="26"/>
      <c r="S400" s="14">
        <f t="shared" si="13"/>
        <v>1.047513021</v>
      </c>
    </row>
    <row r="401">
      <c r="A401" s="11">
        <v>389.0</v>
      </c>
      <c r="B401" s="11">
        <v>1.42108695652173E9</v>
      </c>
      <c r="C401" s="2">
        <v>-102.5398026</v>
      </c>
      <c r="D401" s="24">
        <f t="shared" si="1"/>
        <v>686956.5217</v>
      </c>
      <c r="E401" s="25">
        <f t="shared" si="2"/>
        <v>-146.009085</v>
      </c>
      <c r="F401" s="24">
        <f t="shared" si="3"/>
        <v>0.0002125448706</v>
      </c>
      <c r="G401" s="24">
        <f t="shared" si="4"/>
        <v>0</v>
      </c>
      <c r="H401" s="26">
        <f t="shared" si="5"/>
        <v>0</v>
      </c>
      <c r="I401" s="24">
        <f t="shared" si="6"/>
        <v>0</v>
      </c>
      <c r="J401" s="24">
        <f t="shared" si="7"/>
        <v>0</v>
      </c>
      <c r="K401" s="24"/>
      <c r="L401" s="24">
        <f t="shared" si="8"/>
        <v>423.7658032</v>
      </c>
      <c r="M401" s="14">
        <f t="shared" si="9"/>
        <v>427.7900634</v>
      </c>
      <c r="N401" s="27">
        <f t="shared" si="10"/>
        <v>-4.024260126</v>
      </c>
      <c r="O401" s="24"/>
      <c r="P401" s="24"/>
      <c r="Q401" s="24"/>
      <c r="R401" s="26"/>
      <c r="S401" s="14">
        <f t="shared" si="13"/>
        <v>-3.695462511</v>
      </c>
    </row>
    <row r="402">
      <c r="A402" s="11">
        <v>390.0</v>
      </c>
      <c r="B402" s="11">
        <v>1.42109130434782E9</v>
      </c>
      <c r="C402" s="2">
        <v>-102.4914474</v>
      </c>
      <c r="D402" s="24">
        <f t="shared" si="1"/>
        <v>691304.3478</v>
      </c>
      <c r="E402" s="25">
        <f t="shared" si="2"/>
        <v>-146.9273811</v>
      </c>
      <c r="F402" s="24">
        <f t="shared" si="3"/>
        <v>0.0002125364633</v>
      </c>
      <c r="G402" s="24">
        <f t="shared" si="4"/>
        <v>0</v>
      </c>
      <c r="H402" s="26">
        <f t="shared" si="5"/>
        <v>0</v>
      </c>
      <c r="I402" s="24">
        <f t="shared" si="6"/>
        <v>0</v>
      </c>
      <c r="J402" s="24">
        <f t="shared" si="7"/>
        <v>0</v>
      </c>
      <c r="K402" s="24"/>
      <c r="L402" s="24">
        <f t="shared" si="8"/>
        <v>428.5104598</v>
      </c>
      <c r="M402" s="14">
        <f t="shared" si="9"/>
        <v>427.6260703</v>
      </c>
      <c r="N402" s="27">
        <f t="shared" si="10"/>
        <v>0.8843894622</v>
      </c>
      <c r="O402" s="24"/>
      <c r="P402" s="24"/>
      <c r="Q402" s="24"/>
      <c r="R402" s="26"/>
      <c r="S402" s="14">
        <f t="shared" si="13"/>
        <v>0.812131423</v>
      </c>
    </row>
    <row r="403">
      <c r="A403" s="11">
        <v>391.0</v>
      </c>
      <c r="B403" s="11">
        <v>1.42109565217391E9</v>
      </c>
      <c r="C403" s="2">
        <v>-102.5523605</v>
      </c>
      <c r="D403" s="24">
        <f t="shared" si="1"/>
        <v>695652.1739</v>
      </c>
      <c r="E403" s="25">
        <f t="shared" si="2"/>
        <v>-147.8456773</v>
      </c>
      <c r="F403" s="24">
        <f t="shared" si="3"/>
        <v>0.0002125281611</v>
      </c>
      <c r="G403" s="24">
        <f t="shared" si="4"/>
        <v>0</v>
      </c>
      <c r="H403" s="26">
        <f t="shared" si="5"/>
        <v>0</v>
      </c>
      <c r="I403" s="24">
        <f t="shared" si="6"/>
        <v>0</v>
      </c>
      <c r="J403" s="24">
        <f t="shared" si="7"/>
        <v>0</v>
      </c>
      <c r="K403" s="24"/>
      <c r="L403" s="24">
        <f t="shared" si="8"/>
        <v>422.5422274</v>
      </c>
      <c r="M403" s="14">
        <f t="shared" si="9"/>
        <v>427.4615586</v>
      </c>
      <c r="N403" s="27">
        <f t="shared" si="10"/>
        <v>-4.919331166</v>
      </c>
      <c r="O403" s="24"/>
      <c r="P403" s="24"/>
      <c r="Q403" s="24"/>
      <c r="R403" s="26"/>
      <c r="S403" s="14">
        <f t="shared" si="13"/>
        <v>-4.517402775</v>
      </c>
    </row>
    <row r="404">
      <c r="A404" s="11">
        <v>392.0</v>
      </c>
      <c r="B404" s="11">
        <v>1.4211E9</v>
      </c>
      <c r="C404" s="2">
        <v>-102.5260391</v>
      </c>
      <c r="D404" s="24">
        <f t="shared" si="1"/>
        <v>700000</v>
      </c>
      <c r="E404" s="25">
        <f t="shared" si="2"/>
        <v>-148.7639734</v>
      </c>
      <c r="F404" s="24">
        <f t="shared" si="3"/>
        <v>0.000212519962</v>
      </c>
      <c r="G404" s="24">
        <f t="shared" si="4"/>
        <v>0</v>
      </c>
      <c r="H404" s="26">
        <f t="shared" si="5"/>
        <v>0</v>
      </c>
      <c r="I404" s="24">
        <f t="shared" si="6"/>
        <v>0</v>
      </c>
      <c r="J404" s="24">
        <f t="shared" si="7"/>
        <v>0</v>
      </c>
      <c r="K404" s="24"/>
      <c r="L404" s="24">
        <f t="shared" si="8"/>
        <v>425.1109164</v>
      </c>
      <c r="M404" s="14">
        <f t="shared" si="9"/>
        <v>427.2965271</v>
      </c>
      <c r="N404" s="27">
        <f t="shared" si="10"/>
        <v>-2.185610637</v>
      </c>
      <c r="O404" s="24"/>
      <c r="P404" s="24"/>
      <c r="Q404" s="24"/>
      <c r="R404" s="26"/>
      <c r="S404" s="14">
        <f t="shared" si="13"/>
        <v>-2.007037795</v>
      </c>
    </row>
    <row r="405">
      <c r="A405" s="11">
        <v>393.0</v>
      </c>
      <c r="B405" s="11">
        <v>1.42110434782608E9</v>
      </c>
      <c r="C405" s="2">
        <v>-102.5360565</v>
      </c>
      <c r="D405" s="24">
        <f t="shared" si="1"/>
        <v>704347.8261</v>
      </c>
      <c r="E405" s="25">
        <f t="shared" si="2"/>
        <v>-149.6822695</v>
      </c>
      <c r="F405" s="24">
        <f t="shared" si="3"/>
        <v>0.0002125118642</v>
      </c>
      <c r="G405" s="24">
        <f t="shared" si="4"/>
        <v>0</v>
      </c>
      <c r="H405" s="26">
        <f t="shared" si="5"/>
        <v>0</v>
      </c>
      <c r="I405" s="24">
        <f t="shared" si="6"/>
        <v>0</v>
      </c>
      <c r="J405" s="24">
        <f t="shared" si="7"/>
        <v>0</v>
      </c>
      <c r="K405" s="24"/>
      <c r="L405" s="24">
        <f t="shared" si="8"/>
        <v>424.1314892</v>
      </c>
      <c r="M405" s="14">
        <f t="shared" si="9"/>
        <v>427.1309747</v>
      </c>
      <c r="N405" s="27">
        <f t="shared" si="10"/>
        <v>-2.999485496</v>
      </c>
      <c r="O405" s="24"/>
      <c r="P405" s="24"/>
      <c r="Q405" s="24"/>
      <c r="R405" s="26"/>
      <c r="S405" s="14">
        <f t="shared" si="13"/>
        <v>-2.754415932</v>
      </c>
    </row>
    <row r="406">
      <c r="A406" s="11">
        <v>394.0</v>
      </c>
      <c r="B406" s="11">
        <v>1.42110869565217E9</v>
      </c>
      <c r="C406" s="2">
        <v>-102.5414581</v>
      </c>
      <c r="D406" s="24">
        <f t="shared" si="1"/>
        <v>708695.6522</v>
      </c>
      <c r="E406" s="25">
        <f t="shared" si="2"/>
        <v>-150.6005657</v>
      </c>
      <c r="F406" s="24">
        <f t="shared" si="3"/>
        <v>0.0002125038657</v>
      </c>
      <c r="G406" s="24">
        <f t="shared" si="4"/>
        <v>0</v>
      </c>
      <c r="H406" s="26">
        <f t="shared" si="5"/>
        <v>0</v>
      </c>
      <c r="I406" s="24">
        <f t="shared" si="6"/>
        <v>0</v>
      </c>
      <c r="J406" s="24">
        <f t="shared" si="7"/>
        <v>0</v>
      </c>
      <c r="K406" s="24"/>
      <c r="L406" s="24">
        <f t="shared" si="8"/>
        <v>423.6042975</v>
      </c>
      <c r="M406" s="14">
        <f t="shared" si="9"/>
        <v>426.9649003</v>
      </c>
      <c r="N406" s="27">
        <f t="shared" si="10"/>
        <v>-3.36060286</v>
      </c>
      <c r="O406" s="24"/>
      <c r="P406" s="24"/>
      <c r="Q406" s="24"/>
      <c r="R406" s="26"/>
      <c r="S406" s="14">
        <f t="shared" si="13"/>
        <v>-3.086028603</v>
      </c>
    </row>
    <row r="407">
      <c r="A407" s="11">
        <v>395.0</v>
      </c>
      <c r="B407" s="11">
        <v>1.42111304347826E9</v>
      </c>
      <c r="C407" s="2">
        <v>-102.5433502</v>
      </c>
      <c r="D407" s="24">
        <f t="shared" si="1"/>
        <v>713043.4783</v>
      </c>
      <c r="E407" s="25">
        <f t="shared" si="2"/>
        <v>-151.5188618</v>
      </c>
      <c r="F407" s="24">
        <f t="shared" si="3"/>
        <v>0.0002124959647</v>
      </c>
      <c r="G407" s="24">
        <f t="shared" si="4"/>
        <v>0</v>
      </c>
      <c r="H407" s="26">
        <f t="shared" si="5"/>
        <v>0</v>
      </c>
      <c r="I407" s="24">
        <f t="shared" si="6"/>
        <v>0</v>
      </c>
      <c r="J407" s="24">
        <f t="shared" si="7"/>
        <v>0</v>
      </c>
      <c r="K407" s="24"/>
      <c r="L407" s="24">
        <f t="shared" si="8"/>
        <v>423.4197851</v>
      </c>
      <c r="M407" s="14">
        <f t="shared" si="9"/>
        <v>426.798303</v>
      </c>
      <c r="N407" s="27">
        <f t="shared" si="10"/>
        <v>-3.378517877</v>
      </c>
      <c r="O407" s="24"/>
      <c r="P407" s="24"/>
      <c r="Q407" s="24"/>
      <c r="R407" s="26"/>
      <c r="S407" s="14">
        <f t="shared" si="13"/>
        <v>-3.102479901</v>
      </c>
    </row>
    <row r="408">
      <c r="A408" s="11">
        <v>396.0</v>
      </c>
      <c r="B408" s="11">
        <v>1.42111739130434E9</v>
      </c>
      <c r="C408" s="2">
        <v>-102.5968933</v>
      </c>
      <c r="D408" s="24">
        <f t="shared" si="1"/>
        <v>717391.3043</v>
      </c>
      <c r="E408" s="25">
        <f t="shared" si="2"/>
        <v>-152.4371579</v>
      </c>
      <c r="F408" s="24">
        <f t="shared" si="3"/>
        <v>0.0002124881595</v>
      </c>
      <c r="G408" s="24">
        <f t="shared" si="4"/>
        <v>0</v>
      </c>
      <c r="H408" s="26">
        <f t="shared" si="5"/>
        <v>0</v>
      </c>
      <c r="I408" s="24">
        <f t="shared" si="6"/>
        <v>0</v>
      </c>
      <c r="J408" s="24">
        <f t="shared" si="7"/>
        <v>0</v>
      </c>
      <c r="K408" s="24"/>
      <c r="L408" s="24">
        <f t="shared" si="8"/>
        <v>418.2315942</v>
      </c>
      <c r="M408" s="14">
        <f t="shared" si="9"/>
        <v>426.6311815</v>
      </c>
      <c r="N408" s="27">
        <f t="shared" si="10"/>
        <v>-8.399587261</v>
      </c>
      <c r="O408" s="24"/>
      <c r="P408" s="24"/>
      <c r="Q408" s="24"/>
      <c r="R408" s="26"/>
      <c r="S408" s="14">
        <f t="shared" si="13"/>
        <v>-7.713308499</v>
      </c>
    </row>
    <row r="409">
      <c r="A409" s="11">
        <v>397.0</v>
      </c>
      <c r="B409" s="11">
        <v>1.42112173913043E9</v>
      </c>
      <c r="C409" s="2">
        <v>-102.490715</v>
      </c>
      <c r="D409" s="24">
        <f t="shared" si="1"/>
        <v>721739.1304</v>
      </c>
      <c r="E409" s="25">
        <f t="shared" si="2"/>
        <v>-153.3554541</v>
      </c>
      <c r="F409" s="24">
        <f t="shared" si="3"/>
        <v>0.0002124804484</v>
      </c>
      <c r="G409" s="24">
        <f t="shared" si="4"/>
        <v>0</v>
      </c>
      <c r="H409" s="26">
        <f t="shared" si="5"/>
        <v>0</v>
      </c>
      <c r="I409" s="24">
        <f t="shared" si="6"/>
        <v>0</v>
      </c>
      <c r="J409" s="24">
        <f t="shared" si="7"/>
        <v>0</v>
      </c>
      <c r="K409" s="24"/>
      <c r="L409" s="24">
        <f t="shared" si="8"/>
        <v>428.5827305</v>
      </c>
      <c r="M409" s="14">
        <f t="shared" si="9"/>
        <v>426.4635348</v>
      </c>
      <c r="N409" s="27">
        <f t="shared" si="10"/>
        <v>2.119195625</v>
      </c>
      <c r="O409" s="24"/>
      <c r="P409" s="24"/>
      <c r="Q409" s="24"/>
      <c r="R409" s="26"/>
      <c r="S409" s="14">
        <f t="shared" si="13"/>
        <v>1.946049142</v>
      </c>
    </row>
    <row r="410">
      <c r="A410" s="11">
        <v>398.0</v>
      </c>
      <c r="B410" s="11">
        <v>1.42112608695652E9</v>
      </c>
      <c r="C410" s="2">
        <v>-102.5812454</v>
      </c>
      <c r="D410" s="24">
        <f t="shared" si="1"/>
        <v>726086.9565</v>
      </c>
      <c r="E410" s="25">
        <f t="shared" si="2"/>
        <v>-154.2737502</v>
      </c>
      <c r="F410" s="24">
        <f t="shared" si="3"/>
        <v>0.0002124728296</v>
      </c>
      <c r="G410" s="24">
        <f t="shared" si="4"/>
        <v>0</v>
      </c>
      <c r="H410" s="26">
        <f t="shared" si="5"/>
        <v>0</v>
      </c>
      <c r="I410" s="24">
        <f t="shared" si="6"/>
        <v>0</v>
      </c>
      <c r="J410" s="24">
        <f t="shared" si="7"/>
        <v>0</v>
      </c>
      <c r="K410" s="24"/>
      <c r="L410" s="24">
        <f t="shared" si="8"/>
        <v>419.7412267</v>
      </c>
      <c r="M410" s="14">
        <f t="shared" si="9"/>
        <v>426.295362</v>
      </c>
      <c r="N410" s="27">
        <f t="shared" si="10"/>
        <v>-6.554135296</v>
      </c>
      <c r="O410" s="24"/>
      <c r="P410" s="24"/>
      <c r="Q410" s="24"/>
      <c r="R410" s="26"/>
      <c r="S410" s="14">
        <f t="shared" si="13"/>
        <v>-6.018637096</v>
      </c>
    </row>
    <row r="411">
      <c r="A411" s="11">
        <v>399.0</v>
      </c>
      <c r="B411" s="11">
        <v>1.4211304347826E9</v>
      </c>
      <c r="C411" s="2">
        <v>-102.5604553</v>
      </c>
      <c r="D411" s="24">
        <f t="shared" si="1"/>
        <v>730434.7826</v>
      </c>
      <c r="E411" s="25">
        <f t="shared" si="2"/>
        <v>-155.1920463</v>
      </c>
      <c r="F411" s="24">
        <f t="shared" si="3"/>
        <v>0.0002124653015</v>
      </c>
      <c r="G411" s="24">
        <f t="shared" si="4"/>
        <v>0</v>
      </c>
      <c r="H411" s="26">
        <f t="shared" si="5"/>
        <v>0</v>
      </c>
      <c r="I411" s="24">
        <f t="shared" si="6"/>
        <v>0</v>
      </c>
      <c r="J411" s="24">
        <f t="shared" si="7"/>
        <v>0</v>
      </c>
      <c r="K411" s="24"/>
      <c r="L411" s="24">
        <f t="shared" si="8"/>
        <v>421.755386</v>
      </c>
      <c r="M411" s="14">
        <f t="shared" si="9"/>
        <v>426.1266617</v>
      </c>
      <c r="N411" s="27">
        <f t="shared" si="10"/>
        <v>-4.371275793</v>
      </c>
      <c r="O411" s="24"/>
      <c r="P411" s="24"/>
      <c r="Q411" s="24"/>
      <c r="R411" s="26"/>
      <c r="S411" s="14">
        <f t="shared" si="13"/>
        <v>-4.014125656</v>
      </c>
    </row>
    <row r="412">
      <c r="A412" s="11">
        <v>400.0</v>
      </c>
      <c r="B412" s="11">
        <v>1.42113478260869E9</v>
      </c>
      <c r="C412" s="2">
        <v>-102.5514603</v>
      </c>
      <c r="D412" s="24">
        <f t="shared" si="1"/>
        <v>734782.6087</v>
      </c>
      <c r="E412" s="25">
        <f t="shared" si="2"/>
        <v>-156.1103425</v>
      </c>
      <c r="F412" s="24">
        <f t="shared" si="3"/>
        <v>0.0002124578625</v>
      </c>
      <c r="G412" s="24">
        <f t="shared" si="4"/>
        <v>0</v>
      </c>
      <c r="H412" s="26">
        <f t="shared" si="5"/>
        <v>0</v>
      </c>
      <c r="I412" s="24">
        <f t="shared" si="6"/>
        <v>0</v>
      </c>
      <c r="J412" s="24">
        <f t="shared" si="7"/>
        <v>0</v>
      </c>
      <c r="K412" s="24"/>
      <c r="L412" s="24">
        <f t="shared" si="8"/>
        <v>422.6298205</v>
      </c>
      <c r="M412" s="14">
        <f t="shared" si="9"/>
        <v>425.9574331</v>
      </c>
      <c r="N412" s="27">
        <f t="shared" si="10"/>
        <v>-3.327612607</v>
      </c>
      <c r="O412" s="24"/>
      <c r="P412" s="24"/>
      <c r="Q412" s="24"/>
      <c r="R412" s="26"/>
      <c r="S412" s="14">
        <f t="shared" si="13"/>
        <v>-3.055733789</v>
      </c>
    </row>
    <row r="413">
      <c r="A413" s="11">
        <v>401.0</v>
      </c>
      <c r="B413" s="11">
        <v>1.42113913043478E9</v>
      </c>
      <c r="C413" s="2">
        <v>-102.5520706</v>
      </c>
      <c r="D413" s="24">
        <f t="shared" si="1"/>
        <v>739130.4348</v>
      </c>
      <c r="E413" s="25">
        <f t="shared" si="2"/>
        <v>-157.0286386</v>
      </c>
      <c r="F413" s="24">
        <f t="shared" si="3"/>
        <v>0.000212450511</v>
      </c>
      <c r="G413" s="24">
        <f t="shared" si="4"/>
        <v>0</v>
      </c>
      <c r="H413" s="26">
        <f t="shared" si="5"/>
        <v>0</v>
      </c>
      <c r="I413" s="24">
        <f t="shared" si="6"/>
        <v>0</v>
      </c>
      <c r="J413" s="24">
        <f t="shared" si="7"/>
        <v>0</v>
      </c>
      <c r="K413" s="24"/>
      <c r="L413" s="24">
        <f t="shared" si="8"/>
        <v>422.5704339</v>
      </c>
      <c r="M413" s="14">
        <f t="shared" si="9"/>
        <v>425.7876751</v>
      </c>
      <c r="N413" s="27">
        <f t="shared" si="10"/>
        <v>-3.217241154</v>
      </c>
      <c r="O413" s="24"/>
      <c r="P413" s="24"/>
      <c r="Q413" s="24"/>
      <c r="R413" s="26"/>
      <c r="S413" s="14">
        <f t="shared" si="13"/>
        <v>-2.954380103</v>
      </c>
    </row>
    <row r="414">
      <c r="A414" s="11">
        <v>402.0</v>
      </c>
      <c r="B414" s="11">
        <v>1.42114347826087E9</v>
      </c>
      <c r="C414" s="2">
        <v>-102.5007782</v>
      </c>
      <c r="D414" s="24">
        <f t="shared" si="1"/>
        <v>743478.2609</v>
      </c>
      <c r="E414" s="25">
        <f t="shared" si="2"/>
        <v>-157.9469347</v>
      </c>
      <c r="F414" s="24">
        <f t="shared" si="3"/>
        <v>0.0002124432455</v>
      </c>
      <c r="G414" s="24">
        <f t="shared" si="4"/>
        <v>0</v>
      </c>
      <c r="H414" s="26">
        <f t="shared" si="5"/>
        <v>0</v>
      </c>
      <c r="I414" s="24">
        <f t="shared" si="6"/>
        <v>0</v>
      </c>
      <c r="J414" s="24">
        <f t="shared" si="7"/>
        <v>0</v>
      </c>
      <c r="K414" s="24"/>
      <c r="L414" s="24">
        <f t="shared" si="8"/>
        <v>427.5907951</v>
      </c>
      <c r="M414" s="14">
        <f t="shared" si="9"/>
        <v>425.6173864</v>
      </c>
      <c r="N414" s="27">
        <f t="shared" si="10"/>
        <v>1.973408633</v>
      </c>
      <c r="O414" s="24"/>
      <c r="P414" s="24"/>
      <c r="Q414" s="24"/>
      <c r="R414" s="26"/>
      <c r="S414" s="14">
        <f t="shared" si="13"/>
        <v>1.812173516</v>
      </c>
    </row>
    <row r="415">
      <c r="A415" s="11">
        <v>403.0</v>
      </c>
      <c r="B415" s="11">
        <v>1.42114782608695E9</v>
      </c>
      <c r="C415" s="2">
        <v>-102.5365982</v>
      </c>
      <c r="D415" s="24">
        <f t="shared" si="1"/>
        <v>747826.087</v>
      </c>
      <c r="E415" s="25">
        <f t="shared" si="2"/>
        <v>-158.8652309</v>
      </c>
      <c r="F415" s="24">
        <f t="shared" si="3"/>
        <v>0.0002124360645</v>
      </c>
      <c r="G415" s="24">
        <f t="shared" si="4"/>
        <v>0</v>
      </c>
      <c r="H415" s="26">
        <f t="shared" si="5"/>
        <v>0</v>
      </c>
      <c r="I415" s="24">
        <f t="shared" si="6"/>
        <v>0</v>
      </c>
      <c r="J415" s="24">
        <f t="shared" si="7"/>
        <v>0</v>
      </c>
      <c r="K415" s="24"/>
      <c r="L415" s="24">
        <f t="shared" si="8"/>
        <v>424.0785901</v>
      </c>
      <c r="M415" s="14">
        <f t="shared" si="9"/>
        <v>425.4465662</v>
      </c>
      <c r="N415" s="27">
        <f t="shared" si="10"/>
        <v>-1.367976045</v>
      </c>
      <c r="O415" s="24"/>
      <c r="P415" s="24"/>
      <c r="Q415" s="24"/>
      <c r="R415" s="26"/>
      <c r="S415" s="14">
        <f t="shared" si="13"/>
        <v>-1.256207112</v>
      </c>
    </row>
    <row r="416">
      <c r="A416" s="11">
        <v>404.0</v>
      </c>
      <c r="B416" s="11">
        <v>1.42115217391304E9</v>
      </c>
      <c r="C416" s="2">
        <v>-102.5669556</v>
      </c>
      <c r="D416" s="24">
        <f t="shared" si="1"/>
        <v>752173.913</v>
      </c>
      <c r="E416" s="25">
        <f t="shared" si="2"/>
        <v>-159.783527</v>
      </c>
      <c r="F416" s="24">
        <f t="shared" si="3"/>
        <v>0.0002124289665</v>
      </c>
      <c r="G416" s="24">
        <f t="shared" si="4"/>
        <v>0</v>
      </c>
      <c r="H416" s="26">
        <f t="shared" si="5"/>
        <v>0</v>
      </c>
      <c r="I416" s="24">
        <f t="shared" si="6"/>
        <v>0</v>
      </c>
      <c r="J416" s="24">
        <f t="shared" si="7"/>
        <v>0</v>
      </c>
      <c r="K416" s="24"/>
      <c r="L416" s="24">
        <f t="shared" si="8"/>
        <v>421.124596</v>
      </c>
      <c r="M416" s="14">
        <f t="shared" si="9"/>
        <v>425.2752132</v>
      </c>
      <c r="N416" s="27">
        <f t="shared" si="10"/>
        <v>-4.15061719</v>
      </c>
      <c r="O416" s="24"/>
      <c r="P416" s="24"/>
      <c r="Q416" s="24"/>
      <c r="R416" s="26"/>
      <c r="S416" s="14">
        <f t="shared" si="13"/>
        <v>-3.811495706</v>
      </c>
    </row>
    <row r="417">
      <c r="A417" s="11">
        <v>405.0</v>
      </c>
      <c r="B417" s="11">
        <v>1.42115652173913E9</v>
      </c>
      <c r="C417" s="2">
        <v>-102.5693436</v>
      </c>
      <c r="D417" s="3">
        <f t="shared" si="1"/>
        <v>756521.7391</v>
      </c>
      <c r="E417" s="4">
        <f t="shared" si="2"/>
        <v>-160.7018231</v>
      </c>
      <c r="F417" s="3">
        <f t="shared" si="3"/>
        <v>0.0002124219501</v>
      </c>
      <c r="G417" s="3">
        <f t="shared" si="4"/>
        <v>0</v>
      </c>
      <c r="H417" s="2">
        <f t="shared" si="5"/>
        <v>0</v>
      </c>
      <c r="I417" s="3">
        <f t="shared" si="6"/>
        <v>0</v>
      </c>
      <c r="J417" s="3">
        <f t="shared" si="7"/>
        <v>0</v>
      </c>
      <c r="K417" s="3"/>
      <c r="L417" s="3">
        <f t="shared" si="8"/>
        <v>420.8931012</v>
      </c>
      <c r="M417" s="14">
        <f t="shared" si="9"/>
        <v>425.1033265</v>
      </c>
      <c r="N417" s="14">
        <f t="shared" si="10"/>
        <v>-4.210225254</v>
      </c>
      <c r="O417" s="3"/>
      <c r="P417" s="3"/>
      <c r="Q417" s="3"/>
      <c r="R417" s="2"/>
      <c r="S417" s="14">
        <f t="shared" si="13"/>
        <v>-3.866233569</v>
      </c>
    </row>
    <row r="418">
      <c r="A418" s="11">
        <v>406.0</v>
      </c>
      <c r="B418" s="11">
        <v>1.42116086956521E9</v>
      </c>
      <c r="C418" s="2">
        <v>-102.4750061</v>
      </c>
      <c r="D418" s="3">
        <f t="shared" si="1"/>
        <v>760869.5652</v>
      </c>
      <c r="E418" s="4">
        <f t="shared" si="2"/>
        <v>-161.6201193</v>
      </c>
      <c r="F418" s="3">
        <f t="shared" si="3"/>
        <v>0.0002124150139</v>
      </c>
      <c r="G418" s="3">
        <f t="shared" si="4"/>
        <v>0</v>
      </c>
      <c r="H418" s="2">
        <f t="shared" si="5"/>
        <v>0</v>
      </c>
      <c r="I418" s="3">
        <f t="shared" si="6"/>
        <v>0</v>
      </c>
      <c r="J418" s="3">
        <f t="shared" si="7"/>
        <v>0</v>
      </c>
      <c r="K418" s="3"/>
      <c r="L418" s="3">
        <f t="shared" si="8"/>
        <v>430.1357675</v>
      </c>
      <c r="M418" s="14">
        <f t="shared" si="9"/>
        <v>424.9309049</v>
      </c>
      <c r="N418" s="14">
        <f t="shared" si="10"/>
        <v>5.2048626</v>
      </c>
      <c r="O418" s="3"/>
      <c r="P418" s="3"/>
      <c r="Q418" s="3"/>
      <c r="R418" s="2"/>
      <c r="S418" s="14">
        <f t="shared" si="13"/>
        <v>4.779605197</v>
      </c>
    </row>
    <row r="419">
      <c r="A419" s="11">
        <v>407.0</v>
      </c>
      <c r="B419" s="11">
        <v>1.4211652173913E9</v>
      </c>
      <c r="C419" s="2">
        <v>-102.4913101</v>
      </c>
      <c r="D419" s="3">
        <f t="shared" si="1"/>
        <v>765217.3913</v>
      </c>
      <c r="E419" s="4">
        <f t="shared" si="2"/>
        <v>-162.5384154</v>
      </c>
      <c r="F419" s="3">
        <f t="shared" si="3"/>
        <v>0.0002124081565</v>
      </c>
      <c r="G419" s="3">
        <f t="shared" si="4"/>
        <v>0</v>
      </c>
      <c r="H419" s="2">
        <f t="shared" si="5"/>
        <v>0</v>
      </c>
      <c r="I419" s="3">
        <f t="shared" si="6"/>
        <v>0</v>
      </c>
      <c r="J419" s="3">
        <f t="shared" si="7"/>
        <v>0</v>
      </c>
      <c r="K419" s="3"/>
      <c r="L419" s="3">
        <f t="shared" si="8"/>
        <v>428.5240072</v>
      </c>
      <c r="M419" s="14">
        <f t="shared" si="9"/>
        <v>424.7579474</v>
      </c>
      <c r="N419" s="14">
        <f t="shared" si="10"/>
        <v>3.76605975</v>
      </c>
      <c r="O419" s="3"/>
      <c r="P419" s="3"/>
      <c r="Q419" s="3"/>
      <c r="R419" s="2"/>
      <c r="S419" s="14">
        <f t="shared" si="13"/>
        <v>3.458358096</v>
      </c>
    </row>
    <row r="420">
      <c r="A420" s="11">
        <v>408.0</v>
      </c>
      <c r="B420" s="11">
        <v>1.42116956521739E9</v>
      </c>
      <c r="C420" s="2">
        <v>-102.4958038</v>
      </c>
      <c r="D420" s="3">
        <f t="shared" si="1"/>
        <v>769565.2174</v>
      </c>
      <c r="E420" s="4">
        <f t="shared" si="2"/>
        <v>-163.4567115</v>
      </c>
      <c r="F420" s="3">
        <f t="shared" si="3"/>
        <v>0.0002124013765</v>
      </c>
      <c r="G420" s="3">
        <f t="shared" si="4"/>
        <v>0</v>
      </c>
      <c r="H420" s="2">
        <f t="shared" si="5"/>
        <v>0</v>
      </c>
      <c r="I420" s="3">
        <f t="shared" si="6"/>
        <v>0</v>
      </c>
      <c r="J420" s="3">
        <f t="shared" si="7"/>
        <v>0</v>
      </c>
      <c r="K420" s="3"/>
      <c r="L420" s="3">
        <f t="shared" si="8"/>
        <v>428.0808373</v>
      </c>
      <c r="M420" s="14">
        <f t="shared" si="9"/>
        <v>424.5844529</v>
      </c>
      <c r="N420" s="14">
        <f t="shared" si="10"/>
        <v>3.496384348</v>
      </c>
      <c r="O420" s="3"/>
      <c r="P420" s="3"/>
      <c r="Q420" s="3"/>
      <c r="R420" s="2"/>
      <c r="S420" s="14">
        <f t="shared" si="13"/>
        <v>3.210716226</v>
      </c>
    </row>
    <row r="421">
      <c r="A421" s="11">
        <v>409.0</v>
      </c>
      <c r="B421" s="11">
        <v>1.42117391304347E9</v>
      </c>
      <c r="C421" s="2">
        <v>-102.584465</v>
      </c>
      <c r="D421" s="3">
        <f t="shared" si="1"/>
        <v>773913.0435</v>
      </c>
      <c r="E421" s="4">
        <f t="shared" si="2"/>
        <v>-164.3750077</v>
      </c>
      <c r="F421" s="3">
        <f t="shared" si="3"/>
        <v>0.0002123946728</v>
      </c>
      <c r="G421" s="3">
        <f t="shared" si="4"/>
        <v>0</v>
      </c>
      <c r="H421" s="2">
        <f t="shared" si="5"/>
        <v>0</v>
      </c>
      <c r="I421" s="3">
        <f t="shared" si="6"/>
        <v>0</v>
      </c>
      <c r="J421" s="3">
        <f t="shared" si="7"/>
        <v>0</v>
      </c>
      <c r="K421" s="3"/>
      <c r="L421" s="3">
        <f t="shared" si="8"/>
        <v>419.4301709</v>
      </c>
      <c r="M421" s="14">
        <f t="shared" si="9"/>
        <v>424.4104203</v>
      </c>
      <c r="N421" s="14">
        <f t="shared" si="10"/>
        <v>-4.980249447</v>
      </c>
      <c r="O421" s="3"/>
      <c r="P421" s="3"/>
      <c r="Q421" s="3"/>
      <c r="R421" s="2"/>
      <c r="S421" s="14">
        <f t="shared" si="13"/>
        <v>-4.573343807</v>
      </c>
    </row>
    <row r="422">
      <c r="A422" s="11">
        <v>410.0</v>
      </c>
      <c r="B422" s="11">
        <v>1.42117826086956E9</v>
      </c>
      <c r="C422" s="2">
        <v>-102.5734863</v>
      </c>
      <c r="D422" s="3">
        <f t="shared" si="1"/>
        <v>778260.8696</v>
      </c>
      <c r="E422" s="4">
        <f t="shared" si="2"/>
        <v>-165.2933038</v>
      </c>
      <c r="F422" s="3">
        <f t="shared" si="3"/>
        <v>0.000212388044</v>
      </c>
      <c r="G422" s="3">
        <f t="shared" si="4"/>
        <v>0</v>
      </c>
      <c r="H422" s="2">
        <f t="shared" si="5"/>
        <v>0</v>
      </c>
      <c r="I422" s="3">
        <f t="shared" si="6"/>
        <v>0</v>
      </c>
      <c r="J422" s="3">
        <f t="shared" si="7"/>
        <v>0</v>
      </c>
      <c r="K422" s="3"/>
      <c r="L422" s="3">
        <f t="shared" si="8"/>
        <v>420.4918061</v>
      </c>
      <c r="M422" s="14">
        <f t="shared" si="9"/>
        <v>424.2358486</v>
      </c>
      <c r="N422" s="14">
        <f t="shared" si="10"/>
        <v>-3.744042487</v>
      </c>
      <c r="O422" s="3"/>
      <c r="P422" s="3"/>
      <c r="Q422" s="3"/>
      <c r="R422" s="2"/>
      <c r="S422" s="14">
        <f t="shared" si="13"/>
        <v>-3.438139729</v>
      </c>
    </row>
    <row r="423">
      <c r="A423" s="11">
        <v>411.0</v>
      </c>
      <c r="B423" s="11">
        <v>1.42118260869565E9</v>
      </c>
      <c r="C423" s="2">
        <v>-102.4960251</v>
      </c>
      <c r="D423" s="3">
        <f t="shared" si="1"/>
        <v>782608.6957</v>
      </c>
      <c r="E423" s="4">
        <f t="shared" si="2"/>
        <v>-166.2115999</v>
      </c>
      <c r="F423" s="3">
        <f t="shared" si="3"/>
        <v>0.0002123814888</v>
      </c>
      <c r="G423" s="3">
        <f t="shared" si="4"/>
        <v>0</v>
      </c>
      <c r="H423" s="2">
        <f t="shared" si="5"/>
        <v>0</v>
      </c>
      <c r="I423" s="3">
        <f t="shared" si="6"/>
        <v>0</v>
      </c>
      <c r="J423" s="3">
        <f t="shared" si="7"/>
        <v>0</v>
      </c>
      <c r="K423" s="3"/>
      <c r="L423" s="3">
        <f t="shared" si="8"/>
        <v>428.0590244</v>
      </c>
      <c r="M423" s="14">
        <f t="shared" si="9"/>
        <v>424.0607367</v>
      </c>
      <c r="N423" s="14">
        <f t="shared" si="10"/>
        <v>3.998287771</v>
      </c>
      <c r="O423" s="3"/>
      <c r="P423" s="3"/>
      <c r="Q423" s="3"/>
      <c r="R423" s="2"/>
      <c r="S423" s="14">
        <f t="shared" si="13"/>
        <v>3.671612198</v>
      </c>
    </row>
    <row r="424">
      <c r="A424" s="11">
        <v>412.0</v>
      </c>
      <c r="B424" s="11">
        <v>1.42118695652173E9</v>
      </c>
      <c r="C424" s="2">
        <v>-102.5829315</v>
      </c>
      <c r="D424" s="3">
        <f t="shared" si="1"/>
        <v>786956.5217</v>
      </c>
      <c r="E424" s="4">
        <f t="shared" si="2"/>
        <v>-167.129896</v>
      </c>
      <c r="F424" s="3">
        <f t="shared" si="3"/>
        <v>0.000212375006</v>
      </c>
      <c r="G424" s="3">
        <f t="shared" si="4"/>
        <v>0</v>
      </c>
      <c r="H424" s="2">
        <f t="shared" si="5"/>
        <v>0</v>
      </c>
      <c r="I424" s="3">
        <f t="shared" si="6"/>
        <v>0</v>
      </c>
      <c r="J424" s="3">
        <f t="shared" si="7"/>
        <v>0</v>
      </c>
      <c r="K424" s="3"/>
      <c r="L424" s="3">
        <f t="shared" si="8"/>
        <v>419.5782984</v>
      </c>
      <c r="M424" s="14">
        <f t="shared" si="9"/>
        <v>423.8850834</v>
      </c>
      <c r="N424" s="14">
        <f t="shared" si="10"/>
        <v>-4.306784988</v>
      </c>
      <c r="O424" s="3"/>
      <c r="P424" s="3"/>
      <c r="Q424" s="3"/>
      <c r="R424" s="2"/>
      <c r="S424" s="14">
        <f t="shared" si="13"/>
        <v>-3.954903999</v>
      </c>
    </row>
    <row r="425">
      <c r="A425" s="11">
        <v>413.0</v>
      </c>
      <c r="B425" s="11">
        <v>1.42119130434782E9</v>
      </c>
      <c r="C425" s="2">
        <v>-102.527504</v>
      </c>
      <c r="D425" s="3">
        <f t="shared" si="1"/>
        <v>791304.3478</v>
      </c>
      <c r="E425" s="4">
        <f t="shared" si="2"/>
        <v>-168.0481922</v>
      </c>
      <c r="F425" s="3">
        <f t="shared" si="3"/>
        <v>0.0002123685945</v>
      </c>
      <c r="G425" s="3">
        <f t="shared" si="4"/>
        <v>0</v>
      </c>
      <c r="H425" s="2">
        <f t="shared" si="5"/>
        <v>0</v>
      </c>
      <c r="I425" s="3">
        <f t="shared" si="6"/>
        <v>0</v>
      </c>
      <c r="J425" s="3">
        <f t="shared" si="7"/>
        <v>0</v>
      </c>
      <c r="K425" s="3"/>
      <c r="L425" s="3">
        <f t="shared" si="8"/>
        <v>424.9675483</v>
      </c>
      <c r="M425" s="14">
        <f t="shared" si="9"/>
        <v>423.7088878</v>
      </c>
      <c r="N425" s="14">
        <f t="shared" si="10"/>
        <v>1.258660495</v>
      </c>
      <c r="O425" s="3"/>
      <c r="P425" s="3"/>
      <c r="Q425" s="3"/>
      <c r="R425" s="2"/>
      <c r="S425" s="14">
        <f t="shared" si="13"/>
        <v>1.155823065</v>
      </c>
    </row>
    <row r="426">
      <c r="A426" s="11">
        <v>414.0</v>
      </c>
      <c r="B426" s="11">
        <v>1.42119565217391E9</v>
      </c>
      <c r="C426" s="2">
        <v>-102.5042725</v>
      </c>
      <c r="D426" s="3">
        <f t="shared" si="1"/>
        <v>795652.1739</v>
      </c>
      <c r="E426" s="4">
        <f t="shared" si="2"/>
        <v>-168.9664883</v>
      </c>
      <c r="F426" s="3">
        <f t="shared" si="3"/>
        <v>0.0002123622531</v>
      </c>
      <c r="G426" s="3">
        <f t="shared" si="4"/>
        <v>0</v>
      </c>
      <c r="H426" s="2">
        <f t="shared" si="5"/>
        <v>0</v>
      </c>
      <c r="I426" s="3">
        <f t="shared" si="6"/>
        <v>0</v>
      </c>
      <c r="J426" s="3">
        <f t="shared" si="7"/>
        <v>0</v>
      </c>
      <c r="K426" s="3"/>
      <c r="L426" s="3">
        <f t="shared" si="8"/>
        <v>427.2468972</v>
      </c>
      <c r="M426" s="14">
        <f t="shared" si="9"/>
        <v>423.5321487</v>
      </c>
      <c r="N426" s="14">
        <f t="shared" si="10"/>
        <v>3.714748431</v>
      </c>
      <c r="O426" s="3"/>
      <c r="P426" s="3"/>
      <c r="Q426" s="3"/>
      <c r="R426" s="2"/>
      <c r="S426" s="14">
        <f t="shared" si="13"/>
        <v>3.41123911</v>
      </c>
    </row>
    <row r="427">
      <c r="A427" s="11">
        <v>415.0</v>
      </c>
      <c r="B427" s="11">
        <v>1.4212E9</v>
      </c>
      <c r="C427" s="2">
        <v>-102.5048904</v>
      </c>
      <c r="D427" s="3">
        <f t="shared" si="1"/>
        <v>800000</v>
      </c>
      <c r="E427" s="4">
        <f t="shared" si="2"/>
        <v>-169.8847844</v>
      </c>
      <c r="F427" s="3">
        <f t="shared" si="3"/>
        <v>0.0002123559806</v>
      </c>
      <c r="G427" s="3">
        <f t="shared" si="4"/>
        <v>0</v>
      </c>
      <c r="H427" s="2">
        <f t="shared" si="5"/>
        <v>0</v>
      </c>
      <c r="I427" s="3">
        <f t="shared" si="6"/>
        <v>0</v>
      </c>
      <c r="J427" s="3">
        <f t="shared" si="7"/>
        <v>0</v>
      </c>
      <c r="K427" s="3"/>
      <c r="L427" s="3">
        <f t="shared" si="8"/>
        <v>427.1861142</v>
      </c>
      <c r="M427" s="14">
        <f t="shared" si="9"/>
        <v>423.3548651</v>
      </c>
      <c r="N427" s="14">
        <f t="shared" si="10"/>
        <v>3.831249059</v>
      </c>
      <c r="O427" s="3"/>
      <c r="P427" s="3"/>
      <c r="Q427" s="3"/>
      <c r="R427" s="2"/>
      <c r="S427" s="14">
        <f t="shared" si="13"/>
        <v>3.518221194</v>
      </c>
    </row>
    <row r="428">
      <c r="A428" s="11">
        <v>416.0</v>
      </c>
      <c r="B428" s="11">
        <v>1.42120434782608E9</v>
      </c>
      <c r="C428" s="2">
        <v>-102.5891571</v>
      </c>
      <c r="D428" s="3">
        <f t="shared" si="1"/>
        <v>804347.8261</v>
      </c>
      <c r="E428" s="4">
        <f t="shared" si="2"/>
        <v>-170.8030806</v>
      </c>
      <c r="F428" s="3">
        <f t="shared" si="3"/>
        <v>0.0002123497759</v>
      </c>
      <c r="G428" s="3">
        <f t="shared" si="4"/>
        <v>0</v>
      </c>
      <c r="H428" s="2">
        <f t="shared" si="5"/>
        <v>0</v>
      </c>
      <c r="I428" s="3">
        <f t="shared" si="6"/>
        <v>0</v>
      </c>
      <c r="J428" s="3">
        <f t="shared" si="7"/>
        <v>0</v>
      </c>
      <c r="K428" s="3"/>
      <c r="L428" s="3">
        <f t="shared" si="8"/>
        <v>418.9772649</v>
      </c>
      <c r="M428" s="14">
        <f t="shared" si="9"/>
        <v>423.1770359</v>
      </c>
      <c r="N428" s="14">
        <f t="shared" si="10"/>
        <v>-4.199770998</v>
      </c>
      <c r="O428" s="3"/>
      <c r="P428" s="3"/>
      <c r="Q428" s="3"/>
      <c r="R428" s="2"/>
      <c r="S428" s="14">
        <f t="shared" si="13"/>
        <v>-3.856633466</v>
      </c>
    </row>
    <row r="429">
      <c r="A429" s="11">
        <v>417.0</v>
      </c>
      <c r="B429" s="11">
        <v>1.42120869565217E9</v>
      </c>
      <c r="C429" s="2">
        <v>-102.5954895</v>
      </c>
      <c r="D429" s="3">
        <f t="shared" si="1"/>
        <v>808695.6522</v>
      </c>
      <c r="E429" s="4">
        <f t="shared" si="2"/>
        <v>-171.7213767</v>
      </c>
      <c r="F429" s="3">
        <f t="shared" si="3"/>
        <v>0.0002123436379</v>
      </c>
      <c r="G429" s="3">
        <f t="shared" si="4"/>
        <v>0</v>
      </c>
      <c r="H429" s="2">
        <f t="shared" si="5"/>
        <v>0</v>
      </c>
      <c r="I429" s="3">
        <f t="shared" si="6"/>
        <v>0</v>
      </c>
      <c r="J429" s="3">
        <f t="shared" si="7"/>
        <v>0</v>
      </c>
      <c r="K429" s="3"/>
      <c r="L429" s="3">
        <f t="shared" si="8"/>
        <v>418.366804</v>
      </c>
      <c r="M429" s="14">
        <f t="shared" si="9"/>
        <v>422.9986601</v>
      </c>
      <c r="N429" s="14">
        <f t="shared" si="10"/>
        <v>-4.631856099</v>
      </c>
      <c r="O429" s="3"/>
      <c r="P429" s="3"/>
      <c r="Q429" s="3"/>
      <c r="R429" s="2"/>
      <c r="S429" s="14">
        <f t="shared" si="13"/>
        <v>-4.253415533</v>
      </c>
    </row>
    <row r="430">
      <c r="A430" s="11">
        <v>418.0</v>
      </c>
      <c r="B430" s="11">
        <v>1.42121304347826E9</v>
      </c>
      <c r="C430" s="2">
        <v>-102.5116196</v>
      </c>
      <c r="D430" s="3">
        <f t="shared" si="1"/>
        <v>813043.4783</v>
      </c>
      <c r="E430" s="4">
        <f t="shared" si="2"/>
        <v>-172.6396728</v>
      </c>
      <c r="F430" s="3">
        <f t="shared" si="3"/>
        <v>0.0002123375655</v>
      </c>
      <c r="G430" s="3">
        <f t="shared" si="4"/>
        <v>0</v>
      </c>
      <c r="H430" s="2">
        <f t="shared" si="5"/>
        <v>0</v>
      </c>
      <c r="I430" s="3">
        <f t="shared" si="6"/>
        <v>0</v>
      </c>
      <c r="J430" s="3">
        <f t="shared" si="7"/>
        <v>0</v>
      </c>
      <c r="K430" s="3"/>
      <c r="L430" s="3">
        <f t="shared" si="8"/>
        <v>426.5247208</v>
      </c>
      <c r="M430" s="14">
        <f t="shared" si="9"/>
        <v>422.8197364</v>
      </c>
      <c r="N430" s="14">
        <f t="shared" si="10"/>
        <v>3.704984383</v>
      </c>
      <c r="O430" s="3"/>
      <c r="P430" s="3"/>
      <c r="Q430" s="3"/>
      <c r="R430" s="2"/>
      <c r="S430" s="14">
        <f t="shared" si="13"/>
        <v>3.402272831</v>
      </c>
    </row>
    <row r="431">
      <c r="A431" s="11">
        <v>419.0</v>
      </c>
      <c r="B431" s="11">
        <v>1.42121739130434E9</v>
      </c>
      <c r="C431" s="2">
        <v>-102.5805893</v>
      </c>
      <c r="D431" s="3">
        <f t="shared" si="1"/>
        <v>817391.3043</v>
      </c>
      <c r="E431" s="4">
        <f t="shared" si="2"/>
        <v>-173.557969</v>
      </c>
      <c r="F431" s="3">
        <f t="shared" si="3"/>
        <v>0.0002123315578</v>
      </c>
      <c r="G431" s="3">
        <f t="shared" si="4"/>
        <v>0</v>
      </c>
      <c r="H431" s="2">
        <f t="shared" si="5"/>
        <v>0</v>
      </c>
      <c r="I431" s="3">
        <f t="shared" si="6"/>
        <v>0</v>
      </c>
      <c r="J431" s="3">
        <f t="shared" si="7"/>
        <v>0</v>
      </c>
      <c r="K431" s="3"/>
      <c r="L431" s="3">
        <f t="shared" si="8"/>
        <v>419.8046429</v>
      </c>
      <c r="M431" s="14">
        <f t="shared" si="9"/>
        <v>422.640264</v>
      </c>
      <c r="N431" s="14">
        <f t="shared" si="10"/>
        <v>-2.835621135</v>
      </c>
      <c r="O431" s="3"/>
      <c r="P431" s="3"/>
      <c r="Q431" s="3"/>
      <c r="R431" s="2"/>
      <c r="S431" s="14">
        <f t="shared" si="13"/>
        <v>-2.603939922</v>
      </c>
    </row>
    <row r="432">
      <c r="A432" s="11">
        <v>420.0</v>
      </c>
      <c r="B432" s="11">
        <v>1.42122173913043E9</v>
      </c>
      <c r="C432" s="2">
        <v>-102.5359726</v>
      </c>
      <c r="D432" s="3">
        <f t="shared" si="1"/>
        <v>821739.1304</v>
      </c>
      <c r="E432" s="4">
        <f t="shared" si="2"/>
        <v>-174.4762651</v>
      </c>
      <c r="F432" s="3">
        <f t="shared" si="3"/>
        <v>0.0002123256136</v>
      </c>
      <c r="G432" s="3">
        <f t="shared" si="4"/>
        <v>0</v>
      </c>
      <c r="H432" s="2">
        <f t="shared" si="5"/>
        <v>0</v>
      </c>
      <c r="I432" s="3">
        <f t="shared" si="6"/>
        <v>0</v>
      </c>
      <c r="J432" s="3">
        <f t="shared" si="7"/>
        <v>0</v>
      </c>
      <c r="K432" s="3"/>
      <c r="L432" s="3">
        <f t="shared" si="8"/>
        <v>424.1396829</v>
      </c>
      <c r="M432" s="14">
        <f t="shared" si="9"/>
        <v>422.4602416</v>
      </c>
      <c r="N432" s="14">
        <f t="shared" si="10"/>
        <v>1.679441285</v>
      </c>
      <c r="O432" s="3"/>
      <c r="P432" s="3"/>
      <c r="Q432" s="3"/>
      <c r="R432" s="2"/>
      <c r="S432" s="14">
        <f t="shared" si="13"/>
        <v>1.542224434</v>
      </c>
    </row>
    <row r="433">
      <c r="A433" s="11">
        <v>421.0</v>
      </c>
      <c r="B433" s="11">
        <v>1.42122608695652E9</v>
      </c>
      <c r="C433" s="2">
        <v>-102.5813293</v>
      </c>
      <c r="D433" s="3">
        <f t="shared" si="1"/>
        <v>826086.9565</v>
      </c>
      <c r="E433" s="4">
        <f t="shared" si="2"/>
        <v>-175.3945612</v>
      </c>
      <c r="F433" s="3">
        <f t="shared" si="3"/>
        <v>0.000212319732</v>
      </c>
      <c r="G433" s="3">
        <f t="shared" si="4"/>
        <v>0</v>
      </c>
      <c r="H433" s="2">
        <f t="shared" si="5"/>
        <v>0</v>
      </c>
      <c r="I433" s="3">
        <f t="shared" si="6"/>
        <v>0</v>
      </c>
      <c r="J433" s="3">
        <f t="shared" si="7"/>
        <v>0</v>
      </c>
      <c r="K433" s="3"/>
      <c r="L433" s="3">
        <f t="shared" si="8"/>
        <v>419.7331179</v>
      </c>
      <c r="M433" s="14">
        <f t="shared" si="9"/>
        <v>422.2796683</v>
      </c>
      <c r="N433" s="14">
        <f t="shared" si="10"/>
        <v>-2.546550425</v>
      </c>
      <c r="O433" s="3"/>
      <c r="P433" s="3"/>
      <c r="Q433" s="3"/>
      <c r="R433" s="2"/>
      <c r="S433" s="14">
        <f t="shared" si="13"/>
        <v>-2.338487407</v>
      </c>
    </row>
    <row r="434">
      <c r="A434" s="11">
        <v>422.0</v>
      </c>
      <c r="B434" s="11">
        <v>1.4212304347826E9</v>
      </c>
      <c r="C434" s="2">
        <v>-102.5597</v>
      </c>
      <c r="D434" s="3">
        <f t="shared" si="1"/>
        <v>830434.7826</v>
      </c>
      <c r="E434" s="4">
        <f t="shared" si="2"/>
        <v>-176.3128574</v>
      </c>
      <c r="F434" s="3">
        <f t="shared" si="3"/>
        <v>0.000212313912</v>
      </c>
      <c r="G434" s="3">
        <f t="shared" si="4"/>
        <v>0</v>
      </c>
      <c r="H434" s="2">
        <f t="shared" si="5"/>
        <v>0</v>
      </c>
      <c r="I434" s="3">
        <f t="shared" si="6"/>
        <v>0</v>
      </c>
      <c r="J434" s="3">
        <f t="shared" si="7"/>
        <v>0</v>
      </c>
      <c r="K434" s="3"/>
      <c r="L434" s="3">
        <f t="shared" si="8"/>
        <v>421.8287416</v>
      </c>
      <c r="M434" s="14">
        <f t="shared" si="9"/>
        <v>422.0985429</v>
      </c>
      <c r="N434" s="14">
        <f t="shared" si="10"/>
        <v>-0.2698013345</v>
      </c>
      <c r="O434" s="3"/>
      <c r="P434" s="3"/>
      <c r="Q434" s="3"/>
      <c r="R434" s="2"/>
      <c r="S434" s="14">
        <f t="shared" si="13"/>
        <v>-0.2477575221</v>
      </c>
    </row>
    <row r="435">
      <c r="A435" s="11">
        <v>423.0</v>
      </c>
      <c r="B435" s="11">
        <v>1.42123478260869E9</v>
      </c>
      <c r="C435" s="2">
        <v>-102.5356903</v>
      </c>
      <c r="D435" s="3">
        <f t="shared" si="1"/>
        <v>834782.6087</v>
      </c>
      <c r="E435" s="4">
        <f t="shared" si="2"/>
        <v>-177.2311535</v>
      </c>
      <c r="F435" s="3">
        <f t="shared" si="3"/>
        <v>0.0002123081526</v>
      </c>
      <c r="G435" s="3">
        <f t="shared" si="4"/>
        <v>0</v>
      </c>
      <c r="H435" s="2">
        <f t="shared" si="5"/>
        <v>0</v>
      </c>
      <c r="I435" s="3">
        <f t="shared" si="6"/>
        <v>0</v>
      </c>
      <c r="J435" s="3">
        <f t="shared" si="7"/>
        <v>0</v>
      </c>
      <c r="K435" s="3"/>
      <c r="L435" s="3">
        <f t="shared" si="8"/>
        <v>424.1672537</v>
      </c>
      <c r="M435" s="14">
        <f t="shared" si="9"/>
        <v>421.9168644</v>
      </c>
      <c r="N435" s="14">
        <f t="shared" si="10"/>
        <v>2.250389302</v>
      </c>
      <c r="O435" s="3"/>
      <c r="P435" s="3"/>
      <c r="Q435" s="3"/>
      <c r="R435" s="2"/>
      <c r="S435" s="14">
        <f t="shared" si="13"/>
        <v>2.066523793</v>
      </c>
    </row>
    <row r="436">
      <c r="A436" s="11">
        <v>424.0</v>
      </c>
      <c r="B436" s="11">
        <v>1.42123913043478E9</v>
      </c>
      <c r="C436" s="2">
        <v>-102.5595169</v>
      </c>
      <c r="D436" s="3">
        <f t="shared" si="1"/>
        <v>839130.4348</v>
      </c>
      <c r="E436" s="4">
        <f t="shared" si="2"/>
        <v>-178.1494496</v>
      </c>
      <c r="F436" s="3">
        <f t="shared" si="3"/>
        <v>0.0002123024529</v>
      </c>
      <c r="G436" s="3">
        <f t="shared" si="4"/>
        <v>0</v>
      </c>
      <c r="H436" s="2">
        <f t="shared" si="5"/>
        <v>0</v>
      </c>
      <c r="I436" s="3">
        <f t="shared" si="6"/>
        <v>0</v>
      </c>
      <c r="J436" s="3">
        <f t="shared" si="7"/>
        <v>0</v>
      </c>
      <c r="K436" s="3"/>
      <c r="L436" s="3">
        <f t="shared" si="8"/>
        <v>421.8465264</v>
      </c>
      <c r="M436" s="14">
        <f t="shared" si="9"/>
        <v>421.7346317</v>
      </c>
      <c r="N436" s="14">
        <f t="shared" si="10"/>
        <v>0.1118946863</v>
      </c>
      <c r="O436" s="3"/>
      <c r="P436" s="3"/>
      <c r="Q436" s="3"/>
      <c r="R436" s="2"/>
      <c r="S436" s="14">
        <f t="shared" si="13"/>
        <v>0.1027524574</v>
      </c>
    </row>
    <row r="437">
      <c r="A437" s="11">
        <v>425.0</v>
      </c>
      <c r="B437" s="11">
        <v>1.42124347826087E9</v>
      </c>
      <c r="C437" s="2">
        <v>-102.5516968</v>
      </c>
      <c r="D437" s="3">
        <f t="shared" si="1"/>
        <v>843478.2609</v>
      </c>
      <c r="E437" s="4">
        <f t="shared" si="2"/>
        <v>-179.0677458</v>
      </c>
      <c r="F437" s="3">
        <f t="shared" si="3"/>
        <v>0.000212296812</v>
      </c>
      <c r="G437" s="3">
        <f t="shared" si="4"/>
        <v>0</v>
      </c>
      <c r="H437" s="2">
        <f t="shared" si="5"/>
        <v>0</v>
      </c>
      <c r="I437" s="3">
        <f t="shared" si="6"/>
        <v>0</v>
      </c>
      <c r="J437" s="3">
        <f t="shared" si="7"/>
        <v>0</v>
      </c>
      <c r="K437" s="3"/>
      <c r="L437" s="3">
        <f t="shared" si="8"/>
        <v>422.6068064</v>
      </c>
      <c r="M437" s="14">
        <f t="shared" si="9"/>
        <v>421.5518438</v>
      </c>
      <c r="N437" s="14">
        <f t="shared" si="10"/>
        <v>1.054962614</v>
      </c>
      <c r="O437" s="3"/>
      <c r="P437" s="3"/>
      <c r="Q437" s="3"/>
      <c r="R437" s="2"/>
      <c r="S437" s="14">
        <f t="shared" si="13"/>
        <v>0.9687680885</v>
      </c>
    </row>
    <row r="438">
      <c r="A438" s="11">
        <v>426.0</v>
      </c>
      <c r="B438" s="11">
        <v>1.42124782608695E9</v>
      </c>
      <c r="C438" s="2">
        <v>-102.5514221</v>
      </c>
      <c r="D438" s="3">
        <f t="shared" si="1"/>
        <v>847826.087</v>
      </c>
      <c r="E438" s="4">
        <f t="shared" si="2"/>
        <v>-179.9860419</v>
      </c>
      <c r="F438" s="3">
        <f t="shared" si="3"/>
        <v>0.0002122912289</v>
      </c>
      <c r="G438" s="3">
        <f t="shared" si="4"/>
        <v>0</v>
      </c>
      <c r="H438" s="2">
        <f t="shared" si="5"/>
        <v>0</v>
      </c>
      <c r="I438" s="3">
        <f t="shared" si="6"/>
        <v>0</v>
      </c>
      <c r="J438" s="3">
        <f t="shared" si="7"/>
        <v>0</v>
      </c>
      <c r="K438" s="3"/>
      <c r="L438" s="3">
        <f t="shared" si="8"/>
        <v>422.6335379</v>
      </c>
      <c r="M438" s="14">
        <f t="shared" si="9"/>
        <v>421.3684994</v>
      </c>
      <c r="N438" s="14">
        <f t="shared" si="10"/>
        <v>1.265038522</v>
      </c>
      <c r="O438" s="3"/>
      <c r="P438" s="3"/>
      <c r="Q438" s="3"/>
      <c r="R438" s="2"/>
      <c r="S438" s="14">
        <f t="shared" si="13"/>
        <v>1.161679982</v>
      </c>
    </row>
    <row r="439">
      <c r="A439" s="11">
        <v>427.0</v>
      </c>
      <c r="B439" s="11">
        <v>1.42125217391304E9</v>
      </c>
      <c r="C439" s="2">
        <v>-102.5497589</v>
      </c>
      <c r="D439" s="3">
        <f t="shared" si="1"/>
        <v>852173.913</v>
      </c>
      <c r="E439" s="4">
        <f t="shared" si="2"/>
        <v>-180.904338</v>
      </c>
      <c r="F439" s="3">
        <f t="shared" si="3"/>
        <v>0.0002122857028</v>
      </c>
      <c r="G439" s="3">
        <f t="shared" si="4"/>
        <v>0</v>
      </c>
      <c r="H439" s="2">
        <f t="shared" si="5"/>
        <v>0</v>
      </c>
      <c r="I439" s="3">
        <f t="shared" si="6"/>
        <v>0</v>
      </c>
      <c r="J439" s="3">
        <f t="shared" si="7"/>
        <v>0</v>
      </c>
      <c r="K439" s="3"/>
      <c r="L439" s="3">
        <f t="shared" si="8"/>
        <v>422.7954232</v>
      </c>
      <c r="M439" s="14">
        <f t="shared" si="9"/>
        <v>421.1845977</v>
      </c>
      <c r="N439" s="14">
        <f t="shared" si="10"/>
        <v>1.610825531</v>
      </c>
      <c r="O439" s="3"/>
      <c r="P439" s="3"/>
      <c r="Q439" s="3"/>
      <c r="R439" s="2"/>
      <c r="S439" s="14">
        <f t="shared" si="13"/>
        <v>1.479214853</v>
      </c>
    </row>
    <row r="440">
      <c r="A440" s="11">
        <v>428.0</v>
      </c>
      <c r="B440" s="11">
        <v>1.42125652173913E9</v>
      </c>
      <c r="C440" s="2">
        <v>-102.5842361</v>
      </c>
      <c r="D440" s="3">
        <f t="shared" si="1"/>
        <v>856521.7391</v>
      </c>
      <c r="E440" s="4">
        <f t="shared" si="2"/>
        <v>-181.8226342</v>
      </c>
      <c r="F440" s="3">
        <f t="shared" si="3"/>
        <v>0.0002122802328</v>
      </c>
      <c r="G440" s="3">
        <f t="shared" si="4"/>
        <v>0</v>
      </c>
      <c r="H440" s="2">
        <f t="shared" si="5"/>
        <v>0</v>
      </c>
      <c r="I440" s="3">
        <f t="shared" si="6"/>
        <v>0</v>
      </c>
      <c r="J440" s="3">
        <f t="shared" si="7"/>
        <v>0</v>
      </c>
      <c r="K440" s="3"/>
      <c r="L440" s="3">
        <f t="shared" si="8"/>
        <v>419.452278</v>
      </c>
      <c r="M440" s="14">
        <f t="shared" si="9"/>
        <v>421.0001374</v>
      </c>
      <c r="N440" s="14">
        <f t="shared" si="10"/>
        <v>-1.547859373</v>
      </c>
      <c r="O440" s="3"/>
      <c r="P440" s="3"/>
      <c r="Q440" s="3"/>
      <c r="R440" s="2"/>
      <c r="S440" s="14">
        <f t="shared" si="13"/>
        <v>-1.421393277</v>
      </c>
    </row>
    <row r="441">
      <c r="A441" s="11">
        <v>429.0</v>
      </c>
      <c r="B441" s="11">
        <v>1.42126086956521E9</v>
      </c>
      <c r="C441" s="2">
        <v>-102.6058731</v>
      </c>
      <c r="D441" s="3">
        <f t="shared" si="1"/>
        <v>860869.5652</v>
      </c>
      <c r="E441" s="4">
        <f t="shared" si="2"/>
        <v>-182.7409303</v>
      </c>
      <c r="F441" s="3">
        <f t="shared" si="3"/>
        <v>0.000212274818</v>
      </c>
      <c r="G441" s="3">
        <f t="shared" si="4"/>
        <v>0</v>
      </c>
      <c r="H441" s="2">
        <f t="shared" si="5"/>
        <v>0</v>
      </c>
      <c r="I441" s="3">
        <f t="shared" si="6"/>
        <v>0</v>
      </c>
      <c r="J441" s="3">
        <f t="shared" si="7"/>
        <v>0</v>
      </c>
      <c r="K441" s="3"/>
      <c r="L441" s="3">
        <f t="shared" si="8"/>
        <v>417.3677205</v>
      </c>
      <c r="M441" s="14">
        <f t="shared" si="9"/>
        <v>420.8151176</v>
      </c>
      <c r="N441" s="14">
        <f t="shared" si="10"/>
        <v>-3.44739709</v>
      </c>
      <c r="O441" s="3"/>
      <c r="P441" s="3"/>
      <c r="Q441" s="3"/>
      <c r="R441" s="2"/>
      <c r="S441" s="14">
        <f t="shared" si="13"/>
        <v>-3.165731416</v>
      </c>
    </row>
    <row r="442">
      <c r="A442" s="11">
        <v>430.0</v>
      </c>
      <c r="B442" s="11">
        <v>1.4212652173913E9</v>
      </c>
      <c r="C442" s="2">
        <v>-102.5632706</v>
      </c>
      <c r="D442" s="3">
        <f t="shared" si="1"/>
        <v>865217.3913</v>
      </c>
      <c r="E442" s="4">
        <f t="shared" si="2"/>
        <v>-183.6592264</v>
      </c>
      <c r="F442" s="3">
        <f t="shared" si="3"/>
        <v>0.0002122694577</v>
      </c>
      <c r="G442" s="3">
        <f t="shared" si="4"/>
        <v>0</v>
      </c>
      <c r="H442" s="2">
        <f t="shared" si="5"/>
        <v>0</v>
      </c>
      <c r="I442" s="3">
        <f t="shared" si="6"/>
        <v>0</v>
      </c>
      <c r="J442" s="3">
        <f t="shared" si="7"/>
        <v>0</v>
      </c>
      <c r="K442" s="3"/>
      <c r="L442" s="3">
        <f t="shared" si="8"/>
        <v>421.482073</v>
      </c>
      <c r="M442" s="14">
        <f t="shared" si="9"/>
        <v>420.6295371</v>
      </c>
      <c r="N442" s="14">
        <f t="shared" si="10"/>
        <v>0.8525358993</v>
      </c>
      <c r="O442" s="3"/>
      <c r="P442" s="3"/>
      <c r="Q442" s="3"/>
      <c r="R442" s="2"/>
      <c r="S442" s="14">
        <f t="shared" si="13"/>
        <v>0.7828804176</v>
      </c>
    </row>
    <row r="443">
      <c r="A443" s="11">
        <v>431.0</v>
      </c>
      <c r="B443" s="11">
        <v>1.42126956521739E9</v>
      </c>
      <c r="C443" s="2">
        <v>-102.5649414</v>
      </c>
      <c r="D443" s="3">
        <f t="shared" si="1"/>
        <v>869565.2174</v>
      </c>
      <c r="E443" s="4">
        <f t="shared" si="2"/>
        <v>-184.5775226</v>
      </c>
      <c r="F443" s="3">
        <f t="shared" si="3"/>
        <v>0.0002122641509</v>
      </c>
      <c r="G443" s="3">
        <f t="shared" si="4"/>
        <v>0</v>
      </c>
      <c r="H443" s="2">
        <f t="shared" si="5"/>
        <v>0</v>
      </c>
      <c r="I443" s="3">
        <f t="shared" si="6"/>
        <v>0</v>
      </c>
      <c r="J443" s="3">
        <f t="shared" si="7"/>
        <v>0</v>
      </c>
      <c r="K443" s="3"/>
      <c r="L443" s="3">
        <f t="shared" si="8"/>
        <v>421.3199533</v>
      </c>
      <c r="M443" s="14">
        <f t="shared" si="9"/>
        <v>420.4433949</v>
      </c>
      <c r="N443" s="14">
        <f t="shared" si="10"/>
        <v>0.8765584396</v>
      </c>
      <c r="O443" s="3"/>
      <c r="P443" s="3"/>
      <c r="Q443" s="3"/>
      <c r="R443" s="2"/>
      <c r="S443" s="14">
        <f t="shared" si="13"/>
        <v>0.8049402253</v>
      </c>
    </row>
    <row r="444">
      <c r="A444" s="11">
        <v>432.0</v>
      </c>
      <c r="B444" s="11">
        <v>1.42127391304347E9</v>
      </c>
      <c r="C444" s="2">
        <v>-102.5958939</v>
      </c>
      <c r="D444" s="3">
        <f t="shared" si="1"/>
        <v>873913.0435</v>
      </c>
      <c r="E444" s="4">
        <f t="shared" si="2"/>
        <v>-185.4958187</v>
      </c>
      <c r="F444" s="3">
        <f t="shared" si="3"/>
        <v>0.000212258897</v>
      </c>
      <c r="G444" s="3">
        <f t="shared" si="4"/>
        <v>0</v>
      </c>
      <c r="H444" s="2">
        <f t="shared" si="5"/>
        <v>0</v>
      </c>
      <c r="I444" s="3">
        <f t="shared" si="6"/>
        <v>0</v>
      </c>
      <c r="J444" s="3">
        <f t="shared" si="7"/>
        <v>0</v>
      </c>
      <c r="K444" s="3"/>
      <c r="L444" s="3">
        <f t="shared" si="8"/>
        <v>418.3278489</v>
      </c>
      <c r="M444" s="14">
        <f t="shared" si="9"/>
        <v>420.2566898</v>
      </c>
      <c r="N444" s="14">
        <f t="shared" si="10"/>
        <v>-1.92884094</v>
      </c>
      <c r="O444" s="3"/>
      <c r="P444" s="3"/>
      <c r="Q444" s="3"/>
      <c r="R444" s="2"/>
      <c r="S444" s="14">
        <f t="shared" si="13"/>
        <v>-1.771247176</v>
      </c>
    </row>
    <row r="445">
      <c r="A445" s="11">
        <v>433.0</v>
      </c>
      <c r="B445" s="11">
        <v>1.42127826086956E9</v>
      </c>
      <c r="C445" s="2">
        <v>-102.5745087</v>
      </c>
      <c r="D445" s="3">
        <f t="shared" si="1"/>
        <v>878260.8696</v>
      </c>
      <c r="E445" s="4">
        <f t="shared" si="2"/>
        <v>-186.4141148</v>
      </c>
      <c r="F445" s="3">
        <f t="shared" si="3"/>
        <v>0.0002122536951</v>
      </c>
      <c r="G445" s="3">
        <f t="shared" si="4"/>
        <v>0</v>
      </c>
      <c r="H445" s="2">
        <f t="shared" si="5"/>
        <v>0</v>
      </c>
      <c r="I445" s="3">
        <f t="shared" si="6"/>
        <v>0</v>
      </c>
      <c r="J445" s="3">
        <f t="shared" si="7"/>
        <v>0</v>
      </c>
      <c r="K445" s="3"/>
      <c r="L445" s="3">
        <f t="shared" si="8"/>
        <v>420.3928272</v>
      </c>
      <c r="M445" s="14">
        <f t="shared" si="9"/>
        <v>420.069421</v>
      </c>
      <c r="N445" s="14">
        <f t="shared" si="10"/>
        <v>0.323406203</v>
      </c>
      <c r="O445" s="3"/>
      <c r="P445" s="3"/>
      <c r="Q445" s="3"/>
      <c r="R445" s="2"/>
      <c r="S445" s="14">
        <f t="shared" si="13"/>
        <v>0.2969826649</v>
      </c>
    </row>
    <row r="446">
      <c r="A446" s="11">
        <v>434.0</v>
      </c>
      <c r="B446" s="11">
        <v>1.42128260869565E9</v>
      </c>
      <c r="C446" s="2">
        <v>-102.6082458</v>
      </c>
      <c r="D446" s="3">
        <f t="shared" si="1"/>
        <v>882608.6957</v>
      </c>
      <c r="E446" s="4">
        <f t="shared" si="2"/>
        <v>-187.332411</v>
      </c>
      <c r="F446" s="3">
        <f t="shared" si="3"/>
        <v>0.0002122485444</v>
      </c>
      <c r="G446" s="3">
        <f t="shared" si="4"/>
        <v>0</v>
      </c>
      <c r="H446" s="2">
        <f t="shared" si="5"/>
        <v>0</v>
      </c>
      <c r="I446" s="3">
        <f t="shared" si="6"/>
        <v>0</v>
      </c>
      <c r="J446" s="3">
        <f t="shared" si="7"/>
        <v>0</v>
      </c>
      <c r="K446" s="3"/>
      <c r="L446" s="3">
        <f t="shared" si="8"/>
        <v>417.1397604</v>
      </c>
      <c r="M446" s="14">
        <f t="shared" si="9"/>
        <v>419.8815871</v>
      </c>
      <c r="N446" s="14">
        <f t="shared" si="10"/>
        <v>-2.741826675</v>
      </c>
      <c r="O446" s="3"/>
      <c r="P446" s="3"/>
      <c r="Q446" s="3"/>
      <c r="R446" s="2"/>
      <c r="S446" s="14">
        <f t="shared" si="13"/>
        <v>-2.517808832</v>
      </c>
    </row>
    <row r="447">
      <c r="A447" s="11">
        <v>435.0</v>
      </c>
      <c r="B447" s="11">
        <v>1.42128695652173E9</v>
      </c>
      <c r="C447" s="2">
        <v>-102.5763016</v>
      </c>
      <c r="D447" s="3">
        <f t="shared" si="1"/>
        <v>886956.5217</v>
      </c>
      <c r="E447" s="4">
        <f t="shared" si="2"/>
        <v>-188.2507071</v>
      </c>
      <c r="F447" s="3">
        <f t="shared" si="3"/>
        <v>0.0002122434443</v>
      </c>
      <c r="G447" s="3">
        <f t="shared" si="4"/>
        <v>0</v>
      </c>
      <c r="H447" s="2">
        <f t="shared" si="5"/>
        <v>0</v>
      </c>
      <c r="I447" s="3">
        <f t="shared" si="6"/>
        <v>0</v>
      </c>
      <c r="J447" s="3">
        <f t="shared" si="7"/>
        <v>0</v>
      </c>
      <c r="K447" s="3"/>
      <c r="L447" s="3">
        <f t="shared" si="8"/>
        <v>420.219312</v>
      </c>
      <c r="M447" s="14">
        <f t="shared" si="9"/>
        <v>419.6931872</v>
      </c>
      <c r="N447" s="14">
        <f t="shared" si="10"/>
        <v>0.5261247729</v>
      </c>
      <c r="O447" s="3"/>
      <c r="P447" s="3"/>
      <c r="Q447" s="3"/>
      <c r="R447" s="2"/>
      <c r="S447" s="14">
        <f t="shared" si="13"/>
        <v>0.4831383443</v>
      </c>
    </row>
    <row r="448">
      <c r="A448" s="11">
        <v>436.0</v>
      </c>
      <c r="B448" s="11">
        <v>1.42129130434782E9</v>
      </c>
      <c r="C448" s="2">
        <v>-102.5980453</v>
      </c>
      <c r="D448" s="3">
        <f t="shared" si="1"/>
        <v>891304.3478</v>
      </c>
      <c r="E448" s="4">
        <f t="shared" si="2"/>
        <v>-189.1690032</v>
      </c>
      <c r="F448" s="3">
        <f t="shared" si="3"/>
        <v>0.0002122383939</v>
      </c>
      <c r="G448" s="3">
        <f t="shared" si="4"/>
        <v>0</v>
      </c>
      <c r="H448" s="2">
        <f t="shared" si="5"/>
        <v>0</v>
      </c>
      <c r="I448" s="3">
        <f t="shared" si="6"/>
        <v>0</v>
      </c>
      <c r="J448" s="3">
        <f t="shared" si="7"/>
        <v>0</v>
      </c>
      <c r="K448" s="3"/>
      <c r="L448" s="3">
        <f t="shared" si="8"/>
        <v>418.1206697</v>
      </c>
      <c r="M448" s="14">
        <f t="shared" si="9"/>
        <v>419.5042202</v>
      </c>
      <c r="N448" s="14">
        <f t="shared" si="10"/>
        <v>-1.383550499</v>
      </c>
      <c r="O448" s="3"/>
      <c r="P448" s="3"/>
      <c r="Q448" s="3"/>
      <c r="R448" s="2"/>
      <c r="S448" s="14">
        <f t="shared" si="13"/>
        <v>-1.270509073</v>
      </c>
    </row>
    <row r="449">
      <c r="A449" s="11">
        <v>437.0</v>
      </c>
      <c r="B449" s="11">
        <v>1.42129565217391E9</v>
      </c>
      <c r="C449" s="2">
        <v>-102.6044006</v>
      </c>
      <c r="D449" s="3">
        <f t="shared" si="1"/>
        <v>895652.1739</v>
      </c>
      <c r="E449" s="4">
        <f t="shared" si="2"/>
        <v>-190.0872994</v>
      </c>
      <c r="F449" s="3">
        <f t="shared" si="3"/>
        <v>0.0002122333925</v>
      </c>
      <c r="G449" s="3">
        <f t="shared" si="4"/>
        <v>0</v>
      </c>
      <c r="H449" s="2">
        <f t="shared" si="5"/>
        <v>0</v>
      </c>
      <c r="I449" s="3">
        <f t="shared" si="6"/>
        <v>0</v>
      </c>
      <c r="J449" s="3">
        <f t="shared" si="7"/>
        <v>0</v>
      </c>
      <c r="K449" s="3"/>
      <c r="L449" s="3">
        <f t="shared" si="8"/>
        <v>417.5092554</v>
      </c>
      <c r="M449" s="14">
        <f t="shared" si="9"/>
        <v>419.3146851</v>
      </c>
      <c r="N449" s="14">
        <f t="shared" si="10"/>
        <v>-1.805429732</v>
      </c>
      <c r="O449" s="3"/>
      <c r="P449" s="3"/>
      <c r="Q449" s="3"/>
      <c r="R449" s="2"/>
      <c r="S449" s="14">
        <f t="shared" si="13"/>
        <v>-1.657919137</v>
      </c>
    </row>
    <row r="450">
      <c r="A450" s="11">
        <v>438.0</v>
      </c>
      <c r="B450" s="11">
        <v>1.4213E9</v>
      </c>
      <c r="C450" s="2">
        <v>-102.5702972</v>
      </c>
      <c r="D450" s="3">
        <f t="shared" si="1"/>
        <v>900000</v>
      </c>
      <c r="E450" s="4">
        <f t="shared" si="2"/>
        <v>-191.0055955</v>
      </c>
      <c r="F450" s="3">
        <f t="shared" si="3"/>
        <v>0.0002122284394</v>
      </c>
      <c r="G450" s="3">
        <f t="shared" si="4"/>
        <v>0</v>
      </c>
      <c r="H450" s="2">
        <f t="shared" si="5"/>
        <v>0</v>
      </c>
      <c r="I450" s="3">
        <f t="shared" si="6"/>
        <v>0</v>
      </c>
      <c r="J450" s="3">
        <f t="shared" si="7"/>
        <v>0</v>
      </c>
      <c r="K450" s="3"/>
      <c r="L450" s="3">
        <f t="shared" si="8"/>
        <v>420.800694</v>
      </c>
      <c r="M450" s="14">
        <f t="shared" si="9"/>
        <v>419.1245807</v>
      </c>
      <c r="N450" s="14">
        <f t="shared" si="10"/>
        <v>1.6761133</v>
      </c>
      <c r="O450" s="3"/>
      <c r="P450" s="3"/>
      <c r="Q450" s="3"/>
      <c r="R450" s="2"/>
      <c r="S450" s="14">
        <f t="shared" si="13"/>
        <v>1.539168361</v>
      </c>
    </row>
    <row r="451">
      <c r="A451" s="11">
        <v>439.0</v>
      </c>
      <c r="B451" s="11">
        <v>1.42130434782608E9</v>
      </c>
      <c r="C451" s="2">
        <v>-102.5205994</v>
      </c>
      <c r="D451" s="3">
        <f t="shared" si="1"/>
        <v>904347.8261</v>
      </c>
      <c r="E451" s="4">
        <f t="shared" si="2"/>
        <v>-191.9238916</v>
      </c>
      <c r="F451" s="3">
        <f t="shared" si="3"/>
        <v>0.000212223534</v>
      </c>
      <c r="G451" s="3">
        <f t="shared" si="4"/>
        <v>0</v>
      </c>
      <c r="H451" s="2">
        <f t="shared" si="5"/>
        <v>0</v>
      </c>
      <c r="I451" s="3">
        <f t="shared" si="6"/>
        <v>0</v>
      </c>
      <c r="J451" s="3">
        <f t="shared" si="7"/>
        <v>0</v>
      </c>
      <c r="K451" s="3"/>
      <c r="L451" s="3">
        <f t="shared" si="8"/>
        <v>425.6437173</v>
      </c>
      <c r="M451" s="14">
        <f t="shared" si="9"/>
        <v>418.9339059</v>
      </c>
      <c r="N451" s="14">
        <f t="shared" si="10"/>
        <v>6.709811352</v>
      </c>
      <c r="O451" s="3"/>
      <c r="P451" s="3"/>
      <c r="Q451" s="3"/>
      <c r="R451" s="2"/>
      <c r="S451" s="14">
        <f t="shared" si="13"/>
        <v>6.161593816</v>
      </c>
    </row>
    <row r="452">
      <c r="A452" s="11">
        <v>440.0</v>
      </c>
      <c r="B452" s="11">
        <v>1.42130869565217E9</v>
      </c>
      <c r="C452" s="2">
        <v>-102.614769</v>
      </c>
      <c r="D452" s="3">
        <f t="shared" si="1"/>
        <v>908695.6522</v>
      </c>
      <c r="E452" s="4">
        <f t="shared" si="2"/>
        <v>-192.8421877</v>
      </c>
      <c r="F452" s="3">
        <f t="shared" si="3"/>
        <v>0.0002122186755</v>
      </c>
      <c r="G452" s="3">
        <f t="shared" si="4"/>
        <v>0</v>
      </c>
      <c r="H452" s="2">
        <f t="shared" si="5"/>
        <v>0</v>
      </c>
      <c r="I452" s="3">
        <f t="shared" si="6"/>
        <v>0</v>
      </c>
      <c r="J452" s="3">
        <f t="shared" si="7"/>
        <v>0</v>
      </c>
      <c r="K452" s="3"/>
      <c r="L452" s="3">
        <f t="shared" si="8"/>
        <v>416.5136775</v>
      </c>
      <c r="M452" s="14">
        <f t="shared" si="9"/>
        <v>418.7426598</v>
      </c>
      <c r="N452" s="14">
        <f t="shared" si="10"/>
        <v>-2.228982284</v>
      </c>
      <c r="O452" s="3"/>
      <c r="P452" s="3"/>
      <c r="Q452" s="3"/>
      <c r="R452" s="2"/>
      <c r="S452" s="14">
        <f t="shared" si="13"/>
        <v>-2.046865807</v>
      </c>
    </row>
    <row r="453">
      <c r="A453" s="11">
        <v>441.0</v>
      </c>
      <c r="B453" s="11">
        <v>1.42131304347826E9</v>
      </c>
      <c r="C453" s="2">
        <v>-102.6046066</v>
      </c>
      <c r="D453" s="3">
        <f t="shared" si="1"/>
        <v>913043.4783</v>
      </c>
      <c r="E453" s="4">
        <f t="shared" si="2"/>
        <v>-193.7604839</v>
      </c>
      <c r="F453" s="3">
        <f t="shared" si="3"/>
        <v>0.0002122138633</v>
      </c>
      <c r="G453" s="3">
        <f t="shared" si="4"/>
        <v>0</v>
      </c>
      <c r="H453" s="2">
        <f t="shared" si="5"/>
        <v>0</v>
      </c>
      <c r="I453" s="3">
        <f t="shared" si="6"/>
        <v>0</v>
      </c>
      <c r="J453" s="3">
        <f t="shared" si="7"/>
        <v>0</v>
      </c>
      <c r="K453" s="3"/>
      <c r="L453" s="3">
        <f t="shared" si="8"/>
        <v>417.489452</v>
      </c>
      <c r="M453" s="14">
        <f t="shared" si="9"/>
        <v>418.5508412</v>
      </c>
      <c r="N453" s="14">
        <f t="shared" si="10"/>
        <v>-1.061389174</v>
      </c>
      <c r="O453" s="3"/>
      <c r="P453" s="3"/>
      <c r="Q453" s="3"/>
      <c r="R453" s="2"/>
      <c r="S453" s="14">
        <f t="shared" si="13"/>
        <v>-0.9746695736</v>
      </c>
    </row>
    <row r="454">
      <c r="A454" s="11">
        <v>442.0</v>
      </c>
      <c r="B454" s="11">
        <v>1.42131739130434E9</v>
      </c>
      <c r="C454" s="2">
        <v>-102.5732346</v>
      </c>
      <c r="D454" s="3">
        <f t="shared" si="1"/>
        <v>917391.3043</v>
      </c>
      <c r="E454" s="4">
        <f t="shared" si="2"/>
        <v>-194.67878</v>
      </c>
      <c r="F454" s="3">
        <f t="shared" si="3"/>
        <v>0.0002122090967</v>
      </c>
      <c r="G454" s="3">
        <f t="shared" si="4"/>
        <v>0</v>
      </c>
      <c r="H454" s="2">
        <f t="shared" si="5"/>
        <v>0</v>
      </c>
      <c r="I454" s="3">
        <f t="shared" si="6"/>
        <v>0</v>
      </c>
      <c r="J454" s="3">
        <f t="shared" si="7"/>
        <v>0</v>
      </c>
      <c r="K454" s="3"/>
      <c r="L454" s="3">
        <f t="shared" si="8"/>
        <v>420.5161769</v>
      </c>
      <c r="M454" s="14">
        <f t="shared" si="9"/>
        <v>418.358449</v>
      </c>
      <c r="N454" s="14">
        <f t="shared" si="10"/>
        <v>2.15772788</v>
      </c>
      <c r="O454" s="3"/>
      <c r="P454" s="3"/>
      <c r="Q454" s="3"/>
      <c r="R454" s="2"/>
      <c r="S454" s="14">
        <f t="shared" si="13"/>
        <v>1.981433168</v>
      </c>
    </row>
    <row r="455">
      <c r="A455" s="11">
        <v>443.0</v>
      </c>
      <c r="B455" s="11">
        <v>1.42132173913043E9</v>
      </c>
      <c r="C455" s="2">
        <v>-102.6178055</v>
      </c>
      <c r="D455" s="3">
        <f t="shared" si="1"/>
        <v>921739.1304</v>
      </c>
      <c r="E455" s="4">
        <f t="shared" si="2"/>
        <v>-195.5970761</v>
      </c>
      <c r="F455" s="3">
        <f t="shared" si="3"/>
        <v>0.0002122043751</v>
      </c>
      <c r="G455" s="3">
        <f t="shared" si="4"/>
        <v>0</v>
      </c>
      <c r="H455" s="2">
        <f t="shared" si="5"/>
        <v>0</v>
      </c>
      <c r="I455" s="3">
        <f t="shared" si="6"/>
        <v>0</v>
      </c>
      <c r="J455" s="3">
        <f t="shared" si="7"/>
        <v>0</v>
      </c>
      <c r="K455" s="3"/>
      <c r="L455" s="3">
        <f t="shared" si="8"/>
        <v>416.2225613</v>
      </c>
      <c r="M455" s="14">
        <f t="shared" si="9"/>
        <v>418.1654822</v>
      </c>
      <c r="N455" s="14">
        <f t="shared" si="10"/>
        <v>-1.942920921</v>
      </c>
      <c r="O455" s="3"/>
      <c r="P455" s="3"/>
      <c r="Q455" s="3"/>
      <c r="R455" s="2"/>
      <c r="S455" s="14">
        <f t="shared" si="13"/>
        <v>-1.784176764</v>
      </c>
    </row>
    <row r="456">
      <c r="A456" s="11">
        <v>444.0</v>
      </c>
      <c r="B456" s="11">
        <v>1.42132608695652E9</v>
      </c>
      <c r="C456" s="2">
        <v>-102.6128769</v>
      </c>
      <c r="D456" s="3">
        <f t="shared" si="1"/>
        <v>926086.9565</v>
      </c>
      <c r="E456" s="4">
        <f t="shared" si="2"/>
        <v>-196.5153723</v>
      </c>
      <c r="F456" s="3">
        <f t="shared" si="3"/>
        <v>0.0002121996978</v>
      </c>
      <c r="G456" s="3">
        <f t="shared" si="4"/>
        <v>0</v>
      </c>
      <c r="H456" s="2">
        <f t="shared" si="5"/>
        <v>0</v>
      </c>
      <c r="I456" s="3">
        <f t="shared" si="6"/>
        <v>0</v>
      </c>
      <c r="J456" s="3">
        <f t="shared" si="7"/>
        <v>0</v>
      </c>
      <c r="K456" s="3"/>
      <c r="L456" s="3">
        <f t="shared" si="8"/>
        <v>416.6951804</v>
      </c>
      <c r="M456" s="14">
        <f t="shared" si="9"/>
        <v>417.9719397</v>
      </c>
      <c r="N456" s="14">
        <f t="shared" si="10"/>
        <v>-1.276759246</v>
      </c>
      <c r="O456" s="3"/>
      <c r="P456" s="3"/>
      <c r="Q456" s="3"/>
      <c r="R456" s="2"/>
      <c r="S456" s="14">
        <f t="shared" si="13"/>
        <v>-1.172443078</v>
      </c>
    </row>
    <row r="457">
      <c r="A457" s="11">
        <v>445.0</v>
      </c>
      <c r="B457" s="11">
        <v>1.4213304347826E9</v>
      </c>
      <c r="C457" s="2">
        <v>-102.6217957</v>
      </c>
      <c r="D457" s="3">
        <f t="shared" si="1"/>
        <v>930434.7826</v>
      </c>
      <c r="E457" s="4">
        <f t="shared" si="2"/>
        <v>-197.4336684</v>
      </c>
      <c r="F457" s="3">
        <f t="shared" si="3"/>
        <v>0.0002121950642</v>
      </c>
      <c r="G457" s="3">
        <f t="shared" si="4"/>
        <v>0</v>
      </c>
      <c r="H457" s="2">
        <f t="shared" si="5"/>
        <v>0</v>
      </c>
      <c r="I457" s="3">
        <f t="shared" si="6"/>
        <v>0</v>
      </c>
      <c r="J457" s="3">
        <f t="shared" si="7"/>
        <v>0</v>
      </c>
      <c r="K457" s="3"/>
      <c r="L457" s="3">
        <f t="shared" si="8"/>
        <v>415.840321</v>
      </c>
      <c r="M457" s="14">
        <f t="shared" si="9"/>
        <v>417.7778204</v>
      </c>
      <c r="N457" s="14">
        <f t="shared" si="10"/>
        <v>-1.937499431</v>
      </c>
      <c r="O457" s="3"/>
      <c r="P457" s="3"/>
      <c r="Q457" s="3"/>
      <c r="R457" s="2"/>
      <c r="S457" s="14">
        <f t="shared" si="13"/>
        <v>-1.779198234</v>
      </c>
    </row>
    <row r="458">
      <c r="A458" s="11">
        <v>446.0</v>
      </c>
      <c r="B458" s="11">
        <v>1.42133478260869E9</v>
      </c>
      <c r="C458" s="2">
        <v>-102.5961609</v>
      </c>
      <c r="D458" s="3">
        <f t="shared" si="1"/>
        <v>934782.6087</v>
      </c>
      <c r="E458" s="4">
        <f t="shared" si="2"/>
        <v>-198.3519645</v>
      </c>
      <c r="F458" s="3">
        <f t="shared" si="3"/>
        <v>0.0002121904737</v>
      </c>
      <c r="G458" s="3">
        <f t="shared" si="4"/>
        <v>0</v>
      </c>
      <c r="H458" s="2">
        <f t="shared" si="5"/>
        <v>0</v>
      </c>
      <c r="I458" s="3">
        <f t="shared" si="6"/>
        <v>0</v>
      </c>
      <c r="J458" s="3">
        <f t="shared" si="7"/>
        <v>0</v>
      </c>
      <c r="K458" s="3"/>
      <c r="L458" s="3">
        <f t="shared" si="8"/>
        <v>418.3021313</v>
      </c>
      <c r="M458" s="14">
        <f t="shared" si="9"/>
        <v>417.5831233</v>
      </c>
      <c r="N458" s="14">
        <f t="shared" si="10"/>
        <v>0.7190080415</v>
      </c>
      <c r="O458" s="3"/>
      <c r="P458" s="3"/>
      <c r="Q458" s="3"/>
      <c r="R458" s="2"/>
      <c r="S458" s="14">
        <f t="shared" si="13"/>
        <v>0.660262304</v>
      </c>
    </row>
    <row r="459">
      <c r="A459" s="11">
        <v>447.0</v>
      </c>
      <c r="B459" s="11">
        <v>1.42133913043478E9</v>
      </c>
      <c r="C459" s="2">
        <v>-102.5992584</v>
      </c>
      <c r="D459" s="3">
        <f t="shared" si="1"/>
        <v>939130.4348</v>
      </c>
      <c r="E459" s="4">
        <f t="shared" si="2"/>
        <v>-199.2702607</v>
      </c>
      <c r="F459" s="3">
        <f t="shared" si="3"/>
        <v>0.0002121859257</v>
      </c>
      <c r="G459" s="3">
        <f t="shared" si="4"/>
        <v>0</v>
      </c>
      <c r="H459" s="2">
        <f t="shared" si="5"/>
        <v>0</v>
      </c>
      <c r="I459" s="3">
        <f t="shared" si="6"/>
        <v>0</v>
      </c>
      <c r="J459" s="3">
        <f t="shared" si="7"/>
        <v>0</v>
      </c>
      <c r="K459" s="3"/>
      <c r="L459" s="3">
        <f t="shared" si="8"/>
        <v>418.0038938</v>
      </c>
      <c r="M459" s="14">
        <f t="shared" si="9"/>
        <v>417.3878472</v>
      </c>
      <c r="N459" s="14">
        <f t="shared" si="10"/>
        <v>0.6160466352</v>
      </c>
      <c r="O459" s="3"/>
      <c r="P459" s="3"/>
      <c r="Q459" s="3"/>
      <c r="R459" s="2"/>
      <c r="S459" s="14">
        <f t="shared" si="13"/>
        <v>0.5657132414</v>
      </c>
    </row>
    <row r="460">
      <c r="A460" s="11">
        <v>448.0</v>
      </c>
      <c r="B460" s="11">
        <v>1.42134347826087E9</v>
      </c>
      <c r="C460" s="2">
        <v>-102.629631</v>
      </c>
      <c r="D460" s="3">
        <f t="shared" si="1"/>
        <v>943478.2609</v>
      </c>
      <c r="E460" s="4">
        <f t="shared" si="2"/>
        <v>-200.1885568</v>
      </c>
      <c r="F460" s="3">
        <f t="shared" si="3"/>
        <v>0.0002121814197</v>
      </c>
      <c r="G460" s="3">
        <f t="shared" si="4"/>
        <v>0</v>
      </c>
      <c r="H460" s="2">
        <f t="shared" si="5"/>
        <v>0</v>
      </c>
      <c r="I460" s="3">
        <f t="shared" si="6"/>
        <v>0</v>
      </c>
      <c r="J460" s="3">
        <f t="shared" si="7"/>
        <v>0</v>
      </c>
      <c r="K460" s="3"/>
      <c r="L460" s="3">
        <f t="shared" si="8"/>
        <v>415.0907613</v>
      </c>
      <c r="M460" s="14">
        <f t="shared" si="9"/>
        <v>417.1919911</v>
      </c>
      <c r="N460" s="14">
        <f t="shared" si="10"/>
        <v>-2.101229814</v>
      </c>
      <c r="O460" s="3"/>
      <c r="P460" s="3"/>
      <c r="Q460" s="3"/>
      <c r="R460" s="2"/>
      <c r="S460" s="14">
        <f t="shared" si="13"/>
        <v>-1.929551212</v>
      </c>
    </row>
    <row r="461">
      <c r="A461" s="11">
        <v>449.0</v>
      </c>
      <c r="B461" s="11">
        <v>1.42134782608695E9</v>
      </c>
      <c r="C461" s="2">
        <v>-102.6427155</v>
      </c>
      <c r="D461" s="3">
        <f t="shared" si="1"/>
        <v>947826.087</v>
      </c>
      <c r="E461" s="4">
        <f t="shared" si="2"/>
        <v>-201.1068529</v>
      </c>
      <c r="F461" s="3">
        <f t="shared" si="3"/>
        <v>0.0002121769549</v>
      </c>
      <c r="G461" s="3">
        <f t="shared" si="4"/>
        <v>0</v>
      </c>
      <c r="H461" s="2">
        <f t="shared" si="5"/>
        <v>0</v>
      </c>
      <c r="I461" s="3">
        <f t="shared" si="6"/>
        <v>0</v>
      </c>
      <c r="J461" s="3">
        <f t="shared" si="7"/>
        <v>0</v>
      </c>
      <c r="K461" s="3"/>
      <c r="L461" s="3">
        <f t="shared" si="8"/>
        <v>413.8420506</v>
      </c>
      <c r="M461" s="14">
        <f t="shared" si="9"/>
        <v>416.995554</v>
      </c>
      <c r="N461" s="14">
        <f t="shared" si="10"/>
        <v>-3.153503342</v>
      </c>
      <c r="O461" s="3"/>
      <c r="P461" s="3"/>
      <c r="Q461" s="3"/>
      <c r="R461" s="2"/>
      <c r="S461" s="14">
        <f t="shared" si="13"/>
        <v>-2.895849923</v>
      </c>
    </row>
    <row r="462">
      <c r="A462" s="11">
        <v>450.0</v>
      </c>
      <c r="B462" s="11">
        <v>1.42135217391304E9</v>
      </c>
      <c r="C462" s="2">
        <v>-102.6033783</v>
      </c>
      <c r="D462" s="3">
        <f t="shared" si="1"/>
        <v>952173.913</v>
      </c>
      <c r="E462" s="4">
        <f t="shared" si="2"/>
        <v>-202.0251491</v>
      </c>
      <c r="F462" s="3">
        <f t="shared" si="3"/>
        <v>0.000212172531</v>
      </c>
      <c r="G462" s="3">
        <f t="shared" si="4"/>
        <v>0</v>
      </c>
      <c r="H462" s="2">
        <f t="shared" si="5"/>
        <v>0</v>
      </c>
      <c r="I462" s="3">
        <f t="shared" si="6"/>
        <v>0</v>
      </c>
      <c r="J462" s="3">
        <f t="shared" si="7"/>
        <v>0</v>
      </c>
      <c r="K462" s="3"/>
      <c r="L462" s="3">
        <f t="shared" si="8"/>
        <v>417.6075458</v>
      </c>
      <c r="M462" s="14">
        <f t="shared" si="9"/>
        <v>416.7985347</v>
      </c>
      <c r="N462" s="14">
        <f t="shared" si="10"/>
        <v>0.8090111341</v>
      </c>
      <c r="O462" s="3"/>
      <c r="P462" s="3"/>
      <c r="Q462" s="3"/>
      <c r="R462" s="2"/>
      <c r="S462" s="14">
        <f t="shared" si="13"/>
        <v>0.7429117942</v>
      </c>
    </row>
    <row r="463">
      <c r="A463" s="11">
        <v>451.0</v>
      </c>
      <c r="B463" s="11">
        <v>1.42135652173913E9</v>
      </c>
      <c r="C463" s="2">
        <v>-102.6054611</v>
      </c>
      <c r="D463" s="3">
        <f t="shared" si="1"/>
        <v>956521.7391</v>
      </c>
      <c r="E463" s="4">
        <f t="shared" si="2"/>
        <v>-202.9434452</v>
      </c>
      <c r="F463" s="3">
        <f t="shared" si="3"/>
        <v>0.0002121681473</v>
      </c>
      <c r="G463" s="3">
        <f t="shared" si="4"/>
        <v>0</v>
      </c>
      <c r="H463" s="2">
        <f t="shared" si="5"/>
        <v>0</v>
      </c>
      <c r="I463" s="3">
        <f t="shared" si="6"/>
        <v>0</v>
      </c>
      <c r="J463" s="3">
        <f t="shared" si="7"/>
        <v>0</v>
      </c>
      <c r="K463" s="3"/>
      <c r="L463" s="3">
        <f t="shared" si="8"/>
        <v>417.4073166</v>
      </c>
      <c r="M463" s="14">
        <f t="shared" si="9"/>
        <v>416.6009321</v>
      </c>
      <c r="N463" s="14">
        <f t="shared" si="10"/>
        <v>0.8063844506</v>
      </c>
      <c r="O463" s="3"/>
      <c r="P463" s="3"/>
      <c r="Q463" s="3"/>
      <c r="R463" s="2"/>
      <c r="S463" s="14">
        <f t="shared" si="13"/>
        <v>0.7404997225</v>
      </c>
    </row>
    <row r="464">
      <c r="A464" s="11">
        <v>452.0</v>
      </c>
      <c r="B464" s="11">
        <v>1.42136086956521E9</v>
      </c>
      <c r="C464" s="2">
        <v>-102.6147003</v>
      </c>
      <c r="D464" s="3">
        <f t="shared" si="1"/>
        <v>960869.5652</v>
      </c>
      <c r="E464" s="4">
        <f t="shared" si="2"/>
        <v>-203.8617413</v>
      </c>
      <c r="F464" s="3">
        <f t="shared" si="3"/>
        <v>0.0002121638032</v>
      </c>
      <c r="G464" s="3">
        <f t="shared" si="4"/>
        <v>0</v>
      </c>
      <c r="H464" s="2">
        <f t="shared" si="5"/>
        <v>0</v>
      </c>
      <c r="I464" s="3">
        <f t="shared" si="6"/>
        <v>0</v>
      </c>
      <c r="J464" s="3">
        <f t="shared" si="7"/>
        <v>0</v>
      </c>
      <c r="K464" s="3"/>
      <c r="L464" s="3">
        <f t="shared" si="8"/>
        <v>416.5202663</v>
      </c>
      <c r="M464" s="14">
        <f t="shared" si="9"/>
        <v>416.4027453</v>
      </c>
      <c r="N464" s="14">
        <f t="shared" si="10"/>
        <v>0.1175210162</v>
      </c>
      <c r="O464" s="3"/>
      <c r="P464" s="3"/>
      <c r="Q464" s="3"/>
      <c r="R464" s="2"/>
      <c r="S464" s="14">
        <f t="shared" si="13"/>
        <v>0.1079190947</v>
      </c>
    </row>
    <row r="465">
      <c r="A465" s="11">
        <v>453.0</v>
      </c>
      <c r="B465" s="11">
        <v>1.4213652173913E9</v>
      </c>
      <c r="C465" s="2">
        <v>-102.5425262</v>
      </c>
      <c r="D465" s="3">
        <f t="shared" si="1"/>
        <v>965217.3913</v>
      </c>
      <c r="E465" s="4">
        <f t="shared" si="2"/>
        <v>-204.7800375</v>
      </c>
      <c r="F465" s="3">
        <f t="shared" si="3"/>
        <v>0.0002121594983</v>
      </c>
      <c r="G465" s="3">
        <f t="shared" si="4"/>
        <v>0</v>
      </c>
      <c r="H465" s="2">
        <f t="shared" si="5"/>
        <v>0</v>
      </c>
      <c r="I465" s="3">
        <f t="shared" si="6"/>
        <v>0</v>
      </c>
      <c r="J465" s="3">
        <f t="shared" si="7"/>
        <v>0</v>
      </c>
      <c r="K465" s="3"/>
      <c r="L465" s="3">
        <f t="shared" si="8"/>
        <v>423.5001294</v>
      </c>
      <c r="M465" s="14">
        <f t="shared" si="9"/>
        <v>416.2039731</v>
      </c>
      <c r="N465" s="14">
        <f t="shared" si="10"/>
        <v>7.296156358</v>
      </c>
      <c r="O465" s="3"/>
      <c r="P465" s="3"/>
      <c r="Q465" s="3"/>
      <c r="R465" s="2"/>
      <c r="S465" s="14">
        <f t="shared" si="13"/>
        <v>6.700032152</v>
      </c>
    </row>
    <row r="466">
      <c r="A466" s="11">
        <v>454.0</v>
      </c>
      <c r="B466" s="11">
        <v>1.42136956521739E9</v>
      </c>
      <c r="C466" s="2">
        <v>-102.6203232</v>
      </c>
      <c r="D466" s="3">
        <f t="shared" si="1"/>
        <v>969565.2174</v>
      </c>
      <c r="E466" s="4">
        <f t="shared" si="2"/>
        <v>-205.6983336</v>
      </c>
      <c r="F466" s="3">
        <f t="shared" si="3"/>
        <v>0.000212155232</v>
      </c>
      <c r="G466" s="3">
        <f t="shared" si="4"/>
        <v>0</v>
      </c>
      <c r="H466" s="2">
        <f t="shared" si="5"/>
        <v>0</v>
      </c>
      <c r="I466" s="3">
        <f t="shared" si="6"/>
        <v>0</v>
      </c>
      <c r="J466" s="3">
        <f t="shared" si="7"/>
        <v>0</v>
      </c>
      <c r="K466" s="3"/>
      <c r="L466" s="3">
        <f t="shared" si="8"/>
        <v>415.9813379</v>
      </c>
      <c r="M466" s="14">
        <f t="shared" si="9"/>
        <v>416.0046144</v>
      </c>
      <c r="N466" s="14">
        <f t="shared" si="10"/>
        <v>-0.0232764826</v>
      </c>
      <c r="O466" s="3"/>
      <c r="P466" s="3"/>
      <c r="Q466" s="3"/>
      <c r="R466" s="2"/>
      <c r="S466" s="14">
        <f t="shared" si="13"/>
        <v>-0.02137470396</v>
      </c>
    </row>
    <row r="467">
      <c r="A467" s="11">
        <v>455.0</v>
      </c>
      <c r="B467" s="11">
        <v>1.42137391304347E9</v>
      </c>
      <c r="C467" s="2">
        <v>-102.6563263</v>
      </c>
      <c r="D467" s="3">
        <f t="shared" si="1"/>
        <v>973913.0435</v>
      </c>
      <c r="E467" s="4">
        <f t="shared" si="2"/>
        <v>-206.6166297</v>
      </c>
      <c r="F467" s="3">
        <f t="shared" si="3"/>
        <v>0.0002121510037</v>
      </c>
      <c r="G467" s="3">
        <f t="shared" si="4"/>
        <v>0</v>
      </c>
      <c r="H467" s="2">
        <f t="shared" si="5"/>
        <v>0</v>
      </c>
      <c r="I467" s="3">
        <f t="shared" si="6"/>
        <v>0</v>
      </c>
      <c r="J467" s="3">
        <f t="shared" si="7"/>
        <v>0</v>
      </c>
      <c r="K467" s="3"/>
      <c r="L467" s="3">
        <f t="shared" si="8"/>
        <v>412.5470989</v>
      </c>
      <c r="M467" s="14">
        <f t="shared" si="9"/>
        <v>415.8046682</v>
      </c>
      <c r="N467" s="14">
        <f t="shared" si="10"/>
        <v>-3.257569317</v>
      </c>
      <c r="O467" s="3"/>
      <c r="P467" s="3"/>
      <c r="Q467" s="3"/>
      <c r="R467" s="2"/>
      <c r="S467" s="14">
        <f t="shared" si="13"/>
        <v>-2.991413306</v>
      </c>
    </row>
    <row r="468">
      <c r="A468" s="11">
        <v>456.0</v>
      </c>
      <c r="B468" s="11">
        <v>1.42137826086956E9</v>
      </c>
      <c r="C468" s="2">
        <v>-102.6545792</v>
      </c>
      <c r="D468" s="3">
        <f t="shared" si="1"/>
        <v>978260.8696</v>
      </c>
      <c r="E468" s="4">
        <f t="shared" si="2"/>
        <v>-207.5349259</v>
      </c>
      <c r="F468" s="3">
        <f t="shared" si="3"/>
        <v>0.0002121468131</v>
      </c>
      <c r="G468" s="3">
        <f t="shared" si="4"/>
        <v>0</v>
      </c>
      <c r="H468" s="2">
        <f t="shared" si="5"/>
        <v>0</v>
      </c>
      <c r="I468" s="3">
        <f t="shared" si="6"/>
        <v>0</v>
      </c>
      <c r="J468" s="3">
        <f t="shared" si="7"/>
        <v>0</v>
      </c>
      <c r="K468" s="3"/>
      <c r="L468" s="3">
        <f t="shared" si="8"/>
        <v>412.7130936</v>
      </c>
      <c r="M468" s="14">
        <f t="shared" si="9"/>
        <v>415.6041334</v>
      </c>
      <c r="N468" s="14">
        <f t="shared" si="10"/>
        <v>-2.891039754</v>
      </c>
      <c r="O468" s="3"/>
      <c r="P468" s="3"/>
      <c r="Q468" s="3"/>
      <c r="R468" s="2"/>
      <c r="S468" s="14">
        <f t="shared" si="13"/>
        <v>-2.654830619</v>
      </c>
    </row>
    <row r="469">
      <c r="A469" s="11">
        <v>457.0</v>
      </c>
      <c r="B469" s="11">
        <v>1.42138260869565E9</v>
      </c>
      <c r="C469" s="2">
        <v>-102.5371704</v>
      </c>
      <c r="D469" s="3">
        <f t="shared" si="1"/>
        <v>982608.6957</v>
      </c>
      <c r="E469" s="4">
        <f t="shared" si="2"/>
        <v>-208.453222</v>
      </c>
      <c r="F469" s="3">
        <f t="shared" si="3"/>
        <v>0.0002121426596</v>
      </c>
      <c r="G469" s="3">
        <f t="shared" si="4"/>
        <v>0</v>
      </c>
      <c r="H469" s="2">
        <f t="shared" si="5"/>
        <v>0</v>
      </c>
      <c r="I469" s="3">
        <f t="shared" si="6"/>
        <v>0</v>
      </c>
      <c r="J469" s="3">
        <f t="shared" si="7"/>
        <v>0</v>
      </c>
      <c r="K469" s="3"/>
      <c r="L469" s="3">
        <f t="shared" si="8"/>
        <v>424.0227198</v>
      </c>
      <c r="M469" s="14">
        <f t="shared" si="9"/>
        <v>415.4030089</v>
      </c>
      <c r="N469" s="14">
        <f t="shared" si="10"/>
        <v>8.619710929</v>
      </c>
      <c r="O469" s="3"/>
      <c r="P469" s="3"/>
      <c r="Q469" s="3"/>
      <c r="R469" s="2"/>
      <c r="S469" s="14">
        <f t="shared" si="13"/>
        <v>7.915447212</v>
      </c>
    </row>
    <row r="470">
      <c r="A470" s="11">
        <v>458.0</v>
      </c>
      <c r="B470" s="11">
        <v>1.42138695652173E9</v>
      </c>
      <c r="C470" s="2">
        <v>-102.6904831</v>
      </c>
      <c r="D470" s="3">
        <f t="shared" si="1"/>
        <v>986956.5217</v>
      </c>
      <c r="E470" s="4">
        <f t="shared" si="2"/>
        <v>-209.3715181</v>
      </c>
      <c r="F470" s="3">
        <f t="shared" si="3"/>
        <v>0.0002121385426</v>
      </c>
      <c r="G470" s="3">
        <f t="shared" si="4"/>
        <v>0</v>
      </c>
      <c r="H470" s="2">
        <f t="shared" si="5"/>
        <v>0</v>
      </c>
      <c r="I470" s="3">
        <f t="shared" si="6"/>
        <v>0</v>
      </c>
      <c r="J470" s="3">
        <f t="shared" si="7"/>
        <v>0</v>
      </c>
      <c r="K470" s="3"/>
      <c r="L470" s="3">
        <f t="shared" si="8"/>
        <v>409.3151857</v>
      </c>
      <c r="M470" s="14">
        <f t="shared" si="9"/>
        <v>415.2012936</v>
      </c>
      <c r="N470" s="14">
        <f t="shared" si="10"/>
        <v>-5.886107909</v>
      </c>
      <c r="O470" s="3"/>
      <c r="P470" s="3"/>
      <c r="Q470" s="3"/>
      <c r="R470" s="2"/>
      <c r="S470" s="14">
        <f t="shared" si="13"/>
        <v>-5.40519013</v>
      </c>
    </row>
    <row r="471">
      <c r="A471" s="11">
        <v>459.0</v>
      </c>
      <c r="B471" s="11">
        <v>1.42139130434782E9</v>
      </c>
      <c r="C471" s="2">
        <v>-102.5957718</v>
      </c>
      <c r="D471" s="3">
        <f t="shared" si="1"/>
        <v>991304.3478</v>
      </c>
      <c r="E471" s="4">
        <f t="shared" si="2"/>
        <v>-210.2898143</v>
      </c>
      <c r="F471" s="3">
        <f t="shared" si="3"/>
        <v>0.0002121344618</v>
      </c>
      <c r="G471" s="3">
        <f t="shared" si="4"/>
        <v>0</v>
      </c>
      <c r="H471" s="2">
        <f t="shared" si="5"/>
        <v>0</v>
      </c>
      <c r="I471" s="3">
        <f t="shared" si="6"/>
        <v>0</v>
      </c>
      <c r="J471" s="3">
        <f t="shared" si="7"/>
        <v>0</v>
      </c>
      <c r="K471" s="3"/>
      <c r="L471" s="3">
        <f t="shared" si="8"/>
        <v>418.3396102</v>
      </c>
      <c r="M471" s="14">
        <f t="shared" si="9"/>
        <v>414.9989865</v>
      </c>
      <c r="N471" s="14">
        <f t="shared" si="10"/>
        <v>3.340623653</v>
      </c>
      <c r="O471" s="3"/>
      <c r="P471" s="3"/>
      <c r="Q471" s="3"/>
      <c r="R471" s="2"/>
      <c r="S471" s="14">
        <f t="shared" si="13"/>
        <v>3.067681782</v>
      </c>
    </row>
    <row r="472">
      <c r="A472" s="11">
        <v>460.0</v>
      </c>
      <c r="B472" s="11">
        <v>1.42139565217391E9</v>
      </c>
      <c r="C472" s="2">
        <v>-102.6577682</v>
      </c>
      <c r="D472" s="3">
        <f t="shared" si="1"/>
        <v>995652.1739</v>
      </c>
      <c r="E472" s="4">
        <f t="shared" si="2"/>
        <v>-211.2081104</v>
      </c>
      <c r="F472" s="3">
        <f t="shared" si="3"/>
        <v>0.0002121304166</v>
      </c>
      <c r="G472" s="3">
        <f t="shared" si="4"/>
        <v>0</v>
      </c>
      <c r="H472" s="2">
        <f t="shared" si="5"/>
        <v>0</v>
      </c>
      <c r="I472" s="3">
        <f t="shared" si="6"/>
        <v>0</v>
      </c>
      <c r="J472" s="3">
        <f t="shared" si="7"/>
        <v>0</v>
      </c>
      <c r="K472" s="3"/>
      <c r="L472" s="3">
        <f t="shared" si="8"/>
        <v>412.4101519</v>
      </c>
      <c r="M472" s="14">
        <f t="shared" si="9"/>
        <v>414.7960865</v>
      </c>
      <c r="N472" s="14">
        <f t="shared" si="10"/>
        <v>-2.385934605</v>
      </c>
      <c r="O472" s="3"/>
      <c r="P472" s="3"/>
      <c r="Q472" s="3"/>
      <c r="R472" s="2"/>
      <c r="S472" s="14">
        <f t="shared" si="13"/>
        <v>-1.889396821</v>
      </c>
    </row>
    <row r="473">
      <c r="A473" s="11">
        <v>461.0</v>
      </c>
      <c r="B473" s="11">
        <v>1.4214E9</v>
      </c>
      <c r="C473" s="2">
        <v>-102.624649</v>
      </c>
      <c r="D473" s="3">
        <f t="shared" si="1"/>
        <v>1000000</v>
      </c>
      <c r="E473" s="29">
        <f>-0.000212*D473</f>
        <v>-212</v>
      </c>
      <c r="F473" s="3">
        <f t="shared" si="3"/>
        <v>0.000212</v>
      </c>
      <c r="G473" s="3">
        <f t="shared" si="4"/>
        <v>0</v>
      </c>
      <c r="H473" s="2">
        <f t="shared" si="5"/>
        <v>0</v>
      </c>
      <c r="I473" s="3">
        <f t="shared" si="6"/>
        <v>0</v>
      </c>
      <c r="J473" s="3">
        <f t="shared" si="7"/>
        <v>0</v>
      </c>
      <c r="K473" s="3"/>
      <c r="L473" s="3">
        <f t="shared" si="8"/>
        <v>415.567205</v>
      </c>
      <c r="M473" s="14">
        <f t="shared" si="9"/>
        <v>414.6206395</v>
      </c>
      <c r="N473" s="14">
        <f t="shared" si="10"/>
        <v>0.9465655451</v>
      </c>
      <c r="O473" s="3"/>
      <c r="P473" s="3"/>
      <c r="Q473" s="3"/>
      <c r="R473" s="2"/>
      <c r="S473" s="14"/>
    </row>
    <row r="474">
      <c r="A474" s="11" t="s">
        <v>40</v>
      </c>
      <c r="D474" s="3"/>
      <c r="E474" s="4"/>
      <c r="F474" s="3"/>
      <c r="G474" s="3"/>
      <c r="H474" s="3"/>
      <c r="I474" s="3"/>
      <c r="J474" s="3"/>
      <c r="K474" s="3"/>
      <c r="L474" s="3"/>
      <c r="M474" s="5"/>
      <c r="N474" s="3"/>
      <c r="O474" s="3"/>
      <c r="P474" s="3"/>
      <c r="Q474" s="3"/>
      <c r="R474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0</v>
      </c>
      <c r="B1" s="11" t="s">
        <v>1</v>
      </c>
    </row>
    <row r="2">
      <c r="A2" s="11" t="s">
        <v>2</v>
      </c>
      <c r="B2" s="11" t="s">
        <v>3</v>
      </c>
    </row>
    <row r="3">
      <c r="A3" s="11" t="s">
        <v>5</v>
      </c>
      <c r="B3" s="11" t="s">
        <v>6</v>
      </c>
    </row>
    <row r="4">
      <c r="A4" s="11" t="s">
        <v>7</v>
      </c>
      <c r="B4" s="11">
        <v>1.4204E9</v>
      </c>
      <c r="C4" s="11" t="s">
        <v>8</v>
      </c>
    </row>
    <row r="5">
      <c r="A5" s="11" t="s">
        <v>9</v>
      </c>
      <c r="B5" s="11">
        <v>2000000.0</v>
      </c>
      <c r="C5" s="11" t="s">
        <v>8</v>
      </c>
    </row>
    <row r="6">
      <c r="A6" s="11" t="s">
        <v>10</v>
      </c>
      <c r="B6" s="11">
        <v>30000.0</v>
      </c>
      <c r="C6" s="11" t="s">
        <v>8</v>
      </c>
    </row>
    <row r="7">
      <c r="A7" s="11" t="s">
        <v>11</v>
      </c>
      <c r="B7" s="11">
        <v>30000.0</v>
      </c>
      <c r="C7" s="11" t="s">
        <v>8</v>
      </c>
    </row>
    <row r="8">
      <c r="A8" s="11" t="s">
        <v>12</v>
      </c>
      <c r="B8" s="11">
        <v>-97.0</v>
      </c>
      <c r="C8" s="11" t="s">
        <v>13</v>
      </c>
    </row>
    <row r="9">
      <c r="A9" s="11" t="s">
        <v>14</v>
      </c>
      <c r="B9" s="11">
        <v>1.0</v>
      </c>
      <c r="C9" s="11" t="s">
        <v>15</v>
      </c>
    </row>
    <row r="10">
      <c r="A10" s="11" t="s">
        <v>16</v>
      </c>
      <c r="B10" s="11">
        <v>461.0</v>
      </c>
    </row>
    <row r="11">
      <c r="A11" s="11" t="s">
        <v>17</v>
      </c>
      <c r="B11" s="11" t="s">
        <v>8</v>
      </c>
      <c r="C11" s="11" t="s">
        <v>13</v>
      </c>
      <c r="D11" s="2" t="s">
        <v>18</v>
      </c>
      <c r="E11" s="1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26</v>
      </c>
      <c r="M11" s="6" t="s">
        <v>27</v>
      </c>
      <c r="N11" s="2" t="s">
        <v>28</v>
      </c>
      <c r="O11" s="3"/>
      <c r="P11" s="2" t="s">
        <v>29</v>
      </c>
      <c r="Q11" s="2" t="s">
        <v>30</v>
      </c>
      <c r="R11" s="2"/>
      <c r="S11" s="2" t="s">
        <v>31</v>
      </c>
      <c r="V11" s="13" t="s">
        <v>32</v>
      </c>
    </row>
    <row r="12">
      <c r="A12" s="11" t="s">
        <v>33</v>
      </c>
      <c r="B12" s="11" t="s">
        <v>34</v>
      </c>
      <c r="C12" s="11" t="s">
        <v>35</v>
      </c>
      <c r="D12" s="3"/>
      <c r="E12" s="4"/>
      <c r="F12" s="3"/>
      <c r="G12" s="2" t="s">
        <v>36</v>
      </c>
      <c r="H12" s="2" t="s">
        <v>37</v>
      </c>
      <c r="I12" s="3"/>
      <c r="J12" s="3"/>
      <c r="K12" s="3"/>
      <c r="L12" s="3"/>
      <c r="M12" s="5"/>
      <c r="N12" s="3"/>
      <c r="O12" s="3"/>
      <c r="P12" s="3"/>
      <c r="Q12" s="3"/>
      <c r="R12" s="3"/>
      <c r="S12" s="3"/>
    </row>
    <row r="13">
      <c r="A13" s="11">
        <v>1.0</v>
      </c>
      <c r="B13" s="11">
        <v>1.4194E9</v>
      </c>
      <c r="C13" s="2">
        <v>-102.1746674</v>
      </c>
      <c r="D13" s="3">
        <f t="shared" ref="D13:D473" si="1">B13-$B$4</f>
        <v>-1000000</v>
      </c>
      <c r="E13" s="4">
        <f t="shared" ref="E13:E472" si="2">-((B14-$B$4)/$B$4)*(3*10^5)</f>
        <v>210.2898143</v>
      </c>
      <c r="F13" s="3">
        <f t="shared" ref="F13:F242" si="3">-E13/D13</f>
        <v>0.0002102898143</v>
      </c>
      <c r="G13" s="3">
        <f t="shared" ref="G13:G473" si="4">(10^(C13/10))/1000</f>
        <v>0</v>
      </c>
      <c r="H13" s="2">
        <f t="shared" ref="H13:H473" si="5">G13/30000</f>
        <v>0</v>
      </c>
      <c r="I13" s="3">
        <f t="shared" ref="I13:I473" si="6">0.0063*H13</f>
        <v>0</v>
      </c>
      <c r="J13" s="3">
        <f t="shared" ref="J13:J473" si="7">(1/F13^2)*I13</f>
        <v>0</v>
      </c>
      <c r="K13" s="22">
        <f>1.38064852E-23</f>
        <v>0</v>
      </c>
      <c r="L13" s="3">
        <f t="shared" ref="L13:L473" si="8">(1/(2*$K$13))*(I13)</f>
        <v>460.934725</v>
      </c>
      <c r="M13" s="31">
        <f t="shared" ref="M13:M473" si="9"> 0.0000001695*E13^3 - 0.0000679984*E13^2 + 0.1068442353*E13 + 439.6680871643
</f>
        <v>460.705577</v>
      </c>
      <c r="N13" s="14">
        <f t="shared" ref="N13:N473" si="10">L13-(M13)</f>
        <v>0.2291479698</v>
      </c>
      <c r="O13" s="3"/>
      <c r="P13" s="23">
        <f t="shared" ref="P13:P67" si="11">-((B14-$B$4)/$B$4)*(3*10^5)</f>
        <v>210.2898143</v>
      </c>
      <c r="Q13" s="14">
        <f t="shared" ref="Q13:Q67" si="12">(1/(2*$K$13))*(I13)</f>
        <v>460.934725</v>
      </c>
      <c r="R13" s="2"/>
      <c r="S13" s="14">
        <f t="shared" ref="S13:S472" si="13">(N13 * ABS(E14-E13))</f>
        <v>0.2104256945</v>
      </c>
      <c r="V13" s="3">
        <f>1822400000000000000 * SUM(S13:S473)</f>
        <v>1.71295E+22</v>
      </c>
    </row>
    <row r="14">
      <c r="A14" s="11">
        <v>2.0</v>
      </c>
      <c r="B14" s="11">
        <v>1.41940434782608E9</v>
      </c>
      <c r="C14" s="2">
        <v>-102.1549072</v>
      </c>
      <c r="D14" s="3">
        <f t="shared" si="1"/>
        <v>-995652.1739</v>
      </c>
      <c r="E14" s="4">
        <f t="shared" si="2"/>
        <v>209.3715181</v>
      </c>
      <c r="F14" s="3">
        <f t="shared" si="3"/>
        <v>0.0002102858042</v>
      </c>
      <c r="G14" s="3">
        <f t="shared" si="4"/>
        <v>0</v>
      </c>
      <c r="H14" s="2">
        <f t="shared" si="5"/>
        <v>0</v>
      </c>
      <c r="I14" s="3">
        <f t="shared" si="6"/>
        <v>0</v>
      </c>
      <c r="J14" s="3">
        <f t="shared" si="7"/>
        <v>0</v>
      </c>
      <c r="K14" s="3"/>
      <c r="L14" s="3">
        <f t="shared" si="8"/>
        <v>463.0367353</v>
      </c>
      <c r="M14" s="31">
        <f t="shared" si="9"/>
        <v>460.6131077</v>
      </c>
      <c r="N14" s="14">
        <f t="shared" si="10"/>
        <v>2.423627619</v>
      </c>
      <c r="O14" s="3"/>
      <c r="P14" s="23">
        <f t="shared" si="11"/>
        <v>209.3715181</v>
      </c>
      <c r="Q14" s="14">
        <f t="shared" si="12"/>
        <v>463.0367353</v>
      </c>
      <c r="R14" s="2"/>
      <c r="S14" s="14">
        <f t="shared" si="13"/>
        <v>2.22560787</v>
      </c>
    </row>
    <row r="15">
      <c r="A15" s="11">
        <v>3.0</v>
      </c>
      <c r="B15" s="11">
        <v>1.41940869565217E9</v>
      </c>
      <c r="C15" s="2">
        <v>-102.1230392</v>
      </c>
      <c r="D15" s="3">
        <f t="shared" si="1"/>
        <v>-991304.3478</v>
      </c>
      <c r="E15" s="4">
        <f t="shared" si="2"/>
        <v>208.453222</v>
      </c>
      <c r="F15" s="3">
        <f t="shared" si="3"/>
        <v>0.000210281759</v>
      </c>
      <c r="G15" s="3">
        <f t="shared" si="4"/>
        <v>0</v>
      </c>
      <c r="H15" s="2">
        <f t="shared" si="5"/>
        <v>0</v>
      </c>
      <c r="I15" s="3">
        <f t="shared" si="6"/>
        <v>0</v>
      </c>
      <c r="J15" s="3">
        <f t="shared" si="7"/>
        <v>0</v>
      </c>
      <c r="K15" s="3"/>
      <c r="L15" s="3">
        <f t="shared" si="8"/>
        <v>466.446939</v>
      </c>
      <c r="M15" s="31">
        <f t="shared" si="9"/>
        <v>460.5207032</v>
      </c>
      <c r="N15" s="14">
        <f t="shared" si="10"/>
        <v>5.926235789</v>
      </c>
      <c r="O15" s="3"/>
      <c r="P15" s="23">
        <f t="shared" si="11"/>
        <v>208.453222</v>
      </c>
      <c r="Q15" s="14">
        <f t="shared" si="12"/>
        <v>466.446939</v>
      </c>
      <c r="R15" s="2"/>
      <c r="S15" s="14">
        <f t="shared" si="13"/>
        <v>5.442039394</v>
      </c>
    </row>
    <row r="16">
      <c r="A16" s="11">
        <v>4.0</v>
      </c>
      <c r="B16" s="11">
        <v>1.41941304347826E9</v>
      </c>
      <c r="C16" s="2">
        <v>-102.1771545</v>
      </c>
      <c r="D16" s="3">
        <f t="shared" si="1"/>
        <v>-986956.5217</v>
      </c>
      <c r="E16" s="4">
        <f t="shared" si="2"/>
        <v>207.5349259</v>
      </c>
      <c r="F16" s="3">
        <f t="shared" si="3"/>
        <v>0.0002102776782</v>
      </c>
      <c r="G16" s="3">
        <f t="shared" si="4"/>
        <v>0</v>
      </c>
      <c r="H16" s="2">
        <f t="shared" si="5"/>
        <v>0</v>
      </c>
      <c r="I16" s="3">
        <f t="shared" si="6"/>
        <v>0</v>
      </c>
      <c r="J16" s="3">
        <f t="shared" si="7"/>
        <v>0</v>
      </c>
      <c r="K16" s="3"/>
      <c r="L16" s="3">
        <f t="shared" si="8"/>
        <v>460.6708343</v>
      </c>
      <c r="M16" s="31">
        <f t="shared" si="9"/>
        <v>460.4283628</v>
      </c>
      <c r="N16" s="14">
        <f t="shared" si="10"/>
        <v>0.2424715651</v>
      </c>
      <c r="O16" s="3"/>
      <c r="P16" s="23">
        <f t="shared" si="11"/>
        <v>207.5349259</v>
      </c>
      <c r="Q16" s="14">
        <f t="shared" si="12"/>
        <v>460.6708343</v>
      </c>
      <c r="R16" s="2"/>
      <c r="S16" s="14">
        <f t="shared" si="13"/>
        <v>0.2226607005</v>
      </c>
    </row>
    <row r="17">
      <c r="A17" s="11">
        <v>5.0</v>
      </c>
      <c r="B17" s="11">
        <v>1.41941739130434E9</v>
      </c>
      <c r="C17" s="2">
        <v>-102.1505203</v>
      </c>
      <c r="D17" s="3">
        <f t="shared" si="1"/>
        <v>-982608.6957</v>
      </c>
      <c r="E17" s="4">
        <f t="shared" si="2"/>
        <v>206.6166297</v>
      </c>
      <c r="F17" s="3">
        <f t="shared" si="3"/>
        <v>0.0002102735612</v>
      </c>
      <c r="G17" s="3">
        <f t="shared" si="4"/>
        <v>0</v>
      </c>
      <c r="H17" s="2">
        <f t="shared" si="5"/>
        <v>0</v>
      </c>
      <c r="I17" s="3">
        <f t="shared" si="6"/>
        <v>0</v>
      </c>
      <c r="J17" s="3">
        <f t="shared" si="7"/>
        <v>0</v>
      </c>
      <c r="K17" s="3"/>
      <c r="L17" s="3">
        <f t="shared" si="8"/>
        <v>463.5046947</v>
      </c>
      <c r="M17" s="31">
        <f t="shared" si="9"/>
        <v>460.3360857</v>
      </c>
      <c r="N17" s="14">
        <f t="shared" si="10"/>
        <v>3.168609069</v>
      </c>
      <c r="O17" s="3"/>
      <c r="P17" s="23">
        <f t="shared" si="11"/>
        <v>206.6166297</v>
      </c>
      <c r="Q17" s="14">
        <f t="shared" si="12"/>
        <v>463.5046947</v>
      </c>
      <c r="R17" s="2"/>
      <c r="S17" s="14">
        <f t="shared" si="13"/>
        <v>2.909721455</v>
      </c>
    </row>
    <row r="18">
      <c r="A18" s="11">
        <v>6.0</v>
      </c>
      <c r="B18" s="11">
        <v>1.41942173913043E9</v>
      </c>
      <c r="C18" s="2">
        <v>-102.1793518</v>
      </c>
      <c r="D18" s="3">
        <f t="shared" si="1"/>
        <v>-978260.8696</v>
      </c>
      <c r="E18" s="4">
        <f t="shared" si="2"/>
        <v>205.6983336</v>
      </c>
      <c r="F18" s="3">
        <f t="shared" si="3"/>
        <v>0.0002102694077</v>
      </c>
      <c r="G18" s="3">
        <f t="shared" si="4"/>
        <v>0</v>
      </c>
      <c r="H18" s="2">
        <f t="shared" si="5"/>
        <v>0</v>
      </c>
      <c r="I18" s="3">
        <f t="shared" si="6"/>
        <v>0</v>
      </c>
      <c r="J18" s="3">
        <f t="shared" si="7"/>
        <v>0</v>
      </c>
      <c r="K18" s="3"/>
      <c r="L18" s="3">
        <f t="shared" si="8"/>
        <v>460.4378183</v>
      </c>
      <c r="M18" s="31">
        <f t="shared" si="9"/>
        <v>460.2438711</v>
      </c>
      <c r="N18" s="14">
        <f t="shared" si="10"/>
        <v>0.1939471645</v>
      </c>
      <c r="O18" s="3"/>
      <c r="P18" s="23">
        <f t="shared" si="11"/>
        <v>205.6983336</v>
      </c>
      <c r="Q18" s="14">
        <f t="shared" si="12"/>
        <v>460.4378183</v>
      </c>
      <c r="R18" s="2"/>
      <c r="S18" s="14">
        <f t="shared" si="13"/>
        <v>0.1781009307</v>
      </c>
    </row>
    <row r="19">
      <c r="A19" s="11">
        <v>7.0</v>
      </c>
      <c r="B19" s="11">
        <v>1.41942608695652E9</v>
      </c>
      <c r="C19" s="2">
        <v>-102.1302185</v>
      </c>
      <c r="D19" s="3">
        <f t="shared" si="1"/>
        <v>-973913.0435</v>
      </c>
      <c r="E19" s="4">
        <f t="shared" si="2"/>
        <v>204.7800375</v>
      </c>
      <c r="F19" s="3">
        <f t="shared" si="3"/>
        <v>0.000210265217</v>
      </c>
      <c r="G19" s="3">
        <f t="shared" si="4"/>
        <v>0</v>
      </c>
      <c r="H19" s="2">
        <f t="shared" si="5"/>
        <v>0</v>
      </c>
      <c r="I19" s="3">
        <f t="shared" si="6"/>
        <v>0</v>
      </c>
      <c r="J19" s="3">
        <f t="shared" si="7"/>
        <v>0</v>
      </c>
      <c r="K19" s="3"/>
      <c r="L19" s="3">
        <f t="shared" si="8"/>
        <v>465.6764949</v>
      </c>
      <c r="M19" s="31">
        <f t="shared" si="9"/>
        <v>460.1517182</v>
      </c>
      <c r="N19" s="14">
        <f t="shared" si="10"/>
        <v>5.524776653</v>
      </c>
      <c r="O19" s="3"/>
      <c r="P19" s="23">
        <f t="shared" si="11"/>
        <v>204.7800375</v>
      </c>
      <c r="Q19" s="14">
        <f t="shared" si="12"/>
        <v>465.6764949</v>
      </c>
      <c r="R19" s="2"/>
      <c r="S19" s="14">
        <f t="shared" si="13"/>
        <v>5.073381035</v>
      </c>
    </row>
    <row r="20">
      <c r="A20" s="11">
        <v>8.0</v>
      </c>
      <c r="B20" s="11">
        <v>1.4194304347826E9</v>
      </c>
      <c r="C20" s="2">
        <v>-102.2351227</v>
      </c>
      <c r="D20" s="3">
        <f t="shared" si="1"/>
        <v>-969565.2174</v>
      </c>
      <c r="E20" s="4">
        <f t="shared" si="2"/>
        <v>203.8617413</v>
      </c>
      <c r="F20" s="3">
        <f t="shared" si="3"/>
        <v>0.0002102609888</v>
      </c>
      <c r="G20" s="3">
        <f t="shared" si="4"/>
        <v>0</v>
      </c>
      <c r="H20" s="2">
        <f t="shared" si="5"/>
        <v>0</v>
      </c>
      <c r="I20" s="3">
        <f t="shared" si="6"/>
        <v>0</v>
      </c>
      <c r="J20" s="3">
        <f t="shared" si="7"/>
        <v>0</v>
      </c>
      <c r="K20" s="3"/>
      <c r="L20" s="3">
        <f t="shared" si="8"/>
        <v>454.5628061</v>
      </c>
      <c r="M20" s="31">
        <f t="shared" si="9"/>
        <v>460.0596263</v>
      </c>
      <c r="N20" s="14">
        <f t="shared" si="10"/>
        <v>-5.496820192</v>
      </c>
      <c r="O20" s="3"/>
      <c r="P20" s="23">
        <f t="shared" si="11"/>
        <v>203.8617413</v>
      </c>
      <c r="Q20" s="14">
        <f t="shared" si="12"/>
        <v>454.5628061</v>
      </c>
      <c r="R20" s="2"/>
      <c r="S20" s="14">
        <f t="shared" si="13"/>
        <v>-5.047708725</v>
      </c>
    </row>
    <row r="21">
      <c r="A21" s="11">
        <v>9.0</v>
      </c>
      <c r="B21" s="11">
        <v>1.41943478260869E9</v>
      </c>
      <c r="C21" s="2">
        <v>-102.2373886</v>
      </c>
      <c r="D21" s="3">
        <f t="shared" si="1"/>
        <v>-965217.3913</v>
      </c>
      <c r="E21" s="4">
        <f t="shared" si="2"/>
        <v>202.9434452</v>
      </c>
      <c r="F21" s="3">
        <f t="shared" si="3"/>
        <v>0.0002102567225</v>
      </c>
      <c r="G21" s="3">
        <f t="shared" si="4"/>
        <v>0</v>
      </c>
      <c r="H21" s="2">
        <f t="shared" si="5"/>
        <v>0</v>
      </c>
      <c r="I21" s="3">
        <f t="shared" si="6"/>
        <v>0</v>
      </c>
      <c r="J21" s="3">
        <f t="shared" si="7"/>
        <v>0</v>
      </c>
      <c r="K21" s="3"/>
      <c r="L21" s="3">
        <f t="shared" si="8"/>
        <v>454.3257031</v>
      </c>
      <c r="M21" s="31">
        <f t="shared" si="9"/>
        <v>459.9675945</v>
      </c>
      <c r="N21" s="14">
        <f t="shared" si="10"/>
        <v>-5.641891414</v>
      </c>
      <c r="O21" s="3"/>
      <c r="P21" s="23">
        <f t="shared" si="11"/>
        <v>202.9434452</v>
      </c>
      <c r="Q21" s="14">
        <f t="shared" si="12"/>
        <v>454.3257031</v>
      </c>
      <c r="R21" s="2"/>
      <c r="S21" s="14">
        <f t="shared" si="13"/>
        <v>-5.180927067</v>
      </c>
    </row>
    <row r="22">
      <c r="A22" s="11">
        <v>10.0</v>
      </c>
      <c r="B22" s="11">
        <v>1.41943913043478E9</v>
      </c>
      <c r="C22" s="2">
        <v>-102.2592545</v>
      </c>
      <c r="D22" s="3">
        <f t="shared" si="1"/>
        <v>-960869.5652</v>
      </c>
      <c r="E22" s="4">
        <f t="shared" si="2"/>
        <v>202.0251491</v>
      </c>
      <c r="F22" s="3">
        <f t="shared" si="3"/>
        <v>0.0002102524176</v>
      </c>
      <c r="G22" s="3">
        <f t="shared" si="4"/>
        <v>0</v>
      </c>
      <c r="H22" s="2">
        <f t="shared" si="5"/>
        <v>0</v>
      </c>
      <c r="I22" s="3">
        <f t="shared" si="6"/>
        <v>0</v>
      </c>
      <c r="J22" s="3">
        <f t="shared" si="7"/>
        <v>0</v>
      </c>
      <c r="K22" s="3"/>
      <c r="L22" s="3">
        <f t="shared" si="8"/>
        <v>452.0440085</v>
      </c>
      <c r="M22" s="31">
        <f t="shared" si="9"/>
        <v>459.8756221</v>
      </c>
      <c r="N22" s="14">
        <f t="shared" si="10"/>
        <v>-7.831613621</v>
      </c>
      <c r="O22" s="3"/>
      <c r="P22" s="23">
        <f t="shared" si="11"/>
        <v>202.0251491</v>
      </c>
      <c r="Q22" s="14">
        <f t="shared" si="12"/>
        <v>452.0440085</v>
      </c>
      <c r="R22" s="2"/>
      <c r="S22" s="14">
        <f t="shared" si="13"/>
        <v>-7.191740486</v>
      </c>
      <c r="U22" s="11">
        <v>1.0</v>
      </c>
    </row>
    <row r="23">
      <c r="A23" s="11">
        <v>11.0</v>
      </c>
      <c r="B23" s="11">
        <v>1.41944347826087E9</v>
      </c>
      <c r="C23" s="2">
        <v>-102.1836853</v>
      </c>
      <c r="D23" s="3">
        <f t="shared" si="1"/>
        <v>-956521.7391</v>
      </c>
      <c r="E23" s="4">
        <f t="shared" si="2"/>
        <v>201.1068529</v>
      </c>
      <c r="F23" s="3">
        <f t="shared" si="3"/>
        <v>0.0002102480735</v>
      </c>
      <c r="G23" s="3">
        <f t="shared" si="4"/>
        <v>0</v>
      </c>
      <c r="H23" s="2">
        <f t="shared" si="5"/>
        <v>0</v>
      </c>
      <c r="I23" s="3">
        <f t="shared" si="6"/>
        <v>0</v>
      </c>
      <c r="J23" s="3">
        <f t="shared" si="7"/>
        <v>0</v>
      </c>
      <c r="K23" s="3"/>
      <c r="L23" s="3">
        <f t="shared" si="8"/>
        <v>459.9786109</v>
      </c>
      <c r="M23" s="31">
        <f t="shared" si="9"/>
        <v>459.7837083</v>
      </c>
      <c r="N23" s="14">
        <f t="shared" si="10"/>
        <v>0.1949026161</v>
      </c>
      <c r="O23" s="3"/>
      <c r="P23" s="23">
        <f t="shared" si="11"/>
        <v>201.1068529</v>
      </c>
      <c r="Q23" s="14">
        <f t="shared" si="12"/>
        <v>459.9786109</v>
      </c>
      <c r="R23" s="2"/>
      <c r="S23" s="14">
        <f t="shared" si="13"/>
        <v>0.1789783186</v>
      </c>
    </row>
    <row r="24">
      <c r="A24" s="11">
        <v>12.0</v>
      </c>
      <c r="B24" s="11">
        <v>1.41944782608695E9</v>
      </c>
      <c r="C24" s="2">
        <v>-102.1876984</v>
      </c>
      <c r="D24" s="3">
        <f t="shared" si="1"/>
        <v>-952173.913</v>
      </c>
      <c r="E24" s="4">
        <f t="shared" si="2"/>
        <v>200.1885568</v>
      </c>
      <c r="F24" s="3">
        <f t="shared" si="3"/>
        <v>0.0002102436898</v>
      </c>
      <c r="G24" s="3">
        <f t="shared" si="4"/>
        <v>0</v>
      </c>
      <c r="H24" s="2">
        <f t="shared" si="5"/>
        <v>0</v>
      </c>
      <c r="I24" s="3">
        <f t="shared" si="6"/>
        <v>0</v>
      </c>
      <c r="J24" s="3">
        <f t="shared" si="7"/>
        <v>0</v>
      </c>
      <c r="K24" s="3"/>
      <c r="L24" s="3">
        <f t="shared" si="8"/>
        <v>459.5537638</v>
      </c>
      <c r="M24" s="31">
        <f t="shared" si="9"/>
        <v>459.6918523</v>
      </c>
      <c r="N24" s="14">
        <f t="shared" si="10"/>
        <v>-0.1380884505</v>
      </c>
      <c r="O24" s="3"/>
      <c r="P24" s="23">
        <f t="shared" si="11"/>
        <v>200.1885568</v>
      </c>
      <c r="Q24" s="14">
        <f t="shared" si="12"/>
        <v>459.5537638</v>
      </c>
      <c r="R24" s="2"/>
      <c r="S24" s="14">
        <f t="shared" si="13"/>
        <v>-0.12680609</v>
      </c>
    </row>
    <row r="25">
      <c r="A25" s="11">
        <v>13.0</v>
      </c>
      <c r="B25" s="11">
        <v>1.41945217391304E9</v>
      </c>
      <c r="C25" s="2">
        <v>-102.1964722</v>
      </c>
      <c r="D25" s="3">
        <f t="shared" si="1"/>
        <v>-947826.087</v>
      </c>
      <c r="E25" s="4">
        <f t="shared" si="2"/>
        <v>199.2702607</v>
      </c>
      <c r="F25" s="3">
        <f t="shared" si="3"/>
        <v>0.0002102392658</v>
      </c>
      <c r="G25" s="3">
        <f t="shared" si="4"/>
        <v>0</v>
      </c>
      <c r="H25" s="2">
        <f t="shared" si="5"/>
        <v>0</v>
      </c>
      <c r="I25" s="3">
        <f t="shared" si="6"/>
        <v>0</v>
      </c>
      <c r="J25" s="3">
        <f t="shared" si="7"/>
        <v>0</v>
      </c>
      <c r="K25" s="3"/>
      <c r="L25" s="3">
        <f t="shared" si="8"/>
        <v>458.6262911</v>
      </c>
      <c r="M25" s="31">
        <f t="shared" si="9"/>
        <v>459.6000532</v>
      </c>
      <c r="N25" s="14">
        <f t="shared" si="10"/>
        <v>-0.9737620975</v>
      </c>
      <c r="O25" s="3"/>
      <c r="P25" s="23">
        <f t="shared" si="11"/>
        <v>199.2702607</v>
      </c>
      <c r="Q25" s="14">
        <f t="shared" si="12"/>
        <v>458.6262911</v>
      </c>
      <c r="R25" s="2"/>
      <c r="S25" s="14">
        <f t="shared" si="13"/>
        <v>-0.8942019663</v>
      </c>
    </row>
    <row r="26">
      <c r="A26" s="11">
        <v>14.0</v>
      </c>
      <c r="B26" s="11">
        <v>1.41945652173913E9</v>
      </c>
      <c r="C26" s="2">
        <v>-102.2088928</v>
      </c>
      <c r="D26" s="3">
        <f t="shared" si="1"/>
        <v>-943478.2609</v>
      </c>
      <c r="E26" s="4">
        <f t="shared" si="2"/>
        <v>198.3519645</v>
      </c>
      <c r="F26" s="3">
        <f t="shared" si="3"/>
        <v>0.0002102348011</v>
      </c>
      <c r="G26" s="3">
        <f t="shared" si="4"/>
        <v>0</v>
      </c>
      <c r="H26" s="2">
        <f t="shared" si="5"/>
        <v>0</v>
      </c>
      <c r="I26" s="3">
        <f t="shared" si="6"/>
        <v>0</v>
      </c>
      <c r="J26" s="3">
        <f t="shared" si="7"/>
        <v>0</v>
      </c>
      <c r="K26" s="3"/>
      <c r="L26" s="3">
        <f t="shared" si="8"/>
        <v>457.3165172</v>
      </c>
      <c r="M26" s="31">
        <f t="shared" si="9"/>
        <v>459.5083104</v>
      </c>
      <c r="N26" s="14">
        <f t="shared" si="10"/>
        <v>-2.191793162</v>
      </c>
      <c r="O26" s="3"/>
      <c r="P26" s="23">
        <f t="shared" si="11"/>
        <v>198.3519645</v>
      </c>
      <c r="Q26" s="14">
        <f t="shared" si="12"/>
        <v>457.3165172</v>
      </c>
      <c r="R26" s="2"/>
      <c r="S26" s="14">
        <f t="shared" si="13"/>
        <v>-2.012715184</v>
      </c>
    </row>
    <row r="27">
      <c r="A27" s="11">
        <v>15.0</v>
      </c>
      <c r="B27" s="11">
        <v>1.41946086956521E9</v>
      </c>
      <c r="C27" s="2">
        <v>-102.1777267</v>
      </c>
      <c r="D27" s="3">
        <f t="shared" si="1"/>
        <v>-939130.4348</v>
      </c>
      <c r="E27" s="4">
        <f t="shared" si="2"/>
        <v>197.4336684</v>
      </c>
      <c r="F27" s="3">
        <f t="shared" si="3"/>
        <v>0.0002102302951</v>
      </c>
      <c r="G27" s="3">
        <f t="shared" si="4"/>
        <v>0</v>
      </c>
      <c r="H27" s="2">
        <f t="shared" si="5"/>
        <v>0</v>
      </c>
      <c r="I27" s="3">
        <f t="shared" si="6"/>
        <v>0</v>
      </c>
      <c r="J27" s="3">
        <f t="shared" si="7"/>
        <v>0</v>
      </c>
      <c r="K27" s="3"/>
      <c r="L27" s="3">
        <f t="shared" si="8"/>
        <v>460.6101431</v>
      </c>
      <c r="M27" s="31">
        <f t="shared" si="9"/>
        <v>459.416623</v>
      </c>
      <c r="N27" s="14">
        <f t="shared" si="10"/>
        <v>1.19352017</v>
      </c>
      <c r="O27" s="3"/>
      <c r="P27" s="23">
        <f t="shared" si="11"/>
        <v>197.4336684</v>
      </c>
      <c r="Q27" s="14">
        <f t="shared" si="12"/>
        <v>460.6101431</v>
      </c>
      <c r="R27" s="2"/>
      <c r="S27" s="14">
        <f t="shared" si="13"/>
        <v>1.096004957</v>
      </c>
    </row>
    <row r="28">
      <c r="A28" s="11">
        <v>16.0</v>
      </c>
      <c r="B28" s="11">
        <v>1.4194652173913E9</v>
      </c>
      <c r="C28" s="2">
        <v>-102.1377487</v>
      </c>
      <c r="D28" s="3">
        <f t="shared" si="1"/>
        <v>-934782.6087</v>
      </c>
      <c r="E28" s="4">
        <f t="shared" si="2"/>
        <v>196.5153723</v>
      </c>
      <c r="F28" s="3">
        <f t="shared" si="3"/>
        <v>0.0002102257471</v>
      </c>
      <c r="G28" s="3">
        <f t="shared" si="4"/>
        <v>0</v>
      </c>
      <c r="H28" s="2">
        <f t="shared" si="5"/>
        <v>0</v>
      </c>
      <c r="I28" s="3">
        <f t="shared" si="6"/>
        <v>0</v>
      </c>
      <c r="J28" s="3">
        <f t="shared" si="7"/>
        <v>0</v>
      </c>
      <c r="K28" s="3"/>
      <c r="L28" s="3">
        <f t="shared" si="8"/>
        <v>464.8697614</v>
      </c>
      <c r="M28" s="31">
        <f t="shared" si="9"/>
        <v>459.3249902</v>
      </c>
      <c r="N28" s="14">
        <f t="shared" si="10"/>
        <v>5.544771226</v>
      </c>
      <c r="O28" s="3"/>
      <c r="P28" s="23">
        <f t="shared" si="11"/>
        <v>196.5153723</v>
      </c>
      <c r="Q28" s="14">
        <f t="shared" si="12"/>
        <v>464.8697614</v>
      </c>
      <c r="R28" s="2"/>
      <c r="S28" s="14">
        <f t="shared" si="13"/>
        <v>5.091741962</v>
      </c>
    </row>
    <row r="29">
      <c r="A29" s="11">
        <v>17.0</v>
      </c>
      <c r="B29" s="11">
        <v>1.41946956521739E9</v>
      </c>
      <c r="C29" s="2">
        <v>-102.1971512</v>
      </c>
      <c r="D29" s="3">
        <f t="shared" si="1"/>
        <v>-930434.7826</v>
      </c>
      <c r="E29" s="4">
        <f t="shared" si="2"/>
        <v>195.5970761</v>
      </c>
      <c r="F29" s="3">
        <f t="shared" si="3"/>
        <v>0.0002102211566</v>
      </c>
      <c r="G29" s="3">
        <f t="shared" si="4"/>
        <v>0</v>
      </c>
      <c r="H29" s="2">
        <f t="shared" si="5"/>
        <v>0</v>
      </c>
      <c r="I29" s="3">
        <f t="shared" si="6"/>
        <v>0</v>
      </c>
      <c r="J29" s="3">
        <f t="shared" si="7"/>
        <v>0</v>
      </c>
      <c r="K29" s="3"/>
      <c r="L29" s="3">
        <f t="shared" si="8"/>
        <v>458.5545925</v>
      </c>
      <c r="M29" s="31">
        <f t="shared" si="9"/>
        <v>459.2334113</v>
      </c>
      <c r="N29" s="14">
        <f t="shared" si="10"/>
        <v>-0.6788187471</v>
      </c>
      <c r="O29" s="3"/>
      <c r="P29" s="23">
        <f t="shared" si="11"/>
        <v>195.5970761</v>
      </c>
      <c r="Q29" s="14">
        <f t="shared" si="12"/>
        <v>458.5545925</v>
      </c>
      <c r="R29" s="2"/>
      <c r="S29" s="14">
        <f t="shared" si="13"/>
        <v>-0.6233566304</v>
      </c>
    </row>
    <row r="30">
      <c r="A30" s="11">
        <v>18.0</v>
      </c>
      <c r="B30" s="11">
        <v>1.41947391304347E9</v>
      </c>
      <c r="C30" s="2">
        <v>-102.1753769</v>
      </c>
      <c r="D30" s="3">
        <f t="shared" si="1"/>
        <v>-926086.9565</v>
      </c>
      <c r="E30" s="4">
        <f t="shared" si="2"/>
        <v>194.67878</v>
      </c>
      <c r="F30" s="3">
        <f t="shared" si="3"/>
        <v>0.000210216523</v>
      </c>
      <c r="G30" s="3">
        <f t="shared" si="4"/>
        <v>0</v>
      </c>
      <c r="H30" s="2">
        <f t="shared" si="5"/>
        <v>0</v>
      </c>
      <c r="I30" s="3">
        <f t="shared" si="6"/>
        <v>0</v>
      </c>
      <c r="J30" s="3">
        <f t="shared" si="7"/>
        <v>0</v>
      </c>
      <c r="K30" s="3"/>
      <c r="L30" s="3">
        <f t="shared" si="8"/>
        <v>460.859429</v>
      </c>
      <c r="M30" s="31">
        <f t="shared" si="9"/>
        <v>459.1418854</v>
      </c>
      <c r="N30" s="14">
        <f t="shared" si="10"/>
        <v>1.717543527</v>
      </c>
      <c r="O30" s="3"/>
      <c r="P30" s="23">
        <f t="shared" si="11"/>
        <v>194.67878</v>
      </c>
      <c r="Q30" s="14">
        <f t="shared" si="12"/>
        <v>460.859429</v>
      </c>
      <c r="R30" s="2"/>
      <c r="S30" s="14">
        <f t="shared" si="13"/>
        <v>1.577213579</v>
      </c>
    </row>
    <row r="31">
      <c r="A31" s="11">
        <v>19.0</v>
      </c>
      <c r="B31" s="11">
        <v>1.41947826086956E9</v>
      </c>
      <c r="C31" s="2">
        <v>-102.1887207</v>
      </c>
      <c r="D31" s="3">
        <f t="shared" si="1"/>
        <v>-921739.1304</v>
      </c>
      <c r="E31" s="4">
        <f t="shared" si="2"/>
        <v>193.7604839</v>
      </c>
      <c r="F31" s="3">
        <f t="shared" si="3"/>
        <v>0.0002102118457</v>
      </c>
      <c r="G31" s="3">
        <f t="shared" si="4"/>
        <v>0</v>
      </c>
      <c r="H31" s="2">
        <f t="shared" si="5"/>
        <v>0</v>
      </c>
      <c r="I31" s="3">
        <f t="shared" si="6"/>
        <v>0</v>
      </c>
      <c r="J31" s="3">
        <f t="shared" si="7"/>
        <v>0</v>
      </c>
      <c r="K31" s="3"/>
      <c r="L31" s="3">
        <f t="shared" si="8"/>
        <v>459.4456007</v>
      </c>
      <c r="M31" s="31">
        <f t="shared" si="9"/>
        <v>459.0504119</v>
      </c>
      <c r="N31" s="14">
        <f t="shared" si="10"/>
        <v>0.3951888026</v>
      </c>
      <c r="O31" s="3"/>
      <c r="P31" s="23">
        <f t="shared" si="11"/>
        <v>193.7604839</v>
      </c>
      <c r="Q31" s="14">
        <f t="shared" si="12"/>
        <v>459.4456007</v>
      </c>
      <c r="R31" s="2"/>
      <c r="S31" s="14">
        <f t="shared" si="13"/>
        <v>0.3629003483</v>
      </c>
    </row>
    <row r="32">
      <c r="A32" s="11">
        <v>20.0</v>
      </c>
      <c r="B32" s="11">
        <v>1.41948260869565E9</v>
      </c>
      <c r="C32" s="2">
        <v>-102.1893845</v>
      </c>
      <c r="D32" s="3">
        <f t="shared" si="1"/>
        <v>-917391.3043</v>
      </c>
      <c r="E32" s="4">
        <f t="shared" si="2"/>
        <v>192.8421878</v>
      </c>
      <c r="F32" s="3">
        <f t="shared" si="3"/>
        <v>0.0002102071241</v>
      </c>
      <c r="G32" s="3">
        <f t="shared" si="4"/>
        <v>0</v>
      </c>
      <c r="H32" s="2">
        <f t="shared" si="5"/>
        <v>0</v>
      </c>
      <c r="I32" s="3">
        <f t="shared" si="6"/>
        <v>0</v>
      </c>
      <c r="J32" s="3">
        <f t="shared" si="7"/>
        <v>0</v>
      </c>
      <c r="K32" s="3"/>
      <c r="L32" s="3">
        <f t="shared" si="8"/>
        <v>459.3753818</v>
      </c>
      <c r="M32" s="31">
        <f t="shared" si="9"/>
        <v>458.9589898</v>
      </c>
      <c r="N32" s="14">
        <f t="shared" si="10"/>
        <v>0.4163920202</v>
      </c>
      <c r="O32" s="3"/>
      <c r="P32" s="23">
        <f t="shared" si="11"/>
        <v>192.8421878</v>
      </c>
      <c r="Q32" s="14">
        <f t="shared" si="12"/>
        <v>459.3753818</v>
      </c>
      <c r="R32" s="2"/>
      <c r="S32" s="14">
        <f t="shared" si="13"/>
        <v>0.3823711819</v>
      </c>
    </row>
    <row r="33">
      <c r="A33" s="11">
        <v>21.0</v>
      </c>
      <c r="B33" s="11">
        <v>1.41948695652173E9</v>
      </c>
      <c r="C33" s="2">
        <v>-102.2246323</v>
      </c>
      <c r="D33" s="3">
        <f t="shared" si="1"/>
        <v>-913043.4783</v>
      </c>
      <c r="E33" s="4">
        <f t="shared" si="2"/>
        <v>191.9238916</v>
      </c>
      <c r="F33" s="3">
        <f t="shared" si="3"/>
        <v>0.0002102023575</v>
      </c>
      <c r="G33" s="3">
        <f t="shared" si="4"/>
        <v>0</v>
      </c>
      <c r="H33" s="2">
        <f t="shared" si="5"/>
        <v>0</v>
      </c>
      <c r="I33" s="3">
        <f t="shared" si="6"/>
        <v>0</v>
      </c>
      <c r="J33" s="3">
        <f t="shared" si="7"/>
        <v>0</v>
      </c>
      <c r="K33" s="3"/>
      <c r="L33" s="3">
        <f t="shared" si="8"/>
        <v>455.6621315</v>
      </c>
      <c r="M33" s="31">
        <f t="shared" si="9"/>
        <v>458.8676184</v>
      </c>
      <c r="N33" s="14">
        <f t="shared" si="10"/>
        <v>-3.205486881</v>
      </c>
      <c r="O33" s="3"/>
      <c r="P33" s="23">
        <f t="shared" si="11"/>
        <v>191.9238916</v>
      </c>
      <c r="Q33" s="14">
        <f t="shared" si="12"/>
        <v>455.6621315</v>
      </c>
      <c r="R33" s="2"/>
      <c r="S33" s="14">
        <f t="shared" si="13"/>
        <v>-2.943586206</v>
      </c>
    </row>
    <row r="34">
      <c r="A34" s="11">
        <v>22.0</v>
      </c>
      <c r="B34" s="11">
        <v>1.41949130434782E9</v>
      </c>
      <c r="C34" s="2">
        <v>-102.1930161</v>
      </c>
      <c r="D34" s="3">
        <f t="shared" si="1"/>
        <v>-908695.6522</v>
      </c>
      <c r="E34" s="4">
        <f t="shared" si="2"/>
        <v>191.0055955</v>
      </c>
      <c r="F34" s="3">
        <f t="shared" si="3"/>
        <v>0.0002101975453</v>
      </c>
      <c r="G34" s="3">
        <f t="shared" si="4"/>
        <v>0</v>
      </c>
      <c r="H34" s="2">
        <f t="shared" si="5"/>
        <v>0</v>
      </c>
      <c r="I34" s="3">
        <f t="shared" si="6"/>
        <v>0</v>
      </c>
      <c r="J34" s="3">
        <f t="shared" si="7"/>
        <v>0</v>
      </c>
      <c r="K34" s="3"/>
      <c r="L34" s="3">
        <f t="shared" si="8"/>
        <v>458.9914095</v>
      </c>
      <c r="M34" s="31">
        <f t="shared" si="9"/>
        <v>458.7762969</v>
      </c>
      <c r="N34" s="14">
        <f t="shared" si="10"/>
        <v>0.2151126283</v>
      </c>
      <c r="O34" s="3"/>
      <c r="P34" s="23">
        <f t="shared" si="11"/>
        <v>191.0055955</v>
      </c>
      <c r="Q34" s="14">
        <f t="shared" si="12"/>
        <v>458.9914095</v>
      </c>
      <c r="R34" s="2"/>
      <c r="S34" s="14">
        <f t="shared" si="13"/>
        <v>0.1975370947</v>
      </c>
    </row>
    <row r="35">
      <c r="A35" s="11">
        <v>23.0</v>
      </c>
      <c r="B35" s="11">
        <v>1.41949565217391E9</v>
      </c>
      <c r="C35" s="2">
        <v>-102.2027435</v>
      </c>
      <c r="D35" s="3">
        <f t="shared" si="1"/>
        <v>-904347.8261</v>
      </c>
      <c r="E35" s="4">
        <f t="shared" si="2"/>
        <v>190.0872994</v>
      </c>
      <c r="F35" s="3">
        <f t="shared" si="3"/>
        <v>0.0002101926868</v>
      </c>
      <c r="G35" s="3">
        <f t="shared" si="4"/>
        <v>0</v>
      </c>
      <c r="H35" s="2">
        <f t="shared" si="5"/>
        <v>0</v>
      </c>
      <c r="I35" s="3">
        <f t="shared" si="6"/>
        <v>0</v>
      </c>
      <c r="J35" s="3">
        <f t="shared" si="7"/>
        <v>0</v>
      </c>
      <c r="K35" s="3"/>
      <c r="L35" s="3">
        <f t="shared" si="8"/>
        <v>457.9645034</v>
      </c>
      <c r="M35" s="31">
        <f t="shared" si="9"/>
        <v>458.6850246</v>
      </c>
      <c r="N35" s="14">
        <f t="shared" si="10"/>
        <v>-0.7205211401</v>
      </c>
      <c r="O35" s="3"/>
      <c r="P35" s="23">
        <f t="shared" si="11"/>
        <v>190.0872994</v>
      </c>
      <c r="Q35" s="14">
        <f t="shared" si="12"/>
        <v>457.9645034</v>
      </c>
      <c r="R35" s="2"/>
      <c r="S35" s="14">
        <f t="shared" si="13"/>
        <v>-0.6616517751</v>
      </c>
    </row>
    <row r="36">
      <c r="A36" s="11">
        <v>24.0</v>
      </c>
      <c r="B36" s="11">
        <v>1.4195E9</v>
      </c>
      <c r="C36" s="2">
        <v>-102.2132339</v>
      </c>
      <c r="D36" s="3">
        <f t="shared" si="1"/>
        <v>-900000</v>
      </c>
      <c r="E36" s="4">
        <f t="shared" si="2"/>
        <v>189.1690032</v>
      </c>
      <c r="F36" s="3">
        <f t="shared" si="3"/>
        <v>0.0002101877814</v>
      </c>
      <c r="G36" s="3">
        <f t="shared" si="4"/>
        <v>0</v>
      </c>
      <c r="H36" s="2">
        <f t="shared" si="5"/>
        <v>0</v>
      </c>
      <c r="I36" s="3">
        <f t="shared" si="6"/>
        <v>0</v>
      </c>
      <c r="J36" s="3">
        <f t="shared" si="7"/>
        <v>0</v>
      </c>
      <c r="K36" s="3"/>
      <c r="L36" s="3">
        <f t="shared" si="8"/>
        <v>456.8596234</v>
      </c>
      <c r="M36" s="31">
        <f t="shared" si="9"/>
        <v>458.5938005</v>
      </c>
      <c r="N36" s="14">
        <f t="shared" si="10"/>
        <v>-1.734177198</v>
      </c>
      <c r="O36" s="3"/>
      <c r="P36" s="23">
        <f t="shared" si="11"/>
        <v>189.1690032</v>
      </c>
      <c r="Q36" s="14">
        <f t="shared" si="12"/>
        <v>456.8596234</v>
      </c>
      <c r="R36" s="2"/>
      <c r="S36" s="14">
        <f t="shared" si="13"/>
        <v>-1.592488214</v>
      </c>
    </row>
    <row r="37">
      <c r="A37" s="11">
        <v>25.0</v>
      </c>
      <c r="B37" s="11">
        <v>1.41950434782608E9</v>
      </c>
      <c r="C37" s="2">
        <v>-102.1575623</v>
      </c>
      <c r="D37" s="3">
        <f t="shared" si="1"/>
        <v>-895652.1739</v>
      </c>
      <c r="E37" s="4">
        <f t="shared" si="2"/>
        <v>188.2507071</v>
      </c>
      <c r="F37" s="3">
        <f t="shared" si="3"/>
        <v>0.0002101828283</v>
      </c>
      <c r="G37" s="3">
        <f t="shared" si="4"/>
        <v>0</v>
      </c>
      <c r="H37" s="2">
        <f t="shared" si="5"/>
        <v>0</v>
      </c>
      <c r="I37" s="3">
        <f t="shared" si="6"/>
        <v>0</v>
      </c>
      <c r="J37" s="3">
        <f t="shared" si="7"/>
        <v>0</v>
      </c>
      <c r="K37" s="3"/>
      <c r="L37" s="3">
        <f t="shared" si="8"/>
        <v>462.7537399</v>
      </c>
      <c r="M37" s="31">
        <f t="shared" si="9"/>
        <v>458.5026241</v>
      </c>
      <c r="N37" s="14">
        <f t="shared" si="10"/>
        <v>4.251115861</v>
      </c>
      <c r="O37" s="3"/>
      <c r="P37" s="23">
        <f t="shared" si="11"/>
        <v>188.2507071</v>
      </c>
      <c r="Q37" s="14">
        <f t="shared" si="12"/>
        <v>462.7537399</v>
      </c>
      <c r="R37" s="2"/>
      <c r="S37" s="14">
        <f t="shared" si="13"/>
        <v>3.903783255</v>
      </c>
    </row>
    <row r="38">
      <c r="A38" s="11">
        <v>26.0</v>
      </c>
      <c r="B38" s="11">
        <v>1.41950869565217E9</v>
      </c>
      <c r="C38" s="2">
        <v>-102.1867523</v>
      </c>
      <c r="D38" s="3">
        <f t="shared" si="1"/>
        <v>-891304.3478</v>
      </c>
      <c r="E38" s="4">
        <f t="shared" si="2"/>
        <v>187.332411</v>
      </c>
      <c r="F38" s="3">
        <f t="shared" si="3"/>
        <v>0.0002101778269</v>
      </c>
      <c r="G38" s="3">
        <f t="shared" si="4"/>
        <v>0</v>
      </c>
      <c r="H38" s="2">
        <f t="shared" si="5"/>
        <v>0</v>
      </c>
      <c r="I38" s="3">
        <f t="shared" si="6"/>
        <v>0</v>
      </c>
      <c r="J38" s="3">
        <f t="shared" si="7"/>
        <v>0</v>
      </c>
      <c r="K38" s="3"/>
      <c r="L38" s="3">
        <f t="shared" si="8"/>
        <v>459.6538874</v>
      </c>
      <c r="M38" s="31">
        <f t="shared" si="9"/>
        <v>458.4114944</v>
      </c>
      <c r="N38" s="14">
        <f t="shared" si="10"/>
        <v>1.242392995</v>
      </c>
      <c r="O38" s="3"/>
      <c r="P38" s="23">
        <f t="shared" si="11"/>
        <v>187.332411</v>
      </c>
      <c r="Q38" s="14">
        <f t="shared" si="12"/>
        <v>459.6538874</v>
      </c>
      <c r="R38" s="2"/>
      <c r="S38" s="14">
        <f t="shared" si="13"/>
        <v>1.14088468</v>
      </c>
    </row>
    <row r="39">
      <c r="A39" s="11">
        <v>27.0</v>
      </c>
      <c r="B39" s="11">
        <v>1.41951304347826E9</v>
      </c>
      <c r="C39" s="2">
        <v>-102.2087173</v>
      </c>
      <c r="D39" s="3">
        <f t="shared" si="1"/>
        <v>-886956.5217</v>
      </c>
      <c r="E39" s="4">
        <f t="shared" si="2"/>
        <v>186.4141148</v>
      </c>
      <c r="F39" s="3">
        <f t="shared" si="3"/>
        <v>0.0002101727765</v>
      </c>
      <c r="G39" s="3">
        <f t="shared" si="4"/>
        <v>0</v>
      </c>
      <c r="H39" s="2">
        <f t="shared" si="5"/>
        <v>0</v>
      </c>
      <c r="I39" s="3">
        <f t="shared" si="6"/>
        <v>0</v>
      </c>
      <c r="J39" s="3">
        <f t="shared" si="7"/>
        <v>0</v>
      </c>
      <c r="K39" s="3"/>
      <c r="L39" s="3">
        <f t="shared" si="8"/>
        <v>457.3349979</v>
      </c>
      <c r="M39" s="31">
        <f t="shared" si="9"/>
        <v>458.3204107</v>
      </c>
      <c r="N39" s="14">
        <f t="shared" si="10"/>
        <v>-0.9854127406</v>
      </c>
      <c r="O39" s="3"/>
      <c r="P39" s="23">
        <f t="shared" si="11"/>
        <v>186.4141148</v>
      </c>
      <c r="Q39" s="14">
        <f t="shared" si="12"/>
        <v>457.3349979</v>
      </c>
      <c r="R39" s="2"/>
      <c r="S39" s="14">
        <f t="shared" si="13"/>
        <v>-0.9049007089</v>
      </c>
    </row>
    <row r="40">
      <c r="A40" s="11">
        <v>28.0</v>
      </c>
      <c r="B40" s="11">
        <v>1.41951739130434E9</v>
      </c>
      <c r="C40" s="2">
        <v>-102.1708221</v>
      </c>
      <c r="D40" s="3">
        <f t="shared" si="1"/>
        <v>-882608.6957</v>
      </c>
      <c r="E40" s="4">
        <f t="shared" si="2"/>
        <v>185.4958187</v>
      </c>
      <c r="F40" s="3">
        <f t="shared" si="3"/>
        <v>0.0002101676763</v>
      </c>
      <c r="G40" s="3">
        <f t="shared" si="4"/>
        <v>0</v>
      </c>
      <c r="H40" s="2">
        <f t="shared" si="5"/>
        <v>0</v>
      </c>
      <c r="I40" s="3">
        <f t="shared" si="6"/>
        <v>0</v>
      </c>
      <c r="J40" s="3">
        <f t="shared" si="7"/>
        <v>0</v>
      </c>
      <c r="K40" s="3"/>
      <c r="L40" s="3">
        <f t="shared" si="8"/>
        <v>461.3430233</v>
      </c>
      <c r="M40" s="31">
        <f t="shared" si="9"/>
        <v>458.2293721</v>
      </c>
      <c r="N40" s="14">
        <f t="shared" si="10"/>
        <v>3.113651217</v>
      </c>
      <c r="O40" s="3"/>
      <c r="P40" s="23">
        <f t="shared" si="11"/>
        <v>185.4958187</v>
      </c>
      <c r="Q40" s="14">
        <f t="shared" si="12"/>
        <v>461.3430233</v>
      </c>
      <c r="R40" s="2"/>
      <c r="S40" s="14">
        <f t="shared" si="13"/>
        <v>2.859253871</v>
      </c>
    </row>
    <row r="41">
      <c r="A41" s="11">
        <v>29.0</v>
      </c>
      <c r="B41" s="11">
        <v>1.41952173913043E9</v>
      </c>
      <c r="C41" s="2">
        <v>-102.2729492</v>
      </c>
      <c r="D41" s="3">
        <f t="shared" si="1"/>
        <v>-878260.8696</v>
      </c>
      <c r="E41" s="4">
        <f t="shared" si="2"/>
        <v>184.5775226</v>
      </c>
      <c r="F41" s="3">
        <f t="shared" si="3"/>
        <v>0.0002101625257</v>
      </c>
      <c r="G41" s="3">
        <f t="shared" si="4"/>
        <v>0</v>
      </c>
      <c r="H41" s="2">
        <f t="shared" si="5"/>
        <v>0</v>
      </c>
      <c r="I41" s="3">
        <f t="shared" si="6"/>
        <v>0</v>
      </c>
      <c r="J41" s="3">
        <f t="shared" si="7"/>
        <v>0</v>
      </c>
      <c r="K41" s="3"/>
      <c r="L41" s="3">
        <f t="shared" si="8"/>
        <v>450.6208136</v>
      </c>
      <c r="M41" s="31">
        <f t="shared" si="9"/>
        <v>458.138378</v>
      </c>
      <c r="N41" s="14">
        <f t="shared" si="10"/>
        <v>-7.517564366</v>
      </c>
      <c r="O41" s="3"/>
      <c r="P41" s="23">
        <f t="shared" si="11"/>
        <v>184.5775226</v>
      </c>
      <c r="Q41" s="14">
        <f t="shared" si="12"/>
        <v>450.6208136</v>
      </c>
      <c r="R41" s="2"/>
      <c r="S41" s="14">
        <f t="shared" si="13"/>
        <v>-6.903350269</v>
      </c>
    </row>
    <row r="42">
      <c r="A42" s="11">
        <v>30.0</v>
      </c>
      <c r="B42" s="11">
        <v>1.41952608695652E9</v>
      </c>
      <c r="C42" s="2">
        <v>-102.2428055</v>
      </c>
      <c r="D42" s="3">
        <f t="shared" si="1"/>
        <v>-873913.0435</v>
      </c>
      <c r="E42" s="4">
        <f t="shared" si="2"/>
        <v>183.6592264</v>
      </c>
      <c r="F42" s="3">
        <f t="shared" si="3"/>
        <v>0.0002101573238</v>
      </c>
      <c r="G42" s="3">
        <f t="shared" si="4"/>
        <v>0</v>
      </c>
      <c r="H42" s="2">
        <f t="shared" si="5"/>
        <v>0</v>
      </c>
      <c r="I42" s="3">
        <f t="shared" si="6"/>
        <v>0</v>
      </c>
      <c r="J42" s="3">
        <f t="shared" si="7"/>
        <v>0</v>
      </c>
      <c r="K42" s="3"/>
      <c r="L42" s="3">
        <f t="shared" si="8"/>
        <v>453.7593817</v>
      </c>
      <c r="M42" s="31">
        <f t="shared" si="9"/>
        <v>458.0474275</v>
      </c>
      <c r="N42" s="14">
        <f t="shared" si="10"/>
        <v>-4.288045775</v>
      </c>
      <c r="O42" s="3"/>
      <c r="P42" s="23">
        <f t="shared" si="11"/>
        <v>183.6592264</v>
      </c>
      <c r="Q42" s="14">
        <f t="shared" si="12"/>
        <v>453.7593817</v>
      </c>
      <c r="R42" s="2"/>
      <c r="S42" s="14">
        <f t="shared" si="13"/>
        <v>-3.937695852</v>
      </c>
    </row>
    <row r="43">
      <c r="A43" s="11">
        <v>31.0</v>
      </c>
      <c r="B43" s="11">
        <v>1.4195304347826E9</v>
      </c>
      <c r="C43" s="2">
        <v>-102.2267532</v>
      </c>
      <c r="D43" s="3">
        <f t="shared" si="1"/>
        <v>-869565.2174</v>
      </c>
      <c r="E43" s="4">
        <f t="shared" si="2"/>
        <v>182.7409303</v>
      </c>
      <c r="F43" s="3">
        <f t="shared" si="3"/>
        <v>0.0002101520698</v>
      </c>
      <c r="G43" s="3">
        <f t="shared" si="4"/>
        <v>0</v>
      </c>
      <c r="H43" s="2">
        <f t="shared" si="5"/>
        <v>0</v>
      </c>
      <c r="I43" s="3">
        <f t="shared" si="6"/>
        <v>0</v>
      </c>
      <c r="J43" s="3">
        <f t="shared" si="7"/>
        <v>0</v>
      </c>
      <c r="K43" s="3"/>
      <c r="L43" s="3">
        <f t="shared" si="8"/>
        <v>455.4396608</v>
      </c>
      <c r="M43" s="31">
        <f t="shared" si="9"/>
        <v>457.9565198</v>
      </c>
      <c r="N43" s="14">
        <f t="shared" si="10"/>
        <v>-2.516858935</v>
      </c>
      <c r="O43" s="3"/>
      <c r="P43" s="23">
        <f t="shared" si="11"/>
        <v>182.7409303</v>
      </c>
      <c r="Q43" s="14">
        <f t="shared" si="12"/>
        <v>455.4396608</v>
      </c>
      <c r="R43" s="2"/>
      <c r="S43" s="14">
        <f t="shared" si="13"/>
        <v>-2.311221827</v>
      </c>
    </row>
    <row r="44">
      <c r="A44" s="11">
        <v>32.0</v>
      </c>
      <c r="B44" s="11">
        <v>1.41953478260869E9</v>
      </c>
      <c r="C44" s="2">
        <v>-102.2237854</v>
      </c>
      <c r="D44" s="3">
        <f t="shared" si="1"/>
        <v>-865217.3913</v>
      </c>
      <c r="E44" s="4">
        <f t="shared" si="2"/>
        <v>181.8226342</v>
      </c>
      <c r="F44" s="3">
        <f t="shared" si="3"/>
        <v>0.0002101467631</v>
      </c>
      <c r="G44" s="3">
        <f t="shared" si="4"/>
        <v>0</v>
      </c>
      <c r="H44" s="2">
        <f t="shared" si="5"/>
        <v>0</v>
      </c>
      <c r="I44" s="3">
        <f t="shared" si="6"/>
        <v>0</v>
      </c>
      <c r="J44" s="3">
        <f t="shared" si="7"/>
        <v>0</v>
      </c>
      <c r="K44" s="3"/>
      <c r="L44" s="3">
        <f t="shared" si="8"/>
        <v>455.750997</v>
      </c>
      <c r="M44" s="31">
        <f t="shared" si="9"/>
        <v>457.8656541</v>
      </c>
      <c r="N44" s="14">
        <f t="shared" si="10"/>
        <v>-2.114657113</v>
      </c>
      <c r="O44" s="3"/>
      <c r="P44" s="23">
        <f t="shared" si="11"/>
        <v>181.8226342</v>
      </c>
      <c r="Q44" s="14">
        <f t="shared" si="12"/>
        <v>455.750997</v>
      </c>
      <c r="R44" s="2"/>
      <c r="S44" s="14">
        <f t="shared" si="13"/>
        <v>-1.941881449</v>
      </c>
    </row>
    <row r="45">
      <c r="A45" s="11">
        <v>33.0</v>
      </c>
      <c r="B45" s="11">
        <v>1.41953913043478E9</v>
      </c>
      <c r="C45" s="2">
        <v>-102.2276917</v>
      </c>
      <c r="D45" s="3">
        <f t="shared" si="1"/>
        <v>-860869.5652</v>
      </c>
      <c r="E45" s="4">
        <f t="shared" si="2"/>
        <v>180.904338</v>
      </c>
      <c r="F45" s="3">
        <f t="shared" si="3"/>
        <v>0.0002101414028</v>
      </c>
      <c r="G45" s="3">
        <f t="shared" si="4"/>
        <v>0</v>
      </c>
      <c r="H45" s="2">
        <f t="shared" si="5"/>
        <v>0</v>
      </c>
      <c r="I45" s="3">
        <f t="shared" si="6"/>
        <v>0</v>
      </c>
      <c r="J45" s="3">
        <f t="shared" si="7"/>
        <v>0</v>
      </c>
      <c r="K45" s="3"/>
      <c r="L45" s="3">
        <f t="shared" si="8"/>
        <v>455.341252</v>
      </c>
      <c r="M45" s="31">
        <f t="shared" si="9"/>
        <v>457.7748297</v>
      </c>
      <c r="N45" s="14">
        <f t="shared" si="10"/>
        <v>-2.433577651</v>
      </c>
      <c r="O45" s="3"/>
      <c r="P45" s="23">
        <f t="shared" si="11"/>
        <v>180.904338</v>
      </c>
      <c r="Q45" s="14">
        <f t="shared" si="12"/>
        <v>455.341252</v>
      </c>
      <c r="R45" s="2"/>
      <c r="S45" s="14">
        <f t="shared" si="13"/>
        <v>-2.23474494</v>
      </c>
    </row>
    <row r="46">
      <c r="A46" s="11">
        <v>34.0</v>
      </c>
      <c r="B46" s="11">
        <v>1.41954347826087E9</v>
      </c>
      <c r="C46" s="2">
        <v>-102.2608566</v>
      </c>
      <c r="D46" s="3">
        <f t="shared" si="1"/>
        <v>-856521.7391</v>
      </c>
      <c r="E46" s="4">
        <f t="shared" si="2"/>
        <v>179.9860419</v>
      </c>
      <c r="F46" s="3">
        <f t="shared" si="3"/>
        <v>0.000210135988</v>
      </c>
      <c r="G46" s="3">
        <f t="shared" si="4"/>
        <v>0</v>
      </c>
      <c r="H46" s="2">
        <f t="shared" si="5"/>
        <v>0</v>
      </c>
      <c r="I46" s="3">
        <f t="shared" si="6"/>
        <v>0</v>
      </c>
      <c r="J46" s="3">
        <f t="shared" si="7"/>
        <v>0</v>
      </c>
      <c r="K46" s="3"/>
      <c r="L46" s="3">
        <f t="shared" si="8"/>
        <v>451.8772815</v>
      </c>
      <c r="M46" s="31">
        <f t="shared" si="9"/>
        <v>457.6840457</v>
      </c>
      <c r="N46" s="14">
        <f t="shared" si="10"/>
        <v>-5.806764231</v>
      </c>
      <c r="O46" s="3"/>
      <c r="P46" s="23">
        <f t="shared" si="11"/>
        <v>179.9860419</v>
      </c>
      <c r="Q46" s="14">
        <f t="shared" si="12"/>
        <v>451.8772815</v>
      </c>
      <c r="R46" s="2"/>
      <c r="S46" s="14">
        <f t="shared" si="13"/>
        <v>-5.332329137</v>
      </c>
    </row>
    <row r="47">
      <c r="A47" s="11">
        <v>35.0</v>
      </c>
      <c r="B47" s="11">
        <v>1.41954782608695E9</v>
      </c>
      <c r="C47" s="2">
        <v>-102.1981583</v>
      </c>
      <c r="D47" s="3">
        <f t="shared" si="1"/>
        <v>-852173.913</v>
      </c>
      <c r="E47" s="4">
        <f t="shared" si="2"/>
        <v>179.0677458</v>
      </c>
      <c r="F47" s="3">
        <f t="shared" si="3"/>
        <v>0.000210130518</v>
      </c>
      <c r="G47" s="3">
        <f t="shared" si="4"/>
        <v>0</v>
      </c>
      <c r="H47" s="2">
        <f t="shared" si="5"/>
        <v>0</v>
      </c>
      <c r="I47" s="3">
        <f t="shared" si="6"/>
        <v>0</v>
      </c>
      <c r="J47" s="3">
        <f t="shared" si="7"/>
        <v>0</v>
      </c>
      <c r="K47" s="3"/>
      <c r="L47" s="3">
        <f t="shared" si="8"/>
        <v>458.4482691</v>
      </c>
      <c r="M47" s="31">
        <f t="shared" si="9"/>
        <v>457.5933015</v>
      </c>
      <c r="N47" s="14">
        <f t="shared" si="10"/>
        <v>0.8549676509</v>
      </c>
      <c r="O47" s="3"/>
      <c r="P47" s="23">
        <f t="shared" si="11"/>
        <v>179.0677458</v>
      </c>
      <c r="Q47" s="14">
        <f t="shared" si="12"/>
        <v>458.4482691</v>
      </c>
      <c r="R47" s="2"/>
      <c r="S47" s="14">
        <f t="shared" si="13"/>
        <v>0.7851134875</v>
      </c>
    </row>
    <row r="48">
      <c r="A48" s="11">
        <v>36.0</v>
      </c>
      <c r="B48" s="11">
        <v>1.41955217391304E9</v>
      </c>
      <c r="C48" s="2">
        <v>-102.1399155</v>
      </c>
      <c r="D48" s="3">
        <f t="shared" si="1"/>
        <v>-847826.087</v>
      </c>
      <c r="E48" s="4">
        <f t="shared" si="2"/>
        <v>178.1494496</v>
      </c>
      <c r="F48" s="3">
        <f t="shared" si="3"/>
        <v>0.0002101249919</v>
      </c>
      <c r="G48" s="3">
        <f t="shared" si="4"/>
        <v>0</v>
      </c>
      <c r="H48" s="2">
        <f t="shared" si="5"/>
        <v>0</v>
      </c>
      <c r="I48" s="3">
        <f t="shared" si="6"/>
        <v>0</v>
      </c>
      <c r="J48" s="3">
        <f t="shared" si="7"/>
        <v>0</v>
      </c>
      <c r="K48" s="3"/>
      <c r="L48" s="3">
        <f t="shared" si="8"/>
        <v>464.6378845</v>
      </c>
      <c r="M48" s="31">
        <f t="shared" si="9"/>
        <v>457.5025961</v>
      </c>
      <c r="N48" s="14">
        <f t="shared" si="10"/>
        <v>7.13528846</v>
      </c>
      <c r="O48" s="3"/>
      <c r="P48" s="23">
        <f t="shared" si="11"/>
        <v>178.1494496</v>
      </c>
      <c r="Q48" s="14">
        <f t="shared" si="12"/>
        <v>464.6378845</v>
      </c>
      <c r="R48" s="2"/>
      <c r="S48" s="14">
        <f t="shared" si="13"/>
        <v>6.552307784</v>
      </c>
    </row>
    <row r="49">
      <c r="A49" s="11">
        <v>37.0</v>
      </c>
      <c r="B49" s="11">
        <v>1.41955652173913E9</v>
      </c>
      <c r="C49" s="2">
        <v>-102.2142792</v>
      </c>
      <c r="D49" s="3">
        <f t="shared" si="1"/>
        <v>-843478.2609</v>
      </c>
      <c r="E49" s="4">
        <f t="shared" si="2"/>
        <v>177.2311535</v>
      </c>
      <c r="F49" s="3">
        <f t="shared" si="3"/>
        <v>0.0002101194088</v>
      </c>
      <c r="G49" s="3">
        <f t="shared" si="4"/>
        <v>0</v>
      </c>
      <c r="H49" s="2">
        <f t="shared" si="5"/>
        <v>0</v>
      </c>
      <c r="I49" s="3">
        <f t="shared" si="6"/>
        <v>0</v>
      </c>
      <c r="J49" s="3">
        <f t="shared" si="7"/>
        <v>0</v>
      </c>
      <c r="K49" s="3"/>
      <c r="L49" s="3">
        <f t="shared" si="8"/>
        <v>456.7496754</v>
      </c>
      <c r="M49" s="31">
        <f t="shared" si="9"/>
        <v>457.4119288</v>
      </c>
      <c r="N49" s="14">
        <f t="shared" si="10"/>
        <v>-0.6622533963</v>
      </c>
      <c r="O49" s="3"/>
      <c r="P49" s="23">
        <f t="shared" si="11"/>
        <v>177.2311535</v>
      </c>
      <c r="Q49" s="14">
        <f t="shared" si="12"/>
        <v>456.7496754</v>
      </c>
      <c r="R49" s="2"/>
      <c r="S49" s="14">
        <f t="shared" si="13"/>
        <v>-0.6081447327</v>
      </c>
    </row>
    <row r="50">
      <c r="A50" s="11">
        <v>38.0</v>
      </c>
      <c r="B50" s="11">
        <v>1.41956086956521E9</v>
      </c>
      <c r="C50" s="2">
        <v>-102.1748428</v>
      </c>
      <c r="D50" s="3">
        <f t="shared" si="1"/>
        <v>-839130.4348</v>
      </c>
      <c r="E50" s="4">
        <f t="shared" si="2"/>
        <v>176.3128574</v>
      </c>
      <c r="F50" s="3">
        <f t="shared" si="3"/>
        <v>0.0002101137678</v>
      </c>
      <c r="G50" s="3">
        <f t="shared" si="4"/>
        <v>0</v>
      </c>
      <c r="H50" s="2">
        <f t="shared" si="5"/>
        <v>0</v>
      </c>
      <c r="I50" s="3">
        <f t="shared" si="6"/>
        <v>0</v>
      </c>
      <c r="J50" s="3">
        <f t="shared" si="7"/>
        <v>0</v>
      </c>
      <c r="K50" s="3"/>
      <c r="L50" s="3">
        <f t="shared" si="8"/>
        <v>460.9161094</v>
      </c>
      <c r="M50" s="31">
        <f t="shared" si="9"/>
        <v>457.3212988</v>
      </c>
      <c r="N50" s="14">
        <f t="shared" si="10"/>
        <v>3.594810622</v>
      </c>
      <c r="O50" s="3"/>
      <c r="P50" s="23">
        <f t="shared" si="11"/>
        <v>176.3128574</v>
      </c>
      <c r="Q50" s="14">
        <f t="shared" si="12"/>
        <v>460.9161094</v>
      </c>
      <c r="R50" s="2"/>
      <c r="S50" s="14">
        <f t="shared" si="13"/>
        <v>3.301100693</v>
      </c>
    </row>
    <row r="51">
      <c r="A51" s="11">
        <v>39.0</v>
      </c>
      <c r="B51" s="11">
        <v>1.4195652173913E9</v>
      </c>
      <c r="C51" s="2">
        <v>-102.2577515</v>
      </c>
      <c r="D51" s="3">
        <f t="shared" si="1"/>
        <v>-834782.6087</v>
      </c>
      <c r="E51" s="4">
        <f t="shared" si="2"/>
        <v>175.3945612</v>
      </c>
      <c r="F51" s="3">
        <f t="shared" si="3"/>
        <v>0.0002101080681</v>
      </c>
      <c r="G51" s="3">
        <f t="shared" si="4"/>
        <v>0</v>
      </c>
      <c r="H51" s="2">
        <f t="shared" si="5"/>
        <v>0</v>
      </c>
      <c r="I51" s="3">
        <f t="shared" si="6"/>
        <v>0</v>
      </c>
      <c r="J51" s="3">
        <f t="shared" si="7"/>
        <v>0</v>
      </c>
      <c r="K51" s="3"/>
      <c r="L51" s="3">
        <f t="shared" si="8"/>
        <v>452.2004783</v>
      </c>
      <c r="M51" s="31">
        <f t="shared" si="9"/>
        <v>457.2307054</v>
      </c>
      <c r="N51" s="14">
        <f t="shared" si="10"/>
        <v>-5.030227058</v>
      </c>
      <c r="O51" s="3"/>
      <c r="P51" s="23">
        <f t="shared" si="11"/>
        <v>175.3945612</v>
      </c>
      <c r="Q51" s="14">
        <f t="shared" si="12"/>
        <v>452.2004783</v>
      </c>
      <c r="R51" s="2"/>
      <c r="S51" s="14">
        <f t="shared" si="13"/>
        <v>-4.619238043</v>
      </c>
    </row>
    <row r="52">
      <c r="A52" s="11">
        <v>40.0</v>
      </c>
      <c r="B52" s="11">
        <v>1.41956956521739E9</v>
      </c>
      <c r="C52" s="2">
        <v>-102.2455826</v>
      </c>
      <c r="D52" s="3">
        <f t="shared" si="1"/>
        <v>-830434.7826</v>
      </c>
      <c r="E52" s="4">
        <f t="shared" si="2"/>
        <v>174.4762651</v>
      </c>
      <c r="F52" s="3">
        <f t="shared" si="3"/>
        <v>0.0002101023088</v>
      </c>
      <c r="G52" s="3">
        <f t="shared" si="4"/>
        <v>0</v>
      </c>
      <c r="H52" s="2">
        <f t="shared" si="5"/>
        <v>0</v>
      </c>
      <c r="I52" s="3">
        <f t="shared" si="6"/>
        <v>0</v>
      </c>
      <c r="J52" s="3">
        <f t="shared" si="7"/>
        <v>0</v>
      </c>
      <c r="K52" s="3"/>
      <c r="L52" s="3">
        <f t="shared" si="8"/>
        <v>453.4693176</v>
      </c>
      <c r="M52" s="31">
        <f t="shared" si="9"/>
        <v>457.1401477</v>
      </c>
      <c r="N52" s="14">
        <f t="shared" si="10"/>
        <v>-3.670830063</v>
      </c>
      <c r="O52" s="3"/>
      <c r="P52" s="23">
        <f t="shared" si="11"/>
        <v>174.4762651</v>
      </c>
      <c r="Q52" s="14">
        <f t="shared" si="12"/>
        <v>453.4693176</v>
      </c>
      <c r="R52" s="2"/>
      <c r="S52" s="14">
        <f t="shared" si="13"/>
        <v>-3.370909051</v>
      </c>
    </row>
    <row r="53">
      <c r="A53" s="11">
        <v>41.0</v>
      </c>
      <c r="B53" s="11">
        <v>1.41957391304347E9</v>
      </c>
      <c r="C53" s="2">
        <v>-102.1974411</v>
      </c>
      <c r="D53" s="3">
        <f t="shared" si="1"/>
        <v>-826086.9565</v>
      </c>
      <c r="E53" s="4">
        <f t="shared" si="2"/>
        <v>173.557969</v>
      </c>
      <c r="F53" s="3">
        <f t="shared" si="3"/>
        <v>0.0002100964888</v>
      </c>
      <c r="G53" s="3">
        <f t="shared" si="4"/>
        <v>0</v>
      </c>
      <c r="H53" s="2">
        <f t="shared" si="5"/>
        <v>0</v>
      </c>
      <c r="I53" s="3">
        <f t="shared" si="6"/>
        <v>0</v>
      </c>
      <c r="J53" s="3">
        <f t="shared" si="7"/>
        <v>0</v>
      </c>
      <c r="K53" s="3"/>
      <c r="L53" s="3">
        <f t="shared" si="8"/>
        <v>458.5239842</v>
      </c>
      <c r="M53" s="31">
        <f t="shared" si="9"/>
        <v>457.0496249</v>
      </c>
      <c r="N53" s="14">
        <f t="shared" si="10"/>
        <v>1.474359268</v>
      </c>
      <c r="O53" s="3"/>
      <c r="P53" s="23">
        <f t="shared" si="11"/>
        <v>173.557969</v>
      </c>
      <c r="Q53" s="14">
        <f t="shared" si="12"/>
        <v>458.5239842</v>
      </c>
      <c r="R53" s="2"/>
      <c r="S53" s="14">
        <f t="shared" si="13"/>
        <v>1.353898414</v>
      </c>
    </row>
    <row r="54">
      <c r="A54" s="11">
        <v>42.0</v>
      </c>
      <c r="B54" s="11">
        <v>1.41957826086956E9</v>
      </c>
      <c r="C54" s="2">
        <v>-102.2376099</v>
      </c>
      <c r="D54" s="3">
        <f t="shared" si="1"/>
        <v>-821739.1304</v>
      </c>
      <c r="E54" s="4">
        <f t="shared" si="2"/>
        <v>172.6396728</v>
      </c>
      <c r="F54" s="3">
        <f t="shared" si="3"/>
        <v>0.0002100906072</v>
      </c>
      <c r="G54" s="3">
        <f t="shared" si="4"/>
        <v>0</v>
      </c>
      <c r="H54" s="2">
        <f t="shared" si="5"/>
        <v>0</v>
      </c>
      <c r="I54" s="3">
        <f t="shared" si="6"/>
        <v>0</v>
      </c>
      <c r="J54" s="3">
        <f t="shared" si="7"/>
        <v>0</v>
      </c>
      <c r="K54" s="3"/>
      <c r="L54" s="3">
        <f t="shared" si="8"/>
        <v>454.302553</v>
      </c>
      <c r="M54" s="31">
        <f t="shared" si="9"/>
        <v>456.9591363</v>
      </c>
      <c r="N54" s="14">
        <f t="shared" si="10"/>
        <v>-2.656583295</v>
      </c>
      <c r="O54" s="3"/>
      <c r="P54" s="23">
        <f t="shared" si="11"/>
        <v>172.6396728</v>
      </c>
      <c r="Q54" s="14">
        <f t="shared" si="12"/>
        <v>454.302553</v>
      </c>
      <c r="R54" s="2"/>
      <c r="S54" s="14">
        <f t="shared" si="13"/>
        <v>-2.439530161</v>
      </c>
    </row>
    <row r="55">
      <c r="A55" s="11">
        <v>43.0</v>
      </c>
      <c r="B55" s="11">
        <v>1.41958260869565E9</v>
      </c>
      <c r="C55" s="2">
        <v>-102.1595993</v>
      </c>
      <c r="D55" s="3">
        <f t="shared" si="1"/>
        <v>-817391.3043</v>
      </c>
      <c r="E55" s="4">
        <f t="shared" si="2"/>
        <v>171.7213767</v>
      </c>
      <c r="F55" s="3">
        <f t="shared" si="3"/>
        <v>0.000210084663</v>
      </c>
      <c r="G55" s="3">
        <f t="shared" si="4"/>
        <v>0</v>
      </c>
      <c r="H55" s="2">
        <f t="shared" si="5"/>
        <v>0</v>
      </c>
      <c r="I55" s="3">
        <f t="shared" si="6"/>
        <v>0</v>
      </c>
      <c r="J55" s="3">
        <f t="shared" si="7"/>
        <v>0</v>
      </c>
      <c r="K55" s="3"/>
      <c r="L55" s="3">
        <f t="shared" si="8"/>
        <v>462.5367424</v>
      </c>
      <c r="M55" s="31">
        <f t="shared" si="9"/>
        <v>456.8686811</v>
      </c>
      <c r="N55" s="14">
        <f t="shared" si="10"/>
        <v>5.668061343</v>
      </c>
      <c r="O55" s="3"/>
      <c r="P55" s="23">
        <f t="shared" si="11"/>
        <v>171.7213767</v>
      </c>
      <c r="Q55" s="14">
        <f t="shared" si="12"/>
        <v>462.5367424</v>
      </c>
      <c r="R55" s="2"/>
      <c r="S55" s="14">
        <f t="shared" si="13"/>
        <v>5.204958811</v>
      </c>
    </row>
    <row r="56">
      <c r="A56" s="11">
        <v>44.0</v>
      </c>
      <c r="B56" s="11">
        <v>1.41958695652173E9</v>
      </c>
      <c r="C56" s="2">
        <v>-102.161972</v>
      </c>
      <c r="D56" s="3">
        <f t="shared" si="1"/>
        <v>-813043.4783</v>
      </c>
      <c r="E56" s="4">
        <f t="shared" si="2"/>
        <v>170.8030806</v>
      </c>
      <c r="F56" s="3">
        <f t="shared" si="3"/>
        <v>0.0002100786553</v>
      </c>
      <c r="G56" s="3">
        <f t="shared" si="4"/>
        <v>0</v>
      </c>
      <c r="H56" s="2">
        <f t="shared" si="5"/>
        <v>0</v>
      </c>
      <c r="I56" s="3">
        <f t="shared" si="6"/>
        <v>0</v>
      </c>
      <c r="J56" s="3">
        <f t="shared" si="7"/>
        <v>0</v>
      </c>
      <c r="K56" s="3"/>
      <c r="L56" s="3">
        <f t="shared" si="8"/>
        <v>462.2841117</v>
      </c>
      <c r="M56" s="31">
        <f t="shared" si="9"/>
        <v>456.7782584</v>
      </c>
      <c r="N56" s="14">
        <f t="shared" si="10"/>
        <v>5.505853281</v>
      </c>
      <c r="O56" s="3"/>
      <c r="P56" s="23">
        <f t="shared" si="11"/>
        <v>170.8030806</v>
      </c>
      <c r="Q56" s="14">
        <f t="shared" si="12"/>
        <v>462.2841117</v>
      </c>
      <c r="R56" s="2"/>
      <c r="S56" s="14">
        <f t="shared" si="13"/>
        <v>5.056003776</v>
      </c>
    </row>
    <row r="57">
      <c r="A57" s="11">
        <v>45.0</v>
      </c>
      <c r="B57" s="11">
        <v>1.41959130434782E9</v>
      </c>
      <c r="C57" s="2">
        <v>-102.17379</v>
      </c>
      <c r="D57" s="3">
        <f t="shared" si="1"/>
        <v>-808695.6522</v>
      </c>
      <c r="E57" s="4">
        <f t="shared" si="2"/>
        <v>169.8847844</v>
      </c>
      <c r="F57" s="3">
        <f t="shared" si="3"/>
        <v>0.0002100725829</v>
      </c>
      <c r="G57" s="3">
        <f t="shared" si="4"/>
        <v>0</v>
      </c>
      <c r="H57" s="2">
        <f t="shared" si="5"/>
        <v>0</v>
      </c>
      <c r="I57" s="3">
        <f t="shared" si="6"/>
        <v>0</v>
      </c>
      <c r="J57" s="3">
        <f t="shared" si="7"/>
        <v>0</v>
      </c>
      <c r="K57" s="3"/>
      <c r="L57" s="3">
        <f t="shared" si="8"/>
        <v>461.0278565</v>
      </c>
      <c r="M57" s="31">
        <f t="shared" si="9"/>
        <v>456.6878676</v>
      </c>
      <c r="N57" s="14">
        <f t="shared" si="10"/>
        <v>4.339988911</v>
      </c>
      <c r="O57" s="3"/>
      <c r="P57" s="23">
        <f t="shared" si="11"/>
        <v>169.8847844</v>
      </c>
      <c r="Q57" s="14">
        <f t="shared" si="12"/>
        <v>461.0278565</v>
      </c>
      <c r="R57" s="2"/>
      <c r="S57" s="14">
        <f t="shared" si="13"/>
        <v>3.985395034</v>
      </c>
    </row>
    <row r="58">
      <c r="A58" s="11">
        <v>46.0</v>
      </c>
      <c r="B58" s="11">
        <v>1.41959565217391E9</v>
      </c>
      <c r="C58" s="2">
        <v>-102.2518768</v>
      </c>
      <c r="D58" s="3">
        <f t="shared" si="1"/>
        <v>-804347.8261</v>
      </c>
      <c r="E58" s="4">
        <f t="shared" si="2"/>
        <v>168.9664883</v>
      </c>
      <c r="F58" s="3">
        <f t="shared" si="3"/>
        <v>0.0002100664449</v>
      </c>
      <c r="G58" s="3">
        <f t="shared" si="4"/>
        <v>0</v>
      </c>
      <c r="H58" s="2">
        <f t="shared" si="5"/>
        <v>0</v>
      </c>
      <c r="I58" s="3">
        <f t="shared" si="6"/>
        <v>0</v>
      </c>
      <c r="J58" s="3">
        <f t="shared" si="7"/>
        <v>0</v>
      </c>
      <c r="K58" s="3"/>
      <c r="L58" s="3">
        <f t="shared" si="8"/>
        <v>452.8125836</v>
      </c>
      <c r="M58" s="31">
        <f t="shared" si="9"/>
        <v>456.5975078</v>
      </c>
      <c r="N58" s="14">
        <f t="shared" si="10"/>
        <v>-3.784924109</v>
      </c>
      <c r="O58" s="3"/>
      <c r="P58" s="23">
        <f t="shared" si="11"/>
        <v>168.9664883</v>
      </c>
      <c r="Q58" s="14">
        <f t="shared" si="12"/>
        <v>452.8125836</v>
      </c>
      <c r="R58" s="2"/>
      <c r="S58" s="14">
        <f t="shared" si="13"/>
        <v>-3.475681164</v>
      </c>
    </row>
    <row r="59">
      <c r="A59" s="11">
        <v>47.0</v>
      </c>
      <c r="B59" s="11">
        <v>1.4196E9</v>
      </c>
      <c r="C59" s="2">
        <v>-102.263237</v>
      </c>
      <c r="D59" s="3">
        <f t="shared" si="1"/>
        <v>-800000</v>
      </c>
      <c r="E59" s="4">
        <f t="shared" si="2"/>
        <v>168.0481922</v>
      </c>
      <c r="F59" s="3">
        <f t="shared" si="3"/>
        <v>0.0002100602402</v>
      </c>
      <c r="G59" s="3">
        <f t="shared" si="4"/>
        <v>0</v>
      </c>
      <c r="H59" s="2">
        <f t="shared" si="5"/>
        <v>0</v>
      </c>
      <c r="I59" s="3">
        <f t="shared" si="6"/>
        <v>0</v>
      </c>
      <c r="J59" s="3">
        <f t="shared" si="7"/>
        <v>0</v>
      </c>
      <c r="K59" s="3"/>
      <c r="L59" s="3">
        <f t="shared" si="8"/>
        <v>451.6296721</v>
      </c>
      <c r="M59" s="31">
        <f t="shared" si="9"/>
        <v>456.5071782</v>
      </c>
      <c r="N59" s="14">
        <f t="shared" si="10"/>
        <v>-4.877506042</v>
      </c>
      <c r="O59" s="3"/>
      <c r="P59" s="23">
        <f t="shared" si="11"/>
        <v>168.0481922</v>
      </c>
      <c r="Q59" s="14">
        <f t="shared" si="12"/>
        <v>451.6296721</v>
      </c>
      <c r="R59" s="2"/>
      <c r="S59" s="14">
        <f t="shared" si="13"/>
        <v>-4.478994936</v>
      </c>
    </row>
    <row r="60">
      <c r="A60" s="11">
        <v>48.0</v>
      </c>
      <c r="B60" s="11">
        <v>1.41960434782608E9</v>
      </c>
      <c r="C60" s="2">
        <v>-102.2055817</v>
      </c>
      <c r="D60" s="3">
        <f t="shared" si="1"/>
        <v>-795652.1739</v>
      </c>
      <c r="E60" s="4">
        <f t="shared" si="2"/>
        <v>167.129896</v>
      </c>
      <c r="F60" s="3">
        <f t="shared" si="3"/>
        <v>0.0002100539677</v>
      </c>
      <c r="G60" s="3">
        <f t="shared" si="4"/>
        <v>0</v>
      </c>
      <c r="H60" s="2">
        <f t="shared" si="5"/>
        <v>0</v>
      </c>
      <c r="I60" s="3">
        <f t="shared" si="6"/>
        <v>0</v>
      </c>
      <c r="J60" s="3">
        <f t="shared" si="7"/>
        <v>0</v>
      </c>
      <c r="K60" s="3"/>
      <c r="L60" s="3">
        <f t="shared" si="8"/>
        <v>457.6653124</v>
      </c>
      <c r="M60" s="31">
        <f t="shared" si="9"/>
        <v>456.416878</v>
      </c>
      <c r="N60" s="14">
        <f t="shared" si="10"/>
        <v>1.248434381</v>
      </c>
      <c r="O60" s="3"/>
      <c r="P60" s="23">
        <f t="shared" si="11"/>
        <v>167.129896</v>
      </c>
      <c r="Q60" s="14">
        <f t="shared" si="12"/>
        <v>457.6653124</v>
      </c>
      <c r="R60" s="2"/>
      <c r="S60" s="14">
        <f t="shared" si="13"/>
        <v>1.146432464</v>
      </c>
    </row>
    <row r="61">
      <c r="A61" s="11">
        <v>49.0</v>
      </c>
      <c r="B61" s="11">
        <v>1.41960869565217E9</v>
      </c>
      <c r="C61" s="2">
        <v>-102.1937943</v>
      </c>
      <c r="D61" s="3">
        <f t="shared" si="1"/>
        <v>-791304.3478</v>
      </c>
      <c r="E61" s="4">
        <f t="shared" si="2"/>
        <v>166.2115999</v>
      </c>
      <c r="F61" s="3">
        <f t="shared" si="3"/>
        <v>0.0002100476263</v>
      </c>
      <c r="G61" s="3">
        <f t="shared" si="4"/>
        <v>0</v>
      </c>
      <c r="H61" s="2">
        <f t="shared" si="5"/>
        <v>0</v>
      </c>
      <c r="I61" s="3">
        <f t="shared" si="6"/>
        <v>0</v>
      </c>
      <c r="J61" s="3">
        <f t="shared" si="7"/>
        <v>0</v>
      </c>
      <c r="K61" s="3"/>
      <c r="L61" s="3">
        <f t="shared" si="8"/>
        <v>458.9091715</v>
      </c>
      <c r="M61" s="31">
        <f t="shared" si="9"/>
        <v>456.3266065</v>
      </c>
      <c r="N61" s="14">
        <f t="shared" si="10"/>
        <v>2.582565063</v>
      </c>
      <c r="O61" s="3"/>
      <c r="P61" s="23">
        <f t="shared" si="11"/>
        <v>166.2115999</v>
      </c>
      <c r="Q61" s="14">
        <f t="shared" si="12"/>
        <v>458.9091715</v>
      </c>
      <c r="R61" s="2"/>
      <c r="S61" s="14">
        <f t="shared" si="13"/>
        <v>2.371559505</v>
      </c>
    </row>
    <row r="62">
      <c r="A62" s="11">
        <v>50.0</v>
      </c>
      <c r="B62" s="11">
        <v>1.41961304347826E9</v>
      </c>
      <c r="C62" s="2">
        <v>-102.1885147</v>
      </c>
      <c r="D62" s="3">
        <f t="shared" si="1"/>
        <v>-786956.5217</v>
      </c>
      <c r="E62" s="4">
        <f t="shared" si="2"/>
        <v>165.2933038</v>
      </c>
      <c r="F62" s="3">
        <f t="shared" si="3"/>
        <v>0.0002100412148</v>
      </c>
      <c r="G62" s="3">
        <f t="shared" si="4"/>
        <v>0</v>
      </c>
      <c r="H62" s="2">
        <f t="shared" si="5"/>
        <v>0</v>
      </c>
      <c r="I62" s="3">
        <f t="shared" si="6"/>
        <v>0</v>
      </c>
      <c r="J62" s="3">
        <f t="shared" si="7"/>
        <v>0</v>
      </c>
      <c r="K62" s="3"/>
      <c r="L62" s="3">
        <f t="shared" si="8"/>
        <v>459.4673942</v>
      </c>
      <c r="M62" s="31">
        <f t="shared" si="9"/>
        <v>456.2363628</v>
      </c>
      <c r="N62" s="14">
        <f t="shared" si="10"/>
        <v>3.231031367</v>
      </c>
      <c r="O62" s="3"/>
      <c r="P62" s="23">
        <f t="shared" si="11"/>
        <v>165.2933038</v>
      </c>
      <c r="Q62" s="14">
        <f t="shared" si="12"/>
        <v>459.4673942</v>
      </c>
      <c r="R62" s="2"/>
      <c r="S62" s="14">
        <f t="shared" si="13"/>
        <v>2.967043609</v>
      </c>
    </row>
    <row r="63">
      <c r="A63" s="11">
        <v>51.0</v>
      </c>
      <c r="B63" s="11">
        <v>1.41961739130434E9</v>
      </c>
      <c r="C63" s="2">
        <v>-102.1358185</v>
      </c>
      <c r="D63" s="3">
        <f t="shared" si="1"/>
        <v>-782608.6957</v>
      </c>
      <c r="E63" s="4">
        <f t="shared" si="2"/>
        <v>164.3750077</v>
      </c>
      <c r="F63" s="3">
        <f t="shared" si="3"/>
        <v>0.000210034732</v>
      </c>
      <c r="G63" s="3">
        <f t="shared" si="4"/>
        <v>0</v>
      </c>
      <c r="H63" s="2">
        <f t="shared" si="5"/>
        <v>0</v>
      </c>
      <c r="I63" s="3">
        <f t="shared" si="6"/>
        <v>0</v>
      </c>
      <c r="J63" s="3">
        <f t="shared" si="7"/>
        <v>0</v>
      </c>
      <c r="K63" s="3"/>
      <c r="L63" s="3">
        <f t="shared" si="8"/>
        <v>465.0764164</v>
      </c>
      <c r="M63" s="31">
        <f t="shared" si="9"/>
        <v>456.1461462</v>
      </c>
      <c r="N63" s="14">
        <f t="shared" si="10"/>
        <v>8.930270148</v>
      </c>
      <c r="O63" s="3"/>
      <c r="P63" s="23">
        <f t="shared" si="11"/>
        <v>164.3750077</v>
      </c>
      <c r="Q63" s="14">
        <f t="shared" si="12"/>
        <v>465.0764164</v>
      </c>
      <c r="R63" s="2"/>
      <c r="S63" s="14">
        <f t="shared" si="13"/>
        <v>8.200632542</v>
      </c>
    </row>
    <row r="64">
      <c r="A64" s="11">
        <v>52.0</v>
      </c>
      <c r="B64" s="11">
        <v>1.41962173913043E9</v>
      </c>
      <c r="C64" s="2">
        <v>-102.2187653</v>
      </c>
      <c r="D64" s="3">
        <f t="shared" si="1"/>
        <v>-778260.8696</v>
      </c>
      <c r="E64" s="4">
        <f t="shared" si="2"/>
        <v>163.4567115</v>
      </c>
      <c r="F64" s="3">
        <f t="shared" si="3"/>
        <v>0.0002100281768</v>
      </c>
      <c r="G64" s="3">
        <f t="shared" si="4"/>
        <v>0</v>
      </c>
      <c r="H64" s="2">
        <f t="shared" si="5"/>
        <v>0</v>
      </c>
      <c r="I64" s="3">
        <f t="shared" si="6"/>
        <v>0</v>
      </c>
      <c r="J64" s="3">
        <f t="shared" si="7"/>
        <v>0</v>
      </c>
      <c r="K64" s="3"/>
      <c r="L64" s="3">
        <f t="shared" si="8"/>
        <v>456.2781136</v>
      </c>
      <c r="M64" s="31">
        <f t="shared" si="9"/>
        <v>456.0559559</v>
      </c>
      <c r="N64" s="14">
        <f t="shared" si="10"/>
        <v>0.2221576708</v>
      </c>
      <c r="O64" s="3"/>
      <c r="P64" s="23">
        <f t="shared" si="11"/>
        <v>163.4567115</v>
      </c>
      <c r="Q64" s="14">
        <f t="shared" si="12"/>
        <v>456.2781136</v>
      </c>
      <c r="R64" s="2"/>
      <c r="S64" s="14">
        <f t="shared" si="13"/>
        <v>0.2040065295</v>
      </c>
    </row>
    <row r="65">
      <c r="A65" s="11">
        <v>53.0</v>
      </c>
      <c r="B65" s="11">
        <v>1.41962608695652E9</v>
      </c>
      <c r="C65" s="2">
        <v>-102.2402802</v>
      </c>
      <c r="D65" s="3">
        <f t="shared" si="1"/>
        <v>-773913.0435</v>
      </c>
      <c r="E65" s="4">
        <f t="shared" si="2"/>
        <v>162.5384154</v>
      </c>
      <c r="F65" s="3">
        <f t="shared" si="3"/>
        <v>0.000210021548</v>
      </c>
      <c r="G65" s="3">
        <f t="shared" si="4"/>
        <v>0</v>
      </c>
      <c r="H65" s="2">
        <f t="shared" si="5"/>
        <v>0</v>
      </c>
      <c r="I65" s="3">
        <f t="shared" si="6"/>
        <v>0</v>
      </c>
      <c r="J65" s="3">
        <f t="shared" si="7"/>
        <v>0</v>
      </c>
      <c r="K65" s="3"/>
      <c r="L65" s="3">
        <f t="shared" si="8"/>
        <v>454.0233067</v>
      </c>
      <c r="M65" s="31">
        <f t="shared" si="9"/>
        <v>455.9657911</v>
      </c>
      <c r="N65" s="14">
        <f t="shared" si="10"/>
        <v>-1.942484445</v>
      </c>
      <c r="O65" s="3"/>
      <c r="P65" s="23">
        <f t="shared" si="11"/>
        <v>162.5384154</v>
      </c>
      <c r="Q65" s="14">
        <f t="shared" si="12"/>
        <v>454.0233067</v>
      </c>
      <c r="R65" s="2"/>
      <c r="S65" s="14">
        <f t="shared" si="13"/>
        <v>-1.783775954</v>
      </c>
    </row>
    <row r="66">
      <c r="A66" s="11">
        <v>54.0</v>
      </c>
      <c r="B66" s="11">
        <v>1.4196304347826E9</v>
      </c>
      <c r="C66" s="2">
        <v>-102.3025284</v>
      </c>
      <c r="D66" s="3">
        <f t="shared" si="1"/>
        <v>-769565.2174</v>
      </c>
      <c r="E66" s="4">
        <f t="shared" si="2"/>
        <v>161.6201193</v>
      </c>
      <c r="F66" s="3">
        <f t="shared" si="3"/>
        <v>0.0002100148442</v>
      </c>
      <c r="G66" s="3">
        <f t="shared" si="4"/>
        <v>0</v>
      </c>
      <c r="H66" s="2">
        <f t="shared" si="5"/>
        <v>0</v>
      </c>
      <c r="I66" s="3">
        <f t="shared" si="6"/>
        <v>0</v>
      </c>
      <c r="J66" s="3">
        <f t="shared" si="7"/>
        <v>0</v>
      </c>
      <c r="K66" s="3"/>
      <c r="L66" s="3">
        <f t="shared" si="8"/>
        <v>447.5621252</v>
      </c>
      <c r="M66" s="31">
        <f t="shared" si="9"/>
        <v>455.8756511</v>
      </c>
      <c r="N66" s="14">
        <f t="shared" si="10"/>
        <v>-8.313525868</v>
      </c>
      <c r="O66" s="3"/>
      <c r="P66" s="23">
        <f t="shared" si="11"/>
        <v>161.6201193</v>
      </c>
      <c r="Q66" s="14">
        <f t="shared" si="12"/>
        <v>447.5621252</v>
      </c>
      <c r="R66" s="2"/>
      <c r="S66" s="14">
        <f t="shared" si="13"/>
        <v>-7.634278654</v>
      </c>
    </row>
    <row r="67">
      <c r="A67" s="11">
        <v>55.0</v>
      </c>
      <c r="B67" s="11">
        <v>1.41963478260869E9</v>
      </c>
      <c r="C67" s="2">
        <v>-102.2002869</v>
      </c>
      <c r="D67" s="3">
        <f t="shared" si="1"/>
        <v>-765217.3913</v>
      </c>
      <c r="E67" s="4">
        <f t="shared" si="2"/>
        <v>160.7018231</v>
      </c>
      <c r="F67" s="3">
        <f t="shared" si="3"/>
        <v>0.0002100080643</v>
      </c>
      <c r="G67" s="3">
        <f t="shared" si="4"/>
        <v>0</v>
      </c>
      <c r="H67" s="2">
        <f t="shared" si="5"/>
        <v>0</v>
      </c>
      <c r="I67" s="3">
        <f t="shared" si="6"/>
        <v>0</v>
      </c>
      <c r="J67" s="3">
        <f t="shared" si="7"/>
        <v>0</v>
      </c>
      <c r="K67" s="3"/>
      <c r="L67" s="3">
        <f t="shared" si="8"/>
        <v>458.2236257</v>
      </c>
      <c r="M67" s="31">
        <f t="shared" si="9"/>
        <v>455.7855349</v>
      </c>
      <c r="N67" s="14">
        <f t="shared" si="10"/>
        <v>2.438090812</v>
      </c>
      <c r="O67" s="3"/>
      <c r="P67" s="23">
        <f t="shared" si="11"/>
        <v>160.7018231</v>
      </c>
      <c r="Q67" s="14">
        <f t="shared" si="12"/>
        <v>458.2236257</v>
      </c>
      <c r="R67" s="2"/>
      <c r="S67" s="14">
        <f t="shared" si="13"/>
        <v>2.238889364</v>
      </c>
    </row>
    <row r="68">
      <c r="A68" s="11">
        <v>56.0</v>
      </c>
      <c r="B68" s="11">
        <v>1.41963913043478E9</v>
      </c>
      <c r="C68" s="2">
        <v>-102.2926178</v>
      </c>
      <c r="D68" s="24">
        <f t="shared" si="1"/>
        <v>-760869.5652</v>
      </c>
      <c r="E68" s="25">
        <f t="shared" si="2"/>
        <v>159.783527</v>
      </c>
      <c r="F68" s="24">
        <f t="shared" si="3"/>
        <v>0.0002100012069</v>
      </c>
      <c r="G68" s="24">
        <f t="shared" si="4"/>
        <v>0</v>
      </c>
      <c r="H68" s="26">
        <f t="shared" si="5"/>
        <v>0</v>
      </c>
      <c r="I68" s="24">
        <f t="shared" si="6"/>
        <v>0</v>
      </c>
      <c r="J68" s="24">
        <f t="shared" si="7"/>
        <v>0</v>
      </c>
      <c r="K68" s="24"/>
      <c r="L68" s="24">
        <f t="shared" si="8"/>
        <v>448.5846282</v>
      </c>
      <c r="M68" s="31">
        <f t="shared" si="9"/>
        <v>455.6954419</v>
      </c>
      <c r="N68" s="27">
        <f t="shared" si="10"/>
        <v>-7.110813694</v>
      </c>
      <c r="O68" s="24"/>
      <c r="P68" s="28">
        <f t="shared" ref="P68:P123" si="14">-((B418-$B$4)/$B$4)*(3*10^5)</f>
        <v>-160.7018231</v>
      </c>
      <c r="Q68" s="27">
        <f t="shared" ref="Q68:Q123" si="15">(1/(2*$K$13))*(I417)</f>
        <v>422.4153071</v>
      </c>
      <c r="R68" s="26"/>
      <c r="S68" s="14">
        <f t="shared" si="13"/>
        <v>-6.529832701</v>
      </c>
    </row>
    <row r="69">
      <c r="A69" s="11">
        <v>57.0</v>
      </c>
      <c r="B69" s="11">
        <v>1.41964347826087E9</v>
      </c>
      <c r="C69" s="2">
        <v>-102.2453156</v>
      </c>
      <c r="D69" s="24">
        <f t="shared" si="1"/>
        <v>-756521.7391</v>
      </c>
      <c r="E69" s="25">
        <f t="shared" si="2"/>
        <v>158.8652309</v>
      </c>
      <c r="F69" s="24">
        <f t="shared" si="3"/>
        <v>0.0002099942707</v>
      </c>
      <c r="G69" s="24">
        <f t="shared" si="4"/>
        <v>0</v>
      </c>
      <c r="H69" s="26">
        <f t="shared" si="5"/>
        <v>0</v>
      </c>
      <c r="I69" s="24">
        <f t="shared" si="6"/>
        <v>0</v>
      </c>
      <c r="J69" s="24">
        <f t="shared" si="7"/>
        <v>0</v>
      </c>
      <c r="K69" s="24"/>
      <c r="L69" s="24">
        <f t="shared" si="8"/>
        <v>453.4971973</v>
      </c>
      <c r="M69" s="31">
        <f t="shared" si="9"/>
        <v>455.6053712</v>
      </c>
      <c r="N69" s="27">
        <f t="shared" si="10"/>
        <v>-2.108173915</v>
      </c>
      <c r="O69" s="24"/>
      <c r="P69" s="28">
        <f t="shared" si="14"/>
        <v>-161.6201193</v>
      </c>
      <c r="Q69" s="27">
        <f t="shared" si="15"/>
        <v>420.0466035</v>
      </c>
      <c r="R69" s="26"/>
      <c r="S69" s="14">
        <f t="shared" si="13"/>
        <v>-1.935927954</v>
      </c>
    </row>
    <row r="70">
      <c r="A70" s="11">
        <v>58.0</v>
      </c>
      <c r="B70" s="11">
        <v>1.41964782608695E9</v>
      </c>
      <c r="C70" s="2">
        <v>-102.230629</v>
      </c>
      <c r="D70" s="24">
        <f t="shared" si="1"/>
        <v>-752173.913</v>
      </c>
      <c r="E70" s="25">
        <f t="shared" si="2"/>
        <v>157.9469347</v>
      </c>
      <c r="F70" s="24">
        <f t="shared" si="3"/>
        <v>0.0002099872543</v>
      </c>
      <c r="G70" s="24">
        <f t="shared" si="4"/>
        <v>0</v>
      </c>
      <c r="H70" s="26">
        <f t="shared" si="5"/>
        <v>0</v>
      </c>
      <c r="I70" s="24">
        <f t="shared" si="6"/>
        <v>0</v>
      </c>
      <c r="J70" s="24">
        <f t="shared" si="7"/>
        <v>0</v>
      </c>
      <c r="K70" s="24"/>
      <c r="L70" s="24">
        <f t="shared" si="8"/>
        <v>455.0333914</v>
      </c>
      <c r="M70" s="31">
        <f t="shared" si="9"/>
        <v>455.5153221</v>
      </c>
      <c r="N70" s="27">
        <f t="shared" si="10"/>
        <v>-0.4819306801</v>
      </c>
      <c r="O70" s="24"/>
      <c r="P70" s="28">
        <f t="shared" si="14"/>
        <v>-162.5384154</v>
      </c>
      <c r="Q70" s="27">
        <f t="shared" si="15"/>
        <v>415.9725738</v>
      </c>
      <c r="R70" s="26"/>
      <c r="S70" s="14">
        <f t="shared" si="13"/>
        <v>-0.4425550798</v>
      </c>
    </row>
    <row r="71">
      <c r="A71" s="11">
        <v>59.0</v>
      </c>
      <c r="B71" s="11">
        <v>1.41965217391304E9</v>
      </c>
      <c r="C71" s="2">
        <v>-102.2780075</v>
      </c>
      <c r="D71" s="24">
        <f t="shared" si="1"/>
        <v>-747826.087</v>
      </c>
      <c r="E71" s="25">
        <f t="shared" si="2"/>
        <v>157.0286386</v>
      </c>
      <c r="F71" s="24">
        <f t="shared" si="3"/>
        <v>0.0002099801563</v>
      </c>
      <c r="G71" s="24">
        <f t="shared" si="4"/>
        <v>0</v>
      </c>
      <c r="H71" s="26">
        <f t="shared" si="5"/>
        <v>0</v>
      </c>
      <c r="I71" s="24">
        <f t="shared" si="6"/>
        <v>0</v>
      </c>
      <c r="J71" s="24">
        <f t="shared" si="7"/>
        <v>0</v>
      </c>
      <c r="K71" s="24"/>
      <c r="L71" s="24">
        <f t="shared" si="8"/>
        <v>450.0962736</v>
      </c>
      <c r="M71" s="31">
        <f t="shared" si="9"/>
        <v>455.4252938</v>
      </c>
      <c r="N71" s="27">
        <f t="shared" si="10"/>
        <v>-5.329020165</v>
      </c>
      <c r="O71" s="24"/>
      <c r="P71" s="28">
        <f t="shared" si="14"/>
        <v>-163.4567115</v>
      </c>
      <c r="Q71" s="27">
        <f t="shared" si="15"/>
        <v>418.482207</v>
      </c>
      <c r="R71" s="26"/>
      <c r="S71" s="14">
        <f t="shared" si="13"/>
        <v>-4.893618598</v>
      </c>
    </row>
    <row r="72">
      <c r="A72" s="11">
        <v>60.0</v>
      </c>
      <c r="B72" s="11">
        <v>1.41965652173913E9</v>
      </c>
      <c r="C72" s="2">
        <v>-102.2212524</v>
      </c>
      <c r="D72" s="24">
        <f t="shared" si="1"/>
        <v>-743478.2609</v>
      </c>
      <c r="E72" s="25">
        <f t="shared" si="2"/>
        <v>156.1103425</v>
      </c>
      <c r="F72" s="24">
        <f t="shared" si="3"/>
        <v>0.0002099729752</v>
      </c>
      <c r="G72" s="24">
        <f t="shared" si="4"/>
        <v>0</v>
      </c>
      <c r="H72" s="26">
        <f t="shared" si="5"/>
        <v>0</v>
      </c>
      <c r="I72" s="24">
        <f t="shared" si="6"/>
        <v>0</v>
      </c>
      <c r="J72" s="24">
        <f t="shared" si="7"/>
        <v>0</v>
      </c>
      <c r="K72" s="24"/>
      <c r="L72" s="24">
        <f t="shared" si="8"/>
        <v>456.0168889</v>
      </c>
      <c r="M72" s="31">
        <f t="shared" si="9"/>
        <v>455.3352854</v>
      </c>
      <c r="N72" s="27">
        <f t="shared" si="10"/>
        <v>0.6816035062</v>
      </c>
      <c r="O72" s="24"/>
      <c r="P72" s="28">
        <f t="shared" si="14"/>
        <v>-164.3750077</v>
      </c>
      <c r="Q72" s="27">
        <f t="shared" si="15"/>
        <v>425.6011055</v>
      </c>
      <c r="R72" s="26"/>
      <c r="S72" s="14">
        <f t="shared" si="13"/>
        <v>0.6259138638</v>
      </c>
    </row>
    <row r="73">
      <c r="A73" s="11">
        <v>61.0</v>
      </c>
      <c r="B73" s="11">
        <v>1.41966086956521E9</v>
      </c>
      <c r="C73" s="2">
        <v>-102.2060013</v>
      </c>
      <c r="D73" s="24">
        <f t="shared" si="1"/>
        <v>-739130.4348</v>
      </c>
      <c r="E73" s="25">
        <f t="shared" si="2"/>
        <v>155.1920463</v>
      </c>
      <c r="F73" s="24">
        <f t="shared" si="3"/>
        <v>0.0002099657097</v>
      </c>
      <c r="G73" s="24">
        <f t="shared" si="4"/>
        <v>0</v>
      </c>
      <c r="H73" s="26">
        <f t="shared" si="5"/>
        <v>0</v>
      </c>
      <c r="I73" s="24">
        <f t="shared" si="6"/>
        <v>0</v>
      </c>
      <c r="J73" s="24">
        <f t="shared" si="7"/>
        <v>0</v>
      </c>
      <c r="K73" s="24"/>
      <c r="L73" s="24">
        <f t="shared" si="8"/>
        <v>457.6210965</v>
      </c>
      <c r="M73" s="31">
        <f t="shared" si="9"/>
        <v>455.2452963</v>
      </c>
      <c r="N73" s="27">
        <f t="shared" si="10"/>
        <v>2.375800233</v>
      </c>
      <c r="O73" s="24"/>
      <c r="P73" s="28">
        <f t="shared" si="14"/>
        <v>-165.2933038</v>
      </c>
      <c r="Q73" s="27">
        <f t="shared" si="15"/>
        <v>422.2624735</v>
      </c>
      <c r="R73" s="26"/>
      <c r="S73" s="14">
        <f t="shared" si="13"/>
        <v>2.181688166</v>
      </c>
    </row>
    <row r="74">
      <c r="A74" s="11">
        <v>62.0</v>
      </c>
      <c r="B74" s="11">
        <v>1.4196652173913E9</v>
      </c>
      <c r="C74" s="2">
        <v>-102.2972794</v>
      </c>
      <c r="D74" s="24">
        <f t="shared" si="1"/>
        <v>-734782.6087</v>
      </c>
      <c r="E74" s="25">
        <f t="shared" si="2"/>
        <v>154.2737502</v>
      </c>
      <c r="F74" s="24">
        <f t="shared" si="3"/>
        <v>0.0002099583583</v>
      </c>
      <c r="G74" s="24">
        <f t="shared" si="4"/>
        <v>0</v>
      </c>
      <c r="H74" s="26">
        <f t="shared" si="5"/>
        <v>0</v>
      </c>
      <c r="I74" s="24">
        <f t="shared" si="6"/>
        <v>0</v>
      </c>
      <c r="J74" s="24">
        <f t="shared" si="7"/>
        <v>0</v>
      </c>
      <c r="K74" s="24"/>
      <c r="L74" s="24">
        <f t="shared" si="8"/>
        <v>448.1033879</v>
      </c>
      <c r="M74" s="31">
        <f t="shared" si="9"/>
        <v>455.1553255</v>
      </c>
      <c r="N74" s="27">
        <f t="shared" si="10"/>
        <v>-7.05193767</v>
      </c>
      <c r="O74" s="24"/>
      <c r="P74" s="28">
        <f t="shared" si="14"/>
        <v>-166.2115999</v>
      </c>
      <c r="Q74" s="27">
        <f t="shared" si="15"/>
        <v>425.4792523</v>
      </c>
      <c r="R74" s="26"/>
      <c r="S74" s="14">
        <f t="shared" si="13"/>
        <v>-6.475767076</v>
      </c>
    </row>
    <row r="75">
      <c r="A75" s="11">
        <v>63.0</v>
      </c>
      <c r="B75" s="11">
        <v>1.41966956521739E9</v>
      </c>
      <c r="C75" s="2">
        <v>-102.2278214</v>
      </c>
      <c r="D75" s="24">
        <f t="shared" si="1"/>
        <v>-730434.7826</v>
      </c>
      <c r="E75" s="25">
        <f t="shared" si="2"/>
        <v>153.3554541</v>
      </c>
      <c r="F75" s="24">
        <f t="shared" si="3"/>
        <v>0.0002099509193</v>
      </c>
      <c r="G75" s="24">
        <f t="shared" si="4"/>
        <v>0</v>
      </c>
      <c r="H75" s="26">
        <f t="shared" si="5"/>
        <v>0</v>
      </c>
      <c r="I75" s="24">
        <f t="shared" si="6"/>
        <v>0</v>
      </c>
      <c r="J75" s="24">
        <f t="shared" si="7"/>
        <v>0</v>
      </c>
      <c r="K75" s="24"/>
      <c r="L75" s="24">
        <f t="shared" si="8"/>
        <v>455.3276537</v>
      </c>
      <c r="M75" s="31">
        <f t="shared" si="9"/>
        <v>455.0653724</v>
      </c>
      <c r="N75" s="27">
        <f t="shared" si="10"/>
        <v>0.2622812806</v>
      </c>
      <c r="O75" s="24"/>
      <c r="P75" s="28">
        <f t="shared" si="14"/>
        <v>-167.129896</v>
      </c>
      <c r="Q75" s="27">
        <f t="shared" si="15"/>
        <v>419.8761897</v>
      </c>
      <c r="R75" s="26"/>
      <c r="S75" s="14">
        <f t="shared" si="13"/>
        <v>0.2408518857</v>
      </c>
    </row>
    <row r="76">
      <c r="A76" s="11">
        <v>64.0</v>
      </c>
      <c r="B76" s="11">
        <v>1.41967391304347E9</v>
      </c>
      <c r="C76" s="2">
        <v>-102.2416992</v>
      </c>
      <c r="D76" s="24">
        <f t="shared" si="1"/>
        <v>-726086.9565</v>
      </c>
      <c r="E76" s="25">
        <f t="shared" si="2"/>
        <v>152.4371579</v>
      </c>
      <c r="F76" s="24">
        <f t="shared" si="3"/>
        <v>0.0002099433912</v>
      </c>
      <c r="G76" s="24">
        <f t="shared" si="4"/>
        <v>0</v>
      </c>
      <c r="H76" s="26">
        <f t="shared" si="5"/>
        <v>0</v>
      </c>
      <c r="I76" s="24">
        <f t="shared" si="6"/>
        <v>0</v>
      </c>
      <c r="J76" s="24">
        <f t="shared" si="7"/>
        <v>0</v>
      </c>
      <c r="K76" s="24"/>
      <c r="L76" s="24">
        <f t="shared" si="8"/>
        <v>453.8749848</v>
      </c>
      <c r="M76" s="31">
        <f t="shared" si="9"/>
        <v>454.9754361</v>
      </c>
      <c r="N76" s="27">
        <f t="shared" si="10"/>
        <v>-1.100451328</v>
      </c>
      <c r="O76" s="24"/>
      <c r="P76" s="28">
        <f t="shared" si="14"/>
        <v>-168.0481922</v>
      </c>
      <c r="Q76" s="27">
        <f t="shared" si="15"/>
        <v>417.2841389</v>
      </c>
      <c r="R76" s="26"/>
      <c r="S76" s="14">
        <f t="shared" si="13"/>
        <v>-1.010540199</v>
      </c>
    </row>
    <row r="77">
      <c r="A77" s="11">
        <v>65.0</v>
      </c>
      <c r="B77" s="11">
        <v>1.41967826086956E9</v>
      </c>
      <c r="C77" s="2">
        <v>-102.2331314</v>
      </c>
      <c r="D77" s="24">
        <f t="shared" si="1"/>
        <v>-721739.1304</v>
      </c>
      <c r="E77" s="25">
        <f t="shared" si="2"/>
        <v>151.5188618</v>
      </c>
      <c r="F77" s="24">
        <f t="shared" si="3"/>
        <v>0.0002099357724</v>
      </c>
      <c r="G77" s="24">
        <f t="shared" si="4"/>
        <v>0</v>
      </c>
      <c r="H77" s="26">
        <f t="shared" si="5"/>
        <v>0</v>
      </c>
      <c r="I77" s="24">
        <f t="shared" si="6"/>
        <v>0</v>
      </c>
      <c r="J77" s="24">
        <f t="shared" si="7"/>
        <v>0</v>
      </c>
      <c r="K77" s="24"/>
      <c r="L77" s="24">
        <f t="shared" si="8"/>
        <v>454.7712772</v>
      </c>
      <c r="M77" s="31">
        <f t="shared" si="9"/>
        <v>454.8855159</v>
      </c>
      <c r="N77" s="27">
        <f t="shared" si="10"/>
        <v>-0.1142386918</v>
      </c>
      <c r="O77" s="24"/>
      <c r="P77" s="28">
        <f t="shared" si="14"/>
        <v>-168.9664883</v>
      </c>
      <c r="Q77" s="27">
        <f t="shared" si="15"/>
        <v>416.9199696</v>
      </c>
      <c r="R77" s="26"/>
      <c r="S77" s="14">
        <f t="shared" si="13"/>
        <v>-0.1049049487</v>
      </c>
    </row>
    <row r="78">
      <c r="A78" s="11">
        <v>66.0</v>
      </c>
      <c r="B78" s="11">
        <v>1.41968260869565E9</v>
      </c>
      <c r="C78" s="2">
        <v>-102.204895</v>
      </c>
      <c r="D78" s="24">
        <f t="shared" si="1"/>
        <v>-717391.3043</v>
      </c>
      <c r="E78" s="25">
        <f t="shared" si="2"/>
        <v>150.6005657</v>
      </c>
      <c r="F78" s="24">
        <f t="shared" si="3"/>
        <v>0.0002099280612</v>
      </c>
      <c r="G78" s="24">
        <f t="shared" si="4"/>
        <v>0</v>
      </c>
      <c r="H78" s="26">
        <f t="shared" si="5"/>
        <v>0</v>
      </c>
      <c r="I78" s="24">
        <f t="shared" si="6"/>
        <v>0</v>
      </c>
      <c r="J78" s="24">
        <f t="shared" si="7"/>
        <v>0</v>
      </c>
      <c r="K78" s="24"/>
      <c r="L78" s="24">
        <f t="shared" si="8"/>
        <v>457.7376835</v>
      </c>
      <c r="M78" s="31">
        <f t="shared" si="9"/>
        <v>454.7956109</v>
      </c>
      <c r="N78" s="27">
        <f t="shared" si="10"/>
        <v>2.94207252</v>
      </c>
      <c r="O78" s="24"/>
      <c r="P78" s="28">
        <f t="shared" si="14"/>
        <v>-169.8847844</v>
      </c>
      <c r="Q78" s="27">
        <f t="shared" si="15"/>
        <v>420.9958913</v>
      </c>
      <c r="R78" s="26"/>
      <c r="S78" s="14">
        <f t="shared" si="13"/>
        <v>2.701693818</v>
      </c>
    </row>
    <row r="79">
      <c r="A79" s="11">
        <v>67.0</v>
      </c>
      <c r="B79" s="11">
        <v>1.41968695652173E9</v>
      </c>
      <c r="C79" s="2">
        <v>-102.2147827</v>
      </c>
      <c r="D79" s="24">
        <f t="shared" si="1"/>
        <v>-713043.4783</v>
      </c>
      <c r="E79" s="25">
        <f t="shared" si="2"/>
        <v>149.6822695</v>
      </c>
      <c r="F79" s="24">
        <f t="shared" si="3"/>
        <v>0.0002099202561</v>
      </c>
      <c r="G79" s="24">
        <f t="shared" si="4"/>
        <v>0</v>
      </c>
      <c r="H79" s="26">
        <f t="shared" si="5"/>
        <v>0</v>
      </c>
      <c r="I79" s="24">
        <f t="shared" si="6"/>
        <v>0</v>
      </c>
      <c r="J79" s="24">
        <f t="shared" si="7"/>
        <v>0</v>
      </c>
      <c r="K79" s="24"/>
      <c r="L79" s="24">
        <f t="shared" si="8"/>
        <v>456.6967251</v>
      </c>
      <c r="M79" s="31">
        <f t="shared" si="9"/>
        <v>454.7057204</v>
      </c>
      <c r="N79" s="27">
        <f t="shared" si="10"/>
        <v>1.991004683</v>
      </c>
      <c r="O79" s="24"/>
      <c r="P79" s="28">
        <f t="shared" si="14"/>
        <v>-170.8030806</v>
      </c>
      <c r="Q79" s="27">
        <f t="shared" si="15"/>
        <v>415.6358285</v>
      </c>
      <c r="R79" s="26"/>
      <c r="S79" s="14">
        <f t="shared" si="13"/>
        <v>1.828331901</v>
      </c>
    </row>
    <row r="80">
      <c r="A80" s="11">
        <v>68.0</v>
      </c>
      <c r="B80" s="11">
        <v>1.41969130434782E9</v>
      </c>
      <c r="C80" s="2">
        <v>-102.1884766</v>
      </c>
      <c r="D80" s="24">
        <f t="shared" si="1"/>
        <v>-708695.6522</v>
      </c>
      <c r="E80" s="25">
        <f t="shared" si="2"/>
        <v>148.7639734</v>
      </c>
      <c r="F80" s="24">
        <f t="shared" si="3"/>
        <v>0.0002099123551</v>
      </c>
      <c r="G80" s="24">
        <f t="shared" si="4"/>
        <v>0</v>
      </c>
      <c r="H80" s="26">
        <f t="shared" si="5"/>
        <v>0</v>
      </c>
      <c r="I80" s="24">
        <f t="shared" si="6"/>
        <v>0</v>
      </c>
      <c r="J80" s="24">
        <f t="shared" si="7"/>
        <v>0</v>
      </c>
      <c r="K80" s="24"/>
      <c r="L80" s="24">
        <f t="shared" si="8"/>
        <v>459.471425</v>
      </c>
      <c r="M80" s="31">
        <f t="shared" si="9"/>
        <v>454.6158436</v>
      </c>
      <c r="N80" s="27">
        <f t="shared" si="10"/>
        <v>4.855581412</v>
      </c>
      <c r="O80" s="24"/>
      <c r="P80" s="28">
        <f t="shared" si="14"/>
        <v>-171.7213767</v>
      </c>
      <c r="Q80" s="27">
        <f t="shared" si="15"/>
        <v>416.4741662</v>
      </c>
      <c r="R80" s="26"/>
      <c r="S80" s="14">
        <f t="shared" si="13"/>
        <v>4.458861633</v>
      </c>
    </row>
    <row r="81">
      <c r="A81" s="11">
        <v>69.0</v>
      </c>
      <c r="B81" s="11">
        <v>1.41969565217391E9</v>
      </c>
      <c r="C81" s="2">
        <v>-102.2524185</v>
      </c>
      <c r="D81" s="24">
        <f t="shared" si="1"/>
        <v>-704347.8261</v>
      </c>
      <c r="E81" s="25">
        <f t="shared" si="2"/>
        <v>147.8456773</v>
      </c>
      <c r="F81" s="24">
        <f t="shared" si="3"/>
        <v>0.0002099043566</v>
      </c>
      <c r="G81" s="24">
        <f t="shared" si="4"/>
        <v>0</v>
      </c>
      <c r="H81" s="26">
        <f t="shared" si="5"/>
        <v>0</v>
      </c>
      <c r="I81" s="24">
        <f t="shared" si="6"/>
        <v>0</v>
      </c>
      <c r="J81" s="24">
        <f t="shared" si="7"/>
        <v>0</v>
      </c>
      <c r="K81" s="24"/>
      <c r="L81" s="24">
        <f t="shared" si="8"/>
        <v>452.7561074</v>
      </c>
      <c r="M81" s="31">
        <f t="shared" si="9"/>
        <v>454.5259797</v>
      </c>
      <c r="N81" s="27">
        <f t="shared" si="10"/>
        <v>-1.769872328</v>
      </c>
      <c r="O81" s="24"/>
      <c r="P81" s="28">
        <f t="shared" si="14"/>
        <v>-172.6396728</v>
      </c>
      <c r="Q81" s="27">
        <f t="shared" si="15"/>
        <v>418.5711751</v>
      </c>
      <c r="R81" s="26"/>
      <c r="S81" s="14">
        <f t="shared" si="13"/>
        <v>-1.625266911</v>
      </c>
    </row>
    <row r="82">
      <c r="A82" s="11">
        <v>70.0</v>
      </c>
      <c r="B82" s="11">
        <v>1.4197E9</v>
      </c>
      <c r="C82" s="2">
        <v>-102.2055664</v>
      </c>
      <c r="D82" s="24">
        <f t="shared" si="1"/>
        <v>-700000</v>
      </c>
      <c r="E82" s="25">
        <f t="shared" si="2"/>
        <v>146.9273811</v>
      </c>
      <c r="F82" s="24">
        <f t="shared" si="3"/>
        <v>0.0002098962588</v>
      </c>
      <c r="G82" s="24">
        <f t="shared" si="4"/>
        <v>0</v>
      </c>
      <c r="H82" s="26">
        <f t="shared" si="5"/>
        <v>0</v>
      </c>
      <c r="I82" s="24">
        <f t="shared" si="6"/>
        <v>0</v>
      </c>
      <c r="J82" s="24">
        <f t="shared" si="7"/>
        <v>0</v>
      </c>
      <c r="K82" s="24"/>
      <c r="L82" s="24">
        <f t="shared" si="8"/>
        <v>457.6669247</v>
      </c>
      <c r="M82" s="31">
        <f t="shared" si="9"/>
        <v>454.4361279</v>
      </c>
      <c r="N82" s="27">
        <f t="shared" si="10"/>
        <v>3.230796788</v>
      </c>
      <c r="O82" s="24"/>
      <c r="P82" s="28">
        <f t="shared" si="14"/>
        <v>-173.557969</v>
      </c>
      <c r="Q82" s="27">
        <f t="shared" si="15"/>
        <v>415.2329773</v>
      </c>
      <c r="R82" s="26"/>
      <c r="S82" s="14">
        <f t="shared" si="13"/>
        <v>2.966828196</v>
      </c>
    </row>
    <row r="83">
      <c r="A83" s="11">
        <v>71.0</v>
      </c>
      <c r="B83" s="11">
        <v>1.41970434782608E9</v>
      </c>
      <c r="C83" s="2">
        <v>-102.2737579</v>
      </c>
      <c r="D83" s="24">
        <f t="shared" si="1"/>
        <v>-695652.1739</v>
      </c>
      <c r="E83" s="25">
        <f t="shared" si="2"/>
        <v>146.009085</v>
      </c>
      <c r="F83" s="24">
        <f t="shared" si="3"/>
        <v>0.0002098880597</v>
      </c>
      <c r="G83" s="24">
        <f t="shared" si="4"/>
        <v>0</v>
      </c>
      <c r="H83" s="26">
        <f t="shared" si="5"/>
        <v>0</v>
      </c>
      <c r="I83" s="24">
        <f t="shared" si="6"/>
        <v>0</v>
      </c>
      <c r="J83" s="24">
        <f t="shared" si="7"/>
        <v>0</v>
      </c>
      <c r="K83" s="24"/>
      <c r="L83" s="24">
        <f t="shared" si="8"/>
        <v>450.5369113</v>
      </c>
      <c r="M83" s="31">
        <f t="shared" si="9"/>
        <v>454.3462874</v>
      </c>
      <c r="N83" s="27">
        <f t="shared" si="10"/>
        <v>-3.809376137</v>
      </c>
      <c r="O83" s="24"/>
      <c r="P83" s="28">
        <f t="shared" si="14"/>
        <v>-174.4762651</v>
      </c>
      <c r="Q83" s="27">
        <f t="shared" si="15"/>
        <v>422.61572</v>
      </c>
      <c r="R83" s="26"/>
      <c r="S83" s="14">
        <f t="shared" si="13"/>
        <v>-3.498135375</v>
      </c>
    </row>
    <row r="84">
      <c r="A84" s="11">
        <v>72.0</v>
      </c>
      <c r="B84" s="11">
        <v>1.41970869565217E9</v>
      </c>
      <c r="C84" s="2">
        <v>-102.2190247</v>
      </c>
      <c r="D84" s="24">
        <f t="shared" si="1"/>
        <v>-691304.3478</v>
      </c>
      <c r="E84" s="25">
        <f t="shared" si="2"/>
        <v>145.0907889</v>
      </c>
      <c r="F84" s="24">
        <f t="shared" si="3"/>
        <v>0.0002098797575</v>
      </c>
      <c r="G84" s="24">
        <f t="shared" si="4"/>
        <v>0</v>
      </c>
      <c r="H84" s="26">
        <f t="shared" si="5"/>
        <v>0</v>
      </c>
      <c r="I84" s="24">
        <f t="shared" si="6"/>
        <v>0</v>
      </c>
      <c r="J84" s="24">
        <f t="shared" si="7"/>
        <v>0</v>
      </c>
      <c r="K84" s="24"/>
      <c r="L84" s="24">
        <f t="shared" si="8"/>
        <v>456.2508614</v>
      </c>
      <c r="M84" s="31">
        <f t="shared" si="9"/>
        <v>454.2564575</v>
      </c>
      <c r="N84" s="27">
        <f t="shared" si="10"/>
        <v>1.994403862</v>
      </c>
      <c r="O84" s="24"/>
      <c r="P84" s="28">
        <f t="shared" si="14"/>
        <v>-175.3945612</v>
      </c>
      <c r="Q84" s="27">
        <f t="shared" si="15"/>
        <v>418.9389958</v>
      </c>
      <c r="R84" s="26"/>
      <c r="S84" s="14">
        <f t="shared" si="13"/>
        <v>1.831453349</v>
      </c>
    </row>
    <row r="85">
      <c r="A85" s="11">
        <v>73.0</v>
      </c>
      <c r="B85" s="11">
        <v>1.41971304347826E9</v>
      </c>
      <c r="C85" s="2">
        <v>-102.2410202</v>
      </c>
      <c r="D85" s="24">
        <f t="shared" si="1"/>
        <v>-686956.5217</v>
      </c>
      <c r="E85" s="25">
        <f t="shared" si="2"/>
        <v>144.1724927</v>
      </c>
      <c r="F85" s="24">
        <f t="shared" si="3"/>
        <v>0.0002098713502</v>
      </c>
      <c r="G85" s="24">
        <f t="shared" si="4"/>
        <v>0</v>
      </c>
      <c r="H85" s="26">
        <f t="shared" si="5"/>
        <v>0</v>
      </c>
      <c r="I85" s="24">
        <f t="shared" si="6"/>
        <v>0</v>
      </c>
      <c r="J85" s="24">
        <f t="shared" si="7"/>
        <v>0</v>
      </c>
      <c r="K85" s="24"/>
      <c r="L85" s="24">
        <f t="shared" si="8"/>
        <v>453.9459517</v>
      </c>
      <c r="M85" s="31">
        <f t="shared" si="9"/>
        <v>454.1666373</v>
      </c>
      <c r="N85" s="27">
        <f t="shared" si="10"/>
        <v>-0.2206856396</v>
      </c>
      <c r="O85" s="24"/>
      <c r="P85" s="28">
        <f t="shared" si="14"/>
        <v>-176.3128574</v>
      </c>
      <c r="Q85" s="27">
        <f t="shared" si="15"/>
        <v>417.4887118</v>
      </c>
      <c r="R85" s="26"/>
      <c r="S85" s="14">
        <f t="shared" si="13"/>
        <v>-0.2026547694</v>
      </c>
    </row>
    <row r="86">
      <c r="A86" s="11">
        <v>74.0</v>
      </c>
      <c r="B86" s="11">
        <v>1.41971739130434E9</v>
      </c>
      <c r="C86" s="2">
        <v>-102.192009</v>
      </c>
      <c r="D86" s="24">
        <f t="shared" si="1"/>
        <v>-682608.6957</v>
      </c>
      <c r="E86" s="25">
        <f t="shared" si="2"/>
        <v>143.2541966</v>
      </c>
      <c r="F86" s="24">
        <f t="shared" si="3"/>
        <v>0.0002098628358</v>
      </c>
      <c r="G86" s="24">
        <f t="shared" si="4"/>
        <v>0</v>
      </c>
      <c r="H86" s="26">
        <f t="shared" si="5"/>
        <v>0</v>
      </c>
      <c r="I86" s="24">
        <f t="shared" si="6"/>
        <v>0</v>
      </c>
      <c r="J86" s="24">
        <f t="shared" si="7"/>
        <v>0</v>
      </c>
      <c r="K86" s="24"/>
      <c r="L86" s="24">
        <f t="shared" si="8"/>
        <v>459.0978589</v>
      </c>
      <c r="M86" s="31">
        <f t="shared" si="9"/>
        <v>454.0768261</v>
      </c>
      <c r="N86" s="27">
        <f t="shared" si="10"/>
        <v>5.02103285</v>
      </c>
      <c r="O86" s="24"/>
      <c r="P86" s="28">
        <f t="shared" si="14"/>
        <v>-177.2311535</v>
      </c>
      <c r="Q86" s="27">
        <f t="shared" si="15"/>
        <v>411.470825</v>
      </c>
      <c r="R86" s="26"/>
      <c r="S86" s="14">
        <f t="shared" si="13"/>
        <v>4.610795049</v>
      </c>
    </row>
    <row r="87">
      <c r="A87" s="11">
        <v>75.0</v>
      </c>
      <c r="B87" s="11">
        <v>1.41972173913043E9</v>
      </c>
      <c r="C87" s="2">
        <v>-102.1911621</v>
      </c>
      <c r="D87" s="24">
        <f t="shared" si="1"/>
        <v>-678260.8696</v>
      </c>
      <c r="E87" s="25">
        <f t="shared" si="2"/>
        <v>142.3359005</v>
      </c>
      <c r="F87" s="24">
        <f t="shared" si="3"/>
        <v>0.0002098542122</v>
      </c>
      <c r="G87" s="24">
        <f t="shared" si="4"/>
        <v>0</v>
      </c>
      <c r="H87" s="26">
        <f t="shared" si="5"/>
        <v>0</v>
      </c>
      <c r="I87" s="24">
        <f t="shared" si="6"/>
        <v>0</v>
      </c>
      <c r="J87" s="24">
        <f t="shared" si="7"/>
        <v>0</v>
      </c>
      <c r="K87" s="24"/>
      <c r="L87" s="24">
        <f t="shared" si="8"/>
        <v>459.1873945</v>
      </c>
      <c r="M87" s="31">
        <f t="shared" si="9"/>
        <v>453.987023</v>
      </c>
      <c r="N87" s="27">
        <f t="shared" si="10"/>
        <v>5.200371441</v>
      </c>
      <c r="O87" s="24"/>
      <c r="P87" s="28">
        <f t="shared" si="14"/>
        <v>-178.1494496</v>
      </c>
      <c r="Q87" s="27">
        <f t="shared" si="15"/>
        <v>415.8300949</v>
      </c>
      <c r="R87" s="26"/>
      <c r="S87" s="14">
        <f t="shared" si="13"/>
        <v>4.775480972</v>
      </c>
    </row>
    <row r="88">
      <c r="A88" s="11">
        <v>76.0</v>
      </c>
      <c r="B88" s="11">
        <v>1.41972608695652E9</v>
      </c>
      <c r="C88" s="2">
        <v>-102.2004166</v>
      </c>
      <c r="D88" s="24">
        <f t="shared" si="1"/>
        <v>-673913.0435</v>
      </c>
      <c r="E88" s="25">
        <f t="shared" si="2"/>
        <v>141.4176044</v>
      </c>
      <c r="F88" s="24">
        <f t="shared" si="3"/>
        <v>0.0002098454774</v>
      </c>
      <c r="G88" s="24">
        <f t="shared" si="4"/>
        <v>0</v>
      </c>
      <c r="H88" s="26">
        <f t="shared" si="5"/>
        <v>0</v>
      </c>
      <c r="I88" s="24">
        <f t="shared" si="6"/>
        <v>0</v>
      </c>
      <c r="J88" s="24">
        <f t="shared" si="7"/>
        <v>0</v>
      </c>
      <c r="K88" s="24"/>
      <c r="L88" s="24">
        <f t="shared" si="8"/>
        <v>458.2099413</v>
      </c>
      <c r="M88" s="31">
        <f t="shared" si="9"/>
        <v>453.8972274</v>
      </c>
      <c r="N88" s="27">
        <f t="shared" si="10"/>
        <v>4.312713933</v>
      </c>
      <c r="O88" s="24"/>
      <c r="P88" s="28">
        <f t="shared" si="14"/>
        <v>-179.0677458</v>
      </c>
      <c r="Q88" s="27">
        <f t="shared" si="15"/>
        <v>411.0972839</v>
      </c>
      <c r="R88" s="26"/>
      <c r="S88" s="14">
        <f t="shared" si="13"/>
        <v>3.960348526</v>
      </c>
    </row>
    <row r="89">
      <c r="A89" s="11">
        <v>77.0</v>
      </c>
      <c r="B89" s="11">
        <v>1.4197304347826E9</v>
      </c>
      <c r="C89" s="2">
        <v>-102.2345047</v>
      </c>
      <c r="D89" s="24">
        <f t="shared" si="1"/>
        <v>-669565.2174</v>
      </c>
      <c r="E89" s="25">
        <f t="shared" si="2"/>
        <v>140.4993082</v>
      </c>
      <c r="F89" s="24">
        <f t="shared" si="3"/>
        <v>0.0002098366292</v>
      </c>
      <c r="G89" s="24">
        <f t="shared" si="4"/>
        <v>0</v>
      </c>
      <c r="H89" s="26">
        <f t="shared" si="5"/>
        <v>0</v>
      </c>
      <c r="I89" s="24">
        <f t="shared" si="6"/>
        <v>0</v>
      </c>
      <c r="J89" s="24">
        <f t="shared" si="7"/>
        <v>0</v>
      </c>
      <c r="K89" s="24"/>
      <c r="L89" s="24">
        <f t="shared" si="8"/>
        <v>454.6274949</v>
      </c>
      <c r="M89" s="31">
        <f t="shared" si="9"/>
        <v>453.8074383</v>
      </c>
      <c r="N89" s="27">
        <f t="shared" si="10"/>
        <v>0.820056605</v>
      </c>
      <c r="O89" s="24"/>
      <c r="P89" s="28">
        <f t="shared" si="14"/>
        <v>-179.9860419</v>
      </c>
      <c r="Q89" s="27">
        <f t="shared" si="15"/>
        <v>417.4212434</v>
      </c>
      <c r="R89" s="26"/>
      <c r="S89" s="14">
        <f t="shared" si="13"/>
        <v>0.753054809</v>
      </c>
    </row>
    <row r="90">
      <c r="A90" s="11">
        <v>78.0</v>
      </c>
      <c r="B90" s="11">
        <v>1.41973478260869E9</v>
      </c>
      <c r="C90" s="2">
        <v>-102.2355118</v>
      </c>
      <c r="D90" s="24">
        <f t="shared" si="1"/>
        <v>-665217.3913</v>
      </c>
      <c r="E90" s="25">
        <f t="shared" si="2"/>
        <v>139.5810121</v>
      </c>
      <c r="F90" s="24">
        <f t="shared" si="3"/>
        <v>0.0002098276652</v>
      </c>
      <c r="G90" s="24">
        <f t="shared" si="4"/>
        <v>0</v>
      </c>
      <c r="H90" s="26">
        <f t="shared" si="5"/>
        <v>0</v>
      </c>
      <c r="I90" s="24">
        <f t="shared" si="6"/>
        <v>0</v>
      </c>
      <c r="J90" s="24">
        <f t="shared" si="7"/>
        <v>0</v>
      </c>
      <c r="K90" s="24"/>
      <c r="L90" s="24">
        <f t="shared" si="8"/>
        <v>454.522082</v>
      </c>
      <c r="M90" s="31">
        <f t="shared" si="9"/>
        <v>453.717655</v>
      </c>
      <c r="N90" s="27">
        <f t="shared" si="10"/>
        <v>0.8044269977</v>
      </c>
      <c r="O90" s="24"/>
      <c r="P90" s="28">
        <f t="shared" si="14"/>
        <v>-180.904338</v>
      </c>
      <c r="Q90" s="27">
        <f t="shared" si="15"/>
        <v>421.2215262</v>
      </c>
      <c r="R90" s="26"/>
      <c r="S90" s="14">
        <f t="shared" si="13"/>
        <v>0.7387022011</v>
      </c>
    </row>
    <row r="91">
      <c r="A91" s="11">
        <v>79.0</v>
      </c>
      <c r="B91" s="11">
        <v>1.41973913043478E9</v>
      </c>
      <c r="C91" s="2">
        <v>-102.17453</v>
      </c>
      <c r="D91" s="24">
        <f t="shared" si="1"/>
        <v>-660869.5652</v>
      </c>
      <c r="E91" s="25">
        <f t="shared" si="2"/>
        <v>138.662716</v>
      </c>
      <c r="F91" s="24">
        <f t="shared" si="3"/>
        <v>0.0002098185833</v>
      </c>
      <c r="G91" s="24">
        <f t="shared" si="4"/>
        <v>0</v>
      </c>
      <c r="H91" s="26">
        <f t="shared" si="5"/>
        <v>0</v>
      </c>
      <c r="I91" s="24">
        <f t="shared" si="6"/>
        <v>0</v>
      </c>
      <c r="J91" s="24">
        <f t="shared" si="7"/>
        <v>0</v>
      </c>
      <c r="K91" s="24"/>
      <c r="L91" s="24">
        <f t="shared" si="8"/>
        <v>460.9493081</v>
      </c>
      <c r="M91" s="31">
        <f t="shared" si="9"/>
        <v>453.6278768</v>
      </c>
      <c r="N91" s="27">
        <f t="shared" si="10"/>
        <v>7.321431264</v>
      </c>
      <c r="O91" s="24"/>
      <c r="P91" s="28">
        <f t="shared" si="14"/>
        <v>-181.8226342</v>
      </c>
      <c r="Q91" s="27">
        <f t="shared" si="15"/>
        <v>416.3702942</v>
      </c>
      <c r="R91" s="26"/>
      <c r="S91" s="14">
        <f t="shared" si="13"/>
        <v>6.723242</v>
      </c>
    </row>
    <row r="92">
      <c r="A92" s="11">
        <v>80.0</v>
      </c>
      <c r="B92" s="11">
        <v>1.41974347826087E9</v>
      </c>
      <c r="C92" s="2">
        <v>-102.196846</v>
      </c>
      <c r="D92" s="24">
        <f t="shared" si="1"/>
        <v>-656521.7391</v>
      </c>
      <c r="E92" s="25">
        <f t="shared" si="2"/>
        <v>137.7444198</v>
      </c>
      <c r="F92" s="24">
        <f t="shared" si="3"/>
        <v>0.0002098093812</v>
      </c>
      <c r="G92" s="24">
        <f t="shared" si="4"/>
        <v>0</v>
      </c>
      <c r="H92" s="26">
        <f t="shared" si="5"/>
        <v>0</v>
      </c>
      <c r="I92" s="24">
        <f t="shared" si="6"/>
        <v>0</v>
      </c>
      <c r="J92" s="24">
        <f t="shared" si="7"/>
        <v>0</v>
      </c>
      <c r="K92" s="24"/>
      <c r="L92" s="24">
        <f t="shared" si="8"/>
        <v>458.5868186</v>
      </c>
      <c r="M92" s="31">
        <f t="shared" si="9"/>
        <v>453.5381028</v>
      </c>
      <c r="N92" s="27">
        <f t="shared" si="10"/>
        <v>5.048715766</v>
      </c>
      <c r="O92" s="24"/>
      <c r="P92" s="28">
        <f t="shared" si="14"/>
        <v>-182.7409303</v>
      </c>
      <c r="Q92" s="27">
        <f t="shared" si="15"/>
        <v>418.2433528</v>
      </c>
      <c r="R92" s="26"/>
      <c r="S92" s="14">
        <f t="shared" si="13"/>
        <v>4.636216164</v>
      </c>
    </row>
    <row r="93">
      <c r="A93" s="11">
        <v>81.0</v>
      </c>
      <c r="B93" s="11">
        <v>1.41974782608695E9</v>
      </c>
      <c r="C93" s="2">
        <v>-102.2792511</v>
      </c>
      <c r="D93" s="24">
        <f t="shared" si="1"/>
        <v>-652173.913</v>
      </c>
      <c r="E93" s="25">
        <f t="shared" si="2"/>
        <v>136.8261237</v>
      </c>
      <c r="F93" s="24">
        <f t="shared" si="3"/>
        <v>0.0002098000563</v>
      </c>
      <c r="G93" s="24">
        <f t="shared" si="4"/>
        <v>0</v>
      </c>
      <c r="H93" s="26">
        <f t="shared" si="5"/>
        <v>0</v>
      </c>
      <c r="I93" s="24">
        <f t="shared" si="6"/>
        <v>0</v>
      </c>
      <c r="J93" s="24">
        <f t="shared" si="7"/>
        <v>0</v>
      </c>
      <c r="K93" s="24"/>
      <c r="L93" s="24">
        <f t="shared" si="8"/>
        <v>449.9674072</v>
      </c>
      <c r="M93" s="31">
        <f t="shared" si="9"/>
        <v>453.4483322</v>
      </c>
      <c r="N93" s="27">
        <f t="shared" si="10"/>
        <v>-3.48092502</v>
      </c>
      <c r="O93" s="24"/>
      <c r="P93" s="28">
        <f t="shared" si="14"/>
        <v>-183.6592264</v>
      </c>
      <c r="Q93" s="27">
        <f t="shared" si="15"/>
        <v>416.66444</v>
      </c>
      <c r="R93" s="26"/>
      <c r="S93" s="14">
        <f t="shared" si="13"/>
        <v>-3.196519984</v>
      </c>
    </row>
    <row r="94">
      <c r="A94" s="11">
        <v>82.0</v>
      </c>
      <c r="B94" s="11">
        <v>1.41975217391304E9</v>
      </c>
      <c r="C94" s="2">
        <v>-102.3038483</v>
      </c>
      <c r="D94" s="24">
        <f t="shared" si="1"/>
        <v>-647826.087</v>
      </c>
      <c r="E94" s="25">
        <f t="shared" si="2"/>
        <v>135.9078276</v>
      </c>
      <c r="F94" s="24">
        <f t="shared" si="3"/>
        <v>0.0002097906063</v>
      </c>
      <c r="G94" s="24">
        <f t="shared" si="4"/>
        <v>0</v>
      </c>
      <c r="H94" s="26">
        <f t="shared" si="5"/>
        <v>0</v>
      </c>
      <c r="I94" s="24">
        <f t="shared" si="6"/>
        <v>0</v>
      </c>
      <c r="J94" s="24">
        <f t="shared" si="7"/>
        <v>0</v>
      </c>
      <c r="K94" s="24"/>
      <c r="L94" s="24">
        <f t="shared" si="8"/>
        <v>447.4261236</v>
      </c>
      <c r="M94" s="31">
        <f t="shared" si="9"/>
        <v>453.3585643</v>
      </c>
      <c r="N94" s="27">
        <f t="shared" si="10"/>
        <v>-5.932440758</v>
      </c>
      <c r="O94" s="24"/>
      <c r="P94" s="28">
        <f t="shared" si="14"/>
        <v>-184.5775226</v>
      </c>
      <c r="Q94" s="27">
        <f t="shared" si="15"/>
        <v>408.849506</v>
      </c>
      <c r="R94" s="26"/>
      <c r="S94" s="14">
        <f t="shared" si="13"/>
        <v>-5.447737394</v>
      </c>
    </row>
    <row r="95">
      <c r="A95" s="11">
        <v>83.0</v>
      </c>
      <c r="B95" s="11">
        <v>1.41975652173913E9</v>
      </c>
      <c r="C95" s="2">
        <v>-102.2452621</v>
      </c>
      <c r="D95" s="24">
        <f t="shared" si="1"/>
        <v>-643478.2609</v>
      </c>
      <c r="E95" s="25">
        <f t="shared" si="2"/>
        <v>134.9895314</v>
      </c>
      <c r="F95" s="24">
        <f t="shared" si="3"/>
        <v>0.0002097810286</v>
      </c>
      <c r="G95" s="24">
        <f t="shared" si="4"/>
        <v>0</v>
      </c>
      <c r="H95" s="26">
        <f t="shared" si="5"/>
        <v>0</v>
      </c>
      <c r="I95" s="24">
        <f t="shared" si="6"/>
        <v>0</v>
      </c>
      <c r="J95" s="24">
        <f t="shared" si="7"/>
        <v>0</v>
      </c>
      <c r="K95" s="24"/>
      <c r="L95" s="24">
        <f t="shared" si="8"/>
        <v>453.5027839</v>
      </c>
      <c r="M95" s="31">
        <f t="shared" si="9"/>
        <v>453.2687983</v>
      </c>
      <c r="N95" s="27">
        <f t="shared" si="10"/>
        <v>0.2339855607</v>
      </c>
      <c r="O95" s="24"/>
      <c r="P95" s="28">
        <f t="shared" si="14"/>
        <v>-185.4958187</v>
      </c>
      <c r="Q95" s="27">
        <f t="shared" si="15"/>
        <v>419.176037</v>
      </c>
      <c r="R95" s="26"/>
      <c r="S95" s="14">
        <f t="shared" si="13"/>
        <v>0.2148680355</v>
      </c>
    </row>
    <row r="96">
      <c r="A96" s="11">
        <v>84.0</v>
      </c>
      <c r="B96" s="11">
        <v>1.41976086956521E9</v>
      </c>
      <c r="C96" s="2">
        <v>-102.2672119</v>
      </c>
      <c r="D96" s="24">
        <f t="shared" si="1"/>
        <v>-639130.4348</v>
      </c>
      <c r="E96" s="25">
        <f t="shared" si="2"/>
        <v>134.0712353</v>
      </c>
      <c r="F96" s="24">
        <f t="shared" si="3"/>
        <v>0.0002097713205</v>
      </c>
      <c r="G96" s="24">
        <f t="shared" si="4"/>
        <v>0</v>
      </c>
      <c r="H96" s="26">
        <f t="shared" si="5"/>
        <v>0</v>
      </c>
      <c r="I96" s="24">
        <f t="shared" si="6"/>
        <v>0</v>
      </c>
      <c r="J96" s="24">
        <f t="shared" si="7"/>
        <v>0</v>
      </c>
      <c r="K96" s="24"/>
      <c r="L96" s="24">
        <f t="shared" si="8"/>
        <v>451.2165051</v>
      </c>
      <c r="M96" s="31">
        <f t="shared" si="9"/>
        <v>453.1790334</v>
      </c>
      <c r="N96" s="27">
        <f t="shared" si="10"/>
        <v>-1.962528288</v>
      </c>
      <c r="O96" s="24"/>
      <c r="P96" s="28">
        <f t="shared" si="14"/>
        <v>-186.4141148</v>
      </c>
      <c r="Q96" s="27">
        <f t="shared" si="15"/>
        <v>417.4630458</v>
      </c>
      <c r="R96" s="26"/>
      <c r="S96" s="14">
        <f t="shared" si="13"/>
        <v>-1.802182137</v>
      </c>
    </row>
    <row r="97">
      <c r="A97" s="11">
        <v>85.0</v>
      </c>
      <c r="B97" s="11">
        <v>1.4197652173913E9</v>
      </c>
      <c r="C97" s="2">
        <v>-102.2266312</v>
      </c>
      <c r="D97" s="24">
        <f t="shared" si="1"/>
        <v>-634782.6087</v>
      </c>
      <c r="E97" s="25">
        <f t="shared" si="2"/>
        <v>133.1529392</v>
      </c>
      <c r="F97" s="24">
        <f t="shared" si="3"/>
        <v>0.0002097614795</v>
      </c>
      <c r="G97" s="24">
        <f t="shared" si="4"/>
        <v>0</v>
      </c>
      <c r="H97" s="26">
        <f t="shared" si="5"/>
        <v>0</v>
      </c>
      <c r="I97" s="24">
        <f t="shared" si="6"/>
        <v>0</v>
      </c>
      <c r="J97" s="24">
        <f t="shared" si="7"/>
        <v>0</v>
      </c>
      <c r="K97" s="24"/>
      <c r="L97" s="24">
        <f t="shared" si="8"/>
        <v>455.452455</v>
      </c>
      <c r="M97" s="31">
        <f t="shared" si="9"/>
        <v>453.0892688</v>
      </c>
      <c r="N97" s="27">
        <f t="shared" si="10"/>
        <v>2.363186249</v>
      </c>
      <c r="O97" s="24"/>
      <c r="P97" s="28">
        <f t="shared" si="14"/>
        <v>-187.332411</v>
      </c>
      <c r="Q97" s="27">
        <f t="shared" si="15"/>
        <v>412.2218209</v>
      </c>
      <c r="R97" s="26"/>
      <c r="S97" s="14">
        <f t="shared" si="13"/>
        <v>2.170104789</v>
      </c>
    </row>
    <row r="98">
      <c r="A98" s="11">
        <v>86.0</v>
      </c>
      <c r="B98" s="11">
        <v>1.41976956521739E9</v>
      </c>
      <c r="C98" s="2">
        <v>-102.2109604</v>
      </c>
      <c r="D98" s="24">
        <f t="shared" si="1"/>
        <v>-630434.7826</v>
      </c>
      <c r="E98" s="25">
        <f t="shared" si="2"/>
        <v>132.234643</v>
      </c>
      <c r="F98" s="24">
        <f t="shared" si="3"/>
        <v>0.0002097515027</v>
      </c>
      <c r="G98" s="24">
        <f t="shared" si="4"/>
        <v>0</v>
      </c>
      <c r="H98" s="26">
        <f t="shared" si="5"/>
        <v>0</v>
      </c>
      <c r="I98" s="24">
        <f t="shared" si="6"/>
        <v>0</v>
      </c>
      <c r="J98" s="24">
        <f t="shared" si="7"/>
        <v>0</v>
      </c>
      <c r="K98" s="24"/>
      <c r="L98" s="24">
        <f t="shared" si="8"/>
        <v>457.0988486</v>
      </c>
      <c r="M98" s="31">
        <f t="shared" si="9"/>
        <v>452.9995036</v>
      </c>
      <c r="N98" s="27">
        <f t="shared" si="10"/>
        <v>4.099345012</v>
      </c>
      <c r="O98" s="24"/>
      <c r="P98" s="28">
        <f t="shared" si="14"/>
        <v>-188.2507071</v>
      </c>
      <c r="Q98" s="27">
        <f t="shared" si="15"/>
        <v>419.0221659</v>
      </c>
      <c r="R98" s="26"/>
      <c r="S98" s="14">
        <f t="shared" si="13"/>
        <v>3.764412672</v>
      </c>
    </row>
    <row r="99">
      <c r="A99" s="11">
        <v>87.0</v>
      </c>
      <c r="B99" s="11">
        <v>1.41977391304347E9</v>
      </c>
      <c r="C99" s="2">
        <v>-102.2626266</v>
      </c>
      <c r="D99" s="24">
        <f t="shared" si="1"/>
        <v>-626086.9565</v>
      </c>
      <c r="E99" s="25">
        <f t="shared" si="2"/>
        <v>131.3163469</v>
      </c>
      <c r="F99" s="24">
        <f t="shared" si="3"/>
        <v>0.0002097413874</v>
      </c>
      <c r="G99" s="24">
        <f t="shared" si="4"/>
        <v>0</v>
      </c>
      <c r="H99" s="26">
        <f t="shared" si="5"/>
        <v>0</v>
      </c>
      <c r="I99" s="24">
        <f t="shared" si="6"/>
        <v>0</v>
      </c>
      <c r="J99" s="24">
        <f t="shared" si="7"/>
        <v>0</v>
      </c>
      <c r="K99" s="24"/>
      <c r="L99" s="24">
        <f t="shared" si="8"/>
        <v>451.693153</v>
      </c>
      <c r="M99" s="31">
        <f t="shared" si="9"/>
        <v>452.9097372</v>
      </c>
      <c r="N99" s="27">
        <f t="shared" si="10"/>
        <v>-1.216584204</v>
      </c>
      <c r="O99" s="24"/>
      <c r="P99" s="28">
        <f t="shared" si="14"/>
        <v>-189.1690032</v>
      </c>
      <c r="Q99" s="27">
        <f t="shared" si="15"/>
        <v>413.7330144</v>
      </c>
      <c r="R99" s="26"/>
      <c r="S99" s="14">
        <f t="shared" si="13"/>
        <v>-1.11718457</v>
      </c>
    </row>
    <row r="100">
      <c r="A100" s="11">
        <v>88.0</v>
      </c>
      <c r="B100" s="11">
        <v>1.41977826086956E9</v>
      </c>
      <c r="C100" s="2">
        <v>-102.1767807</v>
      </c>
      <c r="D100" s="24">
        <f t="shared" si="1"/>
        <v>-621739.1304</v>
      </c>
      <c r="E100" s="25">
        <f t="shared" si="2"/>
        <v>130.3980508</v>
      </c>
      <c r="F100" s="24">
        <f t="shared" si="3"/>
        <v>0.0002097311306</v>
      </c>
      <c r="G100" s="24">
        <f t="shared" si="4"/>
        <v>0</v>
      </c>
      <c r="H100" s="26">
        <f t="shared" si="5"/>
        <v>0</v>
      </c>
      <c r="I100" s="24">
        <f t="shared" si="6"/>
        <v>0</v>
      </c>
      <c r="J100" s="24">
        <f t="shared" si="7"/>
        <v>0</v>
      </c>
      <c r="K100" s="24"/>
      <c r="L100" s="24">
        <f t="shared" si="8"/>
        <v>460.7104863</v>
      </c>
      <c r="M100" s="31">
        <f t="shared" si="9"/>
        <v>452.8199688</v>
      </c>
      <c r="N100" s="27">
        <f t="shared" si="10"/>
        <v>7.890517501</v>
      </c>
      <c r="O100" s="24"/>
      <c r="P100" s="28">
        <f t="shared" si="14"/>
        <v>-190.0872994</v>
      </c>
      <c r="Q100" s="27">
        <f t="shared" si="15"/>
        <v>414.3738375</v>
      </c>
      <c r="R100" s="26"/>
      <c r="S100" s="14">
        <f t="shared" si="13"/>
        <v>7.24583169</v>
      </c>
    </row>
    <row r="101">
      <c r="A101" s="11">
        <v>89.0</v>
      </c>
      <c r="B101" s="11">
        <v>1.41978260869565E9</v>
      </c>
      <c r="C101" s="2">
        <v>-102.2328644</v>
      </c>
      <c r="D101" s="24">
        <f t="shared" si="1"/>
        <v>-617391.3043</v>
      </c>
      <c r="E101" s="25">
        <f t="shared" si="2"/>
        <v>129.4797546</v>
      </c>
      <c r="F101" s="24">
        <f t="shared" si="3"/>
        <v>0.0002097207293</v>
      </c>
      <c r="G101" s="24">
        <f t="shared" si="4"/>
        <v>0</v>
      </c>
      <c r="H101" s="26">
        <f t="shared" si="5"/>
        <v>0</v>
      </c>
      <c r="I101" s="24">
        <f t="shared" si="6"/>
        <v>0</v>
      </c>
      <c r="J101" s="24">
        <f t="shared" si="7"/>
        <v>0</v>
      </c>
      <c r="K101" s="24"/>
      <c r="L101" s="24">
        <f t="shared" si="8"/>
        <v>454.799237</v>
      </c>
      <c r="M101" s="31">
        <f t="shared" si="9"/>
        <v>452.7301975</v>
      </c>
      <c r="N101" s="27">
        <f t="shared" si="10"/>
        <v>2.069039508</v>
      </c>
      <c r="O101" s="24"/>
      <c r="P101" s="28">
        <f t="shared" si="14"/>
        <v>-191.0055955</v>
      </c>
      <c r="Q101" s="27">
        <f t="shared" si="15"/>
        <v>417.8886227</v>
      </c>
      <c r="R101" s="26"/>
      <c r="S101" s="14">
        <f t="shared" si="13"/>
        <v>1.899990979</v>
      </c>
    </row>
    <row r="102">
      <c r="A102" s="11">
        <v>90.0</v>
      </c>
      <c r="B102" s="11">
        <v>1.41978695652173E9</v>
      </c>
      <c r="C102" s="2">
        <v>-102.222229</v>
      </c>
      <c r="D102" s="24">
        <f t="shared" si="1"/>
        <v>-613043.4783</v>
      </c>
      <c r="E102" s="25">
        <f t="shared" si="2"/>
        <v>128.5614585</v>
      </c>
      <c r="F102" s="24">
        <f t="shared" si="3"/>
        <v>0.0002097101805</v>
      </c>
      <c r="G102" s="24">
        <f t="shared" si="4"/>
        <v>0</v>
      </c>
      <c r="H102" s="26">
        <f t="shared" si="5"/>
        <v>0</v>
      </c>
      <c r="I102" s="24">
        <f t="shared" si="6"/>
        <v>0</v>
      </c>
      <c r="J102" s="24">
        <f t="shared" si="7"/>
        <v>0</v>
      </c>
      <c r="K102" s="24"/>
      <c r="L102" s="24">
        <f t="shared" si="8"/>
        <v>455.9143557</v>
      </c>
      <c r="M102" s="31">
        <f t="shared" si="9"/>
        <v>452.6404225</v>
      </c>
      <c r="N102" s="27">
        <f t="shared" si="10"/>
        <v>3.273933227</v>
      </c>
      <c r="O102" s="24"/>
      <c r="P102" s="28">
        <f t="shared" si="14"/>
        <v>-191.9238916</v>
      </c>
      <c r="Q102" s="27">
        <f t="shared" si="15"/>
        <v>415.5131832</v>
      </c>
      <c r="R102" s="26"/>
      <c r="S102" s="14">
        <f t="shared" si="13"/>
        <v>3.006440221</v>
      </c>
    </row>
    <row r="103">
      <c r="A103" s="11">
        <v>91.0</v>
      </c>
      <c r="B103" s="11">
        <v>1.41979130434782E9</v>
      </c>
      <c r="C103" s="2">
        <v>-102.1785049</v>
      </c>
      <c r="D103" s="24">
        <f t="shared" si="1"/>
        <v>-608695.6522</v>
      </c>
      <c r="E103" s="25">
        <f t="shared" si="2"/>
        <v>127.6431624</v>
      </c>
      <c r="F103" s="24">
        <f t="shared" si="3"/>
        <v>0.000209699481</v>
      </c>
      <c r="G103" s="24">
        <f t="shared" si="4"/>
        <v>0</v>
      </c>
      <c r="H103" s="26">
        <f t="shared" si="5"/>
        <v>0</v>
      </c>
      <c r="I103" s="24">
        <f t="shared" si="6"/>
        <v>0</v>
      </c>
      <c r="J103" s="24">
        <f t="shared" si="7"/>
        <v>0</v>
      </c>
      <c r="K103" s="24"/>
      <c r="L103" s="24">
        <f t="shared" si="8"/>
        <v>460.5276151</v>
      </c>
      <c r="M103" s="31">
        <f t="shared" si="9"/>
        <v>452.5506431</v>
      </c>
      <c r="N103" s="27">
        <f t="shared" si="10"/>
        <v>7.976971998</v>
      </c>
      <c r="O103" s="24"/>
      <c r="P103" s="28">
        <f t="shared" si="14"/>
        <v>-192.8421877</v>
      </c>
      <c r="Q103" s="27">
        <f t="shared" si="15"/>
        <v>414.6002956</v>
      </c>
      <c r="R103" s="26"/>
      <c r="S103" s="14">
        <f t="shared" si="13"/>
        <v>7.325222537</v>
      </c>
    </row>
    <row r="104">
      <c r="A104" s="11">
        <v>92.0</v>
      </c>
      <c r="B104" s="11">
        <v>1.41979565217391E9</v>
      </c>
      <c r="C104" s="2">
        <v>-102.1837769</v>
      </c>
      <c r="D104" s="24">
        <f t="shared" si="1"/>
        <v>-604347.8261</v>
      </c>
      <c r="E104" s="25">
        <f t="shared" si="2"/>
        <v>126.7248662</v>
      </c>
      <c r="F104" s="24">
        <f t="shared" si="3"/>
        <v>0.0002096886276</v>
      </c>
      <c r="G104" s="24">
        <f t="shared" si="4"/>
        <v>0</v>
      </c>
      <c r="H104" s="26">
        <f t="shared" si="5"/>
        <v>0</v>
      </c>
      <c r="I104" s="24">
        <f t="shared" si="6"/>
        <v>0</v>
      </c>
      <c r="J104" s="24">
        <f t="shared" si="7"/>
        <v>0</v>
      </c>
      <c r="K104" s="24"/>
      <c r="L104" s="24">
        <f t="shared" si="8"/>
        <v>459.9689093</v>
      </c>
      <c r="M104" s="31">
        <f t="shared" si="9"/>
        <v>452.4608585</v>
      </c>
      <c r="N104" s="27">
        <f t="shared" si="10"/>
        <v>7.508050777</v>
      </c>
      <c r="O104" s="24"/>
      <c r="P104" s="28">
        <f t="shared" si="14"/>
        <v>-193.7604839</v>
      </c>
      <c r="Q104" s="27">
        <f t="shared" si="15"/>
        <v>416.8533321</v>
      </c>
      <c r="R104" s="26"/>
      <c r="S104" s="14">
        <f t="shared" si="13"/>
        <v>6.894613978</v>
      </c>
    </row>
    <row r="105">
      <c r="A105" s="11">
        <v>93.0</v>
      </c>
      <c r="B105" s="11">
        <v>1.4198E9</v>
      </c>
      <c r="C105" s="2">
        <v>-102.1920547</v>
      </c>
      <c r="D105" s="24">
        <f t="shared" si="1"/>
        <v>-600000</v>
      </c>
      <c r="E105" s="25">
        <f t="shared" si="2"/>
        <v>125.8065701</v>
      </c>
      <c r="F105" s="24">
        <f t="shared" si="3"/>
        <v>0.0002096776168</v>
      </c>
      <c r="G105" s="24">
        <f t="shared" si="4"/>
        <v>0</v>
      </c>
      <c r="H105" s="26">
        <f t="shared" si="5"/>
        <v>0</v>
      </c>
      <c r="I105" s="24">
        <f t="shared" si="6"/>
        <v>0</v>
      </c>
      <c r="J105" s="24">
        <f t="shared" si="7"/>
        <v>0</v>
      </c>
      <c r="K105" s="24"/>
      <c r="L105" s="24">
        <f t="shared" si="8"/>
        <v>459.093028</v>
      </c>
      <c r="M105" s="31">
        <f t="shared" si="9"/>
        <v>452.3710679</v>
      </c>
      <c r="N105" s="27">
        <f t="shared" si="10"/>
        <v>6.721960043</v>
      </c>
      <c r="O105" s="24"/>
      <c r="P105" s="28">
        <f t="shared" si="14"/>
        <v>-194.67878</v>
      </c>
      <c r="Q105" s="27">
        <f t="shared" si="15"/>
        <v>415.3300051</v>
      </c>
      <c r="R105" s="26"/>
      <c r="S105" s="14">
        <f t="shared" si="13"/>
        <v>6.172749912</v>
      </c>
    </row>
    <row r="106">
      <c r="A106" s="11">
        <v>94.0</v>
      </c>
      <c r="B106" s="11">
        <v>1.41980434782608E9</v>
      </c>
      <c r="C106" s="2">
        <v>-102.2434082</v>
      </c>
      <c r="D106" s="24">
        <f t="shared" si="1"/>
        <v>-595652.1739</v>
      </c>
      <c r="E106" s="25">
        <f t="shared" si="2"/>
        <v>124.888274</v>
      </c>
      <c r="F106" s="24">
        <f t="shared" si="3"/>
        <v>0.0002096664454</v>
      </c>
      <c r="G106" s="24">
        <f t="shared" si="4"/>
        <v>0</v>
      </c>
      <c r="H106" s="26">
        <f t="shared" si="5"/>
        <v>0</v>
      </c>
      <c r="I106" s="24">
        <f t="shared" si="6"/>
        <v>0</v>
      </c>
      <c r="J106" s="24">
        <f t="shared" si="7"/>
        <v>0</v>
      </c>
      <c r="K106" s="24"/>
      <c r="L106" s="24">
        <f t="shared" si="8"/>
        <v>453.6964148</v>
      </c>
      <c r="M106" s="31">
        <f t="shared" si="9"/>
        <v>452.2812705</v>
      </c>
      <c r="N106" s="27">
        <f t="shared" si="10"/>
        <v>1.415144255</v>
      </c>
      <c r="O106" s="24"/>
      <c r="P106" s="28">
        <f t="shared" si="14"/>
        <v>-195.5970761</v>
      </c>
      <c r="Q106" s="27">
        <f t="shared" si="15"/>
        <v>416.3900445</v>
      </c>
      <c r="R106" s="26"/>
      <c r="S106" s="14">
        <f t="shared" si="13"/>
        <v>1.299521497</v>
      </c>
    </row>
    <row r="107">
      <c r="A107" s="11">
        <v>95.0</v>
      </c>
      <c r="B107" s="11">
        <v>1.41980869565217E9</v>
      </c>
      <c r="C107" s="2">
        <v>-102.2592621</v>
      </c>
      <c r="D107" s="24">
        <f t="shared" si="1"/>
        <v>-591304.3478</v>
      </c>
      <c r="E107" s="25">
        <f t="shared" si="2"/>
        <v>123.9699778</v>
      </c>
      <c r="F107" s="24">
        <f t="shared" si="3"/>
        <v>0.0002096551096</v>
      </c>
      <c r="G107" s="24">
        <f t="shared" si="4"/>
        <v>0</v>
      </c>
      <c r="H107" s="26">
        <f t="shared" si="5"/>
        <v>0</v>
      </c>
      <c r="I107" s="24">
        <f t="shared" si="6"/>
        <v>0</v>
      </c>
      <c r="J107" s="24">
        <f t="shared" si="7"/>
        <v>0</v>
      </c>
      <c r="K107" s="24"/>
      <c r="L107" s="24">
        <f t="shared" si="8"/>
        <v>452.0432174</v>
      </c>
      <c r="M107" s="31">
        <f t="shared" si="9"/>
        <v>452.1914656</v>
      </c>
      <c r="N107" s="27">
        <f t="shared" si="10"/>
        <v>-0.1482481139</v>
      </c>
      <c r="O107" s="24"/>
      <c r="P107" s="28">
        <f t="shared" si="14"/>
        <v>-196.5153723</v>
      </c>
      <c r="Q107" s="27">
        <f t="shared" si="15"/>
        <v>417.0664807</v>
      </c>
      <c r="R107" s="26"/>
      <c r="S107" s="14">
        <f t="shared" si="13"/>
        <v>-0.1361356694</v>
      </c>
    </row>
    <row r="108">
      <c r="A108" s="11">
        <v>96.0</v>
      </c>
      <c r="B108" s="11">
        <v>1.41981304347826E9</v>
      </c>
      <c r="C108" s="2">
        <v>-102.2404938</v>
      </c>
      <c r="D108" s="24">
        <f t="shared" si="1"/>
        <v>-586956.5217</v>
      </c>
      <c r="E108" s="25">
        <f t="shared" si="2"/>
        <v>123.0516817</v>
      </c>
      <c r="F108" s="24">
        <f t="shared" si="3"/>
        <v>0.0002096436059</v>
      </c>
      <c r="G108" s="24">
        <f t="shared" si="4"/>
        <v>0</v>
      </c>
      <c r="H108" s="26">
        <f t="shared" si="5"/>
        <v>0</v>
      </c>
      <c r="I108" s="24">
        <f t="shared" si="6"/>
        <v>0</v>
      </c>
      <c r="J108" s="24">
        <f t="shared" si="7"/>
        <v>0</v>
      </c>
      <c r="K108" s="24"/>
      <c r="L108" s="24">
        <f t="shared" si="8"/>
        <v>454.0009769</v>
      </c>
      <c r="M108" s="31">
        <f t="shared" si="9"/>
        <v>452.1016522</v>
      </c>
      <c r="N108" s="27">
        <f t="shared" si="10"/>
        <v>1.899324698</v>
      </c>
      <c r="O108" s="24"/>
      <c r="P108" s="28">
        <f t="shared" si="14"/>
        <v>-197.4336684</v>
      </c>
      <c r="Q108" s="27">
        <f t="shared" si="15"/>
        <v>411.4325121</v>
      </c>
      <c r="R108" s="26"/>
      <c r="S108" s="14">
        <f t="shared" si="13"/>
        <v>1.744142525</v>
      </c>
    </row>
    <row r="109">
      <c r="A109" s="11">
        <v>97.0</v>
      </c>
      <c r="B109" s="11">
        <v>1.41981739130434E9</v>
      </c>
      <c r="C109" s="2">
        <v>-102.3123779</v>
      </c>
      <c r="D109" s="24">
        <f t="shared" si="1"/>
        <v>-582608.6957</v>
      </c>
      <c r="E109" s="25">
        <f t="shared" si="2"/>
        <v>122.1333856</v>
      </c>
      <c r="F109" s="24">
        <f t="shared" si="3"/>
        <v>0.0002096319305</v>
      </c>
      <c r="G109" s="24">
        <f t="shared" si="4"/>
        <v>0</v>
      </c>
      <c r="H109" s="26">
        <f t="shared" si="5"/>
        <v>0</v>
      </c>
      <c r="I109" s="24">
        <f t="shared" si="6"/>
        <v>0</v>
      </c>
      <c r="J109" s="24">
        <f t="shared" si="7"/>
        <v>0</v>
      </c>
      <c r="K109" s="24"/>
      <c r="L109" s="24">
        <f t="shared" si="8"/>
        <v>446.5482352</v>
      </c>
      <c r="M109" s="31">
        <f t="shared" si="9"/>
        <v>452.0118297</v>
      </c>
      <c r="N109" s="27">
        <f t="shared" si="10"/>
        <v>-5.463594497</v>
      </c>
      <c r="O109" s="24"/>
      <c r="P109" s="28">
        <f t="shared" si="14"/>
        <v>-198.3519645</v>
      </c>
      <c r="Q109" s="27">
        <f t="shared" si="15"/>
        <v>413.1243917</v>
      </c>
      <c r="R109" s="26"/>
      <c r="S109" s="14">
        <f t="shared" si="13"/>
        <v>-5.017197698</v>
      </c>
    </row>
    <row r="110">
      <c r="A110" s="11">
        <v>98.0</v>
      </c>
      <c r="B110" s="11">
        <v>1.41982173913043E9</v>
      </c>
      <c r="C110" s="2">
        <v>-102.214386</v>
      </c>
      <c r="D110" s="24">
        <f t="shared" si="1"/>
        <v>-578260.8696</v>
      </c>
      <c r="E110" s="25">
        <f t="shared" si="2"/>
        <v>121.2150894</v>
      </c>
      <c r="F110" s="24">
        <f t="shared" si="3"/>
        <v>0.0002096200795</v>
      </c>
      <c r="G110" s="24">
        <f t="shared" si="4"/>
        <v>0</v>
      </c>
      <c r="H110" s="26">
        <f t="shared" si="5"/>
        <v>0</v>
      </c>
      <c r="I110" s="24">
        <f t="shared" si="6"/>
        <v>0</v>
      </c>
      <c r="J110" s="24">
        <f t="shared" si="7"/>
        <v>0</v>
      </c>
      <c r="K110" s="24"/>
      <c r="L110" s="24">
        <f t="shared" si="8"/>
        <v>456.7384433</v>
      </c>
      <c r="M110" s="31">
        <f t="shared" si="9"/>
        <v>451.9219973</v>
      </c>
      <c r="N110" s="27">
        <f t="shared" si="10"/>
        <v>4.816446004</v>
      </c>
      <c r="O110" s="24"/>
      <c r="P110" s="28">
        <f t="shared" si="14"/>
        <v>-199.2702607</v>
      </c>
      <c r="Q110" s="27">
        <f t="shared" si="15"/>
        <v>421.3303144</v>
      </c>
      <c r="R110" s="26"/>
      <c r="S110" s="14">
        <f t="shared" si="13"/>
        <v>4.422923729</v>
      </c>
    </row>
    <row r="111">
      <c r="A111" s="11">
        <v>99.0</v>
      </c>
      <c r="B111" s="11">
        <v>1.41982608695652E9</v>
      </c>
      <c r="C111" s="2">
        <v>-102.2871246</v>
      </c>
      <c r="D111" s="24">
        <f t="shared" si="1"/>
        <v>-573913.0435</v>
      </c>
      <c r="E111" s="25">
        <f t="shared" si="2"/>
        <v>120.2967933</v>
      </c>
      <c r="F111" s="24">
        <f t="shared" si="3"/>
        <v>0.000209608049</v>
      </c>
      <c r="G111" s="24">
        <f t="shared" si="4"/>
        <v>0</v>
      </c>
      <c r="H111" s="26">
        <f t="shared" si="5"/>
        <v>0</v>
      </c>
      <c r="I111" s="24">
        <f t="shared" si="6"/>
        <v>0</v>
      </c>
      <c r="J111" s="24">
        <f t="shared" si="7"/>
        <v>0</v>
      </c>
      <c r="K111" s="24"/>
      <c r="L111" s="24">
        <f t="shared" si="8"/>
        <v>449.1523822</v>
      </c>
      <c r="M111" s="31">
        <f t="shared" si="9"/>
        <v>451.8321542</v>
      </c>
      <c r="N111" s="27">
        <f t="shared" si="10"/>
        <v>-2.679772013</v>
      </c>
      <c r="O111" s="24"/>
      <c r="P111" s="28">
        <f t="shared" si="14"/>
        <v>-200.1885568</v>
      </c>
      <c r="Q111" s="27">
        <f t="shared" si="15"/>
        <v>420.652871</v>
      </c>
      <c r="R111" s="26"/>
      <c r="S111" s="14">
        <f t="shared" si="13"/>
        <v>-2.460824276</v>
      </c>
    </row>
    <row r="112">
      <c r="A112" s="11">
        <v>100.0</v>
      </c>
      <c r="B112" s="11">
        <v>1.4198304347826E9</v>
      </c>
      <c r="C112" s="2">
        <v>-102.3163757</v>
      </c>
      <c r="D112" s="24">
        <f t="shared" si="1"/>
        <v>-569565.2174</v>
      </c>
      <c r="E112" s="25">
        <f t="shared" si="2"/>
        <v>119.3784972</v>
      </c>
      <c r="F112" s="24">
        <f t="shared" si="3"/>
        <v>0.0002095958347</v>
      </c>
      <c r="G112" s="24">
        <f t="shared" si="4"/>
        <v>0</v>
      </c>
      <c r="H112" s="26">
        <f t="shared" si="5"/>
        <v>0</v>
      </c>
      <c r="I112" s="24">
        <f t="shared" si="6"/>
        <v>0</v>
      </c>
      <c r="J112" s="24">
        <f t="shared" si="7"/>
        <v>0</v>
      </c>
      <c r="K112" s="24"/>
      <c r="L112" s="24">
        <f t="shared" si="8"/>
        <v>446.1373645</v>
      </c>
      <c r="M112" s="31">
        <f t="shared" si="9"/>
        <v>451.7422995</v>
      </c>
      <c r="N112" s="27">
        <f t="shared" si="10"/>
        <v>-5.604935037</v>
      </c>
      <c r="O112" s="24"/>
      <c r="P112" s="28">
        <f t="shared" si="14"/>
        <v>-201.1068529</v>
      </c>
      <c r="Q112" s="27">
        <f t="shared" si="15"/>
        <v>412.1247981</v>
      </c>
      <c r="R112" s="26"/>
      <c r="S112" s="14">
        <f t="shared" si="13"/>
        <v>-5.146990169</v>
      </c>
      <c r="U112" s="21"/>
      <c r="V112" s="21"/>
    </row>
    <row r="113">
      <c r="A113" s="11">
        <v>101.0</v>
      </c>
      <c r="B113" s="11">
        <v>1.41983478260869E9</v>
      </c>
      <c r="C113" s="2">
        <v>-102.3301086</v>
      </c>
      <c r="D113" s="24">
        <f t="shared" si="1"/>
        <v>-565217.3913</v>
      </c>
      <c r="E113" s="25">
        <f t="shared" si="2"/>
        <v>118.460201</v>
      </c>
      <c r="F113" s="24">
        <f t="shared" si="3"/>
        <v>0.0002095834326</v>
      </c>
      <c r="G113" s="24">
        <f t="shared" si="4"/>
        <v>0</v>
      </c>
      <c r="H113" s="26">
        <f t="shared" si="5"/>
        <v>0</v>
      </c>
      <c r="I113" s="24">
        <f t="shared" si="6"/>
        <v>0</v>
      </c>
      <c r="J113" s="24">
        <f t="shared" si="7"/>
        <v>0</v>
      </c>
      <c r="K113" s="24"/>
      <c r="L113" s="24">
        <f t="shared" si="8"/>
        <v>444.728854</v>
      </c>
      <c r="M113" s="31">
        <f t="shared" si="9"/>
        <v>451.6524325</v>
      </c>
      <c r="N113" s="27">
        <f t="shared" si="10"/>
        <v>-6.923578539</v>
      </c>
      <c r="O113" s="24"/>
      <c r="P113" s="28">
        <f t="shared" si="14"/>
        <v>-202.0251491</v>
      </c>
      <c r="Q113" s="27">
        <f t="shared" si="15"/>
        <v>414.0842169</v>
      </c>
      <c r="R113" s="26"/>
      <c r="S113" s="14">
        <f t="shared" si="13"/>
        <v>-6.357895398</v>
      </c>
      <c r="U113" s="21"/>
      <c r="V113" s="21"/>
    </row>
    <row r="114">
      <c r="A114" s="11">
        <v>102.0</v>
      </c>
      <c r="B114" s="11">
        <v>1.41983913043478E9</v>
      </c>
      <c r="C114" s="2">
        <v>-102.2394028</v>
      </c>
      <c r="D114" s="24">
        <f t="shared" si="1"/>
        <v>-560869.5652</v>
      </c>
      <c r="E114" s="25">
        <f t="shared" si="2"/>
        <v>117.5419049</v>
      </c>
      <c r="F114" s="24">
        <f t="shared" si="3"/>
        <v>0.0002095708382</v>
      </c>
      <c r="G114" s="24">
        <f t="shared" si="4"/>
        <v>0</v>
      </c>
      <c r="H114" s="26">
        <f t="shared" si="5"/>
        <v>0</v>
      </c>
      <c r="I114" s="24">
        <f t="shared" si="6"/>
        <v>0</v>
      </c>
      <c r="J114" s="24">
        <f t="shared" si="7"/>
        <v>0</v>
      </c>
      <c r="K114" s="24"/>
      <c r="L114" s="24">
        <f t="shared" si="8"/>
        <v>454.1150418</v>
      </c>
      <c r="M114" s="31">
        <f t="shared" si="9"/>
        <v>451.5625525</v>
      </c>
      <c r="N114" s="27">
        <f t="shared" si="10"/>
        <v>2.552489281</v>
      </c>
      <c r="O114" s="24"/>
      <c r="P114" s="28">
        <f t="shared" si="14"/>
        <v>-202.9434452</v>
      </c>
      <c r="Q114" s="27">
        <f t="shared" si="15"/>
        <v>413.6167401</v>
      </c>
      <c r="R114" s="26"/>
      <c r="S114" s="14">
        <f t="shared" si="13"/>
        <v>2.343941031</v>
      </c>
      <c r="U114" s="21"/>
      <c r="V114" s="21"/>
    </row>
    <row r="115">
      <c r="A115" s="11">
        <v>103.0</v>
      </c>
      <c r="B115" s="11">
        <v>1.41984347826087E9</v>
      </c>
      <c r="C115" s="2">
        <v>-102.2612915</v>
      </c>
      <c r="D115" s="24">
        <f t="shared" si="1"/>
        <v>-556521.7391</v>
      </c>
      <c r="E115" s="25">
        <f t="shared" si="2"/>
        <v>116.6236088</v>
      </c>
      <c r="F115" s="24">
        <f t="shared" si="3"/>
        <v>0.000209558047</v>
      </c>
      <c r="G115" s="24">
        <f t="shared" si="4"/>
        <v>0</v>
      </c>
      <c r="H115" s="26">
        <f t="shared" si="5"/>
        <v>0</v>
      </c>
      <c r="I115" s="24">
        <f t="shared" si="6"/>
        <v>0</v>
      </c>
      <c r="J115" s="24">
        <f t="shared" si="7"/>
        <v>0</v>
      </c>
      <c r="K115" s="24"/>
      <c r="L115" s="24">
        <f t="shared" si="8"/>
        <v>451.832033</v>
      </c>
      <c r="M115" s="31">
        <f t="shared" si="9"/>
        <v>451.4726585</v>
      </c>
      <c r="N115" s="27">
        <f t="shared" si="10"/>
        <v>0.3593744989</v>
      </c>
      <c r="O115" s="24"/>
      <c r="P115" s="28">
        <f t="shared" si="14"/>
        <v>-203.8617413</v>
      </c>
      <c r="Q115" s="27">
        <f t="shared" si="15"/>
        <v>412.3442258</v>
      </c>
      <c r="R115" s="26"/>
      <c r="S115" s="14">
        <f t="shared" si="13"/>
        <v>0.3300122126</v>
      </c>
      <c r="U115" s="21"/>
      <c r="V115" s="21"/>
    </row>
    <row r="116">
      <c r="A116" s="11">
        <v>104.0</v>
      </c>
      <c r="B116" s="11">
        <v>1.41984782608695E9</v>
      </c>
      <c r="C116" s="2">
        <v>-102.2518387</v>
      </c>
      <c r="D116" s="24">
        <f t="shared" si="1"/>
        <v>-552173.913</v>
      </c>
      <c r="E116" s="25">
        <f t="shared" si="2"/>
        <v>115.7053126</v>
      </c>
      <c r="F116" s="24">
        <f t="shared" si="3"/>
        <v>0.0002095450544</v>
      </c>
      <c r="G116" s="24">
        <f t="shared" si="4"/>
        <v>0</v>
      </c>
      <c r="H116" s="26">
        <f t="shared" si="5"/>
        <v>0</v>
      </c>
      <c r="I116" s="24">
        <f t="shared" si="6"/>
        <v>0</v>
      </c>
      <c r="J116" s="24">
        <f t="shared" si="7"/>
        <v>0</v>
      </c>
      <c r="K116" s="24"/>
      <c r="L116" s="24">
        <f t="shared" si="8"/>
        <v>452.8165561</v>
      </c>
      <c r="M116" s="31">
        <f t="shared" si="9"/>
        <v>451.3827499</v>
      </c>
      <c r="N116" s="27">
        <f t="shared" si="10"/>
        <v>1.433806177</v>
      </c>
      <c r="O116" s="24"/>
      <c r="P116" s="28">
        <f t="shared" si="14"/>
        <v>-204.7800375</v>
      </c>
      <c r="Q116" s="27">
        <f t="shared" si="15"/>
        <v>411.0062986</v>
      </c>
      <c r="R116" s="26"/>
      <c r="S116" s="14">
        <f t="shared" si="13"/>
        <v>1.316658668</v>
      </c>
      <c r="U116" s="21"/>
      <c r="V116" s="21"/>
    </row>
    <row r="117">
      <c r="A117" s="11">
        <v>105.0</v>
      </c>
      <c r="B117" s="11">
        <v>1.41985217391304E9</v>
      </c>
      <c r="C117" s="2">
        <v>-102.2248993</v>
      </c>
      <c r="D117" s="24">
        <f t="shared" si="1"/>
        <v>-547826.087</v>
      </c>
      <c r="E117" s="25">
        <f t="shared" si="2"/>
        <v>114.7870165</v>
      </c>
      <c r="F117" s="24">
        <f t="shared" si="3"/>
        <v>0.0002095318555</v>
      </c>
      <c r="G117" s="24">
        <f t="shared" si="4"/>
        <v>0</v>
      </c>
      <c r="H117" s="26">
        <f t="shared" si="5"/>
        <v>0</v>
      </c>
      <c r="I117" s="24">
        <f t="shared" si="6"/>
        <v>0</v>
      </c>
      <c r="J117" s="24">
        <f t="shared" si="7"/>
        <v>0</v>
      </c>
      <c r="K117" s="24"/>
      <c r="L117" s="24">
        <f t="shared" si="8"/>
        <v>455.6341187</v>
      </c>
      <c r="M117" s="31">
        <f t="shared" si="9"/>
        <v>451.2928259</v>
      </c>
      <c r="N117" s="27">
        <f t="shared" si="10"/>
        <v>4.341292812</v>
      </c>
      <c r="O117" s="24"/>
      <c r="P117" s="28">
        <f t="shared" si="14"/>
        <v>-205.6983336</v>
      </c>
      <c r="Q117" s="27">
        <f t="shared" si="15"/>
        <v>413.6131115</v>
      </c>
      <c r="R117" s="26"/>
      <c r="S117" s="14">
        <f t="shared" si="13"/>
        <v>3.986592391</v>
      </c>
      <c r="U117" s="21"/>
      <c r="V117" s="21"/>
    </row>
    <row r="118">
      <c r="A118" s="11">
        <v>106.0</v>
      </c>
      <c r="B118" s="11">
        <v>1.41985652173913E9</v>
      </c>
      <c r="C118" s="2">
        <v>-102.3295212</v>
      </c>
      <c r="D118" s="24">
        <f t="shared" si="1"/>
        <v>-543478.2609</v>
      </c>
      <c r="E118" s="25">
        <f t="shared" si="2"/>
        <v>113.8687204</v>
      </c>
      <c r="F118" s="24">
        <f t="shared" si="3"/>
        <v>0.0002095184455</v>
      </c>
      <c r="G118" s="24">
        <f t="shared" si="4"/>
        <v>0</v>
      </c>
      <c r="H118" s="26">
        <f t="shared" si="5"/>
        <v>0</v>
      </c>
      <c r="I118" s="24">
        <f t="shared" si="6"/>
        <v>0</v>
      </c>
      <c r="J118" s="24">
        <f t="shared" si="7"/>
        <v>0</v>
      </c>
      <c r="K118" s="24"/>
      <c r="L118" s="24">
        <f t="shared" si="8"/>
        <v>444.7890094</v>
      </c>
      <c r="M118" s="31">
        <f t="shared" si="9"/>
        <v>451.2028856</v>
      </c>
      <c r="N118" s="27">
        <f t="shared" si="10"/>
        <v>-6.413876246</v>
      </c>
      <c r="O118" s="24"/>
      <c r="P118" s="28">
        <f t="shared" si="14"/>
        <v>-206.6166297</v>
      </c>
      <c r="Q118" s="27">
        <f t="shared" si="15"/>
        <v>416.8789606</v>
      </c>
      <c r="R118" s="26"/>
      <c r="S118" s="14">
        <f t="shared" si="13"/>
        <v>-5.889837752</v>
      </c>
      <c r="U118" s="21"/>
      <c r="V118" s="21"/>
    </row>
    <row r="119">
      <c r="A119" s="11">
        <v>107.0</v>
      </c>
      <c r="B119" s="11">
        <v>1.41986086956521E9</v>
      </c>
      <c r="C119" s="2">
        <v>-102.3060837</v>
      </c>
      <c r="D119" s="24">
        <f t="shared" si="1"/>
        <v>-539130.4348</v>
      </c>
      <c r="E119" s="25">
        <f t="shared" si="2"/>
        <v>112.9504243</v>
      </c>
      <c r="F119" s="24">
        <f t="shared" si="3"/>
        <v>0.0002095048192</v>
      </c>
      <c r="G119" s="24">
        <f t="shared" si="4"/>
        <v>0</v>
      </c>
      <c r="H119" s="26">
        <f t="shared" si="5"/>
        <v>0</v>
      </c>
      <c r="I119" s="24">
        <f t="shared" si="6"/>
        <v>0</v>
      </c>
      <c r="J119" s="24">
        <f t="shared" si="7"/>
        <v>0</v>
      </c>
      <c r="K119" s="24"/>
      <c r="L119" s="24">
        <f t="shared" si="8"/>
        <v>447.1958837</v>
      </c>
      <c r="M119" s="31">
        <f t="shared" si="9"/>
        <v>451.1129283</v>
      </c>
      <c r="N119" s="27">
        <f t="shared" si="10"/>
        <v>-3.917044551</v>
      </c>
      <c r="O119" s="24"/>
      <c r="P119" s="28">
        <f t="shared" si="14"/>
        <v>-207.5349259</v>
      </c>
      <c r="Q119" s="27">
        <f t="shared" si="15"/>
        <v>416.0149592</v>
      </c>
      <c r="R119" s="26"/>
      <c r="S119" s="14">
        <f t="shared" si="13"/>
        <v>-3.597006863</v>
      </c>
      <c r="U119" s="21"/>
      <c r="V119" s="21"/>
    </row>
    <row r="120">
      <c r="A120" s="11">
        <v>108.0</v>
      </c>
      <c r="B120" s="11">
        <v>1.4198652173913E9</v>
      </c>
      <c r="C120" s="2">
        <v>-102.2922897</v>
      </c>
      <c r="D120" s="24">
        <f t="shared" si="1"/>
        <v>-534782.6087</v>
      </c>
      <c r="E120" s="25">
        <f t="shared" si="2"/>
        <v>112.0321281</v>
      </c>
      <c r="F120" s="24">
        <f t="shared" si="3"/>
        <v>0.0002094909713</v>
      </c>
      <c r="G120" s="24">
        <f t="shared" si="4"/>
        <v>0</v>
      </c>
      <c r="H120" s="26">
        <f t="shared" si="5"/>
        <v>0</v>
      </c>
      <c r="I120" s="24">
        <f t="shared" si="6"/>
        <v>0</v>
      </c>
      <c r="J120" s="24">
        <f t="shared" si="7"/>
        <v>0</v>
      </c>
      <c r="K120" s="24"/>
      <c r="L120" s="24">
        <f t="shared" si="8"/>
        <v>448.6185191</v>
      </c>
      <c r="M120" s="31">
        <f t="shared" si="9"/>
        <v>451.0229531</v>
      </c>
      <c r="N120" s="27">
        <f t="shared" si="10"/>
        <v>-2.404434085</v>
      </c>
      <c r="O120" s="24"/>
      <c r="P120" s="28">
        <f t="shared" si="14"/>
        <v>-208.453222</v>
      </c>
      <c r="Q120" s="27">
        <f t="shared" si="15"/>
        <v>412.85305</v>
      </c>
      <c r="R120" s="26"/>
      <c r="S120" s="14">
        <f t="shared" si="13"/>
        <v>-2.207982516</v>
      </c>
      <c r="U120" s="21"/>
      <c r="V120" s="21"/>
    </row>
    <row r="121">
      <c r="A121" s="11">
        <v>109.0</v>
      </c>
      <c r="B121" s="11">
        <v>1.41986956521739E9</v>
      </c>
      <c r="C121" s="2">
        <v>-102.30896</v>
      </c>
      <c r="D121" s="24">
        <f t="shared" si="1"/>
        <v>-530434.7826</v>
      </c>
      <c r="E121" s="25">
        <f t="shared" si="2"/>
        <v>111.113832</v>
      </c>
      <c r="F121" s="24">
        <f t="shared" si="3"/>
        <v>0.0002094768964</v>
      </c>
      <c r="G121" s="24">
        <f t="shared" si="4"/>
        <v>0</v>
      </c>
      <c r="H121" s="26">
        <f t="shared" si="5"/>
        <v>0</v>
      </c>
      <c r="I121" s="24">
        <f t="shared" si="6"/>
        <v>0</v>
      </c>
      <c r="J121" s="24">
        <f t="shared" si="7"/>
        <v>0</v>
      </c>
      <c r="K121" s="24"/>
      <c r="L121" s="24">
        <f t="shared" si="8"/>
        <v>446.8998073</v>
      </c>
      <c r="M121" s="31">
        <f t="shared" si="9"/>
        <v>450.9329594</v>
      </c>
      <c r="N121" s="27">
        <f t="shared" si="10"/>
        <v>-4.033152126</v>
      </c>
      <c r="O121" s="24"/>
      <c r="P121" s="28">
        <f t="shared" si="14"/>
        <v>-209.3715181</v>
      </c>
      <c r="Q121" s="27">
        <f t="shared" si="15"/>
        <v>408.0336755</v>
      </c>
      <c r="R121" s="26"/>
      <c r="S121" s="14">
        <f t="shared" si="13"/>
        <v>-3.703628</v>
      </c>
      <c r="U121" s="21"/>
      <c r="V121" s="21"/>
    </row>
    <row r="122">
      <c r="A122" s="11">
        <v>110.0</v>
      </c>
      <c r="B122" s="11">
        <v>1.41987391304347E9</v>
      </c>
      <c r="C122" s="2">
        <v>-102.3065567</v>
      </c>
      <c r="D122" s="24">
        <f t="shared" si="1"/>
        <v>-526086.9565</v>
      </c>
      <c r="E122" s="25">
        <f t="shared" si="2"/>
        <v>110.1955359</v>
      </c>
      <c r="F122" s="24">
        <f t="shared" si="3"/>
        <v>0.0002094625888</v>
      </c>
      <c r="G122" s="24">
        <f t="shared" si="4"/>
        <v>0</v>
      </c>
      <c r="H122" s="26">
        <f t="shared" si="5"/>
        <v>0</v>
      </c>
      <c r="I122" s="24">
        <f t="shared" si="6"/>
        <v>0</v>
      </c>
      <c r="J122" s="24">
        <f t="shared" si="7"/>
        <v>0</v>
      </c>
      <c r="K122" s="24"/>
      <c r="L122" s="24">
        <f t="shared" si="8"/>
        <v>447.1471813</v>
      </c>
      <c r="M122" s="31">
        <f t="shared" si="9"/>
        <v>450.8429463</v>
      </c>
      <c r="N122" s="27">
        <f t="shared" si="10"/>
        <v>-3.69576502</v>
      </c>
      <c r="O122" s="24"/>
      <c r="P122" s="28">
        <f t="shared" si="14"/>
        <v>-210.2898143</v>
      </c>
      <c r="Q122" s="27">
        <f t="shared" si="15"/>
        <v>407.5694538</v>
      </c>
      <c r="R122" s="26"/>
      <c r="S122" s="14">
        <f t="shared" si="13"/>
        <v>-3.393806726</v>
      </c>
      <c r="U122" s="21"/>
      <c r="V122" s="21"/>
    </row>
    <row r="123">
      <c r="A123" s="11">
        <v>111.0</v>
      </c>
      <c r="B123" s="11">
        <v>1.41987826086956E9</v>
      </c>
      <c r="C123" s="2">
        <v>-102.2369308</v>
      </c>
      <c r="D123" s="24">
        <f t="shared" si="1"/>
        <v>-521739.1304</v>
      </c>
      <c r="E123" s="25">
        <f t="shared" si="2"/>
        <v>109.2772397</v>
      </c>
      <c r="F123" s="24">
        <f t="shared" si="3"/>
        <v>0.0002094480428</v>
      </c>
      <c r="G123" s="24">
        <f t="shared" si="4"/>
        <v>0</v>
      </c>
      <c r="H123" s="26">
        <f t="shared" si="5"/>
        <v>0</v>
      </c>
      <c r="I123" s="24">
        <f t="shared" si="6"/>
        <v>0</v>
      </c>
      <c r="J123" s="24">
        <f t="shared" si="7"/>
        <v>0</v>
      </c>
      <c r="K123" s="24"/>
      <c r="L123" s="24">
        <f t="shared" si="8"/>
        <v>454.3735972</v>
      </c>
      <c r="M123" s="31">
        <f t="shared" si="9"/>
        <v>450.752913</v>
      </c>
      <c r="N123" s="27">
        <f t="shared" si="10"/>
        <v>3.620684207</v>
      </c>
      <c r="O123" s="24"/>
      <c r="P123" s="28">
        <f t="shared" si="14"/>
        <v>-211.2081104</v>
      </c>
      <c r="Q123" s="27">
        <f t="shared" si="15"/>
        <v>415.1294054</v>
      </c>
      <c r="R123" s="26"/>
      <c r="S123" s="14">
        <f t="shared" si="13"/>
        <v>3.324860297</v>
      </c>
      <c r="U123" s="21"/>
      <c r="V123" s="21"/>
    </row>
    <row r="124">
      <c r="A124" s="11">
        <v>112.0</v>
      </c>
      <c r="B124" s="11">
        <v>1.41988260869565E9</v>
      </c>
      <c r="C124" s="2">
        <v>-102.3022079</v>
      </c>
      <c r="D124" s="24">
        <f t="shared" si="1"/>
        <v>-517391.3043</v>
      </c>
      <c r="E124" s="25">
        <f t="shared" si="2"/>
        <v>108.3589436</v>
      </c>
      <c r="F124" s="24">
        <f t="shared" si="3"/>
        <v>0.0002094332523</v>
      </c>
      <c r="G124" s="24">
        <f t="shared" si="4"/>
        <v>0</v>
      </c>
      <c r="H124" s="26">
        <f t="shared" si="5"/>
        <v>0</v>
      </c>
      <c r="I124" s="24">
        <f t="shared" si="6"/>
        <v>0</v>
      </c>
      <c r="J124" s="24">
        <f t="shared" si="7"/>
        <v>0</v>
      </c>
      <c r="K124" s="24"/>
      <c r="L124" s="24">
        <f t="shared" si="8"/>
        <v>447.5951555</v>
      </c>
      <c r="M124" s="31">
        <f t="shared" si="9"/>
        <v>450.6628587</v>
      </c>
      <c r="N124" s="27">
        <f t="shared" si="10"/>
        <v>-3.067703166</v>
      </c>
      <c r="O124" s="24"/>
      <c r="P124" s="28"/>
      <c r="Q124" s="27"/>
      <c r="R124" s="26"/>
      <c r="S124" s="14">
        <f t="shared" si="13"/>
        <v>-2.817059953</v>
      </c>
      <c r="U124" s="21"/>
      <c r="V124" s="21"/>
    </row>
    <row r="125">
      <c r="A125" s="11">
        <v>113.0</v>
      </c>
      <c r="B125" s="11">
        <v>1.41988695652173E9</v>
      </c>
      <c r="C125" s="2">
        <v>-102.2057724</v>
      </c>
      <c r="D125" s="24">
        <f t="shared" si="1"/>
        <v>-513043.4783</v>
      </c>
      <c r="E125" s="25">
        <f t="shared" si="2"/>
        <v>107.4406475</v>
      </c>
      <c r="F125" s="24">
        <f t="shared" si="3"/>
        <v>0.0002094182111</v>
      </c>
      <c r="G125" s="24">
        <f t="shared" si="4"/>
        <v>0</v>
      </c>
      <c r="H125" s="26">
        <f t="shared" si="5"/>
        <v>0</v>
      </c>
      <c r="I125" s="24">
        <f t="shared" si="6"/>
        <v>0</v>
      </c>
      <c r="J125" s="24">
        <f t="shared" si="7"/>
        <v>0</v>
      </c>
      <c r="K125" s="24"/>
      <c r="L125" s="24">
        <f t="shared" si="8"/>
        <v>457.6452166</v>
      </c>
      <c r="M125" s="31">
        <f t="shared" si="9"/>
        <v>450.5727827</v>
      </c>
      <c r="N125" s="27">
        <f t="shared" si="10"/>
        <v>7.072433908</v>
      </c>
      <c r="O125" s="24"/>
      <c r="P125" s="24"/>
      <c r="Q125" s="24"/>
      <c r="R125" s="26"/>
      <c r="S125" s="14">
        <f t="shared" si="13"/>
        <v>6.494588707</v>
      </c>
      <c r="U125" s="21"/>
      <c r="V125" s="21"/>
    </row>
    <row r="126">
      <c r="A126" s="11">
        <v>114.0</v>
      </c>
      <c r="B126" s="11">
        <v>1.41989130434782E9</v>
      </c>
      <c r="C126" s="2">
        <v>-102.3095856</v>
      </c>
      <c r="D126" s="24">
        <f t="shared" si="1"/>
        <v>-508695.6522</v>
      </c>
      <c r="E126" s="25">
        <f t="shared" si="2"/>
        <v>106.5223513</v>
      </c>
      <c r="F126" s="24">
        <f t="shared" si="3"/>
        <v>0.0002094029129</v>
      </c>
      <c r="G126" s="24">
        <f t="shared" si="4"/>
        <v>0</v>
      </c>
      <c r="H126" s="26">
        <f t="shared" si="5"/>
        <v>0</v>
      </c>
      <c r="I126" s="24">
        <f t="shared" si="6"/>
        <v>0</v>
      </c>
      <c r="J126" s="24">
        <f t="shared" si="7"/>
        <v>0</v>
      </c>
      <c r="K126" s="24"/>
      <c r="L126" s="24">
        <f t="shared" si="8"/>
        <v>446.8354361</v>
      </c>
      <c r="M126" s="31">
        <f t="shared" si="9"/>
        <v>450.4826841</v>
      </c>
      <c r="N126" s="27">
        <f t="shared" si="10"/>
        <v>-3.647247993</v>
      </c>
      <c r="O126" s="24"/>
      <c r="P126" s="24"/>
      <c r="Q126" s="24"/>
      <c r="R126" s="26"/>
      <c r="S126" s="14">
        <f t="shared" si="13"/>
        <v>-3.349253728</v>
      </c>
      <c r="U126" s="21"/>
      <c r="V126" s="21"/>
    </row>
    <row r="127">
      <c r="A127" s="11">
        <v>115.0</v>
      </c>
      <c r="B127" s="11">
        <v>1.41989565217391E9</v>
      </c>
      <c r="C127" s="2">
        <v>-102.2838287</v>
      </c>
      <c r="D127" s="24">
        <f t="shared" si="1"/>
        <v>-504347.8261</v>
      </c>
      <c r="E127" s="25">
        <f t="shared" si="2"/>
        <v>105.6040552</v>
      </c>
      <c r="F127" s="24">
        <f t="shared" si="3"/>
        <v>0.0002093873508</v>
      </c>
      <c r="G127" s="24">
        <f t="shared" si="4"/>
        <v>0</v>
      </c>
      <c r="H127" s="26">
        <f t="shared" si="5"/>
        <v>0</v>
      </c>
      <c r="I127" s="24">
        <f t="shared" si="6"/>
        <v>0</v>
      </c>
      <c r="J127" s="24">
        <f t="shared" si="7"/>
        <v>0</v>
      </c>
      <c r="K127" s="24"/>
      <c r="L127" s="24">
        <f t="shared" si="8"/>
        <v>449.4933773</v>
      </c>
      <c r="M127" s="31">
        <f t="shared" si="9"/>
        <v>450.3925622</v>
      </c>
      <c r="N127" s="27">
        <f t="shared" si="10"/>
        <v>-0.8991848999</v>
      </c>
      <c r="O127" s="24"/>
      <c r="P127" s="24"/>
      <c r="Q127" s="24"/>
      <c r="R127" s="26"/>
      <c r="S127" s="14">
        <f t="shared" si="13"/>
        <v>-0.8257180144</v>
      </c>
      <c r="U127" s="21"/>
      <c r="V127" s="21"/>
    </row>
    <row r="128">
      <c r="A128" s="11">
        <v>116.0</v>
      </c>
      <c r="B128" s="11">
        <v>1.4199E9</v>
      </c>
      <c r="C128" s="2">
        <v>-102.3086395</v>
      </c>
      <c r="D128" s="24">
        <f t="shared" si="1"/>
        <v>-500000</v>
      </c>
      <c r="E128" s="25">
        <f t="shared" si="2"/>
        <v>104.6857591</v>
      </c>
      <c r="F128" s="24">
        <f t="shared" si="3"/>
        <v>0.0002093715181</v>
      </c>
      <c r="G128" s="24">
        <f t="shared" si="4"/>
        <v>0</v>
      </c>
      <c r="H128" s="26">
        <f t="shared" si="5"/>
        <v>0</v>
      </c>
      <c r="I128" s="24">
        <f t="shared" si="6"/>
        <v>0</v>
      </c>
      <c r="J128" s="24">
        <f t="shared" si="7"/>
        <v>0</v>
      </c>
      <c r="K128" s="24"/>
      <c r="L128" s="24">
        <f t="shared" si="8"/>
        <v>446.9327887</v>
      </c>
      <c r="M128" s="31">
        <f t="shared" si="9"/>
        <v>450.3024162</v>
      </c>
      <c r="N128" s="27">
        <f t="shared" si="10"/>
        <v>-3.369627475</v>
      </c>
      <c r="O128" s="24"/>
      <c r="P128" s="24"/>
      <c r="Q128" s="24"/>
      <c r="R128" s="26"/>
      <c r="S128" s="14">
        <f t="shared" si="13"/>
        <v>-3.09431588</v>
      </c>
      <c r="U128" s="21"/>
      <c r="V128" s="21"/>
    </row>
    <row r="129">
      <c r="A129" s="11">
        <v>117.0</v>
      </c>
      <c r="B129" s="11">
        <v>1.41990434782608E9</v>
      </c>
      <c r="C129" s="2">
        <v>-102.2319641</v>
      </c>
      <c r="D129" s="24">
        <f t="shared" si="1"/>
        <v>-495652.1739</v>
      </c>
      <c r="E129" s="25">
        <f t="shared" si="2"/>
        <v>103.7674629</v>
      </c>
      <c r="F129" s="24">
        <f t="shared" si="3"/>
        <v>0.0002093554077</v>
      </c>
      <c r="G129" s="24">
        <f t="shared" si="4"/>
        <v>0</v>
      </c>
      <c r="H129" s="26">
        <f t="shared" si="5"/>
        <v>0</v>
      </c>
      <c r="I129" s="24">
        <f t="shared" si="6"/>
        <v>0</v>
      </c>
      <c r="J129" s="24">
        <f t="shared" si="7"/>
        <v>0</v>
      </c>
      <c r="K129" s="24"/>
      <c r="L129" s="24">
        <f t="shared" si="8"/>
        <v>454.8935274</v>
      </c>
      <c r="M129" s="31">
        <f t="shared" si="9"/>
        <v>450.2122453</v>
      </c>
      <c r="N129" s="27">
        <f t="shared" si="10"/>
        <v>4.681282093</v>
      </c>
      <c r="O129" s="24"/>
      <c r="P129" s="24"/>
      <c r="Q129" s="24"/>
      <c r="R129" s="26"/>
      <c r="S129" s="14">
        <f t="shared" si="13"/>
        <v>4.298803243</v>
      </c>
      <c r="U129" s="21"/>
      <c r="V129" s="21"/>
    </row>
    <row r="130">
      <c r="A130" s="11">
        <v>118.0</v>
      </c>
      <c r="B130" s="11">
        <v>1.41990869565217E9</v>
      </c>
      <c r="C130" s="2">
        <v>-102.2875595</v>
      </c>
      <c r="D130" s="24">
        <f t="shared" si="1"/>
        <v>-491304.3478</v>
      </c>
      <c r="E130" s="25">
        <f t="shared" si="2"/>
        <v>102.8491668</v>
      </c>
      <c r="F130" s="24">
        <f t="shared" si="3"/>
        <v>0.0002093390121</v>
      </c>
      <c r="G130" s="24">
        <f t="shared" si="4"/>
        <v>0</v>
      </c>
      <c r="H130" s="26">
        <f t="shared" si="5"/>
        <v>0</v>
      </c>
      <c r="I130" s="24">
        <f t="shared" si="6"/>
        <v>0</v>
      </c>
      <c r="J130" s="24">
        <f t="shared" si="7"/>
        <v>0</v>
      </c>
      <c r="K130" s="24"/>
      <c r="L130" s="24">
        <f t="shared" si="8"/>
        <v>449.1074065</v>
      </c>
      <c r="M130" s="31">
        <f t="shared" si="9"/>
        <v>450.1220487</v>
      </c>
      <c r="N130" s="27">
        <f t="shared" si="10"/>
        <v>-1.014642164</v>
      </c>
      <c r="O130" s="24"/>
      <c r="P130" s="24"/>
      <c r="Q130" s="24"/>
      <c r="R130" s="26"/>
      <c r="S130" s="14">
        <f t="shared" si="13"/>
        <v>-0.9317419734</v>
      </c>
      <c r="U130" s="21"/>
      <c r="V130" s="21"/>
    </row>
    <row r="131">
      <c r="A131" s="11">
        <v>119.0</v>
      </c>
      <c r="B131" s="11">
        <v>1.41991304347826E9</v>
      </c>
      <c r="C131" s="2">
        <v>-102.3129044</v>
      </c>
      <c r="D131" s="24">
        <f t="shared" si="1"/>
        <v>-486956.5217</v>
      </c>
      <c r="E131" s="25">
        <f t="shared" si="2"/>
        <v>101.9308707</v>
      </c>
      <c r="F131" s="24">
        <f t="shared" si="3"/>
        <v>0.0002093223237</v>
      </c>
      <c r="G131" s="24">
        <f t="shared" si="4"/>
        <v>0</v>
      </c>
      <c r="H131" s="26">
        <f t="shared" si="5"/>
        <v>0</v>
      </c>
      <c r="I131" s="24">
        <f t="shared" si="6"/>
        <v>0</v>
      </c>
      <c r="J131" s="24">
        <f t="shared" si="7"/>
        <v>0</v>
      </c>
      <c r="K131" s="24"/>
      <c r="L131" s="24">
        <f t="shared" si="8"/>
        <v>446.494103</v>
      </c>
      <c r="M131" s="31">
        <f t="shared" si="9"/>
        <v>450.0318256</v>
      </c>
      <c r="N131" s="27">
        <f t="shared" si="10"/>
        <v>-3.537722643</v>
      </c>
      <c r="O131" s="24"/>
      <c r="P131" s="24"/>
      <c r="Q131" s="24"/>
      <c r="R131" s="26"/>
      <c r="S131" s="14">
        <f t="shared" si="13"/>
        <v>-3.248677022</v>
      </c>
      <c r="U131" s="21"/>
      <c r="V131" s="21"/>
    </row>
    <row r="132">
      <c r="A132" s="11">
        <v>120.0</v>
      </c>
      <c r="B132" s="11">
        <v>1.41991739130434E9</v>
      </c>
      <c r="C132" s="2">
        <v>-102.2262955</v>
      </c>
      <c r="D132" s="24">
        <f t="shared" si="1"/>
        <v>-482608.6957</v>
      </c>
      <c r="E132" s="25">
        <f t="shared" si="2"/>
        <v>101.0125745</v>
      </c>
      <c r="F132" s="24">
        <f t="shared" si="3"/>
        <v>0.0002093053346</v>
      </c>
      <c r="G132" s="24">
        <f t="shared" si="4"/>
        <v>0</v>
      </c>
      <c r="H132" s="26">
        <f t="shared" si="5"/>
        <v>0</v>
      </c>
      <c r="I132" s="24">
        <f t="shared" si="6"/>
        <v>0</v>
      </c>
      <c r="J132" s="24">
        <f t="shared" si="7"/>
        <v>0</v>
      </c>
      <c r="K132" s="24"/>
      <c r="L132" s="24">
        <f t="shared" si="8"/>
        <v>455.4876618</v>
      </c>
      <c r="M132" s="31">
        <f t="shared" si="9"/>
        <v>449.9415753</v>
      </c>
      <c r="N132" s="27">
        <f t="shared" si="10"/>
        <v>5.546086543</v>
      </c>
      <c r="O132" s="24"/>
      <c r="P132" s="24"/>
      <c r="Q132" s="24"/>
      <c r="R132" s="26"/>
      <c r="S132" s="14">
        <f t="shared" si="13"/>
        <v>5.092949824</v>
      </c>
      <c r="U132" s="21"/>
      <c r="V132" s="21"/>
    </row>
    <row r="133">
      <c r="A133" s="11">
        <v>121.0</v>
      </c>
      <c r="B133" s="11">
        <v>1.41992173913043E9</v>
      </c>
      <c r="C133" s="2">
        <v>-102.2616348</v>
      </c>
      <c r="D133" s="24">
        <f t="shared" si="1"/>
        <v>-478260.8696</v>
      </c>
      <c r="E133" s="25">
        <f t="shared" si="2"/>
        <v>100.0942784</v>
      </c>
      <c r="F133" s="24">
        <f t="shared" si="3"/>
        <v>0.0002092880367</v>
      </c>
      <c r="G133" s="24">
        <f t="shared" si="4"/>
        <v>0</v>
      </c>
      <c r="H133" s="26">
        <f t="shared" si="5"/>
        <v>0</v>
      </c>
      <c r="I133" s="24">
        <f t="shared" si="6"/>
        <v>0</v>
      </c>
      <c r="J133" s="24">
        <f t="shared" si="7"/>
        <v>0</v>
      </c>
      <c r="K133" s="24"/>
      <c r="L133" s="24">
        <f t="shared" si="8"/>
        <v>451.7963182</v>
      </c>
      <c r="M133" s="31">
        <f t="shared" si="9"/>
        <v>449.8512969</v>
      </c>
      <c r="N133" s="27">
        <f t="shared" si="10"/>
        <v>1.945021257</v>
      </c>
      <c r="O133" s="24"/>
      <c r="P133" s="24"/>
      <c r="Q133" s="24"/>
      <c r="R133" s="26"/>
      <c r="S133" s="14">
        <f t="shared" si="13"/>
        <v>1.786105494</v>
      </c>
      <c r="U133" s="21"/>
      <c r="V133" s="21"/>
    </row>
    <row r="134">
      <c r="A134" s="11">
        <v>122.0</v>
      </c>
      <c r="B134" s="11">
        <v>1.41992608695652E9</v>
      </c>
      <c r="C134" s="2">
        <v>-102.2531357</v>
      </c>
      <c r="D134" s="24">
        <f t="shared" si="1"/>
        <v>-473913.0435</v>
      </c>
      <c r="E134" s="25">
        <f t="shared" si="2"/>
        <v>99.17598227</v>
      </c>
      <c r="F134" s="24">
        <f t="shared" si="3"/>
        <v>0.0002092704213</v>
      </c>
      <c r="G134" s="24">
        <f t="shared" si="4"/>
        <v>0</v>
      </c>
      <c r="H134" s="26">
        <f t="shared" si="5"/>
        <v>0</v>
      </c>
      <c r="I134" s="24">
        <f t="shared" si="6"/>
        <v>0</v>
      </c>
      <c r="J134" s="24">
        <f t="shared" si="7"/>
        <v>0</v>
      </c>
      <c r="K134" s="24"/>
      <c r="L134" s="24">
        <f t="shared" si="8"/>
        <v>452.6813448</v>
      </c>
      <c r="M134" s="31">
        <f t="shared" si="9"/>
        <v>449.7609897</v>
      </c>
      <c r="N134" s="27">
        <f t="shared" si="10"/>
        <v>2.920355125</v>
      </c>
      <c r="O134" s="24"/>
      <c r="P134" s="24"/>
      <c r="Q134" s="24"/>
      <c r="R134" s="26"/>
      <c r="S134" s="14">
        <f t="shared" si="13"/>
        <v>2.681750818</v>
      </c>
      <c r="U134" s="21"/>
      <c r="V134" s="21"/>
    </row>
    <row r="135">
      <c r="A135" s="11">
        <v>123.0</v>
      </c>
      <c r="B135" s="11">
        <v>1.4199304347826E9</v>
      </c>
      <c r="C135" s="2">
        <v>-102.2348328</v>
      </c>
      <c r="D135" s="24">
        <f t="shared" si="1"/>
        <v>-469565.2174</v>
      </c>
      <c r="E135" s="25">
        <f t="shared" si="2"/>
        <v>98.25768614</v>
      </c>
      <c r="F135" s="24">
        <f t="shared" si="3"/>
        <v>0.0002092524797</v>
      </c>
      <c r="G135" s="24">
        <f t="shared" si="4"/>
        <v>0</v>
      </c>
      <c r="H135" s="26">
        <f t="shared" si="5"/>
        <v>0</v>
      </c>
      <c r="I135" s="24">
        <f t="shared" si="6"/>
        <v>0</v>
      </c>
      <c r="J135" s="24">
        <f t="shared" si="7"/>
        <v>0</v>
      </c>
      <c r="K135" s="24"/>
      <c r="L135" s="24">
        <f t="shared" si="8"/>
        <v>454.5931501</v>
      </c>
      <c r="M135" s="31">
        <f t="shared" si="9"/>
        <v>449.6706528</v>
      </c>
      <c r="N135" s="27">
        <f t="shared" si="10"/>
        <v>4.922497282</v>
      </c>
      <c r="O135" s="24"/>
      <c r="P135" s="24"/>
      <c r="Q135" s="24"/>
      <c r="R135" s="26"/>
      <c r="S135" s="14">
        <f t="shared" si="13"/>
        <v>4.520310217</v>
      </c>
      <c r="U135" s="21"/>
      <c r="V135" s="21"/>
    </row>
    <row r="136">
      <c r="A136" s="11">
        <v>124.0</v>
      </c>
      <c r="B136" s="11">
        <v>1.41993478260869E9</v>
      </c>
      <c r="C136" s="2">
        <v>-102.2724686</v>
      </c>
      <c r="D136" s="24">
        <f t="shared" si="1"/>
        <v>-465217.3913</v>
      </c>
      <c r="E136" s="25">
        <f t="shared" si="2"/>
        <v>97.33939001</v>
      </c>
      <c r="F136" s="24">
        <f t="shared" si="3"/>
        <v>0.0002092342028</v>
      </c>
      <c r="G136" s="24">
        <f t="shared" si="4"/>
        <v>0</v>
      </c>
      <c r="H136" s="26">
        <f t="shared" si="5"/>
        <v>0</v>
      </c>
      <c r="I136" s="24">
        <f t="shared" si="6"/>
        <v>0</v>
      </c>
      <c r="J136" s="24">
        <f t="shared" si="7"/>
        <v>0</v>
      </c>
      <c r="K136" s="24"/>
      <c r="L136" s="24">
        <f t="shared" si="8"/>
        <v>450.6706831</v>
      </c>
      <c r="M136" s="31">
        <f t="shared" si="9"/>
        <v>449.5802855</v>
      </c>
      <c r="N136" s="27">
        <f t="shared" si="10"/>
        <v>1.090397576</v>
      </c>
      <c r="O136" s="24"/>
      <c r="P136" s="24"/>
      <c r="Q136" s="24"/>
      <c r="R136" s="26"/>
      <c r="S136" s="14">
        <f t="shared" si="13"/>
        <v>1.001307877</v>
      </c>
      <c r="U136" s="21"/>
      <c r="V136" s="21"/>
    </row>
    <row r="137">
      <c r="A137" s="11">
        <v>125.0</v>
      </c>
      <c r="B137" s="11">
        <v>1.41993913043478E9</v>
      </c>
      <c r="C137" s="2">
        <v>-102.3344345</v>
      </c>
      <c r="D137" s="24">
        <f t="shared" si="1"/>
        <v>-460869.5652</v>
      </c>
      <c r="E137" s="25">
        <f t="shared" si="2"/>
        <v>96.42109387</v>
      </c>
      <c r="F137" s="24">
        <f t="shared" si="3"/>
        <v>0.000209215581</v>
      </c>
      <c r="G137" s="24">
        <f t="shared" si="4"/>
        <v>0</v>
      </c>
      <c r="H137" s="26">
        <f t="shared" si="5"/>
        <v>0</v>
      </c>
      <c r="I137" s="24">
        <f t="shared" si="6"/>
        <v>0</v>
      </c>
      <c r="J137" s="24">
        <f t="shared" si="7"/>
        <v>0</v>
      </c>
      <c r="K137" s="24"/>
      <c r="L137" s="24">
        <f t="shared" si="8"/>
        <v>444.2860911</v>
      </c>
      <c r="M137" s="31">
        <f t="shared" si="9"/>
        <v>449.489887</v>
      </c>
      <c r="N137" s="27">
        <f t="shared" si="10"/>
        <v>-5.203795903</v>
      </c>
      <c r="O137" s="24"/>
      <c r="P137" s="24"/>
      <c r="Q137" s="24"/>
      <c r="R137" s="26"/>
      <c r="S137" s="14">
        <f t="shared" si="13"/>
        <v>-4.778625642</v>
      </c>
      <c r="U137" s="21"/>
      <c r="V137" s="21"/>
    </row>
    <row r="138">
      <c r="A138" s="11">
        <v>126.0</v>
      </c>
      <c r="B138" s="11">
        <v>1.41994347826087E9</v>
      </c>
      <c r="C138" s="2">
        <v>-102.2543716</v>
      </c>
      <c r="D138" s="24">
        <f t="shared" si="1"/>
        <v>-456521.7391</v>
      </c>
      <c r="E138" s="25">
        <f t="shared" si="2"/>
        <v>95.50279774</v>
      </c>
      <c r="F138" s="24">
        <f t="shared" si="3"/>
        <v>0.0002091966046</v>
      </c>
      <c r="G138" s="24">
        <f t="shared" si="4"/>
        <v>0</v>
      </c>
      <c r="H138" s="26">
        <f t="shared" si="5"/>
        <v>0</v>
      </c>
      <c r="I138" s="24">
        <f t="shared" si="6"/>
        <v>0</v>
      </c>
      <c r="J138" s="24">
        <f t="shared" si="7"/>
        <v>0</v>
      </c>
      <c r="K138" s="24"/>
      <c r="L138" s="24">
        <f t="shared" si="8"/>
        <v>452.5525406</v>
      </c>
      <c r="M138" s="31">
        <f t="shared" si="9"/>
        <v>449.3994566</v>
      </c>
      <c r="N138" s="27">
        <f t="shared" si="10"/>
        <v>3.153084087</v>
      </c>
      <c r="O138" s="24"/>
      <c r="P138" s="24"/>
      <c r="Q138" s="24"/>
      <c r="R138" s="26"/>
      <c r="S138" s="14">
        <f t="shared" si="13"/>
        <v>2.895464924</v>
      </c>
      <c r="U138" s="21"/>
      <c r="V138" s="21"/>
    </row>
    <row r="139">
      <c r="A139" s="11">
        <v>127.0</v>
      </c>
      <c r="B139" s="11">
        <v>1.41994782608695E9</v>
      </c>
      <c r="C139" s="2">
        <v>-102.2964935</v>
      </c>
      <c r="D139" s="24">
        <f t="shared" si="1"/>
        <v>-452173.913</v>
      </c>
      <c r="E139" s="25">
        <f t="shared" si="2"/>
        <v>94.58450161</v>
      </c>
      <c r="F139" s="24">
        <f t="shared" si="3"/>
        <v>0.0002091772632</v>
      </c>
      <c r="G139" s="24">
        <f t="shared" si="4"/>
        <v>0</v>
      </c>
      <c r="H139" s="26">
        <f t="shared" si="5"/>
        <v>0</v>
      </c>
      <c r="I139" s="24">
        <f t="shared" si="6"/>
        <v>0</v>
      </c>
      <c r="J139" s="24">
        <f t="shared" si="7"/>
        <v>0</v>
      </c>
      <c r="K139" s="24"/>
      <c r="L139" s="24">
        <f t="shared" si="8"/>
        <v>448.1844841</v>
      </c>
      <c r="M139" s="31">
        <f t="shared" si="9"/>
        <v>449.3089933</v>
      </c>
      <c r="N139" s="27">
        <f t="shared" si="10"/>
        <v>-1.124509249</v>
      </c>
      <c r="O139" s="24"/>
      <c r="P139" s="24"/>
      <c r="Q139" s="24"/>
      <c r="R139" s="26"/>
      <c r="S139" s="14">
        <f t="shared" si="13"/>
        <v>-1.032632494</v>
      </c>
      <c r="U139" s="21"/>
      <c r="V139" s="21"/>
    </row>
    <row r="140">
      <c r="A140" s="11">
        <v>128.0</v>
      </c>
      <c r="B140" s="11">
        <v>1.41995217391304E9</v>
      </c>
      <c r="C140" s="2">
        <v>-102.2513657</v>
      </c>
      <c r="D140" s="24">
        <f t="shared" si="1"/>
        <v>-447826.087</v>
      </c>
      <c r="E140" s="25">
        <f t="shared" si="2"/>
        <v>93.66620548</v>
      </c>
      <c r="F140" s="24">
        <f t="shared" si="3"/>
        <v>0.0002091575462</v>
      </c>
      <c r="G140" s="24">
        <f t="shared" si="4"/>
        <v>0</v>
      </c>
      <c r="H140" s="26">
        <f t="shared" si="5"/>
        <v>0</v>
      </c>
      <c r="I140" s="24">
        <f t="shared" si="6"/>
        <v>0</v>
      </c>
      <c r="J140" s="24">
        <f t="shared" si="7"/>
        <v>0</v>
      </c>
      <c r="K140" s="24"/>
      <c r="L140" s="24">
        <f t="shared" si="8"/>
        <v>452.8658761</v>
      </c>
      <c r="M140" s="31">
        <f t="shared" si="9"/>
        <v>449.2184965</v>
      </c>
      <c r="N140" s="27">
        <f t="shared" si="10"/>
        <v>3.647379605</v>
      </c>
      <c r="O140" s="24"/>
      <c r="P140" s="24"/>
      <c r="Q140" s="24"/>
      <c r="R140" s="26"/>
      <c r="S140" s="14">
        <f t="shared" si="13"/>
        <v>3.349374578</v>
      </c>
      <c r="U140" s="21"/>
      <c r="V140" s="21"/>
    </row>
    <row r="141">
      <c r="A141" s="11">
        <v>129.0</v>
      </c>
      <c r="B141" s="11">
        <v>1.41995652173913E9</v>
      </c>
      <c r="C141" s="2">
        <v>-102.2715607</v>
      </c>
      <c r="D141" s="24">
        <f t="shared" si="1"/>
        <v>-443478.2609</v>
      </c>
      <c r="E141" s="25">
        <f t="shared" si="2"/>
        <v>92.74790935</v>
      </c>
      <c r="F141" s="24">
        <f t="shared" si="3"/>
        <v>0.0002091374426</v>
      </c>
      <c r="G141" s="24">
        <f t="shared" si="4"/>
        <v>0</v>
      </c>
      <c r="H141" s="26">
        <f t="shared" si="5"/>
        <v>0</v>
      </c>
      <c r="I141" s="24">
        <f t="shared" si="6"/>
        <v>0</v>
      </c>
      <c r="J141" s="24">
        <f t="shared" si="7"/>
        <v>0</v>
      </c>
      <c r="K141" s="24"/>
      <c r="L141" s="24">
        <f t="shared" si="8"/>
        <v>450.7649064</v>
      </c>
      <c r="M141" s="31">
        <f t="shared" si="9"/>
        <v>449.1279653</v>
      </c>
      <c r="N141" s="27">
        <f t="shared" si="10"/>
        <v>1.636941097</v>
      </c>
      <c r="O141" s="24"/>
      <c r="P141" s="24"/>
      <c r="Q141" s="24"/>
      <c r="R141" s="26"/>
      <c r="S141" s="14">
        <f t="shared" si="13"/>
        <v>1.503196678</v>
      </c>
      <c r="U141" s="21"/>
      <c r="V141" s="21"/>
    </row>
    <row r="142">
      <c r="A142" s="11">
        <v>130.0</v>
      </c>
      <c r="B142" s="11">
        <v>1.41996086956521E9</v>
      </c>
      <c r="C142" s="2">
        <v>-102.2904053</v>
      </c>
      <c r="D142" s="24">
        <f t="shared" si="1"/>
        <v>-439130.4348</v>
      </c>
      <c r="E142" s="25">
        <f t="shared" si="2"/>
        <v>91.82961321</v>
      </c>
      <c r="F142" s="24">
        <f t="shared" si="3"/>
        <v>0.000209116941</v>
      </c>
      <c r="G142" s="24">
        <f t="shared" si="4"/>
        <v>0</v>
      </c>
      <c r="H142" s="26">
        <f t="shared" si="5"/>
        <v>0</v>
      </c>
      <c r="I142" s="24">
        <f t="shared" si="6"/>
        <v>0</v>
      </c>
      <c r="J142" s="24">
        <f t="shared" si="7"/>
        <v>0</v>
      </c>
      <c r="K142" s="24"/>
      <c r="L142" s="24">
        <f t="shared" si="8"/>
        <v>448.8132165</v>
      </c>
      <c r="M142" s="31">
        <f t="shared" si="9"/>
        <v>449.037399</v>
      </c>
      <c r="N142" s="27">
        <f t="shared" si="10"/>
        <v>-0.2241825162</v>
      </c>
      <c r="O142" s="24"/>
      <c r="P142" s="24"/>
      <c r="Q142" s="24"/>
      <c r="R142" s="26"/>
      <c r="S142" s="14">
        <f t="shared" si="13"/>
        <v>-0.2058659377</v>
      </c>
      <c r="U142" s="21"/>
      <c r="V142" s="21"/>
    </row>
    <row r="143">
      <c r="A143" s="11">
        <v>131.0</v>
      </c>
      <c r="B143" s="11">
        <v>1.4199652173913E9</v>
      </c>
      <c r="C143" s="2">
        <v>-102.3129272</v>
      </c>
      <c r="D143" s="24">
        <f t="shared" si="1"/>
        <v>-434782.6087</v>
      </c>
      <c r="E143" s="25">
        <f t="shared" si="2"/>
        <v>90.91131708</v>
      </c>
      <c r="F143" s="24">
        <f t="shared" si="3"/>
        <v>0.0002090960293</v>
      </c>
      <c r="G143" s="24">
        <f t="shared" si="4"/>
        <v>0</v>
      </c>
      <c r="H143" s="26">
        <f t="shared" si="5"/>
        <v>0</v>
      </c>
      <c r="I143" s="24">
        <f t="shared" si="6"/>
        <v>0</v>
      </c>
      <c r="J143" s="24">
        <f t="shared" si="7"/>
        <v>0</v>
      </c>
      <c r="K143" s="24"/>
      <c r="L143" s="24">
        <f t="shared" si="8"/>
        <v>446.491759</v>
      </c>
      <c r="M143" s="31">
        <f t="shared" si="9"/>
        <v>448.9467968</v>
      </c>
      <c r="N143" s="27">
        <f t="shared" si="10"/>
        <v>-2.455037809</v>
      </c>
      <c r="O143" s="24"/>
      <c r="P143" s="24"/>
      <c r="Q143" s="24"/>
      <c r="R143" s="26"/>
      <c r="S143" s="14">
        <f t="shared" si="13"/>
        <v>-2.254451721</v>
      </c>
      <c r="U143" s="21"/>
      <c r="V143" s="21"/>
    </row>
    <row r="144">
      <c r="A144" s="11">
        <v>132.0</v>
      </c>
      <c r="B144" s="11">
        <v>1.41996956521739E9</v>
      </c>
      <c r="C144" s="2">
        <v>-102.2414474</v>
      </c>
      <c r="D144" s="24">
        <f t="shared" si="1"/>
        <v>-430434.7826</v>
      </c>
      <c r="E144" s="25">
        <f t="shared" si="2"/>
        <v>89.99302095</v>
      </c>
      <c r="F144" s="24">
        <f t="shared" si="3"/>
        <v>0.0002090746951</v>
      </c>
      <c r="G144" s="24">
        <f t="shared" si="4"/>
        <v>0</v>
      </c>
      <c r="H144" s="26">
        <f t="shared" si="5"/>
        <v>0</v>
      </c>
      <c r="I144" s="24">
        <f t="shared" si="6"/>
        <v>0</v>
      </c>
      <c r="J144" s="24">
        <f t="shared" si="7"/>
        <v>0</v>
      </c>
      <c r="K144" s="24"/>
      <c r="L144" s="24">
        <f t="shared" si="8"/>
        <v>453.9013008</v>
      </c>
      <c r="M144" s="31">
        <f t="shared" si="9"/>
        <v>448.8561578</v>
      </c>
      <c r="N144" s="27">
        <f t="shared" si="10"/>
        <v>5.045143021</v>
      </c>
      <c r="O144" s="24"/>
      <c r="P144" s="24"/>
      <c r="Q144" s="24"/>
      <c r="R144" s="26"/>
      <c r="S144" s="14">
        <f t="shared" si="13"/>
        <v>4.632935325</v>
      </c>
      <c r="U144" s="21"/>
      <c r="V144" s="21"/>
    </row>
    <row r="145">
      <c r="A145" s="11">
        <v>133.0</v>
      </c>
      <c r="B145" s="11">
        <v>1.41997391304347E9</v>
      </c>
      <c r="C145" s="2">
        <v>-102.2503662</v>
      </c>
      <c r="D145" s="24">
        <f t="shared" si="1"/>
        <v>-426086.9565</v>
      </c>
      <c r="E145" s="25">
        <f t="shared" si="2"/>
        <v>89.07472482</v>
      </c>
      <c r="F145" s="24">
        <f t="shared" si="3"/>
        <v>0.0002090529256</v>
      </c>
      <c r="G145" s="24">
        <f t="shared" si="4"/>
        <v>0</v>
      </c>
      <c r="H145" s="26">
        <f t="shared" si="5"/>
        <v>0</v>
      </c>
      <c r="I145" s="24">
        <f t="shared" si="6"/>
        <v>0</v>
      </c>
      <c r="J145" s="24">
        <f t="shared" si="7"/>
        <v>0</v>
      </c>
      <c r="K145" s="24"/>
      <c r="L145" s="24">
        <f t="shared" si="8"/>
        <v>452.9701122</v>
      </c>
      <c r="M145" s="31">
        <f t="shared" si="9"/>
        <v>448.7654813</v>
      </c>
      <c r="N145" s="27">
        <f t="shared" si="10"/>
        <v>4.204630823</v>
      </c>
      <c r="O145" s="24"/>
      <c r="P145" s="24"/>
      <c r="Q145" s="24"/>
      <c r="R145" s="26"/>
      <c r="S145" s="14">
        <f t="shared" si="13"/>
        <v>3.861096224</v>
      </c>
      <c r="U145" s="21"/>
      <c r="V145" s="21"/>
    </row>
    <row r="146">
      <c r="A146" s="11">
        <v>134.0</v>
      </c>
      <c r="B146" s="11">
        <v>1.41997826086956E9</v>
      </c>
      <c r="C146" s="2">
        <v>-102.2460175</v>
      </c>
      <c r="D146" s="24">
        <f t="shared" si="1"/>
        <v>-421739.1304</v>
      </c>
      <c r="E146" s="25">
        <f t="shared" si="2"/>
        <v>88.15642869</v>
      </c>
      <c r="F146" s="24">
        <f t="shared" si="3"/>
        <v>0.0002090307072</v>
      </c>
      <c r="G146" s="24">
        <f t="shared" si="4"/>
        <v>0</v>
      </c>
      <c r="H146" s="26">
        <f t="shared" si="5"/>
        <v>0</v>
      </c>
      <c r="I146" s="24">
        <f t="shared" si="6"/>
        <v>0</v>
      </c>
      <c r="J146" s="24">
        <f t="shared" si="7"/>
        <v>0</v>
      </c>
      <c r="K146" s="24"/>
      <c r="L146" s="24">
        <f t="shared" si="8"/>
        <v>453.4239097</v>
      </c>
      <c r="M146" s="31">
        <f t="shared" si="9"/>
        <v>448.6747666</v>
      </c>
      <c r="N146" s="27">
        <f t="shared" si="10"/>
        <v>4.749143114</v>
      </c>
      <c r="O146" s="24"/>
      <c r="P146" s="24"/>
      <c r="Q146" s="24"/>
      <c r="R146" s="26"/>
      <c r="S146" s="14">
        <f t="shared" si="13"/>
        <v>4.361119745</v>
      </c>
      <c r="U146" s="21"/>
      <c r="V146" s="21"/>
    </row>
    <row r="147">
      <c r="A147" s="11">
        <v>135.0</v>
      </c>
      <c r="B147" s="11">
        <v>1.41998260869565E9</v>
      </c>
      <c r="C147" s="2">
        <v>-102.2721176</v>
      </c>
      <c r="D147" s="24">
        <f t="shared" si="1"/>
        <v>-417391.3043</v>
      </c>
      <c r="E147" s="25">
        <f t="shared" si="2"/>
        <v>87.23813255</v>
      </c>
      <c r="F147" s="24">
        <f t="shared" si="3"/>
        <v>0.0002090080259</v>
      </c>
      <c r="G147" s="24">
        <f t="shared" si="4"/>
        <v>0</v>
      </c>
      <c r="H147" s="26">
        <f t="shared" si="5"/>
        <v>0</v>
      </c>
      <c r="I147" s="24">
        <f t="shared" si="6"/>
        <v>0</v>
      </c>
      <c r="J147" s="24">
        <f t="shared" si="7"/>
        <v>0</v>
      </c>
      <c r="K147" s="24"/>
      <c r="L147" s="24">
        <f t="shared" si="8"/>
        <v>450.7071081</v>
      </c>
      <c r="M147" s="31">
        <f t="shared" si="9"/>
        <v>448.5840128</v>
      </c>
      <c r="N147" s="27">
        <f t="shared" si="10"/>
        <v>2.123095333</v>
      </c>
      <c r="O147" s="24"/>
      <c r="P147" s="24"/>
      <c r="Q147" s="24"/>
      <c r="R147" s="26"/>
      <c r="S147" s="14">
        <f t="shared" si="13"/>
        <v>1.949630234</v>
      </c>
      <c r="U147" s="21"/>
      <c r="V147" s="21"/>
    </row>
    <row r="148">
      <c r="A148" s="11">
        <v>136.0</v>
      </c>
      <c r="B148" s="11">
        <v>1.41998695652173E9</v>
      </c>
      <c r="C148" s="2">
        <v>-102.318718</v>
      </c>
      <c r="D148" s="24">
        <f t="shared" si="1"/>
        <v>-413043.4783</v>
      </c>
      <c r="E148" s="25">
        <f t="shared" si="2"/>
        <v>86.31983642</v>
      </c>
      <c r="F148" s="24">
        <f t="shared" si="3"/>
        <v>0.0002089848671</v>
      </c>
      <c r="G148" s="24">
        <f t="shared" si="4"/>
        <v>0</v>
      </c>
      <c r="H148" s="26">
        <f t="shared" si="5"/>
        <v>0</v>
      </c>
      <c r="I148" s="24">
        <f t="shared" si="6"/>
        <v>0</v>
      </c>
      <c r="J148" s="24">
        <f t="shared" si="7"/>
        <v>0</v>
      </c>
      <c r="K148" s="24"/>
      <c r="L148" s="24">
        <f t="shared" si="8"/>
        <v>445.8968121</v>
      </c>
      <c r="M148" s="31">
        <f t="shared" si="9"/>
        <v>448.4932191</v>
      </c>
      <c r="N148" s="27">
        <f t="shared" si="10"/>
        <v>-2.596407002</v>
      </c>
      <c r="O148" s="24"/>
      <c r="P148" s="24"/>
      <c r="Q148" s="24"/>
      <c r="R148" s="26"/>
      <c r="S148" s="14">
        <f t="shared" si="13"/>
        <v>-2.384270509</v>
      </c>
      <c r="U148" s="21"/>
      <c r="V148" s="21"/>
    </row>
    <row r="149">
      <c r="A149" s="11">
        <v>137.0</v>
      </c>
      <c r="B149" s="11">
        <v>1.41999130434782E9</v>
      </c>
      <c r="C149" s="2">
        <v>-102.1958923</v>
      </c>
      <c r="D149" s="24">
        <f t="shared" si="1"/>
        <v>-408695.6522</v>
      </c>
      <c r="E149" s="25">
        <f t="shared" si="2"/>
        <v>85.40154029</v>
      </c>
      <c r="F149" s="24">
        <f t="shared" si="3"/>
        <v>0.0002089612156</v>
      </c>
      <c r="G149" s="24">
        <f t="shared" si="4"/>
        <v>0</v>
      </c>
      <c r="H149" s="26">
        <f t="shared" si="5"/>
        <v>0</v>
      </c>
      <c r="I149" s="24">
        <f t="shared" si="6"/>
        <v>0</v>
      </c>
      <c r="J149" s="24">
        <f t="shared" si="7"/>
        <v>0</v>
      </c>
      <c r="K149" s="24"/>
      <c r="L149" s="24">
        <f t="shared" si="8"/>
        <v>458.6875342</v>
      </c>
      <c r="M149" s="31">
        <f t="shared" si="9"/>
        <v>448.4023847</v>
      </c>
      <c r="N149" s="27">
        <f t="shared" si="10"/>
        <v>10.28514943</v>
      </c>
      <c r="O149" s="24"/>
      <c r="P149" s="24"/>
      <c r="Q149" s="24"/>
      <c r="R149" s="26"/>
      <c r="S149" s="14">
        <f t="shared" si="13"/>
        <v>9.444812948</v>
      </c>
      <c r="U149" s="21"/>
      <c r="V149" s="21"/>
    </row>
    <row r="150">
      <c r="A150" s="11">
        <v>138.0</v>
      </c>
      <c r="B150" s="11">
        <v>1.41999565217391E9</v>
      </c>
      <c r="C150" s="2">
        <v>-102.2281036</v>
      </c>
      <c r="D150" s="24">
        <f t="shared" si="1"/>
        <v>-404347.8261</v>
      </c>
      <c r="E150" s="25">
        <f t="shared" si="2"/>
        <v>84.48324416</v>
      </c>
      <c r="F150" s="24">
        <f t="shared" si="3"/>
        <v>0.0002089370554</v>
      </c>
      <c r="G150" s="24">
        <f t="shared" si="4"/>
        <v>0</v>
      </c>
      <c r="H150" s="26">
        <f t="shared" si="5"/>
        <v>0</v>
      </c>
      <c r="I150" s="24">
        <f t="shared" si="6"/>
        <v>0</v>
      </c>
      <c r="J150" s="24">
        <f t="shared" si="7"/>
        <v>0</v>
      </c>
      <c r="K150" s="24"/>
      <c r="L150" s="24">
        <f t="shared" si="8"/>
        <v>455.2980679</v>
      </c>
      <c r="M150" s="31">
        <f t="shared" si="9"/>
        <v>448.3115089</v>
      </c>
      <c r="N150" s="27">
        <f t="shared" si="10"/>
        <v>6.986559008</v>
      </c>
      <c r="O150" s="24"/>
      <c r="P150" s="24"/>
      <c r="Q150" s="24"/>
      <c r="R150" s="26"/>
      <c r="S150" s="14">
        <f t="shared" si="13"/>
        <v>6.415730103</v>
      </c>
      <c r="U150" s="21"/>
      <c r="V150" s="21"/>
    </row>
    <row r="151">
      <c r="A151" s="11">
        <v>139.0</v>
      </c>
      <c r="B151" s="11">
        <v>1.42E9</v>
      </c>
      <c r="C151" s="2">
        <v>-102.2260818</v>
      </c>
      <c r="D151" s="24">
        <f t="shared" si="1"/>
        <v>-400000</v>
      </c>
      <c r="E151" s="25">
        <f t="shared" si="2"/>
        <v>83.56494803</v>
      </c>
      <c r="F151" s="24">
        <f t="shared" si="3"/>
        <v>0.0002089123701</v>
      </c>
      <c r="G151" s="24">
        <f t="shared" si="4"/>
        <v>0</v>
      </c>
      <c r="H151" s="26">
        <f t="shared" si="5"/>
        <v>0</v>
      </c>
      <c r="I151" s="24">
        <f t="shared" si="6"/>
        <v>0</v>
      </c>
      <c r="J151" s="24">
        <f t="shared" si="7"/>
        <v>0</v>
      </c>
      <c r="K151" s="24"/>
      <c r="L151" s="24">
        <f t="shared" si="8"/>
        <v>455.5100752</v>
      </c>
      <c r="M151" s="31">
        <f t="shared" si="9"/>
        <v>448.2205909</v>
      </c>
      <c r="N151" s="27">
        <f t="shared" si="10"/>
        <v>7.28948431</v>
      </c>
      <c r="O151" s="24"/>
      <c r="P151" s="24"/>
      <c r="Q151" s="24"/>
      <c r="R151" s="26"/>
      <c r="S151" s="14">
        <f t="shared" si="13"/>
        <v>6.693905251</v>
      </c>
      <c r="U151" s="21"/>
      <c r="V151" s="21"/>
    </row>
    <row r="152">
      <c r="A152" s="11">
        <v>140.0</v>
      </c>
      <c r="B152" s="11">
        <v>1.42000434782608E9</v>
      </c>
      <c r="C152" s="2">
        <v>-102.1627502</v>
      </c>
      <c r="D152" s="24">
        <f t="shared" si="1"/>
        <v>-395652.1739</v>
      </c>
      <c r="E152" s="25">
        <f t="shared" si="2"/>
        <v>82.64665189</v>
      </c>
      <c r="F152" s="24">
        <f t="shared" si="3"/>
        <v>0.0002088871421</v>
      </c>
      <c r="G152" s="24">
        <f t="shared" si="4"/>
        <v>0</v>
      </c>
      <c r="H152" s="26">
        <f t="shared" si="5"/>
        <v>0</v>
      </c>
      <c r="I152" s="24">
        <f t="shared" si="6"/>
        <v>0</v>
      </c>
      <c r="J152" s="24">
        <f t="shared" si="7"/>
        <v>0</v>
      </c>
      <c r="K152" s="24"/>
      <c r="L152" s="24">
        <f t="shared" si="8"/>
        <v>462.2012837</v>
      </c>
      <c r="M152" s="31">
        <f t="shared" si="9"/>
        <v>448.1296299</v>
      </c>
      <c r="N152" s="27">
        <f t="shared" si="10"/>
        <v>14.07165387</v>
      </c>
      <c r="O152" s="24"/>
      <c r="P152" s="24"/>
      <c r="Q152" s="24"/>
      <c r="R152" s="26"/>
      <c r="S152" s="14">
        <f t="shared" si="13"/>
        <v>12.92194533</v>
      </c>
      <c r="U152" s="21"/>
      <c r="V152" s="21"/>
    </row>
    <row r="153">
      <c r="A153" s="11">
        <v>141.0</v>
      </c>
      <c r="B153" s="11">
        <v>1.42000869565217E9</v>
      </c>
      <c r="C153" s="2">
        <v>-102.1405716</v>
      </c>
      <c r="D153" s="24">
        <f t="shared" si="1"/>
        <v>-391304.3478</v>
      </c>
      <c r="E153" s="25">
        <f t="shared" si="2"/>
        <v>81.72835576</v>
      </c>
      <c r="F153" s="24">
        <f t="shared" si="3"/>
        <v>0.0002088613536</v>
      </c>
      <c r="G153" s="24">
        <f t="shared" si="4"/>
        <v>0</v>
      </c>
      <c r="H153" s="26">
        <f t="shared" si="5"/>
        <v>0</v>
      </c>
      <c r="I153" s="24">
        <f t="shared" si="6"/>
        <v>0</v>
      </c>
      <c r="J153" s="24">
        <f t="shared" si="7"/>
        <v>0</v>
      </c>
      <c r="K153" s="24"/>
      <c r="L153" s="24">
        <f t="shared" si="8"/>
        <v>464.5676958</v>
      </c>
      <c r="M153" s="31">
        <f t="shared" si="9"/>
        <v>448.038625</v>
      </c>
      <c r="N153" s="27">
        <f t="shared" si="10"/>
        <v>16.52907075</v>
      </c>
      <c r="O153" s="24"/>
      <c r="P153" s="24"/>
      <c r="Q153" s="24"/>
      <c r="R153" s="26"/>
      <c r="S153" s="14">
        <f t="shared" si="13"/>
        <v>15.17858171</v>
      </c>
      <c r="U153" s="21"/>
      <c r="V153" s="21"/>
    </row>
    <row r="154">
      <c r="A154" s="11">
        <v>142.0</v>
      </c>
      <c r="B154" s="11">
        <v>1.42001304347826E9</v>
      </c>
      <c r="C154" s="2">
        <v>-102.2151947</v>
      </c>
      <c r="D154" s="24">
        <f t="shared" si="1"/>
        <v>-386956.5217</v>
      </c>
      <c r="E154" s="25">
        <f t="shared" si="2"/>
        <v>80.81005963</v>
      </c>
      <c r="F154" s="24">
        <f t="shared" si="3"/>
        <v>0.0002088349856</v>
      </c>
      <c r="G154" s="24">
        <f t="shared" si="4"/>
        <v>0</v>
      </c>
      <c r="H154" s="26">
        <f t="shared" si="5"/>
        <v>0</v>
      </c>
      <c r="I154" s="24">
        <f t="shared" si="6"/>
        <v>0</v>
      </c>
      <c r="J154" s="24">
        <f t="shared" si="7"/>
        <v>0</v>
      </c>
      <c r="K154" s="24"/>
      <c r="L154" s="24">
        <f t="shared" si="8"/>
        <v>456.653402</v>
      </c>
      <c r="M154" s="31">
        <f t="shared" si="9"/>
        <v>447.9475756</v>
      </c>
      <c r="N154" s="27">
        <f t="shared" si="10"/>
        <v>8.705826341</v>
      </c>
      <c r="O154" s="24"/>
      <c r="P154" s="24"/>
      <c r="Q154" s="24"/>
      <c r="R154" s="26"/>
      <c r="S154" s="14">
        <f t="shared" si="13"/>
        <v>7.994526662</v>
      </c>
      <c r="U154" s="21"/>
      <c r="V154" s="21"/>
    </row>
    <row r="155">
      <c r="A155" s="11">
        <v>143.0</v>
      </c>
      <c r="B155" s="11">
        <v>1.42001739130434E9</v>
      </c>
      <c r="C155" s="2">
        <v>-102.2041779</v>
      </c>
      <c r="D155" s="24">
        <f t="shared" si="1"/>
        <v>-382608.6957</v>
      </c>
      <c r="E155" s="25">
        <f t="shared" si="2"/>
        <v>79.8917635</v>
      </c>
      <c r="F155" s="24">
        <f t="shared" si="3"/>
        <v>0.0002088080182</v>
      </c>
      <c r="G155" s="24">
        <f t="shared" si="4"/>
        <v>0</v>
      </c>
      <c r="H155" s="26">
        <f t="shared" si="5"/>
        <v>0</v>
      </c>
      <c r="I155" s="24">
        <f t="shared" si="6"/>
        <v>0</v>
      </c>
      <c r="J155" s="24">
        <f t="shared" si="7"/>
        <v>0</v>
      </c>
      <c r="K155" s="24"/>
      <c r="L155" s="24">
        <f t="shared" si="8"/>
        <v>457.8132706</v>
      </c>
      <c r="M155" s="31">
        <f t="shared" si="9"/>
        <v>447.8564808</v>
      </c>
      <c r="N155" s="27">
        <f t="shared" si="10"/>
        <v>9.956789794</v>
      </c>
      <c r="O155" s="24"/>
      <c r="P155" s="24"/>
      <c r="Q155" s="24"/>
      <c r="R155" s="26"/>
      <c r="S155" s="14">
        <f t="shared" si="13"/>
        <v>9.143281563</v>
      </c>
      <c r="U155" s="21"/>
      <c r="V155" s="21"/>
    </row>
    <row r="156">
      <c r="A156" s="11">
        <v>144.0</v>
      </c>
      <c r="B156" s="11">
        <v>1.42002173913043E9</v>
      </c>
      <c r="C156" s="2">
        <v>-102.1432877</v>
      </c>
      <c r="D156" s="24">
        <f t="shared" si="1"/>
        <v>-378260.8696</v>
      </c>
      <c r="E156" s="25">
        <f t="shared" si="2"/>
        <v>78.97346736</v>
      </c>
      <c r="F156" s="24">
        <f t="shared" si="3"/>
        <v>0.000208780431</v>
      </c>
      <c r="G156" s="24">
        <f t="shared" si="4"/>
        <v>0</v>
      </c>
      <c r="H156" s="26">
        <f t="shared" si="5"/>
        <v>0</v>
      </c>
      <c r="I156" s="24">
        <f t="shared" si="6"/>
        <v>0</v>
      </c>
      <c r="J156" s="24">
        <f t="shared" si="7"/>
        <v>0</v>
      </c>
      <c r="K156" s="24"/>
      <c r="L156" s="24">
        <f t="shared" si="8"/>
        <v>464.2772436</v>
      </c>
      <c r="M156" s="31">
        <f t="shared" si="9"/>
        <v>447.7653398</v>
      </c>
      <c r="N156" s="27">
        <f t="shared" si="10"/>
        <v>16.51190377</v>
      </c>
      <c r="O156" s="24"/>
      <c r="P156" s="24"/>
      <c r="Q156" s="24"/>
      <c r="R156" s="26"/>
      <c r="S156" s="14">
        <f t="shared" si="13"/>
        <v>15.16281734</v>
      </c>
      <c r="U156" s="21"/>
      <c r="V156" s="21"/>
    </row>
    <row r="157">
      <c r="A157" s="11">
        <v>145.0</v>
      </c>
      <c r="B157" s="11">
        <v>1.42002608695652E9</v>
      </c>
      <c r="C157" s="2">
        <v>-102.1620407</v>
      </c>
      <c r="D157" s="24">
        <f t="shared" si="1"/>
        <v>-373913.0435</v>
      </c>
      <c r="E157" s="25">
        <f t="shared" si="2"/>
        <v>78.05517123</v>
      </c>
      <c r="F157" s="24">
        <f t="shared" si="3"/>
        <v>0.0002087522021</v>
      </c>
      <c r="G157" s="24">
        <f t="shared" si="4"/>
        <v>0</v>
      </c>
      <c r="H157" s="26">
        <f t="shared" si="5"/>
        <v>0</v>
      </c>
      <c r="I157" s="24">
        <f t="shared" si="6"/>
        <v>0</v>
      </c>
      <c r="J157" s="24">
        <f t="shared" si="7"/>
        <v>0</v>
      </c>
      <c r="K157" s="24"/>
      <c r="L157" s="24">
        <f t="shared" si="8"/>
        <v>462.276799</v>
      </c>
      <c r="M157" s="31">
        <f t="shared" si="9"/>
        <v>447.6741519</v>
      </c>
      <c r="N157" s="27">
        <f t="shared" si="10"/>
        <v>14.6026471</v>
      </c>
      <c r="O157" s="24"/>
      <c r="P157" s="24"/>
      <c r="Q157" s="24"/>
      <c r="R157" s="26"/>
      <c r="S157" s="14">
        <f t="shared" si="13"/>
        <v>13.40955436</v>
      </c>
      <c r="U157" s="21"/>
      <c r="V157" s="21"/>
    </row>
    <row r="158">
      <c r="A158" s="11">
        <v>146.0</v>
      </c>
      <c r="B158" s="11">
        <v>1.4200304347826E9</v>
      </c>
      <c r="C158" s="2">
        <v>-102.2102356</v>
      </c>
      <c r="D158" s="24">
        <f t="shared" si="1"/>
        <v>-369565.2174</v>
      </c>
      <c r="E158" s="25">
        <f t="shared" si="2"/>
        <v>77.1368751</v>
      </c>
      <c r="F158" s="24">
        <f t="shared" si="3"/>
        <v>0.0002087233091</v>
      </c>
      <c r="G158" s="24">
        <f t="shared" si="4"/>
        <v>0</v>
      </c>
      <c r="H158" s="26">
        <f t="shared" si="5"/>
        <v>0</v>
      </c>
      <c r="I158" s="24">
        <f t="shared" si="6"/>
        <v>0</v>
      </c>
      <c r="J158" s="24">
        <f t="shared" si="7"/>
        <v>0</v>
      </c>
      <c r="K158" s="24"/>
      <c r="L158" s="24">
        <f t="shared" si="8"/>
        <v>457.1751409</v>
      </c>
      <c r="M158" s="31">
        <f t="shared" si="9"/>
        <v>447.5829162</v>
      </c>
      <c r="N158" s="27">
        <f t="shared" si="10"/>
        <v>9.592224637</v>
      </c>
      <c r="O158" s="24"/>
      <c r="P158" s="24"/>
      <c r="Q158" s="24"/>
      <c r="R158" s="26"/>
      <c r="S158" s="14">
        <f t="shared" si="13"/>
        <v>8.808502789</v>
      </c>
      <c r="U158" s="21"/>
      <c r="V158" s="21"/>
    </row>
    <row r="159">
      <c r="A159" s="11">
        <v>147.0</v>
      </c>
      <c r="B159" s="11">
        <v>1.42003478260869E9</v>
      </c>
      <c r="C159" s="2">
        <v>-102.1916275</v>
      </c>
      <c r="D159" s="24">
        <f t="shared" si="1"/>
        <v>-365217.3913</v>
      </c>
      <c r="E159" s="25">
        <f t="shared" si="2"/>
        <v>76.21857897</v>
      </c>
      <c r="F159" s="24">
        <f t="shared" si="3"/>
        <v>0.0002086937281</v>
      </c>
      <c r="G159" s="24">
        <f t="shared" si="4"/>
        <v>0</v>
      </c>
      <c r="H159" s="26">
        <f t="shared" si="5"/>
        <v>0</v>
      </c>
      <c r="I159" s="24">
        <f t="shared" si="6"/>
        <v>0</v>
      </c>
      <c r="J159" s="24">
        <f t="shared" si="7"/>
        <v>0</v>
      </c>
      <c r="K159" s="24"/>
      <c r="L159" s="24">
        <f t="shared" si="8"/>
        <v>459.1381895</v>
      </c>
      <c r="M159" s="31">
        <f t="shared" si="9"/>
        <v>447.491632</v>
      </c>
      <c r="N159" s="27">
        <f t="shared" si="10"/>
        <v>11.64655749</v>
      </c>
      <c r="O159" s="24"/>
      <c r="P159" s="24"/>
      <c r="Q159" s="24"/>
      <c r="R159" s="26"/>
      <c r="S159" s="14">
        <f t="shared" si="13"/>
        <v>10.69498871</v>
      </c>
      <c r="U159" s="21"/>
      <c r="V159" s="21"/>
    </row>
    <row r="160">
      <c r="A160" s="11">
        <v>148.0</v>
      </c>
      <c r="B160" s="11">
        <v>1.42003913043478E9</v>
      </c>
      <c r="C160" s="2">
        <v>-102.2037048</v>
      </c>
      <c r="D160" s="24">
        <f t="shared" si="1"/>
        <v>-360869.5652</v>
      </c>
      <c r="E160" s="25">
        <f t="shared" si="2"/>
        <v>75.30028284</v>
      </c>
      <c r="F160" s="24">
        <f t="shared" si="3"/>
        <v>0.0002086634344</v>
      </c>
      <c r="G160" s="24">
        <f t="shared" si="4"/>
        <v>0</v>
      </c>
      <c r="H160" s="26">
        <f t="shared" si="5"/>
        <v>0</v>
      </c>
      <c r="I160" s="24">
        <f t="shared" si="6"/>
        <v>0</v>
      </c>
      <c r="J160" s="24">
        <f t="shared" si="7"/>
        <v>0</v>
      </c>
      <c r="K160" s="24"/>
      <c r="L160" s="24">
        <f t="shared" si="8"/>
        <v>457.8631453</v>
      </c>
      <c r="M160" s="31">
        <f t="shared" si="9"/>
        <v>447.4002985</v>
      </c>
      <c r="N160" s="27">
        <f t="shared" si="10"/>
        <v>10.46284682</v>
      </c>
      <c r="O160" s="24"/>
      <c r="P160" s="24"/>
      <c r="Q160" s="24"/>
      <c r="R160" s="26"/>
      <c r="S160" s="14">
        <f t="shared" si="13"/>
        <v>9.607991753</v>
      </c>
      <c r="U160" s="21"/>
      <c r="V160" s="21"/>
    </row>
    <row r="161">
      <c r="A161" s="11">
        <v>149.0</v>
      </c>
      <c r="B161" s="11">
        <v>1.42004347826087E9</v>
      </c>
      <c r="C161" s="2">
        <v>-102.1710663</v>
      </c>
      <c r="D161" s="24">
        <f t="shared" si="1"/>
        <v>-356521.7391</v>
      </c>
      <c r="E161" s="25">
        <f t="shared" si="2"/>
        <v>74.3819867</v>
      </c>
      <c r="F161" s="24">
        <f t="shared" si="3"/>
        <v>0.0002086324017</v>
      </c>
      <c r="G161" s="24">
        <f t="shared" si="4"/>
        <v>0</v>
      </c>
      <c r="H161" s="26">
        <f t="shared" si="5"/>
        <v>0</v>
      </c>
      <c r="I161" s="24">
        <f t="shared" si="6"/>
        <v>0</v>
      </c>
      <c r="J161" s="24">
        <f t="shared" si="7"/>
        <v>0</v>
      </c>
      <c r="K161" s="24"/>
      <c r="L161" s="24">
        <f t="shared" si="8"/>
        <v>461.3170832</v>
      </c>
      <c r="M161" s="31">
        <f t="shared" si="9"/>
        <v>447.3089149</v>
      </c>
      <c r="N161" s="27">
        <f t="shared" si="10"/>
        <v>14.00816826</v>
      </c>
      <c r="O161" s="24"/>
      <c r="P161" s="24"/>
      <c r="Q161" s="24"/>
      <c r="R161" s="26"/>
      <c r="S161" s="14">
        <f t="shared" si="13"/>
        <v>12.86364674</v>
      </c>
      <c r="U161" s="21"/>
      <c r="V161" s="21"/>
    </row>
    <row r="162">
      <c r="A162" s="11">
        <v>150.0</v>
      </c>
      <c r="B162" s="11">
        <v>1.42004782608695E9</v>
      </c>
      <c r="C162" s="2">
        <v>-102.1019669</v>
      </c>
      <c r="D162" s="24">
        <f t="shared" si="1"/>
        <v>-352173.913</v>
      </c>
      <c r="E162" s="25">
        <f t="shared" si="2"/>
        <v>73.46369057</v>
      </c>
      <c r="F162" s="24">
        <f t="shared" si="3"/>
        <v>0.0002086006029</v>
      </c>
      <c r="G162" s="24">
        <f t="shared" si="4"/>
        <v>0</v>
      </c>
      <c r="H162" s="26">
        <f t="shared" si="5"/>
        <v>0</v>
      </c>
      <c r="I162" s="24">
        <f t="shared" si="6"/>
        <v>0</v>
      </c>
      <c r="J162" s="24">
        <f t="shared" si="7"/>
        <v>0</v>
      </c>
      <c r="K162" s="24"/>
      <c r="L162" s="24">
        <f t="shared" si="8"/>
        <v>468.7156747</v>
      </c>
      <c r="M162" s="31">
        <f t="shared" si="9"/>
        <v>447.2174804</v>
      </c>
      <c r="N162" s="27">
        <f t="shared" si="10"/>
        <v>21.49819434</v>
      </c>
      <c r="O162" s="24"/>
      <c r="P162" s="24"/>
      <c r="Q162" s="24"/>
      <c r="R162" s="26"/>
      <c r="S162" s="14">
        <f t="shared" si="13"/>
        <v>19.74170872</v>
      </c>
      <c r="U162" s="21"/>
      <c r="V162" s="21"/>
    </row>
    <row r="163">
      <c r="A163" s="11">
        <v>151.0</v>
      </c>
      <c r="B163" s="11">
        <v>1.42005217391304E9</v>
      </c>
      <c r="C163" s="2">
        <v>-102.0991211</v>
      </c>
      <c r="D163" s="24">
        <f t="shared" si="1"/>
        <v>-347826.087</v>
      </c>
      <c r="E163" s="25">
        <f t="shared" si="2"/>
        <v>72.54539444</v>
      </c>
      <c r="F163" s="24">
        <f t="shared" si="3"/>
        <v>0.000208568009</v>
      </c>
      <c r="G163" s="24">
        <f t="shared" si="4"/>
        <v>0</v>
      </c>
      <c r="H163" s="26">
        <f t="shared" si="5"/>
        <v>0</v>
      </c>
      <c r="I163" s="24">
        <f t="shared" si="6"/>
        <v>0</v>
      </c>
      <c r="J163" s="24">
        <f t="shared" si="7"/>
        <v>0</v>
      </c>
      <c r="K163" s="24"/>
      <c r="L163" s="24">
        <f t="shared" si="8"/>
        <v>469.0229105</v>
      </c>
      <c r="M163" s="31">
        <f t="shared" si="9"/>
        <v>447.1259942</v>
      </c>
      <c r="N163" s="27">
        <f t="shared" si="10"/>
        <v>21.89691634</v>
      </c>
      <c r="O163" s="24"/>
      <c r="P163" s="24"/>
      <c r="Q163" s="24"/>
      <c r="R163" s="26"/>
      <c r="S163" s="14">
        <f t="shared" si="13"/>
        <v>20.10785355</v>
      </c>
      <c r="U163" s="21"/>
      <c r="V163" s="21"/>
    </row>
    <row r="164">
      <c r="A164" s="11">
        <v>152.0</v>
      </c>
      <c r="B164" s="11">
        <v>1.42005652173913E9</v>
      </c>
      <c r="C164" s="2">
        <v>-102.1229172</v>
      </c>
      <c r="D164" s="24">
        <f t="shared" si="1"/>
        <v>-343478.2609</v>
      </c>
      <c r="E164" s="25">
        <f t="shared" si="2"/>
        <v>71.62709831</v>
      </c>
      <c r="F164" s="24">
        <f t="shared" si="3"/>
        <v>0.00020853459</v>
      </c>
      <c r="G164" s="24">
        <f t="shared" si="4"/>
        <v>0</v>
      </c>
      <c r="H164" s="26">
        <f t="shared" si="5"/>
        <v>0</v>
      </c>
      <c r="I164" s="24">
        <f t="shared" si="6"/>
        <v>0</v>
      </c>
      <c r="J164" s="24">
        <f t="shared" si="7"/>
        <v>0</v>
      </c>
      <c r="K164" s="24"/>
      <c r="L164" s="24">
        <f t="shared" si="8"/>
        <v>466.4600424</v>
      </c>
      <c r="M164" s="31">
        <f t="shared" si="9"/>
        <v>447.0344555</v>
      </c>
      <c r="N164" s="27">
        <f t="shared" si="10"/>
        <v>19.42558681</v>
      </c>
      <c r="O164" s="24"/>
      <c r="P164" s="24"/>
      <c r="Q164" s="24"/>
      <c r="R164" s="26"/>
      <c r="S164" s="14">
        <f t="shared" si="13"/>
        <v>17.83844125</v>
      </c>
      <c r="U164" s="21"/>
      <c r="V164" s="21"/>
    </row>
    <row r="165">
      <c r="A165" s="11">
        <v>153.0</v>
      </c>
      <c r="B165" s="11">
        <v>1.42006086956521E9</v>
      </c>
      <c r="C165" s="2">
        <v>-102.1055527</v>
      </c>
      <c r="D165" s="24">
        <f t="shared" si="1"/>
        <v>-339130.4348</v>
      </c>
      <c r="E165" s="25">
        <f t="shared" si="2"/>
        <v>70.70880218</v>
      </c>
      <c r="F165" s="24">
        <f t="shared" si="3"/>
        <v>0.0002085003141</v>
      </c>
      <c r="G165" s="24">
        <f t="shared" si="4"/>
        <v>0</v>
      </c>
      <c r="H165" s="26">
        <f t="shared" si="5"/>
        <v>0</v>
      </c>
      <c r="I165" s="24">
        <f t="shared" si="6"/>
        <v>0</v>
      </c>
      <c r="J165" s="24">
        <f t="shared" si="7"/>
        <v>0</v>
      </c>
      <c r="K165" s="24"/>
      <c r="L165" s="24">
        <f t="shared" si="8"/>
        <v>468.3288342</v>
      </c>
      <c r="M165" s="31">
        <f t="shared" si="9"/>
        <v>446.9428636</v>
      </c>
      <c r="N165" s="27">
        <f t="shared" si="10"/>
        <v>21.38597058</v>
      </c>
      <c r="O165" s="24"/>
      <c r="P165" s="24"/>
      <c r="Q165" s="24"/>
      <c r="R165" s="26"/>
      <c r="S165" s="14">
        <f t="shared" si="13"/>
        <v>19.63865408</v>
      </c>
      <c r="U165" s="21"/>
      <c r="V165" s="21"/>
    </row>
    <row r="166">
      <c r="A166" s="11">
        <v>154.0</v>
      </c>
      <c r="B166" s="11">
        <v>1.4200652173913E9</v>
      </c>
      <c r="C166" s="2">
        <v>-102.1108551</v>
      </c>
      <c r="D166" s="24">
        <f t="shared" si="1"/>
        <v>-334782.6087</v>
      </c>
      <c r="E166" s="25">
        <f t="shared" si="2"/>
        <v>69.79050604</v>
      </c>
      <c r="F166" s="24">
        <f t="shared" si="3"/>
        <v>0.0002084651479</v>
      </c>
      <c r="G166" s="24">
        <f t="shared" si="4"/>
        <v>0</v>
      </c>
      <c r="H166" s="26">
        <f t="shared" si="5"/>
        <v>0</v>
      </c>
      <c r="I166" s="24">
        <f t="shared" si="6"/>
        <v>0</v>
      </c>
      <c r="J166" s="24">
        <f t="shared" si="7"/>
        <v>0</v>
      </c>
      <c r="K166" s="24"/>
      <c r="L166" s="24">
        <f t="shared" si="8"/>
        <v>467.7573898</v>
      </c>
      <c r="M166" s="31">
        <f t="shared" si="9"/>
        <v>446.8512177</v>
      </c>
      <c r="N166" s="27">
        <f t="shared" si="10"/>
        <v>20.90617213</v>
      </c>
      <c r="O166" s="24"/>
      <c r="P166" s="24"/>
      <c r="Q166" s="24"/>
      <c r="R166" s="26"/>
      <c r="S166" s="14">
        <f t="shared" si="13"/>
        <v>19.19805698</v>
      </c>
      <c r="U166" s="21"/>
      <c r="V166" s="21"/>
    </row>
    <row r="167">
      <c r="A167" s="11">
        <v>155.0</v>
      </c>
      <c r="B167" s="11">
        <v>1.42006956521739E9</v>
      </c>
      <c r="C167" s="2">
        <v>-102.1727371</v>
      </c>
      <c r="D167" s="24">
        <f t="shared" si="1"/>
        <v>-330434.7826</v>
      </c>
      <c r="E167" s="25">
        <f t="shared" si="2"/>
        <v>68.87220991</v>
      </c>
      <c r="F167" s="24">
        <f t="shared" si="3"/>
        <v>0.0002084290563</v>
      </c>
      <c r="G167" s="24">
        <f t="shared" si="4"/>
        <v>0</v>
      </c>
      <c r="H167" s="26">
        <f t="shared" si="5"/>
        <v>0</v>
      </c>
      <c r="I167" s="24">
        <f t="shared" si="6"/>
        <v>0</v>
      </c>
      <c r="J167" s="24">
        <f t="shared" si="7"/>
        <v>0</v>
      </c>
      <c r="K167" s="24"/>
      <c r="L167" s="24">
        <f t="shared" si="8"/>
        <v>461.1396413</v>
      </c>
      <c r="M167" s="31">
        <f t="shared" si="9"/>
        <v>446.7595169</v>
      </c>
      <c r="N167" s="27">
        <f t="shared" si="10"/>
        <v>14.38012437</v>
      </c>
      <c r="O167" s="24"/>
      <c r="P167" s="24"/>
      <c r="Q167" s="24"/>
      <c r="R167" s="26"/>
      <c r="S167" s="14">
        <f t="shared" si="13"/>
        <v>13.20521259</v>
      </c>
      <c r="U167" s="21"/>
      <c r="V167" s="21"/>
    </row>
    <row r="168">
      <c r="A168" s="11">
        <v>156.0</v>
      </c>
      <c r="B168" s="11">
        <v>1.42007391304347E9</v>
      </c>
      <c r="C168" s="2">
        <v>-102.1088257</v>
      </c>
      <c r="D168" s="24">
        <f t="shared" si="1"/>
        <v>-326086.9565</v>
      </c>
      <c r="E168" s="25">
        <f t="shared" si="2"/>
        <v>67.95391378</v>
      </c>
      <c r="F168" s="24">
        <f t="shared" si="3"/>
        <v>0.0002083920023</v>
      </c>
      <c r="G168" s="24">
        <f t="shared" si="4"/>
        <v>0</v>
      </c>
      <c r="H168" s="26">
        <f t="shared" si="5"/>
        <v>0</v>
      </c>
      <c r="I168" s="24">
        <f t="shared" si="6"/>
        <v>0</v>
      </c>
      <c r="J168" s="24">
        <f t="shared" si="7"/>
        <v>0</v>
      </c>
      <c r="K168" s="24"/>
      <c r="L168" s="24">
        <f t="shared" si="8"/>
        <v>467.9760177</v>
      </c>
      <c r="M168" s="31">
        <f t="shared" si="9"/>
        <v>446.6677605</v>
      </c>
      <c r="N168" s="27">
        <f t="shared" si="10"/>
        <v>21.30825716</v>
      </c>
      <c r="O168" s="24"/>
      <c r="P168" s="24"/>
      <c r="Q168" s="24"/>
      <c r="R168" s="26"/>
      <c r="S168" s="14">
        <f t="shared" si="13"/>
        <v>19.56729014</v>
      </c>
      <c r="U168" s="21"/>
      <c r="V168" s="21"/>
    </row>
    <row r="169">
      <c r="A169" s="11">
        <v>157.0</v>
      </c>
      <c r="B169" s="11">
        <v>1.42007826086956E9</v>
      </c>
      <c r="C169" s="2">
        <v>-102.1133957</v>
      </c>
      <c r="D169" s="24">
        <f t="shared" si="1"/>
        <v>-321739.1304</v>
      </c>
      <c r="E169" s="25">
        <f t="shared" si="2"/>
        <v>67.03561765</v>
      </c>
      <c r="F169" s="24">
        <f t="shared" si="3"/>
        <v>0.0002083539467</v>
      </c>
      <c r="G169" s="24">
        <f t="shared" si="4"/>
        <v>0</v>
      </c>
      <c r="H169" s="26">
        <f t="shared" si="5"/>
        <v>0</v>
      </c>
      <c r="I169" s="24">
        <f t="shared" si="6"/>
        <v>0</v>
      </c>
      <c r="J169" s="24">
        <f t="shared" si="7"/>
        <v>0</v>
      </c>
      <c r="K169" s="24"/>
      <c r="L169" s="24">
        <f t="shared" si="8"/>
        <v>467.4838342</v>
      </c>
      <c r="M169" s="31">
        <f t="shared" si="9"/>
        <v>446.5759477</v>
      </c>
      <c r="N169" s="27">
        <f t="shared" si="10"/>
        <v>20.90788651</v>
      </c>
      <c r="O169" s="24"/>
      <c r="P169" s="24"/>
      <c r="Q169" s="24"/>
      <c r="R169" s="26"/>
      <c r="S169" s="14">
        <f t="shared" si="13"/>
        <v>19.19963128</v>
      </c>
      <c r="U169" s="21"/>
      <c r="V169" s="21"/>
    </row>
    <row r="170">
      <c r="A170" s="11">
        <v>158.0</v>
      </c>
      <c r="B170" s="11">
        <v>1.42008260869565E9</v>
      </c>
      <c r="C170" s="2">
        <v>-102.1090393</v>
      </c>
      <c r="D170" s="24">
        <f t="shared" si="1"/>
        <v>-317391.3043</v>
      </c>
      <c r="E170" s="25">
        <f t="shared" si="2"/>
        <v>66.11732152</v>
      </c>
      <c r="F170" s="24">
        <f t="shared" si="3"/>
        <v>0.0002083148486</v>
      </c>
      <c r="G170" s="24">
        <f t="shared" si="4"/>
        <v>0</v>
      </c>
      <c r="H170" s="26">
        <f t="shared" si="5"/>
        <v>0</v>
      </c>
      <c r="I170" s="24">
        <f t="shared" si="6"/>
        <v>0</v>
      </c>
      <c r="J170" s="24">
        <f t="shared" si="7"/>
        <v>0</v>
      </c>
      <c r="K170" s="24"/>
      <c r="L170" s="24">
        <f t="shared" si="8"/>
        <v>467.9530017</v>
      </c>
      <c r="M170" s="31">
        <f t="shared" si="9"/>
        <v>446.4840777</v>
      </c>
      <c r="N170" s="27">
        <f t="shared" si="10"/>
        <v>21.46892395</v>
      </c>
      <c r="O170" s="24"/>
      <c r="P170" s="24"/>
      <c r="Q170" s="24"/>
      <c r="R170" s="26"/>
      <c r="S170" s="14">
        <f t="shared" si="13"/>
        <v>19.71482984</v>
      </c>
      <c r="U170" s="21"/>
      <c r="V170" s="21"/>
    </row>
    <row r="171">
      <c r="A171" s="11">
        <v>159.0</v>
      </c>
      <c r="B171" s="11">
        <v>1.42008695652173E9</v>
      </c>
      <c r="C171" s="2">
        <v>-102.0322037</v>
      </c>
      <c r="D171" s="24">
        <f t="shared" si="1"/>
        <v>-313043.4783</v>
      </c>
      <c r="E171" s="25">
        <f t="shared" si="2"/>
        <v>65.19902538</v>
      </c>
      <c r="F171" s="24">
        <f t="shared" si="3"/>
        <v>0.0002082746644</v>
      </c>
      <c r="G171" s="24">
        <f t="shared" si="4"/>
        <v>0</v>
      </c>
      <c r="H171" s="26">
        <f t="shared" si="5"/>
        <v>0</v>
      </c>
      <c r="I171" s="24">
        <f t="shared" si="6"/>
        <v>0</v>
      </c>
      <c r="J171" s="24">
        <f t="shared" si="7"/>
        <v>0</v>
      </c>
      <c r="K171" s="24"/>
      <c r="L171" s="24">
        <f t="shared" si="8"/>
        <v>476.3057204</v>
      </c>
      <c r="M171" s="31">
        <f t="shared" si="9"/>
        <v>446.3921497</v>
      </c>
      <c r="N171" s="27">
        <f t="shared" si="10"/>
        <v>29.91357065</v>
      </c>
      <c r="O171" s="24"/>
      <c r="P171" s="24"/>
      <c r="Q171" s="24"/>
      <c r="R171" s="26"/>
      <c r="S171" s="14">
        <f t="shared" si="13"/>
        <v>27.46951625</v>
      </c>
      <c r="U171" s="21"/>
      <c r="V171" s="21"/>
    </row>
    <row r="172">
      <c r="A172" s="11">
        <v>160.0</v>
      </c>
      <c r="B172" s="11">
        <v>1.42009130434782E9</v>
      </c>
      <c r="C172" s="2">
        <v>-102.0995407</v>
      </c>
      <c r="D172" s="24">
        <f t="shared" si="1"/>
        <v>-308695.6522</v>
      </c>
      <c r="E172" s="25">
        <f t="shared" si="2"/>
        <v>64.28072925</v>
      </c>
      <c r="F172" s="24">
        <f t="shared" si="3"/>
        <v>0.0002082333483</v>
      </c>
      <c r="G172" s="24">
        <f t="shared" si="4"/>
        <v>0</v>
      </c>
      <c r="H172" s="26">
        <f t="shared" si="5"/>
        <v>0</v>
      </c>
      <c r="I172" s="24">
        <f t="shared" si="6"/>
        <v>0</v>
      </c>
      <c r="J172" s="24">
        <f t="shared" si="7"/>
        <v>0</v>
      </c>
      <c r="K172" s="24"/>
      <c r="L172" s="24">
        <f t="shared" si="8"/>
        <v>468.9775974</v>
      </c>
      <c r="M172" s="31">
        <f t="shared" si="9"/>
        <v>446.300163</v>
      </c>
      <c r="N172" s="27">
        <f t="shared" si="10"/>
        <v>22.6774344</v>
      </c>
      <c r="O172" s="24"/>
      <c r="P172" s="24"/>
      <c r="Q172" s="24"/>
      <c r="R172" s="26"/>
      <c r="S172" s="14">
        <f t="shared" si="13"/>
        <v>20.82460031</v>
      </c>
      <c r="U172" s="21"/>
      <c r="V172" s="21"/>
    </row>
    <row r="173">
      <c r="A173" s="11">
        <v>161.0</v>
      </c>
      <c r="B173" s="11">
        <v>1.42009565217391E9</v>
      </c>
      <c r="C173" s="2">
        <v>-102.1110916</v>
      </c>
      <c r="D173" s="24">
        <f t="shared" si="1"/>
        <v>-304347.8261</v>
      </c>
      <c r="E173" s="25">
        <f t="shared" si="2"/>
        <v>63.36243312</v>
      </c>
      <c r="F173" s="24">
        <f t="shared" si="3"/>
        <v>0.0002081908517</v>
      </c>
      <c r="G173" s="24">
        <f t="shared" si="4"/>
        <v>0</v>
      </c>
      <c r="H173" s="26">
        <f t="shared" si="5"/>
        <v>0</v>
      </c>
      <c r="I173" s="24">
        <f t="shared" si="6"/>
        <v>0</v>
      </c>
      <c r="J173" s="24">
        <f t="shared" si="7"/>
        <v>0</v>
      </c>
      <c r="K173" s="24"/>
      <c r="L173" s="24">
        <f t="shared" si="8"/>
        <v>467.7319182</v>
      </c>
      <c r="M173" s="31">
        <f t="shared" si="9"/>
        <v>446.2081167</v>
      </c>
      <c r="N173" s="27">
        <f t="shared" si="10"/>
        <v>21.52380155</v>
      </c>
      <c r="O173" s="24"/>
      <c r="P173" s="24"/>
      <c r="Q173" s="24"/>
      <c r="R173" s="26"/>
      <c r="S173" s="14">
        <f t="shared" si="13"/>
        <v>19.76522368</v>
      </c>
      <c r="U173" s="21"/>
      <c r="V173" s="21"/>
    </row>
    <row r="174">
      <c r="A174" s="11">
        <v>162.0</v>
      </c>
      <c r="B174" s="11">
        <v>1.4201E9</v>
      </c>
      <c r="C174" s="2">
        <v>-102.0937881</v>
      </c>
      <c r="D174" s="24">
        <f t="shared" si="1"/>
        <v>-300000</v>
      </c>
      <c r="E174" s="25">
        <f t="shared" si="2"/>
        <v>62.44413699</v>
      </c>
      <c r="F174" s="24">
        <f t="shared" si="3"/>
        <v>0.0002081471233</v>
      </c>
      <c r="G174" s="24">
        <f t="shared" si="4"/>
        <v>0</v>
      </c>
      <c r="H174" s="26">
        <f t="shared" si="5"/>
        <v>0</v>
      </c>
      <c r="I174" s="24">
        <f t="shared" si="6"/>
        <v>0</v>
      </c>
      <c r="J174" s="24">
        <f t="shared" si="7"/>
        <v>0</v>
      </c>
      <c r="K174" s="24"/>
      <c r="L174" s="24">
        <f t="shared" si="8"/>
        <v>469.5992097</v>
      </c>
      <c r="M174" s="31">
        <f t="shared" si="9"/>
        <v>446.1160101</v>
      </c>
      <c r="N174" s="27">
        <f t="shared" si="10"/>
        <v>23.48319966</v>
      </c>
      <c r="O174" s="24"/>
      <c r="P174" s="24"/>
      <c r="Q174" s="24"/>
      <c r="R174" s="26"/>
      <c r="S174" s="14">
        <f t="shared" si="13"/>
        <v>21.56453143</v>
      </c>
      <c r="U174" s="21"/>
      <c r="V174" s="21"/>
    </row>
    <row r="175">
      <c r="A175" s="11">
        <v>163.0</v>
      </c>
      <c r="B175" s="11">
        <v>1.42010434782608E9</v>
      </c>
      <c r="C175" s="2">
        <v>-102.1201935</v>
      </c>
      <c r="D175" s="24">
        <f t="shared" si="1"/>
        <v>-295652.1739</v>
      </c>
      <c r="E175" s="25">
        <f t="shared" si="2"/>
        <v>61.52584085</v>
      </c>
      <c r="F175" s="24">
        <f t="shared" si="3"/>
        <v>0.0002081021088</v>
      </c>
      <c r="G175" s="24">
        <f t="shared" si="4"/>
        <v>0</v>
      </c>
      <c r="H175" s="26">
        <f t="shared" si="5"/>
        <v>0</v>
      </c>
      <c r="I175" s="24">
        <f t="shared" si="6"/>
        <v>0</v>
      </c>
      <c r="J175" s="24">
        <f t="shared" si="7"/>
        <v>0</v>
      </c>
      <c r="K175" s="24"/>
      <c r="L175" s="24">
        <f t="shared" si="8"/>
        <v>466.7526769</v>
      </c>
      <c r="M175" s="31">
        <f t="shared" si="9"/>
        <v>446.0238423</v>
      </c>
      <c r="N175" s="27">
        <f t="shared" si="10"/>
        <v>20.72883461</v>
      </c>
      <c r="O175" s="24"/>
      <c r="P175" s="24"/>
      <c r="Q175" s="24"/>
      <c r="R175" s="26"/>
      <c r="S175" s="14">
        <f t="shared" si="13"/>
        <v>19.03520866</v>
      </c>
      <c r="U175" s="21"/>
      <c r="V175" s="21"/>
    </row>
    <row r="176">
      <c r="A176" s="11">
        <v>164.0</v>
      </c>
      <c r="B176" s="11">
        <v>1.42010869565217E9</v>
      </c>
      <c r="C176" s="2">
        <v>-102.1580276</v>
      </c>
      <c r="D176" s="24">
        <f t="shared" si="1"/>
        <v>-291304.3478</v>
      </c>
      <c r="E176" s="25">
        <f t="shared" si="2"/>
        <v>60.60754472</v>
      </c>
      <c r="F176" s="24">
        <f t="shared" si="3"/>
        <v>0.0002080557505</v>
      </c>
      <c r="G176" s="24">
        <f t="shared" si="4"/>
        <v>0</v>
      </c>
      <c r="H176" s="26">
        <f t="shared" si="5"/>
        <v>0</v>
      </c>
      <c r="I176" s="24">
        <f t="shared" si="6"/>
        <v>0</v>
      </c>
      <c r="J176" s="24">
        <f t="shared" si="7"/>
        <v>0</v>
      </c>
      <c r="K176" s="24"/>
      <c r="L176" s="24">
        <f t="shared" si="8"/>
        <v>462.7041635</v>
      </c>
      <c r="M176" s="31">
        <f t="shared" si="9"/>
        <v>445.9316126</v>
      </c>
      <c r="N176" s="27">
        <f t="shared" si="10"/>
        <v>16.77255088</v>
      </c>
      <c r="O176" s="24"/>
      <c r="P176" s="24"/>
      <c r="Q176" s="24"/>
      <c r="R176" s="26"/>
      <c r="S176" s="14">
        <f t="shared" si="13"/>
        <v>15.40216857</v>
      </c>
      <c r="U176" s="21"/>
      <c r="V176" s="21"/>
    </row>
    <row r="177">
      <c r="A177" s="11">
        <v>165.0</v>
      </c>
      <c r="B177" s="11">
        <v>1.42011304347826E9</v>
      </c>
      <c r="C177" s="2">
        <v>-102.1462021</v>
      </c>
      <c r="D177" s="24">
        <f t="shared" si="1"/>
        <v>-286956.5217</v>
      </c>
      <c r="E177" s="25">
        <f t="shared" si="2"/>
        <v>59.68924859</v>
      </c>
      <c r="F177" s="24">
        <f t="shared" si="3"/>
        <v>0.0002080079875</v>
      </c>
      <c r="G177" s="24">
        <f t="shared" si="4"/>
        <v>0</v>
      </c>
      <c r="H177" s="26">
        <f t="shared" si="5"/>
        <v>0</v>
      </c>
      <c r="I177" s="24">
        <f t="shared" si="6"/>
        <v>0</v>
      </c>
      <c r="J177" s="24">
        <f t="shared" si="7"/>
        <v>0</v>
      </c>
      <c r="K177" s="24"/>
      <c r="L177" s="24">
        <f t="shared" si="8"/>
        <v>463.9657877</v>
      </c>
      <c r="M177" s="31">
        <f t="shared" si="9"/>
        <v>445.8393202</v>
      </c>
      <c r="N177" s="27">
        <f t="shared" si="10"/>
        <v>18.12646749</v>
      </c>
      <c r="O177" s="24"/>
      <c r="P177" s="24"/>
      <c r="Q177" s="24"/>
      <c r="R177" s="26"/>
      <c r="S177" s="14">
        <f t="shared" si="13"/>
        <v>16.64546499</v>
      </c>
      <c r="U177" s="21"/>
      <c r="V177" s="21"/>
    </row>
    <row r="178">
      <c r="A178" s="11">
        <v>166.0</v>
      </c>
      <c r="B178" s="11">
        <v>1.42011739130434E9</v>
      </c>
      <c r="C178" s="2">
        <v>-102.125618</v>
      </c>
      <c r="D178" s="24">
        <f t="shared" si="1"/>
        <v>-282608.6957</v>
      </c>
      <c r="E178" s="25">
        <f t="shared" si="2"/>
        <v>58.77095246</v>
      </c>
      <c r="F178" s="24">
        <f t="shared" si="3"/>
        <v>0.0002079587548</v>
      </c>
      <c r="G178" s="24">
        <f t="shared" si="4"/>
        <v>0</v>
      </c>
      <c r="H178" s="26">
        <f t="shared" si="5"/>
        <v>0</v>
      </c>
      <c r="I178" s="24">
        <f t="shared" si="6"/>
        <v>0</v>
      </c>
      <c r="J178" s="24">
        <f t="shared" si="7"/>
        <v>0</v>
      </c>
      <c r="K178" s="24"/>
      <c r="L178" s="24">
        <f t="shared" si="8"/>
        <v>466.1700493</v>
      </c>
      <c r="M178" s="31">
        <f t="shared" si="9"/>
        <v>445.7469644</v>
      </c>
      <c r="N178" s="27">
        <f t="shared" si="10"/>
        <v>20.42308499</v>
      </c>
      <c r="O178" s="24"/>
      <c r="P178" s="24"/>
      <c r="Q178" s="24"/>
      <c r="R178" s="26"/>
      <c r="S178" s="14">
        <f t="shared" si="13"/>
        <v>18.75443997</v>
      </c>
      <c r="U178" s="21"/>
      <c r="V178" s="21"/>
    </row>
    <row r="179">
      <c r="A179" s="11">
        <v>167.0</v>
      </c>
      <c r="B179" s="11">
        <v>1.42012173913043E9</v>
      </c>
      <c r="C179" s="2">
        <v>-102.1677399</v>
      </c>
      <c r="D179" s="24">
        <f t="shared" si="1"/>
        <v>-278260.8696</v>
      </c>
      <c r="E179" s="25">
        <f t="shared" si="2"/>
        <v>57.85265632</v>
      </c>
      <c r="F179" s="24">
        <f t="shared" si="3"/>
        <v>0.0002079079837</v>
      </c>
      <c r="G179" s="24">
        <f t="shared" si="4"/>
        <v>0</v>
      </c>
      <c r="H179" s="26">
        <f t="shared" si="5"/>
        <v>0</v>
      </c>
      <c r="I179" s="24">
        <f t="shared" si="6"/>
        <v>0</v>
      </c>
      <c r="J179" s="24">
        <f t="shared" si="7"/>
        <v>0</v>
      </c>
      <c r="K179" s="24"/>
      <c r="L179" s="24">
        <f t="shared" si="8"/>
        <v>461.670556</v>
      </c>
      <c r="M179" s="31">
        <f t="shared" si="9"/>
        <v>445.6545442</v>
      </c>
      <c r="N179" s="27">
        <f t="shared" si="10"/>
        <v>16.01601178</v>
      </c>
      <c r="O179" s="24"/>
      <c r="P179" s="24"/>
      <c r="Q179" s="24"/>
      <c r="R179" s="26"/>
      <c r="S179" s="14">
        <f t="shared" si="13"/>
        <v>14.70744165</v>
      </c>
      <c r="U179" s="21"/>
      <c r="V179" s="21"/>
    </row>
    <row r="180">
      <c r="A180" s="11">
        <v>168.0</v>
      </c>
      <c r="B180" s="11">
        <v>1.42012608695652E9</v>
      </c>
      <c r="C180" s="2">
        <v>-102.0867615</v>
      </c>
      <c r="D180" s="24">
        <f t="shared" si="1"/>
        <v>-273913.0435</v>
      </c>
      <c r="E180" s="25">
        <f t="shared" si="2"/>
        <v>56.93436019</v>
      </c>
      <c r="F180" s="24">
        <f t="shared" si="3"/>
        <v>0.0002078556007</v>
      </c>
      <c r="G180" s="24">
        <f t="shared" si="4"/>
        <v>0</v>
      </c>
      <c r="H180" s="26">
        <f t="shared" si="5"/>
        <v>0</v>
      </c>
      <c r="I180" s="24">
        <f t="shared" si="6"/>
        <v>0</v>
      </c>
      <c r="J180" s="24">
        <f t="shared" si="7"/>
        <v>0</v>
      </c>
      <c r="K180" s="24"/>
      <c r="L180" s="24">
        <f t="shared" si="8"/>
        <v>470.3596054</v>
      </c>
      <c r="M180" s="31">
        <f t="shared" si="9"/>
        <v>445.562059</v>
      </c>
      <c r="N180" s="27">
        <f t="shared" si="10"/>
        <v>24.79754646</v>
      </c>
      <c r="O180" s="24"/>
      <c r="P180" s="24"/>
      <c r="Q180" s="24"/>
      <c r="R180" s="26"/>
      <c r="S180" s="14">
        <f t="shared" si="13"/>
        <v>22.77149102</v>
      </c>
      <c r="U180" s="21"/>
      <c r="V180" s="21"/>
    </row>
    <row r="181">
      <c r="A181" s="11">
        <v>169.0</v>
      </c>
      <c r="B181" s="11">
        <v>1.4201304347826E9</v>
      </c>
      <c r="C181" s="2">
        <v>-102.1483002</v>
      </c>
      <c r="D181" s="24">
        <f t="shared" si="1"/>
        <v>-269565.2174</v>
      </c>
      <c r="E181" s="25">
        <f t="shared" si="2"/>
        <v>56.01606406</v>
      </c>
      <c r="F181" s="24">
        <f t="shared" si="3"/>
        <v>0.000207801528</v>
      </c>
      <c r="G181" s="24">
        <f t="shared" si="4"/>
        <v>0</v>
      </c>
      <c r="H181" s="26">
        <f t="shared" si="5"/>
        <v>0</v>
      </c>
      <c r="I181" s="24">
        <f t="shared" si="6"/>
        <v>0</v>
      </c>
      <c r="J181" s="24">
        <f t="shared" si="7"/>
        <v>0</v>
      </c>
      <c r="K181" s="24"/>
      <c r="L181" s="24">
        <f t="shared" si="8"/>
        <v>463.7416975</v>
      </c>
      <c r="M181" s="31">
        <f t="shared" si="9"/>
        <v>445.4695079</v>
      </c>
      <c r="N181" s="27">
        <f t="shared" si="10"/>
        <v>18.2721896</v>
      </c>
      <c r="O181" s="24"/>
      <c r="P181" s="24"/>
      <c r="Q181" s="24"/>
      <c r="R181" s="26"/>
      <c r="S181" s="14">
        <f t="shared" si="13"/>
        <v>16.77928104</v>
      </c>
      <c r="U181" s="21"/>
      <c r="V181" s="21"/>
    </row>
    <row r="182">
      <c r="A182" s="11">
        <v>170.0</v>
      </c>
      <c r="B182" s="11">
        <v>1.42013478260869E9</v>
      </c>
      <c r="C182" s="2">
        <v>-102.1306458</v>
      </c>
      <c r="D182" s="24">
        <f t="shared" si="1"/>
        <v>-265217.3913</v>
      </c>
      <c r="E182" s="25">
        <f t="shared" si="2"/>
        <v>55.09776793</v>
      </c>
      <c r="F182" s="24">
        <f t="shared" si="3"/>
        <v>0.0002077456823</v>
      </c>
      <c r="G182" s="24">
        <f t="shared" si="4"/>
        <v>0</v>
      </c>
      <c r="H182" s="26">
        <f t="shared" si="5"/>
        <v>0</v>
      </c>
      <c r="I182" s="24">
        <f t="shared" si="6"/>
        <v>0</v>
      </c>
      <c r="J182" s="24">
        <f t="shared" si="7"/>
        <v>0</v>
      </c>
      <c r="K182" s="24"/>
      <c r="L182" s="24">
        <f t="shared" si="8"/>
        <v>465.6306795</v>
      </c>
      <c r="M182" s="31">
        <f t="shared" si="9"/>
        <v>445.3768902</v>
      </c>
      <c r="N182" s="27">
        <f t="shared" si="10"/>
        <v>20.25378931</v>
      </c>
      <c r="O182" s="24"/>
      <c r="P182" s="24"/>
      <c r="Q182" s="24"/>
      <c r="R182" s="26"/>
      <c r="S182" s="14">
        <f t="shared" si="13"/>
        <v>18.5989764</v>
      </c>
      <c r="U182" s="21"/>
      <c r="V182" s="21"/>
    </row>
    <row r="183">
      <c r="A183" s="11">
        <v>171.0</v>
      </c>
      <c r="B183" s="11">
        <v>1.42013913043478E9</v>
      </c>
      <c r="C183" s="2">
        <v>-102.1859436</v>
      </c>
      <c r="D183" s="24">
        <f t="shared" si="1"/>
        <v>-260869.5652</v>
      </c>
      <c r="E183" s="25">
        <f t="shared" si="2"/>
        <v>54.1794718</v>
      </c>
      <c r="F183" s="24">
        <f t="shared" si="3"/>
        <v>0.0002076879752</v>
      </c>
      <c r="G183" s="24">
        <f t="shared" si="4"/>
        <v>0</v>
      </c>
      <c r="H183" s="26">
        <f t="shared" si="5"/>
        <v>0</v>
      </c>
      <c r="I183" s="24">
        <f t="shared" si="6"/>
        <v>0</v>
      </c>
      <c r="J183" s="24">
        <f t="shared" si="7"/>
        <v>0</v>
      </c>
      <c r="K183" s="24"/>
      <c r="L183" s="24">
        <f t="shared" si="8"/>
        <v>459.7394875</v>
      </c>
      <c r="M183" s="31">
        <f t="shared" si="9"/>
        <v>445.284205</v>
      </c>
      <c r="N183" s="27">
        <f t="shared" si="10"/>
        <v>14.45528251</v>
      </c>
      <c r="O183" s="24"/>
      <c r="P183" s="24"/>
      <c r="Q183" s="24"/>
      <c r="R183" s="26"/>
      <c r="S183" s="14">
        <f t="shared" si="13"/>
        <v>13.27423</v>
      </c>
      <c r="U183" s="21"/>
      <c r="V183" s="21"/>
    </row>
    <row r="184">
      <c r="A184" s="11">
        <v>172.0</v>
      </c>
      <c r="B184" s="11">
        <v>1.42014347826087E9</v>
      </c>
      <c r="C184" s="2">
        <v>-102.1457901</v>
      </c>
      <c r="D184" s="24">
        <f t="shared" si="1"/>
        <v>-256521.7391</v>
      </c>
      <c r="E184" s="25">
        <f t="shared" si="2"/>
        <v>53.26117567</v>
      </c>
      <c r="F184" s="24">
        <f t="shared" si="3"/>
        <v>0.0002076283119</v>
      </c>
      <c r="G184" s="24">
        <f t="shared" si="4"/>
        <v>0</v>
      </c>
      <c r="H184" s="26">
        <f t="shared" si="5"/>
        <v>0</v>
      </c>
      <c r="I184" s="24">
        <f t="shared" si="6"/>
        <v>0</v>
      </c>
      <c r="J184" s="24">
        <f t="shared" si="7"/>
        <v>0</v>
      </c>
      <c r="K184" s="24"/>
      <c r="L184" s="24">
        <f t="shared" si="8"/>
        <v>464.0098046</v>
      </c>
      <c r="M184" s="31">
        <f t="shared" si="9"/>
        <v>445.1914516</v>
      </c>
      <c r="N184" s="27">
        <f t="shared" si="10"/>
        <v>18.81835297</v>
      </c>
      <c r="O184" s="24"/>
      <c r="P184" s="24"/>
      <c r="Q184" s="24"/>
      <c r="R184" s="26"/>
      <c r="S184" s="14">
        <f t="shared" si="13"/>
        <v>17.28082076</v>
      </c>
      <c r="U184" s="21"/>
      <c r="V184" s="21"/>
    </row>
    <row r="185">
      <c r="A185" s="11">
        <v>173.0</v>
      </c>
      <c r="B185" s="11">
        <v>1.42014782608695E9</v>
      </c>
      <c r="C185" s="2">
        <v>-102.1656189</v>
      </c>
      <c r="D185" s="24">
        <f t="shared" si="1"/>
        <v>-252173.913</v>
      </c>
      <c r="E185" s="25">
        <f t="shared" si="2"/>
        <v>52.34287953</v>
      </c>
      <c r="F185" s="24">
        <f t="shared" si="3"/>
        <v>0.0002075665912</v>
      </c>
      <c r="G185" s="24">
        <f t="shared" si="4"/>
        <v>0</v>
      </c>
      <c r="H185" s="26">
        <f t="shared" si="5"/>
        <v>0</v>
      </c>
      <c r="I185" s="24">
        <f t="shared" si="6"/>
        <v>0</v>
      </c>
      <c r="J185" s="24">
        <f t="shared" si="7"/>
        <v>0</v>
      </c>
      <c r="K185" s="24"/>
      <c r="L185" s="24">
        <f t="shared" si="8"/>
        <v>461.8960809</v>
      </c>
      <c r="M185" s="31">
        <f t="shared" si="9"/>
        <v>445.0986293</v>
      </c>
      <c r="N185" s="27">
        <f t="shared" si="10"/>
        <v>16.79745165</v>
      </c>
      <c r="O185" s="24"/>
      <c r="P185" s="24"/>
      <c r="Q185" s="24"/>
      <c r="R185" s="26"/>
      <c r="S185" s="14">
        <f t="shared" si="13"/>
        <v>15.42503489</v>
      </c>
      <c r="U185" s="21"/>
      <c r="V185" s="21"/>
    </row>
    <row r="186">
      <c r="A186" s="11">
        <v>174.0</v>
      </c>
      <c r="B186" s="11">
        <v>1.42015217391304E9</v>
      </c>
      <c r="C186" s="2">
        <v>-102.136322</v>
      </c>
      <c r="D186" s="24">
        <f t="shared" si="1"/>
        <v>-247826.087</v>
      </c>
      <c r="E186" s="25">
        <f t="shared" si="2"/>
        <v>51.4245834</v>
      </c>
      <c r="F186" s="24">
        <f t="shared" si="3"/>
        <v>0.0002075027049</v>
      </c>
      <c r="G186" s="24">
        <f t="shared" si="4"/>
        <v>0</v>
      </c>
      <c r="H186" s="26">
        <f t="shared" si="5"/>
        <v>0</v>
      </c>
      <c r="I186" s="24">
        <f t="shared" si="6"/>
        <v>0</v>
      </c>
      <c r="J186" s="24">
        <f t="shared" si="7"/>
        <v>0</v>
      </c>
      <c r="K186" s="24"/>
      <c r="L186" s="24">
        <f t="shared" si="8"/>
        <v>465.0225008</v>
      </c>
      <c r="M186" s="31">
        <f t="shared" si="9"/>
        <v>445.0057371</v>
      </c>
      <c r="N186" s="27">
        <f t="shared" si="10"/>
        <v>20.0167637</v>
      </c>
      <c r="O186" s="24"/>
      <c r="P186" s="24"/>
      <c r="Q186" s="24"/>
      <c r="R186" s="26"/>
      <c r="S186" s="14">
        <f t="shared" si="13"/>
        <v>18.38131665</v>
      </c>
      <c r="U186" s="21"/>
      <c r="V186" s="21"/>
    </row>
    <row r="187">
      <c r="A187" s="11">
        <v>175.0</v>
      </c>
      <c r="B187" s="11">
        <v>1.42015652173913E9</v>
      </c>
      <c r="C187" s="2">
        <v>-102.1176376</v>
      </c>
      <c r="D187" s="24">
        <f t="shared" si="1"/>
        <v>-243478.2609</v>
      </c>
      <c r="E187" s="25">
        <f t="shared" si="2"/>
        <v>50.50628727</v>
      </c>
      <c r="F187" s="24">
        <f t="shared" si="3"/>
        <v>0.000207436537</v>
      </c>
      <c r="G187" s="24">
        <f t="shared" si="4"/>
        <v>0</v>
      </c>
      <c r="H187" s="26">
        <f t="shared" si="5"/>
        <v>0</v>
      </c>
      <c r="I187" s="24">
        <f t="shared" si="6"/>
        <v>0</v>
      </c>
      <c r="J187" s="24">
        <f t="shared" si="7"/>
        <v>0</v>
      </c>
      <c r="K187" s="24"/>
      <c r="L187" s="24">
        <f t="shared" si="8"/>
        <v>467.02745</v>
      </c>
      <c r="M187" s="31">
        <f t="shared" si="9"/>
        <v>444.9127744</v>
      </c>
      <c r="N187" s="27">
        <f t="shared" si="10"/>
        <v>22.11467561</v>
      </c>
      <c r="O187" s="24"/>
      <c r="P187" s="24"/>
      <c r="Q187" s="24"/>
      <c r="R187" s="26"/>
      <c r="S187" s="14">
        <f t="shared" si="13"/>
        <v>20.30782109</v>
      </c>
      <c r="U187" s="21"/>
      <c r="V187" s="21"/>
    </row>
    <row r="188">
      <c r="A188" s="11">
        <v>176.0</v>
      </c>
      <c r="B188" s="11">
        <v>1.42016086956521E9</v>
      </c>
      <c r="C188" s="2">
        <v>-102.1621399</v>
      </c>
      <c r="D188" s="24">
        <f t="shared" si="1"/>
        <v>-239130.4348</v>
      </c>
      <c r="E188" s="25">
        <f t="shared" si="2"/>
        <v>49.58799114</v>
      </c>
      <c r="F188" s="24">
        <f t="shared" si="3"/>
        <v>0.0002073679629</v>
      </c>
      <c r="G188" s="24">
        <f t="shared" si="4"/>
        <v>0</v>
      </c>
      <c r="H188" s="26">
        <f t="shared" si="5"/>
        <v>0</v>
      </c>
      <c r="I188" s="24">
        <f t="shared" si="6"/>
        <v>0</v>
      </c>
      <c r="J188" s="24">
        <f t="shared" si="7"/>
        <v>0</v>
      </c>
      <c r="K188" s="24"/>
      <c r="L188" s="24">
        <f t="shared" si="8"/>
        <v>462.26624</v>
      </c>
      <c r="M188" s="31">
        <f t="shared" si="9"/>
        <v>444.8197402</v>
      </c>
      <c r="N188" s="27">
        <f t="shared" si="10"/>
        <v>17.44649971</v>
      </c>
      <c r="O188" s="24"/>
      <c r="P188" s="24"/>
      <c r="Q188" s="24"/>
      <c r="R188" s="26"/>
      <c r="S188" s="14">
        <f t="shared" si="13"/>
        <v>16.02105322</v>
      </c>
      <c r="U188" s="21"/>
      <c r="V188" s="21"/>
    </row>
    <row r="189">
      <c r="A189" s="11">
        <v>177.0</v>
      </c>
      <c r="B189" s="11">
        <v>1.4201652173913E9</v>
      </c>
      <c r="C189" s="2">
        <v>-102.0643082</v>
      </c>
      <c r="D189" s="24">
        <f t="shared" si="1"/>
        <v>-234782.6087</v>
      </c>
      <c r="E189" s="25">
        <f t="shared" si="2"/>
        <v>48.669695</v>
      </c>
      <c r="F189" s="24">
        <f t="shared" si="3"/>
        <v>0.0002072968491</v>
      </c>
      <c r="G189" s="24">
        <f t="shared" si="4"/>
        <v>0</v>
      </c>
      <c r="H189" s="26">
        <f t="shared" si="5"/>
        <v>0</v>
      </c>
      <c r="I189" s="24">
        <f t="shared" si="6"/>
        <v>0</v>
      </c>
      <c r="J189" s="24">
        <f t="shared" si="7"/>
        <v>0</v>
      </c>
      <c r="K189" s="24"/>
      <c r="L189" s="24">
        <f t="shared" si="8"/>
        <v>472.7976915</v>
      </c>
      <c r="M189" s="31">
        <f t="shared" si="9"/>
        <v>444.726634</v>
      </c>
      <c r="N189" s="27">
        <f t="shared" si="10"/>
        <v>28.07105753</v>
      </c>
      <c r="O189" s="24"/>
      <c r="P189" s="24"/>
      <c r="Q189" s="24"/>
      <c r="R189" s="26"/>
      <c r="S189" s="14">
        <f t="shared" si="13"/>
        <v>25.77754351</v>
      </c>
      <c r="U189" s="21"/>
      <c r="V189" s="21"/>
    </row>
    <row r="190">
      <c r="A190" s="11">
        <v>178.0</v>
      </c>
      <c r="B190" s="11">
        <v>1.42016956521739E9</v>
      </c>
      <c r="C190" s="2">
        <v>-102.0897217</v>
      </c>
      <c r="D190" s="24">
        <f t="shared" si="1"/>
        <v>-230434.7826</v>
      </c>
      <c r="E190" s="25">
        <f t="shared" si="2"/>
        <v>47.75139887</v>
      </c>
      <c r="F190" s="24">
        <f t="shared" si="3"/>
        <v>0.0002072230517</v>
      </c>
      <c r="G190" s="24">
        <f t="shared" si="4"/>
        <v>0</v>
      </c>
      <c r="H190" s="26">
        <f t="shared" si="5"/>
        <v>0</v>
      </c>
      <c r="I190" s="24">
        <f t="shared" si="6"/>
        <v>0</v>
      </c>
      <c r="J190" s="24">
        <f t="shared" si="7"/>
        <v>0</v>
      </c>
      <c r="K190" s="24"/>
      <c r="L190" s="24">
        <f t="shared" si="8"/>
        <v>470.0391123</v>
      </c>
      <c r="M190" s="31">
        <f t="shared" si="9"/>
        <v>444.6334548</v>
      </c>
      <c r="N190" s="27">
        <f t="shared" si="10"/>
        <v>25.40565751</v>
      </c>
      <c r="O190" s="24"/>
      <c r="P190" s="24"/>
      <c r="Q190" s="24"/>
      <c r="R190" s="26"/>
      <c r="S190" s="14">
        <f t="shared" si="13"/>
        <v>23.32991704</v>
      </c>
      <c r="U190" s="21"/>
      <c r="V190" s="21"/>
    </row>
    <row r="191">
      <c r="A191" s="11">
        <v>179.0</v>
      </c>
      <c r="B191" s="11">
        <v>1.42017391304347E9</v>
      </c>
      <c r="C191" s="2">
        <v>-102.1410828</v>
      </c>
      <c r="D191" s="24">
        <f t="shared" si="1"/>
        <v>-226086.9565</v>
      </c>
      <c r="E191" s="25">
        <f t="shared" si="2"/>
        <v>46.83310274</v>
      </c>
      <c r="F191" s="24">
        <f t="shared" si="3"/>
        <v>0.000207146416</v>
      </c>
      <c r="G191" s="24">
        <f t="shared" si="4"/>
        <v>0</v>
      </c>
      <c r="H191" s="26">
        <f t="shared" si="5"/>
        <v>0</v>
      </c>
      <c r="I191" s="24">
        <f t="shared" si="6"/>
        <v>0</v>
      </c>
      <c r="J191" s="24">
        <f t="shared" si="7"/>
        <v>0</v>
      </c>
      <c r="K191" s="24"/>
      <c r="L191" s="24">
        <f t="shared" si="8"/>
        <v>464.5130156</v>
      </c>
      <c r="M191" s="31">
        <f t="shared" si="9"/>
        <v>444.5402018</v>
      </c>
      <c r="N191" s="27">
        <f t="shared" si="10"/>
        <v>19.97281377</v>
      </c>
      <c r="O191" s="24"/>
      <c r="P191" s="24"/>
      <c r="Q191" s="24"/>
      <c r="R191" s="26"/>
      <c r="S191" s="14">
        <f t="shared" si="13"/>
        <v>18.34095765</v>
      </c>
      <c r="U191" s="21"/>
      <c r="V191" s="21"/>
    </row>
    <row r="192">
      <c r="A192" s="11">
        <v>180.0</v>
      </c>
      <c r="B192" s="11">
        <v>1.42017826086956E9</v>
      </c>
      <c r="C192" s="2">
        <v>-102.1227722</v>
      </c>
      <c r="D192" s="24">
        <f t="shared" si="1"/>
        <v>-221739.1304</v>
      </c>
      <c r="E192" s="25">
        <f t="shared" si="2"/>
        <v>45.91480661</v>
      </c>
      <c r="F192" s="24">
        <f t="shared" si="3"/>
        <v>0.0002070667749</v>
      </c>
      <c r="G192" s="24">
        <f t="shared" si="4"/>
        <v>0</v>
      </c>
      <c r="H192" s="26">
        <f t="shared" si="5"/>
        <v>0</v>
      </c>
      <c r="I192" s="24">
        <f t="shared" si="6"/>
        <v>0</v>
      </c>
      <c r="J192" s="24">
        <f t="shared" si="7"/>
        <v>0</v>
      </c>
      <c r="K192" s="24"/>
      <c r="L192" s="24">
        <f t="shared" si="8"/>
        <v>466.4756165</v>
      </c>
      <c r="M192" s="31">
        <f t="shared" si="9"/>
        <v>444.4468744</v>
      </c>
      <c r="N192" s="27">
        <f t="shared" si="10"/>
        <v>22.02874217</v>
      </c>
      <c r="O192" s="24"/>
      <c r="P192" s="24"/>
      <c r="Q192" s="24"/>
      <c r="R192" s="26"/>
      <c r="S192" s="14">
        <f t="shared" si="13"/>
        <v>20.2289087</v>
      </c>
      <c r="U192" s="21"/>
      <c r="V192" s="21"/>
    </row>
    <row r="193">
      <c r="A193" s="11">
        <v>181.0</v>
      </c>
      <c r="B193" s="11">
        <v>1.42018260869565E9</v>
      </c>
      <c r="C193" s="2">
        <v>-102.1398315</v>
      </c>
      <c r="D193" s="24">
        <f t="shared" si="1"/>
        <v>-217391.3043</v>
      </c>
      <c r="E193" s="25">
        <f t="shared" si="2"/>
        <v>44.99651048</v>
      </c>
      <c r="F193" s="24">
        <f t="shared" si="3"/>
        <v>0.0002069839482</v>
      </c>
      <c r="G193" s="24">
        <f t="shared" si="4"/>
        <v>0</v>
      </c>
      <c r="H193" s="26">
        <f t="shared" si="5"/>
        <v>0</v>
      </c>
      <c r="I193" s="24">
        <f t="shared" si="6"/>
        <v>0</v>
      </c>
      <c r="J193" s="24">
        <f t="shared" si="7"/>
        <v>0</v>
      </c>
      <c r="K193" s="24"/>
      <c r="L193" s="24">
        <f t="shared" si="8"/>
        <v>464.6468715</v>
      </c>
      <c r="M193" s="31">
        <f t="shared" si="9"/>
        <v>444.3534716</v>
      </c>
      <c r="N193" s="27">
        <f t="shared" si="10"/>
        <v>20.29339991</v>
      </c>
      <c r="O193" s="24"/>
      <c r="P193" s="24"/>
      <c r="Q193" s="24"/>
      <c r="R193" s="26"/>
      <c r="S193" s="14">
        <f t="shared" si="13"/>
        <v>18.63535066</v>
      </c>
      <c r="U193" s="21"/>
      <c r="V193" s="21"/>
    </row>
    <row r="194">
      <c r="A194" s="11">
        <v>182.0</v>
      </c>
      <c r="B194" s="11">
        <v>1.42018695652173E9</v>
      </c>
      <c r="C194" s="2">
        <v>-102.0946503</v>
      </c>
      <c r="D194" s="24">
        <f t="shared" si="1"/>
        <v>-213043.4783</v>
      </c>
      <c r="E194" s="25">
        <f t="shared" si="2"/>
        <v>44.07821434</v>
      </c>
      <c r="F194" s="24">
        <f t="shared" si="3"/>
        <v>0.0002068977408</v>
      </c>
      <c r="G194" s="24">
        <f t="shared" si="4"/>
        <v>0</v>
      </c>
      <c r="H194" s="26">
        <f t="shared" si="5"/>
        <v>0</v>
      </c>
      <c r="I194" s="24">
        <f t="shared" si="6"/>
        <v>0</v>
      </c>
      <c r="J194" s="24">
        <f t="shared" si="7"/>
        <v>0</v>
      </c>
      <c r="K194" s="24"/>
      <c r="L194" s="24">
        <f t="shared" si="8"/>
        <v>469.50599</v>
      </c>
      <c r="M194" s="31">
        <f t="shared" si="9"/>
        <v>444.2599928</v>
      </c>
      <c r="N194" s="27">
        <f t="shared" si="10"/>
        <v>25.24599722</v>
      </c>
      <c r="O194" s="24"/>
      <c r="P194" s="24"/>
      <c r="Q194" s="24"/>
      <c r="R194" s="26"/>
      <c r="S194" s="14">
        <f t="shared" si="13"/>
        <v>23.18330162</v>
      </c>
      <c r="U194" s="21"/>
      <c r="V194" s="21"/>
    </row>
    <row r="195">
      <c r="A195" s="11">
        <v>183.0</v>
      </c>
      <c r="B195" s="11">
        <v>1.42019130434782E9</v>
      </c>
      <c r="C195" s="2">
        <v>-102.0915451</v>
      </c>
      <c r="D195" s="24">
        <f t="shared" si="1"/>
        <v>-208695.6522</v>
      </c>
      <c r="E195" s="25">
        <f t="shared" si="2"/>
        <v>43.15991821</v>
      </c>
      <c r="F195" s="24">
        <f t="shared" si="3"/>
        <v>0.0002068079414</v>
      </c>
      <c r="G195" s="24">
        <f t="shared" si="4"/>
        <v>0</v>
      </c>
      <c r="H195" s="26">
        <f t="shared" si="5"/>
        <v>0</v>
      </c>
      <c r="I195" s="24">
        <f t="shared" si="6"/>
        <v>0</v>
      </c>
      <c r="J195" s="24">
        <f t="shared" si="7"/>
        <v>0</v>
      </c>
      <c r="K195" s="24"/>
      <c r="L195" s="24">
        <f t="shared" si="8"/>
        <v>469.8418062</v>
      </c>
      <c r="M195" s="31">
        <f t="shared" si="9"/>
        <v>444.166437</v>
      </c>
      <c r="N195" s="27">
        <f t="shared" si="10"/>
        <v>25.67536918</v>
      </c>
      <c r="O195" s="24"/>
      <c r="P195" s="24"/>
      <c r="Q195" s="24"/>
      <c r="R195" s="26"/>
      <c r="S195" s="14">
        <f t="shared" si="13"/>
        <v>23.57759223</v>
      </c>
      <c r="U195" s="21"/>
      <c r="V195" s="21"/>
    </row>
    <row r="196">
      <c r="A196" s="11">
        <v>184.0</v>
      </c>
      <c r="B196" s="11">
        <v>1.42019565217391E9</v>
      </c>
      <c r="C196" s="2">
        <v>-102.0573044</v>
      </c>
      <c r="D196" s="24">
        <f t="shared" si="1"/>
        <v>-204347.8261</v>
      </c>
      <c r="E196" s="25">
        <f t="shared" si="2"/>
        <v>42.24162208</v>
      </c>
      <c r="F196" s="24">
        <f t="shared" si="3"/>
        <v>0.0002067143208</v>
      </c>
      <c r="G196" s="24">
        <f t="shared" si="4"/>
        <v>0</v>
      </c>
      <c r="H196" s="26">
        <f t="shared" si="5"/>
        <v>0</v>
      </c>
      <c r="I196" s="24">
        <f t="shared" si="6"/>
        <v>0</v>
      </c>
      <c r="J196" s="24">
        <f t="shared" si="7"/>
        <v>0</v>
      </c>
      <c r="K196" s="24"/>
      <c r="L196" s="24">
        <f t="shared" si="8"/>
        <v>473.5607802</v>
      </c>
      <c r="M196" s="31">
        <f t="shared" si="9"/>
        <v>444.0728036</v>
      </c>
      <c r="N196" s="27">
        <f t="shared" si="10"/>
        <v>29.48797657</v>
      </c>
      <c r="O196" s="24"/>
      <c r="P196" s="24"/>
      <c r="Q196" s="24"/>
      <c r="R196" s="26"/>
      <c r="S196" s="14">
        <f t="shared" si="13"/>
        <v>27.07869479</v>
      </c>
      <c r="U196" s="21"/>
      <c r="V196" s="21"/>
    </row>
    <row r="197">
      <c r="A197" s="11">
        <v>185.0</v>
      </c>
      <c r="B197" s="11">
        <v>1.4202E9</v>
      </c>
      <c r="C197" s="2">
        <v>-102.0839996</v>
      </c>
      <c r="D197" s="24">
        <f t="shared" si="1"/>
        <v>-200000</v>
      </c>
      <c r="E197" s="25">
        <f t="shared" si="2"/>
        <v>41.32332595</v>
      </c>
      <c r="F197" s="24">
        <f t="shared" si="3"/>
        <v>0.0002066166297</v>
      </c>
      <c r="G197" s="24">
        <f t="shared" si="4"/>
        <v>0</v>
      </c>
      <c r="H197" s="26">
        <f t="shared" si="5"/>
        <v>0</v>
      </c>
      <c r="I197" s="24">
        <f t="shared" si="6"/>
        <v>0</v>
      </c>
      <c r="J197" s="24">
        <f t="shared" si="7"/>
        <v>0</v>
      </c>
      <c r="K197" s="24"/>
      <c r="L197" s="24">
        <f t="shared" si="8"/>
        <v>470.6588262</v>
      </c>
      <c r="M197" s="31">
        <f t="shared" si="9"/>
        <v>443.9790918</v>
      </c>
      <c r="N197" s="27">
        <f t="shared" si="10"/>
        <v>26.67973446</v>
      </c>
      <c r="O197" s="24"/>
      <c r="P197" s="24"/>
      <c r="Q197" s="24"/>
      <c r="R197" s="26"/>
      <c r="S197" s="14">
        <f t="shared" si="13"/>
        <v>24.49989698</v>
      </c>
      <c r="U197" s="21"/>
      <c r="V197" s="21"/>
    </row>
    <row r="198">
      <c r="A198" s="11">
        <v>186.0</v>
      </c>
      <c r="B198" s="11">
        <v>1.42020434782608E9</v>
      </c>
      <c r="C198" s="2">
        <v>-102.030426</v>
      </c>
      <c r="D198" s="24">
        <f t="shared" si="1"/>
        <v>-195652.1739</v>
      </c>
      <c r="E198" s="25">
        <f t="shared" si="2"/>
        <v>40.40502981</v>
      </c>
      <c r="F198" s="24">
        <f t="shared" si="3"/>
        <v>0.0002065145968</v>
      </c>
      <c r="G198" s="24">
        <f t="shared" si="4"/>
        <v>0</v>
      </c>
      <c r="H198" s="26">
        <f t="shared" si="5"/>
        <v>0</v>
      </c>
      <c r="I198" s="24">
        <f t="shared" si="6"/>
        <v>0</v>
      </c>
      <c r="J198" s="24">
        <f t="shared" si="7"/>
        <v>0</v>
      </c>
      <c r="K198" s="24"/>
      <c r="L198" s="24">
        <f t="shared" si="8"/>
        <v>476.5007268</v>
      </c>
      <c r="M198" s="31">
        <f t="shared" si="9"/>
        <v>443.8853007</v>
      </c>
      <c r="N198" s="27">
        <f t="shared" si="10"/>
        <v>32.61542613</v>
      </c>
      <c r="O198" s="24"/>
      <c r="P198" s="24"/>
      <c r="Q198" s="24"/>
      <c r="R198" s="26"/>
      <c r="S198" s="14">
        <f t="shared" si="13"/>
        <v>29.95061968</v>
      </c>
      <c r="U198" s="21"/>
      <c r="V198" s="21"/>
    </row>
    <row r="199">
      <c r="A199" s="11">
        <v>187.0</v>
      </c>
      <c r="B199" s="11">
        <v>1.42020869565217E9</v>
      </c>
      <c r="C199" s="2">
        <v>-102.116539</v>
      </c>
      <c r="D199" s="24">
        <f t="shared" si="1"/>
        <v>-191304.3478</v>
      </c>
      <c r="E199" s="25">
        <f t="shared" si="2"/>
        <v>39.48673368</v>
      </c>
      <c r="F199" s="24">
        <f t="shared" si="3"/>
        <v>0.0002064079261</v>
      </c>
      <c r="G199" s="24">
        <f t="shared" si="4"/>
        <v>0</v>
      </c>
      <c r="H199" s="26">
        <f t="shared" si="5"/>
        <v>0</v>
      </c>
      <c r="I199" s="24">
        <f t="shared" si="6"/>
        <v>0</v>
      </c>
      <c r="J199" s="24">
        <f t="shared" si="7"/>
        <v>0</v>
      </c>
      <c r="K199" s="24"/>
      <c r="L199" s="24">
        <f t="shared" si="8"/>
        <v>467.1456051</v>
      </c>
      <c r="M199" s="31">
        <f t="shared" si="9"/>
        <v>443.7914295</v>
      </c>
      <c r="N199" s="27">
        <f t="shared" si="10"/>
        <v>23.35417559</v>
      </c>
      <c r="O199" s="24"/>
      <c r="P199" s="24"/>
      <c r="Q199" s="24"/>
      <c r="R199" s="26"/>
      <c r="S199" s="14">
        <f t="shared" si="13"/>
        <v>21.44604908</v>
      </c>
      <c r="U199" s="21"/>
      <c r="V199" s="21"/>
    </row>
    <row r="200">
      <c r="A200" s="11">
        <v>188.0</v>
      </c>
      <c r="B200" s="11">
        <v>1.42021304347826E9</v>
      </c>
      <c r="C200" s="2">
        <v>-102.0924988</v>
      </c>
      <c r="D200" s="24">
        <f t="shared" si="1"/>
        <v>-186956.5217</v>
      </c>
      <c r="E200" s="25">
        <f t="shared" si="2"/>
        <v>38.56843755</v>
      </c>
      <c r="F200" s="24">
        <f t="shared" si="3"/>
        <v>0.0002062962939</v>
      </c>
      <c r="G200" s="24">
        <f t="shared" si="4"/>
        <v>0</v>
      </c>
      <c r="H200" s="26">
        <f t="shared" si="5"/>
        <v>0</v>
      </c>
      <c r="I200" s="24">
        <f t="shared" si="6"/>
        <v>0</v>
      </c>
      <c r="J200" s="24">
        <f t="shared" si="7"/>
        <v>0</v>
      </c>
      <c r="K200" s="24"/>
      <c r="L200" s="24">
        <f t="shared" si="8"/>
        <v>469.7386414</v>
      </c>
      <c r="M200" s="31">
        <f t="shared" si="9"/>
        <v>443.6974776</v>
      </c>
      <c r="N200" s="27">
        <f t="shared" si="10"/>
        <v>26.04116385</v>
      </c>
      <c r="O200" s="24"/>
      <c r="P200" s="24"/>
      <c r="Q200" s="24"/>
      <c r="R200" s="26"/>
      <c r="S200" s="14">
        <f t="shared" si="13"/>
        <v>23.91350005</v>
      </c>
      <c r="U200" s="21"/>
      <c r="V200" s="21"/>
    </row>
    <row r="201">
      <c r="A201" s="11">
        <v>189.0</v>
      </c>
      <c r="B201" s="11">
        <v>1.42021739130434E9</v>
      </c>
      <c r="C201" s="2">
        <v>-102.1065674</v>
      </c>
      <c r="D201" s="24">
        <f t="shared" si="1"/>
        <v>-182608.6957</v>
      </c>
      <c r="E201" s="25">
        <f t="shared" si="2"/>
        <v>37.65014142</v>
      </c>
      <c r="F201" s="24">
        <f t="shared" si="3"/>
        <v>0.0002061793459</v>
      </c>
      <c r="G201" s="24">
        <f t="shared" si="4"/>
        <v>0</v>
      </c>
      <c r="H201" s="26">
        <f t="shared" si="5"/>
        <v>0</v>
      </c>
      <c r="I201" s="24">
        <f t="shared" si="6"/>
        <v>0</v>
      </c>
      <c r="J201" s="24">
        <f t="shared" si="7"/>
        <v>0</v>
      </c>
      <c r="K201" s="24"/>
      <c r="L201" s="24">
        <f t="shared" si="8"/>
        <v>468.2194251</v>
      </c>
      <c r="M201" s="31">
        <f t="shared" si="9"/>
        <v>443.603444</v>
      </c>
      <c r="N201" s="27">
        <f t="shared" si="10"/>
        <v>24.61598108</v>
      </c>
      <c r="O201" s="24"/>
      <c r="P201" s="24"/>
      <c r="Q201" s="24"/>
      <c r="R201" s="26"/>
      <c r="S201" s="14">
        <f t="shared" si="13"/>
        <v>22.60476023</v>
      </c>
      <c r="U201" s="21"/>
      <c r="V201" s="21"/>
    </row>
    <row r="202">
      <c r="A202" s="11">
        <v>190.0</v>
      </c>
      <c r="B202" s="11">
        <v>1.42022173913043E9</v>
      </c>
      <c r="C202" s="2">
        <v>-102.1016998</v>
      </c>
      <c r="D202" s="24">
        <f t="shared" si="1"/>
        <v>-178260.8696</v>
      </c>
      <c r="E202" s="25">
        <f t="shared" si="2"/>
        <v>36.73184529</v>
      </c>
      <c r="F202" s="24">
        <f t="shared" si="3"/>
        <v>0.0002060566931</v>
      </c>
      <c r="G202" s="24">
        <f t="shared" si="4"/>
        <v>0</v>
      </c>
      <c r="H202" s="26">
        <f t="shared" si="5"/>
        <v>0</v>
      </c>
      <c r="I202" s="24">
        <f t="shared" si="6"/>
        <v>0</v>
      </c>
      <c r="J202" s="24">
        <f t="shared" si="7"/>
        <v>0</v>
      </c>
      <c r="K202" s="24"/>
      <c r="L202" s="24">
        <f t="shared" si="8"/>
        <v>468.7445026</v>
      </c>
      <c r="M202" s="31">
        <f t="shared" si="9"/>
        <v>443.5093281</v>
      </c>
      <c r="N202" s="27">
        <f t="shared" si="10"/>
        <v>25.23517452</v>
      </c>
      <c r="O202" s="24"/>
      <c r="P202" s="24"/>
      <c r="Q202" s="24"/>
      <c r="R202" s="26"/>
      <c r="S202" s="14">
        <f t="shared" si="13"/>
        <v>23.17336311</v>
      </c>
      <c r="U202" s="21"/>
      <c r="V202" s="21"/>
    </row>
    <row r="203">
      <c r="A203" s="11">
        <v>191.0</v>
      </c>
      <c r="B203" s="11">
        <v>1.42022608695652E9</v>
      </c>
      <c r="C203" s="2">
        <v>-102.0778732</v>
      </c>
      <c r="D203" s="24">
        <f t="shared" si="1"/>
        <v>-173913.0435</v>
      </c>
      <c r="E203" s="25">
        <f t="shared" si="2"/>
        <v>35.81354916</v>
      </c>
      <c r="F203" s="24">
        <f t="shared" si="3"/>
        <v>0.0002059279076</v>
      </c>
      <c r="G203" s="24">
        <f t="shared" si="4"/>
        <v>0</v>
      </c>
      <c r="H203" s="26">
        <f t="shared" si="5"/>
        <v>0</v>
      </c>
      <c r="I203" s="24">
        <f t="shared" si="6"/>
        <v>0</v>
      </c>
      <c r="J203" s="24">
        <f t="shared" si="7"/>
        <v>0</v>
      </c>
      <c r="K203" s="24"/>
      <c r="L203" s="24">
        <f t="shared" si="8"/>
        <v>471.3232323</v>
      </c>
      <c r="M203" s="31">
        <f t="shared" si="9"/>
        <v>443.4151289</v>
      </c>
      <c r="N203" s="27">
        <f t="shared" si="10"/>
        <v>27.90810336</v>
      </c>
      <c r="O203" s="24"/>
      <c r="P203" s="24"/>
      <c r="Q203" s="24"/>
      <c r="R203" s="26"/>
      <c r="S203" s="14">
        <f t="shared" si="13"/>
        <v>25.62790339</v>
      </c>
      <c r="U203" s="21"/>
      <c r="V203" s="21"/>
    </row>
    <row r="204">
      <c r="A204" s="11">
        <v>192.0</v>
      </c>
      <c r="B204" s="11">
        <v>1.4202304347826E9</v>
      </c>
      <c r="C204" s="2">
        <v>-102.1244583</v>
      </c>
      <c r="D204" s="24">
        <f t="shared" si="1"/>
        <v>-169565.2174</v>
      </c>
      <c r="E204" s="25">
        <f t="shared" si="2"/>
        <v>34.89525302</v>
      </c>
      <c r="F204" s="24">
        <f t="shared" si="3"/>
        <v>0.0002057925178</v>
      </c>
      <c r="G204" s="24">
        <f t="shared" si="4"/>
        <v>0</v>
      </c>
      <c r="H204" s="26">
        <f t="shared" si="5"/>
        <v>0</v>
      </c>
      <c r="I204" s="24">
        <f t="shared" si="6"/>
        <v>0</v>
      </c>
      <c r="J204" s="24">
        <f t="shared" si="7"/>
        <v>0</v>
      </c>
      <c r="K204" s="24"/>
      <c r="L204" s="24">
        <f t="shared" si="8"/>
        <v>466.2945477</v>
      </c>
      <c r="M204" s="31">
        <f t="shared" si="9"/>
        <v>443.3208458</v>
      </c>
      <c r="N204" s="27">
        <f t="shared" si="10"/>
        <v>22.97370188</v>
      </c>
      <c r="O204" s="24"/>
      <c r="P204" s="24"/>
      <c r="Q204" s="24"/>
      <c r="R204" s="26"/>
      <c r="S204" s="14">
        <f t="shared" si="13"/>
        <v>21.09666159</v>
      </c>
      <c r="U204" s="21"/>
      <c r="V204" s="21"/>
    </row>
    <row r="205">
      <c r="A205" s="11">
        <v>193.0</v>
      </c>
      <c r="B205" s="11">
        <v>1.42023478260869E9</v>
      </c>
      <c r="C205" s="2">
        <v>-102.050621</v>
      </c>
      <c r="D205" s="24">
        <f t="shared" si="1"/>
        <v>-165217.3913</v>
      </c>
      <c r="E205" s="25">
        <f t="shared" si="2"/>
        <v>33.97695689</v>
      </c>
      <c r="F205" s="24">
        <f t="shared" si="3"/>
        <v>0.0002056500022</v>
      </c>
      <c r="G205" s="24">
        <f t="shared" si="4"/>
        <v>0</v>
      </c>
      <c r="H205" s="26">
        <f t="shared" si="5"/>
        <v>0</v>
      </c>
      <c r="I205" s="24">
        <f t="shared" si="6"/>
        <v>0</v>
      </c>
      <c r="J205" s="24">
        <f t="shared" si="7"/>
        <v>0</v>
      </c>
      <c r="K205" s="24"/>
      <c r="L205" s="24">
        <f t="shared" si="8"/>
        <v>474.2901085</v>
      </c>
      <c r="M205" s="31">
        <f t="shared" si="9"/>
        <v>443.226478</v>
      </c>
      <c r="N205" s="27">
        <f t="shared" si="10"/>
        <v>31.06363052</v>
      </c>
      <c r="O205" s="24"/>
      <c r="P205" s="24"/>
      <c r="Q205" s="24"/>
      <c r="R205" s="26"/>
      <c r="S205" s="14">
        <f t="shared" si="13"/>
        <v>28.52561177</v>
      </c>
      <c r="U205" s="21"/>
      <c r="V205" s="21"/>
    </row>
    <row r="206">
      <c r="A206" s="11">
        <v>194.0</v>
      </c>
      <c r="B206" s="11">
        <v>1.42023913043478E9</v>
      </c>
      <c r="C206" s="2">
        <v>-102.0643311</v>
      </c>
      <c r="D206" s="24">
        <f t="shared" si="1"/>
        <v>-160869.5652</v>
      </c>
      <c r="E206" s="25">
        <f t="shared" si="2"/>
        <v>33.05866076</v>
      </c>
      <c r="F206" s="24">
        <f t="shared" si="3"/>
        <v>0.0002054997831</v>
      </c>
      <c r="G206" s="24">
        <f t="shared" si="4"/>
        <v>0</v>
      </c>
      <c r="H206" s="26">
        <f t="shared" si="5"/>
        <v>0</v>
      </c>
      <c r="I206" s="24">
        <f t="shared" si="6"/>
        <v>0</v>
      </c>
      <c r="J206" s="24">
        <f t="shared" si="7"/>
        <v>0</v>
      </c>
      <c r="K206" s="24"/>
      <c r="L206" s="24">
        <f t="shared" si="8"/>
        <v>472.7951985</v>
      </c>
      <c r="M206" s="31">
        <f t="shared" si="9"/>
        <v>443.1320246</v>
      </c>
      <c r="N206" s="27">
        <f t="shared" si="10"/>
        <v>29.66317389</v>
      </c>
      <c r="O206" s="24"/>
      <c r="P206" s="24"/>
      <c r="Q206" s="24"/>
      <c r="R206" s="26"/>
      <c r="S206" s="14">
        <f t="shared" si="13"/>
        <v>27.2395778</v>
      </c>
      <c r="U206" s="21"/>
      <c r="V206" s="21"/>
    </row>
    <row r="207">
      <c r="A207" s="11">
        <v>195.0</v>
      </c>
      <c r="B207" s="11">
        <v>1.42024347826087E9</v>
      </c>
      <c r="C207" s="2">
        <v>-102.1253281</v>
      </c>
      <c r="D207" s="24">
        <f t="shared" si="1"/>
        <v>-156521.7391</v>
      </c>
      <c r="E207" s="25">
        <f t="shared" si="2"/>
        <v>32.14036463</v>
      </c>
      <c r="F207" s="24">
        <f t="shared" si="3"/>
        <v>0.0002053412184</v>
      </c>
      <c r="G207" s="24">
        <f t="shared" si="4"/>
        <v>0</v>
      </c>
      <c r="H207" s="26">
        <f t="shared" si="5"/>
        <v>0</v>
      </c>
      <c r="I207" s="24">
        <f t="shared" si="6"/>
        <v>0</v>
      </c>
      <c r="J207" s="24">
        <f t="shared" si="7"/>
        <v>0</v>
      </c>
      <c r="K207" s="24"/>
      <c r="L207" s="24">
        <f t="shared" si="8"/>
        <v>466.2011681</v>
      </c>
      <c r="M207" s="31">
        <f t="shared" si="9"/>
        <v>443.0374849</v>
      </c>
      <c r="N207" s="27">
        <f t="shared" si="10"/>
        <v>23.16368326</v>
      </c>
      <c r="O207" s="24"/>
      <c r="P207" s="24"/>
      <c r="Q207" s="24"/>
      <c r="R207" s="26"/>
      <c r="S207" s="14">
        <f t="shared" si="13"/>
        <v>21.27112076</v>
      </c>
      <c r="U207" s="21"/>
      <c r="V207" s="21"/>
    </row>
    <row r="208">
      <c r="A208" s="11">
        <v>196.0</v>
      </c>
      <c r="B208" s="11">
        <v>1.42024782608695E9</v>
      </c>
      <c r="C208" s="2">
        <v>-102.0501404</v>
      </c>
      <c r="D208" s="24">
        <f t="shared" si="1"/>
        <v>-152173.913</v>
      </c>
      <c r="E208" s="25">
        <f t="shared" si="2"/>
        <v>31.22206849</v>
      </c>
      <c r="F208" s="24">
        <f t="shared" si="3"/>
        <v>0.0002051735929</v>
      </c>
      <c r="G208" s="24">
        <f t="shared" si="4"/>
        <v>0</v>
      </c>
      <c r="H208" s="26">
        <f t="shared" si="5"/>
        <v>0</v>
      </c>
      <c r="I208" s="24">
        <f t="shared" si="6"/>
        <v>0</v>
      </c>
      <c r="J208" s="24">
        <f t="shared" si="7"/>
        <v>0</v>
      </c>
      <c r="K208" s="24"/>
      <c r="L208" s="24">
        <f t="shared" si="8"/>
        <v>474.3425974</v>
      </c>
      <c r="M208" s="31">
        <f t="shared" si="9"/>
        <v>442.942858</v>
      </c>
      <c r="N208" s="27">
        <f t="shared" si="10"/>
        <v>31.39973939</v>
      </c>
      <c r="O208" s="24"/>
      <c r="P208" s="24"/>
      <c r="Q208" s="24"/>
      <c r="R208" s="26"/>
      <c r="S208" s="14">
        <f t="shared" si="13"/>
        <v>28.83425925</v>
      </c>
      <c r="U208" s="21"/>
      <c r="V208" s="21"/>
    </row>
    <row r="209">
      <c r="A209" s="11">
        <v>197.0</v>
      </c>
      <c r="B209" s="11">
        <v>1.42025217391304E9</v>
      </c>
      <c r="C209" s="2">
        <v>-102.0470734</v>
      </c>
      <c r="D209" s="24">
        <f t="shared" si="1"/>
        <v>-147826.087</v>
      </c>
      <c r="E209" s="25">
        <f t="shared" si="2"/>
        <v>30.30377236</v>
      </c>
      <c r="F209" s="24">
        <f t="shared" si="3"/>
        <v>0.0002049961071</v>
      </c>
      <c r="G209" s="24">
        <f t="shared" si="4"/>
        <v>0</v>
      </c>
      <c r="H209" s="26">
        <f t="shared" si="5"/>
        <v>0</v>
      </c>
      <c r="I209" s="24">
        <f t="shared" si="6"/>
        <v>0</v>
      </c>
      <c r="J209" s="24">
        <f t="shared" si="7"/>
        <v>0</v>
      </c>
      <c r="K209" s="24"/>
      <c r="L209" s="24">
        <f t="shared" si="8"/>
        <v>474.6776978</v>
      </c>
      <c r="M209" s="31">
        <f t="shared" si="9"/>
        <v>442.8481433</v>
      </c>
      <c r="N209" s="27">
        <f t="shared" si="10"/>
        <v>31.82955454</v>
      </c>
      <c r="O209" s="24"/>
      <c r="P209" s="24"/>
      <c r="Q209" s="24"/>
      <c r="R209" s="26"/>
      <c r="S209" s="14">
        <f t="shared" si="13"/>
        <v>29.22895677</v>
      </c>
      <c r="U209" s="21"/>
      <c r="V209" s="21"/>
    </row>
    <row r="210">
      <c r="A210" s="11">
        <v>198.0</v>
      </c>
      <c r="B210" s="11">
        <v>1.42025652173913E9</v>
      </c>
      <c r="C210" s="2">
        <v>-102.0120544</v>
      </c>
      <c r="D210" s="24">
        <f t="shared" si="1"/>
        <v>-143478.2609</v>
      </c>
      <c r="E210" s="25">
        <f t="shared" si="2"/>
        <v>29.38547623</v>
      </c>
      <c r="F210" s="24">
        <f t="shared" si="3"/>
        <v>0.0002048078646</v>
      </c>
      <c r="G210" s="24">
        <f t="shared" si="4"/>
        <v>0</v>
      </c>
      <c r="H210" s="26">
        <f t="shared" si="5"/>
        <v>0</v>
      </c>
      <c r="I210" s="24">
        <f t="shared" si="6"/>
        <v>0</v>
      </c>
      <c r="J210" s="24">
        <f t="shared" si="7"/>
        <v>0</v>
      </c>
      <c r="K210" s="24"/>
      <c r="L210" s="24">
        <f t="shared" si="8"/>
        <v>478.5206978</v>
      </c>
      <c r="M210" s="31">
        <f t="shared" si="9"/>
        <v>442.7533398</v>
      </c>
      <c r="N210" s="27">
        <f t="shared" si="10"/>
        <v>35.76735796</v>
      </c>
      <c r="O210" s="24"/>
      <c r="P210" s="24"/>
      <c r="Q210" s="24"/>
      <c r="R210" s="26"/>
      <c r="S210" s="14">
        <f t="shared" si="13"/>
        <v>32.8450265</v>
      </c>
      <c r="U210" s="21"/>
      <c r="V210" s="21"/>
    </row>
    <row r="211">
      <c r="A211" s="11">
        <v>199.0</v>
      </c>
      <c r="B211" s="11">
        <v>1.42026086956521E9</v>
      </c>
      <c r="C211" s="2">
        <v>-101.9958801</v>
      </c>
      <c r="D211" s="24">
        <f t="shared" si="1"/>
        <v>-139130.4348</v>
      </c>
      <c r="E211" s="25">
        <f t="shared" si="2"/>
        <v>28.4671801</v>
      </c>
      <c r="F211" s="24">
        <f t="shared" si="3"/>
        <v>0.0002046078569</v>
      </c>
      <c r="G211" s="24">
        <f t="shared" si="4"/>
        <v>0</v>
      </c>
      <c r="H211" s="26">
        <f t="shared" si="5"/>
        <v>0</v>
      </c>
      <c r="I211" s="24">
        <f t="shared" si="6"/>
        <v>0</v>
      </c>
      <c r="J211" s="24">
        <f t="shared" si="7"/>
        <v>0</v>
      </c>
      <c r="K211" s="24"/>
      <c r="L211" s="24">
        <f t="shared" si="8"/>
        <v>480.3061609</v>
      </c>
      <c r="M211" s="31">
        <f t="shared" si="9"/>
        <v>442.6584469</v>
      </c>
      <c r="N211" s="27">
        <f t="shared" si="10"/>
        <v>37.64771397</v>
      </c>
      <c r="O211" s="24"/>
      <c r="P211" s="24"/>
      <c r="Q211" s="24"/>
      <c r="R211" s="26"/>
      <c r="S211" s="14">
        <f t="shared" si="13"/>
        <v>34.57175015</v>
      </c>
      <c r="U211" s="21"/>
      <c r="V211" s="21"/>
    </row>
    <row r="212">
      <c r="A212" s="11">
        <v>200.0</v>
      </c>
      <c r="B212" s="11">
        <v>1.4202652173913E9</v>
      </c>
      <c r="C212" s="2">
        <v>-102.0308533</v>
      </c>
      <c r="D212" s="24">
        <f t="shared" si="1"/>
        <v>-134782.6087</v>
      </c>
      <c r="E212" s="25">
        <f t="shared" si="2"/>
        <v>27.54888396</v>
      </c>
      <c r="F212" s="24">
        <f t="shared" si="3"/>
        <v>0.0002043949455</v>
      </c>
      <c r="G212" s="24">
        <f t="shared" si="4"/>
        <v>0</v>
      </c>
      <c r="H212" s="26">
        <f t="shared" si="5"/>
        <v>0</v>
      </c>
      <c r="I212" s="24">
        <f t="shared" si="6"/>
        <v>0</v>
      </c>
      <c r="J212" s="24">
        <f t="shared" si="7"/>
        <v>0</v>
      </c>
      <c r="K212" s="24"/>
      <c r="L212" s="24">
        <f t="shared" si="8"/>
        <v>476.4538464</v>
      </c>
      <c r="M212" s="31">
        <f t="shared" si="9"/>
        <v>442.5634637</v>
      </c>
      <c r="N212" s="27">
        <f t="shared" si="10"/>
        <v>33.8903827</v>
      </c>
      <c r="O212" s="24"/>
      <c r="P212" s="24"/>
      <c r="Q212" s="24"/>
      <c r="R212" s="26"/>
      <c r="S212" s="14">
        <f t="shared" si="13"/>
        <v>31.1214073</v>
      </c>
      <c r="U212" s="21"/>
      <c r="V212" s="21"/>
    </row>
    <row r="213">
      <c r="A213" s="11">
        <v>201.0</v>
      </c>
      <c r="B213" s="11">
        <v>1.42026956521739E9</v>
      </c>
      <c r="C213" s="2">
        <v>-102.0429153</v>
      </c>
      <c r="D213" s="24">
        <f t="shared" si="1"/>
        <v>-130434.7826</v>
      </c>
      <c r="E213" s="25">
        <f t="shared" si="2"/>
        <v>26.63058783</v>
      </c>
      <c r="F213" s="24">
        <f t="shared" si="3"/>
        <v>0.0002041678401</v>
      </c>
      <c r="G213" s="24">
        <f t="shared" si="4"/>
        <v>0</v>
      </c>
      <c r="H213" s="26">
        <f t="shared" si="5"/>
        <v>0</v>
      </c>
      <c r="I213" s="24">
        <f t="shared" si="6"/>
        <v>0</v>
      </c>
      <c r="J213" s="24">
        <f t="shared" si="7"/>
        <v>0</v>
      </c>
      <c r="K213" s="24"/>
      <c r="L213" s="24">
        <f t="shared" si="8"/>
        <v>475.1323899</v>
      </c>
      <c r="M213" s="31">
        <f t="shared" si="9"/>
        <v>442.4683895</v>
      </c>
      <c r="N213" s="27">
        <f t="shared" si="10"/>
        <v>32.66400039</v>
      </c>
      <c r="O213" s="24"/>
      <c r="P213" s="24"/>
      <c r="Q213" s="24"/>
      <c r="R213" s="26"/>
      <c r="S213" s="14">
        <f t="shared" si="13"/>
        <v>29.99522524</v>
      </c>
      <c r="U213" s="21"/>
      <c r="V213" s="21"/>
    </row>
    <row r="214">
      <c r="A214" s="11">
        <v>202.0</v>
      </c>
      <c r="B214" s="11">
        <v>1.42027391304347E9</v>
      </c>
      <c r="C214" s="2">
        <v>-102.049881</v>
      </c>
      <c r="D214" s="24">
        <f t="shared" si="1"/>
        <v>-126086.9565</v>
      </c>
      <c r="E214" s="25">
        <f t="shared" si="2"/>
        <v>25.7122917</v>
      </c>
      <c r="F214" s="24">
        <f t="shared" si="3"/>
        <v>0.0002039250721</v>
      </c>
      <c r="G214" s="24">
        <f t="shared" si="4"/>
        <v>0</v>
      </c>
      <c r="H214" s="26">
        <f t="shared" si="5"/>
        <v>0</v>
      </c>
      <c r="I214" s="24">
        <f t="shared" si="6"/>
        <v>0</v>
      </c>
      <c r="J214" s="24">
        <f t="shared" si="7"/>
        <v>0</v>
      </c>
      <c r="K214" s="24"/>
      <c r="L214" s="24">
        <f t="shared" si="8"/>
        <v>474.3709303</v>
      </c>
      <c r="M214" s="31">
        <f t="shared" si="9"/>
        <v>442.3732234</v>
      </c>
      <c r="N214" s="27">
        <f t="shared" si="10"/>
        <v>31.9977069</v>
      </c>
      <c r="O214" s="24"/>
      <c r="P214" s="24"/>
      <c r="Q214" s="24"/>
      <c r="R214" s="26"/>
      <c r="S214" s="14">
        <f t="shared" si="13"/>
        <v>29.38337051</v>
      </c>
      <c r="U214" s="21"/>
      <c r="V214" s="21"/>
    </row>
    <row r="215">
      <c r="A215" s="11">
        <v>203.0</v>
      </c>
      <c r="B215" s="11">
        <v>1.42027826086956E9</v>
      </c>
      <c r="C215" s="2">
        <v>-101.9858704</v>
      </c>
      <c r="D215" s="24">
        <f t="shared" si="1"/>
        <v>-121739.1304</v>
      </c>
      <c r="E215" s="25">
        <f t="shared" si="2"/>
        <v>24.79399557</v>
      </c>
      <c r="F215" s="24">
        <f t="shared" si="3"/>
        <v>0.0002036649636</v>
      </c>
      <c r="G215" s="24">
        <f t="shared" si="4"/>
        <v>0</v>
      </c>
      <c r="H215" s="26">
        <f t="shared" si="5"/>
        <v>0</v>
      </c>
      <c r="I215" s="24">
        <f t="shared" si="6"/>
        <v>0</v>
      </c>
      <c r="J215" s="24">
        <f t="shared" si="7"/>
        <v>0</v>
      </c>
      <c r="K215" s="24"/>
      <c r="L215" s="24">
        <f t="shared" si="8"/>
        <v>481.4144562</v>
      </c>
      <c r="M215" s="31">
        <f t="shared" si="9"/>
        <v>442.2779647</v>
      </c>
      <c r="N215" s="27">
        <f t="shared" si="10"/>
        <v>39.13649151</v>
      </c>
      <c r="O215" s="24"/>
      <c r="P215" s="24"/>
      <c r="Q215" s="24"/>
      <c r="R215" s="26"/>
      <c r="S215" s="14">
        <f t="shared" si="13"/>
        <v>35.93888872</v>
      </c>
      <c r="U215" s="21"/>
      <c r="V215" s="21"/>
    </row>
    <row r="216">
      <c r="A216" s="11">
        <v>204.0</v>
      </c>
      <c r="B216" s="11">
        <v>1.42028260869565E9</v>
      </c>
      <c r="C216" s="2">
        <v>-101.9596024</v>
      </c>
      <c r="D216" s="24">
        <f t="shared" si="1"/>
        <v>-117391.3043</v>
      </c>
      <c r="E216" s="25">
        <f t="shared" si="2"/>
        <v>23.87569944</v>
      </c>
      <c r="F216" s="24">
        <f t="shared" si="3"/>
        <v>0.0002033855878</v>
      </c>
      <c r="G216" s="24">
        <f t="shared" si="4"/>
        <v>0</v>
      </c>
      <c r="H216" s="26">
        <f t="shared" si="5"/>
        <v>0</v>
      </c>
      <c r="I216" s="24">
        <f t="shared" si="6"/>
        <v>0</v>
      </c>
      <c r="J216" s="24">
        <f t="shared" si="7"/>
        <v>0</v>
      </c>
      <c r="K216" s="24"/>
      <c r="L216" s="24">
        <f t="shared" si="8"/>
        <v>484.3350818</v>
      </c>
      <c r="M216" s="31">
        <f t="shared" si="9"/>
        <v>442.1826125</v>
      </c>
      <c r="N216" s="27">
        <f t="shared" si="10"/>
        <v>42.15246924</v>
      </c>
      <c r="O216" s="24"/>
      <c r="P216" s="24"/>
      <c r="Q216" s="24"/>
      <c r="R216" s="26"/>
      <c r="S216" s="14">
        <f t="shared" si="13"/>
        <v>38.70844949</v>
      </c>
      <c r="U216" s="21"/>
      <c r="V216" s="21"/>
    </row>
    <row r="217">
      <c r="A217" s="11">
        <v>205.0</v>
      </c>
      <c r="B217" s="11">
        <v>1.42028695652173E9</v>
      </c>
      <c r="C217" s="2">
        <v>-102.051712</v>
      </c>
      <c r="D217" s="24">
        <f t="shared" si="1"/>
        <v>-113043.4783</v>
      </c>
      <c r="E217" s="25">
        <f t="shared" si="2"/>
        <v>22.9574033</v>
      </c>
      <c r="F217" s="24">
        <f t="shared" si="3"/>
        <v>0.0002030847215</v>
      </c>
      <c r="G217" s="24">
        <f t="shared" si="4"/>
        <v>0</v>
      </c>
      <c r="H217" s="26">
        <f t="shared" si="5"/>
        <v>0</v>
      </c>
      <c r="I217" s="24">
        <f t="shared" si="6"/>
        <v>0</v>
      </c>
      <c r="J217" s="24">
        <f t="shared" si="7"/>
        <v>0</v>
      </c>
      <c r="K217" s="24"/>
      <c r="L217" s="24">
        <f t="shared" si="8"/>
        <v>474.1709761</v>
      </c>
      <c r="M217" s="31">
        <f t="shared" si="9"/>
        <v>442.0871662</v>
      </c>
      <c r="N217" s="27">
        <f t="shared" si="10"/>
        <v>32.0838099</v>
      </c>
      <c r="O217" s="24"/>
      <c r="P217" s="24"/>
      <c r="Q217" s="24"/>
      <c r="R217" s="26"/>
      <c r="S217" s="14">
        <f t="shared" si="13"/>
        <v>29.46243855</v>
      </c>
      <c r="U217" s="21"/>
      <c r="V217" s="21"/>
    </row>
    <row r="218">
      <c r="A218" s="11">
        <v>206.0</v>
      </c>
      <c r="B218" s="11">
        <v>1.42029130434782E9</v>
      </c>
      <c r="C218" s="2">
        <v>-101.9728622</v>
      </c>
      <c r="D218" s="24">
        <f t="shared" si="1"/>
        <v>-108695.6522</v>
      </c>
      <c r="E218" s="25">
        <f t="shared" si="2"/>
        <v>22.03910717</v>
      </c>
      <c r="F218" s="24">
        <f t="shared" si="3"/>
        <v>0.000202759786</v>
      </c>
      <c r="G218" s="24">
        <f t="shared" si="4"/>
        <v>0</v>
      </c>
      <c r="H218" s="26">
        <f t="shared" si="5"/>
        <v>0</v>
      </c>
      <c r="I218" s="24">
        <f t="shared" si="6"/>
        <v>0</v>
      </c>
      <c r="J218" s="24">
        <f t="shared" si="7"/>
        <v>0</v>
      </c>
      <c r="K218" s="24"/>
      <c r="L218" s="24">
        <f t="shared" si="8"/>
        <v>482.8585739</v>
      </c>
      <c r="M218" s="31">
        <f t="shared" si="9"/>
        <v>441.9916249</v>
      </c>
      <c r="N218" s="27">
        <f t="shared" si="10"/>
        <v>40.86694904</v>
      </c>
      <c r="O218" s="24"/>
      <c r="P218" s="24"/>
      <c r="Q218" s="24"/>
      <c r="R218" s="26"/>
      <c r="S218" s="14">
        <f t="shared" si="13"/>
        <v>37.52796126</v>
      </c>
      <c r="U218" s="21"/>
      <c r="V218" s="21"/>
    </row>
    <row r="219">
      <c r="A219" s="11">
        <v>207.0</v>
      </c>
      <c r="B219" s="11">
        <v>1.42029565217391E9</v>
      </c>
      <c r="C219" s="2">
        <v>-101.9558411</v>
      </c>
      <c r="D219" s="24">
        <f t="shared" si="1"/>
        <v>-104347.8261</v>
      </c>
      <c r="E219" s="25">
        <f t="shared" si="2"/>
        <v>21.12081104</v>
      </c>
      <c r="F219" s="24">
        <f t="shared" si="3"/>
        <v>0.0002024077725</v>
      </c>
      <c r="G219" s="24">
        <f t="shared" si="4"/>
        <v>0</v>
      </c>
      <c r="H219" s="26">
        <f t="shared" si="5"/>
        <v>0</v>
      </c>
      <c r="I219" s="24">
        <f t="shared" si="6"/>
        <v>0</v>
      </c>
      <c r="J219" s="24">
        <f t="shared" si="7"/>
        <v>0</v>
      </c>
      <c r="K219" s="24"/>
      <c r="L219" s="24">
        <f t="shared" si="8"/>
        <v>484.7547322</v>
      </c>
      <c r="M219" s="31">
        <f t="shared" si="9"/>
        <v>441.8959877</v>
      </c>
      <c r="N219" s="27">
        <f t="shared" si="10"/>
        <v>42.85874446</v>
      </c>
      <c r="O219" s="24"/>
      <c r="P219" s="24"/>
      <c r="Q219" s="24"/>
      <c r="R219" s="26"/>
      <c r="S219" s="14">
        <f t="shared" si="13"/>
        <v>39.35701921</v>
      </c>
      <c r="U219" s="21"/>
      <c r="V219" s="21"/>
    </row>
    <row r="220">
      <c r="A220" s="11">
        <v>208.0</v>
      </c>
      <c r="B220" s="11">
        <v>1.4203E9</v>
      </c>
      <c r="C220" s="2">
        <v>-101.9661026</v>
      </c>
      <c r="D220" s="24">
        <f t="shared" si="1"/>
        <v>-100000</v>
      </c>
      <c r="E220" s="25">
        <f t="shared" si="2"/>
        <v>20.20251491</v>
      </c>
      <c r="F220" s="24">
        <f t="shared" si="3"/>
        <v>0.0002020251491</v>
      </c>
      <c r="G220" s="24">
        <f t="shared" si="4"/>
        <v>0</v>
      </c>
      <c r="H220" s="26">
        <f t="shared" si="5"/>
        <v>0</v>
      </c>
      <c r="I220" s="24">
        <f t="shared" si="6"/>
        <v>0</v>
      </c>
      <c r="J220" s="24">
        <f t="shared" si="7"/>
        <v>0</v>
      </c>
      <c r="K220" s="24"/>
      <c r="L220" s="24">
        <f t="shared" si="8"/>
        <v>483.6107069</v>
      </c>
      <c r="M220" s="31">
        <f t="shared" si="9"/>
        <v>441.8002541</v>
      </c>
      <c r="N220" s="27">
        <f t="shared" si="10"/>
        <v>41.81045287</v>
      </c>
      <c r="O220" s="24"/>
      <c r="P220" s="24"/>
      <c r="Q220" s="24"/>
      <c r="R220" s="26"/>
      <c r="S220" s="14">
        <f t="shared" si="13"/>
        <v>38.39437718</v>
      </c>
      <c r="U220" s="21"/>
      <c r="V220" s="21"/>
    </row>
    <row r="221">
      <c r="A221" s="11">
        <v>209.0</v>
      </c>
      <c r="B221" s="11">
        <v>1.42030434782608E9</v>
      </c>
      <c r="C221" s="2">
        <v>-101.9511566</v>
      </c>
      <c r="D221" s="24">
        <f t="shared" si="1"/>
        <v>-95652.17392</v>
      </c>
      <c r="E221" s="25">
        <f t="shared" si="2"/>
        <v>19.28421878</v>
      </c>
      <c r="F221" s="24">
        <f t="shared" si="3"/>
        <v>0.0002016077417</v>
      </c>
      <c r="G221" s="24">
        <f t="shared" si="4"/>
        <v>0</v>
      </c>
      <c r="H221" s="26">
        <f t="shared" si="5"/>
        <v>0</v>
      </c>
      <c r="I221" s="24">
        <f t="shared" si="6"/>
        <v>0</v>
      </c>
      <c r="J221" s="24">
        <f t="shared" si="7"/>
        <v>0</v>
      </c>
      <c r="K221" s="24"/>
      <c r="L221" s="24">
        <f t="shared" si="8"/>
        <v>485.2778931</v>
      </c>
      <c r="M221" s="31">
        <f t="shared" si="9"/>
        <v>441.704423</v>
      </c>
      <c r="N221" s="27">
        <f t="shared" si="10"/>
        <v>43.57347004</v>
      </c>
      <c r="O221" s="24"/>
      <c r="P221" s="24"/>
      <c r="Q221" s="24"/>
      <c r="R221" s="26"/>
      <c r="S221" s="14">
        <f t="shared" si="13"/>
        <v>40.01334903</v>
      </c>
      <c r="U221" s="21"/>
      <c r="V221" s="21"/>
    </row>
    <row r="222">
      <c r="A222" s="11">
        <v>210.0</v>
      </c>
      <c r="B222" s="11">
        <v>1.42030869565217E9</v>
      </c>
      <c r="C222" s="2">
        <v>-101.9370956</v>
      </c>
      <c r="D222" s="24">
        <f t="shared" si="1"/>
        <v>-91304.34783</v>
      </c>
      <c r="E222" s="25">
        <f t="shared" si="2"/>
        <v>18.36592264</v>
      </c>
      <c r="F222" s="24">
        <f t="shared" si="3"/>
        <v>0.0002011505813</v>
      </c>
      <c r="G222" s="24">
        <f t="shared" si="4"/>
        <v>0</v>
      </c>
      <c r="H222" s="26">
        <f t="shared" si="5"/>
        <v>0</v>
      </c>
      <c r="I222" s="24">
        <f t="shared" si="6"/>
        <v>0</v>
      </c>
      <c r="J222" s="24">
        <f t="shared" si="7"/>
        <v>0</v>
      </c>
      <c r="K222" s="24"/>
      <c r="L222" s="24">
        <f t="shared" si="8"/>
        <v>486.8516065</v>
      </c>
      <c r="M222" s="31">
        <f t="shared" si="9"/>
        <v>441.6084938</v>
      </c>
      <c r="N222" s="27">
        <f t="shared" si="10"/>
        <v>45.24311263</v>
      </c>
      <c r="O222" s="24"/>
      <c r="P222" s="24"/>
      <c r="Q222" s="24"/>
      <c r="R222" s="26"/>
      <c r="S222" s="14">
        <f t="shared" si="13"/>
        <v>41.54657527</v>
      </c>
      <c r="U222" s="21"/>
      <c r="V222" s="21"/>
    </row>
    <row r="223">
      <c r="A223" s="11">
        <v>211.0</v>
      </c>
      <c r="B223" s="11">
        <v>1.42031304347826E9</v>
      </c>
      <c r="C223" s="2">
        <v>-101.9105301</v>
      </c>
      <c r="D223" s="24">
        <f t="shared" si="1"/>
        <v>-86956.52174</v>
      </c>
      <c r="E223" s="25">
        <f t="shared" si="2"/>
        <v>17.44762651</v>
      </c>
      <c r="F223" s="24">
        <f t="shared" si="3"/>
        <v>0.0002006477049</v>
      </c>
      <c r="G223" s="24">
        <f t="shared" si="4"/>
        <v>0</v>
      </c>
      <c r="H223" s="26">
        <f t="shared" si="5"/>
        <v>0</v>
      </c>
      <c r="I223" s="24">
        <f t="shared" si="6"/>
        <v>0</v>
      </c>
      <c r="J223" s="24">
        <f t="shared" si="7"/>
        <v>0</v>
      </c>
      <c r="K223" s="24"/>
      <c r="L223" s="24">
        <f t="shared" si="8"/>
        <v>489.8387717</v>
      </c>
      <c r="M223" s="31">
        <f t="shared" si="9"/>
        <v>441.5124657</v>
      </c>
      <c r="N223" s="27">
        <f t="shared" si="10"/>
        <v>48.32630596</v>
      </c>
      <c r="O223" s="24"/>
      <c r="P223" s="24"/>
      <c r="Q223" s="24"/>
      <c r="R223" s="26"/>
      <c r="S223" s="14">
        <f t="shared" si="13"/>
        <v>44.37785987</v>
      </c>
      <c r="U223" s="21"/>
      <c r="V223" s="21"/>
    </row>
    <row r="224">
      <c r="A224" s="11">
        <v>212.0</v>
      </c>
      <c r="B224" s="11">
        <v>1.42031739130434E9</v>
      </c>
      <c r="C224" s="2">
        <v>-101.8608704</v>
      </c>
      <c r="D224" s="24">
        <f t="shared" si="1"/>
        <v>-82608.69566</v>
      </c>
      <c r="E224" s="25">
        <f t="shared" si="2"/>
        <v>16.52933038</v>
      </c>
      <c r="F224" s="24">
        <f t="shared" si="3"/>
        <v>0.000200091894</v>
      </c>
      <c r="G224" s="24">
        <f t="shared" si="4"/>
        <v>0</v>
      </c>
      <c r="H224" s="26">
        <f t="shared" si="5"/>
        <v>0</v>
      </c>
      <c r="I224" s="24">
        <f t="shared" si="6"/>
        <v>0</v>
      </c>
      <c r="J224" s="24">
        <f t="shared" si="7"/>
        <v>0</v>
      </c>
      <c r="K224" s="24"/>
      <c r="L224" s="24">
        <f t="shared" si="8"/>
        <v>495.4720121</v>
      </c>
      <c r="M224" s="31">
        <f t="shared" si="9"/>
        <v>441.4163379</v>
      </c>
      <c r="N224" s="27">
        <f t="shared" si="10"/>
        <v>54.05567424</v>
      </c>
      <c r="O224" s="24"/>
      <c r="P224" s="24"/>
      <c r="Q224" s="24"/>
      <c r="R224" s="26"/>
      <c r="S224" s="14">
        <f t="shared" si="13"/>
        <v>49.63911661</v>
      </c>
      <c r="U224" s="21"/>
      <c r="V224" s="21"/>
    </row>
    <row r="225">
      <c r="A225" s="11">
        <v>213.0</v>
      </c>
      <c r="B225" s="11">
        <v>1.42032173913043E9</v>
      </c>
      <c r="C225" s="2">
        <v>-101.8255615</v>
      </c>
      <c r="D225" s="24">
        <f t="shared" si="1"/>
        <v>-78260.86957</v>
      </c>
      <c r="E225" s="25">
        <f t="shared" si="2"/>
        <v>15.61103425</v>
      </c>
      <c r="F225" s="24">
        <f t="shared" si="3"/>
        <v>0.0001994743265</v>
      </c>
      <c r="G225" s="24">
        <f t="shared" si="4"/>
        <v>0</v>
      </c>
      <c r="H225" s="26">
        <f t="shared" si="5"/>
        <v>0</v>
      </c>
      <c r="I225" s="24">
        <f t="shared" si="6"/>
        <v>0</v>
      </c>
      <c r="J225" s="24">
        <f t="shared" si="7"/>
        <v>0</v>
      </c>
      <c r="K225" s="24"/>
      <c r="L225" s="24">
        <f t="shared" si="8"/>
        <v>499.5167059</v>
      </c>
      <c r="M225" s="31">
        <f t="shared" si="9"/>
        <v>441.3201095</v>
      </c>
      <c r="N225" s="27">
        <f t="shared" si="10"/>
        <v>58.19659634</v>
      </c>
      <c r="O225" s="24"/>
      <c r="P225" s="24"/>
      <c r="Q225" s="24"/>
      <c r="R225" s="26"/>
      <c r="S225" s="14">
        <f t="shared" si="13"/>
        <v>53.44170924</v>
      </c>
      <c r="U225" s="21"/>
      <c r="V225" s="21"/>
    </row>
    <row r="226">
      <c r="A226" s="11">
        <v>214.0</v>
      </c>
      <c r="B226" s="11">
        <v>1.42032608695652E9</v>
      </c>
      <c r="C226" s="2">
        <v>-101.8468704</v>
      </c>
      <c r="D226" s="24">
        <f t="shared" si="1"/>
        <v>-73913.04348</v>
      </c>
      <c r="E226" s="25">
        <f t="shared" si="2"/>
        <v>14.69273812</v>
      </c>
      <c r="F226" s="24">
        <f t="shared" si="3"/>
        <v>0.0001987841039</v>
      </c>
      <c r="G226" s="24">
        <f t="shared" si="4"/>
        <v>0</v>
      </c>
      <c r="H226" s="26">
        <f t="shared" si="5"/>
        <v>0</v>
      </c>
      <c r="I226" s="24">
        <f t="shared" si="6"/>
        <v>0</v>
      </c>
      <c r="J226" s="24">
        <f t="shared" si="7"/>
        <v>0</v>
      </c>
      <c r="K226" s="24"/>
      <c r="L226" s="24">
        <f t="shared" si="8"/>
        <v>497.0718023</v>
      </c>
      <c r="M226" s="31">
        <f t="shared" si="9"/>
        <v>441.2237799</v>
      </c>
      <c r="N226" s="27">
        <f t="shared" si="10"/>
        <v>55.84802244</v>
      </c>
      <c r="O226" s="24"/>
      <c r="P226" s="24"/>
      <c r="Q226" s="24"/>
      <c r="R226" s="26"/>
      <c r="S226" s="14">
        <f t="shared" si="13"/>
        <v>51.28502303</v>
      </c>
      <c r="U226" s="21"/>
      <c r="V226" s="21"/>
    </row>
    <row r="227">
      <c r="A227" s="11">
        <v>215.0</v>
      </c>
      <c r="B227" s="11">
        <v>1.4203304347826E9</v>
      </c>
      <c r="C227" s="2">
        <v>-101.8043594</v>
      </c>
      <c r="D227" s="24">
        <f t="shared" si="1"/>
        <v>-69565.2174</v>
      </c>
      <c r="E227" s="25">
        <f t="shared" si="2"/>
        <v>13.77444198</v>
      </c>
      <c r="F227" s="24">
        <f t="shared" si="3"/>
        <v>0.0001980076035</v>
      </c>
      <c r="G227" s="24">
        <f t="shared" si="4"/>
        <v>0</v>
      </c>
      <c r="H227" s="26">
        <f t="shared" si="5"/>
        <v>0</v>
      </c>
      <c r="I227" s="24">
        <f t="shared" si="6"/>
        <v>0</v>
      </c>
      <c r="J227" s="24">
        <f t="shared" si="7"/>
        <v>0</v>
      </c>
      <c r="K227" s="24"/>
      <c r="L227" s="24">
        <f t="shared" si="8"/>
        <v>501.9612907</v>
      </c>
      <c r="M227" s="31">
        <f t="shared" si="9"/>
        <v>441.1273482</v>
      </c>
      <c r="N227" s="27">
        <f t="shared" si="10"/>
        <v>60.83394257</v>
      </c>
      <c r="O227" s="24"/>
      <c r="P227" s="24"/>
      <c r="Q227" s="24"/>
      <c r="R227" s="26"/>
      <c r="S227" s="14">
        <f t="shared" si="13"/>
        <v>55.8635742</v>
      </c>
      <c r="U227" s="21"/>
      <c r="V227" s="21"/>
    </row>
    <row r="228">
      <c r="A228" s="11">
        <v>216.0</v>
      </c>
      <c r="B228" s="11">
        <v>1.42033478260869E9</v>
      </c>
      <c r="C228" s="2">
        <v>-101.8370361</v>
      </c>
      <c r="D228" s="24">
        <f t="shared" si="1"/>
        <v>-65217.39131</v>
      </c>
      <c r="E228" s="25">
        <f t="shared" si="2"/>
        <v>12.85614585</v>
      </c>
      <c r="F228" s="24">
        <f t="shared" si="3"/>
        <v>0.0001971275697</v>
      </c>
      <c r="G228" s="24">
        <f t="shared" si="4"/>
        <v>0</v>
      </c>
      <c r="H228" s="26">
        <f t="shared" si="5"/>
        <v>0</v>
      </c>
      <c r="I228" s="24">
        <f t="shared" si="6"/>
        <v>0</v>
      </c>
      <c r="J228" s="24">
        <f t="shared" si="7"/>
        <v>0</v>
      </c>
      <c r="K228" s="24"/>
      <c r="L228" s="24">
        <f t="shared" si="8"/>
        <v>498.1986626</v>
      </c>
      <c r="M228" s="31">
        <f t="shared" si="9"/>
        <v>441.0308136</v>
      </c>
      <c r="N228" s="27">
        <f t="shared" si="10"/>
        <v>57.16784904</v>
      </c>
      <c r="O228" s="24"/>
      <c r="P228" s="24"/>
      <c r="Q228" s="24"/>
      <c r="R228" s="26"/>
      <c r="S228" s="14">
        <f t="shared" si="13"/>
        <v>52.49701469</v>
      </c>
      <c r="U228" s="21"/>
      <c r="V228" s="21"/>
    </row>
    <row r="229">
      <c r="A229" s="11">
        <v>217.0</v>
      </c>
      <c r="B229" s="11">
        <v>1.42033913043478E9</v>
      </c>
      <c r="C229" s="2">
        <v>-101.7888336</v>
      </c>
      <c r="D229" s="24">
        <f t="shared" si="1"/>
        <v>-60869.56522</v>
      </c>
      <c r="E229" s="25">
        <f t="shared" si="2"/>
        <v>11.93784972</v>
      </c>
      <c r="F229" s="24">
        <f t="shared" si="3"/>
        <v>0.0001961218168</v>
      </c>
      <c r="G229" s="24">
        <f t="shared" si="4"/>
        <v>0</v>
      </c>
      <c r="H229" s="26">
        <f t="shared" si="5"/>
        <v>0</v>
      </c>
      <c r="I229" s="24">
        <f t="shared" si="6"/>
        <v>0</v>
      </c>
      <c r="J229" s="24">
        <f t="shared" si="7"/>
        <v>0</v>
      </c>
      <c r="K229" s="24"/>
      <c r="L229" s="24">
        <f t="shared" si="8"/>
        <v>503.7589875</v>
      </c>
      <c r="M229" s="31">
        <f t="shared" si="9"/>
        <v>440.9341754</v>
      </c>
      <c r="N229" s="27">
        <f t="shared" si="10"/>
        <v>62.82481211</v>
      </c>
      <c r="O229" s="24"/>
      <c r="P229" s="24"/>
      <c r="Q229" s="24"/>
      <c r="R229" s="26"/>
      <c r="S229" s="14">
        <f t="shared" si="13"/>
        <v>57.69178187</v>
      </c>
      <c r="U229" s="21"/>
      <c r="V229" s="21"/>
    </row>
    <row r="230">
      <c r="A230" s="11">
        <v>218.0</v>
      </c>
      <c r="B230" s="11">
        <v>1.42034347826087E9</v>
      </c>
      <c r="C230" s="2">
        <v>-101.805275</v>
      </c>
      <c r="D230" s="24">
        <f t="shared" si="1"/>
        <v>-56521.73913</v>
      </c>
      <c r="E230" s="25">
        <f t="shared" si="2"/>
        <v>11.01955359</v>
      </c>
      <c r="F230" s="24">
        <f t="shared" si="3"/>
        <v>0.0001949613327</v>
      </c>
      <c r="G230" s="24">
        <f t="shared" si="4"/>
        <v>0</v>
      </c>
      <c r="H230" s="26">
        <f t="shared" si="5"/>
        <v>0</v>
      </c>
      <c r="I230" s="24">
        <f t="shared" si="6"/>
        <v>0</v>
      </c>
      <c r="J230" s="24">
        <f t="shared" si="7"/>
        <v>0</v>
      </c>
      <c r="K230" s="24"/>
      <c r="L230" s="24">
        <f t="shared" si="8"/>
        <v>501.8554761</v>
      </c>
      <c r="M230" s="31">
        <f t="shared" si="9"/>
        <v>440.8374327</v>
      </c>
      <c r="N230" s="27">
        <f t="shared" si="10"/>
        <v>61.0180434</v>
      </c>
      <c r="O230" s="24"/>
      <c r="P230" s="24"/>
      <c r="Q230" s="24"/>
      <c r="R230" s="26"/>
      <c r="S230" s="14">
        <f t="shared" si="13"/>
        <v>56.03263329</v>
      </c>
      <c r="U230" s="21"/>
      <c r="V230" s="21"/>
    </row>
    <row r="231">
      <c r="A231" s="11">
        <v>219.0</v>
      </c>
      <c r="B231" s="11">
        <v>1.42034782608695E9</v>
      </c>
      <c r="C231" s="2">
        <v>-101.8130112</v>
      </c>
      <c r="D231" s="24">
        <f t="shared" si="1"/>
        <v>-52173.91305</v>
      </c>
      <c r="E231" s="25">
        <f t="shared" si="2"/>
        <v>10.10125745</v>
      </c>
      <c r="F231" s="24">
        <f t="shared" si="3"/>
        <v>0.0001936074345</v>
      </c>
      <c r="G231" s="24">
        <f t="shared" si="4"/>
        <v>0</v>
      </c>
      <c r="H231" s="26">
        <f t="shared" si="5"/>
        <v>0</v>
      </c>
      <c r="I231" s="24">
        <f t="shared" si="6"/>
        <v>0</v>
      </c>
      <c r="J231" s="24">
        <f t="shared" si="7"/>
        <v>0</v>
      </c>
      <c r="K231" s="24"/>
      <c r="L231" s="24">
        <f t="shared" si="8"/>
        <v>500.9623037</v>
      </c>
      <c r="M231" s="31">
        <f t="shared" si="9"/>
        <v>440.7405847</v>
      </c>
      <c r="N231" s="27">
        <f t="shared" si="10"/>
        <v>60.22171892</v>
      </c>
      <c r="O231" s="24"/>
      <c r="P231" s="24"/>
      <c r="Q231" s="24"/>
      <c r="R231" s="26"/>
      <c r="S231" s="14">
        <f t="shared" si="13"/>
        <v>55.3013716</v>
      </c>
      <c r="U231" s="21"/>
      <c r="V231" s="21"/>
    </row>
    <row r="232">
      <c r="A232" s="11">
        <v>220.0</v>
      </c>
      <c r="B232" s="11">
        <v>1.42035217391304E9</v>
      </c>
      <c r="C232" s="2">
        <v>-101.7988968</v>
      </c>
      <c r="D232" s="24">
        <f t="shared" si="1"/>
        <v>-47826.08696</v>
      </c>
      <c r="E232" s="25">
        <f t="shared" si="2"/>
        <v>9.182961321</v>
      </c>
      <c r="F232" s="24">
        <f t="shared" si="3"/>
        <v>0.0001920073731</v>
      </c>
      <c r="G232" s="24">
        <f t="shared" si="4"/>
        <v>0</v>
      </c>
      <c r="H232" s="26">
        <f t="shared" si="5"/>
        <v>0</v>
      </c>
      <c r="I232" s="24">
        <f t="shared" si="6"/>
        <v>0</v>
      </c>
      <c r="J232" s="24">
        <f t="shared" si="7"/>
        <v>0</v>
      </c>
      <c r="K232" s="24"/>
      <c r="L232" s="24">
        <f t="shared" si="8"/>
        <v>502.59306</v>
      </c>
      <c r="M232" s="31">
        <f t="shared" si="9"/>
        <v>440.6436308</v>
      </c>
      <c r="N232" s="27">
        <f t="shared" si="10"/>
        <v>61.94942917</v>
      </c>
      <c r="O232" s="24"/>
      <c r="P232" s="24"/>
      <c r="Q232" s="24"/>
      <c r="R232" s="26"/>
      <c r="S232" s="14">
        <f t="shared" si="13"/>
        <v>56.88792111</v>
      </c>
      <c r="U232" s="21"/>
      <c r="V232" s="21"/>
    </row>
    <row r="233">
      <c r="A233" s="11">
        <v>221.0</v>
      </c>
      <c r="B233" s="11">
        <v>1.42035652173913E9</v>
      </c>
      <c r="C233" s="2">
        <v>-101.7606049</v>
      </c>
      <c r="D233" s="24">
        <f t="shared" si="1"/>
        <v>-43478.26087</v>
      </c>
      <c r="E233" s="25">
        <f t="shared" si="2"/>
        <v>8.264665191</v>
      </c>
      <c r="F233" s="24">
        <f t="shared" si="3"/>
        <v>0.0001900872994</v>
      </c>
      <c r="G233" s="24">
        <f t="shared" si="4"/>
        <v>0</v>
      </c>
      <c r="H233" s="26">
        <f t="shared" si="5"/>
        <v>0</v>
      </c>
      <c r="I233" s="24">
        <f t="shared" si="6"/>
        <v>0</v>
      </c>
      <c r="J233" s="24">
        <f t="shared" si="7"/>
        <v>0</v>
      </c>
      <c r="K233" s="24"/>
      <c r="L233" s="24">
        <f t="shared" si="8"/>
        <v>507.0440344</v>
      </c>
      <c r="M233" s="31">
        <f t="shared" si="9"/>
        <v>440.5465701</v>
      </c>
      <c r="N233" s="27">
        <f t="shared" si="10"/>
        <v>66.49746429</v>
      </c>
      <c r="O233" s="24"/>
      <c r="P233" s="24"/>
      <c r="Q233" s="24"/>
      <c r="R233" s="26"/>
      <c r="S233" s="14">
        <f t="shared" si="13"/>
        <v>61.06436429</v>
      </c>
      <c r="U233" s="21"/>
      <c r="V233" s="21"/>
    </row>
    <row r="234">
      <c r="A234" s="11">
        <v>222.0</v>
      </c>
      <c r="B234" s="11">
        <v>1.42036086956521E9</v>
      </c>
      <c r="C234" s="2">
        <v>-101.7534943</v>
      </c>
      <c r="D234" s="24">
        <f t="shared" si="1"/>
        <v>-39130.43479</v>
      </c>
      <c r="E234" s="25">
        <f t="shared" si="2"/>
        <v>7.346369058</v>
      </c>
      <c r="F234" s="24">
        <f t="shared" si="3"/>
        <v>0.0001877405426</v>
      </c>
      <c r="G234" s="24">
        <f t="shared" si="4"/>
        <v>0</v>
      </c>
      <c r="H234" s="26">
        <f t="shared" si="5"/>
        <v>0</v>
      </c>
      <c r="I234" s="24">
        <f t="shared" si="6"/>
        <v>0</v>
      </c>
      <c r="J234" s="24">
        <f t="shared" si="7"/>
        <v>0</v>
      </c>
      <c r="K234" s="24"/>
      <c r="L234" s="24">
        <f t="shared" si="8"/>
        <v>507.8748854</v>
      </c>
      <c r="M234" s="31">
        <f t="shared" si="9"/>
        <v>440.4494017</v>
      </c>
      <c r="N234" s="27">
        <f t="shared" si="10"/>
        <v>67.42548371</v>
      </c>
      <c r="O234" s="24"/>
      <c r="P234" s="24"/>
      <c r="Q234" s="24"/>
      <c r="R234" s="26"/>
      <c r="S234" s="14">
        <f t="shared" si="13"/>
        <v>61.91656095</v>
      </c>
      <c r="U234" s="21"/>
      <c r="V234" s="21"/>
    </row>
    <row r="235">
      <c r="A235" s="11">
        <v>223.0</v>
      </c>
      <c r="B235" s="11">
        <v>1.4203652173913E9</v>
      </c>
      <c r="C235" s="2">
        <v>-101.7766876</v>
      </c>
      <c r="D235" s="24">
        <f t="shared" si="1"/>
        <v>-34782.6087</v>
      </c>
      <c r="E235" s="25">
        <f t="shared" si="2"/>
        <v>6.428072925</v>
      </c>
      <c r="F235" s="24">
        <f t="shared" si="3"/>
        <v>0.0001848070966</v>
      </c>
      <c r="G235" s="24">
        <f t="shared" si="4"/>
        <v>0</v>
      </c>
      <c r="H235" s="26">
        <f t="shared" si="5"/>
        <v>0</v>
      </c>
      <c r="I235" s="24">
        <f t="shared" si="6"/>
        <v>0</v>
      </c>
      <c r="J235" s="24">
        <f t="shared" si="7"/>
        <v>0</v>
      </c>
      <c r="K235" s="24"/>
      <c r="L235" s="24">
        <f t="shared" si="8"/>
        <v>505.1698322</v>
      </c>
      <c r="M235" s="31">
        <f t="shared" si="9"/>
        <v>440.352125</v>
      </c>
      <c r="N235" s="27">
        <f t="shared" si="10"/>
        <v>64.81770716</v>
      </c>
      <c r="O235" s="24"/>
      <c r="P235" s="24"/>
      <c r="Q235" s="24"/>
      <c r="R235" s="26"/>
      <c r="S235" s="14">
        <f t="shared" si="13"/>
        <v>59.52184968</v>
      </c>
      <c r="U235" s="21"/>
      <c r="V235" s="21"/>
    </row>
    <row r="236">
      <c r="A236" s="11">
        <v>224.0</v>
      </c>
      <c r="B236" s="11">
        <v>1.42036956521739E9</v>
      </c>
      <c r="C236" s="2">
        <v>-101.7451782</v>
      </c>
      <c r="D236" s="24">
        <f t="shared" si="1"/>
        <v>-30434.78261</v>
      </c>
      <c r="E236" s="25">
        <f t="shared" si="2"/>
        <v>5.509776795</v>
      </c>
      <c r="F236" s="24">
        <f t="shared" si="3"/>
        <v>0.0001810355232</v>
      </c>
      <c r="G236" s="24">
        <f t="shared" si="4"/>
        <v>0</v>
      </c>
      <c r="H236" s="26">
        <f t="shared" si="5"/>
        <v>0</v>
      </c>
      <c r="I236" s="24">
        <f t="shared" si="6"/>
        <v>0</v>
      </c>
      <c r="J236" s="24">
        <f t="shared" si="7"/>
        <v>0</v>
      </c>
      <c r="K236" s="24"/>
      <c r="L236" s="24">
        <f t="shared" si="8"/>
        <v>508.8483228</v>
      </c>
      <c r="M236" s="31">
        <f t="shared" si="9"/>
        <v>440.2547391</v>
      </c>
      <c r="N236" s="27">
        <f t="shared" si="10"/>
        <v>68.59358365</v>
      </c>
      <c r="O236" s="24"/>
      <c r="P236" s="24"/>
      <c r="Q236" s="24"/>
      <c r="R236" s="26"/>
      <c r="S236" s="14">
        <f t="shared" si="13"/>
        <v>62.9892226</v>
      </c>
      <c r="U236" s="21"/>
      <c r="V236" s="21"/>
    </row>
    <row r="237">
      <c r="A237" s="11">
        <v>225.0</v>
      </c>
      <c r="B237" s="11">
        <v>1.42037391304347E9</v>
      </c>
      <c r="C237" s="2">
        <v>-101.7307434</v>
      </c>
      <c r="D237" s="24">
        <f t="shared" si="1"/>
        <v>-26086.95653</v>
      </c>
      <c r="E237" s="25">
        <f t="shared" si="2"/>
        <v>4.591480662</v>
      </c>
      <c r="F237" s="24">
        <f t="shared" si="3"/>
        <v>0.0001760067586</v>
      </c>
      <c r="G237" s="24">
        <f t="shared" si="4"/>
        <v>0</v>
      </c>
      <c r="H237" s="26">
        <f t="shared" si="5"/>
        <v>0</v>
      </c>
      <c r="I237" s="24">
        <f t="shared" si="6"/>
        <v>0</v>
      </c>
      <c r="J237" s="24">
        <f t="shared" si="7"/>
        <v>0</v>
      </c>
      <c r="K237" s="24"/>
      <c r="L237" s="24">
        <f t="shared" si="8"/>
        <v>510.5424138</v>
      </c>
      <c r="M237" s="31">
        <f t="shared" si="9"/>
        <v>440.1572433</v>
      </c>
      <c r="N237" s="27">
        <f t="shared" si="10"/>
        <v>70.38517054</v>
      </c>
      <c r="O237" s="24"/>
      <c r="P237" s="24"/>
      <c r="Q237" s="24"/>
      <c r="R237" s="26"/>
      <c r="S237" s="14">
        <f t="shared" si="13"/>
        <v>64.63442992</v>
      </c>
      <c r="U237" s="21"/>
      <c r="V237" s="21"/>
    </row>
    <row r="238">
      <c r="A238" s="11">
        <v>226.0</v>
      </c>
      <c r="B238" s="11">
        <v>1.42037826086956E9</v>
      </c>
      <c r="C238" s="2">
        <v>-101.6687698</v>
      </c>
      <c r="D238" s="24">
        <f t="shared" si="1"/>
        <v>-21739.13044</v>
      </c>
      <c r="E238" s="25">
        <f t="shared" si="2"/>
        <v>3.673184529</v>
      </c>
      <c r="F238" s="24">
        <f t="shared" si="3"/>
        <v>0.0001689664883</v>
      </c>
      <c r="G238" s="24">
        <f t="shared" si="4"/>
        <v>0</v>
      </c>
      <c r="H238" s="26">
        <f t="shared" si="5"/>
        <v>0</v>
      </c>
      <c r="I238" s="24">
        <f t="shared" si="6"/>
        <v>0</v>
      </c>
      <c r="J238" s="24">
        <f t="shared" si="7"/>
        <v>0</v>
      </c>
      <c r="K238" s="24"/>
      <c r="L238" s="24">
        <f t="shared" si="8"/>
        <v>517.8800573</v>
      </c>
      <c r="M238" s="31">
        <f t="shared" si="9"/>
        <v>440.0596367</v>
      </c>
      <c r="N238" s="27">
        <f t="shared" si="10"/>
        <v>77.82042059</v>
      </c>
      <c r="O238" s="24"/>
      <c r="P238" s="24"/>
      <c r="Q238" s="24"/>
      <c r="R238" s="26"/>
      <c r="S238" s="14">
        <f t="shared" si="13"/>
        <v>71.46219112</v>
      </c>
      <c r="U238" s="21"/>
      <c r="V238" s="21"/>
    </row>
    <row r="239">
      <c r="A239" s="11">
        <v>227.0</v>
      </c>
      <c r="B239" s="11">
        <v>1.42038260869565E9</v>
      </c>
      <c r="C239" s="2">
        <v>-101.67276</v>
      </c>
      <c r="D239" s="24">
        <f t="shared" si="1"/>
        <v>-17391.30435</v>
      </c>
      <c r="E239" s="25">
        <f t="shared" si="2"/>
        <v>2.754888398</v>
      </c>
      <c r="F239" s="24">
        <f t="shared" si="3"/>
        <v>0.0001584060829</v>
      </c>
      <c r="G239" s="24">
        <f t="shared" si="4"/>
        <v>0</v>
      </c>
      <c r="H239" s="26">
        <f t="shared" si="5"/>
        <v>0</v>
      </c>
      <c r="I239" s="24">
        <f t="shared" si="6"/>
        <v>0</v>
      </c>
      <c r="J239" s="24">
        <f t="shared" si="7"/>
        <v>0</v>
      </c>
      <c r="K239" s="24"/>
      <c r="L239" s="24">
        <f t="shared" si="8"/>
        <v>517.4044593</v>
      </c>
      <c r="M239" s="31">
        <f t="shared" si="9"/>
        <v>439.9619186</v>
      </c>
      <c r="N239" s="27">
        <f t="shared" si="10"/>
        <v>77.44254068</v>
      </c>
      <c r="O239" s="24"/>
      <c r="P239" s="24"/>
      <c r="Q239" s="24"/>
      <c r="R239" s="26"/>
      <c r="S239" s="14">
        <f t="shared" si="13"/>
        <v>71.11518562</v>
      </c>
      <c r="U239" s="21"/>
      <c r="V239" s="21"/>
    </row>
    <row r="240">
      <c r="A240" s="11">
        <v>228.0</v>
      </c>
      <c r="B240" s="11">
        <v>1.42038695652173E9</v>
      </c>
      <c r="C240" s="2">
        <v>-101.665123</v>
      </c>
      <c r="D240" s="24">
        <f t="shared" si="1"/>
        <v>-13043.47827</v>
      </c>
      <c r="E240" s="25">
        <f t="shared" si="2"/>
        <v>1.836592266</v>
      </c>
      <c r="F240" s="24">
        <f t="shared" si="3"/>
        <v>0.0001408054069</v>
      </c>
      <c r="G240" s="24">
        <f t="shared" si="4"/>
        <v>0</v>
      </c>
      <c r="H240" s="26">
        <f t="shared" si="5"/>
        <v>0</v>
      </c>
      <c r="I240" s="24">
        <f t="shared" si="6"/>
        <v>0</v>
      </c>
      <c r="J240" s="24">
        <f t="shared" si="7"/>
        <v>0</v>
      </c>
      <c r="K240" s="24"/>
      <c r="L240" s="24">
        <f t="shared" si="8"/>
        <v>518.3151073</v>
      </c>
      <c r="M240" s="31">
        <f t="shared" si="9"/>
        <v>439.8640881</v>
      </c>
      <c r="N240" s="27">
        <f t="shared" si="10"/>
        <v>78.45101915</v>
      </c>
      <c r="O240" s="24"/>
      <c r="P240" s="24"/>
      <c r="Q240" s="24"/>
      <c r="R240" s="26"/>
      <c r="S240" s="14">
        <f t="shared" si="13"/>
        <v>72.0412675</v>
      </c>
      <c r="U240" s="21"/>
      <c r="V240" s="21"/>
    </row>
    <row r="241">
      <c r="A241" s="11">
        <v>229.0</v>
      </c>
      <c r="B241" s="11">
        <v>1.42039130434782E9</v>
      </c>
      <c r="C241" s="2">
        <v>-101.622261</v>
      </c>
      <c r="D241" s="24">
        <f t="shared" si="1"/>
        <v>-8695.65218</v>
      </c>
      <c r="E241" s="25">
        <f t="shared" si="2"/>
        <v>0.9182961328</v>
      </c>
      <c r="F241" s="24">
        <f t="shared" si="3"/>
        <v>0.0001056040552</v>
      </c>
      <c r="G241" s="24">
        <f t="shared" si="4"/>
        <v>0</v>
      </c>
      <c r="H241" s="26">
        <f t="shared" si="5"/>
        <v>0</v>
      </c>
      <c r="I241" s="24">
        <f t="shared" si="6"/>
        <v>0</v>
      </c>
      <c r="J241" s="24">
        <f t="shared" si="7"/>
        <v>0</v>
      </c>
      <c r="K241" s="24"/>
      <c r="L241" s="24">
        <f t="shared" si="8"/>
        <v>523.4558616</v>
      </c>
      <c r="M241" s="31">
        <f t="shared" si="9"/>
        <v>439.7661446</v>
      </c>
      <c r="N241" s="27">
        <f t="shared" si="10"/>
        <v>83.68971703</v>
      </c>
      <c r="O241" s="24"/>
      <c r="P241" s="24"/>
      <c r="Q241" s="24"/>
      <c r="R241" s="26"/>
      <c r="S241" s="14">
        <f t="shared" si="13"/>
        <v>76.85194351</v>
      </c>
      <c r="U241" s="21"/>
      <c r="V241" s="21"/>
    </row>
    <row r="242">
      <c r="A242" s="11">
        <v>230.0</v>
      </c>
      <c r="B242" s="11">
        <v>1.42039565217391E9</v>
      </c>
      <c r="C242" s="2">
        <v>-101.550972</v>
      </c>
      <c r="D242" s="24">
        <f t="shared" si="1"/>
        <v>-4347.82609</v>
      </c>
      <c r="E242" s="25">
        <f t="shared" si="2"/>
        <v>0</v>
      </c>
      <c r="F242" s="24">
        <f t="shared" si="3"/>
        <v>0</v>
      </c>
      <c r="G242" s="24">
        <f t="shared" si="4"/>
        <v>0</v>
      </c>
      <c r="H242" s="26">
        <f t="shared" si="5"/>
        <v>0</v>
      </c>
      <c r="I242" s="24">
        <f t="shared" si="6"/>
        <v>0</v>
      </c>
      <c r="J242" s="24" t="str">
        <f t="shared" si="7"/>
        <v>#DIV/0!</v>
      </c>
      <c r="K242" s="24"/>
      <c r="L242" s="24">
        <f t="shared" si="8"/>
        <v>532.1192464</v>
      </c>
      <c r="M242" s="31">
        <f t="shared" si="9"/>
        <v>439.6680872</v>
      </c>
      <c r="N242" s="27">
        <f t="shared" si="10"/>
        <v>92.45115927</v>
      </c>
      <c r="O242" s="24"/>
      <c r="P242" s="24"/>
      <c r="Q242" s="24"/>
      <c r="R242" s="26"/>
      <c r="S242" s="14">
        <f t="shared" si="13"/>
        <v>84.89754183</v>
      </c>
      <c r="U242" s="21"/>
      <c r="V242" s="21"/>
    </row>
    <row r="243">
      <c r="A243" s="11">
        <v>231.0</v>
      </c>
      <c r="B243" s="11">
        <v>1.4204E9</v>
      </c>
      <c r="C243" s="2">
        <v>-101.5523148</v>
      </c>
      <c r="D243" s="24">
        <f t="shared" si="1"/>
        <v>0</v>
      </c>
      <c r="E243" s="25">
        <f t="shared" si="2"/>
        <v>-0.9182961307</v>
      </c>
      <c r="F243" s="24"/>
      <c r="G243" s="24">
        <f t="shared" si="4"/>
        <v>0</v>
      </c>
      <c r="H243" s="26">
        <f t="shared" si="5"/>
        <v>0</v>
      </c>
      <c r="I243" s="24">
        <f t="shared" si="6"/>
        <v>0</v>
      </c>
      <c r="J243" s="24" t="str">
        <f t="shared" si="7"/>
        <v>#DIV/0!</v>
      </c>
      <c r="K243" s="24"/>
      <c r="L243" s="24">
        <f t="shared" si="8"/>
        <v>531.9547453</v>
      </c>
      <c r="M243" s="31">
        <f t="shared" si="9"/>
        <v>439.569915</v>
      </c>
      <c r="N243" s="27">
        <f t="shared" si="10"/>
        <v>92.38483027</v>
      </c>
      <c r="O243" s="24"/>
      <c r="P243" s="24"/>
      <c r="Q243" s="24"/>
      <c r="R243" s="26"/>
      <c r="S243" s="14">
        <f t="shared" si="13"/>
        <v>84.83663236</v>
      </c>
      <c r="U243" s="21"/>
      <c r="V243" s="21"/>
    </row>
    <row r="244">
      <c r="A244" s="11">
        <v>232.0</v>
      </c>
      <c r="B244" s="11">
        <v>1.42040434782608E9</v>
      </c>
      <c r="C244" s="2">
        <v>-101.5704269</v>
      </c>
      <c r="D244" s="24">
        <f t="shared" si="1"/>
        <v>4347.82608</v>
      </c>
      <c r="E244" s="25">
        <f t="shared" si="2"/>
        <v>-1.836592263</v>
      </c>
      <c r="F244" s="24">
        <f t="shared" ref="F244:F473" si="16">-E244/D244</f>
        <v>0.0004224162213</v>
      </c>
      <c r="G244" s="24">
        <f t="shared" si="4"/>
        <v>0</v>
      </c>
      <c r="H244" s="26">
        <f t="shared" si="5"/>
        <v>0</v>
      </c>
      <c r="I244" s="24">
        <f t="shared" si="6"/>
        <v>0</v>
      </c>
      <c r="J244" s="24">
        <f t="shared" si="7"/>
        <v>0</v>
      </c>
      <c r="K244" s="24"/>
      <c r="L244" s="24">
        <f t="shared" si="8"/>
        <v>529.7408663</v>
      </c>
      <c r="M244" s="31">
        <f t="shared" si="9"/>
        <v>439.4716275</v>
      </c>
      <c r="N244" s="27">
        <f t="shared" si="10"/>
        <v>90.2692388</v>
      </c>
      <c r="O244" s="24"/>
      <c r="P244" s="24"/>
      <c r="Q244" s="24"/>
      <c r="R244" s="26"/>
      <c r="S244" s="14">
        <f t="shared" si="13"/>
        <v>82.8938929</v>
      </c>
      <c r="U244" s="21"/>
      <c r="V244" s="21"/>
    </row>
    <row r="245">
      <c r="A245" s="11">
        <v>233.0</v>
      </c>
      <c r="B245" s="11">
        <v>1.42040869565217E9</v>
      </c>
      <c r="C245" s="2">
        <v>-101.5106277</v>
      </c>
      <c r="D245" s="24">
        <f t="shared" si="1"/>
        <v>8695.65217</v>
      </c>
      <c r="E245" s="25">
        <f t="shared" si="2"/>
        <v>-2.754888396</v>
      </c>
      <c r="F245" s="24">
        <f t="shared" si="16"/>
        <v>0.0003168121657</v>
      </c>
      <c r="G245" s="24">
        <f t="shared" si="4"/>
        <v>0</v>
      </c>
      <c r="H245" s="26">
        <f t="shared" si="5"/>
        <v>0</v>
      </c>
      <c r="I245" s="24">
        <f t="shared" si="6"/>
        <v>0</v>
      </c>
      <c r="J245" s="24">
        <f t="shared" si="7"/>
        <v>0</v>
      </c>
      <c r="K245" s="24"/>
      <c r="L245" s="24">
        <f t="shared" si="8"/>
        <v>537.0854626</v>
      </c>
      <c r="M245" s="31">
        <f t="shared" si="9"/>
        <v>439.3732236</v>
      </c>
      <c r="N245" s="27">
        <f t="shared" si="10"/>
        <v>97.71223897</v>
      </c>
      <c r="O245" s="24"/>
      <c r="P245" s="24"/>
      <c r="Q245" s="24"/>
      <c r="R245" s="26"/>
      <c r="S245" s="14">
        <f t="shared" si="13"/>
        <v>89.72877096</v>
      </c>
      <c r="U245" s="21"/>
      <c r="V245" s="21"/>
    </row>
    <row r="246">
      <c r="A246" s="11">
        <v>234.0</v>
      </c>
      <c r="B246" s="11">
        <v>1.42041304347826E9</v>
      </c>
      <c r="C246" s="2">
        <v>-101.3943253</v>
      </c>
      <c r="D246" s="24">
        <f t="shared" si="1"/>
        <v>13043.47826</v>
      </c>
      <c r="E246" s="25">
        <f t="shared" si="2"/>
        <v>-3.673184527</v>
      </c>
      <c r="F246" s="24">
        <f t="shared" si="16"/>
        <v>0.0002816108137</v>
      </c>
      <c r="G246" s="24">
        <f t="shared" si="4"/>
        <v>0</v>
      </c>
      <c r="H246" s="26">
        <f t="shared" si="5"/>
        <v>0</v>
      </c>
      <c r="I246" s="24">
        <f t="shared" si="6"/>
        <v>0</v>
      </c>
      <c r="J246" s="24">
        <f t="shared" si="7"/>
        <v>0</v>
      </c>
      <c r="K246" s="24"/>
      <c r="L246" s="24">
        <f t="shared" si="8"/>
        <v>551.6627212</v>
      </c>
      <c r="M246" s="31">
        <f t="shared" si="9"/>
        <v>439.2747027</v>
      </c>
      <c r="N246" s="27">
        <f t="shared" si="10"/>
        <v>112.3880185</v>
      </c>
      <c r="O246" s="24"/>
      <c r="P246" s="24"/>
      <c r="Q246" s="24"/>
      <c r="R246" s="26"/>
      <c r="S246" s="14">
        <f t="shared" si="13"/>
        <v>103.2054828</v>
      </c>
      <c r="U246" s="21"/>
      <c r="V246" s="21"/>
    </row>
    <row r="247">
      <c r="A247" s="11">
        <v>235.0</v>
      </c>
      <c r="B247" s="11">
        <v>1.42041739130434E9</v>
      </c>
      <c r="C247" s="2">
        <v>-101.3753281</v>
      </c>
      <c r="D247" s="24">
        <f t="shared" si="1"/>
        <v>17391.30434</v>
      </c>
      <c r="E247" s="25">
        <f t="shared" si="2"/>
        <v>-4.59148066</v>
      </c>
      <c r="F247" s="24">
        <f t="shared" si="16"/>
        <v>0.0002640101381</v>
      </c>
      <c r="G247" s="24">
        <f t="shared" si="4"/>
        <v>0</v>
      </c>
      <c r="H247" s="26">
        <f t="shared" si="5"/>
        <v>0</v>
      </c>
      <c r="I247" s="24">
        <f t="shared" si="6"/>
        <v>0</v>
      </c>
      <c r="J247" s="24">
        <f t="shared" si="7"/>
        <v>0</v>
      </c>
      <c r="K247" s="24"/>
      <c r="L247" s="24">
        <f t="shared" si="8"/>
        <v>554.0811268</v>
      </c>
      <c r="M247" s="31">
        <f t="shared" si="9"/>
        <v>439.176064</v>
      </c>
      <c r="N247" s="27">
        <f t="shared" si="10"/>
        <v>114.9050628</v>
      </c>
      <c r="O247" s="24"/>
      <c r="P247" s="24"/>
      <c r="Q247" s="24"/>
      <c r="R247" s="26"/>
      <c r="S247" s="14">
        <f t="shared" si="13"/>
        <v>105.5168748</v>
      </c>
      <c r="U247" s="21"/>
      <c r="V247" s="21"/>
    </row>
    <row r="248">
      <c r="A248" s="11">
        <v>236.0</v>
      </c>
      <c r="B248" s="11">
        <v>1.42042173913043E9</v>
      </c>
      <c r="C248" s="2">
        <v>-101.3076477</v>
      </c>
      <c r="D248" s="24">
        <f t="shared" si="1"/>
        <v>21739.13043</v>
      </c>
      <c r="E248" s="25">
        <f t="shared" si="2"/>
        <v>-5.509776792</v>
      </c>
      <c r="F248" s="24">
        <f t="shared" si="16"/>
        <v>0.0002534497325</v>
      </c>
      <c r="G248" s="24">
        <f t="shared" si="4"/>
        <v>0</v>
      </c>
      <c r="H248" s="26">
        <f t="shared" si="5"/>
        <v>0</v>
      </c>
      <c r="I248" s="24">
        <f t="shared" si="6"/>
        <v>0</v>
      </c>
      <c r="J248" s="24">
        <f t="shared" si="7"/>
        <v>0</v>
      </c>
      <c r="K248" s="24"/>
      <c r="L248" s="24">
        <f t="shared" si="8"/>
        <v>562.7835535</v>
      </c>
      <c r="M248" s="31">
        <f t="shared" si="9"/>
        <v>439.0773067</v>
      </c>
      <c r="N248" s="27">
        <f t="shared" si="10"/>
        <v>123.7062469</v>
      </c>
      <c r="O248" s="24"/>
      <c r="P248" s="24"/>
      <c r="Q248" s="24"/>
      <c r="R248" s="26"/>
      <c r="S248" s="14">
        <f t="shared" si="13"/>
        <v>113.5989679</v>
      </c>
      <c r="U248" s="21"/>
      <c r="V248" s="21"/>
    </row>
    <row r="249">
      <c r="A249" s="11">
        <v>237.0</v>
      </c>
      <c r="B249" s="11">
        <v>1.42042608695652E9</v>
      </c>
      <c r="C249" s="2">
        <v>-101.2827682</v>
      </c>
      <c r="D249" s="24">
        <f t="shared" si="1"/>
        <v>26086.95652</v>
      </c>
      <c r="E249" s="25">
        <f t="shared" si="2"/>
        <v>-6.428072923</v>
      </c>
      <c r="F249" s="24">
        <f t="shared" si="16"/>
        <v>0.0002464094621</v>
      </c>
      <c r="G249" s="24">
        <f t="shared" si="4"/>
        <v>0</v>
      </c>
      <c r="H249" s="26">
        <f t="shared" si="5"/>
        <v>0</v>
      </c>
      <c r="I249" s="24">
        <f t="shared" si="6"/>
        <v>0</v>
      </c>
      <c r="J249" s="24">
        <f t="shared" si="7"/>
        <v>0</v>
      </c>
      <c r="K249" s="24"/>
      <c r="L249" s="24">
        <f t="shared" si="8"/>
        <v>566.0168334</v>
      </c>
      <c r="M249" s="31">
        <f t="shared" si="9"/>
        <v>438.9784299</v>
      </c>
      <c r="N249" s="27">
        <f t="shared" si="10"/>
        <v>127.0384035</v>
      </c>
      <c r="O249" s="24"/>
      <c r="P249" s="24"/>
      <c r="Q249" s="24"/>
      <c r="R249" s="26"/>
      <c r="S249" s="14">
        <f t="shared" si="13"/>
        <v>116.6588747</v>
      </c>
      <c r="U249" s="21"/>
      <c r="V249" s="21"/>
    </row>
    <row r="250">
      <c r="A250" s="11">
        <v>238.0</v>
      </c>
      <c r="B250" s="11">
        <v>1.4204304347826E9</v>
      </c>
      <c r="C250" s="2">
        <v>-101.2763977</v>
      </c>
      <c r="D250" s="24">
        <f t="shared" si="1"/>
        <v>30434.7826</v>
      </c>
      <c r="E250" s="25">
        <f t="shared" si="2"/>
        <v>-7.346369056</v>
      </c>
      <c r="F250" s="24">
        <f t="shared" si="16"/>
        <v>0.0002413806976</v>
      </c>
      <c r="G250" s="24">
        <f t="shared" si="4"/>
        <v>0</v>
      </c>
      <c r="H250" s="26">
        <f t="shared" si="5"/>
        <v>0</v>
      </c>
      <c r="I250" s="24">
        <f t="shared" si="6"/>
        <v>0</v>
      </c>
      <c r="J250" s="24">
        <f t="shared" si="7"/>
        <v>0</v>
      </c>
      <c r="K250" s="24"/>
      <c r="L250" s="24">
        <f t="shared" si="8"/>
        <v>566.8477112</v>
      </c>
      <c r="M250" s="31">
        <f t="shared" si="9"/>
        <v>438.879433</v>
      </c>
      <c r="N250" s="27">
        <f t="shared" si="10"/>
        <v>127.9682782</v>
      </c>
      <c r="O250" s="24"/>
      <c r="P250" s="24"/>
      <c r="Q250" s="24"/>
      <c r="R250" s="26"/>
      <c r="S250" s="14">
        <f t="shared" si="13"/>
        <v>117.512775</v>
      </c>
      <c r="U250" s="21"/>
      <c r="V250" s="21"/>
    </row>
    <row r="251">
      <c r="A251" s="11">
        <v>239.0</v>
      </c>
      <c r="B251" s="11">
        <v>1.42043478260869E9</v>
      </c>
      <c r="C251" s="2">
        <v>-101.2253265</v>
      </c>
      <c r="D251" s="24">
        <f t="shared" si="1"/>
        <v>34782.60869</v>
      </c>
      <c r="E251" s="25">
        <f t="shared" si="2"/>
        <v>-8.264665189</v>
      </c>
      <c r="F251" s="24">
        <f t="shared" si="16"/>
        <v>0.0002376091242</v>
      </c>
      <c r="G251" s="24">
        <f t="shared" si="4"/>
        <v>0</v>
      </c>
      <c r="H251" s="26">
        <f t="shared" si="5"/>
        <v>0</v>
      </c>
      <c r="I251" s="24">
        <f t="shared" si="6"/>
        <v>0</v>
      </c>
      <c r="J251" s="24">
        <f t="shared" si="7"/>
        <v>0</v>
      </c>
      <c r="K251" s="24"/>
      <c r="L251" s="24">
        <f t="shared" si="8"/>
        <v>573.5529494</v>
      </c>
      <c r="M251" s="31">
        <f t="shared" si="9"/>
        <v>438.780315</v>
      </c>
      <c r="N251" s="27">
        <f t="shared" si="10"/>
        <v>134.7726343</v>
      </c>
      <c r="O251" s="24"/>
      <c r="P251" s="24"/>
      <c r="Q251" s="24"/>
      <c r="R251" s="26"/>
      <c r="S251" s="14">
        <f t="shared" si="13"/>
        <v>123.7611889</v>
      </c>
      <c r="U251" s="21"/>
      <c r="V251" s="21"/>
    </row>
    <row r="252">
      <c r="A252" s="11">
        <v>240.0</v>
      </c>
      <c r="B252" s="11">
        <v>1.42043913043478E9</v>
      </c>
      <c r="C252" s="2">
        <v>-101.1603394</v>
      </c>
      <c r="D252" s="24">
        <f t="shared" si="1"/>
        <v>39130.43478</v>
      </c>
      <c r="E252" s="25">
        <f t="shared" si="2"/>
        <v>-9.182961321</v>
      </c>
      <c r="F252" s="24">
        <f t="shared" si="16"/>
        <v>0.0002346756782</v>
      </c>
      <c r="G252" s="24">
        <f t="shared" si="4"/>
        <v>0</v>
      </c>
      <c r="H252" s="26">
        <f t="shared" si="5"/>
        <v>0</v>
      </c>
      <c r="I252" s="24">
        <f t="shared" si="6"/>
        <v>0</v>
      </c>
      <c r="J252" s="24">
        <f t="shared" si="7"/>
        <v>0</v>
      </c>
      <c r="K252" s="24"/>
      <c r="L252" s="24">
        <f t="shared" si="8"/>
        <v>582.2000352</v>
      </c>
      <c r="M252" s="31">
        <f t="shared" si="9"/>
        <v>438.6810753</v>
      </c>
      <c r="N252" s="27">
        <f t="shared" si="10"/>
        <v>143.5189599</v>
      </c>
      <c r="O252" s="24"/>
      <c r="P252" s="24"/>
      <c r="Q252" s="24"/>
      <c r="R252" s="26"/>
      <c r="S252" s="14">
        <f t="shared" si="13"/>
        <v>131.7929055</v>
      </c>
      <c r="U252" s="21"/>
      <c r="V252" s="21"/>
    </row>
    <row r="253">
      <c r="A253" s="11">
        <v>241.0</v>
      </c>
      <c r="B253" s="11">
        <v>1.42044347826087E9</v>
      </c>
      <c r="C253" s="2">
        <v>-101.1820831</v>
      </c>
      <c r="D253" s="24">
        <f t="shared" si="1"/>
        <v>43478.26087</v>
      </c>
      <c r="E253" s="25">
        <f t="shared" si="2"/>
        <v>-10.10125745</v>
      </c>
      <c r="F253" s="24">
        <f t="shared" si="16"/>
        <v>0.0002323289214</v>
      </c>
      <c r="G253" s="24">
        <f t="shared" si="4"/>
        <v>0</v>
      </c>
      <c r="H253" s="26">
        <f t="shared" si="5"/>
        <v>0</v>
      </c>
      <c r="I253" s="24">
        <f t="shared" si="6"/>
        <v>0</v>
      </c>
      <c r="J253" s="24">
        <f t="shared" si="7"/>
        <v>0</v>
      </c>
      <c r="K253" s="24"/>
      <c r="L253" s="24">
        <f t="shared" si="8"/>
        <v>579.2924354</v>
      </c>
      <c r="M253" s="31">
        <f t="shared" si="9"/>
        <v>438.5817131</v>
      </c>
      <c r="N253" s="27">
        <f t="shared" si="10"/>
        <v>140.7107223</v>
      </c>
      <c r="O253" s="24"/>
      <c r="P253" s="24"/>
      <c r="Q253" s="24"/>
      <c r="R253" s="26"/>
      <c r="S253" s="14">
        <f t="shared" si="13"/>
        <v>129.2141121</v>
      </c>
      <c r="U253" s="21"/>
      <c r="V253" s="21"/>
    </row>
    <row r="254">
      <c r="A254" s="11">
        <v>242.0</v>
      </c>
      <c r="B254" s="11">
        <v>1.42044782608695E9</v>
      </c>
      <c r="C254" s="2">
        <v>-101.1038284</v>
      </c>
      <c r="D254" s="24">
        <f t="shared" si="1"/>
        <v>47826.08695</v>
      </c>
      <c r="E254" s="25">
        <f t="shared" si="2"/>
        <v>-11.01955358</v>
      </c>
      <c r="F254" s="24">
        <f t="shared" si="16"/>
        <v>0.0002304088477</v>
      </c>
      <c r="G254" s="24">
        <f t="shared" si="4"/>
        <v>0</v>
      </c>
      <c r="H254" s="26">
        <f t="shared" si="5"/>
        <v>0</v>
      </c>
      <c r="I254" s="24">
        <f t="shared" si="6"/>
        <v>0</v>
      </c>
      <c r="J254" s="24">
        <f t="shared" si="7"/>
        <v>0</v>
      </c>
      <c r="K254" s="24"/>
      <c r="L254" s="24">
        <f t="shared" si="8"/>
        <v>589.8252051</v>
      </c>
      <c r="M254" s="31">
        <f t="shared" si="9"/>
        <v>438.4822275</v>
      </c>
      <c r="N254" s="27">
        <f t="shared" si="10"/>
        <v>151.3429776</v>
      </c>
      <c r="O254" s="24"/>
      <c r="P254" s="24"/>
      <c r="Q254" s="24"/>
      <c r="R254" s="26"/>
      <c r="S254" s="14">
        <f t="shared" si="13"/>
        <v>138.977671</v>
      </c>
      <c r="U254" s="21"/>
      <c r="V254" s="21"/>
    </row>
    <row r="255">
      <c r="A255" s="11">
        <v>243.0</v>
      </c>
      <c r="B255" s="11">
        <v>1.42045217391304E9</v>
      </c>
      <c r="C255" s="2">
        <v>-101.119133</v>
      </c>
      <c r="D255" s="24">
        <f t="shared" si="1"/>
        <v>52173.91304</v>
      </c>
      <c r="E255" s="25">
        <f t="shared" si="2"/>
        <v>-11.93784972</v>
      </c>
      <c r="F255" s="24">
        <f t="shared" si="16"/>
        <v>0.0002288087863</v>
      </c>
      <c r="G255" s="24">
        <f t="shared" si="4"/>
        <v>0</v>
      </c>
      <c r="H255" s="26">
        <f t="shared" si="5"/>
        <v>0</v>
      </c>
      <c r="I255" s="24">
        <f t="shared" si="6"/>
        <v>0</v>
      </c>
      <c r="J255" s="24">
        <f t="shared" si="7"/>
        <v>0</v>
      </c>
      <c r="K255" s="24"/>
      <c r="L255" s="24">
        <f t="shared" si="8"/>
        <v>587.7503107</v>
      </c>
      <c r="M255" s="31">
        <f t="shared" si="9"/>
        <v>438.3826178</v>
      </c>
      <c r="N255" s="27">
        <f t="shared" si="10"/>
        <v>149.3676929</v>
      </c>
      <c r="O255" s="24"/>
      <c r="P255" s="24"/>
      <c r="Q255" s="24"/>
      <c r="R255" s="26"/>
      <c r="S255" s="14">
        <f t="shared" si="13"/>
        <v>137.1637745</v>
      </c>
      <c r="U255" s="21"/>
      <c r="V255" s="21"/>
    </row>
    <row r="256">
      <c r="A256" s="11">
        <v>244.0</v>
      </c>
      <c r="B256" s="11">
        <v>1.42045652173913E9</v>
      </c>
      <c r="C256" s="2">
        <v>-101.0449677</v>
      </c>
      <c r="D256" s="24">
        <f t="shared" si="1"/>
        <v>56521.73913</v>
      </c>
      <c r="E256" s="25">
        <f t="shared" si="2"/>
        <v>-12.85614585</v>
      </c>
      <c r="F256" s="24">
        <f t="shared" si="16"/>
        <v>0.0002274548881</v>
      </c>
      <c r="G256" s="24">
        <f t="shared" si="4"/>
        <v>0</v>
      </c>
      <c r="H256" s="26">
        <f t="shared" si="5"/>
        <v>0</v>
      </c>
      <c r="I256" s="24">
        <f t="shared" si="6"/>
        <v>0</v>
      </c>
      <c r="J256" s="24">
        <f t="shared" si="7"/>
        <v>0</v>
      </c>
      <c r="K256" s="24"/>
      <c r="L256" s="24">
        <f t="shared" si="8"/>
        <v>597.8736282</v>
      </c>
      <c r="M256" s="31">
        <f t="shared" si="9"/>
        <v>438.2828831</v>
      </c>
      <c r="N256" s="27">
        <f t="shared" si="10"/>
        <v>159.590745</v>
      </c>
      <c r="O256" s="24"/>
      <c r="P256" s="24"/>
      <c r="Q256" s="24"/>
      <c r="R256" s="26"/>
      <c r="S256" s="14">
        <f t="shared" si="13"/>
        <v>146.551564</v>
      </c>
      <c r="U256" s="21"/>
      <c r="V256" s="21"/>
    </row>
    <row r="257">
      <c r="A257" s="11">
        <v>245.0</v>
      </c>
      <c r="B257" s="11">
        <v>1.42046086956521E9</v>
      </c>
      <c r="C257" s="2">
        <v>-101.0444794</v>
      </c>
      <c r="D257" s="24">
        <f t="shared" si="1"/>
        <v>60869.56521</v>
      </c>
      <c r="E257" s="25">
        <f t="shared" si="2"/>
        <v>-13.77444198</v>
      </c>
      <c r="F257" s="24">
        <f t="shared" si="16"/>
        <v>0.000226294404</v>
      </c>
      <c r="G257" s="24">
        <f t="shared" si="4"/>
        <v>0</v>
      </c>
      <c r="H257" s="26">
        <f t="shared" si="5"/>
        <v>0</v>
      </c>
      <c r="I257" s="24">
        <f t="shared" si="6"/>
        <v>0</v>
      </c>
      <c r="J257" s="24">
        <f t="shared" si="7"/>
        <v>0</v>
      </c>
      <c r="K257" s="24"/>
      <c r="L257" s="24">
        <f t="shared" si="8"/>
        <v>597.940854</v>
      </c>
      <c r="M257" s="31">
        <f t="shared" si="9"/>
        <v>438.1830228</v>
      </c>
      <c r="N257" s="27">
        <f t="shared" si="10"/>
        <v>159.7578312</v>
      </c>
      <c r="O257" s="24"/>
      <c r="P257" s="24"/>
      <c r="Q257" s="24"/>
      <c r="R257" s="26"/>
      <c r="S257" s="14">
        <f t="shared" si="13"/>
        <v>146.7049986</v>
      </c>
      <c r="U257" s="21"/>
      <c r="V257" s="21"/>
    </row>
    <row r="258">
      <c r="A258" s="11">
        <v>246.0</v>
      </c>
      <c r="B258" s="11">
        <v>1.4204652173913E9</v>
      </c>
      <c r="C258" s="2">
        <v>-101.0578766</v>
      </c>
      <c r="D258" s="24">
        <f t="shared" si="1"/>
        <v>65217.3913</v>
      </c>
      <c r="E258" s="25">
        <f t="shared" si="2"/>
        <v>-14.69273811</v>
      </c>
      <c r="F258" s="24">
        <f t="shared" si="16"/>
        <v>0.0002252886511</v>
      </c>
      <c r="G258" s="24">
        <f t="shared" si="4"/>
        <v>0</v>
      </c>
      <c r="H258" s="26">
        <f t="shared" si="5"/>
        <v>0</v>
      </c>
      <c r="I258" s="24">
        <f t="shared" si="6"/>
        <v>0</v>
      </c>
      <c r="J258" s="24">
        <f t="shared" si="7"/>
        <v>0</v>
      </c>
      <c r="K258" s="24"/>
      <c r="L258" s="24">
        <f t="shared" si="8"/>
        <v>596.0991566</v>
      </c>
      <c r="M258" s="31">
        <f t="shared" si="9"/>
        <v>438.0830359</v>
      </c>
      <c r="N258" s="27">
        <f t="shared" si="10"/>
        <v>158.0161207</v>
      </c>
      <c r="O258" s="24"/>
      <c r="P258" s="24"/>
      <c r="Q258" s="24"/>
      <c r="R258" s="26"/>
      <c r="S258" s="14">
        <f t="shared" si="13"/>
        <v>145.1055922</v>
      </c>
      <c r="U258" s="21"/>
      <c r="V258" s="21"/>
    </row>
    <row r="259">
      <c r="A259" s="11">
        <v>247.0</v>
      </c>
      <c r="B259" s="11">
        <v>1.42046956521739E9</v>
      </c>
      <c r="C259" s="2">
        <v>-101.0213623</v>
      </c>
      <c r="D259" s="24">
        <f t="shared" si="1"/>
        <v>69565.21739</v>
      </c>
      <c r="E259" s="25">
        <f t="shared" si="2"/>
        <v>-15.61103424</v>
      </c>
      <c r="F259" s="24">
        <f t="shared" si="16"/>
        <v>0.0002244086173</v>
      </c>
      <c r="G259" s="24">
        <f t="shared" si="4"/>
        <v>0</v>
      </c>
      <c r="H259" s="26">
        <f t="shared" si="5"/>
        <v>0</v>
      </c>
      <c r="I259" s="24">
        <f t="shared" si="6"/>
        <v>0</v>
      </c>
      <c r="J259" s="24">
        <f t="shared" si="7"/>
        <v>0</v>
      </c>
      <c r="K259" s="24"/>
      <c r="L259" s="24">
        <f t="shared" si="8"/>
        <v>601.1321246</v>
      </c>
      <c r="M259" s="31">
        <f t="shared" si="9"/>
        <v>437.9829218</v>
      </c>
      <c r="N259" s="27">
        <f t="shared" si="10"/>
        <v>163.1492028</v>
      </c>
      <c r="O259" s="24"/>
      <c r="P259" s="24"/>
      <c r="Q259" s="24"/>
      <c r="R259" s="26"/>
      <c r="S259" s="14">
        <f t="shared" si="13"/>
        <v>149.819282</v>
      </c>
      <c r="U259" s="21"/>
      <c r="V259" s="21"/>
    </row>
    <row r="260">
      <c r="A260" s="11">
        <v>248.0</v>
      </c>
      <c r="B260" s="11">
        <v>1.42047391304347E9</v>
      </c>
      <c r="C260" s="2">
        <v>-101.0368729</v>
      </c>
      <c r="D260" s="24">
        <f t="shared" si="1"/>
        <v>73913.04347</v>
      </c>
      <c r="E260" s="25">
        <f t="shared" si="2"/>
        <v>-16.52933038</v>
      </c>
      <c r="F260" s="24">
        <f t="shared" si="16"/>
        <v>0.0002236321169</v>
      </c>
      <c r="G260" s="24">
        <f t="shared" si="4"/>
        <v>0</v>
      </c>
      <c r="H260" s="26">
        <f t="shared" si="5"/>
        <v>0</v>
      </c>
      <c r="I260" s="24">
        <f t="shared" si="6"/>
        <v>0</v>
      </c>
      <c r="J260" s="24">
        <f t="shared" si="7"/>
        <v>0</v>
      </c>
      <c r="K260" s="24"/>
      <c r="L260" s="24">
        <f t="shared" si="8"/>
        <v>598.989042</v>
      </c>
      <c r="M260" s="31">
        <f t="shared" si="9"/>
        <v>437.8826796</v>
      </c>
      <c r="N260" s="27">
        <f t="shared" si="10"/>
        <v>161.1063624</v>
      </c>
      <c r="O260" s="24"/>
      <c r="P260" s="24"/>
      <c r="Q260" s="24"/>
      <c r="R260" s="26"/>
      <c r="S260" s="14">
        <f t="shared" si="13"/>
        <v>147.9433495</v>
      </c>
      <c r="U260" s="21"/>
      <c r="V260" s="21"/>
    </row>
    <row r="261">
      <c r="A261" s="11">
        <v>249.0</v>
      </c>
      <c r="B261" s="11">
        <v>1.42047826086956E9</v>
      </c>
      <c r="C261" s="2">
        <v>-100.9904938</v>
      </c>
      <c r="D261" s="24">
        <f t="shared" si="1"/>
        <v>78260.86956</v>
      </c>
      <c r="E261" s="25">
        <f t="shared" si="2"/>
        <v>-17.44762651</v>
      </c>
      <c r="F261" s="24">
        <f t="shared" si="16"/>
        <v>0.0002229418943</v>
      </c>
      <c r="G261" s="24">
        <f t="shared" si="4"/>
        <v>0</v>
      </c>
      <c r="H261" s="26">
        <f t="shared" si="5"/>
        <v>0</v>
      </c>
      <c r="I261" s="24">
        <f t="shared" si="6"/>
        <v>0</v>
      </c>
      <c r="J261" s="24">
        <f t="shared" si="7"/>
        <v>0</v>
      </c>
      <c r="K261" s="24"/>
      <c r="L261" s="24">
        <f t="shared" si="8"/>
        <v>605.420033</v>
      </c>
      <c r="M261" s="31">
        <f t="shared" si="9"/>
        <v>437.7823085</v>
      </c>
      <c r="N261" s="27">
        <f t="shared" si="10"/>
        <v>167.6377244</v>
      </c>
      <c r="O261" s="24"/>
      <c r="P261" s="24"/>
      <c r="Q261" s="24"/>
      <c r="R261" s="26"/>
      <c r="S261" s="14">
        <f t="shared" si="13"/>
        <v>153.9410737</v>
      </c>
      <c r="U261" s="21"/>
      <c r="V261" s="21"/>
    </row>
    <row r="262">
      <c r="A262" s="11">
        <v>250.0</v>
      </c>
      <c r="B262" s="11">
        <v>1.42048260869565E9</v>
      </c>
      <c r="C262" s="2">
        <v>-101.0732498</v>
      </c>
      <c r="D262" s="24">
        <f t="shared" si="1"/>
        <v>82608.69565</v>
      </c>
      <c r="E262" s="25">
        <f t="shared" si="2"/>
        <v>-18.36592264</v>
      </c>
      <c r="F262" s="24">
        <f t="shared" si="16"/>
        <v>0.0002223243267</v>
      </c>
      <c r="G262" s="24">
        <f t="shared" si="4"/>
        <v>0</v>
      </c>
      <c r="H262" s="26">
        <f t="shared" si="5"/>
        <v>0</v>
      </c>
      <c r="I262" s="24">
        <f t="shared" si="6"/>
        <v>0</v>
      </c>
      <c r="J262" s="24">
        <f t="shared" si="7"/>
        <v>0</v>
      </c>
      <c r="K262" s="24"/>
      <c r="L262" s="24">
        <f t="shared" si="8"/>
        <v>593.992809</v>
      </c>
      <c r="M262" s="31">
        <f t="shared" si="9"/>
        <v>437.6818078</v>
      </c>
      <c r="N262" s="27">
        <f t="shared" si="10"/>
        <v>156.3110012</v>
      </c>
      <c r="O262" s="24"/>
      <c r="P262" s="24"/>
      <c r="Q262" s="24"/>
      <c r="R262" s="26"/>
      <c r="S262" s="14">
        <f t="shared" si="13"/>
        <v>143.5397879</v>
      </c>
      <c r="U262" s="21"/>
      <c r="V262" s="21"/>
    </row>
    <row r="263">
      <c r="A263" s="11">
        <v>251.0</v>
      </c>
      <c r="B263" s="11">
        <v>1.42048695652173E9</v>
      </c>
      <c r="C263" s="2">
        <v>-101.0429993</v>
      </c>
      <c r="D263" s="24">
        <f t="shared" si="1"/>
        <v>86956.52173</v>
      </c>
      <c r="E263" s="25">
        <f t="shared" si="2"/>
        <v>-19.28421877</v>
      </c>
      <c r="F263" s="24">
        <f t="shared" si="16"/>
        <v>0.0002217685159</v>
      </c>
      <c r="G263" s="24">
        <f t="shared" si="4"/>
        <v>0</v>
      </c>
      <c r="H263" s="26">
        <f t="shared" si="5"/>
        <v>0</v>
      </c>
      <c r="I263" s="24">
        <f t="shared" si="6"/>
        <v>0</v>
      </c>
      <c r="J263" s="24">
        <f t="shared" si="7"/>
        <v>0</v>
      </c>
      <c r="K263" s="24"/>
      <c r="L263" s="24">
        <f t="shared" si="8"/>
        <v>598.1446703</v>
      </c>
      <c r="M263" s="31">
        <f t="shared" si="9"/>
        <v>437.5811767</v>
      </c>
      <c r="N263" s="27">
        <f t="shared" si="10"/>
        <v>160.5634937</v>
      </c>
      <c r="O263" s="24"/>
      <c r="P263" s="24"/>
      <c r="Q263" s="24"/>
      <c r="R263" s="26"/>
      <c r="S263" s="14">
        <f t="shared" si="13"/>
        <v>147.4448353</v>
      </c>
      <c r="U263" s="21"/>
      <c r="V263" s="21"/>
    </row>
    <row r="264">
      <c r="A264" s="11">
        <v>252.0</v>
      </c>
      <c r="B264" s="11">
        <v>1.42049130434782E9</v>
      </c>
      <c r="C264" s="2">
        <v>-100.9251404</v>
      </c>
      <c r="D264" s="24">
        <f t="shared" si="1"/>
        <v>91304.34782</v>
      </c>
      <c r="E264" s="25">
        <f t="shared" si="2"/>
        <v>-20.20251491</v>
      </c>
      <c r="F264" s="24">
        <f t="shared" si="16"/>
        <v>0.0002212656395</v>
      </c>
      <c r="G264" s="24">
        <f t="shared" si="4"/>
        <v>0</v>
      </c>
      <c r="H264" s="26">
        <f t="shared" si="5"/>
        <v>0</v>
      </c>
      <c r="I264" s="24">
        <f t="shared" si="6"/>
        <v>0</v>
      </c>
      <c r="J264" s="24">
        <f t="shared" si="7"/>
        <v>0</v>
      </c>
      <c r="K264" s="24"/>
      <c r="L264" s="24">
        <f t="shared" si="8"/>
        <v>614.5993935</v>
      </c>
      <c r="M264" s="31">
        <f t="shared" si="9"/>
        <v>437.4804143</v>
      </c>
      <c r="N264" s="27">
        <f t="shared" si="10"/>
        <v>177.1189792</v>
      </c>
      <c r="O264" s="24"/>
      <c r="P264" s="24"/>
      <c r="Q264" s="24"/>
      <c r="R264" s="26"/>
      <c r="S264" s="14">
        <f t="shared" si="13"/>
        <v>162.6476737</v>
      </c>
      <c r="U264" s="21"/>
      <c r="V264" s="21"/>
    </row>
    <row r="265">
      <c r="A265" s="11">
        <v>253.0</v>
      </c>
      <c r="B265" s="11">
        <v>1.42049565217391E9</v>
      </c>
      <c r="C265" s="2">
        <v>-100.9818192</v>
      </c>
      <c r="D265" s="24">
        <f t="shared" si="1"/>
        <v>95652.17391</v>
      </c>
      <c r="E265" s="25">
        <f t="shared" si="2"/>
        <v>-21.12081104</v>
      </c>
      <c r="F265" s="24">
        <f t="shared" si="16"/>
        <v>0.0002208084791</v>
      </c>
      <c r="G265" s="24">
        <f t="shared" si="4"/>
        <v>0</v>
      </c>
      <c r="H265" s="26">
        <f t="shared" si="5"/>
        <v>0</v>
      </c>
      <c r="I265" s="24">
        <f t="shared" si="6"/>
        <v>0</v>
      </c>
      <c r="J265" s="24">
        <f t="shared" si="7"/>
        <v>0</v>
      </c>
      <c r="K265" s="24"/>
      <c r="L265" s="24">
        <f t="shared" si="8"/>
        <v>606.6305077</v>
      </c>
      <c r="M265" s="31">
        <f t="shared" si="9"/>
        <v>437.37952</v>
      </c>
      <c r="N265" s="27">
        <f t="shared" si="10"/>
        <v>169.2509878</v>
      </c>
      <c r="O265" s="24"/>
      <c r="P265" s="24"/>
      <c r="Q265" s="24"/>
      <c r="R265" s="26"/>
      <c r="S265" s="14">
        <f t="shared" si="13"/>
        <v>155.4225272</v>
      </c>
      <c r="U265" s="21"/>
      <c r="V265" s="21"/>
    </row>
    <row r="266">
      <c r="A266" s="11">
        <v>254.0</v>
      </c>
      <c r="B266" s="11">
        <v>1.4205E9</v>
      </c>
      <c r="C266" s="2">
        <v>-100.9586487</v>
      </c>
      <c r="D266" s="24">
        <f t="shared" si="1"/>
        <v>100000</v>
      </c>
      <c r="E266" s="25">
        <f t="shared" si="2"/>
        <v>-22.03910717</v>
      </c>
      <c r="F266" s="24">
        <f t="shared" si="16"/>
        <v>0.0002203910717</v>
      </c>
      <c r="G266" s="24">
        <f t="shared" si="4"/>
        <v>0</v>
      </c>
      <c r="H266" s="26">
        <f t="shared" si="5"/>
        <v>0</v>
      </c>
      <c r="I266" s="24">
        <f t="shared" si="6"/>
        <v>0</v>
      </c>
      <c r="J266" s="24">
        <f t="shared" si="7"/>
        <v>0</v>
      </c>
      <c r="K266" s="24"/>
      <c r="L266" s="24">
        <f t="shared" si="8"/>
        <v>609.8756548</v>
      </c>
      <c r="M266" s="31">
        <f t="shared" si="9"/>
        <v>437.2784928</v>
      </c>
      <c r="N266" s="27">
        <f t="shared" si="10"/>
        <v>172.597162</v>
      </c>
      <c r="O266" s="24"/>
      <c r="P266" s="24"/>
      <c r="Q266" s="24"/>
      <c r="R266" s="26"/>
      <c r="S266" s="14">
        <f t="shared" si="13"/>
        <v>158.4953064</v>
      </c>
      <c r="U266" s="21"/>
      <c r="V266" s="21"/>
    </row>
    <row r="267">
      <c r="A267" s="11">
        <v>255.0</v>
      </c>
      <c r="B267" s="11">
        <v>1.42050434782608E9</v>
      </c>
      <c r="C267" s="2">
        <v>-100.8573074</v>
      </c>
      <c r="D267" s="24">
        <f t="shared" si="1"/>
        <v>104347.8261</v>
      </c>
      <c r="E267" s="25">
        <f t="shared" si="2"/>
        <v>-22.9574033</v>
      </c>
      <c r="F267" s="24">
        <f t="shared" si="16"/>
        <v>0.0002200084483</v>
      </c>
      <c r="G267" s="24">
        <f t="shared" si="4"/>
        <v>0</v>
      </c>
      <c r="H267" s="26">
        <f t="shared" si="5"/>
        <v>0</v>
      </c>
      <c r="I267" s="24">
        <f t="shared" si="6"/>
        <v>0</v>
      </c>
      <c r="J267" s="24">
        <f t="shared" si="7"/>
        <v>0</v>
      </c>
      <c r="K267" s="24"/>
      <c r="L267" s="24">
        <f t="shared" si="8"/>
        <v>624.2742584</v>
      </c>
      <c r="M267" s="31">
        <f t="shared" si="9"/>
        <v>437.1773321</v>
      </c>
      <c r="N267" s="27">
        <f t="shared" si="10"/>
        <v>187.0969263</v>
      </c>
      <c r="O267" s="24"/>
      <c r="P267" s="24"/>
      <c r="Q267" s="24"/>
      <c r="R267" s="26"/>
      <c r="S267" s="14">
        <f t="shared" si="13"/>
        <v>171.8103839</v>
      </c>
      <c r="U267" s="21"/>
      <c r="V267" s="21"/>
    </row>
    <row r="268">
      <c r="A268" s="11">
        <v>256.0</v>
      </c>
      <c r="B268" s="11">
        <v>1.42050869565217E9</v>
      </c>
      <c r="C268" s="2">
        <v>-100.9198151</v>
      </c>
      <c r="D268" s="24">
        <f t="shared" si="1"/>
        <v>108695.6522</v>
      </c>
      <c r="E268" s="25">
        <f t="shared" si="2"/>
        <v>-23.87569944</v>
      </c>
      <c r="F268" s="24">
        <f t="shared" si="16"/>
        <v>0.0002196564348</v>
      </c>
      <c r="G268" s="24">
        <f t="shared" si="4"/>
        <v>0</v>
      </c>
      <c r="H268" s="26">
        <f t="shared" si="5"/>
        <v>0</v>
      </c>
      <c r="I268" s="24">
        <f t="shared" si="6"/>
        <v>0</v>
      </c>
      <c r="J268" s="24">
        <f t="shared" si="7"/>
        <v>0</v>
      </c>
      <c r="K268" s="24"/>
      <c r="L268" s="24">
        <f t="shared" si="8"/>
        <v>615.3534749</v>
      </c>
      <c r="M268" s="31">
        <f t="shared" si="9"/>
        <v>437.0760369</v>
      </c>
      <c r="N268" s="27">
        <f t="shared" si="10"/>
        <v>178.2774379</v>
      </c>
      <c r="O268" s="24"/>
      <c r="P268" s="24"/>
      <c r="Q268" s="24"/>
      <c r="R268" s="26"/>
      <c r="S268" s="14">
        <f t="shared" si="13"/>
        <v>163.7114814</v>
      </c>
      <c r="U268" s="21"/>
      <c r="V268" s="21"/>
    </row>
    <row r="269">
      <c r="A269" s="11">
        <v>257.0</v>
      </c>
      <c r="B269" s="11">
        <v>1.42051304347826E9</v>
      </c>
      <c r="C269" s="2">
        <v>-100.8953552</v>
      </c>
      <c r="D269" s="24">
        <f t="shared" si="1"/>
        <v>113043.4783</v>
      </c>
      <c r="E269" s="25">
        <f t="shared" si="2"/>
        <v>-24.79399557</v>
      </c>
      <c r="F269" s="24">
        <f t="shared" si="16"/>
        <v>0.0002193314992</v>
      </c>
      <c r="G269" s="24">
        <f t="shared" si="4"/>
        <v>0</v>
      </c>
      <c r="H269" s="26">
        <f t="shared" si="5"/>
        <v>0</v>
      </c>
      <c r="I269" s="24">
        <f t="shared" si="6"/>
        <v>0</v>
      </c>
      <c r="J269" s="24">
        <f t="shared" si="7"/>
        <v>0</v>
      </c>
      <c r="K269" s="24"/>
      <c r="L269" s="24">
        <f t="shared" si="8"/>
        <v>618.8289853</v>
      </c>
      <c r="M269" s="31">
        <f t="shared" si="9"/>
        <v>436.9746067</v>
      </c>
      <c r="N269" s="27">
        <f t="shared" si="10"/>
        <v>181.8543786</v>
      </c>
      <c r="O269" s="24"/>
      <c r="P269" s="24"/>
      <c r="Q269" s="24"/>
      <c r="R269" s="26"/>
      <c r="S269" s="14">
        <f t="shared" si="13"/>
        <v>166.9961726</v>
      </c>
      <c r="U269" s="21"/>
      <c r="V269" s="21"/>
    </row>
    <row r="270">
      <c r="A270" s="11">
        <v>258.0</v>
      </c>
      <c r="B270" s="11">
        <v>1.42051739130434E9</v>
      </c>
      <c r="C270" s="2">
        <v>-100.8500824</v>
      </c>
      <c r="D270" s="24">
        <f t="shared" si="1"/>
        <v>117391.3043</v>
      </c>
      <c r="E270" s="25">
        <f t="shared" si="2"/>
        <v>-25.7122917</v>
      </c>
      <c r="F270" s="24">
        <f t="shared" si="16"/>
        <v>0.000219030633</v>
      </c>
      <c r="G270" s="24">
        <f t="shared" si="4"/>
        <v>0</v>
      </c>
      <c r="H270" s="26">
        <f t="shared" si="5"/>
        <v>0</v>
      </c>
      <c r="I270" s="24">
        <f t="shared" si="6"/>
        <v>0</v>
      </c>
      <c r="J270" s="24">
        <f t="shared" si="7"/>
        <v>0</v>
      </c>
      <c r="K270" s="24"/>
      <c r="L270" s="24">
        <f t="shared" si="8"/>
        <v>625.3136764</v>
      </c>
      <c r="M270" s="31">
        <f t="shared" si="9"/>
        <v>436.8730405</v>
      </c>
      <c r="N270" s="27">
        <f t="shared" si="10"/>
        <v>188.440636</v>
      </c>
      <c r="O270" s="24"/>
      <c r="P270" s="24"/>
      <c r="Q270" s="24"/>
      <c r="R270" s="26"/>
      <c r="S270" s="14">
        <f t="shared" si="13"/>
        <v>173.0443073</v>
      </c>
      <c r="U270" s="21"/>
      <c r="V270" s="21"/>
    </row>
    <row r="271">
      <c r="A271" s="11">
        <v>259.0</v>
      </c>
      <c r="B271" s="11">
        <v>1.42052173913043E9</v>
      </c>
      <c r="C271" s="2">
        <v>-100.9103012</v>
      </c>
      <c r="D271" s="24">
        <f t="shared" si="1"/>
        <v>121739.1304</v>
      </c>
      <c r="E271" s="25">
        <f t="shared" si="2"/>
        <v>-26.63058783</v>
      </c>
      <c r="F271" s="24">
        <f t="shared" si="16"/>
        <v>0.0002187512572</v>
      </c>
      <c r="G271" s="24">
        <f t="shared" si="4"/>
        <v>0</v>
      </c>
      <c r="H271" s="26">
        <f t="shared" si="5"/>
        <v>0</v>
      </c>
      <c r="I271" s="24">
        <f t="shared" si="6"/>
        <v>0</v>
      </c>
      <c r="J271" s="24">
        <f t="shared" si="7"/>
        <v>0</v>
      </c>
      <c r="K271" s="24"/>
      <c r="L271" s="24">
        <f t="shared" si="8"/>
        <v>616.7029805</v>
      </c>
      <c r="M271" s="31">
        <f t="shared" si="9"/>
        <v>436.7713375</v>
      </c>
      <c r="N271" s="27">
        <f t="shared" si="10"/>
        <v>179.931643</v>
      </c>
      <c r="O271" s="24"/>
      <c r="P271" s="24"/>
      <c r="Q271" s="24"/>
      <c r="R271" s="26"/>
      <c r="S271" s="14">
        <f t="shared" si="13"/>
        <v>165.2305316</v>
      </c>
      <c r="U271" s="21"/>
      <c r="V271" s="21"/>
    </row>
    <row r="272">
      <c r="A272" s="11">
        <v>260.0</v>
      </c>
      <c r="B272" s="11">
        <v>1.42052608695652E9</v>
      </c>
      <c r="C272" s="2">
        <v>-100.9424973</v>
      </c>
      <c r="D272" s="24">
        <f t="shared" si="1"/>
        <v>126086.9565</v>
      </c>
      <c r="E272" s="25">
        <f t="shared" si="2"/>
        <v>-27.54888396</v>
      </c>
      <c r="F272" s="24">
        <f t="shared" si="16"/>
        <v>0.0002184911487</v>
      </c>
      <c r="G272" s="24">
        <f t="shared" si="4"/>
        <v>0</v>
      </c>
      <c r="H272" s="26">
        <f t="shared" si="5"/>
        <v>0</v>
      </c>
      <c r="I272" s="24">
        <f t="shared" si="6"/>
        <v>0</v>
      </c>
      <c r="J272" s="24">
        <f t="shared" si="7"/>
        <v>0</v>
      </c>
      <c r="K272" s="24"/>
      <c r="L272" s="24">
        <f t="shared" si="8"/>
        <v>612.1480035</v>
      </c>
      <c r="M272" s="31">
        <f t="shared" si="9"/>
        <v>436.669497</v>
      </c>
      <c r="N272" s="27">
        <f t="shared" si="10"/>
        <v>175.4785064</v>
      </c>
      <c r="O272" s="24"/>
      <c r="P272" s="24"/>
      <c r="Q272" s="24"/>
      <c r="R272" s="26"/>
      <c r="S272" s="14">
        <f t="shared" si="13"/>
        <v>161.1412338</v>
      </c>
      <c r="U272" s="21"/>
      <c r="V272" s="21"/>
    </row>
    <row r="273">
      <c r="A273" s="11">
        <v>261.0</v>
      </c>
      <c r="B273" s="11">
        <v>1.4205304347826E9</v>
      </c>
      <c r="C273" s="2">
        <v>-101.0198441</v>
      </c>
      <c r="D273" s="24">
        <f t="shared" si="1"/>
        <v>130434.7826</v>
      </c>
      <c r="E273" s="25">
        <f t="shared" si="2"/>
        <v>-28.4671801</v>
      </c>
      <c r="F273" s="24">
        <f t="shared" si="16"/>
        <v>0.0002182483807</v>
      </c>
      <c r="G273" s="24">
        <f t="shared" si="4"/>
        <v>0</v>
      </c>
      <c r="H273" s="26">
        <f t="shared" si="5"/>
        <v>0</v>
      </c>
      <c r="I273" s="24">
        <f t="shared" si="6"/>
        <v>0</v>
      </c>
      <c r="J273" s="24">
        <f t="shared" si="7"/>
        <v>0</v>
      </c>
      <c r="K273" s="24"/>
      <c r="L273" s="24">
        <f t="shared" si="8"/>
        <v>601.3423042</v>
      </c>
      <c r="M273" s="31">
        <f t="shared" si="9"/>
        <v>436.5675183</v>
      </c>
      <c r="N273" s="27">
        <f t="shared" si="10"/>
        <v>164.7747859</v>
      </c>
      <c r="O273" s="24"/>
      <c r="P273" s="24"/>
      <c r="Q273" s="24"/>
      <c r="R273" s="26"/>
      <c r="S273" s="14">
        <f t="shared" si="13"/>
        <v>151.3120487</v>
      </c>
      <c r="U273" s="21"/>
      <c r="V273" s="21"/>
    </row>
    <row r="274">
      <c r="A274" s="11">
        <v>262.0</v>
      </c>
      <c r="B274" s="11">
        <v>1.42053478260869E9</v>
      </c>
      <c r="C274" s="2">
        <v>-101.1295242</v>
      </c>
      <c r="D274" s="24">
        <f t="shared" si="1"/>
        <v>134782.6087</v>
      </c>
      <c r="E274" s="25">
        <f t="shared" si="2"/>
        <v>-29.38547623</v>
      </c>
      <c r="F274" s="24">
        <f t="shared" si="16"/>
        <v>0.0002180212752</v>
      </c>
      <c r="G274" s="24">
        <f t="shared" si="4"/>
        <v>0</v>
      </c>
      <c r="H274" s="26">
        <f t="shared" si="5"/>
        <v>0</v>
      </c>
      <c r="I274" s="24">
        <f t="shared" si="6"/>
        <v>0</v>
      </c>
      <c r="J274" s="24">
        <f t="shared" si="7"/>
        <v>0</v>
      </c>
      <c r="K274" s="24"/>
      <c r="L274" s="24">
        <f t="shared" si="8"/>
        <v>586.3457038</v>
      </c>
      <c r="M274" s="31">
        <f t="shared" si="9"/>
        <v>436.4654004</v>
      </c>
      <c r="N274" s="27">
        <f t="shared" si="10"/>
        <v>149.8803034</v>
      </c>
      <c r="O274" s="24"/>
      <c r="P274" s="24"/>
      <c r="Q274" s="24"/>
      <c r="R274" s="26"/>
      <c r="S274" s="14">
        <f t="shared" si="13"/>
        <v>137.634503</v>
      </c>
      <c r="U274" s="21"/>
      <c r="V274" s="21"/>
    </row>
    <row r="275">
      <c r="A275" s="11">
        <v>263.0</v>
      </c>
      <c r="B275" s="11">
        <v>1.42053913043478E9</v>
      </c>
      <c r="C275" s="2">
        <v>-101.2308273</v>
      </c>
      <c r="D275" s="24">
        <f t="shared" si="1"/>
        <v>139130.4348</v>
      </c>
      <c r="E275" s="25">
        <f t="shared" si="2"/>
        <v>-30.30377236</v>
      </c>
      <c r="F275" s="24">
        <f t="shared" si="16"/>
        <v>0.0002178083638</v>
      </c>
      <c r="G275" s="24">
        <f t="shared" si="4"/>
        <v>0</v>
      </c>
      <c r="H275" s="26">
        <f t="shared" si="5"/>
        <v>0</v>
      </c>
      <c r="I275" s="24">
        <f t="shared" si="6"/>
        <v>0</v>
      </c>
      <c r="J275" s="24">
        <f t="shared" si="7"/>
        <v>0</v>
      </c>
      <c r="K275" s="24"/>
      <c r="L275" s="24">
        <f t="shared" si="8"/>
        <v>572.8269437</v>
      </c>
      <c r="M275" s="31">
        <f t="shared" si="9"/>
        <v>436.3631426</v>
      </c>
      <c r="N275" s="27">
        <f t="shared" si="10"/>
        <v>136.463801</v>
      </c>
      <c r="O275" s="24"/>
      <c r="P275" s="24"/>
      <c r="Q275" s="24"/>
      <c r="R275" s="26"/>
      <c r="S275" s="14">
        <f t="shared" si="13"/>
        <v>125.3141804</v>
      </c>
      <c r="U275" s="21"/>
      <c r="V275" s="21"/>
    </row>
    <row r="276">
      <c r="A276" s="11">
        <v>264.0</v>
      </c>
      <c r="B276" s="11">
        <v>1.42054347826087E9</v>
      </c>
      <c r="C276" s="2">
        <v>-101.3901901</v>
      </c>
      <c r="D276" s="24">
        <f t="shared" si="1"/>
        <v>143478.2609</v>
      </c>
      <c r="E276" s="25">
        <f t="shared" si="2"/>
        <v>-31.22206849</v>
      </c>
      <c r="F276" s="24">
        <f t="shared" si="16"/>
        <v>0.0002176083562</v>
      </c>
      <c r="G276" s="24">
        <f t="shared" si="4"/>
        <v>0</v>
      </c>
      <c r="H276" s="26">
        <f t="shared" si="5"/>
        <v>0</v>
      </c>
      <c r="I276" s="24">
        <f t="shared" si="6"/>
        <v>0</v>
      </c>
      <c r="J276" s="24">
        <f t="shared" si="7"/>
        <v>0</v>
      </c>
      <c r="K276" s="24"/>
      <c r="L276" s="24">
        <f t="shared" si="8"/>
        <v>552.1882453</v>
      </c>
      <c r="M276" s="31">
        <f t="shared" si="9"/>
        <v>436.2607442</v>
      </c>
      <c r="N276" s="27">
        <f t="shared" si="10"/>
        <v>115.9275011</v>
      </c>
      <c r="O276" s="24"/>
      <c r="P276" s="24"/>
      <c r="Q276" s="24"/>
      <c r="R276" s="26"/>
      <c r="S276" s="14">
        <f t="shared" si="13"/>
        <v>106.4557759</v>
      </c>
      <c r="U276" s="21"/>
      <c r="V276" s="21"/>
    </row>
    <row r="277">
      <c r="A277" s="11">
        <v>265.0</v>
      </c>
      <c r="B277" s="11">
        <v>1.42054782608695E9</v>
      </c>
      <c r="C277" s="2">
        <v>-101.5607071</v>
      </c>
      <c r="D277" s="24">
        <f t="shared" si="1"/>
        <v>147826.087</v>
      </c>
      <c r="E277" s="25">
        <f t="shared" si="2"/>
        <v>-32.14036462</v>
      </c>
      <c r="F277" s="24">
        <f t="shared" si="16"/>
        <v>0.0002174201136</v>
      </c>
      <c r="G277" s="24">
        <f t="shared" si="4"/>
        <v>0</v>
      </c>
      <c r="H277" s="26">
        <f t="shared" si="5"/>
        <v>0</v>
      </c>
      <c r="I277" s="24">
        <f t="shared" si="6"/>
        <v>0</v>
      </c>
      <c r="J277" s="24">
        <f t="shared" si="7"/>
        <v>0</v>
      </c>
      <c r="K277" s="24"/>
      <c r="L277" s="24">
        <f t="shared" si="8"/>
        <v>530.9277893</v>
      </c>
      <c r="M277" s="31">
        <f t="shared" si="9"/>
        <v>436.1582043</v>
      </c>
      <c r="N277" s="27">
        <f t="shared" si="10"/>
        <v>94.76958499</v>
      </c>
      <c r="O277" s="24"/>
      <c r="P277" s="24"/>
      <c r="Q277" s="24"/>
      <c r="R277" s="26"/>
      <c r="S277" s="14">
        <f t="shared" si="13"/>
        <v>87.0265434</v>
      </c>
      <c r="U277" s="21"/>
      <c r="V277" s="21"/>
    </row>
    <row r="278">
      <c r="A278" s="11">
        <v>266.0</v>
      </c>
      <c r="B278" s="11">
        <v>1.42055217391304E9</v>
      </c>
      <c r="C278" s="2">
        <v>-101.6615219</v>
      </c>
      <c r="D278" s="24">
        <f t="shared" si="1"/>
        <v>152173.913</v>
      </c>
      <c r="E278" s="25">
        <f t="shared" si="2"/>
        <v>-33.05866076</v>
      </c>
      <c r="F278" s="24">
        <f t="shared" si="16"/>
        <v>0.0002172426278</v>
      </c>
      <c r="G278" s="24">
        <f t="shared" si="4"/>
        <v>0</v>
      </c>
      <c r="H278" s="26">
        <f t="shared" si="5"/>
        <v>0</v>
      </c>
      <c r="I278" s="24">
        <f t="shared" si="6"/>
        <v>0</v>
      </c>
      <c r="J278" s="24">
        <f t="shared" si="7"/>
        <v>0</v>
      </c>
      <c r="K278" s="24"/>
      <c r="L278" s="24">
        <f t="shared" si="8"/>
        <v>518.7450641</v>
      </c>
      <c r="M278" s="31">
        <f t="shared" si="9"/>
        <v>436.0555222</v>
      </c>
      <c r="N278" s="27">
        <f t="shared" si="10"/>
        <v>82.68954187</v>
      </c>
      <c r="O278" s="24"/>
      <c r="P278" s="24"/>
      <c r="Q278" s="24"/>
      <c r="R278" s="26"/>
      <c r="S278" s="14">
        <f t="shared" si="13"/>
        <v>75.93348634</v>
      </c>
      <c r="U278" s="21"/>
      <c r="V278" s="21"/>
    </row>
    <row r="279">
      <c r="A279" s="11">
        <v>267.0</v>
      </c>
      <c r="B279" s="11">
        <v>1.42055652173913E9</v>
      </c>
      <c r="C279" s="2">
        <v>-101.7450638</v>
      </c>
      <c r="D279" s="24">
        <f t="shared" si="1"/>
        <v>156521.7391</v>
      </c>
      <c r="E279" s="25">
        <f t="shared" si="2"/>
        <v>-33.97695689</v>
      </c>
      <c r="F279" s="24">
        <f t="shared" si="16"/>
        <v>0.0002170750023</v>
      </c>
      <c r="G279" s="24">
        <f t="shared" si="4"/>
        <v>0</v>
      </c>
      <c r="H279" s="26">
        <f t="shared" si="5"/>
        <v>0</v>
      </c>
      <c r="I279" s="24">
        <f t="shared" si="6"/>
        <v>0</v>
      </c>
      <c r="J279" s="24">
        <f t="shared" si="7"/>
        <v>0</v>
      </c>
      <c r="K279" s="24"/>
      <c r="L279" s="24">
        <f t="shared" si="8"/>
        <v>508.8617268</v>
      </c>
      <c r="M279" s="31">
        <f t="shared" si="9"/>
        <v>435.9526971</v>
      </c>
      <c r="N279" s="27">
        <f t="shared" si="10"/>
        <v>72.90902977</v>
      </c>
      <c r="O279" s="24"/>
      <c r="P279" s="24"/>
      <c r="Q279" s="24"/>
      <c r="R279" s="26"/>
      <c r="S279" s="14">
        <f t="shared" si="13"/>
        <v>66.95208008</v>
      </c>
      <c r="U279" s="21"/>
      <c r="V279" s="21"/>
    </row>
    <row r="280">
      <c r="A280" s="11">
        <v>268.0</v>
      </c>
      <c r="B280" s="11">
        <v>1.42056086956521E9</v>
      </c>
      <c r="C280" s="2">
        <v>-101.9075241</v>
      </c>
      <c r="D280" s="24">
        <f t="shared" si="1"/>
        <v>160869.5652</v>
      </c>
      <c r="E280" s="25">
        <f t="shared" si="2"/>
        <v>-34.89525302</v>
      </c>
      <c r="F280" s="24">
        <f t="shared" si="16"/>
        <v>0.0002169164377</v>
      </c>
      <c r="G280" s="24">
        <f t="shared" si="4"/>
        <v>0</v>
      </c>
      <c r="H280" s="26">
        <f t="shared" si="5"/>
        <v>0</v>
      </c>
      <c r="I280" s="24">
        <f t="shared" si="6"/>
        <v>0</v>
      </c>
      <c r="J280" s="24">
        <f t="shared" si="7"/>
        <v>0</v>
      </c>
      <c r="K280" s="24"/>
      <c r="L280" s="24">
        <f t="shared" si="8"/>
        <v>490.1779344</v>
      </c>
      <c r="M280" s="31">
        <f t="shared" si="9"/>
        <v>435.8497281</v>
      </c>
      <c r="N280" s="27">
        <f t="shared" si="10"/>
        <v>54.32820632</v>
      </c>
      <c r="O280" s="24"/>
      <c r="P280" s="24"/>
      <c r="Q280" s="24"/>
      <c r="R280" s="26"/>
      <c r="S280" s="14">
        <f t="shared" si="13"/>
        <v>49.88938177</v>
      </c>
      <c r="U280" s="21"/>
      <c r="V280" s="21"/>
    </row>
    <row r="281">
      <c r="A281" s="11">
        <v>269.0</v>
      </c>
      <c r="B281" s="11">
        <v>1.4205652173913E9</v>
      </c>
      <c r="C281" s="2">
        <v>-101.9080734</v>
      </c>
      <c r="D281" s="24">
        <f t="shared" si="1"/>
        <v>165217.3913</v>
      </c>
      <c r="E281" s="25">
        <f t="shared" si="2"/>
        <v>-35.81354915</v>
      </c>
      <c r="F281" s="24">
        <f t="shared" si="16"/>
        <v>0.0002167662186</v>
      </c>
      <c r="G281" s="24">
        <f t="shared" si="4"/>
        <v>0</v>
      </c>
      <c r="H281" s="26">
        <f t="shared" si="5"/>
        <v>0</v>
      </c>
      <c r="I281" s="24">
        <f t="shared" si="6"/>
        <v>0</v>
      </c>
      <c r="J281" s="24">
        <f t="shared" si="7"/>
        <v>0</v>
      </c>
      <c r="K281" s="24"/>
      <c r="L281" s="24">
        <f t="shared" si="8"/>
        <v>490.1159401</v>
      </c>
      <c r="M281" s="31">
        <f t="shared" si="9"/>
        <v>435.7466145</v>
      </c>
      <c r="N281" s="27">
        <f t="shared" si="10"/>
        <v>54.36932564</v>
      </c>
      <c r="O281" s="24"/>
      <c r="P281" s="24"/>
      <c r="Q281" s="24"/>
      <c r="R281" s="26"/>
      <c r="S281" s="14">
        <f t="shared" si="13"/>
        <v>49.92714136</v>
      </c>
      <c r="U281" s="21"/>
      <c r="V281" s="21"/>
    </row>
    <row r="282">
      <c r="A282" s="11">
        <v>270.0</v>
      </c>
      <c r="B282" s="11">
        <v>1.42056956521739E9</v>
      </c>
      <c r="C282" s="2">
        <v>-101.9804077</v>
      </c>
      <c r="D282" s="24">
        <f t="shared" si="1"/>
        <v>169565.2174</v>
      </c>
      <c r="E282" s="25">
        <f t="shared" si="2"/>
        <v>-36.73184528</v>
      </c>
      <c r="F282" s="24">
        <f t="shared" si="16"/>
        <v>0.000216623703</v>
      </c>
      <c r="G282" s="24">
        <f t="shared" si="4"/>
        <v>0</v>
      </c>
      <c r="H282" s="26">
        <f t="shared" si="5"/>
        <v>0</v>
      </c>
      <c r="I282" s="24">
        <f t="shared" si="6"/>
        <v>0</v>
      </c>
      <c r="J282" s="24">
        <f t="shared" si="7"/>
        <v>0</v>
      </c>
      <c r="K282" s="24"/>
      <c r="L282" s="24">
        <f t="shared" si="8"/>
        <v>482.0203762</v>
      </c>
      <c r="M282" s="31">
        <f t="shared" si="9"/>
        <v>435.6433555</v>
      </c>
      <c r="N282" s="27">
        <f t="shared" si="10"/>
        <v>46.37702074</v>
      </c>
      <c r="O282" s="24"/>
      <c r="P282" s="24"/>
      <c r="Q282" s="24"/>
      <c r="R282" s="26"/>
      <c r="S282" s="14">
        <f t="shared" si="13"/>
        <v>42.5878388</v>
      </c>
      <c r="U282" s="21"/>
      <c r="V282" s="21"/>
    </row>
    <row r="283">
      <c r="A283" s="11">
        <v>271.0</v>
      </c>
      <c r="B283" s="11">
        <v>1.42057391304347E9</v>
      </c>
      <c r="C283" s="2">
        <v>-101.9755173</v>
      </c>
      <c r="D283" s="24">
        <f t="shared" si="1"/>
        <v>173913.0435</v>
      </c>
      <c r="E283" s="25">
        <f t="shared" si="2"/>
        <v>-37.65014142</v>
      </c>
      <c r="F283" s="24">
        <f t="shared" si="16"/>
        <v>0.0002164883132</v>
      </c>
      <c r="G283" s="24">
        <f t="shared" si="4"/>
        <v>0</v>
      </c>
      <c r="H283" s="26">
        <f t="shared" si="5"/>
        <v>0</v>
      </c>
      <c r="I283" s="24">
        <f t="shared" si="6"/>
        <v>0</v>
      </c>
      <c r="J283" s="24">
        <f t="shared" si="7"/>
        <v>0</v>
      </c>
      <c r="K283" s="24"/>
      <c r="L283" s="24">
        <f t="shared" si="8"/>
        <v>482.563464</v>
      </c>
      <c r="M283" s="31">
        <f t="shared" si="9"/>
        <v>435.5399503</v>
      </c>
      <c r="N283" s="27">
        <f t="shared" si="10"/>
        <v>47.02351367</v>
      </c>
      <c r="O283" s="24"/>
      <c r="P283" s="24"/>
      <c r="Q283" s="24"/>
      <c r="R283" s="26"/>
      <c r="S283" s="14">
        <f t="shared" si="13"/>
        <v>43.18151075</v>
      </c>
      <c r="U283" s="21"/>
      <c r="V283" s="21"/>
    </row>
    <row r="284">
      <c r="A284" s="11">
        <v>272.0</v>
      </c>
      <c r="B284" s="11">
        <v>1.42057826086956E9</v>
      </c>
      <c r="C284" s="2">
        <v>-102.0771332</v>
      </c>
      <c r="D284" s="24">
        <f t="shared" si="1"/>
        <v>178260.8696</v>
      </c>
      <c r="E284" s="25">
        <f t="shared" si="2"/>
        <v>-38.56843755</v>
      </c>
      <c r="F284" s="24">
        <f t="shared" si="16"/>
        <v>0.0002163595277</v>
      </c>
      <c r="G284" s="24">
        <f t="shared" si="4"/>
        <v>0</v>
      </c>
      <c r="H284" s="26">
        <f t="shared" si="5"/>
        <v>0</v>
      </c>
      <c r="I284" s="24">
        <f t="shared" si="6"/>
        <v>0</v>
      </c>
      <c r="J284" s="24">
        <f t="shared" si="7"/>
        <v>0</v>
      </c>
      <c r="K284" s="24"/>
      <c r="L284" s="24">
        <f t="shared" si="8"/>
        <v>471.4035485</v>
      </c>
      <c r="M284" s="31">
        <f t="shared" si="9"/>
        <v>435.4363982</v>
      </c>
      <c r="N284" s="27">
        <f t="shared" si="10"/>
        <v>35.96715032</v>
      </c>
      <c r="O284" s="24"/>
      <c r="P284" s="24"/>
      <c r="Q284" s="24"/>
      <c r="R284" s="26"/>
      <c r="S284" s="14">
        <f t="shared" si="13"/>
        <v>33.02849497</v>
      </c>
      <c r="U284" s="21"/>
      <c r="V284" s="21"/>
    </row>
    <row r="285">
      <c r="A285" s="11">
        <v>273.0</v>
      </c>
      <c r="B285" s="11">
        <v>1.42058260869565E9</v>
      </c>
      <c r="C285" s="2">
        <v>-102.1421432</v>
      </c>
      <c r="D285" s="24">
        <f t="shared" si="1"/>
        <v>182608.6957</v>
      </c>
      <c r="E285" s="25">
        <f t="shared" si="2"/>
        <v>-39.48673368</v>
      </c>
      <c r="F285" s="24">
        <f t="shared" si="16"/>
        <v>0.0002162368749</v>
      </c>
      <c r="G285" s="24">
        <f t="shared" si="4"/>
        <v>0</v>
      </c>
      <c r="H285" s="26">
        <f t="shared" si="5"/>
        <v>0</v>
      </c>
      <c r="I285" s="24">
        <f t="shared" si="6"/>
        <v>0</v>
      </c>
      <c r="J285" s="24">
        <f t="shared" si="7"/>
        <v>0</v>
      </c>
      <c r="K285" s="24"/>
      <c r="L285" s="24">
        <f t="shared" si="8"/>
        <v>464.3996111</v>
      </c>
      <c r="M285" s="31">
        <f t="shared" si="9"/>
        <v>435.3326983</v>
      </c>
      <c r="N285" s="27">
        <f t="shared" si="10"/>
        <v>29.0669128</v>
      </c>
      <c r="O285" s="24"/>
      <c r="P285" s="24"/>
      <c r="Q285" s="24"/>
      <c r="R285" s="26"/>
      <c r="S285" s="14">
        <f t="shared" si="13"/>
        <v>26.69203361</v>
      </c>
      <c r="U285" s="21"/>
      <c r="V285" s="21"/>
    </row>
    <row r="286">
      <c r="A286" s="11">
        <v>274.0</v>
      </c>
      <c r="B286" s="11">
        <v>1.42058695652173E9</v>
      </c>
      <c r="C286" s="2">
        <v>-102.1067276</v>
      </c>
      <c r="D286" s="24">
        <f t="shared" si="1"/>
        <v>186956.5217</v>
      </c>
      <c r="E286" s="25">
        <f t="shared" si="2"/>
        <v>-40.40502981</v>
      </c>
      <c r="F286" s="24">
        <f t="shared" si="16"/>
        <v>0.0002161199269</v>
      </c>
      <c r="G286" s="24">
        <f t="shared" si="4"/>
        <v>0</v>
      </c>
      <c r="H286" s="26">
        <f t="shared" si="5"/>
        <v>0</v>
      </c>
      <c r="I286" s="24">
        <f t="shared" si="6"/>
        <v>0</v>
      </c>
      <c r="J286" s="24">
        <f t="shared" si="7"/>
        <v>0</v>
      </c>
      <c r="K286" s="24"/>
      <c r="L286" s="24">
        <f t="shared" si="8"/>
        <v>468.202154</v>
      </c>
      <c r="M286" s="31">
        <f t="shared" si="9"/>
        <v>435.2288499</v>
      </c>
      <c r="N286" s="27">
        <f t="shared" si="10"/>
        <v>32.97330414</v>
      </c>
      <c r="O286" s="24"/>
      <c r="P286" s="24"/>
      <c r="Q286" s="24"/>
      <c r="R286" s="26"/>
      <c r="S286" s="14">
        <f t="shared" si="13"/>
        <v>30.27925768</v>
      </c>
      <c r="U286" s="21"/>
      <c r="V286" s="21"/>
    </row>
    <row r="287">
      <c r="A287" s="11">
        <v>275.0</v>
      </c>
      <c r="B287" s="11">
        <v>1.42059130434782E9</v>
      </c>
      <c r="C287" s="2">
        <v>-102.164566</v>
      </c>
      <c r="D287" s="24">
        <f t="shared" si="1"/>
        <v>191304.3478</v>
      </c>
      <c r="E287" s="25">
        <f t="shared" si="2"/>
        <v>-41.32332595</v>
      </c>
      <c r="F287" s="24">
        <f t="shared" si="16"/>
        <v>0.0002160082947</v>
      </c>
      <c r="G287" s="24">
        <f t="shared" si="4"/>
        <v>0</v>
      </c>
      <c r="H287" s="26">
        <f t="shared" si="5"/>
        <v>0</v>
      </c>
      <c r="I287" s="24">
        <f t="shared" si="6"/>
        <v>0</v>
      </c>
      <c r="J287" s="24">
        <f t="shared" si="7"/>
        <v>0</v>
      </c>
      <c r="K287" s="24"/>
      <c r="L287" s="24">
        <f t="shared" si="8"/>
        <v>462.0080762</v>
      </c>
      <c r="M287" s="31">
        <f t="shared" si="9"/>
        <v>435.1248521</v>
      </c>
      <c r="N287" s="27">
        <f t="shared" si="10"/>
        <v>26.88322412</v>
      </c>
      <c r="O287" s="24"/>
      <c r="P287" s="24"/>
      <c r="Q287" s="24"/>
      <c r="R287" s="26"/>
      <c r="S287" s="14">
        <f t="shared" si="13"/>
        <v>24.68676074</v>
      </c>
      <c r="U287" s="21"/>
      <c r="V287" s="21"/>
    </row>
    <row r="288">
      <c r="A288" s="11">
        <v>276.0</v>
      </c>
      <c r="B288" s="11">
        <v>1.42059565217391E9</v>
      </c>
      <c r="C288" s="2">
        <v>-102.1753616</v>
      </c>
      <c r="D288" s="24">
        <f t="shared" si="1"/>
        <v>195652.1739</v>
      </c>
      <c r="E288" s="25">
        <f t="shared" si="2"/>
        <v>-42.24162208</v>
      </c>
      <c r="F288" s="24">
        <f t="shared" si="16"/>
        <v>0.000215901624</v>
      </c>
      <c r="G288" s="24">
        <f t="shared" si="4"/>
        <v>0</v>
      </c>
      <c r="H288" s="26">
        <f t="shared" si="5"/>
        <v>0</v>
      </c>
      <c r="I288" s="24">
        <f t="shared" si="6"/>
        <v>0</v>
      </c>
      <c r="J288" s="24">
        <f t="shared" si="7"/>
        <v>0</v>
      </c>
      <c r="K288" s="24"/>
      <c r="L288" s="24">
        <f t="shared" si="8"/>
        <v>460.8610526</v>
      </c>
      <c r="M288" s="31">
        <f t="shared" si="9"/>
        <v>435.0207042</v>
      </c>
      <c r="N288" s="27">
        <f t="shared" si="10"/>
        <v>25.84034836</v>
      </c>
      <c r="O288" s="24"/>
      <c r="P288" s="24"/>
      <c r="Q288" s="24"/>
      <c r="R288" s="26"/>
      <c r="S288" s="14">
        <f t="shared" si="13"/>
        <v>23.72909192</v>
      </c>
      <c r="U288" s="21"/>
      <c r="V288" s="21"/>
    </row>
    <row r="289">
      <c r="A289" s="11">
        <v>277.0</v>
      </c>
      <c r="B289" s="11">
        <v>1.4206E9</v>
      </c>
      <c r="C289" s="2">
        <v>-102.1624527</v>
      </c>
      <c r="D289" s="24">
        <f t="shared" si="1"/>
        <v>200000</v>
      </c>
      <c r="E289" s="25">
        <f t="shared" si="2"/>
        <v>-43.15991821</v>
      </c>
      <c r="F289" s="24">
        <f t="shared" si="16"/>
        <v>0.000215799591</v>
      </c>
      <c r="G289" s="24">
        <f t="shared" si="4"/>
        <v>0</v>
      </c>
      <c r="H289" s="26">
        <f t="shared" si="5"/>
        <v>0</v>
      </c>
      <c r="I289" s="24">
        <f t="shared" si="6"/>
        <v>0</v>
      </c>
      <c r="J289" s="24">
        <f t="shared" si="7"/>
        <v>0</v>
      </c>
      <c r="K289" s="24"/>
      <c r="L289" s="24">
        <f t="shared" si="8"/>
        <v>462.2329465</v>
      </c>
      <c r="M289" s="31">
        <f t="shared" si="9"/>
        <v>434.9164054</v>
      </c>
      <c r="N289" s="27">
        <f t="shared" si="10"/>
        <v>27.31654111</v>
      </c>
      <c r="O289" s="24"/>
      <c r="P289" s="24"/>
      <c r="Q289" s="24"/>
      <c r="R289" s="26"/>
      <c r="S289" s="14">
        <f t="shared" si="13"/>
        <v>25.08467406</v>
      </c>
      <c r="U289" s="21"/>
      <c r="V289" s="21"/>
    </row>
    <row r="290">
      <c r="A290" s="11">
        <v>278.0</v>
      </c>
      <c r="B290" s="11">
        <v>1.42060434782608E9</v>
      </c>
      <c r="C290" s="2">
        <v>-102.1605377</v>
      </c>
      <c r="D290" s="24">
        <f t="shared" si="1"/>
        <v>204347.8261</v>
      </c>
      <c r="E290" s="25">
        <f t="shared" si="2"/>
        <v>-44.07821434</v>
      </c>
      <c r="F290" s="24">
        <f t="shared" si="16"/>
        <v>0.0002157019</v>
      </c>
      <c r="G290" s="24">
        <f t="shared" si="4"/>
        <v>0</v>
      </c>
      <c r="H290" s="26">
        <f t="shared" si="5"/>
        <v>0</v>
      </c>
      <c r="I290" s="24">
        <f t="shared" si="6"/>
        <v>0</v>
      </c>
      <c r="J290" s="24">
        <f t="shared" si="7"/>
        <v>0</v>
      </c>
      <c r="K290" s="24"/>
      <c r="L290" s="24">
        <f t="shared" si="8"/>
        <v>462.4368108</v>
      </c>
      <c r="M290" s="31">
        <f t="shared" si="9"/>
        <v>434.8119549</v>
      </c>
      <c r="N290" s="27">
        <f t="shared" si="10"/>
        <v>27.62485588</v>
      </c>
      <c r="O290" s="24"/>
      <c r="P290" s="24"/>
      <c r="Q290" s="24"/>
      <c r="R290" s="26"/>
      <c r="S290" s="14">
        <f t="shared" si="13"/>
        <v>25.36779832</v>
      </c>
      <c r="U290" s="21"/>
      <c r="V290" s="21"/>
    </row>
    <row r="291">
      <c r="A291" s="11">
        <v>279.0</v>
      </c>
      <c r="B291" s="11">
        <v>1.42060869565217E9</v>
      </c>
      <c r="C291" s="2">
        <v>-102.1923141</v>
      </c>
      <c r="D291" s="24">
        <f t="shared" si="1"/>
        <v>208695.6522</v>
      </c>
      <c r="E291" s="25">
        <f t="shared" si="2"/>
        <v>-44.99651047</v>
      </c>
      <c r="F291" s="24">
        <f t="shared" si="16"/>
        <v>0.0002156082794</v>
      </c>
      <c r="G291" s="24">
        <f t="shared" si="4"/>
        <v>0</v>
      </c>
      <c r="H291" s="26">
        <f t="shared" si="5"/>
        <v>0</v>
      </c>
      <c r="I291" s="24">
        <f t="shared" si="6"/>
        <v>0</v>
      </c>
      <c r="J291" s="24">
        <f t="shared" si="7"/>
        <v>0</v>
      </c>
      <c r="K291" s="24"/>
      <c r="L291" s="24">
        <f t="shared" si="8"/>
        <v>459.0656076</v>
      </c>
      <c r="M291" s="31">
        <f t="shared" si="9"/>
        <v>434.7073519</v>
      </c>
      <c r="N291" s="27">
        <f t="shared" si="10"/>
        <v>24.35825567</v>
      </c>
      <c r="O291" s="24"/>
      <c r="P291" s="24"/>
      <c r="Q291" s="24"/>
      <c r="R291" s="26"/>
      <c r="S291" s="14">
        <f t="shared" si="13"/>
        <v>22.36809193</v>
      </c>
      <c r="U291" s="21"/>
      <c r="V291" s="21"/>
    </row>
    <row r="292">
      <c r="A292" s="11">
        <v>280.0</v>
      </c>
      <c r="B292" s="11">
        <v>1.42061304347826E9</v>
      </c>
      <c r="C292" s="2">
        <v>-102.2073746</v>
      </c>
      <c r="D292" s="24">
        <f t="shared" si="1"/>
        <v>213043.4783</v>
      </c>
      <c r="E292" s="25">
        <f t="shared" si="2"/>
        <v>-45.91480661</v>
      </c>
      <c r="F292" s="24">
        <f t="shared" si="16"/>
        <v>0.00021551848</v>
      </c>
      <c r="G292" s="24">
        <f t="shared" si="4"/>
        <v>0</v>
      </c>
      <c r="H292" s="26">
        <f t="shared" si="5"/>
        <v>0</v>
      </c>
      <c r="I292" s="24">
        <f t="shared" si="6"/>
        <v>0</v>
      </c>
      <c r="J292" s="24">
        <f t="shared" si="7"/>
        <v>0</v>
      </c>
      <c r="K292" s="24"/>
      <c r="L292" s="24">
        <f t="shared" si="8"/>
        <v>457.4764132</v>
      </c>
      <c r="M292" s="31">
        <f t="shared" si="9"/>
        <v>434.6025957</v>
      </c>
      <c r="N292" s="27">
        <f t="shared" si="10"/>
        <v>22.87381751</v>
      </c>
      <c r="O292" s="24"/>
      <c r="P292" s="24"/>
      <c r="Q292" s="24"/>
      <c r="R292" s="26"/>
      <c r="S292" s="14">
        <f t="shared" si="13"/>
        <v>21.00493817</v>
      </c>
      <c r="U292" s="21"/>
      <c r="V292" s="21"/>
    </row>
    <row r="293">
      <c r="A293" s="11">
        <v>281.0</v>
      </c>
      <c r="B293" s="11">
        <v>1.42061739130434E9</v>
      </c>
      <c r="C293" s="2">
        <v>-102.1687241</v>
      </c>
      <c r="D293" s="24">
        <f t="shared" si="1"/>
        <v>217391.3043</v>
      </c>
      <c r="E293" s="25">
        <f t="shared" si="2"/>
        <v>-46.83310274</v>
      </c>
      <c r="F293" s="24">
        <f t="shared" si="16"/>
        <v>0.0002154322726</v>
      </c>
      <c r="G293" s="24">
        <f t="shared" si="4"/>
        <v>0</v>
      </c>
      <c r="H293" s="26">
        <f t="shared" si="5"/>
        <v>0</v>
      </c>
      <c r="I293" s="24">
        <f t="shared" si="6"/>
        <v>0</v>
      </c>
      <c r="J293" s="24">
        <f t="shared" si="7"/>
        <v>0</v>
      </c>
      <c r="K293" s="24"/>
      <c r="L293" s="24">
        <f t="shared" si="8"/>
        <v>461.5659439</v>
      </c>
      <c r="M293" s="31">
        <f t="shared" si="9"/>
        <v>434.4976853</v>
      </c>
      <c r="N293" s="27">
        <f t="shared" si="10"/>
        <v>27.06825851</v>
      </c>
      <c r="O293" s="24"/>
      <c r="P293" s="24"/>
      <c r="Q293" s="24"/>
      <c r="R293" s="26"/>
      <c r="S293" s="14">
        <f t="shared" si="13"/>
        <v>24.85667711</v>
      </c>
      <c r="U293" s="21"/>
      <c r="V293" s="21"/>
    </row>
    <row r="294">
      <c r="A294" s="11">
        <v>282.0</v>
      </c>
      <c r="B294" s="11">
        <v>1.42062173913043E9</v>
      </c>
      <c r="C294" s="2">
        <v>-102.1864853</v>
      </c>
      <c r="D294" s="24">
        <f t="shared" si="1"/>
        <v>221739.1304</v>
      </c>
      <c r="E294" s="25">
        <f t="shared" si="2"/>
        <v>-47.75139887</v>
      </c>
      <c r="F294" s="24">
        <f t="shared" si="16"/>
        <v>0.0002153494459</v>
      </c>
      <c r="G294" s="24">
        <f t="shared" si="4"/>
        <v>0</v>
      </c>
      <c r="H294" s="26">
        <f t="shared" si="5"/>
        <v>0</v>
      </c>
      <c r="I294" s="24">
        <f t="shared" si="6"/>
        <v>0</v>
      </c>
      <c r="J294" s="24">
        <f t="shared" si="7"/>
        <v>0</v>
      </c>
      <c r="K294" s="24"/>
      <c r="L294" s="24">
        <f t="shared" si="8"/>
        <v>459.6821473</v>
      </c>
      <c r="M294" s="31">
        <f t="shared" si="9"/>
        <v>434.3926202</v>
      </c>
      <c r="N294" s="27">
        <f t="shared" si="10"/>
        <v>25.28952713</v>
      </c>
      <c r="O294" s="24"/>
      <c r="P294" s="24"/>
      <c r="Q294" s="24"/>
      <c r="R294" s="26"/>
      <c r="S294" s="14">
        <f t="shared" si="13"/>
        <v>23.22327491</v>
      </c>
      <c r="U294" s="21"/>
      <c r="V294" s="21"/>
    </row>
    <row r="295">
      <c r="A295" s="11">
        <v>283.0</v>
      </c>
      <c r="B295" s="11">
        <v>1.42062608695652E9</v>
      </c>
      <c r="C295" s="2">
        <v>-102.1372299</v>
      </c>
      <c r="D295" s="24">
        <f t="shared" si="1"/>
        <v>226086.9565</v>
      </c>
      <c r="E295" s="25">
        <f t="shared" si="2"/>
        <v>-48.669695</v>
      </c>
      <c r="F295" s="24">
        <f t="shared" si="16"/>
        <v>0.0002152698048</v>
      </c>
      <c r="G295" s="24">
        <f t="shared" si="4"/>
        <v>0</v>
      </c>
      <c r="H295" s="26">
        <f t="shared" si="5"/>
        <v>0</v>
      </c>
      <c r="I295" s="24">
        <f t="shared" si="6"/>
        <v>0</v>
      </c>
      <c r="J295" s="24">
        <f t="shared" si="7"/>
        <v>0</v>
      </c>
      <c r="K295" s="24"/>
      <c r="L295" s="24">
        <f t="shared" si="8"/>
        <v>464.9252972</v>
      </c>
      <c r="M295" s="31">
        <f t="shared" si="9"/>
        <v>434.2873994</v>
      </c>
      <c r="N295" s="27">
        <f t="shared" si="10"/>
        <v>30.63789782</v>
      </c>
      <c r="O295" s="24"/>
      <c r="P295" s="24"/>
      <c r="Q295" s="24"/>
      <c r="R295" s="26"/>
      <c r="S295" s="14">
        <f t="shared" si="13"/>
        <v>28.13466309</v>
      </c>
      <c r="U295" s="21"/>
      <c r="V295" s="21"/>
    </row>
    <row r="296">
      <c r="A296" s="11">
        <v>284.0</v>
      </c>
      <c r="B296" s="11">
        <v>1.4206304347826E9</v>
      </c>
      <c r="C296" s="2">
        <v>-102.1306992</v>
      </c>
      <c r="D296" s="24">
        <f t="shared" si="1"/>
        <v>230434.7826</v>
      </c>
      <c r="E296" s="25">
        <f t="shared" si="2"/>
        <v>-49.58799113</v>
      </c>
      <c r="F296" s="24">
        <f t="shared" si="16"/>
        <v>0.0002151931691</v>
      </c>
      <c r="G296" s="24">
        <f t="shared" si="4"/>
        <v>0</v>
      </c>
      <c r="H296" s="26">
        <f t="shared" si="5"/>
        <v>0</v>
      </c>
      <c r="I296" s="24">
        <f t="shared" si="6"/>
        <v>0</v>
      </c>
      <c r="J296" s="24">
        <f t="shared" si="7"/>
        <v>0</v>
      </c>
      <c r="K296" s="24"/>
      <c r="L296" s="24">
        <f t="shared" si="8"/>
        <v>465.6249542</v>
      </c>
      <c r="M296" s="31">
        <f t="shared" si="9"/>
        <v>434.1820222</v>
      </c>
      <c r="N296" s="27">
        <f t="shared" si="10"/>
        <v>31.44293202</v>
      </c>
      <c r="O296" s="24"/>
      <c r="P296" s="24"/>
      <c r="Q296" s="24"/>
      <c r="R296" s="26"/>
      <c r="S296" s="14">
        <f t="shared" si="13"/>
        <v>28.87392288</v>
      </c>
      <c r="U296" s="21"/>
      <c r="V296" s="21"/>
    </row>
    <row r="297">
      <c r="A297" s="11">
        <v>285.0</v>
      </c>
      <c r="B297" s="11">
        <v>1.42063478260869E9</v>
      </c>
      <c r="C297" s="2">
        <v>-102.1653214</v>
      </c>
      <c r="D297" s="24">
        <f t="shared" si="1"/>
        <v>234782.6087</v>
      </c>
      <c r="E297" s="25">
        <f t="shared" si="2"/>
        <v>-50.50628727</v>
      </c>
      <c r="F297" s="24">
        <f t="shared" si="16"/>
        <v>0.0002151193717</v>
      </c>
      <c r="G297" s="24">
        <f t="shared" si="4"/>
        <v>0</v>
      </c>
      <c r="H297" s="26">
        <f t="shared" si="5"/>
        <v>0</v>
      </c>
      <c r="I297" s="24">
        <f t="shared" si="6"/>
        <v>0</v>
      </c>
      <c r="J297" s="24">
        <f t="shared" si="7"/>
        <v>0</v>
      </c>
      <c r="K297" s="24"/>
      <c r="L297" s="24">
        <f t="shared" si="8"/>
        <v>461.9277228</v>
      </c>
      <c r="M297" s="31">
        <f t="shared" si="9"/>
        <v>434.0764878</v>
      </c>
      <c r="N297" s="27">
        <f t="shared" si="10"/>
        <v>27.85123501</v>
      </c>
      <c r="O297" s="24"/>
      <c r="P297" s="24"/>
      <c r="Q297" s="24"/>
      <c r="R297" s="26"/>
      <c r="S297" s="14">
        <f t="shared" si="13"/>
        <v>25.5756814</v>
      </c>
      <c r="U297" s="21"/>
      <c r="V297" s="21"/>
    </row>
    <row r="298">
      <c r="A298" s="11">
        <v>286.0</v>
      </c>
      <c r="B298" s="11">
        <v>1.42063913043478E9</v>
      </c>
      <c r="C298" s="2">
        <v>-102.1633377</v>
      </c>
      <c r="D298" s="24">
        <f t="shared" si="1"/>
        <v>239130.4348</v>
      </c>
      <c r="E298" s="25">
        <f t="shared" si="2"/>
        <v>-51.4245834</v>
      </c>
      <c r="F298" s="24">
        <f t="shared" si="16"/>
        <v>0.0002150482579</v>
      </c>
      <c r="G298" s="24">
        <f t="shared" si="4"/>
        <v>0</v>
      </c>
      <c r="H298" s="26">
        <f t="shared" si="5"/>
        <v>0</v>
      </c>
      <c r="I298" s="24">
        <f t="shared" si="6"/>
        <v>0</v>
      </c>
      <c r="J298" s="24">
        <f t="shared" si="7"/>
        <v>0</v>
      </c>
      <c r="K298" s="24"/>
      <c r="L298" s="24">
        <f t="shared" si="8"/>
        <v>462.1387628</v>
      </c>
      <c r="M298" s="31">
        <f t="shared" si="9"/>
        <v>433.9707953</v>
      </c>
      <c r="N298" s="27">
        <f t="shared" si="10"/>
        <v>28.16796748</v>
      </c>
      <c r="O298" s="24"/>
      <c r="P298" s="24"/>
      <c r="Q298" s="24"/>
      <c r="R298" s="26"/>
      <c r="S298" s="14">
        <f t="shared" si="13"/>
        <v>25.86653555</v>
      </c>
      <c r="U298" s="21"/>
      <c r="V298" s="21"/>
    </row>
    <row r="299">
      <c r="A299" s="11">
        <v>287.0</v>
      </c>
      <c r="B299" s="11">
        <v>1.42064347826087E9</v>
      </c>
      <c r="C299" s="2">
        <v>-102.1677856</v>
      </c>
      <c r="D299" s="24">
        <f t="shared" si="1"/>
        <v>243478.2609</v>
      </c>
      <c r="E299" s="25">
        <f t="shared" si="2"/>
        <v>-52.34287953</v>
      </c>
      <c r="F299" s="24">
        <f t="shared" si="16"/>
        <v>0.0002149796838</v>
      </c>
      <c r="G299" s="24">
        <f t="shared" si="4"/>
        <v>0</v>
      </c>
      <c r="H299" s="26">
        <f t="shared" si="5"/>
        <v>0</v>
      </c>
      <c r="I299" s="24">
        <f t="shared" si="6"/>
        <v>0</v>
      </c>
      <c r="J299" s="24">
        <f t="shared" si="7"/>
        <v>0</v>
      </c>
      <c r="K299" s="24"/>
      <c r="L299" s="24">
        <f t="shared" si="8"/>
        <v>461.6656979</v>
      </c>
      <c r="M299" s="31">
        <f t="shared" si="9"/>
        <v>433.8649441</v>
      </c>
      <c r="N299" s="27">
        <f t="shared" si="10"/>
        <v>27.80075378</v>
      </c>
      <c r="O299" s="24"/>
      <c r="P299" s="24"/>
      <c r="Q299" s="24"/>
      <c r="R299" s="26"/>
      <c r="S299" s="14">
        <f t="shared" si="13"/>
        <v>25.52932469</v>
      </c>
      <c r="U299" s="21"/>
      <c r="V299" s="21"/>
    </row>
    <row r="300">
      <c r="A300" s="11">
        <v>288.0</v>
      </c>
      <c r="B300" s="11">
        <v>1.42064782608695E9</v>
      </c>
      <c r="C300" s="2">
        <v>-102.1573029</v>
      </c>
      <c r="D300" s="24">
        <f t="shared" si="1"/>
        <v>247826.087</v>
      </c>
      <c r="E300" s="25">
        <f t="shared" si="2"/>
        <v>-53.26117566</v>
      </c>
      <c r="F300" s="24">
        <f t="shared" si="16"/>
        <v>0.0002149135158</v>
      </c>
      <c r="G300" s="24">
        <f t="shared" si="4"/>
        <v>0</v>
      </c>
      <c r="H300" s="26">
        <f t="shared" si="5"/>
        <v>0</v>
      </c>
      <c r="I300" s="24">
        <f t="shared" si="6"/>
        <v>0</v>
      </c>
      <c r="J300" s="24">
        <f t="shared" si="7"/>
        <v>0</v>
      </c>
      <c r="K300" s="24"/>
      <c r="L300" s="24">
        <f t="shared" si="8"/>
        <v>462.7813806</v>
      </c>
      <c r="M300" s="31">
        <f t="shared" si="9"/>
        <v>433.7589334</v>
      </c>
      <c r="N300" s="27">
        <f t="shared" si="10"/>
        <v>29.02244724</v>
      </c>
      <c r="O300" s="24"/>
      <c r="P300" s="24"/>
      <c r="Q300" s="24"/>
      <c r="R300" s="26"/>
      <c r="S300" s="14">
        <f t="shared" si="13"/>
        <v>26.65120107</v>
      </c>
      <c r="U300" s="21"/>
      <c r="V300" s="21"/>
    </row>
    <row r="301">
      <c r="A301" s="11">
        <v>289.0</v>
      </c>
      <c r="B301" s="11">
        <v>1.42065217391304E9</v>
      </c>
      <c r="C301" s="2">
        <v>-102.2311707</v>
      </c>
      <c r="D301" s="24">
        <f t="shared" si="1"/>
        <v>252173.913</v>
      </c>
      <c r="E301" s="25">
        <f t="shared" si="2"/>
        <v>-54.1794718</v>
      </c>
      <c r="F301" s="24">
        <f t="shared" si="16"/>
        <v>0.0002148496295</v>
      </c>
      <c r="G301" s="24">
        <f t="shared" si="4"/>
        <v>0</v>
      </c>
      <c r="H301" s="26">
        <f t="shared" si="5"/>
        <v>0</v>
      </c>
      <c r="I301" s="24">
        <f t="shared" si="6"/>
        <v>0</v>
      </c>
      <c r="J301" s="24">
        <f t="shared" si="7"/>
        <v>0</v>
      </c>
      <c r="K301" s="24"/>
      <c r="L301" s="24">
        <f t="shared" si="8"/>
        <v>454.9766382</v>
      </c>
      <c r="M301" s="31">
        <f t="shared" si="9"/>
        <v>433.6527622</v>
      </c>
      <c r="N301" s="27">
        <f t="shared" si="10"/>
        <v>21.32387593</v>
      </c>
      <c r="O301" s="24"/>
      <c r="P301" s="24"/>
      <c r="Q301" s="24"/>
      <c r="R301" s="26"/>
      <c r="S301" s="14">
        <f t="shared" si="13"/>
        <v>19.58163276</v>
      </c>
      <c r="U301" s="21"/>
      <c r="V301" s="21"/>
    </row>
    <row r="302">
      <c r="A302" s="11">
        <v>290.0</v>
      </c>
      <c r="B302" s="11">
        <v>1.42065652173913E9</v>
      </c>
      <c r="C302" s="2">
        <v>-102.1557465</v>
      </c>
      <c r="D302" s="24">
        <f t="shared" si="1"/>
        <v>256521.7391</v>
      </c>
      <c r="E302" s="25">
        <f t="shared" si="2"/>
        <v>-55.09776793</v>
      </c>
      <c r="F302" s="24">
        <f t="shared" si="16"/>
        <v>0.0002147879089</v>
      </c>
      <c r="G302" s="24">
        <f t="shared" si="4"/>
        <v>0</v>
      </c>
      <c r="H302" s="26">
        <f t="shared" si="5"/>
        <v>0</v>
      </c>
      <c r="I302" s="24">
        <f t="shared" si="6"/>
        <v>0</v>
      </c>
      <c r="J302" s="24">
        <f t="shared" si="7"/>
        <v>0</v>
      </c>
      <c r="K302" s="24"/>
      <c r="L302" s="24">
        <f t="shared" si="8"/>
        <v>462.9472593</v>
      </c>
      <c r="M302" s="31">
        <f t="shared" si="9"/>
        <v>433.54643</v>
      </c>
      <c r="N302" s="27">
        <f t="shared" si="10"/>
        <v>29.40082934</v>
      </c>
      <c r="O302" s="24"/>
      <c r="P302" s="24"/>
      <c r="Q302" s="24"/>
      <c r="R302" s="26"/>
      <c r="S302" s="14">
        <f t="shared" si="13"/>
        <v>26.99866789</v>
      </c>
      <c r="U302" s="21"/>
      <c r="V302" s="21"/>
    </row>
    <row r="303">
      <c r="A303" s="11">
        <v>291.0</v>
      </c>
      <c r="B303" s="11">
        <v>1.42066086956521E9</v>
      </c>
      <c r="C303" s="2">
        <v>-102.1248322</v>
      </c>
      <c r="D303" s="24">
        <f t="shared" si="1"/>
        <v>260869.5652</v>
      </c>
      <c r="E303" s="25">
        <f t="shared" si="2"/>
        <v>-56.01606406</v>
      </c>
      <c r="F303" s="24">
        <f t="shared" si="16"/>
        <v>0.0002147282456</v>
      </c>
      <c r="G303" s="24">
        <f t="shared" si="4"/>
        <v>0</v>
      </c>
      <c r="H303" s="26">
        <f t="shared" si="5"/>
        <v>0</v>
      </c>
      <c r="I303" s="24">
        <f t="shared" si="6"/>
        <v>0</v>
      </c>
      <c r="J303" s="24">
        <f t="shared" si="7"/>
        <v>0</v>
      </c>
      <c r="K303" s="24"/>
      <c r="L303" s="24">
        <f t="shared" si="8"/>
        <v>466.2544045</v>
      </c>
      <c r="M303" s="31">
        <f t="shared" si="9"/>
        <v>433.4399358</v>
      </c>
      <c r="N303" s="27">
        <f t="shared" si="10"/>
        <v>32.81446869</v>
      </c>
      <c r="O303" s="24"/>
      <c r="P303" s="24"/>
      <c r="Q303" s="24"/>
      <c r="R303" s="26"/>
      <c r="S303" s="14">
        <f t="shared" si="13"/>
        <v>30.1333997</v>
      </c>
      <c r="U303" s="21"/>
      <c r="V303" s="21"/>
    </row>
    <row r="304">
      <c r="A304" s="11">
        <v>292.0</v>
      </c>
      <c r="B304" s="11">
        <v>1.4206652173913E9</v>
      </c>
      <c r="C304" s="2">
        <v>-102.1168137</v>
      </c>
      <c r="D304" s="24">
        <f t="shared" si="1"/>
        <v>265217.3913</v>
      </c>
      <c r="E304" s="25">
        <f t="shared" si="2"/>
        <v>-56.93436019</v>
      </c>
      <c r="F304" s="24">
        <f t="shared" si="16"/>
        <v>0.0002146705384</v>
      </c>
      <c r="G304" s="24">
        <f t="shared" si="4"/>
        <v>0</v>
      </c>
      <c r="H304" s="26">
        <f t="shared" si="5"/>
        <v>0</v>
      </c>
      <c r="I304" s="24">
        <f t="shared" si="6"/>
        <v>0</v>
      </c>
      <c r="J304" s="24">
        <f t="shared" si="7"/>
        <v>0</v>
      </c>
      <c r="K304" s="24"/>
      <c r="L304" s="24">
        <f t="shared" si="8"/>
        <v>467.1160581</v>
      </c>
      <c r="M304" s="31">
        <f t="shared" si="9"/>
        <v>433.3332788</v>
      </c>
      <c r="N304" s="27">
        <f t="shared" si="10"/>
        <v>33.78277932</v>
      </c>
      <c r="O304" s="24"/>
      <c r="P304" s="24"/>
      <c r="Q304" s="24"/>
      <c r="R304" s="26"/>
      <c r="S304" s="14">
        <f t="shared" si="13"/>
        <v>31.02259553</v>
      </c>
      <c r="U304" s="21"/>
      <c r="V304" s="21"/>
    </row>
    <row r="305">
      <c r="A305" s="11">
        <v>293.0</v>
      </c>
      <c r="B305" s="11">
        <v>1.42066956521739E9</v>
      </c>
      <c r="C305" s="2">
        <v>-102.1610947</v>
      </c>
      <c r="D305" s="24">
        <f t="shared" si="1"/>
        <v>269565.2174</v>
      </c>
      <c r="E305" s="25">
        <f t="shared" si="2"/>
        <v>-57.85265632</v>
      </c>
      <c r="F305" s="24">
        <f t="shared" si="16"/>
        <v>0.0002146146928</v>
      </c>
      <c r="G305" s="24">
        <f t="shared" si="4"/>
        <v>0</v>
      </c>
      <c r="H305" s="26">
        <f t="shared" si="5"/>
        <v>0</v>
      </c>
      <c r="I305" s="24">
        <f t="shared" si="6"/>
        <v>0</v>
      </c>
      <c r="J305" s="24">
        <f t="shared" si="7"/>
        <v>0</v>
      </c>
      <c r="K305" s="24"/>
      <c r="L305" s="24">
        <f t="shared" si="8"/>
        <v>462.3775052</v>
      </c>
      <c r="M305" s="31">
        <f t="shared" si="9"/>
        <v>433.2264584</v>
      </c>
      <c r="N305" s="27">
        <f t="shared" si="10"/>
        <v>29.15104682</v>
      </c>
      <c r="O305" s="24"/>
      <c r="P305" s="24"/>
      <c r="Q305" s="24"/>
      <c r="R305" s="26"/>
      <c r="S305" s="14">
        <f t="shared" si="13"/>
        <v>26.76929356</v>
      </c>
      <c r="U305" s="21"/>
      <c r="V305" s="21"/>
    </row>
    <row r="306">
      <c r="A306" s="11">
        <v>294.0</v>
      </c>
      <c r="B306" s="11">
        <v>1.42067391304347E9</v>
      </c>
      <c r="C306" s="2">
        <v>-102.0687027</v>
      </c>
      <c r="D306" s="24">
        <f t="shared" si="1"/>
        <v>273913.0435</v>
      </c>
      <c r="E306" s="25">
        <f t="shared" si="2"/>
        <v>-58.77095246</v>
      </c>
      <c r="F306" s="24">
        <f t="shared" si="16"/>
        <v>0.0002145606201</v>
      </c>
      <c r="G306" s="24">
        <f t="shared" si="4"/>
        <v>0</v>
      </c>
      <c r="H306" s="26">
        <f t="shared" si="5"/>
        <v>0</v>
      </c>
      <c r="I306" s="24">
        <f t="shared" si="6"/>
        <v>0</v>
      </c>
      <c r="J306" s="24">
        <f t="shared" si="7"/>
        <v>0</v>
      </c>
      <c r="K306" s="24"/>
      <c r="L306" s="24">
        <f t="shared" si="8"/>
        <v>472.3195232</v>
      </c>
      <c r="M306" s="31">
        <f t="shared" si="9"/>
        <v>433.1194736</v>
      </c>
      <c r="N306" s="27">
        <f t="shared" si="10"/>
        <v>39.20004954</v>
      </c>
      <c r="O306" s="24"/>
      <c r="P306" s="24"/>
      <c r="Q306" s="24"/>
      <c r="R306" s="26"/>
      <c r="S306" s="14">
        <f t="shared" si="13"/>
        <v>35.99725389</v>
      </c>
      <c r="U306" s="21"/>
      <c r="V306" s="21"/>
    </row>
    <row r="307">
      <c r="A307" s="11">
        <v>295.0</v>
      </c>
      <c r="B307" s="11">
        <v>1.42067826086956E9</v>
      </c>
      <c r="C307" s="2">
        <v>-102.0561218</v>
      </c>
      <c r="D307" s="24">
        <f t="shared" si="1"/>
        <v>278260.8696</v>
      </c>
      <c r="E307" s="25">
        <f t="shared" si="2"/>
        <v>-59.68924859</v>
      </c>
      <c r="F307" s="24">
        <f t="shared" si="16"/>
        <v>0.0002145082371</v>
      </c>
      <c r="G307" s="24">
        <f t="shared" si="4"/>
        <v>0</v>
      </c>
      <c r="H307" s="26">
        <f t="shared" si="5"/>
        <v>0</v>
      </c>
      <c r="I307" s="24">
        <f t="shared" si="6"/>
        <v>0</v>
      </c>
      <c r="J307" s="24">
        <f t="shared" si="7"/>
        <v>0</v>
      </c>
      <c r="K307" s="24"/>
      <c r="L307" s="24">
        <f t="shared" si="8"/>
        <v>473.6897501</v>
      </c>
      <c r="M307" s="31">
        <f t="shared" si="9"/>
        <v>433.0123238</v>
      </c>
      <c r="N307" s="27">
        <f t="shared" si="10"/>
        <v>40.67742627</v>
      </c>
      <c r="O307" s="24"/>
      <c r="P307" s="24"/>
      <c r="Q307" s="24"/>
      <c r="R307" s="26"/>
      <c r="S307" s="14">
        <f t="shared" si="13"/>
        <v>37.35392315</v>
      </c>
      <c r="U307" s="21"/>
      <c r="V307" s="21"/>
    </row>
    <row r="308">
      <c r="A308" s="11">
        <v>296.0</v>
      </c>
      <c r="B308" s="11">
        <v>1.42068260869565E9</v>
      </c>
      <c r="C308" s="2">
        <v>-102.0853424</v>
      </c>
      <c r="D308" s="24">
        <f t="shared" si="1"/>
        <v>282608.6957</v>
      </c>
      <c r="E308" s="25">
        <f t="shared" si="2"/>
        <v>-60.60754472</v>
      </c>
      <c r="F308" s="24">
        <f t="shared" si="16"/>
        <v>0.0002144574659</v>
      </c>
      <c r="G308" s="24">
        <f t="shared" si="4"/>
        <v>0</v>
      </c>
      <c r="H308" s="26">
        <f t="shared" si="5"/>
        <v>0</v>
      </c>
      <c r="I308" s="24">
        <f t="shared" si="6"/>
        <v>0</v>
      </c>
      <c r="J308" s="24">
        <f t="shared" si="7"/>
        <v>0</v>
      </c>
      <c r="K308" s="24"/>
      <c r="L308" s="24">
        <f t="shared" si="8"/>
        <v>470.5133252</v>
      </c>
      <c r="M308" s="31">
        <f t="shared" si="9"/>
        <v>432.9050081</v>
      </c>
      <c r="N308" s="27">
        <f t="shared" si="10"/>
        <v>37.60831704</v>
      </c>
      <c r="O308" s="24"/>
      <c r="P308" s="24"/>
      <c r="Q308" s="24"/>
      <c r="R308" s="26"/>
      <c r="S308" s="14">
        <f t="shared" si="13"/>
        <v>34.5355721</v>
      </c>
      <c r="U308" s="21"/>
      <c r="V308" s="21"/>
    </row>
    <row r="309">
      <c r="A309" s="11">
        <v>297.0</v>
      </c>
      <c r="B309" s="11">
        <v>1.42068695652173E9</v>
      </c>
      <c r="C309" s="2">
        <v>-102.0738297</v>
      </c>
      <c r="D309" s="24">
        <f t="shared" si="1"/>
        <v>286956.5217</v>
      </c>
      <c r="E309" s="25">
        <f t="shared" si="2"/>
        <v>-61.52584085</v>
      </c>
      <c r="F309" s="24">
        <f t="shared" si="16"/>
        <v>0.0002144082333</v>
      </c>
      <c r="G309" s="24">
        <f t="shared" si="4"/>
        <v>0</v>
      </c>
      <c r="H309" s="26">
        <f t="shared" si="5"/>
        <v>0</v>
      </c>
      <c r="I309" s="24">
        <f t="shared" si="6"/>
        <v>0</v>
      </c>
      <c r="J309" s="24">
        <f t="shared" si="7"/>
        <v>0</v>
      </c>
      <c r="K309" s="24"/>
      <c r="L309" s="24">
        <f t="shared" si="8"/>
        <v>471.7622623</v>
      </c>
      <c r="M309" s="31">
        <f t="shared" si="9"/>
        <v>432.7975258</v>
      </c>
      <c r="N309" s="27">
        <f t="shared" si="10"/>
        <v>38.96473649</v>
      </c>
      <c r="O309" s="24"/>
      <c r="P309" s="24"/>
      <c r="Q309" s="24"/>
      <c r="R309" s="26"/>
      <c r="S309" s="14">
        <f t="shared" si="13"/>
        <v>35.78116683</v>
      </c>
      <c r="U309" s="21"/>
      <c r="V309" s="21"/>
    </row>
    <row r="310">
      <c r="A310" s="11">
        <v>298.0</v>
      </c>
      <c r="B310" s="11">
        <v>1.42069130434782E9</v>
      </c>
      <c r="C310" s="2">
        <v>-102.1104355</v>
      </c>
      <c r="D310" s="24">
        <f t="shared" si="1"/>
        <v>291304.3478</v>
      </c>
      <c r="E310" s="25">
        <f t="shared" si="2"/>
        <v>-62.44413698</v>
      </c>
      <c r="F310" s="24">
        <f t="shared" si="16"/>
        <v>0.0002143604703</v>
      </c>
      <c r="G310" s="24">
        <f t="shared" si="4"/>
        <v>0</v>
      </c>
      <c r="H310" s="26">
        <f t="shared" si="5"/>
        <v>0</v>
      </c>
      <c r="I310" s="24">
        <f t="shared" si="6"/>
        <v>0</v>
      </c>
      <c r="J310" s="24">
        <f t="shared" si="7"/>
        <v>0</v>
      </c>
      <c r="K310" s="24"/>
      <c r="L310" s="24">
        <f t="shared" si="8"/>
        <v>467.8025851</v>
      </c>
      <c r="M310" s="31">
        <f t="shared" si="9"/>
        <v>432.689876</v>
      </c>
      <c r="N310" s="27">
        <f t="shared" si="10"/>
        <v>35.11270908</v>
      </c>
      <c r="O310" s="24"/>
      <c r="P310" s="24"/>
      <c r="Q310" s="24"/>
      <c r="R310" s="26"/>
      <c r="S310" s="14">
        <f t="shared" si="13"/>
        <v>32.24386496</v>
      </c>
      <c r="U310" s="21"/>
      <c r="V310" s="21"/>
    </row>
    <row r="311">
      <c r="A311" s="11">
        <v>299.0</v>
      </c>
      <c r="B311" s="11">
        <v>1.42069565217391E9</v>
      </c>
      <c r="C311" s="2">
        <v>-102.0076904</v>
      </c>
      <c r="D311" s="24">
        <f t="shared" si="1"/>
        <v>295652.1739</v>
      </c>
      <c r="E311" s="25">
        <f t="shared" si="2"/>
        <v>-63.36243312</v>
      </c>
      <c r="F311" s="24">
        <f t="shared" si="16"/>
        <v>0.000214314112</v>
      </c>
      <c r="G311" s="24">
        <f t="shared" si="4"/>
        <v>0</v>
      </c>
      <c r="H311" s="26">
        <f t="shared" si="5"/>
        <v>0</v>
      </c>
      <c r="I311" s="24">
        <f t="shared" si="6"/>
        <v>0</v>
      </c>
      <c r="J311" s="24">
        <f t="shared" si="7"/>
        <v>0</v>
      </c>
      <c r="K311" s="24"/>
      <c r="L311" s="24">
        <f t="shared" si="8"/>
        <v>479.0017801</v>
      </c>
      <c r="M311" s="31">
        <f t="shared" si="9"/>
        <v>432.582058</v>
      </c>
      <c r="N311" s="27">
        <f t="shared" si="10"/>
        <v>46.41972215</v>
      </c>
      <c r="O311" s="24"/>
      <c r="P311" s="24"/>
      <c r="Q311" s="24"/>
      <c r="R311" s="26"/>
      <c r="S311" s="14">
        <f t="shared" si="13"/>
        <v>42.62705124</v>
      </c>
      <c r="U311" s="21"/>
      <c r="V311" s="21"/>
    </row>
    <row r="312">
      <c r="A312" s="11">
        <v>300.0</v>
      </c>
      <c r="B312" s="11">
        <v>1.4207E9</v>
      </c>
      <c r="C312" s="2">
        <v>-101.970932</v>
      </c>
      <c r="D312" s="24">
        <f t="shared" si="1"/>
        <v>300000</v>
      </c>
      <c r="E312" s="25">
        <f t="shared" si="2"/>
        <v>-64.28072925</v>
      </c>
      <c r="F312" s="24">
        <f t="shared" si="16"/>
        <v>0.0002142690975</v>
      </c>
      <c r="G312" s="24">
        <f t="shared" si="4"/>
        <v>0</v>
      </c>
      <c r="H312" s="26">
        <f t="shared" si="5"/>
        <v>0</v>
      </c>
      <c r="I312" s="24">
        <f t="shared" si="6"/>
        <v>0</v>
      </c>
      <c r="J312" s="24">
        <f t="shared" si="7"/>
        <v>0</v>
      </c>
      <c r="K312" s="24"/>
      <c r="L312" s="24">
        <f t="shared" si="8"/>
        <v>483.0732257</v>
      </c>
      <c r="M312" s="31">
        <f t="shared" si="9"/>
        <v>432.4740709</v>
      </c>
      <c r="N312" s="27">
        <f t="shared" si="10"/>
        <v>50.59915476</v>
      </c>
      <c r="O312" s="24"/>
      <c r="P312" s="24"/>
      <c r="Q312" s="24"/>
      <c r="R312" s="26"/>
      <c r="S312" s="14">
        <f t="shared" si="13"/>
        <v>46.46500814</v>
      </c>
      <c r="U312" s="21"/>
      <c r="V312" s="21"/>
    </row>
    <row r="313">
      <c r="A313" s="11">
        <v>301.0</v>
      </c>
      <c r="B313" s="11">
        <v>1.42070434782608E9</v>
      </c>
      <c r="C313" s="2">
        <v>-102.0115814</v>
      </c>
      <c r="D313" s="24">
        <f t="shared" si="1"/>
        <v>304347.8261</v>
      </c>
      <c r="E313" s="25">
        <f t="shared" si="2"/>
        <v>-65.19902538</v>
      </c>
      <c r="F313" s="24">
        <f t="shared" si="16"/>
        <v>0.0002142253691</v>
      </c>
      <c r="G313" s="24">
        <f t="shared" si="4"/>
        <v>0</v>
      </c>
      <c r="H313" s="26">
        <f t="shared" si="5"/>
        <v>0</v>
      </c>
      <c r="I313" s="24">
        <f t="shared" si="6"/>
        <v>0</v>
      </c>
      <c r="J313" s="24">
        <f t="shared" si="7"/>
        <v>0</v>
      </c>
      <c r="K313" s="24"/>
      <c r="L313" s="24">
        <f t="shared" si="8"/>
        <v>478.5728174</v>
      </c>
      <c r="M313" s="31">
        <f t="shared" si="9"/>
        <v>432.365914</v>
      </c>
      <c r="N313" s="27">
        <f t="shared" si="10"/>
        <v>46.20690338</v>
      </c>
      <c r="O313" s="24"/>
      <c r="P313" s="24"/>
      <c r="Q313" s="24"/>
      <c r="R313" s="26"/>
      <c r="S313" s="14">
        <f t="shared" si="13"/>
        <v>42.43162069</v>
      </c>
      <c r="U313" s="21"/>
      <c r="V313" s="21"/>
    </row>
    <row r="314">
      <c r="A314" s="11">
        <v>302.0</v>
      </c>
      <c r="B314" s="11">
        <v>1.42070869565217E9</v>
      </c>
      <c r="C314" s="2">
        <v>-102.0284576</v>
      </c>
      <c r="D314" s="24">
        <f t="shared" si="1"/>
        <v>308695.6522</v>
      </c>
      <c r="E314" s="25">
        <f t="shared" si="2"/>
        <v>-66.11732151</v>
      </c>
      <c r="F314" s="24">
        <f t="shared" si="16"/>
        <v>0.0002141828725</v>
      </c>
      <c r="G314" s="24">
        <f t="shared" si="4"/>
        <v>0</v>
      </c>
      <c r="H314" s="26">
        <f t="shared" si="5"/>
        <v>0</v>
      </c>
      <c r="I314" s="24">
        <f t="shared" si="6"/>
        <v>0</v>
      </c>
      <c r="J314" s="24">
        <f t="shared" si="7"/>
        <v>0</v>
      </c>
      <c r="K314" s="24"/>
      <c r="L314" s="24">
        <f t="shared" si="8"/>
        <v>476.7167453</v>
      </c>
      <c r="M314" s="31">
        <f t="shared" si="9"/>
        <v>432.2575866</v>
      </c>
      <c r="N314" s="27">
        <f t="shared" si="10"/>
        <v>44.45915874</v>
      </c>
      <c r="O314" s="24"/>
      <c r="P314" s="24"/>
      <c r="Q314" s="24"/>
      <c r="R314" s="26"/>
      <c r="S314" s="14">
        <f t="shared" si="13"/>
        <v>40.82667344</v>
      </c>
      <c r="U314" s="21"/>
      <c r="V314" s="21"/>
    </row>
    <row r="315">
      <c r="A315" s="11">
        <v>303.0</v>
      </c>
      <c r="B315" s="11">
        <v>1.42071304347826E9</v>
      </c>
      <c r="C315" s="2">
        <v>-102.0896683</v>
      </c>
      <c r="D315" s="24">
        <f t="shared" si="1"/>
        <v>313043.4783</v>
      </c>
      <c r="E315" s="25">
        <f t="shared" si="2"/>
        <v>-67.03561764</v>
      </c>
      <c r="F315" s="24">
        <f t="shared" si="16"/>
        <v>0.0002141415564</v>
      </c>
      <c r="G315" s="24">
        <f t="shared" si="4"/>
        <v>0</v>
      </c>
      <c r="H315" s="26">
        <f t="shared" si="5"/>
        <v>0</v>
      </c>
      <c r="I315" s="24">
        <f t="shared" si="6"/>
        <v>0</v>
      </c>
      <c r="J315" s="24">
        <f t="shared" si="7"/>
        <v>0</v>
      </c>
      <c r="K315" s="24"/>
      <c r="L315" s="24">
        <f t="shared" si="8"/>
        <v>470.0448918</v>
      </c>
      <c r="M315" s="31">
        <f t="shared" si="9"/>
        <v>432.1490877</v>
      </c>
      <c r="N315" s="27">
        <f t="shared" si="10"/>
        <v>37.89580408</v>
      </c>
      <c r="O315" s="24"/>
      <c r="P315" s="24"/>
      <c r="Q315" s="24"/>
      <c r="R315" s="26"/>
      <c r="S315" s="14">
        <f t="shared" si="13"/>
        <v>34.79957034</v>
      </c>
      <c r="U315" s="21"/>
      <c r="V315" s="21"/>
    </row>
    <row r="316">
      <c r="A316" s="11">
        <v>304.0</v>
      </c>
      <c r="B316" s="11">
        <v>1.42071739130434E9</v>
      </c>
      <c r="C316" s="2">
        <v>-102.0347443</v>
      </c>
      <c r="D316" s="24">
        <f t="shared" si="1"/>
        <v>317391.3043</v>
      </c>
      <c r="E316" s="25">
        <f t="shared" si="2"/>
        <v>-67.95391378</v>
      </c>
      <c r="F316" s="24">
        <f t="shared" si="16"/>
        <v>0.0002141013722</v>
      </c>
      <c r="G316" s="24">
        <f t="shared" si="4"/>
        <v>0</v>
      </c>
      <c r="H316" s="26">
        <f t="shared" si="5"/>
        <v>0</v>
      </c>
      <c r="I316" s="24">
        <f t="shared" si="6"/>
        <v>0</v>
      </c>
      <c r="J316" s="24">
        <f t="shared" si="7"/>
        <v>0</v>
      </c>
      <c r="K316" s="24"/>
      <c r="L316" s="24">
        <f t="shared" si="8"/>
        <v>476.0271655</v>
      </c>
      <c r="M316" s="31">
        <f t="shared" si="9"/>
        <v>432.0404167</v>
      </c>
      <c r="N316" s="27">
        <f t="shared" si="10"/>
        <v>43.98674879</v>
      </c>
      <c r="O316" s="24"/>
      <c r="P316" s="24"/>
      <c r="Q316" s="24"/>
      <c r="R316" s="26"/>
      <c r="S316" s="14">
        <f t="shared" si="13"/>
        <v>40.39286131</v>
      </c>
      <c r="U316" s="21"/>
      <c r="V316" s="21"/>
    </row>
    <row r="317">
      <c r="A317" s="11">
        <v>305.0</v>
      </c>
      <c r="B317" s="11">
        <v>1.42072173913043E9</v>
      </c>
      <c r="C317" s="2">
        <v>-102.0775299</v>
      </c>
      <c r="D317" s="24">
        <f t="shared" si="1"/>
        <v>321739.1304</v>
      </c>
      <c r="E317" s="25">
        <f t="shared" si="2"/>
        <v>-68.87220991</v>
      </c>
      <c r="F317" s="24">
        <f t="shared" si="16"/>
        <v>0.000214062274</v>
      </c>
      <c r="G317" s="24">
        <f t="shared" si="4"/>
        <v>0</v>
      </c>
      <c r="H317" s="26">
        <f t="shared" si="5"/>
        <v>0</v>
      </c>
      <c r="I317" s="24">
        <f t="shared" si="6"/>
        <v>0</v>
      </c>
      <c r="J317" s="24">
        <f t="shared" si="7"/>
        <v>0</v>
      </c>
      <c r="K317" s="24"/>
      <c r="L317" s="24">
        <f t="shared" si="8"/>
        <v>471.3604908</v>
      </c>
      <c r="M317" s="31">
        <f t="shared" si="9"/>
        <v>431.9315728</v>
      </c>
      <c r="N317" s="27">
        <f t="shared" si="10"/>
        <v>39.42891806</v>
      </c>
      <c r="O317" s="24"/>
      <c r="P317" s="24"/>
      <c r="Q317" s="24"/>
      <c r="R317" s="26"/>
      <c r="S317" s="14">
        <f t="shared" si="13"/>
        <v>36.20742289</v>
      </c>
      <c r="U317" s="21"/>
      <c r="V317" s="21"/>
    </row>
    <row r="318">
      <c r="A318" s="11">
        <v>306.0</v>
      </c>
      <c r="B318" s="11">
        <v>1.42072608695652E9</v>
      </c>
      <c r="C318" s="2">
        <v>-102.0466919</v>
      </c>
      <c r="D318" s="24">
        <f t="shared" si="1"/>
        <v>326086.9565</v>
      </c>
      <c r="E318" s="25">
        <f t="shared" si="2"/>
        <v>-69.79050604</v>
      </c>
      <c r="F318" s="24">
        <f t="shared" si="16"/>
        <v>0.0002140242185</v>
      </c>
      <c r="G318" s="24">
        <f t="shared" si="4"/>
        <v>0</v>
      </c>
      <c r="H318" s="26">
        <f t="shared" si="5"/>
        <v>0</v>
      </c>
      <c r="I318" s="24">
        <f t="shared" si="6"/>
        <v>0</v>
      </c>
      <c r="J318" s="24">
        <f t="shared" si="7"/>
        <v>0</v>
      </c>
      <c r="K318" s="24"/>
      <c r="L318" s="24">
        <f t="shared" si="8"/>
        <v>474.7193971</v>
      </c>
      <c r="M318" s="31">
        <f t="shared" si="9"/>
        <v>431.822555</v>
      </c>
      <c r="N318" s="27">
        <f t="shared" si="10"/>
        <v>42.89684203</v>
      </c>
      <c r="O318" s="24"/>
      <c r="P318" s="24"/>
      <c r="Q318" s="24"/>
      <c r="R318" s="26"/>
      <c r="S318" s="14">
        <f t="shared" si="13"/>
        <v>39.39200415</v>
      </c>
      <c r="U318" s="21"/>
      <c r="V318" s="21"/>
    </row>
    <row r="319">
      <c r="A319" s="11">
        <v>307.0</v>
      </c>
      <c r="B319" s="11">
        <v>1.4207304347826E9</v>
      </c>
      <c r="C319" s="2">
        <v>-102.0667343</v>
      </c>
      <c r="D319" s="24">
        <f t="shared" si="1"/>
        <v>330434.7826</v>
      </c>
      <c r="E319" s="25">
        <f t="shared" si="2"/>
        <v>-70.70880217</v>
      </c>
      <c r="F319" s="24">
        <f t="shared" si="16"/>
        <v>0.0002139871645</v>
      </c>
      <c r="G319" s="24">
        <f t="shared" si="4"/>
        <v>0</v>
      </c>
      <c r="H319" s="26">
        <f t="shared" si="5"/>
        <v>0</v>
      </c>
      <c r="I319" s="24">
        <f t="shared" si="6"/>
        <v>0</v>
      </c>
      <c r="J319" s="24">
        <f t="shared" si="7"/>
        <v>0</v>
      </c>
      <c r="K319" s="24"/>
      <c r="L319" s="24">
        <f t="shared" si="8"/>
        <v>472.5336462</v>
      </c>
      <c r="M319" s="31">
        <f t="shared" si="9"/>
        <v>431.7133628</v>
      </c>
      <c r="N319" s="27">
        <f t="shared" si="10"/>
        <v>40.82028343</v>
      </c>
      <c r="O319" s="24"/>
      <c r="P319" s="24"/>
      <c r="Q319" s="24"/>
      <c r="R319" s="26"/>
      <c r="S319" s="14">
        <f t="shared" si="13"/>
        <v>37.48510841</v>
      </c>
      <c r="U319" s="21"/>
      <c r="V319" s="21"/>
    </row>
    <row r="320">
      <c r="A320" s="11">
        <v>308.0</v>
      </c>
      <c r="B320" s="11">
        <v>1.42073478260869E9</v>
      </c>
      <c r="C320" s="2">
        <v>-102.0690689</v>
      </c>
      <c r="D320" s="24">
        <f t="shared" si="1"/>
        <v>334782.6087</v>
      </c>
      <c r="E320" s="25">
        <f t="shared" si="2"/>
        <v>-71.62709831</v>
      </c>
      <c r="F320" s="24">
        <f t="shared" si="16"/>
        <v>0.0002139510729</v>
      </c>
      <c r="G320" s="24">
        <f t="shared" si="4"/>
        <v>0</v>
      </c>
      <c r="H320" s="26">
        <f t="shared" si="5"/>
        <v>0</v>
      </c>
      <c r="I320" s="24">
        <f t="shared" si="6"/>
        <v>0</v>
      </c>
      <c r="J320" s="24">
        <f t="shared" si="7"/>
        <v>0</v>
      </c>
      <c r="K320" s="24"/>
      <c r="L320" s="24">
        <f t="shared" si="8"/>
        <v>472.2796986</v>
      </c>
      <c r="M320" s="31">
        <f t="shared" si="9"/>
        <v>431.6039952</v>
      </c>
      <c r="N320" s="27">
        <f t="shared" si="10"/>
        <v>40.67570337</v>
      </c>
      <c r="O320" s="24"/>
      <c r="P320" s="24"/>
      <c r="Q320" s="24"/>
      <c r="R320" s="26"/>
      <c r="S320" s="14">
        <f t="shared" si="13"/>
        <v>37.3523411</v>
      </c>
      <c r="U320" s="21"/>
      <c r="V320" s="21"/>
    </row>
    <row r="321">
      <c r="A321" s="11">
        <v>309.0</v>
      </c>
      <c r="B321" s="11">
        <v>1.42073913043478E9</v>
      </c>
      <c r="C321" s="2">
        <v>-102.1032944</v>
      </c>
      <c r="D321" s="24">
        <f t="shared" si="1"/>
        <v>339130.4348</v>
      </c>
      <c r="E321" s="25">
        <f t="shared" si="2"/>
        <v>-72.54539444</v>
      </c>
      <c r="F321" s="24">
        <f t="shared" si="16"/>
        <v>0.0002139159067</v>
      </c>
      <c r="G321" s="24">
        <f t="shared" si="4"/>
        <v>0</v>
      </c>
      <c r="H321" s="26">
        <f t="shared" si="5"/>
        <v>0</v>
      </c>
      <c r="I321" s="24">
        <f t="shared" si="6"/>
        <v>0</v>
      </c>
      <c r="J321" s="24">
        <f t="shared" si="7"/>
        <v>0</v>
      </c>
      <c r="K321" s="24"/>
      <c r="L321" s="24">
        <f t="shared" si="8"/>
        <v>468.5724252</v>
      </c>
      <c r="M321" s="31">
        <f t="shared" si="9"/>
        <v>431.4944515</v>
      </c>
      <c r="N321" s="27">
        <f t="shared" si="10"/>
        <v>37.07797364</v>
      </c>
      <c r="O321" s="24"/>
      <c r="P321" s="24"/>
      <c r="Q321" s="24"/>
      <c r="R321" s="26"/>
      <c r="S321" s="14">
        <f t="shared" si="13"/>
        <v>34.04855973</v>
      </c>
      <c r="U321" s="21"/>
      <c r="V321" s="21"/>
    </row>
    <row r="322">
      <c r="A322" s="11">
        <v>310.0</v>
      </c>
      <c r="B322" s="11">
        <v>1.42074347826087E9</v>
      </c>
      <c r="C322" s="2">
        <v>-102.113884</v>
      </c>
      <c r="D322" s="24">
        <f t="shared" si="1"/>
        <v>343478.2609</v>
      </c>
      <c r="E322" s="25">
        <f t="shared" si="2"/>
        <v>-73.46369057</v>
      </c>
      <c r="F322" s="24">
        <f t="shared" si="16"/>
        <v>0.0002138816308</v>
      </c>
      <c r="G322" s="24">
        <f t="shared" si="4"/>
        <v>0</v>
      </c>
      <c r="H322" s="26">
        <f t="shared" si="5"/>
        <v>0</v>
      </c>
      <c r="I322" s="24">
        <f t="shared" si="6"/>
        <v>0</v>
      </c>
      <c r="J322" s="24">
        <f t="shared" si="7"/>
        <v>0</v>
      </c>
      <c r="K322" s="24"/>
      <c r="L322" s="24">
        <f t="shared" si="8"/>
        <v>467.4312755</v>
      </c>
      <c r="M322" s="31">
        <f t="shared" si="9"/>
        <v>431.3847309</v>
      </c>
      <c r="N322" s="27">
        <f t="shared" si="10"/>
        <v>36.04654458</v>
      </c>
      <c r="O322" s="24"/>
      <c r="P322" s="24"/>
      <c r="Q322" s="24"/>
      <c r="R322" s="26"/>
      <c r="S322" s="14">
        <f t="shared" si="13"/>
        <v>33.10140249</v>
      </c>
      <c r="U322" s="21"/>
      <c r="V322" s="21"/>
    </row>
    <row r="323">
      <c r="A323" s="11">
        <v>311.0</v>
      </c>
      <c r="B323" s="11">
        <v>1.42074782608695E9</v>
      </c>
      <c r="C323" s="2">
        <v>-102.1735382</v>
      </c>
      <c r="D323" s="24">
        <f t="shared" si="1"/>
        <v>347826.087</v>
      </c>
      <c r="E323" s="25">
        <f t="shared" si="2"/>
        <v>-74.3819867</v>
      </c>
      <c r="F323" s="24">
        <f t="shared" si="16"/>
        <v>0.0002138482118</v>
      </c>
      <c r="G323" s="24">
        <f t="shared" si="4"/>
        <v>0</v>
      </c>
      <c r="H323" s="26">
        <f t="shared" si="5"/>
        <v>0</v>
      </c>
      <c r="I323" s="24">
        <f t="shared" si="6"/>
        <v>0</v>
      </c>
      <c r="J323" s="24">
        <f t="shared" si="7"/>
        <v>0</v>
      </c>
      <c r="K323" s="24"/>
      <c r="L323" s="24">
        <f t="shared" si="8"/>
        <v>461.0545872</v>
      </c>
      <c r="M323" s="31">
        <f t="shared" si="9"/>
        <v>431.2748327</v>
      </c>
      <c r="N323" s="27">
        <f t="shared" si="10"/>
        <v>29.77975459</v>
      </c>
      <c r="O323" s="24"/>
      <c r="P323" s="24"/>
      <c r="Q323" s="24"/>
      <c r="R323" s="26"/>
      <c r="S323" s="14">
        <f t="shared" si="13"/>
        <v>27.34663347</v>
      </c>
      <c r="U323" s="21"/>
      <c r="V323" s="21"/>
    </row>
    <row r="324">
      <c r="A324" s="11">
        <v>312.0</v>
      </c>
      <c r="B324" s="11">
        <v>1.42075217391304E9</v>
      </c>
      <c r="C324" s="2">
        <v>-102.1690292</v>
      </c>
      <c r="D324" s="24">
        <f t="shared" si="1"/>
        <v>352173.913</v>
      </c>
      <c r="E324" s="25">
        <f t="shared" si="2"/>
        <v>-75.30028284</v>
      </c>
      <c r="F324" s="24">
        <f t="shared" si="16"/>
        <v>0.0002138156179</v>
      </c>
      <c r="G324" s="24">
        <f t="shared" si="4"/>
        <v>0</v>
      </c>
      <c r="H324" s="26">
        <f t="shared" si="5"/>
        <v>0</v>
      </c>
      <c r="I324" s="24">
        <f t="shared" si="6"/>
        <v>0</v>
      </c>
      <c r="J324" s="24">
        <f t="shared" si="7"/>
        <v>0</v>
      </c>
      <c r="K324" s="24"/>
      <c r="L324" s="24">
        <f t="shared" si="8"/>
        <v>461.5335191</v>
      </c>
      <c r="M324" s="31">
        <f t="shared" si="9"/>
        <v>431.1647559</v>
      </c>
      <c r="N324" s="27">
        <f t="shared" si="10"/>
        <v>30.3687632</v>
      </c>
      <c r="O324" s="24"/>
      <c r="P324" s="24"/>
      <c r="Q324" s="24"/>
      <c r="R324" s="26"/>
      <c r="S324" s="14">
        <f t="shared" si="13"/>
        <v>27.88751774</v>
      </c>
      <c r="U324" s="21"/>
      <c r="V324" s="21"/>
    </row>
    <row r="325">
      <c r="A325" s="11">
        <v>313.0</v>
      </c>
      <c r="B325" s="11">
        <v>1.42075652173913E9</v>
      </c>
      <c r="C325" s="2">
        <v>-102.235672</v>
      </c>
      <c r="D325" s="24">
        <f t="shared" si="1"/>
        <v>356521.7391</v>
      </c>
      <c r="E325" s="25">
        <f t="shared" si="2"/>
        <v>-76.21857897</v>
      </c>
      <c r="F325" s="24">
        <f t="shared" si="16"/>
        <v>0.0002137838191</v>
      </c>
      <c r="G325" s="24">
        <f t="shared" si="4"/>
        <v>0</v>
      </c>
      <c r="H325" s="26">
        <f t="shared" si="5"/>
        <v>0</v>
      </c>
      <c r="I325" s="24">
        <f t="shared" si="6"/>
        <v>0</v>
      </c>
      <c r="J325" s="24">
        <f t="shared" si="7"/>
        <v>0</v>
      </c>
      <c r="K325" s="24"/>
      <c r="L325" s="24">
        <f t="shared" si="8"/>
        <v>454.5053162</v>
      </c>
      <c r="M325" s="31">
        <f t="shared" si="9"/>
        <v>431.0544999</v>
      </c>
      <c r="N325" s="27">
        <f t="shared" si="10"/>
        <v>23.45081627</v>
      </c>
      <c r="O325" s="24"/>
      <c r="P325" s="24"/>
      <c r="Q325" s="24"/>
      <c r="R325" s="26"/>
      <c r="S325" s="14">
        <f t="shared" si="13"/>
        <v>21.53479389</v>
      </c>
      <c r="U325" s="21"/>
      <c r="V325" s="21"/>
    </row>
    <row r="326">
      <c r="A326" s="11">
        <v>314.0</v>
      </c>
      <c r="B326" s="11">
        <v>1.42076086956521E9</v>
      </c>
      <c r="C326" s="2">
        <v>-102.2140656</v>
      </c>
      <c r="D326" s="24">
        <f t="shared" si="1"/>
        <v>360869.5652</v>
      </c>
      <c r="E326" s="25">
        <f t="shared" si="2"/>
        <v>-77.1368751</v>
      </c>
      <c r="F326" s="24">
        <f t="shared" si="16"/>
        <v>0.0002137527864</v>
      </c>
      <c r="G326" s="24">
        <f t="shared" si="4"/>
        <v>0</v>
      </c>
      <c r="H326" s="26">
        <f t="shared" si="5"/>
        <v>0</v>
      </c>
      <c r="I326" s="24">
        <f t="shared" si="6"/>
        <v>0</v>
      </c>
      <c r="J326" s="24">
        <f t="shared" si="7"/>
        <v>0</v>
      </c>
      <c r="K326" s="24"/>
      <c r="L326" s="24">
        <f t="shared" si="8"/>
        <v>456.7721404</v>
      </c>
      <c r="M326" s="31">
        <f t="shared" si="9"/>
        <v>430.9440639</v>
      </c>
      <c r="N326" s="27">
        <f t="shared" si="10"/>
        <v>25.82807649</v>
      </c>
      <c r="O326" s="24"/>
      <c r="P326" s="24"/>
      <c r="Q326" s="24"/>
      <c r="R326" s="26"/>
      <c r="S326" s="14">
        <f t="shared" si="13"/>
        <v>23.71782276</v>
      </c>
      <c r="U326" s="21"/>
      <c r="V326" s="21"/>
    </row>
    <row r="327">
      <c r="A327" s="11">
        <v>315.0</v>
      </c>
      <c r="B327" s="11">
        <v>1.4207652173913E9</v>
      </c>
      <c r="C327" s="2">
        <v>-102.2430191</v>
      </c>
      <c r="D327" s="24">
        <f t="shared" si="1"/>
        <v>365217.3913</v>
      </c>
      <c r="E327" s="25">
        <f t="shared" si="2"/>
        <v>-78.05517123</v>
      </c>
      <c r="F327" s="24">
        <f t="shared" si="16"/>
        <v>0.0002137224927</v>
      </c>
      <c r="G327" s="24">
        <f t="shared" si="4"/>
        <v>0</v>
      </c>
      <c r="H327" s="26">
        <f t="shared" si="5"/>
        <v>0</v>
      </c>
      <c r="I327" s="24">
        <f t="shared" si="6"/>
        <v>0</v>
      </c>
      <c r="J327" s="24">
        <f t="shared" si="7"/>
        <v>0</v>
      </c>
      <c r="K327" s="24"/>
      <c r="L327" s="24">
        <f t="shared" si="8"/>
        <v>453.7370649</v>
      </c>
      <c r="M327" s="31">
        <f t="shared" si="9"/>
        <v>430.833447</v>
      </c>
      <c r="N327" s="27">
        <f t="shared" si="10"/>
        <v>22.90361789</v>
      </c>
      <c r="O327" s="24"/>
      <c r="P327" s="24"/>
      <c r="Q327" s="24"/>
      <c r="R327" s="26"/>
      <c r="S327" s="14">
        <f t="shared" si="13"/>
        <v>21.03230369</v>
      </c>
      <c r="U327" s="21"/>
      <c r="V327" s="21"/>
    </row>
    <row r="328">
      <c r="A328" s="11">
        <v>316.0</v>
      </c>
      <c r="B328" s="11">
        <v>1.42076956521739E9</v>
      </c>
      <c r="C328" s="2">
        <v>-102.2871857</v>
      </c>
      <c r="D328" s="24">
        <f t="shared" si="1"/>
        <v>369565.2174</v>
      </c>
      <c r="E328" s="25">
        <f t="shared" si="2"/>
        <v>-78.97346736</v>
      </c>
      <c r="F328" s="24">
        <f t="shared" si="16"/>
        <v>0.0002136929117</v>
      </c>
      <c r="G328" s="24">
        <f t="shared" si="4"/>
        <v>0</v>
      </c>
      <c r="H328" s="26">
        <f t="shared" si="5"/>
        <v>0</v>
      </c>
      <c r="I328" s="24">
        <f t="shared" si="6"/>
        <v>0</v>
      </c>
      <c r="J328" s="24">
        <f t="shared" si="7"/>
        <v>0</v>
      </c>
      <c r="K328" s="24"/>
      <c r="L328" s="24">
        <f t="shared" si="8"/>
        <v>449.1460632</v>
      </c>
      <c r="M328" s="31">
        <f t="shared" si="9"/>
        <v>430.7226485</v>
      </c>
      <c r="N328" s="27">
        <f t="shared" si="10"/>
        <v>18.42341467</v>
      </c>
      <c r="O328" s="24"/>
      <c r="P328" s="24"/>
      <c r="Q328" s="24"/>
      <c r="R328" s="26"/>
      <c r="S328" s="14">
        <f t="shared" si="13"/>
        <v>16.91815045</v>
      </c>
      <c r="U328" s="21"/>
      <c r="V328" s="21"/>
    </row>
    <row r="329">
      <c r="A329" s="11">
        <v>317.0</v>
      </c>
      <c r="B329" s="11">
        <v>1.42077391304347E9</v>
      </c>
      <c r="C329" s="2">
        <v>-102.2783203</v>
      </c>
      <c r="D329" s="24">
        <f t="shared" si="1"/>
        <v>373913.0435</v>
      </c>
      <c r="E329" s="25">
        <f t="shared" si="2"/>
        <v>-79.89176349</v>
      </c>
      <c r="F329" s="24">
        <f t="shared" si="16"/>
        <v>0.0002136640187</v>
      </c>
      <c r="G329" s="24">
        <f t="shared" si="4"/>
        <v>0</v>
      </c>
      <c r="H329" s="26">
        <f t="shared" si="5"/>
        <v>0</v>
      </c>
      <c r="I329" s="24">
        <f t="shared" si="6"/>
        <v>0</v>
      </c>
      <c r="J329" s="24">
        <f t="shared" si="7"/>
        <v>0</v>
      </c>
      <c r="K329" s="24"/>
      <c r="L329" s="24">
        <f t="shared" si="8"/>
        <v>450.0638566</v>
      </c>
      <c r="M329" s="31">
        <f t="shared" si="9"/>
        <v>430.6116676</v>
      </c>
      <c r="N329" s="27">
        <f t="shared" si="10"/>
        <v>19.45218906</v>
      </c>
      <c r="O329" s="24"/>
      <c r="P329" s="24"/>
      <c r="Q329" s="24"/>
      <c r="R329" s="26"/>
      <c r="S329" s="14">
        <f t="shared" si="13"/>
        <v>17.86286999</v>
      </c>
      <c r="U329" s="21"/>
      <c r="V329" s="21"/>
    </row>
    <row r="330">
      <c r="A330" s="11">
        <v>318.0</v>
      </c>
      <c r="B330" s="11">
        <v>1.42077826086956E9</v>
      </c>
      <c r="C330" s="2">
        <v>-102.2422485</v>
      </c>
      <c r="D330" s="24">
        <f t="shared" si="1"/>
        <v>378260.8696</v>
      </c>
      <c r="E330" s="25">
        <f t="shared" si="2"/>
        <v>-80.81005963</v>
      </c>
      <c r="F330" s="24">
        <f t="shared" si="16"/>
        <v>0.0002136357898</v>
      </c>
      <c r="G330" s="24">
        <f t="shared" si="4"/>
        <v>0</v>
      </c>
      <c r="H330" s="26">
        <f t="shared" si="5"/>
        <v>0</v>
      </c>
      <c r="I330" s="24">
        <f t="shared" si="6"/>
        <v>0</v>
      </c>
      <c r="J330" s="24">
        <f t="shared" si="7"/>
        <v>0</v>
      </c>
      <c r="K330" s="24"/>
      <c r="L330" s="24">
        <f t="shared" si="8"/>
        <v>453.8175819</v>
      </c>
      <c r="M330" s="31">
        <f t="shared" si="9"/>
        <v>430.5005035</v>
      </c>
      <c r="N330" s="27">
        <f t="shared" si="10"/>
        <v>23.3170784</v>
      </c>
      <c r="O330" s="24"/>
      <c r="P330" s="24"/>
      <c r="Q330" s="24"/>
      <c r="R330" s="26"/>
      <c r="S330" s="14">
        <f t="shared" si="13"/>
        <v>21.41198287</v>
      </c>
      <c r="U330" s="21"/>
      <c r="V330" s="21"/>
    </row>
    <row r="331">
      <c r="A331" s="11">
        <v>319.0</v>
      </c>
      <c r="B331" s="11">
        <v>1.42078260869565E9</v>
      </c>
      <c r="C331" s="2">
        <v>-102.3148651</v>
      </c>
      <c r="D331" s="24">
        <f t="shared" si="1"/>
        <v>382608.6957</v>
      </c>
      <c r="E331" s="25">
        <f t="shared" si="2"/>
        <v>-81.72835576</v>
      </c>
      <c r="F331" s="24">
        <f t="shared" si="16"/>
        <v>0.0002136082026</v>
      </c>
      <c r="G331" s="24">
        <f t="shared" si="4"/>
        <v>0</v>
      </c>
      <c r="H331" s="26">
        <f t="shared" si="5"/>
        <v>0</v>
      </c>
      <c r="I331" s="24">
        <f t="shared" si="6"/>
        <v>0</v>
      </c>
      <c r="J331" s="24">
        <f t="shared" si="7"/>
        <v>0</v>
      </c>
      <c r="K331" s="24"/>
      <c r="L331" s="24">
        <f t="shared" si="8"/>
        <v>446.2925708</v>
      </c>
      <c r="M331" s="31">
        <f t="shared" si="9"/>
        <v>430.3891554</v>
      </c>
      <c r="N331" s="27">
        <f t="shared" si="10"/>
        <v>15.90341537</v>
      </c>
      <c r="O331" s="24"/>
      <c r="P331" s="24"/>
      <c r="Q331" s="24"/>
      <c r="R331" s="26"/>
      <c r="S331" s="14">
        <f t="shared" si="13"/>
        <v>14.60404483</v>
      </c>
      <c r="U331" s="21"/>
      <c r="V331" s="21"/>
    </row>
    <row r="332">
      <c r="A332" s="11">
        <v>320.0</v>
      </c>
      <c r="B332" s="11">
        <v>1.42078695652173E9</v>
      </c>
      <c r="C332" s="2">
        <v>-102.370636</v>
      </c>
      <c r="D332" s="24">
        <f t="shared" si="1"/>
        <v>386956.5217</v>
      </c>
      <c r="E332" s="25">
        <f t="shared" si="2"/>
        <v>-82.64665189</v>
      </c>
      <c r="F332" s="24">
        <f t="shared" si="16"/>
        <v>0.0002135812352</v>
      </c>
      <c r="G332" s="24">
        <f t="shared" si="4"/>
        <v>0</v>
      </c>
      <c r="H332" s="26">
        <f t="shared" si="5"/>
        <v>0</v>
      </c>
      <c r="I332" s="24">
        <f t="shared" si="6"/>
        <v>0</v>
      </c>
      <c r="J332" s="24">
        <f t="shared" si="7"/>
        <v>0</v>
      </c>
      <c r="K332" s="24"/>
      <c r="L332" s="24">
        <f t="shared" si="8"/>
        <v>440.5980466</v>
      </c>
      <c r="M332" s="31">
        <f t="shared" si="9"/>
        <v>430.2776225</v>
      </c>
      <c r="N332" s="27">
        <f t="shared" si="10"/>
        <v>10.3204241</v>
      </c>
      <c r="O332" s="24"/>
      <c r="P332" s="24"/>
      <c r="Q332" s="24"/>
      <c r="R332" s="26"/>
      <c r="S332" s="14">
        <f t="shared" si="13"/>
        <v>9.477205539</v>
      </c>
      <c r="U332" s="21"/>
      <c r="V332" s="21"/>
    </row>
    <row r="333">
      <c r="A333" s="11">
        <v>321.0</v>
      </c>
      <c r="B333" s="11">
        <v>1.42079130434782E9</v>
      </c>
      <c r="C333" s="2">
        <v>-102.3305893</v>
      </c>
      <c r="D333" s="24">
        <f t="shared" si="1"/>
        <v>391304.3478</v>
      </c>
      <c r="E333" s="25">
        <f t="shared" si="2"/>
        <v>-83.56494802</v>
      </c>
      <c r="F333" s="24">
        <f t="shared" si="16"/>
        <v>0.0002135548672</v>
      </c>
      <c r="G333" s="24">
        <f t="shared" si="4"/>
        <v>0</v>
      </c>
      <c r="H333" s="26">
        <f t="shared" si="5"/>
        <v>0</v>
      </c>
      <c r="I333" s="24">
        <f t="shared" si="6"/>
        <v>0</v>
      </c>
      <c r="J333" s="24">
        <f t="shared" si="7"/>
        <v>0</v>
      </c>
      <c r="K333" s="24"/>
      <c r="L333" s="24">
        <f t="shared" si="8"/>
        <v>444.6796318</v>
      </c>
      <c r="M333" s="31">
        <f t="shared" si="9"/>
        <v>430.1659041</v>
      </c>
      <c r="N333" s="27">
        <f t="shared" si="10"/>
        <v>14.5137277</v>
      </c>
      <c r="O333" s="24"/>
      <c r="P333" s="24"/>
      <c r="Q333" s="24"/>
      <c r="R333" s="26"/>
      <c r="S333" s="14">
        <f t="shared" si="13"/>
        <v>13.32790002</v>
      </c>
      <c r="U333" s="21"/>
      <c r="V333" s="21"/>
    </row>
    <row r="334">
      <c r="A334" s="11">
        <v>322.0</v>
      </c>
      <c r="B334" s="11">
        <v>1.42079565217391E9</v>
      </c>
      <c r="C334" s="2">
        <v>-102.3302383</v>
      </c>
      <c r="D334" s="24">
        <f t="shared" si="1"/>
        <v>395652.1739</v>
      </c>
      <c r="E334" s="25">
        <f t="shared" si="2"/>
        <v>-84.48324416</v>
      </c>
      <c r="F334" s="24">
        <f t="shared" si="16"/>
        <v>0.0002135290786</v>
      </c>
      <c r="G334" s="24">
        <f t="shared" si="4"/>
        <v>0</v>
      </c>
      <c r="H334" s="26">
        <f t="shared" si="5"/>
        <v>0</v>
      </c>
      <c r="I334" s="24">
        <f t="shared" si="6"/>
        <v>0</v>
      </c>
      <c r="J334" s="24">
        <f t="shared" si="7"/>
        <v>0</v>
      </c>
      <c r="K334" s="24"/>
      <c r="L334" s="24">
        <f t="shared" si="8"/>
        <v>444.7155726</v>
      </c>
      <c r="M334" s="31">
        <f t="shared" si="9"/>
        <v>430.0539993</v>
      </c>
      <c r="N334" s="27">
        <f t="shared" si="10"/>
        <v>14.66157326</v>
      </c>
      <c r="O334" s="24"/>
      <c r="P334" s="24"/>
      <c r="Q334" s="24"/>
      <c r="R334" s="26"/>
      <c r="S334" s="14">
        <f t="shared" si="13"/>
        <v>13.463666</v>
      </c>
      <c r="U334" s="21"/>
      <c r="V334" s="21"/>
    </row>
    <row r="335">
      <c r="A335" s="11">
        <v>323.0</v>
      </c>
      <c r="B335" s="11">
        <v>1.4208E9</v>
      </c>
      <c r="C335" s="2">
        <v>-102.3721542</v>
      </c>
      <c r="D335" s="24">
        <f t="shared" si="1"/>
        <v>400000</v>
      </c>
      <c r="E335" s="25">
        <f t="shared" si="2"/>
        <v>-85.40154029</v>
      </c>
      <c r="F335" s="24">
        <f t="shared" si="16"/>
        <v>0.0002135038507</v>
      </c>
      <c r="G335" s="24">
        <f t="shared" si="4"/>
        <v>0</v>
      </c>
      <c r="H335" s="26">
        <f t="shared" si="5"/>
        <v>0</v>
      </c>
      <c r="I335" s="24">
        <f t="shared" si="6"/>
        <v>0</v>
      </c>
      <c r="J335" s="24">
        <f t="shared" si="7"/>
        <v>0</v>
      </c>
      <c r="K335" s="24"/>
      <c r="L335" s="24">
        <f t="shared" si="8"/>
        <v>440.4440499</v>
      </c>
      <c r="M335" s="31">
        <f t="shared" si="9"/>
        <v>429.9419074</v>
      </c>
      <c r="N335" s="27">
        <f t="shared" si="10"/>
        <v>10.50214253</v>
      </c>
      <c r="O335" s="24"/>
      <c r="P335" s="24"/>
      <c r="Q335" s="24"/>
      <c r="R335" s="26"/>
      <c r="S335" s="14">
        <f t="shared" si="13"/>
        <v>9.644076875</v>
      </c>
      <c r="U335" s="21"/>
      <c r="V335" s="21"/>
    </row>
    <row r="336">
      <c r="A336" s="11">
        <v>324.0</v>
      </c>
      <c r="B336" s="11">
        <v>1.42080434782608E9</v>
      </c>
      <c r="C336" s="2">
        <v>-102.3457794</v>
      </c>
      <c r="D336" s="24">
        <f t="shared" si="1"/>
        <v>404347.8261</v>
      </c>
      <c r="E336" s="25">
        <f t="shared" si="2"/>
        <v>-86.31983642</v>
      </c>
      <c r="F336" s="24">
        <f t="shared" si="16"/>
        <v>0.0002134791653</v>
      </c>
      <c r="G336" s="24">
        <f t="shared" si="4"/>
        <v>0</v>
      </c>
      <c r="H336" s="26">
        <f t="shared" si="5"/>
        <v>0</v>
      </c>
      <c r="I336" s="24">
        <f t="shared" si="6"/>
        <v>0</v>
      </c>
      <c r="J336" s="24">
        <f t="shared" si="7"/>
        <v>0</v>
      </c>
      <c r="K336" s="24"/>
      <c r="L336" s="24">
        <f t="shared" si="8"/>
        <v>443.127015</v>
      </c>
      <c r="M336" s="31">
        <f t="shared" si="9"/>
        <v>429.8296276</v>
      </c>
      <c r="N336" s="27">
        <f t="shared" si="10"/>
        <v>13.29738744</v>
      </c>
      <c r="O336" s="24"/>
      <c r="P336" s="24"/>
      <c r="Q336" s="24"/>
      <c r="R336" s="26"/>
      <c r="S336" s="14">
        <f t="shared" si="13"/>
        <v>12.21093946</v>
      </c>
      <c r="U336" s="21"/>
      <c r="V336" s="21"/>
    </row>
    <row r="337">
      <c r="A337" s="11">
        <v>325.0</v>
      </c>
      <c r="B337" s="11">
        <v>1.42080869565217E9</v>
      </c>
      <c r="C337" s="2">
        <v>-102.4237976</v>
      </c>
      <c r="D337" s="24">
        <f t="shared" si="1"/>
        <v>408695.6522</v>
      </c>
      <c r="E337" s="25">
        <f t="shared" si="2"/>
        <v>-87.23813255</v>
      </c>
      <c r="F337" s="24">
        <f t="shared" si="16"/>
        <v>0.0002134550052</v>
      </c>
      <c r="G337" s="24">
        <f t="shared" si="4"/>
        <v>0</v>
      </c>
      <c r="H337" s="26">
        <f t="shared" si="5"/>
        <v>0</v>
      </c>
      <c r="I337" s="24">
        <f t="shared" si="6"/>
        <v>0</v>
      </c>
      <c r="J337" s="24">
        <f t="shared" si="7"/>
        <v>0</v>
      </c>
      <c r="K337" s="24"/>
      <c r="L337" s="24">
        <f t="shared" si="8"/>
        <v>435.2376005</v>
      </c>
      <c r="M337" s="31">
        <f t="shared" si="9"/>
        <v>429.717159</v>
      </c>
      <c r="N337" s="27">
        <f t="shared" si="10"/>
        <v>5.520441509</v>
      </c>
      <c r="O337" s="24"/>
      <c r="P337" s="24"/>
      <c r="Q337" s="24"/>
      <c r="R337" s="26"/>
      <c r="S337" s="14">
        <f t="shared" si="13"/>
        <v>5.069400077</v>
      </c>
      <c r="U337" s="21"/>
      <c r="V337" s="21"/>
    </row>
    <row r="338">
      <c r="A338" s="11">
        <v>326.0</v>
      </c>
      <c r="B338" s="11">
        <v>1.42081304347826E9</v>
      </c>
      <c r="C338" s="2">
        <v>-102.4829712</v>
      </c>
      <c r="D338" s="24">
        <f t="shared" si="1"/>
        <v>413043.4783</v>
      </c>
      <c r="E338" s="25">
        <f t="shared" si="2"/>
        <v>-88.15642868</v>
      </c>
      <c r="F338" s="24">
        <f t="shared" si="16"/>
        <v>0.0002134313537</v>
      </c>
      <c r="G338" s="24">
        <f t="shared" si="4"/>
        <v>0</v>
      </c>
      <c r="H338" s="26">
        <f t="shared" si="5"/>
        <v>0</v>
      </c>
      <c r="I338" s="24">
        <f t="shared" si="6"/>
        <v>0</v>
      </c>
      <c r="J338" s="24">
        <f t="shared" si="7"/>
        <v>0</v>
      </c>
      <c r="K338" s="24"/>
      <c r="L338" s="24">
        <f t="shared" si="8"/>
        <v>429.3476077</v>
      </c>
      <c r="M338" s="31">
        <f t="shared" si="9"/>
        <v>429.604501</v>
      </c>
      <c r="N338" s="27">
        <f t="shared" si="10"/>
        <v>-0.2568932968</v>
      </c>
      <c r="O338" s="24"/>
      <c r="P338" s="24"/>
      <c r="Q338" s="24"/>
      <c r="R338" s="26"/>
      <c r="S338" s="14">
        <f t="shared" si="13"/>
        <v>-0.235904121</v>
      </c>
      <c r="U338" s="21"/>
      <c r="V338" s="21"/>
    </row>
    <row r="339">
      <c r="A339" s="11">
        <v>327.0</v>
      </c>
      <c r="B339" s="11">
        <v>1.42081739130434E9</v>
      </c>
      <c r="C339" s="2">
        <v>-102.4252167</v>
      </c>
      <c r="D339" s="24">
        <f t="shared" si="1"/>
        <v>417391.3043</v>
      </c>
      <c r="E339" s="25">
        <f t="shared" si="2"/>
        <v>-89.07472482</v>
      </c>
      <c r="F339" s="24">
        <f t="shared" si="16"/>
        <v>0.0002134081949</v>
      </c>
      <c r="G339" s="24">
        <f t="shared" si="4"/>
        <v>0</v>
      </c>
      <c r="H339" s="26">
        <f t="shared" si="5"/>
        <v>0</v>
      </c>
      <c r="I339" s="24">
        <f t="shared" si="6"/>
        <v>0</v>
      </c>
      <c r="J339" s="24">
        <f t="shared" si="7"/>
        <v>0</v>
      </c>
      <c r="K339" s="24"/>
      <c r="L339" s="24">
        <f t="shared" si="8"/>
        <v>435.0954056</v>
      </c>
      <c r="M339" s="31">
        <f t="shared" si="9"/>
        <v>429.4916527</v>
      </c>
      <c r="N339" s="27">
        <f t="shared" si="10"/>
        <v>5.60375293</v>
      </c>
      <c r="O339" s="24"/>
      <c r="P339" s="24"/>
      <c r="Q339" s="24"/>
      <c r="R339" s="26"/>
      <c r="S339" s="14">
        <f t="shared" si="13"/>
        <v>5.145904644</v>
      </c>
      <c r="U339" s="21"/>
      <c r="V339" s="21"/>
    </row>
    <row r="340">
      <c r="A340" s="11">
        <v>328.0</v>
      </c>
      <c r="B340" s="11">
        <v>1.42082173913043E9</v>
      </c>
      <c r="C340" s="2">
        <v>-102.4390869</v>
      </c>
      <c r="D340" s="24">
        <f t="shared" si="1"/>
        <v>421739.1304</v>
      </c>
      <c r="E340" s="25">
        <f t="shared" si="2"/>
        <v>-89.99302095</v>
      </c>
      <c r="F340" s="24">
        <f t="shared" si="16"/>
        <v>0.0002133855136</v>
      </c>
      <c r="G340" s="24">
        <f t="shared" si="4"/>
        <v>0</v>
      </c>
      <c r="H340" s="26">
        <f t="shared" si="5"/>
        <v>0</v>
      </c>
      <c r="I340" s="24">
        <f t="shared" si="6"/>
        <v>0</v>
      </c>
      <c r="J340" s="24">
        <f t="shared" si="7"/>
        <v>0</v>
      </c>
      <c r="K340" s="24"/>
      <c r="L340" s="24">
        <f t="shared" si="8"/>
        <v>433.7080443</v>
      </c>
      <c r="M340" s="31">
        <f t="shared" si="9"/>
        <v>429.3786133</v>
      </c>
      <c r="N340" s="27">
        <f t="shared" si="10"/>
        <v>4.329430999</v>
      </c>
      <c r="O340" s="24"/>
      <c r="P340" s="24"/>
      <c r="Q340" s="24"/>
      <c r="R340" s="26"/>
      <c r="S340" s="14">
        <f t="shared" si="13"/>
        <v>3.975699734</v>
      </c>
      <c r="U340" s="21"/>
      <c r="V340" s="21"/>
    </row>
    <row r="341">
      <c r="A341" s="11">
        <v>329.0</v>
      </c>
      <c r="B341" s="11">
        <v>1.42082608695652E9</v>
      </c>
      <c r="C341" s="2">
        <v>-102.4567566</v>
      </c>
      <c r="D341" s="24">
        <f t="shared" si="1"/>
        <v>426086.9565</v>
      </c>
      <c r="E341" s="25">
        <f t="shared" si="2"/>
        <v>-90.91131708</v>
      </c>
      <c r="F341" s="24">
        <f t="shared" si="16"/>
        <v>0.0002133632952</v>
      </c>
      <c r="G341" s="24">
        <f t="shared" si="4"/>
        <v>0</v>
      </c>
      <c r="H341" s="26">
        <f t="shared" si="5"/>
        <v>0</v>
      </c>
      <c r="I341" s="24">
        <f t="shared" si="6"/>
        <v>0</v>
      </c>
      <c r="J341" s="24">
        <f t="shared" si="7"/>
        <v>0</v>
      </c>
      <c r="K341" s="24"/>
      <c r="L341" s="24">
        <f t="shared" si="8"/>
        <v>431.9470451</v>
      </c>
      <c r="M341" s="31">
        <f t="shared" si="9"/>
        <v>429.265382</v>
      </c>
      <c r="N341" s="27">
        <f t="shared" si="10"/>
        <v>2.681663062</v>
      </c>
      <c r="O341" s="24"/>
      <c r="P341" s="24"/>
      <c r="Q341" s="24"/>
      <c r="R341" s="26"/>
      <c r="S341" s="14">
        <f t="shared" si="13"/>
        <v>2.462560819</v>
      </c>
      <c r="U341" s="21"/>
      <c r="V341" s="21"/>
    </row>
    <row r="342">
      <c r="A342" s="11">
        <v>330.0</v>
      </c>
      <c r="B342" s="11">
        <v>1.4208304347826E9</v>
      </c>
      <c r="C342" s="2">
        <v>-102.4336548</v>
      </c>
      <c r="D342" s="24">
        <f t="shared" si="1"/>
        <v>430434.7826</v>
      </c>
      <c r="E342" s="25">
        <f t="shared" si="2"/>
        <v>-91.82961321</v>
      </c>
      <c r="F342" s="24">
        <f t="shared" si="16"/>
        <v>0.0002133415256</v>
      </c>
      <c r="G342" s="24">
        <f t="shared" si="4"/>
        <v>0</v>
      </c>
      <c r="H342" s="26">
        <f t="shared" si="5"/>
        <v>0</v>
      </c>
      <c r="I342" s="24">
        <f t="shared" si="6"/>
        <v>0</v>
      </c>
      <c r="J342" s="24">
        <f t="shared" si="7"/>
        <v>0</v>
      </c>
      <c r="K342" s="24"/>
      <c r="L342" s="24">
        <f t="shared" si="8"/>
        <v>434.2508602</v>
      </c>
      <c r="M342" s="31">
        <f t="shared" si="9"/>
        <v>429.1519581</v>
      </c>
      <c r="N342" s="27">
        <f t="shared" si="10"/>
        <v>5.098902051</v>
      </c>
      <c r="O342" s="24"/>
      <c r="P342" s="24"/>
      <c r="Q342" s="24"/>
      <c r="R342" s="26"/>
      <c r="S342" s="14">
        <f t="shared" si="13"/>
        <v>4.682302035</v>
      </c>
      <c r="U342" s="21"/>
      <c r="V342" s="21"/>
    </row>
    <row r="343">
      <c r="A343" s="11">
        <v>331.0</v>
      </c>
      <c r="B343" s="11">
        <v>1.42083478260869E9</v>
      </c>
      <c r="C343" s="2">
        <v>-102.4065628</v>
      </c>
      <c r="D343" s="24">
        <f t="shared" si="1"/>
        <v>434782.6087</v>
      </c>
      <c r="E343" s="25">
        <f t="shared" si="2"/>
        <v>-92.74790935</v>
      </c>
      <c r="F343" s="24">
        <f t="shared" si="16"/>
        <v>0.0002133201915</v>
      </c>
      <c r="G343" s="24">
        <f t="shared" si="4"/>
        <v>0</v>
      </c>
      <c r="H343" s="26">
        <f t="shared" si="5"/>
        <v>0</v>
      </c>
      <c r="I343" s="24">
        <f t="shared" si="6"/>
        <v>0</v>
      </c>
      <c r="J343" s="24">
        <f t="shared" si="7"/>
        <v>0</v>
      </c>
      <c r="K343" s="24"/>
      <c r="L343" s="24">
        <f t="shared" si="8"/>
        <v>436.968255</v>
      </c>
      <c r="M343" s="31">
        <f t="shared" si="9"/>
        <v>429.0383408</v>
      </c>
      <c r="N343" s="27">
        <f t="shared" si="10"/>
        <v>7.929914234</v>
      </c>
      <c r="O343" s="24"/>
      <c r="P343" s="24"/>
      <c r="Q343" s="24"/>
      <c r="R343" s="26"/>
      <c r="S343" s="14">
        <f t="shared" si="13"/>
        <v>7.282009575</v>
      </c>
      <c r="U343" s="21"/>
      <c r="V343" s="21"/>
    </row>
    <row r="344">
      <c r="A344" s="11">
        <v>332.0</v>
      </c>
      <c r="B344" s="11">
        <v>1.42083913043478E9</v>
      </c>
      <c r="C344" s="2">
        <v>-102.4836273</v>
      </c>
      <c r="D344" s="24">
        <f t="shared" si="1"/>
        <v>439130.4348</v>
      </c>
      <c r="E344" s="25">
        <f t="shared" si="2"/>
        <v>-93.66620548</v>
      </c>
      <c r="F344" s="24">
        <f t="shared" si="16"/>
        <v>0.0002132992798</v>
      </c>
      <c r="G344" s="24">
        <f t="shared" si="4"/>
        <v>0</v>
      </c>
      <c r="H344" s="26">
        <f t="shared" si="5"/>
        <v>0</v>
      </c>
      <c r="I344" s="24">
        <f t="shared" si="6"/>
        <v>0</v>
      </c>
      <c r="J344" s="24">
        <f t="shared" si="7"/>
        <v>0</v>
      </c>
      <c r="K344" s="24"/>
      <c r="L344" s="24">
        <f t="shared" si="8"/>
        <v>429.2827499</v>
      </c>
      <c r="M344" s="31">
        <f t="shared" si="9"/>
        <v>428.9245292</v>
      </c>
      <c r="N344" s="27">
        <f t="shared" si="10"/>
        <v>0.3582207149</v>
      </c>
      <c r="O344" s="24"/>
      <c r="P344" s="24"/>
      <c r="Q344" s="24"/>
      <c r="R344" s="26"/>
      <c r="S344" s="14">
        <f t="shared" si="13"/>
        <v>0.3289526964</v>
      </c>
      <c r="U344" s="21"/>
      <c r="V344" s="21"/>
    </row>
    <row r="345">
      <c r="A345" s="11">
        <v>333.0</v>
      </c>
      <c r="B345" s="11">
        <v>1.42084347826087E9</v>
      </c>
      <c r="C345" s="2">
        <v>-102.4428406</v>
      </c>
      <c r="D345" s="24">
        <f t="shared" si="1"/>
        <v>443478.2609</v>
      </c>
      <c r="E345" s="25">
        <f t="shared" si="2"/>
        <v>-94.58450161</v>
      </c>
      <c r="F345" s="24">
        <f t="shared" si="16"/>
        <v>0.0002132787781</v>
      </c>
      <c r="G345" s="24">
        <f t="shared" si="4"/>
        <v>0</v>
      </c>
      <c r="H345" s="26">
        <f t="shared" si="5"/>
        <v>0</v>
      </c>
      <c r="I345" s="24">
        <f t="shared" si="6"/>
        <v>0</v>
      </c>
      <c r="J345" s="24">
        <f t="shared" si="7"/>
        <v>0</v>
      </c>
      <c r="K345" s="24"/>
      <c r="L345" s="24">
        <f t="shared" si="8"/>
        <v>433.3333431</v>
      </c>
      <c r="M345" s="31">
        <f t="shared" si="9"/>
        <v>428.8105227</v>
      </c>
      <c r="N345" s="27">
        <f t="shared" si="10"/>
        <v>4.522820451</v>
      </c>
      <c r="O345" s="24"/>
      <c r="P345" s="24"/>
      <c r="Q345" s="24"/>
      <c r="R345" s="26"/>
      <c r="S345" s="14">
        <f t="shared" si="13"/>
        <v>4.15328853</v>
      </c>
      <c r="U345" s="21"/>
      <c r="V345" s="21"/>
    </row>
    <row r="346">
      <c r="A346" s="11">
        <v>334.0</v>
      </c>
      <c r="B346" s="11">
        <v>1.42084782608695E9</v>
      </c>
      <c r="C346" s="2">
        <v>-102.542778</v>
      </c>
      <c r="D346" s="24">
        <f t="shared" si="1"/>
        <v>447826.087</v>
      </c>
      <c r="E346" s="25">
        <f t="shared" si="2"/>
        <v>-95.50279774</v>
      </c>
      <c r="F346" s="24">
        <f t="shared" si="16"/>
        <v>0.0002132586746</v>
      </c>
      <c r="G346" s="24">
        <f t="shared" si="4"/>
        <v>0</v>
      </c>
      <c r="H346" s="26">
        <f t="shared" si="5"/>
        <v>0</v>
      </c>
      <c r="I346" s="24">
        <f t="shared" si="6"/>
        <v>0</v>
      </c>
      <c r="J346" s="24">
        <f t="shared" si="7"/>
        <v>0</v>
      </c>
      <c r="K346" s="24"/>
      <c r="L346" s="24">
        <f t="shared" si="8"/>
        <v>423.475576</v>
      </c>
      <c r="M346" s="31">
        <f t="shared" si="9"/>
        <v>428.6963203</v>
      </c>
      <c r="N346" s="27">
        <f t="shared" si="10"/>
        <v>-5.220744311</v>
      </c>
      <c r="O346" s="24"/>
      <c r="P346" s="24"/>
      <c r="Q346" s="24"/>
      <c r="R346" s="26"/>
      <c r="S346" s="14">
        <f t="shared" si="13"/>
        <v>-4.794189311</v>
      </c>
      <c r="U346" s="21"/>
      <c r="V346" s="21"/>
    </row>
    <row r="347">
      <c r="A347" s="11">
        <v>335.0</v>
      </c>
      <c r="B347" s="11">
        <v>1.42085217391304E9</v>
      </c>
      <c r="C347" s="2">
        <v>-102.460144</v>
      </c>
      <c r="D347" s="24">
        <f t="shared" si="1"/>
        <v>452173.913</v>
      </c>
      <c r="E347" s="25">
        <f t="shared" si="2"/>
        <v>-96.42109387</v>
      </c>
      <c r="F347" s="24">
        <f t="shared" si="16"/>
        <v>0.0002132389576</v>
      </c>
      <c r="G347" s="24">
        <f t="shared" si="4"/>
        <v>0</v>
      </c>
      <c r="H347" s="26">
        <f t="shared" si="5"/>
        <v>0</v>
      </c>
      <c r="I347" s="24">
        <f t="shared" si="6"/>
        <v>0</v>
      </c>
      <c r="J347" s="24">
        <f t="shared" si="7"/>
        <v>0</v>
      </c>
      <c r="K347" s="24"/>
      <c r="L347" s="24">
        <f t="shared" si="8"/>
        <v>431.6102674</v>
      </c>
      <c r="M347" s="31">
        <f t="shared" si="9"/>
        <v>428.5819213</v>
      </c>
      <c r="N347" s="27">
        <f t="shared" si="10"/>
        <v>3.028346062</v>
      </c>
      <c r="O347" s="24"/>
      <c r="P347" s="24"/>
      <c r="Q347" s="24"/>
      <c r="R347" s="26"/>
      <c r="S347" s="14">
        <f t="shared" si="13"/>
        <v>2.780918471</v>
      </c>
      <c r="U347" s="21"/>
      <c r="V347" s="21"/>
    </row>
    <row r="348">
      <c r="A348" s="11">
        <v>336.0</v>
      </c>
      <c r="B348" s="11">
        <v>1.42085652173913E9</v>
      </c>
      <c r="C348" s="2">
        <v>-102.4894791</v>
      </c>
      <c r="D348" s="24">
        <f t="shared" si="1"/>
        <v>456521.7391</v>
      </c>
      <c r="E348" s="25">
        <f t="shared" si="2"/>
        <v>-97.33939</v>
      </c>
      <c r="F348" s="24">
        <f t="shared" si="16"/>
        <v>0.0002132196162</v>
      </c>
      <c r="G348" s="24">
        <f t="shared" si="4"/>
        <v>0</v>
      </c>
      <c r="H348" s="26">
        <f t="shared" si="5"/>
        <v>0</v>
      </c>
      <c r="I348" s="24">
        <f t="shared" si="6"/>
        <v>0</v>
      </c>
      <c r="J348" s="24">
        <f t="shared" si="7"/>
        <v>0</v>
      </c>
      <c r="K348" s="24"/>
      <c r="L348" s="24">
        <f t="shared" si="8"/>
        <v>428.7047124</v>
      </c>
      <c r="M348" s="31">
        <f t="shared" si="9"/>
        <v>428.467325</v>
      </c>
      <c r="N348" s="27">
        <f t="shared" si="10"/>
        <v>0.2373873951</v>
      </c>
      <c r="O348" s="24"/>
      <c r="P348" s="24"/>
      <c r="Q348" s="24"/>
      <c r="R348" s="26"/>
      <c r="S348" s="14">
        <f t="shared" si="13"/>
        <v>0.2179919269</v>
      </c>
      <c r="U348" s="21"/>
      <c r="V348" s="21"/>
    </row>
    <row r="349">
      <c r="A349" s="11">
        <v>337.0</v>
      </c>
      <c r="B349" s="11">
        <v>1.42086086956521E9</v>
      </c>
      <c r="C349" s="2">
        <v>-102.4276276</v>
      </c>
      <c r="D349" s="24">
        <f t="shared" si="1"/>
        <v>460869.5652</v>
      </c>
      <c r="E349" s="25">
        <f t="shared" si="2"/>
        <v>-98.25768614</v>
      </c>
      <c r="F349" s="24">
        <f t="shared" si="16"/>
        <v>0.0002132006397</v>
      </c>
      <c r="G349" s="24">
        <f t="shared" si="4"/>
        <v>0</v>
      </c>
      <c r="H349" s="26">
        <f t="shared" si="5"/>
        <v>0</v>
      </c>
      <c r="I349" s="24">
        <f t="shared" si="6"/>
        <v>0</v>
      </c>
      <c r="J349" s="24">
        <f t="shared" si="7"/>
        <v>0</v>
      </c>
      <c r="K349" s="24"/>
      <c r="L349" s="24">
        <f t="shared" si="8"/>
        <v>434.853938</v>
      </c>
      <c r="M349" s="31">
        <f t="shared" si="9"/>
        <v>428.3525305</v>
      </c>
      <c r="N349" s="27">
        <f t="shared" si="10"/>
        <v>6.501407501</v>
      </c>
      <c r="O349" s="24"/>
      <c r="P349" s="24"/>
      <c r="Q349" s="24"/>
      <c r="R349" s="26"/>
      <c r="S349" s="14">
        <f t="shared" si="13"/>
        <v>5.970217366</v>
      </c>
      <c r="U349" s="21"/>
      <c r="V349" s="21"/>
    </row>
    <row r="350">
      <c r="A350" s="11">
        <v>338.0</v>
      </c>
      <c r="B350" s="11">
        <v>1.4208652173913E9</v>
      </c>
      <c r="C350" s="2">
        <v>-102.51931</v>
      </c>
      <c r="D350" s="24">
        <f t="shared" si="1"/>
        <v>465217.3913</v>
      </c>
      <c r="E350" s="25">
        <f t="shared" si="2"/>
        <v>-99.17598227</v>
      </c>
      <c r="F350" s="24">
        <f t="shared" si="16"/>
        <v>0.000213182018</v>
      </c>
      <c r="G350" s="24">
        <f t="shared" si="4"/>
        <v>0</v>
      </c>
      <c r="H350" s="26">
        <f t="shared" si="5"/>
        <v>0</v>
      </c>
      <c r="I350" s="24">
        <f t="shared" si="6"/>
        <v>0</v>
      </c>
      <c r="J350" s="24">
        <f t="shared" si="7"/>
        <v>0</v>
      </c>
      <c r="K350" s="24"/>
      <c r="L350" s="24">
        <f t="shared" si="8"/>
        <v>425.7701077</v>
      </c>
      <c r="M350" s="31">
        <f t="shared" si="9"/>
        <v>428.2375371</v>
      </c>
      <c r="N350" s="27">
        <f t="shared" si="10"/>
        <v>-2.467429399</v>
      </c>
      <c r="O350" s="24"/>
      <c r="P350" s="24"/>
      <c r="Q350" s="24"/>
      <c r="R350" s="26"/>
      <c r="S350" s="14">
        <f t="shared" si="13"/>
        <v>-2.26583087</v>
      </c>
      <c r="U350" s="21"/>
      <c r="V350" s="21"/>
    </row>
    <row r="351">
      <c r="A351" s="11">
        <v>339.0</v>
      </c>
      <c r="B351" s="11">
        <v>1.42086956521739E9</v>
      </c>
      <c r="C351" s="2">
        <v>-102.461853</v>
      </c>
      <c r="D351" s="24">
        <f t="shared" si="1"/>
        <v>469565.2174</v>
      </c>
      <c r="E351" s="25">
        <f t="shared" si="2"/>
        <v>-100.0942784</v>
      </c>
      <c r="F351" s="24">
        <f t="shared" si="16"/>
        <v>0.000213163741</v>
      </c>
      <c r="G351" s="24">
        <f t="shared" si="4"/>
        <v>0</v>
      </c>
      <c r="H351" s="26">
        <f t="shared" si="5"/>
        <v>0</v>
      </c>
      <c r="I351" s="24">
        <f t="shared" si="6"/>
        <v>0</v>
      </c>
      <c r="J351" s="24">
        <f t="shared" si="7"/>
        <v>0</v>
      </c>
      <c r="K351" s="24"/>
      <c r="L351" s="24">
        <f t="shared" si="8"/>
        <v>431.4404571</v>
      </c>
      <c r="M351" s="31">
        <f t="shared" si="9"/>
        <v>428.1223439</v>
      </c>
      <c r="N351" s="27">
        <f t="shared" si="10"/>
        <v>3.318113163</v>
      </c>
      <c r="O351" s="24"/>
      <c r="P351" s="24"/>
      <c r="Q351" s="24"/>
      <c r="R351" s="26"/>
      <c r="S351" s="14">
        <f t="shared" si="13"/>
        <v>3.047010486</v>
      </c>
      <c r="U351" s="21"/>
      <c r="V351" s="21"/>
    </row>
    <row r="352">
      <c r="A352" s="11">
        <v>340.0</v>
      </c>
      <c r="B352" s="11">
        <v>1.42087391304347E9</v>
      </c>
      <c r="C352" s="2">
        <v>-102.5104752</v>
      </c>
      <c r="D352" s="24">
        <f t="shared" si="1"/>
        <v>473913.0435</v>
      </c>
      <c r="E352" s="25">
        <f t="shared" si="2"/>
        <v>-101.0125745</v>
      </c>
      <c r="F352" s="24">
        <f t="shared" si="16"/>
        <v>0.0002131457995</v>
      </c>
      <c r="G352" s="24">
        <f t="shared" si="4"/>
        <v>0</v>
      </c>
      <c r="H352" s="26">
        <f t="shared" si="5"/>
        <v>0</v>
      </c>
      <c r="I352" s="24">
        <f t="shared" si="6"/>
        <v>0</v>
      </c>
      <c r="J352" s="24">
        <f t="shared" si="7"/>
        <v>0</v>
      </c>
      <c r="K352" s="24"/>
      <c r="L352" s="24">
        <f t="shared" si="8"/>
        <v>426.6371282</v>
      </c>
      <c r="M352" s="31">
        <f t="shared" si="9"/>
        <v>428.0069502</v>
      </c>
      <c r="N352" s="27">
        <f t="shared" si="10"/>
        <v>-1.369821981</v>
      </c>
      <c r="O352" s="24"/>
      <c r="P352" s="24"/>
      <c r="Q352" s="24"/>
      <c r="R352" s="26"/>
      <c r="S352" s="14">
        <f t="shared" si="13"/>
        <v>-1.257902228</v>
      </c>
      <c r="U352" s="21"/>
      <c r="V352" s="21"/>
    </row>
    <row r="353">
      <c r="A353" s="11">
        <v>341.0</v>
      </c>
      <c r="B353" s="11">
        <v>1.42087826086956E9</v>
      </c>
      <c r="C353" s="2">
        <v>-102.4432068</v>
      </c>
      <c r="D353" s="24">
        <f t="shared" si="1"/>
        <v>478260.8696</v>
      </c>
      <c r="E353" s="25">
        <f t="shared" si="2"/>
        <v>-101.9308707</v>
      </c>
      <c r="F353" s="24">
        <f t="shared" si="16"/>
        <v>0.0002131281841</v>
      </c>
      <c r="G353" s="24">
        <f t="shared" si="4"/>
        <v>0</v>
      </c>
      <c r="H353" s="26">
        <f t="shared" si="5"/>
        <v>0</v>
      </c>
      <c r="I353" s="24">
        <f t="shared" si="6"/>
        <v>0</v>
      </c>
      <c r="J353" s="24">
        <f t="shared" si="7"/>
        <v>0</v>
      </c>
      <c r="K353" s="24"/>
      <c r="L353" s="24">
        <f t="shared" si="8"/>
        <v>433.2968057</v>
      </c>
      <c r="M353" s="31">
        <f t="shared" si="9"/>
        <v>427.8913552</v>
      </c>
      <c r="N353" s="27">
        <f t="shared" si="10"/>
        <v>5.405450473</v>
      </c>
      <c r="O353" s="24"/>
      <c r="P353" s="24"/>
      <c r="Q353" s="24"/>
      <c r="R353" s="26"/>
      <c r="S353" s="14">
        <f t="shared" si="13"/>
        <v>4.963804253</v>
      </c>
      <c r="U353" s="21"/>
      <c r="V353" s="21"/>
    </row>
    <row r="354">
      <c r="A354" s="11">
        <v>342.0</v>
      </c>
      <c r="B354" s="11">
        <v>1.42088260869565E9</v>
      </c>
      <c r="C354" s="2">
        <v>-102.504364</v>
      </c>
      <c r="D354" s="24">
        <f t="shared" si="1"/>
        <v>482608.6957</v>
      </c>
      <c r="E354" s="25">
        <f t="shared" si="2"/>
        <v>-102.8491668</v>
      </c>
      <c r="F354" s="24">
        <f t="shared" si="16"/>
        <v>0.0002131108862</v>
      </c>
      <c r="G354" s="24">
        <f t="shared" si="4"/>
        <v>0</v>
      </c>
      <c r="H354" s="26">
        <f t="shared" si="5"/>
        <v>0</v>
      </c>
      <c r="I354" s="24">
        <f t="shared" si="6"/>
        <v>0</v>
      </c>
      <c r="J354" s="24">
        <f t="shared" si="7"/>
        <v>0</v>
      </c>
      <c r="K354" s="24"/>
      <c r="L354" s="24">
        <f t="shared" si="8"/>
        <v>427.2378957</v>
      </c>
      <c r="M354" s="31">
        <f t="shared" si="9"/>
        <v>427.7755581</v>
      </c>
      <c r="N354" s="27">
        <f t="shared" si="10"/>
        <v>-0.5376623788</v>
      </c>
      <c r="O354" s="24"/>
      <c r="P354" s="24"/>
      <c r="Q354" s="24"/>
      <c r="R354" s="26"/>
      <c r="S354" s="14">
        <f t="shared" si="13"/>
        <v>-0.4937332832</v>
      </c>
      <c r="U354" s="21"/>
      <c r="V354" s="21"/>
    </row>
    <row r="355">
      <c r="A355" s="11">
        <v>343.0</v>
      </c>
      <c r="B355" s="11">
        <v>1.42088695652173E9</v>
      </c>
      <c r="C355" s="2">
        <v>-102.5134277</v>
      </c>
      <c r="D355" s="24">
        <f t="shared" si="1"/>
        <v>486956.5217</v>
      </c>
      <c r="E355" s="25">
        <f t="shared" si="2"/>
        <v>-103.7674629</v>
      </c>
      <c r="F355" s="24">
        <f t="shared" si="16"/>
        <v>0.0002130938971</v>
      </c>
      <c r="G355" s="24">
        <f t="shared" si="4"/>
        <v>0</v>
      </c>
      <c r="H355" s="26">
        <f t="shared" si="5"/>
        <v>0</v>
      </c>
      <c r="I355" s="24">
        <f t="shared" si="6"/>
        <v>0</v>
      </c>
      <c r="J355" s="24">
        <f t="shared" si="7"/>
        <v>0</v>
      </c>
      <c r="K355" s="24"/>
      <c r="L355" s="24">
        <f t="shared" si="8"/>
        <v>426.3471826</v>
      </c>
      <c r="M355" s="31">
        <f t="shared" si="9"/>
        <v>427.6595581</v>
      </c>
      <c r="N355" s="27">
        <f t="shared" si="10"/>
        <v>-1.312375559</v>
      </c>
      <c r="O355" s="24"/>
      <c r="P355" s="24"/>
      <c r="Q355" s="24"/>
      <c r="R355" s="26"/>
      <c r="S355" s="14">
        <f t="shared" si="13"/>
        <v>-1.2051494</v>
      </c>
      <c r="U355" s="21"/>
      <c r="V355" s="21"/>
    </row>
    <row r="356">
      <c r="A356" s="11">
        <v>344.0</v>
      </c>
      <c r="B356" s="11">
        <v>1.42089130434782E9</v>
      </c>
      <c r="C356" s="2">
        <v>-102.4691544</v>
      </c>
      <c r="D356" s="24">
        <f t="shared" si="1"/>
        <v>491304.3478</v>
      </c>
      <c r="E356" s="25">
        <f t="shared" si="2"/>
        <v>-104.6857591</v>
      </c>
      <c r="F356" s="24">
        <f t="shared" si="16"/>
        <v>0.0002130772087</v>
      </c>
      <c r="G356" s="24">
        <f t="shared" si="4"/>
        <v>0</v>
      </c>
      <c r="H356" s="26">
        <f t="shared" si="5"/>
        <v>0</v>
      </c>
      <c r="I356" s="24">
        <f t="shared" si="6"/>
        <v>0</v>
      </c>
      <c r="J356" s="24">
        <f t="shared" si="7"/>
        <v>0</v>
      </c>
      <c r="K356" s="24"/>
      <c r="L356" s="24">
        <f t="shared" si="8"/>
        <v>430.7157247</v>
      </c>
      <c r="M356" s="31">
        <f t="shared" si="9"/>
        <v>427.5433545</v>
      </c>
      <c r="N356" s="27">
        <f t="shared" si="10"/>
        <v>3.172370206</v>
      </c>
      <c r="O356" s="24"/>
      <c r="P356" s="24"/>
      <c r="Q356" s="24"/>
      <c r="R356" s="26"/>
      <c r="S356" s="14">
        <f t="shared" si="13"/>
        <v>2.913175292</v>
      </c>
      <c r="U356" s="21"/>
      <c r="V356" s="21"/>
    </row>
    <row r="357">
      <c r="A357" s="11">
        <v>345.0</v>
      </c>
      <c r="B357" s="11">
        <v>1.42089565217391E9</v>
      </c>
      <c r="C357" s="2">
        <v>-102.508049</v>
      </c>
      <c r="D357" s="24">
        <f t="shared" si="1"/>
        <v>495652.1739</v>
      </c>
      <c r="E357" s="25">
        <f t="shared" si="2"/>
        <v>-105.6040552</v>
      </c>
      <c r="F357" s="24">
        <f t="shared" si="16"/>
        <v>0.0002130608131</v>
      </c>
      <c r="G357" s="24">
        <f t="shared" si="4"/>
        <v>0</v>
      </c>
      <c r="H357" s="26">
        <f t="shared" si="5"/>
        <v>0</v>
      </c>
      <c r="I357" s="24">
        <f t="shared" si="6"/>
        <v>0</v>
      </c>
      <c r="J357" s="24">
        <f t="shared" si="7"/>
        <v>0</v>
      </c>
      <c r="K357" s="24"/>
      <c r="L357" s="24">
        <f t="shared" si="8"/>
        <v>426.875537</v>
      </c>
      <c r="M357" s="31">
        <f t="shared" si="9"/>
        <v>427.4269463</v>
      </c>
      <c r="N357" s="27">
        <f t="shared" si="10"/>
        <v>-0.5514093265</v>
      </c>
      <c r="O357" s="24"/>
      <c r="P357" s="24"/>
      <c r="Q357" s="24"/>
      <c r="R357" s="26"/>
      <c r="S357" s="14">
        <f t="shared" si="13"/>
        <v>-0.506357051</v>
      </c>
      <c r="U357" s="21"/>
      <c r="V357" s="21"/>
    </row>
    <row r="358">
      <c r="A358" s="11">
        <v>346.0</v>
      </c>
      <c r="B358" s="11">
        <v>1.4209E9</v>
      </c>
      <c r="C358" s="2">
        <v>-102.4742355</v>
      </c>
      <c r="D358" s="24">
        <f t="shared" si="1"/>
        <v>500000</v>
      </c>
      <c r="E358" s="25">
        <f t="shared" si="2"/>
        <v>-106.5223513</v>
      </c>
      <c r="F358" s="24">
        <f t="shared" si="16"/>
        <v>0.0002130447027</v>
      </c>
      <c r="G358" s="24">
        <f t="shared" si="4"/>
        <v>0</v>
      </c>
      <c r="H358" s="26">
        <f t="shared" si="5"/>
        <v>0</v>
      </c>
      <c r="I358" s="24">
        <f t="shared" si="6"/>
        <v>0</v>
      </c>
      <c r="J358" s="24">
        <f t="shared" si="7"/>
        <v>0</v>
      </c>
      <c r="K358" s="24"/>
      <c r="L358" s="24">
        <f t="shared" si="8"/>
        <v>430.2120964</v>
      </c>
      <c r="M358" s="31">
        <f t="shared" si="9"/>
        <v>427.310333</v>
      </c>
      <c r="N358" s="27">
        <f t="shared" si="10"/>
        <v>2.901763393</v>
      </c>
      <c r="O358" s="24"/>
      <c r="P358" s="24"/>
      <c r="Q358" s="24"/>
      <c r="R358" s="26"/>
      <c r="S358" s="14">
        <f t="shared" si="13"/>
        <v>2.664678102</v>
      </c>
      <c r="U358" s="21"/>
      <c r="V358" s="21"/>
    </row>
    <row r="359">
      <c r="A359" s="11">
        <v>347.0</v>
      </c>
      <c r="B359" s="11">
        <v>1.42090434782608E9</v>
      </c>
      <c r="C359" s="2">
        <v>-102.4768906</v>
      </c>
      <c r="D359" s="24">
        <f t="shared" si="1"/>
        <v>504347.8261</v>
      </c>
      <c r="E359" s="25">
        <f t="shared" si="2"/>
        <v>-107.4406475</v>
      </c>
      <c r="F359" s="24">
        <f t="shared" si="16"/>
        <v>0.00021302887</v>
      </c>
      <c r="G359" s="24">
        <f t="shared" si="4"/>
        <v>0</v>
      </c>
      <c r="H359" s="26">
        <f t="shared" si="5"/>
        <v>0</v>
      </c>
      <c r="I359" s="24">
        <f t="shared" si="6"/>
        <v>0</v>
      </c>
      <c r="J359" s="24">
        <f t="shared" si="7"/>
        <v>0</v>
      </c>
      <c r="K359" s="24"/>
      <c r="L359" s="24">
        <f t="shared" si="8"/>
        <v>429.9491626</v>
      </c>
      <c r="M359" s="31">
        <f t="shared" si="9"/>
        <v>427.1935136</v>
      </c>
      <c r="N359" s="27">
        <f t="shared" si="10"/>
        <v>2.755648983</v>
      </c>
      <c r="O359" s="24"/>
      <c r="P359" s="24"/>
      <c r="Q359" s="24"/>
      <c r="R359" s="26"/>
      <c r="S359" s="14">
        <f t="shared" si="13"/>
        <v>2.530501805</v>
      </c>
      <c r="U359" s="21"/>
      <c r="V359" s="21"/>
    </row>
    <row r="360">
      <c r="A360" s="11">
        <v>348.0</v>
      </c>
      <c r="B360" s="11">
        <v>1.42090869565217E9</v>
      </c>
      <c r="C360" s="2">
        <v>-102.4623795</v>
      </c>
      <c r="D360" s="24">
        <f t="shared" si="1"/>
        <v>508695.6522</v>
      </c>
      <c r="E360" s="25">
        <f t="shared" si="2"/>
        <v>-108.3589436</v>
      </c>
      <c r="F360" s="24">
        <f t="shared" si="16"/>
        <v>0.0002130133079</v>
      </c>
      <c r="G360" s="24">
        <f t="shared" si="4"/>
        <v>0</v>
      </c>
      <c r="H360" s="26">
        <f t="shared" si="5"/>
        <v>0</v>
      </c>
      <c r="I360" s="24">
        <f t="shared" si="6"/>
        <v>0</v>
      </c>
      <c r="J360" s="24">
        <f t="shared" si="7"/>
        <v>0</v>
      </c>
      <c r="K360" s="24"/>
      <c r="L360" s="24">
        <f t="shared" si="8"/>
        <v>431.3881562</v>
      </c>
      <c r="M360" s="31">
        <f t="shared" si="9"/>
        <v>427.0764873</v>
      </c>
      <c r="N360" s="27">
        <f t="shared" si="10"/>
        <v>4.311668896</v>
      </c>
      <c r="O360" s="24"/>
      <c r="P360" s="24"/>
      <c r="Q360" s="24"/>
      <c r="R360" s="26"/>
      <c r="S360" s="14">
        <f t="shared" si="13"/>
        <v>3.959388864</v>
      </c>
      <c r="U360" s="21"/>
      <c r="V360" s="21"/>
    </row>
    <row r="361">
      <c r="A361" s="11">
        <v>349.0</v>
      </c>
      <c r="B361" s="11">
        <v>1.42091304347826E9</v>
      </c>
      <c r="C361" s="2">
        <v>-102.5726318</v>
      </c>
      <c r="D361" s="24">
        <f t="shared" si="1"/>
        <v>513043.4783</v>
      </c>
      <c r="E361" s="25">
        <f t="shared" si="2"/>
        <v>-109.2772397</v>
      </c>
      <c r="F361" s="24">
        <f t="shared" si="16"/>
        <v>0.0002129980096</v>
      </c>
      <c r="G361" s="24">
        <f t="shared" si="4"/>
        <v>0</v>
      </c>
      <c r="H361" s="26">
        <f t="shared" si="5"/>
        <v>0</v>
      </c>
      <c r="I361" s="24">
        <f t="shared" si="6"/>
        <v>0</v>
      </c>
      <c r="J361" s="24">
        <f t="shared" si="7"/>
        <v>0</v>
      </c>
      <c r="K361" s="24"/>
      <c r="L361" s="24">
        <f t="shared" si="8"/>
        <v>420.5745485</v>
      </c>
      <c r="M361" s="31">
        <f t="shared" si="9"/>
        <v>426.9592535</v>
      </c>
      <c r="N361" s="27">
        <f t="shared" si="10"/>
        <v>-6.384704999</v>
      </c>
      <c r="O361" s="24"/>
      <c r="P361" s="24"/>
      <c r="Q361" s="24"/>
      <c r="R361" s="26"/>
      <c r="S361" s="14">
        <f t="shared" si="13"/>
        <v>-5.86304991</v>
      </c>
      <c r="U361" s="21"/>
      <c r="V361" s="21"/>
    </row>
    <row r="362">
      <c r="A362" s="11">
        <v>350.0</v>
      </c>
      <c r="B362" s="11">
        <v>1.42091739130434E9</v>
      </c>
      <c r="C362" s="2">
        <v>-102.5179901</v>
      </c>
      <c r="D362" s="24">
        <f t="shared" si="1"/>
        <v>517391.3043</v>
      </c>
      <c r="E362" s="25">
        <f t="shared" si="2"/>
        <v>-110.1955359</v>
      </c>
      <c r="F362" s="24">
        <f t="shared" si="16"/>
        <v>0.0002129829685</v>
      </c>
      <c r="G362" s="24">
        <f t="shared" si="4"/>
        <v>0</v>
      </c>
      <c r="H362" s="26">
        <f t="shared" si="5"/>
        <v>0</v>
      </c>
      <c r="I362" s="24">
        <f t="shared" si="6"/>
        <v>0</v>
      </c>
      <c r="J362" s="24">
        <f t="shared" si="7"/>
        <v>0</v>
      </c>
      <c r="K362" s="24"/>
      <c r="L362" s="24">
        <f t="shared" si="8"/>
        <v>425.8995266</v>
      </c>
      <c r="M362" s="31">
        <f t="shared" si="9"/>
        <v>426.8418113</v>
      </c>
      <c r="N362" s="27">
        <f t="shared" si="10"/>
        <v>-0.942284636</v>
      </c>
      <c r="O362" s="24"/>
      <c r="P362" s="24"/>
      <c r="Q362" s="24"/>
      <c r="R362" s="26"/>
      <c r="S362" s="14">
        <f t="shared" si="13"/>
        <v>-0.8652963373</v>
      </c>
      <c r="U362" s="21"/>
      <c r="V362" s="21"/>
    </row>
    <row r="363">
      <c r="A363" s="11">
        <v>351.0</v>
      </c>
      <c r="B363" s="11">
        <v>1.42092173913043E9</v>
      </c>
      <c r="C363" s="2">
        <v>-102.5479202</v>
      </c>
      <c r="D363" s="24">
        <f t="shared" si="1"/>
        <v>521739.1304</v>
      </c>
      <c r="E363" s="25">
        <f t="shared" si="2"/>
        <v>-111.113832</v>
      </c>
      <c r="F363" s="24">
        <f t="shared" si="16"/>
        <v>0.000212968178</v>
      </c>
      <c r="G363" s="24">
        <f t="shared" si="4"/>
        <v>0</v>
      </c>
      <c r="H363" s="26">
        <f t="shared" si="5"/>
        <v>0</v>
      </c>
      <c r="I363" s="24">
        <f t="shared" si="6"/>
        <v>0</v>
      </c>
      <c r="J363" s="24">
        <f t="shared" si="7"/>
        <v>0</v>
      </c>
      <c r="K363" s="24"/>
      <c r="L363" s="24">
        <f t="shared" si="8"/>
        <v>422.9744627</v>
      </c>
      <c r="M363" s="31">
        <f t="shared" si="9"/>
        <v>426.7241598</v>
      </c>
      <c r="N363" s="27">
        <f t="shared" si="10"/>
        <v>-3.749697184</v>
      </c>
      <c r="O363" s="24"/>
      <c r="P363" s="24"/>
      <c r="Q363" s="24"/>
      <c r="R363" s="26"/>
      <c r="S363" s="14">
        <f t="shared" si="13"/>
        <v>-3.443332415</v>
      </c>
      <c r="U363" s="21"/>
      <c r="V363" s="21"/>
    </row>
    <row r="364">
      <c r="A364" s="11">
        <v>352.0</v>
      </c>
      <c r="B364" s="11">
        <v>1.42092608695652E9</v>
      </c>
      <c r="C364" s="2">
        <v>-102.5155716</v>
      </c>
      <c r="D364" s="24">
        <f t="shared" si="1"/>
        <v>526086.9565</v>
      </c>
      <c r="E364" s="25">
        <f t="shared" si="2"/>
        <v>-112.0321281</v>
      </c>
      <c r="F364" s="24">
        <f t="shared" si="16"/>
        <v>0.000212953632</v>
      </c>
      <c r="G364" s="24">
        <f t="shared" si="4"/>
        <v>0</v>
      </c>
      <c r="H364" s="26">
        <f t="shared" si="5"/>
        <v>0</v>
      </c>
      <c r="I364" s="24">
        <f t="shared" si="6"/>
        <v>0</v>
      </c>
      <c r="J364" s="24">
        <f t="shared" si="7"/>
        <v>0</v>
      </c>
      <c r="K364" s="24"/>
      <c r="L364" s="24">
        <f t="shared" si="8"/>
        <v>426.1367677</v>
      </c>
      <c r="M364" s="31">
        <f t="shared" si="9"/>
        <v>426.6062985</v>
      </c>
      <c r="N364" s="27">
        <f t="shared" si="10"/>
        <v>-0.4695307516</v>
      </c>
      <c r="O364" s="24"/>
      <c r="P364" s="24"/>
      <c r="Q364" s="24"/>
      <c r="R364" s="26"/>
      <c r="S364" s="14">
        <f t="shared" si="13"/>
        <v>-0.4311682734</v>
      </c>
      <c r="U364" s="21"/>
      <c r="V364" s="21"/>
    </row>
    <row r="365">
      <c r="A365" s="11">
        <v>353.0</v>
      </c>
      <c r="B365" s="11">
        <v>1.4209304347826E9</v>
      </c>
      <c r="C365" s="2">
        <v>-102.4812851</v>
      </c>
      <c r="D365" s="24">
        <f t="shared" si="1"/>
        <v>530434.7826</v>
      </c>
      <c r="E365" s="25">
        <f t="shared" si="2"/>
        <v>-112.9504243</v>
      </c>
      <c r="F365" s="24">
        <f t="shared" si="16"/>
        <v>0.0002129393244</v>
      </c>
      <c r="G365" s="24">
        <f t="shared" si="4"/>
        <v>0</v>
      </c>
      <c r="H365" s="26">
        <f t="shared" si="5"/>
        <v>0</v>
      </c>
      <c r="I365" s="24">
        <f t="shared" si="6"/>
        <v>0</v>
      </c>
      <c r="J365" s="24">
        <f t="shared" si="7"/>
        <v>0</v>
      </c>
      <c r="K365" s="24"/>
      <c r="L365" s="24">
        <f t="shared" si="8"/>
        <v>429.5143295</v>
      </c>
      <c r="M365" s="31">
        <f t="shared" si="9"/>
        <v>426.4882263</v>
      </c>
      <c r="N365" s="27">
        <f t="shared" si="10"/>
        <v>3.026103197</v>
      </c>
      <c r="O365" s="24"/>
      <c r="P365" s="24"/>
      <c r="Q365" s="24"/>
      <c r="R365" s="26"/>
      <c r="S365" s="14">
        <f t="shared" si="13"/>
        <v>2.778858863</v>
      </c>
      <c r="U365" s="21"/>
      <c r="V365" s="21"/>
    </row>
    <row r="366">
      <c r="A366" s="11">
        <v>354.0</v>
      </c>
      <c r="B366" s="11">
        <v>1.42093478260869E9</v>
      </c>
      <c r="C366" s="2">
        <v>-102.6302185</v>
      </c>
      <c r="D366" s="24">
        <f t="shared" si="1"/>
        <v>534782.6087</v>
      </c>
      <c r="E366" s="25">
        <f t="shared" si="2"/>
        <v>-113.8687204</v>
      </c>
      <c r="F366" s="24">
        <f t="shared" si="16"/>
        <v>0.0002129252495</v>
      </c>
      <c r="G366" s="24">
        <f t="shared" si="4"/>
        <v>0</v>
      </c>
      <c r="H366" s="26">
        <f t="shared" si="5"/>
        <v>0</v>
      </c>
      <c r="I366" s="24">
        <f t="shared" si="6"/>
        <v>0</v>
      </c>
      <c r="J366" s="24">
        <f t="shared" si="7"/>
        <v>0</v>
      </c>
      <c r="K366" s="24"/>
      <c r="L366" s="24">
        <f t="shared" si="8"/>
        <v>415.0346129</v>
      </c>
      <c r="M366" s="31">
        <f t="shared" si="9"/>
        <v>426.3699426</v>
      </c>
      <c r="N366" s="27">
        <f t="shared" si="10"/>
        <v>-11.33532966</v>
      </c>
      <c r="O366" s="24"/>
      <c r="P366" s="24"/>
      <c r="Q366" s="24"/>
      <c r="R366" s="26"/>
      <c r="S366" s="14">
        <f t="shared" si="13"/>
        <v>-10.4091894</v>
      </c>
      <c r="U366" s="21"/>
      <c r="V366" s="21"/>
    </row>
    <row r="367">
      <c r="A367" s="11">
        <v>355.0</v>
      </c>
      <c r="B367" s="11">
        <v>1.42093913043478E9</v>
      </c>
      <c r="C367" s="2">
        <v>-102.5385284</v>
      </c>
      <c r="D367" s="24">
        <f t="shared" si="1"/>
        <v>539130.4348</v>
      </c>
      <c r="E367" s="25">
        <f t="shared" si="2"/>
        <v>-114.7870165</v>
      </c>
      <c r="F367" s="24">
        <f t="shared" si="16"/>
        <v>0.0002129114016</v>
      </c>
      <c r="G367" s="24">
        <f t="shared" si="4"/>
        <v>0</v>
      </c>
      <c r="H367" s="26">
        <f t="shared" si="5"/>
        <v>0</v>
      </c>
      <c r="I367" s="24">
        <f t="shared" si="6"/>
        <v>0</v>
      </c>
      <c r="J367" s="24">
        <f t="shared" si="7"/>
        <v>0</v>
      </c>
      <c r="K367" s="24"/>
      <c r="L367" s="24">
        <f t="shared" si="8"/>
        <v>423.8901524</v>
      </c>
      <c r="M367" s="31">
        <f t="shared" si="9"/>
        <v>426.2514466</v>
      </c>
      <c r="N367" s="27">
        <f t="shared" si="10"/>
        <v>-2.36129415</v>
      </c>
      <c r="O367" s="24"/>
      <c r="P367" s="24"/>
      <c r="Q367" s="24"/>
      <c r="R367" s="26"/>
      <c r="S367" s="14">
        <f t="shared" si="13"/>
        <v>-2.168367282</v>
      </c>
      <c r="U367" s="21"/>
      <c r="V367" s="21"/>
    </row>
    <row r="368">
      <c r="A368" s="11">
        <v>356.0</v>
      </c>
      <c r="B368" s="11">
        <v>1.42094347826087E9</v>
      </c>
      <c r="C368" s="2">
        <v>-102.5321198</v>
      </c>
      <c r="D368" s="24">
        <f t="shared" si="1"/>
        <v>543478.2609</v>
      </c>
      <c r="E368" s="25">
        <f t="shared" si="2"/>
        <v>-115.7053126</v>
      </c>
      <c r="F368" s="24">
        <f t="shared" si="16"/>
        <v>0.0002128977753</v>
      </c>
      <c r="G368" s="24">
        <f t="shared" si="4"/>
        <v>0</v>
      </c>
      <c r="H368" s="26">
        <f t="shared" si="5"/>
        <v>0</v>
      </c>
      <c r="I368" s="24">
        <f t="shared" si="6"/>
        <v>0</v>
      </c>
      <c r="J368" s="24">
        <f t="shared" si="7"/>
        <v>0</v>
      </c>
      <c r="K368" s="24"/>
      <c r="L368" s="24">
        <f t="shared" si="8"/>
        <v>424.5161211</v>
      </c>
      <c r="M368" s="31">
        <f t="shared" si="9"/>
        <v>426.1327374</v>
      </c>
      <c r="N368" s="27">
        <f t="shared" si="10"/>
        <v>-1.616616239</v>
      </c>
      <c r="O368" s="24"/>
      <c r="P368" s="24"/>
      <c r="Q368" s="24"/>
      <c r="R368" s="26"/>
      <c r="S368" s="14">
        <f t="shared" si="13"/>
        <v>-1.48453244</v>
      </c>
      <c r="U368" s="21"/>
      <c r="V368" s="21"/>
    </row>
    <row r="369">
      <c r="A369" s="11">
        <v>357.0</v>
      </c>
      <c r="B369" s="11">
        <v>1.42094782608695E9</v>
      </c>
      <c r="C369" s="2">
        <v>-102.5686798</v>
      </c>
      <c r="D369" s="24">
        <f t="shared" si="1"/>
        <v>547826.087</v>
      </c>
      <c r="E369" s="25">
        <f t="shared" si="2"/>
        <v>-116.6236088</v>
      </c>
      <c r="F369" s="24">
        <f t="shared" si="16"/>
        <v>0.0002128843652</v>
      </c>
      <c r="G369" s="24">
        <f t="shared" si="4"/>
        <v>0</v>
      </c>
      <c r="H369" s="26">
        <f t="shared" si="5"/>
        <v>0</v>
      </c>
      <c r="I369" s="24">
        <f t="shared" si="6"/>
        <v>0</v>
      </c>
      <c r="J369" s="24">
        <f t="shared" si="7"/>
        <v>0</v>
      </c>
      <c r="K369" s="24"/>
      <c r="L369" s="24">
        <f t="shared" si="8"/>
        <v>420.9574378</v>
      </c>
      <c r="M369" s="31">
        <f t="shared" si="9"/>
        <v>426.0138143</v>
      </c>
      <c r="N369" s="27">
        <f t="shared" si="10"/>
        <v>-5.056376507</v>
      </c>
      <c r="O369" s="24"/>
      <c r="P369" s="24"/>
      <c r="Q369" s="24"/>
      <c r="R369" s="26"/>
      <c r="S369" s="14">
        <f t="shared" si="13"/>
        <v>-4.643250992</v>
      </c>
      <c r="U369" s="21"/>
      <c r="V369" s="21"/>
    </row>
    <row r="370">
      <c r="A370" s="11">
        <v>358.0</v>
      </c>
      <c r="B370" s="11">
        <v>1.42095217391304E9</v>
      </c>
      <c r="C370" s="2">
        <v>-102.5282288</v>
      </c>
      <c r="D370" s="24">
        <f t="shared" si="1"/>
        <v>552173.913</v>
      </c>
      <c r="E370" s="25">
        <f t="shared" si="2"/>
        <v>-117.5419049</v>
      </c>
      <c r="F370" s="24">
        <f t="shared" si="16"/>
        <v>0.0002128711664</v>
      </c>
      <c r="G370" s="24">
        <f t="shared" si="4"/>
        <v>0</v>
      </c>
      <c r="H370" s="26">
        <f t="shared" si="5"/>
        <v>0</v>
      </c>
      <c r="I370" s="24">
        <f t="shared" si="6"/>
        <v>0</v>
      </c>
      <c r="J370" s="24">
        <f t="shared" si="7"/>
        <v>0</v>
      </c>
      <c r="K370" s="24"/>
      <c r="L370" s="24">
        <f t="shared" si="8"/>
        <v>424.8966308</v>
      </c>
      <c r="M370" s="31">
        <f t="shared" si="9"/>
        <v>425.8946765</v>
      </c>
      <c r="N370" s="27">
        <f t="shared" si="10"/>
        <v>-0.9980457435</v>
      </c>
      <c r="O370" s="24"/>
      <c r="P370" s="24"/>
      <c r="Q370" s="24"/>
      <c r="R370" s="26"/>
      <c r="S370" s="14">
        <f t="shared" si="13"/>
        <v>-0.9165015445</v>
      </c>
      <c r="U370" s="21"/>
      <c r="V370" s="21"/>
    </row>
    <row r="371">
      <c r="A371" s="11">
        <v>359.0</v>
      </c>
      <c r="B371" s="11">
        <v>1.42095652173913E9</v>
      </c>
      <c r="C371" s="2">
        <v>-102.5555954</v>
      </c>
      <c r="D371" s="24">
        <f t="shared" si="1"/>
        <v>556521.7391</v>
      </c>
      <c r="E371" s="25">
        <f t="shared" si="2"/>
        <v>-118.460201</v>
      </c>
      <c r="F371" s="24">
        <f t="shared" si="16"/>
        <v>0.0002128581738</v>
      </c>
      <c r="G371" s="24">
        <f t="shared" si="4"/>
        <v>0</v>
      </c>
      <c r="H371" s="26">
        <f t="shared" si="5"/>
        <v>0</v>
      </c>
      <c r="I371" s="24">
        <f t="shared" si="6"/>
        <v>0</v>
      </c>
      <c r="J371" s="24">
        <f t="shared" si="7"/>
        <v>0</v>
      </c>
      <c r="K371" s="24"/>
      <c r="L371" s="24">
        <f t="shared" si="8"/>
        <v>422.2276085</v>
      </c>
      <c r="M371" s="31">
        <f t="shared" si="9"/>
        <v>425.7753233</v>
      </c>
      <c r="N371" s="27">
        <f t="shared" si="10"/>
        <v>-3.547714825</v>
      </c>
      <c r="O371" s="24"/>
      <c r="P371" s="24"/>
      <c r="Q371" s="24"/>
      <c r="R371" s="26"/>
      <c r="S371" s="14">
        <f t="shared" si="13"/>
        <v>-3.257852804</v>
      </c>
      <c r="U371" s="21"/>
      <c r="V371" s="21"/>
    </row>
    <row r="372">
      <c r="A372" s="11">
        <v>360.0</v>
      </c>
      <c r="B372" s="11">
        <v>1.42096086956521E9</v>
      </c>
      <c r="C372" s="2">
        <v>-102.4557419</v>
      </c>
      <c r="D372" s="24">
        <f t="shared" si="1"/>
        <v>560869.5652</v>
      </c>
      <c r="E372" s="25">
        <f t="shared" si="2"/>
        <v>-119.3784972</v>
      </c>
      <c r="F372" s="24">
        <f t="shared" si="16"/>
        <v>0.0002128453826</v>
      </c>
      <c r="G372" s="24">
        <f t="shared" si="4"/>
        <v>0</v>
      </c>
      <c r="H372" s="26">
        <f t="shared" si="5"/>
        <v>0</v>
      </c>
      <c r="I372" s="24">
        <f t="shared" si="6"/>
        <v>0</v>
      </c>
      <c r="J372" s="24">
        <f t="shared" si="7"/>
        <v>0</v>
      </c>
      <c r="K372" s="24"/>
      <c r="L372" s="24">
        <f t="shared" si="8"/>
        <v>432.0479784</v>
      </c>
      <c r="M372" s="31">
        <f t="shared" si="9"/>
        <v>425.6557537</v>
      </c>
      <c r="N372" s="27">
        <f t="shared" si="10"/>
        <v>6.392224668</v>
      </c>
      <c r="O372" s="24"/>
      <c r="P372" s="24"/>
      <c r="Q372" s="24"/>
      <c r="R372" s="26"/>
      <c r="S372" s="14">
        <f t="shared" si="13"/>
        <v>5.869955193</v>
      </c>
      <c r="U372" s="21"/>
      <c r="V372" s="21"/>
    </row>
    <row r="373">
      <c r="A373" s="11">
        <v>361.0</v>
      </c>
      <c r="B373" s="11">
        <v>1.4209652173913E9</v>
      </c>
      <c r="C373" s="2">
        <v>-102.4713593</v>
      </c>
      <c r="D373" s="24">
        <f t="shared" si="1"/>
        <v>565217.3913</v>
      </c>
      <c r="E373" s="25">
        <f t="shared" si="2"/>
        <v>-120.2967933</v>
      </c>
      <c r="F373" s="24">
        <f t="shared" si="16"/>
        <v>0.0002128327882</v>
      </c>
      <c r="G373" s="24">
        <f t="shared" si="4"/>
        <v>0</v>
      </c>
      <c r="H373" s="26">
        <f t="shared" si="5"/>
        <v>0</v>
      </c>
      <c r="I373" s="24">
        <f t="shared" si="6"/>
        <v>0</v>
      </c>
      <c r="J373" s="24">
        <f t="shared" si="7"/>
        <v>0</v>
      </c>
      <c r="K373" s="24"/>
      <c r="L373" s="24">
        <f t="shared" si="8"/>
        <v>430.4971071</v>
      </c>
      <c r="M373" s="31">
        <f t="shared" si="9"/>
        <v>425.5359672</v>
      </c>
      <c r="N373" s="27">
        <f t="shared" si="10"/>
        <v>4.961139945</v>
      </c>
      <c r="O373" s="24"/>
      <c r="P373" s="24"/>
      <c r="Q373" s="24"/>
      <c r="R373" s="26"/>
      <c r="S373" s="14">
        <f t="shared" si="13"/>
        <v>4.555795615</v>
      </c>
      <c r="U373" s="21"/>
      <c r="V373" s="21"/>
    </row>
    <row r="374">
      <c r="A374" s="11">
        <v>362.0</v>
      </c>
      <c r="B374" s="11">
        <v>1.42096956521739E9</v>
      </c>
      <c r="C374" s="2">
        <v>-102.5768356</v>
      </c>
      <c r="D374" s="24">
        <f t="shared" si="1"/>
        <v>569565.2174</v>
      </c>
      <c r="E374" s="25">
        <f t="shared" si="2"/>
        <v>-121.2150894</v>
      </c>
      <c r="F374" s="24">
        <f t="shared" si="16"/>
        <v>0.000212820386</v>
      </c>
      <c r="G374" s="24">
        <f t="shared" si="4"/>
        <v>0</v>
      </c>
      <c r="H374" s="26">
        <f t="shared" si="5"/>
        <v>0</v>
      </c>
      <c r="I374" s="24">
        <f t="shared" si="6"/>
        <v>0</v>
      </c>
      <c r="J374" s="24">
        <f t="shared" si="7"/>
        <v>0</v>
      </c>
      <c r="K374" s="24"/>
      <c r="L374" s="24">
        <f t="shared" si="8"/>
        <v>420.1676458</v>
      </c>
      <c r="M374" s="31">
        <f t="shared" si="9"/>
        <v>425.4159627</v>
      </c>
      <c r="N374" s="27">
        <f t="shared" si="10"/>
        <v>-5.248316879</v>
      </c>
      <c r="O374" s="24"/>
      <c r="P374" s="24"/>
      <c r="Q374" s="24"/>
      <c r="R374" s="26"/>
      <c r="S374" s="14">
        <f t="shared" si="13"/>
        <v>-4.819509094</v>
      </c>
    </row>
    <row r="375">
      <c r="A375" s="11">
        <v>363.0</v>
      </c>
      <c r="B375" s="11">
        <v>1.42097391304347E9</v>
      </c>
      <c r="C375" s="2">
        <v>-102.458519</v>
      </c>
      <c r="D375" s="24">
        <f t="shared" si="1"/>
        <v>573913.0435</v>
      </c>
      <c r="E375" s="25">
        <f t="shared" si="2"/>
        <v>-122.1333856</v>
      </c>
      <c r="F375" s="24">
        <f t="shared" si="16"/>
        <v>0.0002128081718</v>
      </c>
      <c r="G375" s="24">
        <f t="shared" si="4"/>
        <v>0</v>
      </c>
      <c r="H375" s="26">
        <f t="shared" si="5"/>
        <v>0</v>
      </c>
      <c r="I375" s="24">
        <f t="shared" si="6"/>
        <v>0</v>
      </c>
      <c r="J375" s="24">
        <f t="shared" si="7"/>
        <v>0</v>
      </c>
      <c r="K375" s="24"/>
      <c r="L375" s="24">
        <f t="shared" si="8"/>
        <v>431.7717933</v>
      </c>
      <c r="M375" s="31">
        <f t="shared" si="9"/>
        <v>425.2957396</v>
      </c>
      <c r="N375" s="27">
        <f t="shared" si="10"/>
        <v>6.476053626</v>
      </c>
      <c r="O375" s="24"/>
      <c r="P375" s="24"/>
      <c r="Q375" s="24"/>
      <c r="R375" s="26"/>
      <c r="S375" s="14">
        <f t="shared" si="13"/>
        <v>5.946935001</v>
      </c>
    </row>
    <row r="376">
      <c r="A376" s="11">
        <v>364.0</v>
      </c>
      <c r="B376" s="11">
        <v>1.42097826086956E9</v>
      </c>
      <c r="C376" s="2">
        <v>-102.5325241</v>
      </c>
      <c r="D376" s="24">
        <f t="shared" si="1"/>
        <v>578260.8696</v>
      </c>
      <c r="E376" s="25">
        <f t="shared" si="2"/>
        <v>-123.0516817</v>
      </c>
      <c r="F376" s="24">
        <f t="shared" si="16"/>
        <v>0.0002127961413</v>
      </c>
      <c r="G376" s="24">
        <f t="shared" si="4"/>
        <v>0</v>
      </c>
      <c r="H376" s="26">
        <f t="shared" si="5"/>
        <v>0</v>
      </c>
      <c r="I376" s="24">
        <f t="shared" si="6"/>
        <v>0</v>
      </c>
      <c r="J376" s="24">
        <f t="shared" si="7"/>
        <v>0</v>
      </c>
      <c r="K376" s="24"/>
      <c r="L376" s="24">
        <f t="shared" si="8"/>
        <v>424.4766033</v>
      </c>
      <c r="M376" s="31">
        <f t="shared" si="9"/>
        <v>425.1752971</v>
      </c>
      <c r="N376" s="27">
        <f t="shared" si="10"/>
        <v>-0.6986938364</v>
      </c>
      <c r="O376" s="24"/>
      <c r="P376" s="24"/>
      <c r="Q376" s="24"/>
      <c r="R376" s="26"/>
      <c r="S376" s="14">
        <f t="shared" si="13"/>
        <v>-0.6416078465</v>
      </c>
    </row>
    <row r="377">
      <c r="A377" s="11">
        <v>365.0</v>
      </c>
      <c r="B377" s="11">
        <v>1.42098260869565E9</v>
      </c>
      <c r="C377" s="2">
        <v>-102.5484543</v>
      </c>
      <c r="D377" s="24">
        <f t="shared" si="1"/>
        <v>582608.6957</v>
      </c>
      <c r="E377" s="25">
        <f t="shared" si="2"/>
        <v>-123.9699778</v>
      </c>
      <c r="F377" s="24">
        <f t="shared" si="16"/>
        <v>0.0002127842903</v>
      </c>
      <c r="G377" s="24">
        <f t="shared" si="4"/>
        <v>0</v>
      </c>
      <c r="H377" s="26">
        <f t="shared" si="5"/>
        <v>0</v>
      </c>
      <c r="I377" s="24">
        <f t="shared" si="6"/>
        <v>0</v>
      </c>
      <c r="J377" s="24">
        <f t="shared" si="7"/>
        <v>0</v>
      </c>
      <c r="K377" s="24"/>
      <c r="L377" s="24">
        <f t="shared" si="8"/>
        <v>422.922448</v>
      </c>
      <c r="M377" s="31">
        <f t="shared" si="9"/>
        <v>425.0546344</v>
      </c>
      <c r="N377" s="27">
        <f t="shared" si="10"/>
        <v>-2.132186401</v>
      </c>
      <c r="O377" s="24"/>
      <c r="P377" s="24"/>
      <c r="Q377" s="24"/>
      <c r="R377" s="26"/>
      <c r="S377" s="14">
        <f t="shared" si="13"/>
        <v>-1.957978527</v>
      </c>
    </row>
    <row r="378">
      <c r="A378" s="11">
        <v>366.0</v>
      </c>
      <c r="B378" s="11">
        <v>1.42098695652173E9</v>
      </c>
      <c r="C378" s="2">
        <v>-102.5501556</v>
      </c>
      <c r="D378" s="24">
        <f t="shared" si="1"/>
        <v>586956.5217</v>
      </c>
      <c r="E378" s="25">
        <f t="shared" si="2"/>
        <v>-124.888274</v>
      </c>
      <c r="F378" s="24">
        <f t="shared" si="16"/>
        <v>0.0002127726149</v>
      </c>
      <c r="G378" s="24">
        <f t="shared" si="4"/>
        <v>0</v>
      </c>
      <c r="H378" s="26">
        <f t="shared" si="5"/>
        <v>0</v>
      </c>
      <c r="I378" s="24">
        <f t="shared" si="6"/>
        <v>0</v>
      </c>
      <c r="J378" s="24">
        <f t="shared" si="7"/>
        <v>0</v>
      </c>
      <c r="K378" s="24"/>
      <c r="L378" s="24">
        <f t="shared" si="8"/>
        <v>422.7568053</v>
      </c>
      <c r="M378" s="31">
        <f t="shared" si="9"/>
        <v>424.9337507</v>
      </c>
      <c r="N378" s="27">
        <f t="shared" si="10"/>
        <v>-2.176945375</v>
      </c>
      <c r="O378" s="24"/>
      <c r="P378" s="24"/>
      <c r="Q378" s="24"/>
      <c r="R378" s="26"/>
      <c r="S378" s="14">
        <f t="shared" si="13"/>
        <v>-1.999080519</v>
      </c>
    </row>
    <row r="379">
      <c r="A379" s="11">
        <v>367.0</v>
      </c>
      <c r="B379" s="11">
        <v>1.42099130434782E9</v>
      </c>
      <c r="C379" s="2">
        <v>-102.5748367</v>
      </c>
      <c r="D379" s="24">
        <f t="shared" si="1"/>
        <v>591304.3478</v>
      </c>
      <c r="E379" s="25">
        <f t="shared" si="2"/>
        <v>-125.8065701</v>
      </c>
      <c r="F379" s="24">
        <f t="shared" si="16"/>
        <v>0.0002127611112</v>
      </c>
      <c r="G379" s="24">
        <f t="shared" si="4"/>
        <v>0</v>
      </c>
      <c r="H379" s="26">
        <f t="shared" si="5"/>
        <v>0</v>
      </c>
      <c r="I379" s="24">
        <f t="shared" si="6"/>
        <v>0</v>
      </c>
      <c r="J379" s="24">
        <f t="shared" si="7"/>
        <v>0</v>
      </c>
      <c r="K379" s="24"/>
      <c r="L379" s="24">
        <f t="shared" si="8"/>
        <v>420.3610783</v>
      </c>
      <c r="M379" s="31">
        <f t="shared" si="9"/>
        <v>424.8126452</v>
      </c>
      <c r="N379" s="27">
        <f t="shared" si="10"/>
        <v>-4.451566929</v>
      </c>
      <c r="O379" s="24"/>
      <c r="P379" s="24"/>
      <c r="Q379" s="24"/>
      <c r="R379" s="26"/>
      <c r="S379" s="14">
        <f t="shared" si="13"/>
        <v>-4.087856696</v>
      </c>
    </row>
    <row r="380">
      <c r="A380" s="11">
        <v>368.0</v>
      </c>
      <c r="B380" s="11">
        <v>1.42099565217391E9</v>
      </c>
      <c r="C380" s="2">
        <v>-102.5583344</v>
      </c>
      <c r="D380" s="24">
        <f t="shared" si="1"/>
        <v>595652.1739</v>
      </c>
      <c r="E380" s="25">
        <f t="shared" si="2"/>
        <v>-126.7248662</v>
      </c>
      <c r="F380" s="24">
        <f t="shared" si="16"/>
        <v>0.0002127497754</v>
      </c>
      <c r="G380" s="24">
        <f t="shared" si="4"/>
        <v>0</v>
      </c>
      <c r="H380" s="26">
        <f t="shared" si="5"/>
        <v>0</v>
      </c>
      <c r="I380" s="24">
        <f t="shared" si="6"/>
        <v>0</v>
      </c>
      <c r="J380" s="24">
        <f t="shared" si="7"/>
        <v>0</v>
      </c>
      <c r="K380" s="24"/>
      <c r="L380" s="24">
        <f t="shared" si="8"/>
        <v>421.9614027</v>
      </c>
      <c r="M380" s="31">
        <f t="shared" si="9"/>
        <v>424.6913171</v>
      </c>
      <c r="N380" s="27">
        <f t="shared" si="10"/>
        <v>-2.729914406</v>
      </c>
      <c r="O380" s="24"/>
      <c r="P380" s="24"/>
      <c r="Q380" s="24"/>
      <c r="R380" s="26"/>
      <c r="S380" s="14">
        <f t="shared" si="13"/>
        <v>-2.506869837</v>
      </c>
    </row>
    <row r="381">
      <c r="A381" s="11">
        <v>369.0</v>
      </c>
      <c r="B381" s="11">
        <v>1.421E9</v>
      </c>
      <c r="C381" s="2">
        <v>-102.5597839</v>
      </c>
      <c r="D381" s="24">
        <f t="shared" si="1"/>
        <v>600000</v>
      </c>
      <c r="E381" s="25">
        <f t="shared" si="2"/>
        <v>-127.6431624</v>
      </c>
      <c r="F381" s="24">
        <f t="shared" si="16"/>
        <v>0.0002127386039</v>
      </c>
      <c r="G381" s="24">
        <f t="shared" si="4"/>
        <v>0</v>
      </c>
      <c r="H381" s="26">
        <f t="shared" si="5"/>
        <v>0</v>
      </c>
      <c r="I381" s="24">
        <f t="shared" si="6"/>
        <v>0</v>
      </c>
      <c r="J381" s="24">
        <f t="shared" si="7"/>
        <v>0</v>
      </c>
      <c r="K381" s="24"/>
      <c r="L381" s="24">
        <f t="shared" si="8"/>
        <v>421.8205925</v>
      </c>
      <c r="M381" s="31">
        <f t="shared" si="9"/>
        <v>424.5697657</v>
      </c>
      <c r="N381" s="27">
        <f t="shared" si="10"/>
        <v>-2.749173187</v>
      </c>
      <c r="O381" s="24"/>
      <c r="P381" s="24"/>
      <c r="Q381" s="24"/>
      <c r="R381" s="26"/>
      <c r="S381" s="14">
        <f t="shared" si="13"/>
        <v>-2.524555106</v>
      </c>
    </row>
    <row r="382">
      <c r="A382" s="11">
        <v>370.0</v>
      </c>
      <c r="B382" s="11">
        <v>1.42100434782608E9</v>
      </c>
      <c r="C382" s="2">
        <v>-102.5186081</v>
      </c>
      <c r="D382" s="24">
        <f t="shared" si="1"/>
        <v>604347.8261</v>
      </c>
      <c r="E382" s="25">
        <f t="shared" si="2"/>
        <v>-128.5614585</v>
      </c>
      <c r="F382" s="24">
        <f t="shared" si="16"/>
        <v>0.0002127275932</v>
      </c>
      <c r="G382" s="24">
        <f t="shared" si="4"/>
        <v>0</v>
      </c>
      <c r="H382" s="26">
        <f t="shared" si="5"/>
        <v>0</v>
      </c>
      <c r="I382" s="24">
        <f t="shared" si="6"/>
        <v>0</v>
      </c>
      <c r="J382" s="24">
        <f t="shared" si="7"/>
        <v>0</v>
      </c>
      <c r="K382" s="24"/>
      <c r="L382" s="24">
        <f t="shared" si="8"/>
        <v>425.8389255</v>
      </c>
      <c r="M382" s="31">
        <f t="shared" si="9"/>
        <v>424.4479901</v>
      </c>
      <c r="N382" s="27">
        <f t="shared" si="10"/>
        <v>1.390935438</v>
      </c>
      <c r="O382" s="24"/>
      <c r="P382" s="24"/>
      <c r="Q382" s="24"/>
      <c r="R382" s="26"/>
      <c r="S382" s="14">
        <f t="shared" si="13"/>
        <v>1.277290634</v>
      </c>
    </row>
    <row r="383">
      <c r="A383" s="11">
        <v>371.0</v>
      </c>
      <c r="B383" s="11">
        <v>1.42100869565217E9</v>
      </c>
      <c r="C383" s="2">
        <v>-102.5588837</v>
      </c>
      <c r="D383" s="24">
        <f t="shared" si="1"/>
        <v>608695.6522</v>
      </c>
      <c r="E383" s="25">
        <f t="shared" si="2"/>
        <v>-129.4797546</v>
      </c>
      <c r="F383" s="24">
        <f t="shared" si="16"/>
        <v>0.0002127167398</v>
      </c>
      <c r="G383" s="24">
        <f t="shared" si="4"/>
        <v>0</v>
      </c>
      <c r="H383" s="26">
        <f t="shared" si="5"/>
        <v>0</v>
      </c>
      <c r="I383" s="24">
        <f t="shared" si="6"/>
        <v>0</v>
      </c>
      <c r="J383" s="24">
        <f t="shared" si="7"/>
        <v>0</v>
      </c>
      <c r="K383" s="24"/>
      <c r="L383" s="24">
        <f t="shared" si="8"/>
        <v>421.908036</v>
      </c>
      <c r="M383" s="31">
        <f t="shared" si="9"/>
        <v>424.3259896</v>
      </c>
      <c r="N383" s="27">
        <f t="shared" si="10"/>
        <v>-2.417953593</v>
      </c>
      <c r="O383" s="24"/>
      <c r="P383" s="24"/>
      <c r="Q383" s="24"/>
      <c r="R383" s="26"/>
      <c r="S383" s="14">
        <f t="shared" si="13"/>
        <v>-2.220397429</v>
      </c>
    </row>
    <row r="384">
      <c r="A384" s="11">
        <v>372.0</v>
      </c>
      <c r="B384" s="11">
        <v>1.42101304347826E9</v>
      </c>
      <c r="C384" s="2">
        <v>-102.5967178</v>
      </c>
      <c r="D384" s="24">
        <f t="shared" si="1"/>
        <v>613043.4783</v>
      </c>
      <c r="E384" s="25">
        <f t="shared" si="2"/>
        <v>-130.3980508</v>
      </c>
      <c r="F384" s="24">
        <f t="shared" si="16"/>
        <v>0.0002127060402</v>
      </c>
      <c r="G384" s="24">
        <f t="shared" si="4"/>
        <v>0</v>
      </c>
      <c r="H384" s="26">
        <f t="shared" si="5"/>
        <v>0</v>
      </c>
      <c r="I384" s="24">
        <f t="shared" si="6"/>
        <v>0</v>
      </c>
      <c r="J384" s="24">
        <f t="shared" si="7"/>
        <v>0</v>
      </c>
      <c r="K384" s="24"/>
      <c r="L384" s="24">
        <f t="shared" si="8"/>
        <v>418.2484955</v>
      </c>
      <c r="M384" s="31">
        <f t="shared" si="9"/>
        <v>424.2037633</v>
      </c>
      <c r="N384" s="27">
        <f t="shared" si="10"/>
        <v>-5.955267883</v>
      </c>
      <c r="O384" s="24"/>
      <c r="P384" s="24"/>
      <c r="Q384" s="24"/>
      <c r="R384" s="26"/>
      <c r="S384" s="14">
        <f t="shared" si="13"/>
        <v>-5.468699467</v>
      </c>
    </row>
    <row r="385">
      <c r="A385" s="11">
        <v>373.0</v>
      </c>
      <c r="B385" s="11">
        <v>1.42101739130434E9</v>
      </c>
      <c r="C385" s="2">
        <v>-102.5636292</v>
      </c>
      <c r="D385" s="24">
        <f t="shared" si="1"/>
        <v>617391.3043</v>
      </c>
      <c r="E385" s="25">
        <f t="shared" si="2"/>
        <v>-131.3163469</v>
      </c>
      <c r="F385" s="24">
        <f t="shared" si="16"/>
        <v>0.0002126954915</v>
      </c>
      <c r="G385" s="24">
        <f t="shared" si="4"/>
        <v>0</v>
      </c>
      <c r="H385" s="26">
        <f t="shared" si="5"/>
        <v>0</v>
      </c>
      <c r="I385" s="24">
        <f t="shared" si="6"/>
        <v>0</v>
      </c>
      <c r="J385" s="24">
        <f t="shared" si="7"/>
        <v>0</v>
      </c>
      <c r="K385" s="24"/>
      <c r="L385" s="24">
        <f t="shared" si="8"/>
        <v>421.4472723</v>
      </c>
      <c r="M385" s="31">
        <f t="shared" si="9"/>
        <v>424.0813106</v>
      </c>
      <c r="N385" s="27">
        <f t="shared" si="10"/>
        <v>-2.634038245</v>
      </c>
      <c r="O385" s="24"/>
      <c r="P385" s="24"/>
      <c r="Q385" s="24"/>
      <c r="R385" s="26"/>
      <c r="S385" s="14">
        <f t="shared" si="13"/>
        <v>-2.418827134</v>
      </c>
    </row>
    <row r="386">
      <c r="A386" s="11">
        <v>374.0</v>
      </c>
      <c r="B386" s="11">
        <v>1.42102173913043E9</v>
      </c>
      <c r="C386" s="2">
        <v>-102.5500946</v>
      </c>
      <c r="D386" s="24">
        <f t="shared" si="1"/>
        <v>621739.1304</v>
      </c>
      <c r="E386" s="25">
        <f t="shared" si="2"/>
        <v>-132.234643</v>
      </c>
      <c r="F386" s="24">
        <f t="shared" si="16"/>
        <v>0.0002126850902</v>
      </c>
      <c r="G386" s="24">
        <f t="shared" si="4"/>
        <v>0</v>
      </c>
      <c r="H386" s="26">
        <f t="shared" si="5"/>
        <v>0</v>
      </c>
      <c r="I386" s="24">
        <f t="shared" si="6"/>
        <v>0</v>
      </c>
      <c r="J386" s="24">
        <f t="shared" si="7"/>
        <v>0</v>
      </c>
      <c r="K386" s="24"/>
      <c r="L386" s="24">
        <f t="shared" si="8"/>
        <v>422.7627433</v>
      </c>
      <c r="M386" s="31">
        <f t="shared" si="9"/>
        <v>423.9586305</v>
      </c>
      <c r="N386" s="27">
        <f t="shared" si="10"/>
        <v>-1.195887224</v>
      </c>
      <c r="O386" s="24"/>
      <c r="P386" s="24"/>
      <c r="Q386" s="24"/>
      <c r="R386" s="26"/>
      <c r="S386" s="14">
        <f t="shared" si="13"/>
        <v>-1.098178611</v>
      </c>
    </row>
    <row r="387">
      <c r="A387" s="11">
        <v>375.0</v>
      </c>
      <c r="B387" s="11">
        <v>1.42102608695652E9</v>
      </c>
      <c r="C387" s="2">
        <v>-102.5018616</v>
      </c>
      <c r="D387" s="24">
        <f t="shared" si="1"/>
        <v>626086.9565</v>
      </c>
      <c r="E387" s="25">
        <f t="shared" si="2"/>
        <v>-133.1529392</v>
      </c>
      <c r="F387" s="24">
        <f t="shared" si="16"/>
        <v>0.0002126748334</v>
      </c>
      <c r="G387" s="24">
        <f t="shared" si="4"/>
        <v>0</v>
      </c>
      <c r="H387" s="26">
        <f t="shared" si="5"/>
        <v>0</v>
      </c>
      <c r="I387" s="24">
        <f t="shared" si="6"/>
        <v>0</v>
      </c>
      <c r="J387" s="24">
        <f t="shared" si="7"/>
        <v>0</v>
      </c>
      <c r="K387" s="24"/>
      <c r="L387" s="24">
        <f t="shared" si="8"/>
        <v>427.4841407</v>
      </c>
      <c r="M387" s="31">
        <f t="shared" si="9"/>
        <v>423.8357224</v>
      </c>
      <c r="N387" s="27">
        <f t="shared" si="10"/>
        <v>3.648418279</v>
      </c>
      <c r="O387" s="24"/>
      <c r="P387" s="24"/>
      <c r="Q387" s="24"/>
      <c r="R387" s="26"/>
      <c r="S387" s="14">
        <f t="shared" si="13"/>
        <v>3.350328397</v>
      </c>
    </row>
    <row r="388">
      <c r="A388" s="11">
        <v>376.0</v>
      </c>
      <c r="B388" s="11">
        <v>1.4210304347826E9</v>
      </c>
      <c r="C388" s="2">
        <v>-102.5838623</v>
      </c>
      <c r="D388" s="24">
        <f t="shared" si="1"/>
        <v>630434.7826</v>
      </c>
      <c r="E388" s="25">
        <f t="shared" si="2"/>
        <v>-134.0712353</v>
      </c>
      <c r="F388" s="24">
        <f t="shared" si="16"/>
        <v>0.0002126647181</v>
      </c>
      <c r="G388" s="24">
        <f t="shared" si="4"/>
        <v>0</v>
      </c>
      <c r="H388" s="26">
        <f t="shared" si="5"/>
        <v>0</v>
      </c>
      <c r="I388" s="24">
        <f t="shared" si="6"/>
        <v>0</v>
      </c>
      <c r="J388" s="24">
        <f t="shared" si="7"/>
        <v>0</v>
      </c>
      <c r="K388" s="24"/>
      <c r="L388" s="24">
        <f t="shared" si="8"/>
        <v>419.4883821</v>
      </c>
      <c r="M388" s="31">
        <f t="shared" si="9"/>
        <v>423.7125854</v>
      </c>
      <c r="N388" s="27">
        <f t="shared" si="10"/>
        <v>-4.224203271</v>
      </c>
      <c r="O388" s="24"/>
      <c r="P388" s="24"/>
      <c r="Q388" s="24"/>
      <c r="R388" s="26"/>
      <c r="S388" s="14">
        <f t="shared" si="13"/>
        <v>-3.879069528</v>
      </c>
    </row>
    <row r="389">
      <c r="A389" s="11">
        <v>377.0</v>
      </c>
      <c r="B389" s="11">
        <v>1.42103478260869E9</v>
      </c>
      <c r="C389" s="2">
        <v>-102.5332718</v>
      </c>
      <c r="D389" s="24">
        <f t="shared" si="1"/>
        <v>634782.6087</v>
      </c>
      <c r="E389" s="25">
        <f t="shared" si="2"/>
        <v>-134.9895314</v>
      </c>
      <c r="F389" s="24">
        <f t="shared" si="16"/>
        <v>0.0002126547413</v>
      </c>
      <c r="G389" s="24">
        <f t="shared" si="4"/>
        <v>0</v>
      </c>
      <c r="H389" s="26">
        <f t="shared" si="5"/>
        <v>0</v>
      </c>
      <c r="I389" s="24">
        <f t="shared" si="6"/>
        <v>0</v>
      </c>
      <c r="J389" s="24">
        <f t="shared" si="7"/>
        <v>0</v>
      </c>
      <c r="K389" s="24"/>
      <c r="L389" s="24">
        <f t="shared" si="8"/>
        <v>424.4035299</v>
      </c>
      <c r="M389" s="31">
        <f t="shared" si="9"/>
        <v>423.5892187</v>
      </c>
      <c r="N389" s="27">
        <f t="shared" si="10"/>
        <v>0.8143111663</v>
      </c>
      <c r="O389" s="24"/>
      <c r="P389" s="24"/>
      <c r="Q389" s="24"/>
      <c r="R389" s="26"/>
      <c r="S389" s="14">
        <f t="shared" si="13"/>
        <v>0.7477787949</v>
      </c>
    </row>
    <row r="390">
      <c r="A390" s="11">
        <v>378.0</v>
      </c>
      <c r="B390" s="11">
        <v>1.42103913043478E9</v>
      </c>
      <c r="C390" s="2">
        <v>-102.5735779</v>
      </c>
      <c r="D390" s="24">
        <f t="shared" si="1"/>
        <v>639130.4348</v>
      </c>
      <c r="E390" s="25">
        <f t="shared" si="2"/>
        <v>-135.9078276</v>
      </c>
      <c r="F390" s="24">
        <f t="shared" si="16"/>
        <v>0.0002126449003</v>
      </c>
      <c r="G390" s="24">
        <f t="shared" si="4"/>
        <v>0</v>
      </c>
      <c r="H390" s="26">
        <f t="shared" si="5"/>
        <v>0</v>
      </c>
      <c r="I390" s="24">
        <f t="shared" si="6"/>
        <v>0</v>
      </c>
      <c r="J390" s="24">
        <f t="shared" si="7"/>
        <v>0</v>
      </c>
      <c r="K390" s="24"/>
      <c r="L390" s="24">
        <f t="shared" si="8"/>
        <v>420.4829373</v>
      </c>
      <c r="M390" s="31">
        <f t="shared" si="9"/>
        <v>423.4656216</v>
      </c>
      <c r="N390" s="27">
        <f t="shared" si="10"/>
        <v>-2.982684234</v>
      </c>
      <c r="O390" s="24"/>
      <c r="P390" s="24"/>
      <c r="Q390" s="24"/>
      <c r="R390" s="26"/>
      <c r="S390" s="14">
        <f t="shared" si="13"/>
        <v>-2.738987392</v>
      </c>
    </row>
    <row r="391">
      <c r="A391" s="11">
        <v>379.0</v>
      </c>
      <c r="B391" s="11">
        <v>1.42104347826087E9</v>
      </c>
      <c r="C391" s="2">
        <v>-102.6062012</v>
      </c>
      <c r="D391" s="24">
        <f t="shared" si="1"/>
        <v>643478.2609</v>
      </c>
      <c r="E391" s="25">
        <f t="shared" si="2"/>
        <v>-136.8261237</v>
      </c>
      <c r="F391" s="24">
        <f t="shared" si="16"/>
        <v>0.0002126351922</v>
      </c>
      <c r="G391" s="24">
        <f t="shared" si="4"/>
        <v>0</v>
      </c>
      <c r="H391" s="26">
        <f t="shared" si="5"/>
        <v>0</v>
      </c>
      <c r="I391" s="24">
        <f t="shared" si="6"/>
        <v>0</v>
      </c>
      <c r="J391" s="24">
        <f t="shared" si="7"/>
        <v>0</v>
      </c>
      <c r="K391" s="24"/>
      <c r="L391" s="24">
        <f t="shared" si="8"/>
        <v>417.3361905</v>
      </c>
      <c r="M391" s="31">
        <f t="shared" si="9"/>
        <v>423.3417932</v>
      </c>
      <c r="N391" s="27">
        <f t="shared" si="10"/>
        <v>-6.005602765</v>
      </c>
      <c r="O391" s="24"/>
      <c r="P391" s="24"/>
      <c r="Q391" s="24"/>
      <c r="R391" s="26"/>
      <c r="S391" s="14">
        <f t="shared" si="13"/>
        <v>-5.514921794</v>
      </c>
    </row>
    <row r="392">
      <c r="A392" s="11">
        <v>380.0</v>
      </c>
      <c r="B392" s="11">
        <v>1.42104782608695E9</v>
      </c>
      <c r="C392" s="2">
        <v>-102.5583191</v>
      </c>
      <c r="D392" s="24">
        <f t="shared" si="1"/>
        <v>647826.087</v>
      </c>
      <c r="E392" s="25">
        <f t="shared" si="2"/>
        <v>-137.7444198</v>
      </c>
      <c r="F392" s="24">
        <f t="shared" si="16"/>
        <v>0.0002126256145</v>
      </c>
      <c r="G392" s="24">
        <f t="shared" si="4"/>
        <v>0</v>
      </c>
      <c r="H392" s="26">
        <f t="shared" si="5"/>
        <v>0</v>
      </c>
      <c r="I392" s="24">
        <f t="shared" si="6"/>
        <v>0</v>
      </c>
      <c r="J392" s="24">
        <f t="shared" si="7"/>
        <v>0</v>
      </c>
      <c r="K392" s="24"/>
      <c r="L392" s="24">
        <f t="shared" si="8"/>
        <v>421.9628893</v>
      </c>
      <c r="M392" s="31">
        <f t="shared" si="9"/>
        <v>423.2177328</v>
      </c>
      <c r="N392" s="27">
        <f t="shared" si="10"/>
        <v>-1.254843552</v>
      </c>
      <c r="O392" s="24"/>
      <c r="P392" s="24"/>
      <c r="Q392" s="24"/>
      <c r="R392" s="26"/>
      <c r="S392" s="14">
        <f t="shared" si="13"/>
        <v>-1.152317981</v>
      </c>
    </row>
    <row r="393">
      <c r="A393" s="11">
        <v>381.0</v>
      </c>
      <c r="B393" s="11">
        <v>1.42105217391304E9</v>
      </c>
      <c r="C393" s="2">
        <v>-102.5879898</v>
      </c>
      <c r="D393" s="24">
        <f t="shared" si="1"/>
        <v>652173.913</v>
      </c>
      <c r="E393" s="25">
        <f t="shared" si="2"/>
        <v>-138.662716</v>
      </c>
      <c r="F393" s="24">
        <f t="shared" si="16"/>
        <v>0.0002126161645</v>
      </c>
      <c r="G393" s="24">
        <f t="shared" si="4"/>
        <v>0</v>
      </c>
      <c r="H393" s="26">
        <f t="shared" si="5"/>
        <v>0</v>
      </c>
      <c r="I393" s="24">
        <f t="shared" si="6"/>
        <v>0</v>
      </c>
      <c r="J393" s="24">
        <f t="shared" si="7"/>
        <v>0</v>
      </c>
      <c r="K393" s="24"/>
      <c r="L393" s="24">
        <f t="shared" si="8"/>
        <v>419.0898931</v>
      </c>
      <c r="M393" s="31">
        <f t="shared" si="9"/>
        <v>423.0934396</v>
      </c>
      <c r="N393" s="27">
        <f t="shared" si="10"/>
        <v>-4.003546531</v>
      </c>
      <c r="O393" s="24"/>
      <c r="P393" s="24"/>
      <c r="Q393" s="24"/>
      <c r="R393" s="26"/>
      <c r="S393" s="14">
        <f t="shared" si="13"/>
        <v>-3.676441288</v>
      </c>
    </row>
    <row r="394">
      <c r="A394" s="11">
        <v>382.0</v>
      </c>
      <c r="B394" s="11">
        <v>1.42105652173913E9</v>
      </c>
      <c r="C394" s="2">
        <v>-102.5639114</v>
      </c>
      <c r="D394" s="24">
        <f t="shared" si="1"/>
        <v>656521.7391</v>
      </c>
      <c r="E394" s="25">
        <f t="shared" si="2"/>
        <v>-139.5810121</v>
      </c>
      <c r="F394" s="24">
        <f t="shared" si="16"/>
        <v>0.0002126068396</v>
      </c>
      <c r="G394" s="24">
        <f t="shared" si="4"/>
        <v>0</v>
      </c>
      <c r="H394" s="26">
        <f t="shared" si="5"/>
        <v>0</v>
      </c>
      <c r="I394" s="24">
        <f t="shared" si="6"/>
        <v>0</v>
      </c>
      <c r="J394" s="24">
        <f t="shared" si="7"/>
        <v>0</v>
      </c>
      <c r="K394" s="24"/>
      <c r="L394" s="24">
        <f t="shared" si="8"/>
        <v>421.419888</v>
      </c>
      <c r="M394" s="31">
        <f t="shared" si="9"/>
        <v>422.9689128</v>
      </c>
      <c r="N394" s="27">
        <f t="shared" si="10"/>
        <v>-1.549024797</v>
      </c>
      <c r="O394" s="24"/>
      <c r="P394" s="24"/>
      <c r="Q394" s="24"/>
      <c r="R394" s="26"/>
      <c r="S394" s="14">
        <f t="shared" si="13"/>
        <v>-1.42246348</v>
      </c>
    </row>
    <row r="395">
      <c r="A395" s="11">
        <v>383.0</v>
      </c>
      <c r="B395" s="11">
        <v>1.42106086956521E9</v>
      </c>
      <c r="C395" s="2">
        <v>-102.5987778</v>
      </c>
      <c r="D395" s="24">
        <f t="shared" si="1"/>
        <v>660869.5652</v>
      </c>
      <c r="E395" s="25">
        <f t="shared" si="2"/>
        <v>-140.4993082</v>
      </c>
      <c r="F395" s="24">
        <f t="shared" si="16"/>
        <v>0.0002125976374</v>
      </c>
      <c r="G395" s="24">
        <f t="shared" si="4"/>
        <v>0</v>
      </c>
      <c r="H395" s="26">
        <f t="shared" si="5"/>
        <v>0</v>
      </c>
      <c r="I395" s="24">
        <f t="shared" si="6"/>
        <v>0</v>
      </c>
      <c r="J395" s="24">
        <f t="shared" si="7"/>
        <v>0</v>
      </c>
      <c r="K395" s="24"/>
      <c r="L395" s="24">
        <f t="shared" si="8"/>
        <v>418.0501536</v>
      </c>
      <c r="M395" s="31">
        <f t="shared" si="9"/>
        <v>422.8441516</v>
      </c>
      <c r="N395" s="27">
        <f t="shared" si="10"/>
        <v>-4.793998005</v>
      </c>
      <c r="O395" s="24"/>
      <c r="P395" s="24"/>
      <c r="Q395" s="24"/>
      <c r="R395" s="26"/>
      <c r="S395" s="14">
        <f t="shared" si="13"/>
        <v>-4.402309829</v>
      </c>
    </row>
    <row r="396">
      <c r="A396" s="11">
        <v>384.0</v>
      </c>
      <c r="B396" s="11">
        <v>1.4210652173913E9</v>
      </c>
      <c r="C396" s="2">
        <v>-102.5023804</v>
      </c>
      <c r="D396" s="24">
        <f t="shared" si="1"/>
        <v>665217.3913</v>
      </c>
      <c r="E396" s="25">
        <f t="shared" si="2"/>
        <v>-141.4176043</v>
      </c>
      <c r="F396" s="24">
        <f t="shared" si="16"/>
        <v>0.0002125885556</v>
      </c>
      <c r="G396" s="24">
        <f t="shared" si="4"/>
        <v>0</v>
      </c>
      <c r="H396" s="26">
        <f t="shared" si="5"/>
        <v>0</v>
      </c>
      <c r="I396" s="24">
        <f t="shared" si="6"/>
        <v>0</v>
      </c>
      <c r="J396" s="24">
        <f t="shared" si="7"/>
        <v>0</v>
      </c>
      <c r="K396" s="24"/>
      <c r="L396" s="24">
        <f t="shared" si="8"/>
        <v>427.4330773</v>
      </c>
      <c r="M396" s="31">
        <f t="shared" si="9"/>
        <v>422.7191553</v>
      </c>
      <c r="N396" s="27">
        <f t="shared" si="10"/>
        <v>4.713921989</v>
      </c>
      <c r="O396" s="24"/>
      <c r="P396" s="24"/>
      <c r="Q396" s="24"/>
      <c r="R396" s="26"/>
      <c r="S396" s="14">
        <f t="shared" si="13"/>
        <v>4.328776323</v>
      </c>
    </row>
    <row r="397">
      <c r="A397" s="11">
        <v>385.0</v>
      </c>
      <c r="B397" s="11">
        <v>1.42106956521739E9</v>
      </c>
      <c r="C397" s="2">
        <v>-102.5856247</v>
      </c>
      <c r="D397" s="24">
        <f t="shared" si="1"/>
        <v>669565.2174</v>
      </c>
      <c r="E397" s="25">
        <f t="shared" si="2"/>
        <v>-142.3359005</v>
      </c>
      <c r="F397" s="24">
        <f t="shared" si="16"/>
        <v>0.0002125795916</v>
      </c>
      <c r="G397" s="24">
        <f t="shared" si="4"/>
        <v>0</v>
      </c>
      <c r="H397" s="26">
        <f t="shared" si="5"/>
        <v>0</v>
      </c>
      <c r="I397" s="24">
        <f t="shared" si="6"/>
        <v>0</v>
      </c>
      <c r="J397" s="24">
        <f t="shared" si="7"/>
        <v>0</v>
      </c>
      <c r="K397" s="24"/>
      <c r="L397" s="24">
        <f t="shared" si="8"/>
        <v>419.3181851</v>
      </c>
      <c r="M397" s="31">
        <f t="shared" si="9"/>
        <v>422.593923</v>
      </c>
      <c r="N397" s="27">
        <f t="shared" si="10"/>
        <v>-3.275737892</v>
      </c>
      <c r="O397" s="24"/>
      <c r="P397" s="24"/>
      <c r="Q397" s="24"/>
      <c r="R397" s="26"/>
      <c r="S397" s="14">
        <f t="shared" si="13"/>
        <v>-3.008097439</v>
      </c>
    </row>
    <row r="398">
      <c r="A398" s="11">
        <v>386.0</v>
      </c>
      <c r="B398" s="11">
        <v>1.42107391304347E9</v>
      </c>
      <c r="C398" s="2">
        <v>-102.5218124</v>
      </c>
      <c r="D398" s="24">
        <f t="shared" si="1"/>
        <v>673913.0435</v>
      </c>
      <c r="E398" s="25">
        <f t="shared" si="2"/>
        <v>-143.2541966</v>
      </c>
      <c r="F398" s="24">
        <f t="shared" si="16"/>
        <v>0.0002125707434</v>
      </c>
      <c r="G398" s="24">
        <f t="shared" si="4"/>
        <v>0</v>
      </c>
      <c r="H398" s="26">
        <f t="shared" si="5"/>
        <v>0</v>
      </c>
      <c r="I398" s="24">
        <f t="shared" si="6"/>
        <v>0</v>
      </c>
      <c r="J398" s="24">
        <f t="shared" si="7"/>
        <v>0</v>
      </c>
      <c r="K398" s="24"/>
      <c r="L398" s="24">
        <f t="shared" si="8"/>
        <v>425.5248501</v>
      </c>
      <c r="M398" s="31">
        <f t="shared" si="9"/>
        <v>422.4684539</v>
      </c>
      <c r="N398" s="27">
        <f t="shared" si="10"/>
        <v>3.056396189</v>
      </c>
      <c r="O398" s="24"/>
      <c r="P398" s="24"/>
      <c r="Q398" s="24"/>
      <c r="R398" s="26"/>
      <c r="S398" s="14">
        <f t="shared" si="13"/>
        <v>2.806676801</v>
      </c>
    </row>
    <row r="399">
      <c r="A399" s="11">
        <v>387.0</v>
      </c>
      <c r="B399" s="11">
        <v>1.42107826086956E9</v>
      </c>
      <c r="C399" s="2">
        <v>-102.5731125</v>
      </c>
      <c r="D399" s="24">
        <f t="shared" si="1"/>
        <v>678260.8696</v>
      </c>
      <c r="E399" s="25">
        <f t="shared" si="2"/>
        <v>-144.1724927</v>
      </c>
      <c r="F399" s="24">
        <f t="shared" si="16"/>
        <v>0.0002125620085</v>
      </c>
      <c r="G399" s="24">
        <f t="shared" si="4"/>
        <v>0</v>
      </c>
      <c r="H399" s="26">
        <f t="shared" si="5"/>
        <v>0</v>
      </c>
      <c r="I399" s="24">
        <f t="shared" si="6"/>
        <v>0</v>
      </c>
      <c r="J399" s="24">
        <f t="shared" si="7"/>
        <v>0</v>
      </c>
      <c r="K399" s="24"/>
      <c r="L399" s="24">
        <f t="shared" si="8"/>
        <v>420.5279997</v>
      </c>
      <c r="M399" s="31">
        <f t="shared" si="9"/>
        <v>422.3427473</v>
      </c>
      <c r="N399" s="27">
        <f t="shared" si="10"/>
        <v>-1.814747606</v>
      </c>
      <c r="O399" s="24"/>
      <c r="P399" s="24"/>
      <c r="Q399" s="24"/>
      <c r="R399" s="26"/>
      <c r="S399" s="14">
        <f t="shared" si="13"/>
        <v>-1.666475705</v>
      </c>
    </row>
    <row r="400">
      <c r="A400" s="11">
        <v>388.0</v>
      </c>
      <c r="B400" s="11">
        <v>1.42108260869565E9</v>
      </c>
      <c r="C400" s="2">
        <v>-102.5179901</v>
      </c>
      <c r="D400" s="24">
        <f t="shared" si="1"/>
        <v>682608.6957</v>
      </c>
      <c r="E400" s="25">
        <f t="shared" si="2"/>
        <v>-145.0907889</v>
      </c>
      <c r="F400" s="24">
        <f t="shared" si="16"/>
        <v>0.000212553385</v>
      </c>
      <c r="G400" s="24">
        <f t="shared" si="4"/>
        <v>0</v>
      </c>
      <c r="H400" s="26">
        <f t="shared" si="5"/>
        <v>0</v>
      </c>
      <c r="I400" s="24">
        <f t="shared" si="6"/>
        <v>0</v>
      </c>
      <c r="J400" s="24">
        <f t="shared" si="7"/>
        <v>0</v>
      </c>
      <c r="K400" s="24"/>
      <c r="L400" s="24">
        <f t="shared" si="8"/>
        <v>425.8995266</v>
      </c>
      <c r="M400" s="31">
        <f t="shared" si="9"/>
        <v>422.2168024</v>
      </c>
      <c r="N400" s="27">
        <f t="shared" si="10"/>
        <v>3.682724282</v>
      </c>
      <c r="O400" s="24"/>
      <c r="P400" s="24"/>
      <c r="Q400" s="24"/>
      <c r="R400" s="26"/>
      <c r="S400" s="14">
        <f t="shared" si="13"/>
        <v>3.381831466</v>
      </c>
    </row>
    <row r="401">
      <c r="A401" s="11">
        <v>389.0</v>
      </c>
      <c r="B401" s="11">
        <v>1.42108695652173E9</v>
      </c>
      <c r="C401" s="2">
        <v>-102.5865173</v>
      </c>
      <c r="D401" s="24">
        <f t="shared" si="1"/>
        <v>686956.5217</v>
      </c>
      <c r="E401" s="25">
        <f t="shared" si="2"/>
        <v>-146.009085</v>
      </c>
      <c r="F401" s="24">
        <f t="shared" si="16"/>
        <v>0.0002125448706</v>
      </c>
      <c r="G401" s="24">
        <f t="shared" si="4"/>
        <v>0</v>
      </c>
      <c r="H401" s="26">
        <f t="shared" si="5"/>
        <v>0</v>
      </c>
      <c r="I401" s="24">
        <f t="shared" si="6"/>
        <v>0</v>
      </c>
      <c r="J401" s="24">
        <f t="shared" si="7"/>
        <v>0</v>
      </c>
      <c r="K401" s="24"/>
      <c r="L401" s="24">
        <f t="shared" si="8"/>
        <v>419.232012</v>
      </c>
      <c r="M401" s="31">
        <f t="shared" si="9"/>
        <v>422.0906183</v>
      </c>
      <c r="N401" s="27">
        <f t="shared" si="10"/>
        <v>-2.858606322</v>
      </c>
      <c r="O401" s="24"/>
      <c r="P401" s="24"/>
      <c r="Q401" s="24"/>
      <c r="R401" s="26"/>
      <c r="S401" s="14">
        <f t="shared" si="13"/>
        <v>-2.62504713</v>
      </c>
    </row>
    <row r="402">
      <c r="A402" s="11">
        <v>390.0</v>
      </c>
      <c r="B402" s="11">
        <v>1.42109130434782E9</v>
      </c>
      <c r="C402" s="2">
        <v>-102.5839615</v>
      </c>
      <c r="D402" s="24">
        <f t="shared" si="1"/>
        <v>691304.3478</v>
      </c>
      <c r="E402" s="25">
        <f t="shared" si="2"/>
        <v>-146.9273811</v>
      </c>
      <c r="F402" s="24">
        <f t="shared" si="16"/>
        <v>0.0002125364633</v>
      </c>
      <c r="G402" s="24">
        <f t="shared" si="4"/>
        <v>0</v>
      </c>
      <c r="H402" s="26">
        <f t="shared" si="5"/>
        <v>0</v>
      </c>
      <c r="I402" s="24">
        <f t="shared" si="6"/>
        <v>0</v>
      </c>
      <c r="J402" s="24">
        <f t="shared" si="7"/>
        <v>0</v>
      </c>
      <c r="K402" s="24"/>
      <c r="L402" s="24">
        <f t="shared" si="8"/>
        <v>419.4788004</v>
      </c>
      <c r="M402" s="31">
        <f t="shared" si="9"/>
        <v>421.9641944</v>
      </c>
      <c r="N402" s="27">
        <f t="shared" si="10"/>
        <v>-2.485393952</v>
      </c>
      <c r="O402" s="24"/>
      <c r="P402" s="24"/>
      <c r="Q402" s="24"/>
      <c r="R402" s="26"/>
      <c r="S402" s="14">
        <f t="shared" si="13"/>
        <v>-2.282327654</v>
      </c>
    </row>
    <row r="403">
      <c r="A403" s="11">
        <v>391.0</v>
      </c>
      <c r="B403" s="11">
        <v>1.42109565217391E9</v>
      </c>
      <c r="C403" s="2">
        <v>-102.6228867</v>
      </c>
      <c r="D403" s="24">
        <f t="shared" si="1"/>
        <v>695652.1739</v>
      </c>
      <c r="E403" s="25">
        <f t="shared" si="2"/>
        <v>-147.8456773</v>
      </c>
      <c r="F403" s="24">
        <f t="shared" si="16"/>
        <v>0.0002125281611</v>
      </c>
      <c r="G403" s="24">
        <f t="shared" si="4"/>
        <v>0</v>
      </c>
      <c r="H403" s="26">
        <f t="shared" si="5"/>
        <v>0</v>
      </c>
      <c r="I403" s="24">
        <f t="shared" si="6"/>
        <v>0</v>
      </c>
      <c r="J403" s="24">
        <f t="shared" si="7"/>
        <v>0</v>
      </c>
      <c r="K403" s="24"/>
      <c r="L403" s="24">
        <f t="shared" si="8"/>
        <v>415.73587</v>
      </c>
      <c r="M403" s="31">
        <f t="shared" si="9"/>
        <v>421.8375297</v>
      </c>
      <c r="N403" s="27">
        <f t="shared" si="10"/>
        <v>-6.101659729</v>
      </c>
      <c r="O403" s="24"/>
      <c r="P403" s="24"/>
      <c r="Q403" s="24"/>
      <c r="R403" s="26"/>
      <c r="S403" s="14">
        <f t="shared" si="13"/>
        <v>-5.60313052</v>
      </c>
    </row>
    <row r="404">
      <c r="A404" s="11">
        <v>392.0</v>
      </c>
      <c r="B404" s="11">
        <v>1.4211E9</v>
      </c>
      <c r="C404" s="2">
        <v>-102.5726013</v>
      </c>
      <c r="D404" s="24">
        <f t="shared" si="1"/>
        <v>700000</v>
      </c>
      <c r="E404" s="25">
        <f t="shared" si="2"/>
        <v>-148.7639734</v>
      </c>
      <c r="F404" s="24">
        <f t="shared" si="16"/>
        <v>0.000212519962</v>
      </c>
      <c r="G404" s="24">
        <f t="shared" si="4"/>
        <v>0</v>
      </c>
      <c r="H404" s="26">
        <f t="shared" si="5"/>
        <v>0</v>
      </c>
      <c r="I404" s="24">
        <f t="shared" si="6"/>
        <v>0</v>
      </c>
      <c r="J404" s="24">
        <f t="shared" si="7"/>
        <v>0</v>
      </c>
      <c r="K404" s="24"/>
      <c r="L404" s="24">
        <f t="shared" si="8"/>
        <v>420.5775022</v>
      </c>
      <c r="M404" s="31">
        <f t="shared" si="9"/>
        <v>421.7106236</v>
      </c>
      <c r="N404" s="27">
        <f t="shared" si="10"/>
        <v>-1.133121462</v>
      </c>
      <c r="O404" s="24"/>
      <c r="P404" s="24"/>
      <c r="Q404" s="24"/>
      <c r="R404" s="26"/>
      <c r="S404" s="14">
        <f t="shared" si="13"/>
        <v>-1.040541057</v>
      </c>
    </row>
    <row r="405">
      <c r="A405" s="11">
        <v>393.0</v>
      </c>
      <c r="B405" s="11">
        <v>1.42110434782608E9</v>
      </c>
      <c r="C405" s="2">
        <v>-102.5430908</v>
      </c>
      <c r="D405" s="24">
        <f t="shared" si="1"/>
        <v>704347.8261</v>
      </c>
      <c r="E405" s="25">
        <f t="shared" si="2"/>
        <v>-149.6822695</v>
      </c>
      <c r="F405" s="24">
        <f t="shared" si="16"/>
        <v>0.0002125118642</v>
      </c>
      <c r="G405" s="24">
        <f t="shared" si="4"/>
        <v>0</v>
      </c>
      <c r="H405" s="26">
        <f t="shared" si="5"/>
        <v>0</v>
      </c>
      <c r="I405" s="24">
        <f t="shared" si="6"/>
        <v>0</v>
      </c>
      <c r="J405" s="24">
        <f t="shared" si="7"/>
        <v>0</v>
      </c>
      <c r="K405" s="24"/>
      <c r="L405" s="24">
        <f t="shared" si="8"/>
        <v>423.4450763</v>
      </c>
      <c r="M405" s="31">
        <f t="shared" si="9"/>
        <v>421.5834753</v>
      </c>
      <c r="N405" s="27">
        <f t="shared" si="10"/>
        <v>1.861601041</v>
      </c>
      <c r="O405" s="24"/>
      <c r="P405" s="24"/>
      <c r="Q405" s="24"/>
      <c r="R405" s="26"/>
      <c r="S405" s="14">
        <f t="shared" si="13"/>
        <v>1.709501036</v>
      </c>
    </row>
    <row r="406">
      <c r="A406" s="11">
        <v>394.0</v>
      </c>
      <c r="B406" s="11">
        <v>1.42110869565217E9</v>
      </c>
      <c r="C406" s="2">
        <v>-102.5932083</v>
      </c>
      <c r="D406" s="24">
        <f t="shared" si="1"/>
        <v>708695.6522</v>
      </c>
      <c r="E406" s="25">
        <f t="shared" si="2"/>
        <v>-150.6005657</v>
      </c>
      <c r="F406" s="24">
        <f t="shared" si="16"/>
        <v>0.0002125038657</v>
      </c>
      <c r="G406" s="24">
        <f t="shared" si="4"/>
        <v>0</v>
      </c>
      <c r="H406" s="26">
        <f t="shared" si="5"/>
        <v>0</v>
      </c>
      <c r="I406" s="24">
        <f t="shared" si="6"/>
        <v>0</v>
      </c>
      <c r="J406" s="24">
        <f t="shared" si="7"/>
        <v>0</v>
      </c>
      <c r="K406" s="24"/>
      <c r="L406" s="24">
        <f t="shared" si="8"/>
        <v>418.5866154</v>
      </c>
      <c r="M406" s="31">
        <f t="shared" si="9"/>
        <v>421.4560838</v>
      </c>
      <c r="N406" s="27">
        <f t="shared" si="10"/>
        <v>-2.869468419</v>
      </c>
      <c r="O406" s="24"/>
      <c r="P406" s="24"/>
      <c r="Q406" s="24"/>
      <c r="R406" s="26"/>
      <c r="S406" s="14">
        <f t="shared" si="13"/>
        <v>-2.635021746</v>
      </c>
    </row>
    <row r="407">
      <c r="A407" s="11">
        <v>395.0</v>
      </c>
      <c r="B407" s="11">
        <v>1.42111304347826E9</v>
      </c>
      <c r="C407" s="2">
        <v>-102.5326538</v>
      </c>
      <c r="D407" s="24">
        <f t="shared" si="1"/>
        <v>713043.4783</v>
      </c>
      <c r="E407" s="25">
        <f t="shared" si="2"/>
        <v>-151.5188618</v>
      </c>
      <c r="F407" s="24">
        <f t="shared" si="16"/>
        <v>0.0002124959647</v>
      </c>
      <c r="G407" s="24">
        <f t="shared" si="4"/>
        <v>0</v>
      </c>
      <c r="H407" s="26">
        <f t="shared" si="5"/>
        <v>0</v>
      </c>
      <c r="I407" s="24">
        <f t="shared" si="6"/>
        <v>0</v>
      </c>
      <c r="J407" s="24">
        <f t="shared" si="7"/>
        <v>0</v>
      </c>
      <c r="K407" s="24"/>
      <c r="L407" s="24">
        <f t="shared" si="8"/>
        <v>424.4639267</v>
      </c>
      <c r="M407" s="31">
        <f t="shared" si="9"/>
        <v>421.3284486</v>
      </c>
      <c r="N407" s="27">
        <f t="shared" si="10"/>
        <v>3.135478099</v>
      </c>
      <c r="O407" s="24"/>
      <c r="P407" s="24"/>
      <c r="Q407" s="24"/>
      <c r="R407" s="26"/>
      <c r="S407" s="14">
        <f t="shared" si="13"/>
        <v>2.879297412</v>
      </c>
    </row>
    <row r="408">
      <c r="A408" s="11">
        <v>396.0</v>
      </c>
      <c r="B408" s="11">
        <v>1.42111739130434E9</v>
      </c>
      <c r="C408" s="2">
        <v>-102.5656738</v>
      </c>
      <c r="D408" s="24">
        <f t="shared" si="1"/>
        <v>717391.3043</v>
      </c>
      <c r="E408" s="25">
        <f t="shared" si="2"/>
        <v>-152.4371579</v>
      </c>
      <c r="F408" s="24">
        <f t="shared" si="16"/>
        <v>0.0002124881595</v>
      </c>
      <c r="G408" s="24">
        <f t="shared" si="4"/>
        <v>0</v>
      </c>
      <c r="H408" s="26">
        <f t="shared" si="5"/>
        <v>0</v>
      </c>
      <c r="I408" s="24">
        <f t="shared" si="6"/>
        <v>0</v>
      </c>
      <c r="J408" s="24">
        <f t="shared" si="7"/>
        <v>0</v>
      </c>
      <c r="K408" s="24"/>
      <c r="L408" s="24">
        <f t="shared" si="8"/>
        <v>421.2489073</v>
      </c>
      <c r="M408" s="31">
        <f t="shared" si="9"/>
        <v>421.2005687</v>
      </c>
      <c r="N408" s="27">
        <f t="shared" si="10"/>
        <v>0.04833862893</v>
      </c>
      <c r="O408" s="24"/>
      <c r="P408" s="24"/>
      <c r="Q408" s="24"/>
      <c r="R408" s="26"/>
      <c r="S408" s="14">
        <f t="shared" si="13"/>
        <v>0.04438917601</v>
      </c>
    </row>
    <row r="409">
      <c r="A409" s="11">
        <v>397.0</v>
      </c>
      <c r="B409" s="11">
        <v>1.42112173913043E9</v>
      </c>
      <c r="C409" s="2">
        <v>-102.5617828</v>
      </c>
      <c r="D409" s="24">
        <f t="shared" si="1"/>
        <v>721739.1304</v>
      </c>
      <c r="E409" s="25">
        <f t="shared" si="2"/>
        <v>-153.3554541</v>
      </c>
      <c r="F409" s="24">
        <f t="shared" si="16"/>
        <v>0.0002124804484</v>
      </c>
      <c r="G409" s="24">
        <f t="shared" si="4"/>
        <v>0</v>
      </c>
      <c r="H409" s="26">
        <f t="shared" si="5"/>
        <v>0</v>
      </c>
      <c r="I409" s="24">
        <f t="shared" si="6"/>
        <v>0</v>
      </c>
      <c r="J409" s="24">
        <f t="shared" si="7"/>
        <v>0</v>
      </c>
      <c r="K409" s="24"/>
      <c r="L409" s="24">
        <f t="shared" si="8"/>
        <v>421.6264885</v>
      </c>
      <c r="M409" s="31">
        <f t="shared" si="9"/>
        <v>421.0724434</v>
      </c>
      <c r="N409" s="27">
        <f t="shared" si="10"/>
        <v>0.5540450421</v>
      </c>
      <c r="O409" s="24"/>
      <c r="P409" s="24"/>
      <c r="Q409" s="24"/>
      <c r="R409" s="26"/>
      <c r="S409" s="14">
        <f t="shared" si="13"/>
        <v>0.5087774183</v>
      </c>
    </row>
    <row r="410">
      <c r="A410" s="11">
        <v>398.0</v>
      </c>
      <c r="B410" s="11">
        <v>1.42112608695652E9</v>
      </c>
      <c r="C410" s="2">
        <v>-102.5868912</v>
      </c>
      <c r="D410" s="24">
        <f t="shared" si="1"/>
        <v>726086.9565</v>
      </c>
      <c r="E410" s="25">
        <f t="shared" si="2"/>
        <v>-154.2737502</v>
      </c>
      <c r="F410" s="24">
        <f t="shared" si="16"/>
        <v>0.0002124728296</v>
      </c>
      <c r="G410" s="24">
        <f t="shared" si="4"/>
        <v>0</v>
      </c>
      <c r="H410" s="26">
        <f t="shared" si="5"/>
        <v>0</v>
      </c>
      <c r="I410" s="24">
        <f t="shared" si="6"/>
        <v>0</v>
      </c>
      <c r="J410" s="24">
        <f t="shared" si="7"/>
        <v>0</v>
      </c>
      <c r="K410" s="24"/>
      <c r="L410" s="24">
        <f t="shared" si="8"/>
        <v>419.1959203</v>
      </c>
      <c r="M410" s="31">
        <f t="shared" si="9"/>
        <v>420.9440719</v>
      </c>
      <c r="N410" s="27">
        <f t="shared" si="10"/>
        <v>-1.7481516</v>
      </c>
      <c r="O410" s="24"/>
      <c r="P410" s="24"/>
      <c r="Q410" s="24"/>
      <c r="R410" s="26"/>
      <c r="S410" s="14">
        <f t="shared" si="13"/>
        <v>-1.605320853</v>
      </c>
    </row>
    <row r="411">
      <c r="A411" s="11">
        <v>399.0</v>
      </c>
      <c r="B411" s="11">
        <v>1.4211304347826E9</v>
      </c>
      <c r="C411" s="2">
        <v>-102.5780792</v>
      </c>
      <c r="D411" s="24">
        <f t="shared" si="1"/>
        <v>730434.7826</v>
      </c>
      <c r="E411" s="25">
        <f t="shared" si="2"/>
        <v>-155.1920463</v>
      </c>
      <c r="F411" s="24">
        <f t="shared" si="16"/>
        <v>0.0002124653015</v>
      </c>
      <c r="G411" s="24">
        <f t="shared" si="4"/>
        <v>0</v>
      </c>
      <c r="H411" s="26">
        <f t="shared" si="5"/>
        <v>0</v>
      </c>
      <c r="I411" s="24">
        <f t="shared" si="6"/>
        <v>0</v>
      </c>
      <c r="J411" s="24">
        <f t="shared" si="7"/>
        <v>0</v>
      </c>
      <c r="K411" s="24"/>
      <c r="L411" s="24">
        <f t="shared" si="8"/>
        <v>420.0473483</v>
      </c>
      <c r="M411" s="31">
        <f t="shared" si="9"/>
        <v>420.8154534</v>
      </c>
      <c r="N411" s="27">
        <f t="shared" si="10"/>
        <v>-0.7681051772</v>
      </c>
      <c r="O411" s="24"/>
      <c r="P411" s="24"/>
      <c r="Q411" s="24"/>
      <c r="R411" s="26"/>
      <c r="S411" s="14">
        <f t="shared" si="13"/>
        <v>-0.7053480138</v>
      </c>
    </row>
    <row r="412">
      <c r="A412" s="11">
        <v>400.0</v>
      </c>
      <c r="B412" s="11">
        <v>1.42113478260869E9</v>
      </c>
      <c r="C412" s="2">
        <v>-102.5869675</v>
      </c>
      <c r="D412" s="24">
        <f t="shared" si="1"/>
        <v>734782.6087</v>
      </c>
      <c r="E412" s="25">
        <f t="shared" si="2"/>
        <v>-156.1103425</v>
      </c>
      <c r="F412" s="24">
        <f t="shared" si="16"/>
        <v>0.0002124578625</v>
      </c>
      <c r="G412" s="24">
        <f t="shared" si="4"/>
        <v>0</v>
      </c>
      <c r="H412" s="26">
        <f t="shared" si="5"/>
        <v>0</v>
      </c>
      <c r="I412" s="24">
        <f t="shared" si="6"/>
        <v>0</v>
      </c>
      <c r="J412" s="24">
        <f t="shared" si="7"/>
        <v>0</v>
      </c>
      <c r="K412" s="24"/>
      <c r="L412" s="24">
        <f t="shared" si="8"/>
        <v>419.1885557</v>
      </c>
      <c r="M412" s="31">
        <f t="shared" si="9"/>
        <v>420.6865872</v>
      </c>
      <c r="N412" s="27">
        <f t="shared" si="10"/>
        <v>-1.498031538</v>
      </c>
      <c r="O412" s="24"/>
      <c r="P412" s="24"/>
      <c r="Q412" s="24"/>
      <c r="R412" s="26"/>
      <c r="S412" s="14">
        <f t="shared" si="13"/>
        <v>-1.375636569</v>
      </c>
    </row>
    <row r="413">
      <c r="A413" s="11">
        <v>401.0</v>
      </c>
      <c r="B413" s="11">
        <v>1.42113913043478E9</v>
      </c>
      <c r="C413" s="2">
        <v>-102.5731049</v>
      </c>
      <c r="D413" s="24">
        <f t="shared" si="1"/>
        <v>739130.4348</v>
      </c>
      <c r="E413" s="25">
        <f t="shared" si="2"/>
        <v>-157.0286386</v>
      </c>
      <c r="F413" s="24">
        <f t="shared" si="16"/>
        <v>0.000212450511</v>
      </c>
      <c r="G413" s="24">
        <f t="shared" si="4"/>
        <v>0</v>
      </c>
      <c r="H413" s="26">
        <f t="shared" si="5"/>
        <v>0</v>
      </c>
      <c r="I413" s="24">
        <f t="shared" si="6"/>
        <v>0</v>
      </c>
      <c r="J413" s="24">
        <f t="shared" si="7"/>
        <v>0</v>
      </c>
      <c r="K413" s="24"/>
      <c r="L413" s="24">
        <f t="shared" si="8"/>
        <v>420.5287356</v>
      </c>
      <c r="M413" s="31">
        <f t="shared" si="9"/>
        <v>420.5574724</v>
      </c>
      <c r="N413" s="27">
        <f t="shared" si="10"/>
        <v>-0.02873678336</v>
      </c>
      <c r="O413" s="24"/>
      <c r="P413" s="24"/>
      <c r="Q413" s="24"/>
      <c r="R413" s="26"/>
      <c r="S413" s="14">
        <f t="shared" si="13"/>
        <v>-0.02638887697</v>
      </c>
    </row>
    <row r="414">
      <c r="A414" s="11">
        <v>402.0</v>
      </c>
      <c r="B414" s="11">
        <v>1.42114347826087E9</v>
      </c>
      <c r="C414" s="2">
        <v>-102.5663376</v>
      </c>
      <c r="D414" s="24">
        <f t="shared" si="1"/>
        <v>743478.2609</v>
      </c>
      <c r="E414" s="25">
        <f t="shared" si="2"/>
        <v>-157.9469347</v>
      </c>
      <c r="F414" s="24">
        <f t="shared" si="16"/>
        <v>0.0002124432455</v>
      </c>
      <c r="G414" s="24">
        <f t="shared" si="4"/>
        <v>0</v>
      </c>
      <c r="H414" s="26">
        <f t="shared" si="5"/>
        <v>0</v>
      </c>
      <c r="I414" s="24">
        <f t="shared" si="6"/>
        <v>0</v>
      </c>
      <c r="J414" s="24">
        <f t="shared" si="7"/>
        <v>0</v>
      </c>
      <c r="K414" s="24"/>
      <c r="L414" s="24">
        <f t="shared" si="8"/>
        <v>421.1845262</v>
      </c>
      <c r="M414" s="31">
        <f t="shared" si="9"/>
        <v>420.4281082</v>
      </c>
      <c r="N414" s="27">
        <f t="shared" si="10"/>
        <v>0.7564180094</v>
      </c>
      <c r="O414" s="24"/>
      <c r="P414" s="24"/>
      <c r="Q414" s="24"/>
      <c r="R414" s="26"/>
      <c r="S414" s="14">
        <f t="shared" si="13"/>
        <v>0.6946157327</v>
      </c>
    </row>
    <row r="415">
      <c r="A415" s="11">
        <v>403.0</v>
      </c>
      <c r="B415" s="11">
        <v>1.42114782608695E9</v>
      </c>
      <c r="C415" s="2">
        <v>-102.5663071</v>
      </c>
      <c r="D415" s="24">
        <f t="shared" si="1"/>
        <v>747826.087</v>
      </c>
      <c r="E415" s="25">
        <f t="shared" si="2"/>
        <v>-158.8652309</v>
      </c>
      <c r="F415" s="24">
        <f t="shared" si="16"/>
        <v>0.0002124360645</v>
      </c>
      <c r="G415" s="24">
        <f t="shared" si="4"/>
        <v>0</v>
      </c>
      <c r="H415" s="26">
        <f t="shared" si="5"/>
        <v>0</v>
      </c>
      <c r="I415" s="24">
        <f t="shared" si="6"/>
        <v>0</v>
      </c>
      <c r="J415" s="24">
        <f t="shared" si="7"/>
        <v>0</v>
      </c>
      <c r="K415" s="24"/>
      <c r="L415" s="24">
        <f t="shared" si="8"/>
        <v>421.1874842</v>
      </c>
      <c r="M415" s="31">
        <f t="shared" si="9"/>
        <v>420.2984939</v>
      </c>
      <c r="N415" s="27">
        <f t="shared" si="10"/>
        <v>0.8889902545</v>
      </c>
      <c r="O415" s="24"/>
      <c r="P415" s="24"/>
      <c r="Q415" s="24"/>
      <c r="R415" s="26"/>
      <c r="S415" s="14">
        <f t="shared" si="13"/>
        <v>0.8163563128</v>
      </c>
    </row>
    <row r="416">
      <c r="A416" s="11">
        <v>404.0</v>
      </c>
      <c r="B416" s="11">
        <v>1.42115217391304E9</v>
      </c>
      <c r="C416" s="2">
        <v>-102.5364075</v>
      </c>
      <c r="D416" s="24">
        <f t="shared" si="1"/>
        <v>752173.913</v>
      </c>
      <c r="E416" s="25">
        <f t="shared" si="2"/>
        <v>-159.783527</v>
      </c>
      <c r="F416" s="24">
        <f t="shared" si="16"/>
        <v>0.0002124289665</v>
      </c>
      <c r="G416" s="24">
        <f t="shared" si="4"/>
        <v>0</v>
      </c>
      <c r="H416" s="26">
        <f t="shared" si="5"/>
        <v>0</v>
      </c>
      <c r="I416" s="24">
        <f t="shared" si="6"/>
        <v>0</v>
      </c>
      <c r="J416" s="24">
        <f t="shared" si="7"/>
        <v>0</v>
      </c>
      <c r="K416" s="24"/>
      <c r="L416" s="24">
        <f t="shared" si="8"/>
        <v>424.0972119</v>
      </c>
      <c r="M416" s="31">
        <f t="shared" si="9"/>
        <v>420.1686287</v>
      </c>
      <c r="N416" s="27">
        <f t="shared" si="10"/>
        <v>3.928583275</v>
      </c>
      <c r="O416" s="24"/>
      <c r="P416" s="24"/>
      <c r="Q416" s="24"/>
      <c r="R416" s="26"/>
      <c r="S416" s="14">
        <f t="shared" si="13"/>
        <v>3.607602821</v>
      </c>
    </row>
    <row r="417">
      <c r="A417" s="11">
        <v>405.0</v>
      </c>
      <c r="B417" s="11">
        <v>1.42115652173913E9</v>
      </c>
      <c r="C417" s="2">
        <v>-102.5536652</v>
      </c>
      <c r="D417" s="3">
        <f t="shared" si="1"/>
        <v>756521.7391</v>
      </c>
      <c r="E417" s="4">
        <f t="shared" si="2"/>
        <v>-160.7018231</v>
      </c>
      <c r="F417" s="3">
        <f t="shared" si="16"/>
        <v>0.0002124219501</v>
      </c>
      <c r="G417" s="3">
        <f t="shared" si="4"/>
        <v>0</v>
      </c>
      <c r="H417" s="2">
        <f t="shared" si="5"/>
        <v>0</v>
      </c>
      <c r="I417" s="3">
        <f t="shared" si="6"/>
        <v>0</v>
      </c>
      <c r="J417" s="3">
        <f t="shared" si="7"/>
        <v>0</v>
      </c>
      <c r="K417" s="3"/>
      <c r="L417" s="3">
        <f t="shared" si="8"/>
        <v>422.4153071</v>
      </c>
      <c r="M417" s="31">
        <f t="shared" si="9"/>
        <v>420.0385117</v>
      </c>
      <c r="N417" s="14">
        <f t="shared" si="10"/>
        <v>2.376795371</v>
      </c>
      <c r="O417" s="3"/>
      <c r="P417" s="3"/>
      <c r="Q417" s="3"/>
      <c r="R417" s="2"/>
      <c r="S417" s="14">
        <f t="shared" si="13"/>
        <v>2.182601997</v>
      </c>
    </row>
    <row r="418">
      <c r="A418" s="11">
        <v>406.0</v>
      </c>
      <c r="B418" s="11">
        <v>1.42116086956521E9</v>
      </c>
      <c r="C418" s="2">
        <v>-102.5780869</v>
      </c>
      <c r="D418" s="3">
        <f t="shared" si="1"/>
        <v>760869.5652</v>
      </c>
      <c r="E418" s="4">
        <f t="shared" si="2"/>
        <v>-161.6201193</v>
      </c>
      <c r="F418" s="3">
        <f t="shared" si="16"/>
        <v>0.0002124150139</v>
      </c>
      <c r="G418" s="3">
        <f t="shared" si="4"/>
        <v>0</v>
      </c>
      <c r="H418" s="2">
        <f t="shared" si="5"/>
        <v>0</v>
      </c>
      <c r="I418" s="3">
        <f t="shared" si="6"/>
        <v>0</v>
      </c>
      <c r="J418" s="3">
        <f t="shared" si="7"/>
        <v>0</v>
      </c>
      <c r="K418" s="3"/>
      <c r="L418" s="3">
        <f t="shared" si="8"/>
        <v>420.0466035</v>
      </c>
      <c r="M418" s="31">
        <f t="shared" si="9"/>
        <v>419.9081423</v>
      </c>
      <c r="N418" s="14">
        <f t="shared" si="10"/>
        <v>0.1384612395</v>
      </c>
      <c r="O418" s="3"/>
      <c r="P418" s="3"/>
      <c r="Q418" s="3"/>
      <c r="R418" s="2"/>
      <c r="S418" s="14">
        <f t="shared" si="13"/>
        <v>0.1271484208</v>
      </c>
    </row>
    <row r="419">
      <c r="A419" s="11">
        <v>407.0</v>
      </c>
      <c r="B419" s="11">
        <v>1.4211652173913E9</v>
      </c>
      <c r="C419" s="2">
        <v>-102.6204147</v>
      </c>
      <c r="D419" s="3">
        <f t="shared" si="1"/>
        <v>765217.3913</v>
      </c>
      <c r="E419" s="4">
        <f t="shared" si="2"/>
        <v>-162.5384154</v>
      </c>
      <c r="F419" s="3">
        <f t="shared" si="16"/>
        <v>0.0002124081565</v>
      </c>
      <c r="G419" s="3">
        <f t="shared" si="4"/>
        <v>0</v>
      </c>
      <c r="H419" s="2">
        <f t="shared" si="5"/>
        <v>0</v>
      </c>
      <c r="I419" s="3">
        <f t="shared" si="6"/>
        <v>0</v>
      </c>
      <c r="J419" s="3">
        <f t="shared" si="7"/>
        <v>0</v>
      </c>
      <c r="K419" s="3"/>
      <c r="L419" s="3">
        <f t="shared" si="8"/>
        <v>415.9725738</v>
      </c>
      <c r="M419" s="31">
        <f t="shared" si="9"/>
        <v>419.7775196</v>
      </c>
      <c r="N419" s="14">
        <f t="shared" si="10"/>
        <v>-3.804945738</v>
      </c>
      <c r="O419" s="3"/>
      <c r="P419" s="3"/>
      <c r="Q419" s="3"/>
      <c r="R419" s="2"/>
      <c r="S419" s="14">
        <f t="shared" si="13"/>
        <v>-3.494066948</v>
      </c>
    </row>
    <row r="420">
      <c r="A420" s="11">
        <v>408.0</v>
      </c>
      <c r="B420" s="11">
        <v>1.42116956521739E9</v>
      </c>
      <c r="C420" s="2">
        <v>-102.5942917</v>
      </c>
      <c r="D420" s="3">
        <f t="shared" si="1"/>
        <v>769565.2174</v>
      </c>
      <c r="E420" s="4">
        <f t="shared" si="2"/>
        <v>-163.4567115</v>
      </c>
      <c r="F420" s="3">
        <f t="shared" si="16"/>
        <v>0.0002124013765</v>
      </c>
      <c r="G420" s="3">
        <f t="shared" si="4"/>
        <v>0</v>
      </c>
      <c r="H420" s="2">
        <f t="shared" si="5"/>
        <v>0</v>
      </c>
      <c r="I420" s="3">
        <f t="shared" si="6"/>
        <v>0</v>
      </c>
      <c r="J420" s="3">
        <f t="shared" si="7"/>
        <v>0</v>
      </c>
      <c r="K420" s="3"/>
      <c r="L420" s="3">
        <f t="shared" si="8"/>
        <v>418.482207</v>
      </c>
      <c r="M420" s="31">
        <f t="shared" si="9"/>
        <v>419.6466428</v>
      </c>
      <c r="N420" s="14">
        <f t="shared" si="10"/>
        <v>-1.164435789</v>
      </c>
      <c r="O420" s="3"/>
      <c r="P420" s="3"/>
      <c r="Q420" s="3"/>
      <c r="R420" s="2"/>
      <c r="S420" s="14">
        <f t="shared" si="13"/>
        <v>-1.069296882</v>
      </c>
    </row>
    <row r="421">
      <c r="A421" s="11">
        <v>409.0</v>
      </c>
      <c r="B421" s="11">
        <v>1.42117391304347E9</v>
      </c>
      <c r="C421" s="2">
        <v>-102.5210342</v>
      </c>
      <c r="D421" s="3">
        <f t="shared" si="1"/>
        <v>773913.0435</v>
      </c>
      <c r="E421" s="4">
        <f t="shared" si="2"/>
        <v>-164.3750077</v>
      </c>
      <c r="F421" s="3">
        <f t="shared" si="16"/>
        <v>0.0002123946728</v>
      </c>
      <c r="G421" s="3">
        <f t="shared" si="4"/>
        <v>0</v>
      </c>
      <c r="H421" s="2">
        <f t="shared" si="5"/>
        <v>0</v>
      </c>
      <c r="I421" s="3">
        <f t="shared" si="6"/>
        <v>0</v>
      </c>
      <c r="J421" s="3">
        <f t="shared" si="7"/>
        <v>0</v>
      </c>
      <c r="K421" s="3"/>
      <c r="L421" s="3">
        <f t="shared" si="8"/>
        <v>425.6011055</v>
      </c>
      <c r="M421" s="31">
        <f t="shared" si="9"/>
        <v>419.5155111</v>
      </c>
      <c r="N421" s="14">
        <f t="shared" si="10"/>
        <v>6.085594424</v>
      </c>
      <c r="O421" s="3"/>
      <c r="P421" s="3"/>
      <c r="Q421" s="3"/>
      <c r="R421" s="2"/>
      <c r="S421" s="14">
        <f t="shared" si="13"/>
        <v>5.588377825</v>
      </c>
    </row>
    <row r="422">
      <c r="A422" s="11">
        <v>410.0</v>
      </c>
      <c r="B422" s="11">
        <v>1.42117826086956E9</v>
      </c>
      <c r="C422" s="2">
        <v>-102.5552368</v>
      </c>
      <c r="D422" s="3">
        <f t="shared" si="1"/>
        <v>778260.8696</v>
      </c>
      <c r="E422" s="4">
        <f t="shared" si="2"/>
        <v>-165.2933038</v>
      </c>
      <c r="F422" s="3">
        <f t="shared" si="16"/>
        <v>0.000212388044</v>
      </c>
      <c r="G422" s="3">
        <f t="shared" si="4"/>
        <v>0</v>
      </c>
      <c r="H422" s="2">
        <f t="shared" si="5"/>
        <v>0</v>
      </c>
      <c r="I422" s="3">
        <f t="shared" si="6"/>
        <v>0</v>
      </c>
      <c r="J422" s="3">
        <f t="shared" si="7"/>
        <v>0</v>
      </c>
      <c r="K422" s="3"/>
      <c r="L422" s="3">
        <f t="shared" si="8"/>
        <v>422.2624735</v>
      </c>
      <c r="M422" s="31">
        <f t="shared" si="9"/>
        <v>419.3841238</v>
      </c>
      <c r="N422" s="14">
        <f t="shared" si="10"/>
        <v>2.878349757</v>
      </c>
      <c r="O422" s="3"/>
      <c r="P422" s="3"/>
      <c r="Q422" s="3"/>
      <c r="R422" s="2"/>
      <c r="S422" s="14">
        <f t="shared" si="13"/>
        <v>2.643177444</v>
      </c>
    </row>
    <row r="423">
      <c r="A423" s="11">
        <v>411.0</v>
      </c>
      <c r="B423" s="11">
        <v>1.42118260869565E9</v>
      </c>
      <c r="C423" s="2">
        <v>-102.5222778</v>
      </c>
      <c r="D423" s="3">
        <f t="shared" si="1"/>
        <v>782608.6957</v>
      </c>
      <c r="E423" s="4">
        <f t="shared" si="2"/>
        <v>-166.2115999</v>
      </c>
      <c r="F423" s="3">
        <f t="shared" si="16"/>
        <v>0.0002123814888</v>
      </c>
      <c r="G423" s="3">
        <f t="shared" si="4"/>
        <v>0</v>
      </c>
      <c r="H423" s="2">
        <f t="shared" si="5"/>
        <v>0</v>
      </c>
      <c r="I423" s="3">
        <f t="shared" si="6"/>
        <v>0</v>
      </c>
      <c r="J423" s="3">
        <f t="shared" si="7"/>
        <v>0</v>
      </c>
      <c r="K423" s="3"/>
      <c r="L423" s="3">
        <f t="shared" si="8"/>
        <v>425.4792523</v>
      </c>
      <c r="M423" s="31">
        <f t="shared" si="9"/>
        <v>419.25248</v>
      </c>
      <c r="N423" s="14">
        <f t="shared" si="10"/>
        <v>6.226772289</v>
      </c>
      <c r="O423" s="3"/>
      <c r="P423" s="3"/>
      <c r="Q423" s="3"/>
      <c r="R423" s="2"/>
      <c r="S423" s="14">
        <f t="shared" si="13"/>
        <v>5.718020913</v>
      </c>
    </row>
    <row r="424">
      <c r="A424" s="11">
        <v>412.0</v>
      </c>
      <c r="B424" s="11">
        <v>1.42118695652173E9</v>
      </c>
      <c r="C424" s="2">
        <v>-102.5798492</v>
      </c>
      <c r="D424" s="3">
        <f t="shared" si="1"/>
        <v>786956.5217</v>
      </c>
      <c r="E424" s="4">
        <f t="shared" si="2"/>
        <v>-167.129896</v>
      </c>
      <c r="F424" s="3">
        <f t="shared" si="16"/>
        <v>0.000212375006</v>
      </c>
      <c r="G424" s="3">
        <f t="shared" si="4"/>
        <v>0</v>
      </c>
      <c r="H424" s="2">
        <f t="shared" si="5"/>
        <v>0</v>
      </c>
      <c r="I424" s="3">
        <f t="shared" si="6"/>
        <v>0</v>
      </c>
      <c r="J424" s="3">
        <f t="shared" si="7"/>
        <v>0</v>
      </c>
      <c r="K424" s="3"/>
      <c r="L424" s="3">
        <f t="shared" si="8"/>
        <v>419.8761897</v>
      </c>
      <c r="M424" s="31">
        <f t="shared" si="9"/>
        <v>419.120579</v>
      </c>
      <c r="N424" s="14">
        <f t="shared" si="10"/>
        <v>0.7556106446</v>
      </c>
      <c r="O424" s="3"/>
      <c r="P424" s="3"/>
      <c r="Q424" s="3"/>
      <c r="R424" s="2"/>
      <c r="S424" s="14">
        <f t="shared" si="13"/>
        <v>0.6938743328</v>
      </c>
    </row>
    <row r="425">
      <c r="A425" s="11">
        <v>413.0</v>
      </c>
      <c r="B425" s="11">
        <v>1.42119130434782E9</v>
      </c>
      <c r="C425" s="2">
        <v>-102.6067429</v>
      </c>
      <c r="D425" s="3">
        <f t="shared" si="1"/>
        <v>791304.3478</v>
      </c>
      <c r="E425" s="4">
        <f t="shared" si="2"/>
        <v>-168.0481922</v>
      </c>
      <c r="F425" s="3">
        <f t="shared" si="16"/>
        <v>0.0002123685945</v>
      </c>
      <c r="G425" s="3">
        <f t="shared" si="4"/>
        <v>0</v>
      </c>
      <c r="H425" s="2">
        <f t="shared" si="5"/>
        <v>0</v>
      </c>
      <c r="I425" s="3">
        <f t="shared" si="6"/>
        <v>0</v>
      </c>
      <c r="J425" s="3">
        <f t="shared" si="7"/>
        <v>0</v>
      </c>
      <c r="K425" s="3"/>
      <c r="L425" s="3">
        <f t="shared" si="8"/>
        <v>417.2841389</v>
      </c>
      <c r="M425" s="31">
        <f t="shared" si="9"/>
        <v>418.98842</v>
      </c>
      <c r="N425" s="14">
        <f t="shared" si="10"/>
        <v>-1.704281115</v>
      </c>
      <c r="O425" s="3"/>
      <c r="P425" s="3"/>
      <c r="Q425" s="3"/>
      <c r="R425" s="2"/>
      <c r="S425" s="14">
        <f t="shared" si="13"/>
        <v>-1.565034757</v>
      </c>
    </row>
    <row r="426">
      <c r="A426" s="11">
        <v>414.0</v>
      </c>
      <c r="B426" s="11">
        <v>1.42119565217391E9</v>
      </c>
      <c r="C426" s="2">
        <v>-102.6105347</v>
      </c>
      <c r="D426" s="3">
        <f t="shared" si="1"/>
        <v>795652.1739</v>
      </c>
      <c r="E426" s="4">
        <f t="shared" si="2"/>
        <v>-168.9664883</v>
      </c>
      <c r="F426" s="3">
        <f t="shared" si="16"/>
        <v>0.0002123622531</v>
      </c>
      <c r="G426" s="3">
        <f t="shared" si="4"/>
        <v>0</v>
      </c>
      <c r="H426" s="2">
        <f t="shared" si="5"/>
        <v>0</v>
      </c>
      <c r="I426" s="3">
        <f t="shared" si="6"/>
        <v>0</v>
      </c>
      <c r="J426" s="3">
        <f t="shared" si="7"/>
        <v>0</v>
      </c>
      <c r="K426" s="3"/>
      <c r="L426" s="3">
        <f t="shared" si="8"/>
        <v>416.9199696</v>
      </c>
      <c r="M426" s="31">
        <f t="shared" si="9"/>
        <v>418.8560022</v>
      </c>
      <c r="N426" s="14">
        <f t="shared" si="10"/>
        <v>-1.936032688</v>
      </c>
      <c r="O426" s="3"/>
      <c r="P426" s="3"/>
      <c r="Q426" s="3"/>
      <c r="R426" s="2"/>
      <c r="S426" s="14">
        <f t="shared" si="13"/>
        <v>-1.777851326</v>
      </c>
    </row>
    <row r="427">
      <c r="A427" s="11">
        <v>415.0</v>
      </c>
      <c r="B427" s="11">
        <v>1.4212E9</v>
      </c>
      <c r="C427" s="2">
        <v>-102.5682831</v>
      </c>
      <c r="D427" s="3">
        <f t="shared" si="1"/>
        <v>800000</v>
      </c>
      <c r="E427" s="4">
        <f t="shared" si="2"/>
        <v>-169.8847844</v>
      </c>
      <c r="F427" s="3">
        <f t="shared" si="16"/>
        <v>0.0002123559806</v>
      </c>
      <c r="G427" s="3">
        <f t="shared" si="4"/>
        <v>0</v>
      </c>
      <c r="H427" s="2">
        <f t="shared" si="5"/>
        <v>0</v>
      </c>
      <c r="I427" s="3">
        <f t="shared" si="6"/>
        <v>0</v>
      </c>
      <c r="J427" s="3">
        <f t="shared" si="7"/>
        <v>0</v>
      </c>
      <c r="K427" s="3"/>
      <c r="L427" s="3">
        <f t="shared" si="8"/>
        <v>420.9958913</v>
      </c>
      <c r="M427" s="31">
        <f t="shared" si="9"/>
        <v>418.7233249</v>
      </c>
      <c r="N427" s="14">
        <f t="shared" si="10"/>
        <v>2.27256645</v>
      </c>
      <c r="O427" s="3"/>
      <c r="P427" s="3"/>
      <c r="Q427" s="3"/>
      <c r="R427" s="2"/>
      <c r="S427" s="14">
        <f t="shared" si="13"/>
        <v>2.086888983</v>
      </c>
    </row>
    <row r="428">
      <c r="A428" s="11">
        <v>416.0</v>
      </c>
      <c r="B428" s="11">
        <v>1.42120434782608E9</v>
      </c>
      <c r="C428" s="2">
        <v>-102.6239319</v>
      </c>
      <c r="D428" s="3">
        <f t="shared" si="1"/>
        <v>804347.8261</v>
      </c>
      <c r="E428" s="4">
        <f t="shared" si="2"/>
        <v>-170.8030806</v>
      </c>
      <c r="F428" s="3">
        <f t="shared" si="16"/>
        <v>0.0002123497759</v>
      </c>
      <c r="G428" s="3">
        <f t="shared" si="4"/>
        <v>0</v>
      </c>
      <c r="H428" s="2">
        <f t="shared" si="5"/>
        <v>0</v>
      </c>
      <c r="I428" s="3">
        <f t="shared" si="6"/>
        <v>0</v>
      </c>
      <c r="J428" s="3">
        <f t="shared" si="7"/>
        <v>0</v>
      </c>
      <c r="K428" s="3"/>
      <c r="L428" s="3">
        <f t="shared" si="8"/>
        <v>415.6358285</v>
      </c>
      <c r="M428" s="31">
        <f t="shared" si="9"/>
        <v>418.5903871</v>
      </c>
      <c r="N428" s="14">
        <f t="shared" si="10"/>
        <v>-2.954558627</v>
      </c>
      <c r="O428" s="3"/>
      <c r="P428" s="3"/>
      <c r="Q428" s="3"/>
      <c r="R428" s="2"/>
      <c r="S428" s="14">
        <f t="shared" si="13"/>
        <v>-2.713159761</v>
      </c>
    </row>
    <row r="429">
      <c r="A429" s="11">
        <v>417.0</v>
      </c>
      <c r="B429" s="11">
        <v>1.42120869565217E9</v>
      </c>
      <c r="C429" s="2">
        <v>-102.615181</v>
      </c>
      <c r="D429" s="3">
        <f t="shared" si="1"/>
        <v>808695.6522</v>
      </c>
      <c r="E429" s="4">
        <f t="shared" si="2"/>
        <v>-171.7213767</v>
      </c>
      <c r="F429" s="3">
        <f t="shared" si="16"/>
        <v>0.0002123436379</v>
      </c>
      <c r="G429" s="3">
        <f t="shared" si="4"/>
        <v>0</v>
      </c>
      <c r="H429" s="2">
        <f t="shared" si="5"/>
        <v>0</v>
      </c>
      <c r="I429" s="3">
        <f t="shared" si="6"/>
        <v>0</v>
      </c>
      <c r="J429" s="3">
        <f t="shared" si="7"/>
        <v>0</v>
      </c>
      <c r="K429" s="3"/>
      <c r="L429" s="3">
        <f t="shared" si="8"/>
        <v>416.4741662</v>
      </c>
      <c r="M429" s="31">
        <f t="shared" si="9"/>
        <v>418.4571882</v>
      </c>
      <c r="N429" s="14">
        <f t="shared" si="10"/>
        <v>-1.983021989</v>
      </c>
      <c r="O429" s="3"/>
      <c r="P429" s="3"/>
      <c r="Q429" s="3"/>
      <c r="R429" s="2"/>
      <c r="S429" s="14">
        <f t="shared" si="13"/>
        <v>-1.821001419</v>
      </c>
    </row>
    <row r="430">
      <c r="A430" s="11">
        <v>418.0</v>
      </c>
      <c r="B430" s="11">
        <v>1.42121304347826E9</v>
      </c>
      <c r="C430" s="2">
        <v>-102.5933685</v>
      </c>
      <c r="D430" s="3">
        <f t="shared" si="1"/>
        <v>813043.4783</v>
      </c>
      <c r="E430" s="4">
        <f t="shared" si="2"/>
        <v>-172.6396728</v>
      </c>
      <c r="F430" s="3">
        <f t="shared" si="16"/>
        <v>0.0002123375655</v>
      </c>
      <c r="G430" s="3">
        <f t="shared" si="4"/>
        <v>0</v>
      </c>
      <c r="H430" s="2">
        <f t="shared" si="5"/>
        <v>0</v>
      </c>
      <c r="I430" s="3">
        <f t="shared" si="6"/>
        <v>0</v>
      </c>
      <c r="J430" s="3">
        <f t="shared" si="7"/>
        <v>0</v>
      </c>
      <c r="K430" s="3"/>
      <c r="L430" s="3">
        <f t="shared" si="8"/>
        <v>418.5711751</v>
      </c>
      <c r="M430" s="31">
        <f t="shared" si="9"/>
        <v>418.3237273</v>
      </c>
      <c r="N430" s="14">
        <f t="shared" si="10"/>
        <v>0.247447822</v>
      </c>
      <c r="O430" s="3"/>
      <c r="P430" s="3"/>
      <c r="Q430" s="3"/>
      <c r="R430" s="2"/>
      <c r="S430" s="14">
        <f t="shared" si="13"/>
        <v>0.227230378</v>
      </c>
    </row>
    <row r="431">
      <c r="A431" s="11">
        <v>419.0</v>
      </c>
      <c r="B431" s="11">
        <v>1.42121739130434E9</v>
      </c>
      <c r="C431" s="2">
        <v>-102.6281433</v>
      </c>
      <c r="D431" s="3">
        <f t="shared" si="1"/>
        <v>817391.3043</v>
      </c>
      <c r="E431" s="4">
        <f t="shared" si="2"/>
        <v>-173.557969</v>
      </c>
      <c r="F431" s="3">
        <f t="shared" si="16"/>
        <v>0.0002123315578</v>
      </c>
      <c r="G431" s="3">
        <f t="shared" si="4"/>
        <v>0</v>
      </c>
      <c r="H431" s="2">
        <f t="shared" si="5"/>
        <v>0</v>
      </c>
      <c r="I431" s="3">
        <f t="shared" si="6"/>
        <v>0</v>
      </c>
      <c r="J431" s="3">
        <f t="shared" si="7"/>
        <v>0</v>
      </c>
      <c r="K431" s="3"/>
      <c r="L431" s="3">
        <f t="shared" si="8"/>
        <v>415.2329773</v>
      </c>
      <c r="M431" s="31">
        <f t="shared" si="9"/>
        <v>418.1900037</v>
      </c>
      <c r="N431" s="14">
        <f t="shared" si="10"/>
        <v>-2.957026373</v>
      </c>
      <c r="O431" s="3"/>
      <c r="P431" s="3"/>
      <c r="Q431" s="3"/>
      <c r="R431" s="2"/>
      <c r="S431" s="14">
        <f t="shared" si="13"/>
        <v>-2.715425883</v>
      </c>
    </row>
    <row r="432">
      <c r="A432" s="11">
        <v>420.0</v>
      </c>
      <c r="B432" s="11">
        <v>1.42122173913043E9</v>
      </c>
      <c r="C432" s="2">
        <v>-102.5516052</v>
      </c>
      <c r="D432" s="3">
        <f t="shared" si="1"/>
        <v>821739.1304</v>
      </c>
      <c r="E432" s="4">
        <f t="shared" si="2"/>
        <v>-174.4762651</v>
      </c>
      <c r="F432" s="3">
        <f t="shared" si="16"/>
        <v>0.0002123256136</v>
      </c>
      <c r="G432" s="3">
        <f t="shared" si="4"/>
        <v>0</v>
      </c>
      <c r="H432" s="2">
        <f t="shared" si="5"/>
        <v>0</v>
      </c>
      <c r="I432" s="3">
        <f t="shared" si="6"/>
        <v>0</v>
      </c>
      <c r="J432" s="3">
        <f t="shared" si="7"/>
        <v>0</v>
      </c>
      <c r="K432" s="3"/>
      <c r="L432" s="3">
        <f t="shared" si="8"/>
        <v>422.61572</v>
      </c>
      <c r="M432" s="31">
        <f t="shared" si="9"/>
        <v>418.0560166</v>
      </c>
      <c r="N432" s="14">
        <f t="shared" si="10"/>
        <v>4.559703386</v>
      </c>
      <c r="O432" s="3"/>
      <c r="P432" s="3"/>
      <c r="Q432" s="3"/>
      <c r="R432" s="2"/>
      <c r="S432" s="14">
        <f t="shared" si="13"/>
        <v>4.187157976</v>
      </c>
    </row>
    <row r="433">
      <c r="A433" s="11">
        <v>421.0</v>
      </c>
      <c r="B433" s="11">
        <v>1.42122608695652E9</v>
      </c>
      <c r="C433" s="2">
        <v>-102.5895538</v>
      </c>
      <c r="D433" s="3">
        <f t="shared" si="1"/>
        <v>826086.9565</v>
      </c>
      <c r="E433" s="4">
        <f t="shared" si="2"/>
        <v>-175.3945612</v>
      </c>
      <c r="F433" s="3">
        <f t="shared" si="16"/>
        <v>0.000212319732</v>
      </c>
      <c r="G433" s="3">
        <f t="shared" si="4"/>
        <v>0</v>
      </c>
      <c r="H433" s="2">
        <f t="shared" si="5"/>
        <v>0</v>
      </c>
      <c r="I433" s="3">
        <f t="shared" si="6"/>
        <v>0</v>
      </c>
      <c r="J433" s="3">
        <f t="shared" si="7"/>
        <v>0</v>
      </c>
      <c r="K433" s="3"/>
      <c r="L433" s="3">
        <f t="shared" si="8"/>
        <v>418.9389958</v>
      </c>
      <c r="M433" s="31">
        <f t="shared" si="9"/>
        <v>417.9217651</v>
      </c>
      <c r="N433" s="14">
        <f t="shared" si="10"/>
        <v>1.017230696</v>
      </c>
      <c r="O433" s="3"/>
      <c r="P433" s="3"/>
      <c r="Q433" s="3"/>
      <c r="R433" s="2"/>
      <c r="S433" s="14">
        <f t="shared" si="13"/>
        <v>0.9341190146</v>
      </c>
    </row>
    <row r="434">
      <c r="A434" s="11">
        <v>422.0</v>
      </c>
      <c r="B434" s="11">
        <v>1.4212304347826E9</v>
      </c>
      <c r="C434" s="2">
        <v>-102.6046143</v>
      </c>
      <c r="D434" s="3">
        <f t="shared" si="1"/>
        <v>830434.7826</v>
      </c>
      <c r="E434" s="4">
        <f t="shared" si="2"/>
        <v>-176.3128574</v>
      </c>
      <c r="F434" s="3">
        <f t="shared" si="16"/>
        <v>0.000212313912</v>
      </c>
      <c r="G434" s="3">
        <f t="shared" si="4"/>
        <v>0</v>
      </c>
      <c r="H434" s="2">
        <f t="shared" si="5"/>
        <v>0</v>
      </c>
      <c r="I434" s="3">
        <f t="shared" si="6"/>
        <v>0</v>
      </c>
      <c r="J434" s="3">
        <f t="shared" si="7"/>
        <v>0</v>
      </c>
      <c r="K434" s="3"/>
      <c r="L434" s="3">
        <f t="shared" si="8"/>
        <v>417.4887118</v>
      </c>
      <c r="M434" s="31">
        <f t="shared" si="9"/>
        <v>417.7872486</v>
      </c>
      <c r="N434" s="14">
        <f t="shared" si="10"/>
        <v>-0.2985367659</v>
      </c>
      <c r="O434" s="3"/>
      <c r="P434" s="3"/>
      <c r="Q434" s="3"/>
      <c r="R434" s="2"/>
      <c r="S434" s="14">
        <f t="shared" si="13"/>
        <v>-0.2741451576</v>
      </c>
    </row>
    <row r="435">
      <c r="A435" s="11">
        <v>423.0</v>
      </c>
      <c r="B435" s="11">
        <v>1.42123478260869E9</v>
      </c>
      <c r="C435" s="2">
        <v>-102.6676712</v>
      </c>
      <c r="D435" s="3">
        <f t="shared" si="1"/>
        <v>834782.6087</v>
      </c>
      <c r="E435" s="4">
        <f t="shared" si="2"/>
        <v>-177.2311535</v>
      </c>
      <c r="F435" s="3">
        <f t="shared" si="16"/>
        <v>0.0002123081526</v>
      </c>
      <c r="G435" s="3">
        <f t="shared" si="4"/>
        <v>0</v>
      </c>
      <c r="H435" s="2">
        <f t="shared" si="5"/>
        <v>0</v>
      </c>
      <c r="I435" s="3">
        <f t="shared" si="6"/>
        <v>0</v>
      </c>
      <c r="J435" s="3">
        <f t="shared" si="7"/>
        <v>0</v>
      </c>
      <c r="K435" s="3"/>
      <c r="L435" s="3">
        <f t="shared" si="8"/>
        <v>411.470825</v>
      </c>
      <c r="M435" s="31">
        <f t="shared" si="9"/>
        <v>417.6524661</v>
      </c>
      <c r="N435" s="14">
        <f t="shared" si="10"/>
        <v>-6.181641099</v>
      </c>
      <c r="O435" s="3"/>
      <c r="P435" s="3"/>
      <c r="Q435" s="3"/>
      <c r="R435" s="2"/>
      <c r="S435" s="14">
        <f t="shared" si="13"/>
        <v>-5.676577116</v>
      </c>
    </row>
    <row r="436">
      <c r="A436" s="11">
        <v>424.0</v>
      </c>
      <c r="B436" s="11">
        <v>1.42123913043478E9</v>
      </c>
      <c r="C436" s="2">
        <v>-102.6219025</v>
      </c>
      <c r="D436" s="3">
        <f t="shared" si="1"/>
        <v>839130.4348</v>
      </c>
      <c r="E436" s="4">
        <f t="shared" si="2"/>
        <v>-178.1494496</v>
      </c>
      <c r="F436" s="3">
        <f t="shared" si="16"/>
        <v>0.0002123024529</v>
      </c>
      <c r="G436" s="3">
        <f t="shared" si="4"/>
        <v>0</v>
      </c>
      <c r="H436" s="2">
        <f t="shared" si="5"/>
        <v>0</v>
      </c>
      <c r="I436" s="3">
        <f t="shared" si="6"/>
        <v>0</v>
      </c>
      <c r="J436" s="3">
        <f t="shared" si="7"/>
        <v>0</v>
      </c>
      <c r="K436" s="3"/>
      <c r="L436" s="3">
        <f t="shared" si="8"/>
        <v>415.8300949</v>
      </c>
      <c r="M436" s="31">
        <f t="shared" si="9"/>
        <v>417.517417</v>
      </c>
      <c r="N436" s="14">
        <f t="shared" si="10"/>
        <v>-1.687322095</v>
      </c>
      <c r="O436" s="3"/>
      <c r="P436" s="3"/>
      <c r="Q436" s="3"/>
      <c r="R436" s="2"/>
      <c r="S436" s="14">
        <f t="shared" si="13"/>
        <v>-1.549461351</v>
      </c>
    </row>
    <row r="437">
      <c r="A437" s="11">
        <v>425.0</v>
      </c>
      <c r="B437" s="11">
        <v>1.42124347826087E9</v>
      </c>
      <c r="C437" s="2">
        <v>-102.6716156</v>
      </c>
      <c r="D437" s="3">
        <f t="shared" si="1"/>
        <v>843478.2609</v>
      </c>
      <c r="E437" s="4">
        <f t="shared" si="2"/>
        <v>-179.0677458</v>
      </c>
      <c r="F437" s="3">
        <f t="shared" si="16"/>
        <v>0.000212296812</v>
      </c>
      <c r="G437" s="3">
        <f t="shared" si="4"/>
        <v>0</v>
      </c>
      <c r="H437" s="2">
        <f t="shared" si="5"/>
        <v>0</v>
      </c>
      <c r="I437" s="3">
        <f t="shared" si="6"/>
        <v>0</v>
      </c>
      <c r="J437" s="3">
        <f t="shared" si="7"/>
        <v>0</v>
      </c>
      <c r="K437" s="3"/>
      <c r="L437" s="3">
        <f t="shared" si="8"/>
        <v>411.0972839</v>
      </c>
      <c r="M437" s="31">
        <f t="shared" si="9"/>
        <v>417.3821004</v>
      </c>
      <c r="N437" s="14">
        <f t="shared" si="10"/>
        <v>-6.284816586</v>
      </c>
      <c r="O437" s="3"/>
      <c r="P437" s="3"/>
      <c r="Q437" s="3"/>
      <c r="R437" s="2"/>
      <c r="S437" s="14">
        <f t="shared" si="13"/>
        <v>-5.771322766</v>
      </c>
    </row>
    <row r="438">
      <c r="A438" s="11">
        <v>426.0</v>
      </c>
      <c r="B438" s="11">
        <v>1.42124782608695E9</v>
      </c>
      <c r="C438" s="2">
        <v>-102.6053162</v>
      </c>
      <c r="D438" s="3">
        <f t="shared" si="1"/>
        <v>847826.087</v>
      </c>
      <c r="E438" s="4">
        <f t="shared" si="2"/>
        <v>-179.9860419</v>
      </c>
      <c r="F438" s="3">
        <f t="shared" si="16"/>
        <v>0.0002122912289</v>
      </c>
      <c r="G438" s="3">
        <f t="shared" si="4"/>
        <v>0</v>
      </c>
      <c r="H438" s="2">
        <f t="shared" si="5"/>
        <v>0</v>
      </c>
      <c r="I438" s="3">
        <f t="shared" si="6"/>
        <v>0</v>
      </c>
      <c r="J438" s="3">
        <f t="shared" si="7"/>
        <v>0</v>
      </c>
      <c r="K438" s="3"/>
      <c r="L438" s="3">
        <f t="shared" si="8"/>
        <v>417.4212434</v>
      </c>
      <c r="M438" s="31">
        <f t="shared" si="9"/>
        <v>417.2465156</v>
      </c>
      <c r="N438" s="14">
        <f t="shared" si="10"/>
        <v>0.1747277624</v>
      </c>
      <c r="O438" s="3"/>
      <c r="P438" s="3"/>
      <c r="Q438" s="3"/>
      <c r="R438" s="2"/>
      <c r="S438" s="14">
        <f t="shared" si="13"/>
        <v>0.1604518285</v>
      </c>
    </row>
    <row r="439">
      <c r="A439" s="11">
        <v>427.0</v>
      </c>
      <c r="B439" s="11">
        <v>1.42125217391304E9</v>
      </c>
      <c r="C439" s="2">
        <v>-102.5659561</v>
      </c>
      <c r="D439" s="3">
        <f t="shared" si="1"/>
        <v>852173.913</v>
      </c>
      <c r="E439" s="4">
        <f t="shared" si="2"/>
        <v>-180.904338</v>
      </c>
      <c r="F439" s="3">
        <f t="shared" si="16"/>
        <v>0.0002122857028</v>
      </c>
      <c r="G439" s="3">
        <f t="shared" si="4"/>
        <v>0</v>
      </c>
      <c r="H439" s="2">
        <f t="shared" si="5"/>
        <v>0</v>
      </c>
      <c r="I439" s="3">
        <f t="shared" si="6"/>
        <v>0</v>
      </c>
      <c r="J439" s="3">
        <f t="shared" si="7"/>
        <v>0</v>
      </c>
      <c r="K439" s="3"/>
      <c r="L439" s="3">
        <f t="shared" si="8"/>
        <v>421.2215262</v>
      </c>
      <c r="M439" s="31">
        <f t="shared" si="9"/>
        <v>417.1106617</v>
      </c>
      <c r="N439" s="14">
        <f t="shared" si="10"/>
        <v>4.110864467</v>
      </c>
      <c r="O439" s="3"/>
      <c r="P439" s="3"/>
      <c r="Q439" s="3"/>
      <c r="R439" s="2"/>
      <c r="S439" s="14">
        <f t="shared" si="13"/>
        <v>3.774990934</v>
      </c>
    </row>
    <row r="440">
      <c r="A440" s="11">
        <v>428.0</v>
      </c>
      <c r="B440" s="11">
        <v>1.42125652173913E9</v>
      </c>
      <c r="C440" s="2">
        <v>-102.6162643</v>
      </c>
      <c r="D440" s="3">
        <f t="shared" si="1"/>
        <v>856521.7391</v>
      </c>
      <c r="E440" s="4">
        <f t="shared" si="2"/>
        <v>-181.8226342</v>
      </c>
      <c r="F440" s="3">
        <f t="shared" si="16"/>
        <v>0.0002122802328</v>
      </c>
      <c r="G440" s="3">
        <f t="shared" si="4"/>
        <v>0</v>
      </c>
      <c r="H440" s="2">
        <f t="shared" si="5"/>
        <v>0</v>
      </c>
      <c r="I440" s="3">
        <f t="shared" si="6"/>
        <v>0</v>
      </c>
      <c r="J440" s="3">
        <f t="shared" si="7"/>
        <v>0</v>
      </c>
      <c r="K440" s="3"/>
      <c r="L440" s="3">
        <f t="shared" si="8"/>
        <v>416.3702942</v>
      </c>
      <c r="M440" s="31">
        <f t="shared" si="9"/>
        <v>416.9745381</v>
      </c>
      <c r="N440" s="14">
        <f t="shared" si="10"/>
        <v>-0.604243827</v>
      </c>
      <c r="O440" s="3"/>
      <c r="P440" s="3"/>
      <c r="Q440" s="3"/>
      <c r="R440" s="2"/>
      <c r="S440" s="14">
        <f t="shared" si="13"/>
        <v>-0.5548747696</v>
      </c>
    </row>
    <row r="441">
      <c r="A441" s="11">
        <v>429.0</v>
      </c>
      <c r="B441" s="11">
        <v>1.42126086956521E9</v>
      </c>
      <c r="C441" s="2">
        <v>-102.5967712</v>
      </c>
      <c r="D441" s="3">
        <f t="shared" si="1"/>
        <v>860869.5652</v>
      </c>
      <c r="E441" s="4">
        <f t="shared" si="2"/>
        <v>-182.7409303</v>
      </c>
      <c r="F441" s="3">
        <f t="shared" si="16"/>
        <v>0.000212274818</v>
      </c>
      <c r="G441" s="3">
        <f t="shared" si="4"/>
        <v>0</v>
      </c>
      <c r="H441" s="2">
        <f t="shared" si="5"/>
        <v>0</v>
      </c>
      <c r="I441" s="3">
        <f t="shared" si="6"/>
        <v>0</v>
      </c>
      <c r="J441" s="3">
        <f t="shared" si="7"/>
        <v>0</v>
      </c>
      <c r="K441" s="3"/>
      <c r="L441" s="3">
        <f t="shared" si="8"/>
        <v>418.2433528</v>
      </c>
      <c r="M441" s="31">
        <f t="shared" si="9"/>
        <v>416.8381438</v>
      </c>
      <c r="N441" s="14">
        <f t="shared" si="10"/>
        <v>1.405209041</v>
      </c>
      <c r="O441" s="3"/>
      <c r="P441" s="3"/>
      <c r="Q441" s="3"/>
      <c r="R441" s="2"/>
      <c r="S441" s="14">
        <f t="shared" si="13"/>
        <v>1.290398029</v>
      </c>
    </row>
    <row r="442">
      <c r="A442" s="11">
        <v>430.0</v>
      </c>
      <c r="B442" s="11">
        <v>1.4212652173913E9</v>
      </c>
      <c r="C442" s="2">
        <v>-102.6131973</v>
      </c>
      <c r="D442" s="3">
        <f t="shared" si="1"/>
        <v>865217.3913</v>
      </c>
      <c r="E442" s="4">
        <f t="shared" si="2"/>
        <v>-183.6592264</v>
      </c>
      <c r="F442" s="3">
        <f t="shared" si="16"/>
        <v>0.0002122694577</v>
      </c>
      <c r="G442" s="3">
        <f t="shared" si="4"/>
        <v>0</v>
      </c>
      <c r="H442" s="2">
        <f t="shared" si="5"/>
        <v>0</v>
      </c>
      <c r="I442" s="3">
        <f t="shared" si="6"/>
        <v>0</v>
      </c>
      <c r="J442" s="3">
        <f t="shared" si="7"/>
        <v>0</v>
      </c>
      <c r="K442" s="3"/>
      <c r="L442" s="3">
        <f t="shared" si="8"/>
        <v>416.66444</v>
      </c>
      <c r="M442" s="31">
        <f t="shared" si="9"/>
        <v>416.701478</v>
      </c>
      <c r="N442" s="14">
        <f t="shared" si="10"/>
        <v>-0.03703807774</v>
      </c>
      <c r="O442" s="3"/>
      <c r="P442" s="3"/>
      <c r="Q442" s="3"/>
      <c r="R442" s="2"/>
      <c r="S442" s="14">
        <f t="shared" si="13"/>
        <v>-0.03401192347</v>
      </c>
    </row>
    <row r="443">
      <c r="A443" s="11">
        <v>431.0</v>
      </c>
      <c r="B443" s="11">
        <v>1.42126956521739E9</v>
      </c>
      <c r="C443" s="2">
        <v>-102.6954269</v>
      </c>
      <c r="D443" s="3">
        <f t="shared" si="1"/>
        <v>869565.2174</v>
      </c>
      <c r="E443" s="4">
        <f t="shared" si="2"/>
        <v>-184.5775226</v>
      </c>
      <c r="F443" s="3">
        <f t="shared" si="16"/>
        <v>0.0002122641509</v>
      </c>
      <c r="G443" s="3">
        <f t="shared" si="4"/>
        <v>0</v>
      </c>
      <c r="H443" s="2">
        <f t="shared" si="5"/>
        <v>0</v>
      </c>
      <c r="I443" s="3">
        <f t="shared" si="6"/>
        <v>0</v>
      </c>
      <c r="J443" s="3">
        <f t="shared" si="7"/>
        <v>0</v>
      </c>
      <c r="K443" s="3"/>
      <c r="L443" s="3">
        <f t="shared" si="8"/>
        <v>408.849506</v>
      </c>
      <c r="M443" s="31">
        <f t="shared" si="9"/>
        <v>416.5645402</v>
      </c>
      <c r="N443" s="14">
        <f t="shared" si="10"/>
        <v>-7.715034119</v>
      </c>
      <c r="O443" s="3"/>
      <c r="P443" s="3"/>
      <c r="Q443" s="3"/>
      <c r="R443" s="2"/>
      <c r="S443" s="14">
        <f t="shared" si="13"/>
        <v>-7.084685996</v>
      </c>
    </row>
    <row r="444">
      <c r="A444" s="11">
        <v>432.0</v>
      </c>
      <c r="B444" s="11">
        <v>1.42127391304347E9</v>
      </c>
      <c r="C444" s="2">
        <v>-102.5870972</v>
      </c>
      <c r="D444" s="3">
        <f t="shared" si="1"/>
        <v>873913.0435</v>
      </c>
      <c r="E444" s="4">
        <f t="shared" si="2"/>
        <v>-185.4958187</v>
      </c>
      <c r="F444" s="3">
        <f t="shared" si="16"/>
        <v>0.000212258897</v>
      </c>
      <c r="G444" s="3">
        <f t="shared" si="4"/>
        <v>0</v>
      </c>
      <c r="H444" s="2">
        <f t="shared" si="5"/>
        <v>0</v>
      </c>
      <c r="I444" s="3">
        <f t="shared" si="6"/>
        <v>0</v>
      </c>
      <c r="J444" s="3">
        <f t="shared" si="7"/>
        <v>0</v>
      </c>
      <c r="K444" s="3"/>
      <c r="L444" s="3">
        <f t="shared" si="8"/>
        <v>419.176037</v>
      </c>
      <c r="M444" s="31">
        <f t="shared" si="9"/>
        <v>416.4273293</v>
      </c>
      <c r="N444" s="14">
        <f t="shared" si="10"/>
        <v>2.748707688</v>
      </c>
      <c r="O444" s="3"/>
      <c r="P444" s="3"/>
      <c r="Q444" s="3"/>
      <c r="R444" s="2"/>
      <c r="S444" s="14">
        <f t="shared" si="13"/>
        <v>2.52412764</v>
      </c>
    </row>
    <row r="445">
      <c r="A445" s="11">
        <v>433.0</v>
      </c>
      <c r="B445" s="11">
        <v>1.42127826086956E9</v>
      </c>
      <c r="C445" s="2">
        <v>-102.6048813</v>
      </c>
      <c r="D445" s="3">
        <f t="shared" si="1"/>
        <v>878260.8696</v>
      </c>
      <c r="E445" s="4">
        <f t="shared" si="2"/>
        <v>-186.4141148</v>
      </c>
      <c r="F445" s="3">
        <f t="shared" si="16"/>
        <v>0.0002122536951</v>
      </c>
      <c r="G445" s="3">
        <f t="shared" si="4"/>
        <v>0</v>
      </c>
      <c r="H445" s="2">
        <f t="shared" si="5"/>
        <v>0</v>
      </c>
      <c r="I445" s="3">
        <f t="shared" si="6"/>
        <v>0</v>
      </c>
      <c r="J445" s="3">
        <f t="shared" si="7"/>
        <v>0</v>
      </c>
      <c r="K445" s="3"/>
      <c r="L445" s="3">
        <f t="shared" si="8"/>
        <v>417.4630458</v>
      </c>
      <c r="M445" s="31">
        <f t="shared" si="9"/>
        <v>416.2898446</v>
      </c>
      <c r="N445" s="14">
        <f t="shared" si="10"/>
        <v>1.173201144</v>
      </c>
      <c r="O445" s="3"/>
      <c r="P445" s="3"/>
      <c r="Q445" s="3"/>
      <c r="R445" s="2"/>
      <c r="S445" s="14">
        <f t="shared" si="13"/>
        <v>1.077346071</v>
      </c>
    </row>
    <row r="446">
      <c r="A446" s="11">
        <v>434.0</v>
      </c>
      <c r="B446" s="11">
        <v>1.42128260869565E9</v>
      </c>
      <c r="C446" s="2">
        <v>-102.6597519</v>
      </c>
      <c r="D446" s="3">
        <f t="shared" si="1"/>
        <v>882608.6957</v>
      </c>
      <c r="E446" s="4">
        <f t="shared" si="2"/>
        <v>-187.332411</v>
      </c>
      <c r="F446" s="3">
        <f t="shared" si="16"/>
        <v>0.0002122485444</v>
      </c>
      <c r="G446" s="3">
        <f t="shared" si="4"/>
        <v>0</v>
      </c>
      <c r="H446" s="2">
        <f t="shared" si="5"/>
        <v>0</v>
      </c>
      <c r="I446" s="3">
        <f t="shared" si="6"/>
        <v>0</v>
      </c>
      <c r="J446" s="3">
        <f t="shared" si="7"/>
        <v>0</v>
      </c>
      <c r="K446" s="3"/>
      <c r="L446" s="3">
        <f t="shared" si="8"/>
        <v>412.2218209</v>
      </c>
      <c r="M446" s="31">
        <f t="shared" si="9"/>
        <v>416.1520855</v>
      </c>
      <c r="N446" s="14">
        <f t="shared" si="10"/>
        <v>-3.930264549</v>
      </c>
      <c r="O446" s="3"/>
      <c r="P446" s="3"/>
      <c r="Q446" s="3"/>
      <c r="R446" s="2"/>
      <c r="S446" s="14">
        <f t="shared" si="13"/>
        <v>-3.609146736</v>
      </c>
    </row>
    <row r="447">
      <c r="A447" s="11">
        <v>435.0</v>
      </c>
      <c r="B447" s="11">
        <v>1.42128695652173E9</v>
      </c>
      <c r="C447" s="2">
        <v>-102.5886917</v>
      </c>
      <c r="D447" s="3">
        <f t="shared" si="1"/>
        <v>886956.5217</v>
      </c>
      <c r="E447" s="4">
        <f t="shared" si="2"/>
        <v>-188.2507071</v>
      </c>
      <c r="F447" s="3">
        <f t="shared" si="16"/>
        <v>0.0002122434443</v>
      </c>
      <c r="G447" s="3">
        <f t="shared" si="4"/>
        <v>0</v>
      </c>
      <c r="H447" s="2">
        <f t="shared" si="5"/>
        <v>0</v>
      </c>
      <c r="I447" s="3">
        <f t="shared" si="6"/>
        <v>0</v>
      </c>
      <c r="J447" s="3">
        <f t="shared" si="7"/>
        <v>0</v>
      </c>
      <c r="K447" s="3"/>
      <c r="L447" s="3">
        <f t="shared" si="8"/>
        <v>419.0221659</v>
      </c>
      <c r="M447" s="31">
        <f t="shared" si="9"/>
        <v>416.0140509</v>
      </c>
      <c r="N447" s="14">
        <f t="shared" si="10"/>
        <v>3.008114973</v>
      </c>
      <c r="O447" s="3"/>
      <c r="P447" s="3"/>
      <c r="Q447" s="3"/>
      <c r="R447" s="2"/>
      <c r="S447" s="14">
        <f t="shared" si="13"/>
        <v>2.762340347</v>
      </c>
    </row>
    <row r="448">
      <c r="A448" s="11">
        <v>436.0</v>
      </c>
      <c r="B448" s="11">
        <v>1.42129130434782E9</v>
      </c>
      <c r="C448" s="2">
        <v>-102.6438599</v>
      </c>
      <c r="D448" s="3">
        <f t="shared" si="1"/>
        <v>891304.3478</v>
      </c>
      <c r="E448" s="4">
        <f t="shared" si="2"/>
        <v>-189.1690032</v>
      </c>
      <c r="F448" s="3">
        <f t="shared" si="16"/>
        <v>0.0002122383939</v>
      </c>
      <c r="G448" s="3">
        <f t="shared" si="4"/>
        <v>0</v>
      </c>
      <c r="H448" s="2">
        <f t="shared" si="5"/>
        <v>0</v>
      </c>
      <c r="I448" s="3">
        <f t="shared" si="6"/>
        <v>0</v>
      </c>
      <c r="J448" s="3">
        <f t="shared" si="7"/>
        <v>0</v>
      </c>
      <c r="K448" s="3"/>
      <c r="L448" s="3">
        <f t="shared" si="8"/>
        <v>413.7330144</v>
      </c>
      <c r="M448" s="31">
        <f t="shared" si="9"/>
        <v>415.8757403</v>
      </c>
      <c r="N448" s="14">
        <f t="shared" si="10"/>
        <v>-2.142725918</v>
      </c>
      <c r="O448" s="3"/>
      <c r="P448" s="3"/>
      <c r="Q448" s="3"/>
      <c r="R448" s="2"/>
      <c r="S448" s="14">
        <f t="shared" si="13"/>
        <v>-1.967656924</v>
      </c>
    </row>
    <row r="449">
      <c r="A449" s="11">
        <v>437.0</v>
      </c>
      <c r="B449" s="11">
        <v>1.42129565217391E9</v>
      </c>
      <c r="C449" s="2">
        <v>-102.6371384</v>
      </c>
      <c r="D449" s="3">
        <f t="shared" si="1"/>
        <v>895652.1739</v>
      </c>
      <c r="E449" s="4">
        <f t="shared" si="2"/>
        <v>-190.0872994</v>
      </c>
      <c r="F449" s="3">
        <f t="shared" si="16"/>
        <v>0.0002122333925</v>
      </c>
      <c r="G449" s="3">
        <f t="shared" si="4"/>
        <v>0</v>
      </c>
      <c r="H449" s="2">
        <f t="shared" si="5"/>
        <v>0</v>
      </c>
      <c r="I449" s="3">
        <f t="shared" si="6"/>
        <v>0</v>
      </c>
      <c r="J449" s="3">
        <f t="shared" si="7"/>
        <v>0</v>
      </c>
      <c r="K449" s="3"/>
      <c r="L449" s="3">
        <f t="shared" si="8"/>
        <v>414.3738375</v>
      </c>
      <c r="M449" s="31">
        <f t="shared" si="9"/>
        <v>415.7371527</v>
      </c>
      <c r="N449" s="14">
        <f t="shared" si="10"/>
        <v>-1.363315212</v>
      </c>
      <c r="O449" s="3"/>
      <c r="P449" s="3"/>
      <c r="Q449" s="3"/>
      <c r="R449" s="2"/>
      <c r="S449" s="14">
        <f t="shared" si="13"/>
        <v>-1.251927084</v>
      </c>
    </row>
    <row r="450">
      <c r="A450" s="11">
        <v>438.0</v>
      </c>
      <c r="B450" s="11">
        <v>1.4213E9</v>
      </c>
      <c r="C450" s="2">
        <v>-102.6004562</v>
      </c>
      <c r="D450" s="3">
        <f t="shared" si="1"/>
        <v>900000</v>
      </c>
      <c r="E450" s="4">
        <f t="shared" si="2"/>
        <v>-191.0055955</v>
      </c>
      <c r="F450" s="3">
        <f t="shared" si="16"/>
        <v>0.0002122284394</v>
      </c>
      <c r="G450" s="3">
        <f t="shared" si="4"/>
        <v>0</v>
      </c>
      <c r="H450" s="2">
        <f t="shared" si="5"/>
        <v>0</v>
      </c>
      <c r="I450" s="3">
        <f t="shared" si="6"/>
        <v>0</v>
      </c>
      <c r="J450" s="3">
        <f t="shared" si="7"/>
        <v>0</v>
      </c>
      <c r="K450" s="3"/>
      <c r="L450" s="3">
        <f t="shared" si="8"/>
        <v>417.8886227</v>
      </c>
      <c r="M450" s="31">
        <f t="shared" si="9"/>
        <v>415.5982875</v>
      </c>
      <c r="N450" s="14">
        <f t="shared" si="10"/>
        <v>2.290335272</v>
      </c>
      <c r="O450" s="3"/>
      <c r="P450" s="3"/>
      <c r="Q450" s="3"/>
      <c r="R450" s="2"/>
      <c r="S450" s="14">
        <f t="shared" si="13"/>
        <v>2.103206023</v>
      </c>
    </row>
    <row r="451">
      <c r="A451" s="11">
        <v>439.0</v>
      </c>
      <c r="B451" s="11">
        <v>1.42130434782608E9</v>
      </c>
      <c r="C451" s="2">
        <v>-102.6252136</v>
      </c>
      <c r="D451" s="3">
        <f t="shared" si="1"/>
        <v>904347.8261</v>
      </c>
      <c r="E451" s="4">
        <f t="shared" si="2"/>
        <v>-191.9238916</v>
      </c>
      <c r="F451" s="3">
        <f t="shared" si="16"/>
        <v>0.000212223534</v>
      </c>
      <c r="G451" s="3">
        <f t="shared" si="4"/>
        <v>0</v>
      </c>
      <c r="H451" s="2">
        <f t="shared" si="5"/>
        <v>0</v>
      </c>
      <c r="I451" s="3">
        <f t="shared" si="6"/>
        <v>0</v>
      </c>
      <c r="J451" s="3">
        <f t="shared" si="7"/>
        <v>0</v>
      </c>
      <c r="K451" s="3"/>
      <c r="L451" s="3">
        <f t="shared" si="8"/>
        <v>415.5131832</v>
      </c>
      <c r="M451" s="31">
        <f t="shared" si="9"/>
        <v>415.4591437</v>
      </c>
      <c r="N451" s="14">
        <f t="shared" si="10"/>
        <v>0.05403944981</v>
      </c>
      <c r="O451" s="3"/>
      <c r="P451" s="3"/>
      <c r="Q451" s="3"/>
      <c r="R451" s="2"/>
      <c r="S451" s="14">
        <f t="shared" si="13"/>
        <v>0.04962421778</v>
      </c>
    </row>
    <row r="452">
      <c r="A452" s="11">
        <v>440.0</v>
      </c>
      <c r="B452" s="11">
        <v>1.42130869565217E9</v>
      </c>
      <c r="C452" s="2">
        <v>-102.6347656</v>
      </c>
      <c r="D452" s="3">
        <f t="shared" si="1"/>
        <v>908695.6522</v>
      </c>
      <c r="E452" s="4">
        <f t="shared" si="2"/>
        <v>-192.8421877</v>
      </c>
      <c r="F452" s="3">
        <f t="shared" si="16"/>
        <v>0.0002122186755</v>
      </c>
      <c r="G452" s="3">
        <f t="shared" si="4"/>
        <v>0</v>
      </c>
      <c r="H452" s="2">
        <f t="shared" si="5"/>
        <v>0</v>
      </c>
      <c r="I452" s="3">
        <f t="shared" si="6"/>
        <v>0</v>
      </c>
      <c r="J452" s="3">
        <f t="shared" si="7"/>
        <v>0</v>
      </c>
      <c r="K452" s="3"/>
      <c r="L452" s="3">
        <f t="shared" si="8"/>
        <v>414.6002956</v>
      </c>
      <c r="M452" s="31">
        <f t="shared" si="9"/>
        <v>415.3197207</v>
      </c>
      <c r="N452" s="14">
        <f t="shared" si="10"/>
        <v>-0.7194250983</v>
      </c>
      <c r="O452" s="3"/>
      <c r="P452" s="3"/>
      <c r="Q452" s="3"/>
      <c r="R452" s="2"/>
      <c r="S452" s="14">
        <f t="shared" si="13"/>
        <v>-0.660645284</v>
      </c>
    </row>
    <row r="453">
      <c r="A453" s="11">
        <v>441.0</v>
      </c>
      <c r="B453" s="11">
        <v>1.42131304347826E9</v>
      </c>
      <c r="C453" s="2">
        <v>-102.6112289</v>
      </c>
      <c r="D453" s="3">
        <f t="shared" si="1"/>
        <v>913043.4783</v>
      </c>
      <c r="E453" s="4">
        <f t="shared" si="2"/>
        <v>-193.7604839</v>
      </c>
      <c r="F453" s="3">
        <f t="shared" si="16"/>
        <v>0.0002122138633</v>
      </c>
      <c r="G453" s="3">
        <f t="shared" si="4"/>
        <v>0</v>
      </c>
      <c r="H453" s="2">
        <f t="shared" si="5"/>
        <v>0</v>
      </c>
      <c r="I453" s="3">
        <f t="shared" si="6"/>
        <v>0</v>
      </c>
      <c r="J453" s="3">
        <f t="shared" si="7"/>
        <v>0</v>
      </c>
      <c r="K453" s="3"/>
      <c r="L453" s="3">
        <f t="shared" si="8"/>
        <v>416.8533321</v>
      </c>
      <c r="M453" s="31">
        <f t="shared" si="9"/>
        <v>415.1800176</v>
      </c>
      <c r="N453" s="14">
        <f t="shared" si="10"/>
        <v>1.673314531</v>
      </c>
      <c r="O453" s="3"/>
      <c r="P453" s="3"/>
      <c r="Q453" s="3"/>
      <c r="R453" s="2"/>
      <c r="S453" s="14">
        <f t="shared" si="13"/>
        <v>1.536598262</v>
      </c>
    </row>
    <row r="454">
      <c r="A454" s="11">
        <v>442.0</v>
      </c>
      <c r="B454" s="11">
        <v>1.42131739130434E9</v>
      </c>
      <c r="C454" s="2">
        <v>-102.6271286</v>
      </c>
      <c r="D454" s="3">
        <f t="shared" si="1"/>
        <v>917391.3043</v>
      </c>
      <c r="E454" s="4">
        <f t="shared" si="2"/>
        <v>-194.67878</v>
      </c>
      <c r="F454" s="3">
        <f t="shared" si="16"/>
        <v>0.0002122090967</v>
      </c>
      <c r="G454" s="3">
        <f t="shared" si="4"/>
        <v>0</v>
      </c>
      <c r="H454" s="2">
        <f t="shared" si="5"/>
        <v>0</v>
      </c>
      <c r="I454" s="3">
        <f t="shared" si="6"/>
        <v>0</v>
      </c>
      <c r="J454" s="3">
        <f t="shared" si="7"/>
        <v>0</v>
      </c>
      <c r="K454" s="3"/>
      <c r="L454" s="3">
        <f t="shared" si="8"/>
        <v>415.3300051</v>
      </c>
      <c r="M454" s="31">
        <f t="shared" si="9"/>
        <v>415.0400336</v>
      </c>
      <c r="N454" s="14">
        <f t="shared" si="10"/>
        <v>0.2899714269</v>
      </c>
      <c r="O454" s="3"/>
      <c r="P454" s="3"/>
      <c r="Q454" s="3"/>
      <c r="R454" s="2"/>
      <c r="S454" s="14">
        <f t="shared" si="13"/>
        <v>0.2662796399</v>
      </c>
    </row>
    <row r="455">
      <c r="A455" s="11">
        <v>443.0</v>
      </c>
      <c r="B455" s="11">
        <v>1.42132173913043E9</v>
      </c>
      <c r="C455" s="2">
        <v>-102.6160583</v>
      </c>
      <c r="D455" s="3">
        <f t="shared" si="1"/>
        <v>921739.1304</v>
      </c>
      <c r="E455" s="4">
        <f t="shared" si="2"/>
        <v>-195.5970761</v>
      </c>
      <c r="F455" s="3">
        <f t="shared" si="16"/>
        <v>0.0002122043751</v>
      </c>
      <c r="G455" s="3">
        <f t="shared" si="4"/>
        <v>0</v>
      </c>
      <c r="H455" s="2">
        <f t="shared" si="5"/>
        <v>0</v>
      </c>
      <c r="I455" s="3">
        <f t="shared" si="6"/>
        <v>0</v>
      </c>
      <c r="J455" s="3">
        <f t="shared" si="7"/>
        <v>0</v>
      </c>
      <c r="K455" s="3"/>
      <c r="L455" s="3">
        <f t="shared" si="8"/>
        <v>416.3900445</v>
      </c>
      <c r="M455" s="31">
        <f t="shared" si="9"/>
        <v>414.8997681</v>
      </c>
      <c r="N455" s="14">
        <f t="shared" si="10"/>
        <v>1.490276438</v>
      </c>
      <c r="O455" s="3"/>
      <c r="P455" s="3"/>
      <c r="Q455" s="3"/>
      <c r="R455" s="2"/>
      <c r="S455" s="14">
        <f t="shared" si="13"/>
        <v>1.368515087</v>
      </c>
    </row>
    <row r="456">
      <c r="A456" s="11">
        <v>444.0</v>
      </c>
      <c r="B456" s="11">
        <v>1.42132608695652E9</v>
      </c>
      <c r="C456" s="2">
        <v>-102.6090088</v>
      </c>
      <c r="D456" s="3">
        <f t="shared" si="1"/>
        <v>926086.9565</v>
      </c>
      <c r="E456" s="4">
        <f t="shared" si="2"/>
        <v>-196.5153723</v>
      </c>
      <c r="F456" s="3">
        <f t="shared" si="16"/>
        <v>0.0002121996978</v>
      </c>
      <c r="G456" s="3">
        <f t="shared" si="4"/>
        <v>0</v>
      </c>
      <c r="H456" s="2">
        <f t="shared" si="5"/>
        <v>0</v>
      </c>
      <c r="I456" s="3">
        <f t="shared" si="6"/>
        <v>0</v>
      </c>
      <c r="J456" s="3">
        <f t="shared" si="7"/>
        <v>0</v>
      </c>
      <c r="K456" s="3"/>
      <c r="L456" s="3">
        <f t="shared" si="8"/>
        <v>417.0664807</v>
      </c>
      <c r="M456" s="31">
        <f t="shared" si="9"/>
        <v>414.75922</v>
      </c>
      <c r="N456" s="14">
        <f t="shared" si="10"/>
        <v>2.307260683</v>
      </c>
      <c r="O456" s="3"/>
      <c r="P456" s="3"/>
      <c r="Q456" s="3"/>
      <c r="R456" s="2"/>
      <c r="S456" s="14">
        <f t="shared" si="13"/>
        <v>2.118748563</v>
      </c>
    </row>
    <row r="457">
      <c r="A457" s="11">
        <v>445.0</v>
      </c>
      <c r="B457" s="11">
        <v>1.4213304347826E9</v>
      </c>
      <c r="C457" s="2">
        <v>-102.6680756</v>
      </c>
      <c r="D457" s="3">
        <f t="shared" si="1"/>
        <v>930434.7826</v>
      </c>
      <c r="E457" s="4">
        <f t="shared" si="2"/>
        <v>-197.4336684</v>
      </c>
      <c r="F457" s="3">
        <f t="shared" si="16"/>
        <v>0.0002121950642</v>
      </c>
      <c r="G457" s="3">
        <f t="shared" si="4"/>
        <v>0</v>
      </c>
      <c r="H457" s="2">
        <f t="shared" si="5"/>
        <v>0</v>
      </c>
      <c r="I457" s="3">
        <f t="shared" si="6"/>
        <v>0</v>
      </c>
      <c r="J457" s="3">
        <f t="shared" si="7"/>
        <v>0</v>
      </c>
      <c r="K457" s="3"/>
      <c r="L457" s="3">
        <f t="shared" si="8"/>
        <v>411.4325121</v>
      </c>
      <c r="M457" s="31">
        <f t="shared" si="9"/>
        <v>414.6183888</v>
      </c>
      <c r="N457" s="14">
        <f t="shared" si="10"/>
        <v>-3.185876749</v>
      </c>
      <c r="O457" s="3"/>
      <c r="P457" s="3"/>
      <c r="Q457" s="3"/>
      <c r="R457" s="2"/>
      <c r="S457" s="14">
        <f t="shared" si="13"/>
        <v>-2.925578298</v>
      </c>
    </row>
    <row r="458">
      <c r="A458" s="11">
        <v>446.0</v>
      </c>
      <c r="B458" s="11">
        <v>1.42133478260869E9</v>
      </c>
      <c r="C458" s="2">
        <v>-102.6502533</v>
      </c>
      <c r="D458" s="3">
        <f t="shared" si="1"/>
        <v>934782.6087</v>
      </c>
      <c r="E458" s="4">
        <f t="shared" si="2"/>
        <v>-198.3519645</v>
      </c>
      <c r="F458" s="3">
        <f t="shared" si="16"/>
        <v>0.0002121904737</v>
      </c>
      <c r="G458" s="3">
        <f t="shared" si="4"/>
        <v>0</v>
      </c>
      <c r="H458" s="2">
        <f t="shared" si="5"/>
        <v>0</v>
      </c>
      <c r="I458" s="3">
        <f t="shared" si="6"/>
        <v>0</v>
      </c>
      <c r="J458" s="3">
        <f t="shared" si="7"/>
        <v>0</v>
      </c>
      <c r="K458" s="3"/>
      <c r="L458" s="3">
        <f t="shared" si="8"/>
        <v>413.1243917</v>
      </c>
      <c r="M458" s="31">
        <f t="shared" si="9"/>
        <v>414.4772736</v>
      </c>
      <c r="N458" s="14">
        <f t="shared" si="10"/>
        <v>-1.352881878</v>
      </c>
      <c r="O458" s="3"/>
      <c r="P458" s="3"/>
      <c r="Q458" s="3"/>
      <c r="R458" s="2"/>
      <c r="S458" s="14">
        <f t="shared" si="13"/>
        <v>-1.242346197</v>
      </c>
    </row>
    <row r="459">
      <c r="A459" s="11">
        <v>447.0</v>
      </c>
      <c r="B459" s="11">
        <v>1.42133913043478E9</v>
      </c>
      <c r="C459" s="2">
        <v>-102.5648346</v>
      </c>
      <c r="D459" s="3">
        <f t="shared" si="1"/>
        <v>939130.4348</v>
      </c>
      <c r="E459" s="4">
        <f t="shared" si="2"/>
        <v>-199.2702607</v>
      </c>
      <c r="F459" s="3">
        <f t="shared" si="16"/>
        <v>0.0002121859257</v>
      </c>
      <c r="G459" s="3">
        <f t="shared" si="4"/>
        <v>0</v>
      </c>
      <c r="H459" s="2">
        <f t="shared" si="5"/>
        <v>0</v>
      </c>
      <c r="I459" s="3">
        <f t="shared" si="6"/>
        <v>0</v>
      </c>
      <c r="J459" s="3">
        <f t="shared" si="7"/>
        <v>0</v>
      </c>
      <c r="K459" s="3"/>
      <c r="L459" s="3">
        <f t="shared" si="8"/>
        <v>421.3303144</v>
      </c>
      <c r="M459" s="31">
        <f t="shared" si="9"/>
        <v>414.3358736</v>
      </c>
      <c r="N459" s="14">
        <f t="shared" si="10"/>
        <v>6.994440784</v>
      </c>
      <c r="O459" s="3"/>
      <c r="P459" s="3"/>
      <c r="Q459" s="3"/>
      <c r="R459" s="2"/>
      <c r="S459" s="14">
        <f t="shared" si="13"/>
        <v>6.422967908</v>
      </c>
    </row>
    <row r="460">
      <c r="A460" s="11">
        <v>448.0</v>
      </c>
      <c r="B460" s="11">
        <v>1.42134347826087E9</v>
      </c>
      <c r="C460" s="2">
        <v>-102.5718231</v>
      </c>
      <c r="D460" s="3">
        <f t="shared" si="1"/>
        <v>943478.2609</v>
      </c>
      <c r="E460" s="4">
        <f t="shared" si="2"/>
        <v>-200.1885568</v>
      </c>
      <c r="F460" s="3">
        <f t="shared" si="16"/>
        <v>0.0002121814197</v>
      </c>
      <c r="G460" s="3">
        <f t="shared" si="4"/>
        <v>0</v>
      </c>
      <c r="H460" s="2">
        <f t="shared" si="5"/>
        <v>0</v>
      </c>
      <c r="I460" s="3">
        <f t="shared" si="6"/>
        <v>0</v>
      </c>
      <c r="J460" s="3">
        <f t="shared" si="7"/>
        <v>0</v>
      </c>
      <c r="K460" s="3"/>
      <c r="L460" s="3">
        <f t="shared" si="8"/>
        <v>420.652871</v>
      </c>
      <c r="M460" s="31">
        <f t="shared" si="9"/>
        <v>414.194188</v>
      </c>
      <c r="N460" s="14">
        <f t="shared" si="10"/>
        <v>6.45868302</v>
      </c>
      <c r="O460" s="3"/>
      <c r="P460" s="3"/>
      <c r="Q460" s="3"/>
      <c r="R460" s="2"/>
      <c r="S460" s="14">
        <f t="shared" si="13"/>
        <v>5.93098364</v>
      </c>
    </row>
    <row r="461">
      <c r="A461" s="11">
        <v>449.0</v>
      </c>
      <c r="B461" s="11">
        <v>1.42134782608695E9</v>
      </c>
      <c r="C461" s="2">
        <v>-102.6607742</v>
      </c>
      <c r="D461" s="3">
        <f t="shared" si="1"/>
        <v>947826.087</v>
      </c>
      <c r="E461" s="4">
        <f t="shared" si="2"/>
        <v>-201.1068529</v>
      </c>
      <c r="F461" s="3">
        <f t="shared" si="16"/>
        <v>0.0002121769549</v>
      </c>
      <c r="G461" s="3">
        <f t="shared" si="4"/>
        <v>0</v>
      </c>
      <c r="H461" s="2">
        <f t="shared" si="5"/>
        <v>0</v>
      </c>
      <c r="I461" s="3">
        <f t="shared" si="6"/>
        <v>0</v>
      </c>
      <c r="J461" s="3">
        <f t="shared" si="7"/>
        <v>0</v>
      </c>
      <c r="K461" s="3"/>
      <c r="L461" s="3">
        <f t="shared" si="8"/>
        <v>412.1247981</v>
      </c>
      <c r="M461" s="31">
        <f t="shared" si="9"/>
        <v>414.052216</v>
      </c>
      <c r="N461" s="14">
        <f t="shared" si="10"/>
        <v>-1.927417947</v>
      </c>
      <c r="O461" s="3"/>
      <c r="P461" s="3"/>
      <c r="Q461" s="3"/>
      <c r="R461" s="2"/>
      <c r="S461" s="14">
        <f t="shared" si="13"/>
        <v>-1.769940447</v>
      </c>
    </row>
    <row r="462">
      <c r="A462" s="11">
        <v>450.0</v>
      </c>
      <c r="B462" s="11">
        <v>1.42135217391304E9</v>
      </c>
      <c r="C462" s="2">
        <v>-102.6401749</v>
      </c>
      <c r="D462" s="3">
        <f t="shared" si="1"/>
        <v>952173.913</v>
      </c>
      <c r="E462" s="4">
        <f t="shared" si="2"/>
        <v>-202.0251491</v>
      </c>
      <c r="F462" s="3">
        <f t="shared" si="16"/>
        <v>0.000212172531</v>
      </c>
      <c r="G462" s="3">
        <f t="shared" si="4"/>
        <v>0</v>
      </c>
      <c r="H462" s="2">
        <f t="shared" si="5"/>
        <v>0</v>
      </c>
      <c r="I462" s="3">
        <f t="shared" si="6"/>
        <v>0</v>
      </c>
      <c r="J462" s="3">
        <f t="shared" si="7"/>
        <v>0</v>
      </c>
      <c r="K462" s="3"/>
      <c r="L462" s="3">
        <f t="shared" si="8"/>
        <v>414.0842169</v>
      </c>
      <c r="M462" s="31">
        <f t="shared" si="9"/>
        <v>413.9099569</v>
      </c>
      <c r="N462" s="14">
        <f t="shared" si="10"/>
        <v>0.1742599601</v>
      </c>
      <c r="O462" s="3"/>
      <c r="P462" s="3"/>
      <c r="Q462" s="3"/>
      <c r="R462" s="2"/>
      <c r="S462" s="14">
        <f t="shared" si="13"/>
        <v>0.1600222471</v>
      </c>
    </row>
    <row r="463">
      <c r="A463" s="11">
        <v>451.0</v>
      </c>
      <c r="B463" s="11">
        <v>1.42135652173913E9</v>
      </c>
      <c r="C463" s="2">
        <v>-102.6450806</v>
      </c>
      <c r="D463" s="3">
        <f t="shared" si="1"/>
        <v>956521.7391</v>
      </c>
      <c r="E463" s="4">
        <f t="shared" si="2"/>
        <v>-202.9434452</v>
      </c>
      <c r="F463" s="3">
        <f t="shared" si="16"/>
        <v>0.0002121681473</v>
      </c>
      <c r="G463" s="3">
        <f t="shared" si="4"/>
        <v>0</v>
      </c>
      <c r="H463" s="2">
        <f t="shared" si="5"/>
        <v>0</v>
      </c>
      <c r="I463" s="3">
        <f t="shared" si="6"/>
        <v>0</v>
      </c>
      <c r="J463" s="3">
        <f t="shared" si="7"/>
        <v>0</v>
      </c>
      <c r="K463" s="3"/>
      <c r="L463" s="3">
        <f t="shared" si="8"/>
        <v>413.6167401</v>
      </c>
      <c r="M463" s="31">
        <f t="shared" si="9"/>
        <v>413.7674099</v>
      </c>
      <c r="N463" s="14">
        <f t="shared" si="10"/>
        <v>-0.150669824</v>
      </c>
      <c r="O463" s="3"/>
      <c r="P463" s="3"/>
      <c r="Q463" s="3"/>
      <c r="R463" s="2"/>
      <c r="S463" s="14">
        <f t="shared" si="13"/>
        <v>-0.1383595167</v>
      </c>
    </row>
    <row r="464">
      <c r="A464" s="11">
        <v>452.0</v>
      </c>
      <c r="B464" s="11">
        <v>1.42136086956521E9</v>
      </c>
      <c r="C464" s="2">
        <v>-102.6584625</v>
      </c>
      <c r="D464" s="3">
        <f t="shared" si="1"/>
        <v>960869.5652</v>
      </c>
      <c r="E464" s="4">
        <f t="shared" si="2"/>
        <v>-203.8617413</v>
      </c>
      <c r="F464" s="3">
        <f t="shared" si="16"/>
        <v>0.0002121638032</v>
      </c>
      <c r="G464" s="3">
        <f t="shared" si="4"/>
        <v>0</v>
      </c>
      <c r="H464" s="2">
        <f t="shared" si="5"/>
        <v>0</v>
      </c>
      <c r="I464" s="3">
        <f t="shared" si="6"/>
        <v>0</v>
      </c>
      <c r="J464" s="3">
        <f t="shared" si="7"/>
        <v>0</v>
      </c>
      <c r="K464" s="3"/>
      <c r="L464" s="3">
        <f t="shared" si="8"/>
        <v>412.3442258</v>
      </c>
      <c r="M464" s="31">
        <f t="shared" si="9"/>
        <v>413.6245741</v>
      </c>
      <c r="N464" s="14">
        <f t="shared" si="10"/>
        <v>-1.280348297</v>
      </c>
      <c r="O464" s="3"/>
      <c r="P464" s="3"/>
      <c r="Q464" s="3"/>
      <c r="R464" s="2"/>
      <c r="S464" s="14">
        <f t="shared" si="13"/>
        <v>-1.17573889</v>
      </c>
    </row>
    <row r="465">
      <c r="A465" s="11">
        <v>453.0</v>
      </c>
      <c r="B465" s="11">
        <v>1.4213652173913E9</v>
      </c>
      <c r="C465" s="2">
        <v>-102.6725769</v>
      </c>
      <c r="D465" s="3">
        <f t="shared" si="1"/>
        <v>965217.3913</v>
      </c>
      <c r="E465" s="4">
        <f t="shared" si="2"/>
        <v>-204.7800375</v>
      </c>
      <c r="F465" s="3">
        <f t="shared" si="16"/>
        <v>0.0002121594983</v>
      </c>
      <c r="G465" s="3">
        <f t="shared" si="4"/>
        <v>0</v>
      </c>
      <c r="H465" s="2">
        <f t="shared" si="5"/>
        <v>0</v>
      </c>
      <c r="I465" s="3">
        <f t="shared" si="6"/>
        <v>0</v>
      </c>
      <c r="J465" s="3">
        <f t="shared" si="7"/>
        <v>0</v>
      </c>
      <c r="K465" s="3"/>
      <c r="L465" s="3">
        <f t="shared" si="8"/>
        <v>411.0062986</v>
      </c>
      <c r="M465" s="31">
        <f t="shared" si="9"/>
        <v>413.4814488</v>
      </c>
      <c r="N465" s="14">
        <f t="shared" si="10"/>
        <v>-2.475150257</v>
      </c>
      <c r="O465" s="3"/>
      <c r="P465" s="3"/>
      <c r="Q465" s="3"/>
      <c r="R465" s="2"/>
      <c r="S465" s="14">
        <f t="shared" si="13"/>
        <v>-2.272920904</v>
      </c>
    </row>
    <row r="466">
      <c r="A466" s="11">
        <v>454.0</v>
      </c>
      <c r="B466" s="11">
        <v>1.42136956521739E9</v>
      </c>
      <c r="C466" s="2">
        <v>-102.6451187</v>
      </c>
      <c r="D466" s="3">
        <f t="shared" si="1"/>
        <v>969565.2174</v>
      </c>
      <c r="E466" s="4">
        <f t="shared" si="2"/>
        <v>-205.6983336</v>
      </c>
      <c r="F466" s="3">
        <f t="shared" si="16"/>
        <v>0.000212155232</v>
      </c>
      <c r="G466" s="3">
        <f t="shared" si="4"/>
        <v>0</v>
      </c>
      <c r="H466" s="2">
        <f t="shared" si="5"/>
        <v>0</v>
      </c>
      <c r="I466" s="3">
        <f t="shared" si="6"/>
        <v>0</v>
      </c>
      <c r="J466" s="3">
        <f t="shared" si="7"/>
        <v>0</v>
      </c>
      <c r="K466" s="3"/>
      <c r="L466" s="3">
        <f t="shared" si="8"/>
        <v>413.6131115</v>
      </c>
      <c r="M466" s="31">
        <f t="shared" si="9"/>
        <v>413.3380332</v>
      </c>
      <c r="N466" s="14">
        <f t="shared" si="10"/>
        <v>0.275078243</v>
      </c>
      <c r="O466" s="3"/>
      <c r="P466" s="3"/>
      <c r="Q466" s="3"/>
      <c r="R466" s="2"/>
      <c r="S466" s="14">
        <f t="shared" si="13"/>
        <v>0.2526032868</v>
      </c>
    </row>
    <row r="467">
      <c r="A467" s="11">
        <v>455.0</v>
      </c>
      <c r="B467" s="11">
        <v>1.42137391304347E9</v>
      </c>
      <c r="C467" s="2">
        <v>-102.6109619</v>
      </c>
      <c r="D467" s="3">
        <f t="shared" si="1"/>
        <v>973913.0435</v>
      </c>
      <c r="E467" s="4">
        <f t="shared" si="2"/>
        <v>-206.6166297</v>
      </c>
      <c r="F467" s="3">
        <f t="shared" si="16"/>
        <v>0.0002121510037</v>
      </c>
      <c r="G467" s="3">
        <f t="shared" si="4"/>
        <v>0</v>
      </c>
      <c r="H467" s="2">
        <f t="shared" si="5"/>
        <v>0</v>
      </c>
      <c r="I467" s="3">
        <f t="shared" si="6"/>
        <v>0</v>
      </c>
      <c r="J467" s="3">
        <f t="shared" si="7"/>
        <v>0</v>
      </c>
      <c r="K467" s="3"/>
      <c r="L467" s="3">
        <f t="shared" si="8"/>
        <v>416.8789606</v>
      </c>
      <c r="M467" s="31">
        <f t="shared" si="9"/>
        <v>413.1943266</v>
      </c>
      <c r="N467" s="14">
        <f t="shared" si="10"/>
        <v>3.684634082</v>
      </c>
      <c r="O467" s="3"/>
      <c r="P467" s="3"/>
      <c r="Q467" s="3"/>
      <c r="R467" s="2"/>
      <c r="S467" s="14">
        <f t="shared" si="13"/>
        <v>3.383585228</v>
      </c>
    </row>
    <row r="468">
      <c r="A468" s="11">
        <v>456.0</v>
      </c>
      <c r="B468" s="11">
        <v>1.42137826086956E9</v>
      </c>
      <c r="C468" s="2">
        <v>-102.6199722</v>
      </c>
      <c r="D468" s="3">
        <f t="shared" si="1"/>
        <v>978260.8696</v>
      </c>
      <c r="E468" s="4">
        <f t="shared" si="2"/>
        <v>-207.5349259</v>
      </c>
      <c r="F468" s="3">
        <f t="shared" si="16"/>
        <v>0.0002121468131</v>
      </c>
      <c r="G468" s="3">
        <f t="shared" si="4"/>
        <v>0</v>
      </c>
      <c r="H468" s="2">
        <f t="shared" si="5"/>
        <v>0</v>
      </c>
      <c r="I468" s="3">
        <f t="shared" si="6"/>
        <v>0</v>
      </c>
      <c r="J468" s="3">
        <f t="shared" si="7"/>
        <v>0</v>
      </c>
      <c r="K468" s="3"/>
      <c r="L468" s="3">
        <f t="shared" si="8"/>
        <v>416.0149592</v>
      </c>
      <c r="M468" s="31">
        <f t="shared" si="9"/>
        <v>413.050328</v>
      </c>
      <c r="N468" s="14">
        <f t="shared" si="10"/>
        <v>2.964631169</v>
      </c>
      <c r="O468" s="3"/>
      <c r="P468" s="3"/>
      <c r="Q468" s="3"/>
      <c r="R468" s="2"/>
      <c r="S468" s="14">
        <f t="shared" si="13"/>
        <v>2.722409332</v>
      </c>
    </row>
    <row r="469">
      <c r="A469" s="11">
        <v>457.0</v>
      </c>
      <c r="B469" s="11">
        <v>1.42138260869565E9</v>
      </c>
      <c r="C469" s="2">
        <v>-102.6531067</v>
      </c>
      <c r="D469" s="3">
        <f t="shared" si="1"/>
        <v>982608.6957</v>
      </c>
      <c r="E469" s="4">
        <f t="shared" si="2"/>
        <v>-208.453222</v>
      </c>
      <c r="F469" s="3">
        <f t="shared" si="16"/>
        <v>0.0002121426596</v>
      </c>
      <c r="G469" s="3">
        <f t="shared" si="4"/>
        <v>0</v>
      </c>
      <c r="H469" s="2">
        <f t="shared" si="5"/>
        <v>0</v>
      </c>
      <c r="I469" s="3">
        <f t="shared" si="6"/>
        <v>0</v>
      </c>
      <c r="J469" s="3">
        <f t="shared" si="7"/>
        <v>0</v>
      </c>
      <c r="K469" s="3"/>
      <c r="L469" s="3">
        <f t="shared" si="8"/>
        <v>412.85305</v>
      </c>
      <c r="M469" s="31">
        <f t="shared" si="9"/>
        <v>412.9060368</v>
      </c>
      <c r="N469" s="14">
        <f t="shared" si="10"/>
        <v>-0.05298675087</v>
      </c>
      <c r="O469" s="3"/>
      <c r="P469" s="3"/>
      <c r="Q469" s="3"/>
      <c r="R469" s="2"/>
      <c r="S469" s="14">
        <f t="shared" si="13"/>
        <v>-0.04865752841</v>
      </c>
    </row>
    <row r="470">
      <c r="A470" s="11">
        <v>458.0</v>
      </c>
      <c r="B470" s="11">
        <v>1.42138695652173E9</v>
      </c>
      <c r="C470" s="2">
        <v>-102.7041016</v>
      </c>
      <c r="D470" s="3">
        <f t="shared" si="1"/>
        <v>986956.5217</v>
      </c>
      <c r="E470" s="4">
        <f t="shared" si="2"/>
        <v>-209.3715181</v>
      </c>
      <c r="F470" s="3">
        <f t="shared" si="16"/>
        <v>0.0002121385426</v>
      </c>
      <c r="G470" s="3">
        <f t="shared" si="4"/>
        <v>0</v>
      </c>
      <c r="H470" s="2">
        <f t="shared" si="5"/>
        <v>0</v>
      </c>
      <c r="I470" s="3">
        <f t="shared" si="6"/>
        <v>0</v>
      </c>
      <c r="J470" s="3">
        <f t="shared" si="7"/>
        <v>0</v>
      </c>
      <c r="K470" s="3"/>
      <c r="L470" s="3">
        <f t="shared" si="8"/>
        <v>408.0336755</v>
      </c>
      <c r="M470" s="31">
        <f t="shared" si="9"/>
        <v>412.7614521</v>
      </c>
      <c r="N470" s="14">
        <f t="shared" si="10"/>
        <v>-4.727776636</v>
      </c>
      <c r="O470" s="3"/>
      <c r="P470" s="3"/>
      <c r="Q470" s="3"/>
      <c r="R470" s="2"/>
      <c r="S470" s="14">
        <f t="shared" si="13"/>
        <v>-4.341499001</v>
      </c>
    </row>
    <row r="471">
      <c r="A471" s="11">
        <v>459.0</v>
      </c>
      <c r="B471" s="11">
        <v>1.42139130434782E9</v>
      </c>
      <c r="C471" s="2">
        <v>-102.7090454</v>
      </c>
      <c r="D471" s="3">
        <f t="shared" si="1"/>
        <v>991304.3478</v>
      </c>
      <c r="E471" s="4">
        <f t="shared" si="2"/>
        <v>-210.2898143</v>
      </c>
      <c r="F471" s="3">
        <f t="shared" si="16"/>
        <v>0.0002121344618</v>
      </c>
      <c r="G471" s="3">
        <f t="shared" si="4"/>
        <v>0</v>
      </c>
      <c r="H471" s="2">
        <f t="shared" si="5"/>
        <v>0</v>
      </c>
      <c r="I471" s="3">
        <f t="shared" si="6"/>
        <v>0</v>
      </c>
      <c r="J471" s="3">
        <f t="shared" si="7"/>
        <v>0</v>
      </c>
      <c r="K471" s="3"/>
      <c r="L471" s="3">
        <f t="shared" si="8"/>
        <v>407.5694538</v>
      </c>
      <c r="M471" s="31">
        <f t="shared" si="9"/>
        <v>412.6165732</v>
      </c>
      <c r="N471" s="14">
        <f t="shared" si="10"/>
        <v>-5.047119409</v>
      </c>
      <c r="O471" s="3"/>
      <c r="P471" s="3"/>
      <c r="Q471" s="3"/>
      <c r="R471" s="2"/>
      <c r="S471" s="14">
        <f t="shared" si="13"/>
        <v>-4.634750235</v>
      </c>
    </row>
    <row r="472">
      <c r="A472" s="11">
        <v>460.0</v>
      </c>
      <c r="B472" s="11">
        <v>1.42139565217391E9</v>
      </c>
      <c r="C472" s="2">
        <v>-102.6292267</v>
      </c>
      <c r="D472" s="3">
        <f t="shared" si="1"/>
        <v>995652.1739</v>
      </c>
      <c r="E472" s="4">
        <f t="shared" si="2"/>
        <v>-211.2081104</v>
      </c>
      <c r="F472" s="3">
        <f t="shared" si="16"/>
        <v>0.0002121304166</v>
      </c>
      <c r="G472" s="3">
        <f t="shared" si="4"/>
        <v>0</v>
      </c>
      <c r="H472" s="2">
        <f t="shared" si="5"/>
        <v>0</v>
      </c>
      <c r="I472" s="3">
        <f t="shared" si="6"/>
        <v>0</v>
      </c>
      <c r="J472" s="3">
        <f t="shared" si="7"/>
        <v>0</v>
      </c>
      <c r="K472" s="3"/>
      <c r="L472" s="3">
        <f t="shared" si="8"/>
        <v>415.1294054</v>
      </c>
      <c r="M472" s="31">
        <f t="shared" si="9"/>
        <v>412.4713993</v>
      </c>
      <c r="N472" s="14">
        <f t="shared" si="10"/>
        <v>2.658006104</v>
      </c>
      <c r="O472" s="3"/>
      <c r="P472" s="3"/>
      <c r="Q472" s="3"/>
      <c r="R472" s="2"/>
      <c r="S472" s="14">
        <f t="shared" si="13"/>
        <v>2.104847413</v>
      </c>
    </row>
    <row r="473">
      <c r="A473" s="11">
        <v>461.0</v>
      </c>
      <c r="B473" s="11">
        <v>1.4214E9</v>
      </c>
      <c r="C473" s="2">
        <v>-102.6242599</v>
      </c>
      <c r="D473" s="3">
        <f t="shared" si="1"/>
        <v>1000000</v>
      </c>
      <c r="E473" s="29">
        <f>-0.000212*D473</f>
        <v>-212</v>
      </c>
      <c r="F473" s="3">
        <f t="shared" si="16"/>
        <v>0.000212</v>
      </c>
      <c r="G473" s="3">
        <f t="shared" si="4"/>
        <v>0</v>
      </c>
      <c r="H473" s="2">
        <f t="shared" si="5"/>
        <v>0</v>
      </c>
      <c r="I473" s="3">
        <f t="shared" si="6"/>
        <v>0</v>
      </c>
      <c r="J473" s="3">
        <f t="shared" si="7"/>
        <v>0</v>
      </c>
      <c r="K473" s="3"/>
      <c r="L473" s="3">
        <f t="shared" si="8"/>
        <v>415.6044389</v>
      </c>
      <c r="M473" s="31">
        <f t="shared" si="9"/>
        <v>412.3459715</v>
      </c>
      <c r="N473" s="14">
        <f t="shared" si="10"/>
        <v>3.258467356</v>
      </c>
      <c r="O473" s="3"/>
      <c r="P473" s="3"/>
      <c r="Q473" s="3"/>
      <c r="R473" s="2"/>
      <c r="S473" s="14"/>
    </row>
    <row r="474">
      <c r="A474" s="11" t="s">
        <v>40</v>
      </c>
      <c r="D474" s="3"/>
      <c r="E474" s="4"/>
      <c r="F474" s="3"/>
      <c r="G474" s="3"/>
      <c r="H474" s="3"/>
      <c r="I474" s="3"/>
      <c r="J474" s="3"/>
      <c r="K474" s="3"/>
      <c r="L474" s="3"/>
      <c r="M474" s="5"/>
      <c r="N474" s="3"/>
      <c r="O474" s="3"/>
      <c r="P474" s="3"/>
      <c r="Q474" s="3"/>
      <c r="R474" s="3"/>
    </row>
    <row r="475">
      <c r="F475" s="2" t="s">
        <v>39</v>
      </c>
    </row>
    <row r="476">
      <c r="F476" s="32">
        <f>AVERAGE(F13:F473)</f>
        <v>0.0002112078356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0</v>
      </c>
      <c r="B1" s="11" t="s">
        <v>1</v>
      </c>
    </row>
    <row r="2">
      <c r="A2" s="11" t="s">
        <v>2</v>
      </c>
      <c r="B2" s="11" t="s">
        <v>3</v>
      </c>
    </row>
    <row r="3">
      <c r="A3" s="11" t="s">
        <v>5</v>
      </c>
      <c r="B3" s="11" t="s">
        <v>6</v>
      </c>
    </row>
    <row r="4">
      <c r="A4" s="11" t="s">
        <v>7</v>
      </c>
      <c r="B4" s="11">
        <v>1.4204E9</v>
      </c>
      <c r="C4" s="11" t="s">
        <v>8</v>
      </c>
    </row>
    <row r="5">
      <c r="A5" s="11" t="s">
        <v>9</v>
      </c>
      <c r="B5" s="11">
        <v>2000000.0</v>
      </c>
      <c r="C5" s="11" t="s">
        <v>8</v>
      </c>
    </row>
    <row r="6">
      <c r="A6" s="11" t="s">
        <v>10</v>
      </c>
      <c r="B6" s="11">
        <v>30000.0</v>
      </c>
      <c r="C6" s="11" t="s">
        <v>8</v>
      </c>
    </row>
    <row r="7">
      <c r="A7" s="11" t="s">
        <v>11</v>
      </c>
      <c r="B7" s="11">
        <v>30000.0</v>
      </c>
      <c r="C7" s="11" t="s">
        <v>8</v>
      </c>
    </row>
    <row r="8">
      <c r="A8" s="11" t="s">
        <v>12</v>
      </c>
      <c r="B8" s="11">
        <v>-97.0</v>
      </c>
      <c r="C8" s="11" t="s">
        <v>13</v>
      </c>
    </row>
    <row r="9">
      <c r="A9" s="11" t="s">
        <v>14</v>
      </c>
      <c r="B9" s="11">
        <v>1.0</v>
      </c>
      <c r="C9" s="11" t="s">
        <v>15</v>
      </c>
    </row>
    <row r="10">
      <c r="A10" s="11" t="s">
        <v>16</v>
      </c>
      <c r="B10" s="11">
        <v>461.0</v>
      </c>
    </row>
    <row r="11">
      <c r="A11" s="11" t="s">
        <v>17</v>
      </c>
      <c r="B11" s="11" t="s">
        <v>8</v>
      </c>
      <c r="C11" s="11" t="s">
        <v>13</v>
      </c>
      <c r="D11" s="2" t="s">
        <v>18</v>
      </c>
      <c r="E11" s="1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26</v>
      </c>
      <c r="M11" s="6" t="s">
        <v>27</v>
      </c>
      <c r="N11" s="2" t="s">
        <v>28</v>
      </c>
      <c r="O11" s="3"/>
      <c r="P11" s="2" t="s">
        <v>29</v>
      </c>
      <c r="Q11" s="2" t="s">
        <v>30</v>
      </c>
      <c r="R11" s="2"/>
      <c r="S11" s="2" t="s">
        <v>31</v>
      </c>
      <c r="V11" s="13" t="s">
        <v>32</v>
      </c>
    </row>
    <row r="12">
      <c r="A12" s="11" t="s">
        <v>33</v>
      </c>
      <c r="B12" s="11" t="s">
        <v>34</v>
      </c>
      <c r="C12" s="11" t="s">
        <v>35</v>
      </c>
      <c r="D12" s="3"/>
      <c r="E12" s="4"/>
      <c r="F12" s="3"/>
      <c r="G12" s="2" t="s">
        <v>36</v>
      </c>
      <c r="H12" s="2" t="s">
        <v>37</v>
      </c>
      <c r="I12" s="3"/>
      <c r="J12" s="3"/>
      <c r="K12" s="3"/>
      <c r="L12" s="3"/>
      <c r="M12" s="5"/>
      <c r="N12" s="3"/>
      <c r="O12" s="3"/>
      <c r="P12" s="3"/>
      <c r="Q12" s="3"/>
      <c r="R12" s="3"/>
      <c r="S12" s="3"/>
    </row>
    <row r="13">
      <c r="A13" s="11">
        <v>1.0</v>
      </c>
      <c r="B13" s="11">
        <v>1.4194E9</v>
      </c>
      <c r="C13" s="2">
        <v>-102.1183243</v>
      </c>
      <c r="D13" s="3">
        <f t="shared" ref="D13:D473" si="1">B13-$B$4</f>
        <v>-1000000</v>
      </c>
      <c r="E13" s="4">
        <f t="shared" ref="E13:E472" si="2">-((B14-$B$4)/$B$4)*(3*10^5)</f>
        <v>210.2898143</v>
      </c>
      <c r="F13" s="3">
        <f t="shared" ref="F13:F473" si="3">-E13/D13</f>
        <v>0.0002102898143</v>
      </c>
      <c r="G13" s="3">
        <f t="shared" ref="G13:G473" si="4">(10^(C13/10))/1000</f>
        <v>0</v>
      </c>
      <c r="H13" s="2">
        <f t="shared" ref="H13:H473" si="5">G13/30000</f>
        <v>0</v>
      </c>
      <c r="I13" s="3">
        <f t="shared" ref="I13:I473" si="6">0.0063*H13</f>
        <v>0</v>
      </c>
      <c r="J13" s="3">
        <f t="shared" ref="J13:J473" si="7">(1/F13^2)*I13</f>
        <v>0</v>
      </c>
      <c r="K13" s="22">
        <f>1.38064852E-23</f>
        <v>0</v>
      </c>
      <c r="L13" s="3">
        <f t="shared" ref="L13:L473" si="8">(1/(2*$K$13))*(I13)</f>
        <v>466.9536101</v>
      </c>
      <c r="M13" s="31">
        <f t="shared" ref="M13:M473" si="9">0.0000007063*E13^3 + 0.0001599442*E13^2 + 0.093825044*E13 + 437.920868264
</f>
        <v>471.2925037</v>
      </c>
      <c r="N13" s="14">
        <f t="shared" ref="N13:N473" si="10">L13-(M13)</f>
        <v>-4.338893544</v>
      </c>
      <c r="O13" s="3"/>
      <c r="P13" s="23">
        <f t="shared" ref="P13:P67" si="11">-((B14-$B$4)/$B$4)*(3*10^5)</f>
        <v>210.2898143</v>
      </c>
      <c r="Q13" s="14">
        <f t="shared" ref="Q13:Q67" si="12">(1/(2*$K$13))*(I13)</f>
        <v>466.9536101</v>
      </c>
      <c r="R13" s="2"/>
      <c r="S13" s="14">
        <f t="shared" ref="S13:S472" si="13">(N13 * ABS(E14-E13))</f>
        <v>-3.984389162</v>
      </c>
      <c r="V13" s="3">
        <f>1822400000000000000 * SUM(S13:S473)</f>
        <v>2.40101E+22</v>
      </c>
    </row>
    <row r="14">
      <c r="A14" s="11">
        <v>2.0</v>
      </c>
      <c r="B14" s="11">
        <v>1.41940434782608E9</v>
      </c>
      <c r="C14" s="2">
        <v>-102.1058121</v>
      </c>
      <c r="D14" s="3">
        <f t="shared" si="1"/>
        <v>-995652.1739</v>
      </c>
      <c r="E14" s="4">
        <f t="shared" si="2"/>
        <v>209.3715181</v>
      </c>
      <c r="F14" s="3">
        <f t="shared" si="3"/>
        <v>0.0002102858042</v>
      </c>
      <c r="G14" s="3">
        <f t="shared" si="4"/>
        <v>0</v>
      </c>
      <c r="H14" s="2">
        <f t="shared" si="5"/>
        <v>0</v>
      </c>
      <c r="I14" s="3">
        <f t="shared" si="6"/>
        <v>0</v>
      </c>
      <c r="J14" s="3">
        <f t="shared" si="7"/>
        <v>0</v>
      </c>
      <c r="K14" s="3"/>
      <c r="L14" s="3">
        <f t="shared" si="8"/>
        <v>468.3008622</v>
      </c>
      <c r="M14" s="31">
        <f t="shared" si="9"/>
        <v>471.0590357</v>
      </c>
      <c r="N14" s="14">
        <f t="shared" si="10"/>
        <v>-2.758173444</v>
      </c>
      <c r="O14" s="3"/>
      <c r="P14" s="23">
        <f t="shared" si="11"/>
        <v>209.3715181</v>
      </c>
      <c r="Q14" s="14">
        <f t="shared" si="12"/>
        <v>468.3008622</v>
      </c>
      <c r="R14" s="2"/>
      <c r="S14" s="14">
        <f t="shared" si="13"/>
        <v>-2.532820007</v>
      </c>
    </row>
    <row r="15">
      <c r="A15" s="11">
        <v>3.0</v>
      </c>
      <c r="B15" s="11">
        <v>1.41940869565217E9</v>
      </c>
      <c r="C15" s="2">
        <v>-101.9973145</v>
      </c>
      <c r="D15" s="3">
        <f t="shared" si="1"/>
        <v>-991304.3478</v>
      </c>
      <c r="E15" s="4">
        <f t="shared" si="2"/>
        <v>208.453222</v>
      </c>
      <c r="F15" s="3">
        <f t="shared" si="3"/>
        <v>0.000210281759</v>
      </c>
      <c r="G15" s="3">
        <f t="shared" si="4"/>
        <v>0</v>
      </c>
      <c r="H15" s="2">
        <f t="shared" si="5"/>
        <v>0</v>
      </c>
      <c r="I15" s="3">
        <f t="shared" si="6"/>
        <v>0</v>
      </c>
      <c r="J15" s="3">
        <f t="shared" si="7"/>
        <v>0</v>
      </c>
      <c r="K15" s="3"/>
      <c r="L15" s="3">
        <f t="shared" si="8"/>
        <v>480.1475502</v>
      </c>
      <c r="M15" s="31">
        <f t="shared" si="9"/>
        <v>470.8265856</v>
      </c>
      <c r="N15" s="14">
        <f t="shared" si="10"/>
        <v>9.320964629</v>
      </c>
      <c r="O15" s="3"/>
      <c r="P15" s="23">
        <f t="shared" si="11"/>
        <v>208.453222</v>
      </c>
      <c r="Q15" s="14">
        <f t="shared" si="12"/>
        <v>480.1475502</v>
      </c>
      <c r="R15" s="2"/>
      <c r="S15" s="14">
        <f t="shared" si="13"/>
        <v>8.559405752</v>
      </c>
    </row>
    <row r="16">
      <c r="A16" s="11">
        <v>4.0</v>
      </c>
      <c r="B16" s="11">
        <v>1.41941304347826E9</v>
      </c>
      <c r="C16" s="2">
        <v>-102.1305084</v>
      </c>
      <c r="D16" s="3">
        <f t="shared" si="1"/>
        <v>-986956.5217</v>
      </c>
      <c r="E16" s="4">
        <f t="shared" si="2"/>
        <v>207.5349259</v>
      </c>
      <c r="F16" s="3">
        <f t="shared" si="3"/>
        <v>0.0002102776782</v>
      </c>
      <c r="G16" s="3">
        <f t="shared" si="4"/>
        <v>0</v>
      </c>
      <c r="H16" s="2">
        <f t="shared" si="5"/>
        <v>0</v>
      </c>
      <c r="I16" s="3">
        <f t="shared" si="6"/>
        <v>0</v>
      </c>
      <c r="J16" s="3">
        <f t="shared" si="7"/>
        <v>0</v>
      </c>
      <c r="K16" s="3"/>
      <c r="L16" s="3">
        <f t="shared" si="8"/>
        <v>465.6454111</v>
      </c>
      <c r="M16" s="31">
        <f t="shared" si="9"/>
        <v>470.5951502</v>
      </c>
      <c r="N16" s="14">
        <f t="shared" si="10"/>
        <v>-4.949739117</v>
      </c>
      <c r="O16" s="3"/>
      <c r="P16" s="23">
        <f t="shared" si="11"/>
        <v>207.5349259</v>
      </c>
      <c r="Q16" s="14">
        <f t="shared" si="12"/>
        <v>465.6454111</v>
      </c>
      <c r="R16" s="2"/>
      <c r="S16" s="14">
        <f t="shared" si="13"/>
        <v>-4.545326289</v>
      </c>
    </row>
    <row r="17">
      <c r="A17" s="11">
        <v>5.0</v>
      </c>
      <c r="B17" s="11">
        <v>1.41941739130434E9</v>
      </c>
      <c r="C17" s="2">
        <v>-102.0875702</v>
      </c>
      <c r="D17" s="3">
        <f t="shared" si="1"/>
        <v>-982608.6957</v>
      </c>
      <c r="E17" s="4">
        <f t="shared" si="2"/>
        <v>206.6166297</v>
      </c>
      <c r="F17" s="3">
        <f t="shared" si="3"/>
        <v>0.0002102735612</v>
      </c>
      <c r="G17" s="3">
        <f t="shared" si="4"/>
        <v>0</v>
      </c>
      <c r="H17" s="2">
        <f t="shared" si="5"/>
        <v>0</v>
      </c>
      <c r="I17" s="3">
        <f t="shared" si="6"/>
        <v>0</v>
      </c>
      <c r="J17" s="3">
        <f t="shared" si="7"/>
        <v>0</v>
      </c>
      <c r="K17" s="3"/>
      <c r="L17" s="3">
        <f t="shared" si="8"/>
        <v>470.2720279</v>
      </c>
      <c r="M17" s="31">
        <f t="shared" si="9"/>
        <v>470.3647262</v>
      </c>
      <c r="N17" s="14">
        <f t="shared" si="10"/>
        <v>-0.09269835227</v>
      </c>
      <c r="O17" s="3"/>
      <c r="P17" s="23">
        <f t="shared" si="11"/>
        <v>206.6166297</v>
      </c>
      <c r="Q17" s="14">
        <f t="shared" si="12"/>
        <v>470.2720279</v>
      </c>
      <c r="R17" s="2"/>
      <c r="S17" s="14">
        <f t="shared" si="13"/>
        <v>-0.0851245384</v>
      </c>
    </row>
    <row r="18">
      <c r="A18" s="11">
        <v>6.0</v>
      </c>
      <c r="B18" s="11">
        <v>1.41942173913043E9</v>
      </c>
      <c r="C18" s="2">
        <v>-102.1488342</v>
      </c>
      <c r="D18" s="3">
        <f t="shared" si="1"/>
        <v>-978260.8696</v>
      </c>
      <c r="E18" s="4">
        <f t="shared" si="2"/>
        <v>205.6983336</v>
      </c>
      <c r="F18" s="3">
        <f t="shared" si="3"/>
        <v>0.0002102694077</v>
      </c>
      <c r="G18" s="3">
        <f t="shared" si="4"/>
        <v>0</v>
      </c>
      <c r="H18" s="2">
        <f t="shared" si="5"/>
        <v>0</v>
      </c>
      <c r="I18" s="3">
        <f t="shared" si="6"/>
        <v>0</v>
      </c>
      <c r="J18" s="3">
        <f t="shared" si="7"/>
        <v>0</v>
      </c>
      <c r="K18" s="3"/>
      <c r="L18" s="3">
        <f t="shared" si="8"/>
        <v>463.6846802</v>
      </c>
      <c r="M18" s="31">
        <f t="shared" si="9"/>
        <v>470.1353104</v>
      </c>
      <c r="N18" s="14">
        <f t="shared" si="10"/>
        <v>-6.450630172</v>
      </c>
      <c r="O18" s="3"/>
      <c r="P18" s="23">
        <f t="shared" si="11"/>
        <v>205.6983336</v>
      </c>
      <c r="Q18" s="14">
        <f t="shared" si="12"/>
        <v>463.6846802</v>
      </c>
      <c r="R18" s="2"/>
      <c r="S18" s="14">
        <f t="shared" si="13"/>
        <v>-5.923588727</v>
      </c>
    </row>
    <row r="19">
      <c r="A19" s="11">
        <v>7.0</v>
      </c>
      <c r="B19" s="11">
        <v>1.41942608695652E9</v>
      </c>
      <c r="C19" s="2">
        <v>-102.1479568</v>
      </c>
      <c r="D19" s="3">
        <f t="shared" si="1"/>
        <v>-973913.0435</v>
      </c>
      <c r="E19" s="4">
        <f t="shared" si="2"/>
        <v>204.7800375</v>
      </c>
      <c r="F19" s="3">
        <f t="shared" si="3"/>
        <v>0.000210265217</v>
      </c>
      <c r="G19" s="3">
        <f t="shared" si="4"/>
        <v>0</v>
      </c>
      <c r="H19" s="2">
        <f t="shared" si="5"/>
        <v>0</v>
      </c>
      <c r="I19" s="3">
        <f t="shared" si="6"/>
        <v>0</v>
      </c>
      <c r="J19" s="3">
        <f t="shared" si="7"/>
        <v>0</v>
      </c>
      <c r="K19" s="3"/>
      <c r="L19" s="3">
        <f t="shared" si="8"/>
        <v>463.7783673</v>
      </c>
      <c r="M19" s="31">
        <f t="shared" si="9"/>
        <v>469.9068994</v>
      </c>
      <c r="N19" s="14">
        <f t="shared" si="10"/>
        <v>-6.128532019</v>
      </c>
      <c r="O19" s="3"/>
      <c r="P19" s="23">
        <f t="shared" si="11"/>
        <v>204.7800375</v>
      </c>
      <c r="Q19" s="14">
        <f t="shared" si="12"/>
        <v>463.7783673</v>
      </c>
      <c r="R19" s="2"/>
      <c r="S19" s="14">
        <f t="shared" si="13"/>
        <v>-5.627807253</v>
      </c>
    </row>
    <row r="20">
      <c r="A20" s="11">
        <v>8.0</v>
      </c>
      <c r="B20" s="11">
        <v>1.4194304347826E9</v>
      </c>
      <c r="C20" s="2">
        <v>-102.1018143</v>
      </c>
      <c r="D20" s="3">
        <f t="shared" si="1"/>
        <v>-969565.2174</v>
      </c>
      <c r="E20" s="4">
        <f t="shared" si="2"/>
        <v>203.8617413</v>
      </c>
      <c r="F20" s="3">
        <f t="shared" si="3"/>
        <v>0.0002102609888</v>
      </c>
      <c r="G20" s="3">
        <f t="shared" si="4"/>
        <v>0</v>
      </c>
      <c r="H20" s="2">
        <f t="shared" si="5"/>
        <v>0</v>
      </c>
      <c r="I20" s="3">
        <f t="shared" si="6"/>
        <v>0</v>
      </c>
      <c r="J20" s="3">
        <f t="shared" si="7"/>
        <v>0</v>
      </c>
      <c r="K20" s="3"/>
      <c r="L20" s="3">
        <f t="shared" si="8"/>
        <v>468.7321445</v>
      </c>
      <c r="M20" s="31">
        <f t="shared" si="9"/>
        <v>469.6794899</v>
      </c>
      <c r="N20" s="14">
        <f t="shared" si="10"/>
        <v>-0.9473454091</v>
      </c>
      <c r="O20" s="3"/>
      <c r="P20" s="23">
        <f t="shared" si="11"/>
        <v>203.8617413</v>
      </c>
      <c r="Q20" s="14">
        <f t="shared" si="12"/>
        <v>468.7321445</v>
      </c>
      <c r="R20" s="2"/>
      <c r="S20" s="14">
        <f t="shared" si="13"/>
        <v>-0.8699436255</v>
      </c>
    </row>
    <row r="21">
      <c r="A21" s="11">
        <v>9.0</v>
      </c>
      <c r="B21" s="11">
        <v>1.41943478260869E9</v>
      </c>
      <c r="C21" s="2">
        <v>-102.0470352</v>
      </c>
      <c r="D21" s="3">
        <f t="shared" si="1"/>
        <v>-965217.3913</v>
      </c>
      <c r="E21" s="4">
        <f t="shared" si="2"/>
        <v>202.9434452</v>
      </c>
      <c r="F21" s="3">
        <f t="shared" si="3"/>
        <v>0.0002102567225</v>
      </c>
      <c r="G21" s="3">
        <f t="shared" si="4"/>
        <v>0</v>
      </c>
      <c r="H21" s="2">
        <f t="shared" si="5"/>
        <v>0</v>
      </c>
      <c r="I21" s="3">
        <f t="shared" si="6"/>
        <v>0</v>
      </c>
      <c r="J21" s="3">
        <f t="shared" si="7"/>
        <v>0</v>
      </c>
      <c r="K21" s="3"/>
      <c r="L21" s="3">
        <f t="shared" si="8"/>
        <v>474.681873</v>
      </c>
      <c r="M21" s="31">
        <f t="shared" si="9"/>
        <v>469.4530787</v>
      </c>
      <c r="N21" s="14">
        <f t="shared" si="10"/>
        <v>5.228794349</v>
      </c>
      <c r="O21" s="3"/>
      <c r="P21" s="23">
        <f t="shared" si="11"/>
        <v>202.9434452</v>
      </c>
      <c r="Q21" s="14">
        <f t="shared" si="12"/>
        <v>474.681873</v>
      </c>
      <c r="R21" s="2"/>
      <c r="S21" s="14">
        <f t="shared" si="13"/>
        <v>4.80158163</v>
      </c>
    </row>
    <row r="22">
      <c r="A22" s="11">
        <v>10.0</v>
      </c>
      <c r="B22" s="11">
        <v>1.41943913043478E9</v>
      </c>
      <c r="C22" s="2">
        <v>-102.0862122</v>
      </c>
      <c r="D22" s="3">
        <f t="shared" si="1"/>
        <v>-960869.5652</v>
      </c>
      <c r="E22" s="4">
        <f t="shared" si="2"/>
        <v>202.0251491</v>
      </c>
      <c r="F22" s="3">
        <f t="shared" si="3"/>
        <v>0.0002102524176</v>
      </c>
      <c r="G22" s="3">
        <f t="shared" si="4"/>
        <v>0</v>
      </c>
      <c r="H22" s="2">
        <f t="shared" si="5"/>
        <v>0</v>
      </c>
      <c r="I22" s="3">
        <f t="shared" si="6"/>
        <v>0</v>
      </c>
      <c r="J22" s="3">
        <f t="shared" si="7"/>
        <v>0</v>
      </c>
      <c r="K22" s="3"/>
      <c r="L22" s="3">
        <f t="shared" si="8"/>
        <v>470.4191007</v>
      </c>
      <c r="M22" s="31">
        <f t="shared" si="9"/>
        <v>469.2276625</v>
      </c>
      <c r="N22" s="14">
        <f t="shared" si="10"/>
        <v>1.191438255</v>
      </c>
      <c r="O22" s="3"/>
      <c r="P22" s="23">
        <f t="shared" si="11"/>
        <v>202.0251491</v>
      </c>
      <c r="Q22" s="14">
        <f t="shared" si="12"/>
        <v>470.4191007</v>
      </c>
      <c r="R22" s="2"/>
      <c r="S22" s="14">
        <f t="shared" si="13"/>
        <v>1.094093139</v>
      </c>
      <c r="U22" s="11">
        <v>1.0</v>
      </c>
    </row>
    <row r="23">
      <c r="A23" s="11">
        <v>11.0</v>
      </c>
      <c r="B23" s="11">
        <v>1.41944347826087E9</v>
      </c>
      <c r="C23" s="2">
        <v>-102.1569061</v>
      </c>
      <c r="D23" s="3">
        <f t="shared" si="1"/>
        <v>-956521.7391</v>
      </c>
      <c r="E23" s="4">
        <f t="shared" si="2"/>
        <v>201.1068529</v>
      </c>
      <c r="F23" s="3">
        <f t="shared" si="3"/>
        <v>0.0002102480735</v>
      </c>
      <c r="G23" s="3">
        <f t="shared" si="4"/>
        <v>0</v>
      </c>
      <c r="H23" s="2">
        <f t="shared" si="5"/>
        <v>0</v>
      </c>
      <c r="I23" s="3">
        <f t="shared" si="6"/>
        <v>0</v>
      </c>
      <c r="J23" s="3">
        <f t="shared" si="7"/>
        <v>0</v>
      </c>
      <c r="K23" s="3"/>
      <c r="L23" s="3">
        <f t="shared" si="8"/>
        <v>462.8236653</v>
      </c>
      <c r="M23" s="31">
        <f t="shared" si="9"/>
        <v>469.003238</v>
      </c>
      <c r="N23" s="14">
        <f t="shared" si="10"/>
        <v>-6.179572694</v>
      </c>
      <c r="O23" s="3"/>
      <c r="P23" s="23">
        <f t="shared" si="11"/>
        <v>201.1068529</v>
      </c>
      <c r="Q23" s="14">
        <f t="shared" si="12"/>
        <v>462.8236653</v>
      </c>
      <c r="R23" s="2"/>
      <c r="S23" s="14">
        <f t="shared" si="13"/>
        <v>-5.674677707</v>
      </c>
    </row>
    <row r="24">
      <c r="A24" s="11">
        <v>12.0</v>
      </c>
      <c r="B24" s="11">
        <v>1.41944782608695E9</v>
      </c>
      <c r="C24" s="2">
        <v>-102.1529083</v>
      </c>
      <c r="D24" s="3">
        <f t="shared" si="1"/>
        <v>-952173.913</v>
      </c>
      <c r="E24" s="4">
        <f t="shared" si="2"/>
        <v>200.1885568</v>
      </c>
      <c r="F24" s="3">
        <f t="shared" si="3"/>
        <v>0.0002102436898</v>
      </c>
      <c r="G24" s="3">
        <f t="shared" si="4"/>
        <v>0</v>
      </c>
      <c r="H24" s="2">
        <f t="shared" si="5"/>
        <v>0</v>
      </c>
      <c r="I24" s="3">
        <f t="shared" si="6"/>
        <v>0</v>
      </c>
      <c r="J24" s="3">
        <f t="shared" si="7"/>
        <v>0</v>
      </c>
      <c r="K24" s="3"/>
      <c r="L24" s="3">
        <f t="shared" si="8"/>
        <v>463.2499033</v>
      </c>
      <c r="M24" s="31">
        <f t="shared" si="9"/>
        <v>468.7798019</v>
      </c>
      <c r="N24" s="14">
        <f t="shared" si="10"/>
        <v>-5.529898573</v>
      </c>
      <c r="O24" s="3"/>
      <c r="P24" s="23">
        <f t="shared" si="11"/>
        <v>200.1885568</v>
      </c>
      <c r="Q24" s="14">
        <f t="shared" si="12"/>
        <v>463.2499033</v>
      </c>
      <c r="R24" s="2"/>
      <c r="S24" s="14">
        <f t="shared" si="13"/>
        <v>-5.078084475</v>
      </c>
    </row>
    <row r="25">
      <c r="A25" s="11">
        <v>13.0</v>
      </c>
      <c r="B25" s="11">
        <v>1.41945217391304E9</v>
      </c>
      <c r="C25" s="2">
        <v>-102.0406494</v>
      </c>
      <c r="D25" s="3">
        <f t="shared" si="1"/>
        <v>-947826.087</v>
      </c>
      <c r="E25" s="4">
        <f t="shared" si="2"/>
        <v>199.2702607</v>
      </c>
      <c r="F25" s="3">
        <f t="shared" si="3"/>
        <v>0.0002102392658</v>
      </c>
      <c r="G25" s="3">
        <f t="shared" si="4"/>
        <v>0</v>
      </c>
      <c r="H25" s="2">
        <f t="shared" si="5"/>
        <v>0</v>
      </c>
      <c r="I25" s="3">
        <f t="shared" si="6"/>
        <v>0</v>
      </c>
      <c r="J25" s="3">
        <f t="shared" si="7"/>
        <v>0</v>
      </c>
      <c r="K25" s="3"/>
      <c r="L25" s="3">
        <f t="shared" si="8"/>
        <v>475.3803514</v>
      </c>
      <c r="M25" s="31">
        <f t="shared" si="9"/>
        <v>468.557351</v>
      </c>
      <c r="N25" s="14">
        <f t="shared" si="10"/>
        <v>6.823000449</v>
      </c>
      <c r="O25" s="3"/>
      <c r="P25" s="23">
        <f t="shared" si="11"/>
        <v>199.2702607</v>
      </c>
      <c r="Q25" s="14">
        <f t="shared" si="12"/>
        <v>475.3803514</v>
      </c>
      <c r="R25" s="2"/>
      <c r="S25" s="14">
        <f t="shared" si="13"/>
        <v>6.265534912</v>
      </c>
    </row>
    <row r="26">
      <c r="A26" s="11">
        <v>14.0</v>
      </c>
      <c r="B26" s="11">
        <v>1.41945652173913E9</v>
      </c>
      <c r="C26" s="2">
        <v>-102.0622101</v>
      </c>
      <c r="D26" s="3">
        <f t="shared" si="1"/>
        <v>-943478.2609</v>
      </c>
      <c r="E26" s="4">
        <f t="shared" si="2"/>
        <v>198.3519645</v>
      </c>
      <c r="F26" s="3">
        <f t="shared" si="3"/>
        <v>0.0002102348011</v>
      </c>
      <c r="G26" s="3">
        <f t="shared" si="4"/>
        <v>0</v>
      </c>
      <c r="H26" s="2">
        <f t="shared" si="5"/>
        <v>0</v>
      </c>
      <c r="I26" s="3">
        <f t="shared" si="6"/>
        <v>0</v>
      </c>
      <c r="J26" s="3">
        <f t="shared" si="7"/>
        <v>0</v>
      </c>
      <c r="K26" s="3"/>
      <c r="L26" s="3">
        <f t="shared" si="8"/>
        <v>473.0261578</v>
      </c>
      <c r="M26" s="31">
        <f t="shared" si="9"/>
        <v>468.3358819</v>
      </c>
      <c r="N26" s="14">
        <f t="shared" si="10"/>
        <v>4.690275862</v>
      </c>
      <c r="O26" s="3"/>
      <c r="P26" s="23">
        <f t="shared" si="11"/>
        <v>198.3519645</v>
      </c>
      <c r="Q26" s="14">
        <f t="shared" si="12"/>
        <v>473.0261578</v>
      </c>
      <c r="R26" s="2"/>
      <c r="S26" s="14">
        <f t="shared" si="13"/>
        <v>4.307062186</v>
      </c>
    </row>
    <row r="27">
      <c r="A27" s="11">
        <v>15.0</v>
      </c>
      <c r="B27" s="11">
        <v>1.41946086956521E9</v>
      </c>
      <c r="C27" s="2">
        <v>-102.1245117</v>
      </c>
      <c r="D27" s="3">
        <f t="shared" si="1"/>
        <v>-939130.4348</v>
      </c>
      <c r="E27" s="4">
        <f t="shared" si="2"/>
        <v>197.4336684</v>
      </c>
      <c r="F27" s="3">
        <f t="shared" si="3"/>
        <v>0.0002102302951</v>
      </c>
      <c r="G27" s="3">
        <f t="shared" si="4"/>
        <v>0</v>
      </c>
      <c r="H27" s="2">
        <f t="shared" si="5"/>
        <v>0</v>
      </c>
      <c r="I27" s="3">
        <f t="shared" si="6"/>
        <v>0</v>
      </c>
      <c r="J27" s="3">
        <f t="shared" si="7"/>
        <v>0</v>
      </c>
      <c r="K27" s="3"/>
      <c r="L27" s="3">
        <f t="shared" si="8"/>
        <v>466.2888143</v>
      </c>
      <c r="M27" s="31">
        <f t="shared" si="9"/>
        <v>468.1153915</v>
      </c>
      <c r="N27" s="14">
        <f t="shared" si="10"/>
        <v>-1.826577157</v>
      </c>
      <c r="O27" s="3"/>
      <c r="P27" s="23">
        <f t="shared" si="11"/>
        <v>197.4336684</v>
      </c>
      <c r="Q27" s="14">
        <f t="shared" si="12"/>
        <v>466.2888143</v>
      </c>
      <c r="R27" s="2"/>
      <c r="S27" s="14">
        <f t="shared" si="13"/>
        <v>-1.677338739</v>
      </c>
    </row>
    <row r="28">
      <c r="A28" s="11">
        <v>16.0</v>
      </c>
      <c r="B28" s="11">
        <v>1.4194652173913E9</v>
      </c>
      <c r="C28" s="2">
        <v>-102.1135406</v>
      </c>
      <c r="D28" s="3">
        <f t="shared" si="1"/>
        <v>-934782.6087</v>
      </c>
      <c r="E28" s="4">
        <f t="shared" si="2"/>
        <v>196.5153723</v>
      </c>
      <c r="F28" s="3">
        <f t="shared" si="3"/>
        <v>0.0002102257471</v>
      </c>
      <c r="G28" s="3">
        <f t="shared" si="4"/>
        <v>0</v>
      </c>
      <c r="H28" s="2">
        <f t="shared" si="5"/>
        <v>0</v>
      </c>
      <c r="I28" s="3">
        <f t="shared" si="6"/>
        <v>0</v>
      </c>
      <c r="J28" s="3">
        <f t="shared" si="7"/>
        <v>0</v>
      </c>
      <c r="K28" s="3"/>
      <c r="L28" s="3">
        <f t="shared" si="8"/>
        <v>467.4682371</v>
      </c>
      <c r="M28" s="31">
        <f t="shared" si="9"/>
        <v>467.8958763</v>
      </c>
      <c r="N28" s="14">
        <f t="shared" si="10"/>
        <v>-0.4276391469</v>
      </c>
      <c r="O28" s="3"/>
      <c r="P28" s="23">
        <f t="shared" si="11"/>
        <v>196.5153723</v>
      </c>
      <c r="Q28" s="14">
        <f t="shared" si="12"/>
        <v>467.4682371</v>
      </c>
      <c r="R28" s="2"/>
      <c r="S28" s="14">
        <f t="shared" si="13"/>
        <v>-0.3926993739</v>
      </c>
    </row>
    <row r="29">
      <c r="A29" s="11">
        <v>17.0</v>
      </c>
      <c r="B29" s="11">
        <v>1.41946956521739E9</v>
      </c>
      <c r="C29" s="2">
        <v>-102.081665</v>
      </c>
      <c r="D29" s="3">
        <f t="shared" si="1"/>
        <v>-930434.7826</v>
      </c>
      <c r="E29" s="4">
        <f t="shared" si="2"/>
        <v>195.5970761</v>
      </c>
      <c r="F29" s="3">
        <f t="shared" si="3"/>
        <v>0.0002102211566</v>
      </c>
      <c r="G29" s="3">
        <f t="shared" si="4"/>
        <v>0</v>
      </c>
      <c r="H29" s="2">
        <f t="shared" si="5"/>
        <v>0</v>
      </c>
      <c r="I29" s="3">
        <f t="shared" si="6"/>
        <v>0</v>
      </c>
      <c r="J29" s="3">
        <f t="shared" si="7"/>
        <v>0</v>
      </c>
      <c r="K29" s="3"/>
      <c r="L29" s="3">
        <f t="shared" si="8"/>
        <v>470.9119023</v>
      </c>
      <c r="M29" s="31">
        <f t="shared" si="9"/>
        <v>467.6773331</v>
      </c>
      <c r="N29" s="14">
        <f t="shared" si="10"/>
        <v>3.234569192</v>
      </c>
      <c r="O29" s="3"/>
      <c r="P29" s="23">
        <f t="shared" si="11"/>
        <v>195.5970761</v>
      </c>
      <c r="Q29" s="14">
        <f t="shared" si="12"/>
        <v>470.9119023</v>
      </c>
      <c r="R29" s="2"/>
      <c r="S29" s="14">
        <f t="shared" si="13"/>
        <v>2.970292381</v>
      </c>
    </row>
    <row r="30">
      <c r="A30" s="11">
        <v>18.0</v>
      </c>
      <c r="B30" s="11">
        <v>1.41947391304347E9</v>
      </c>
      <c r="C30" s="2">
        <v>-102.055954</v>
      </c>
      <c r="D30" s="3">
        <f t="shared" si="1"/>
        <v>-926086.9565</v>
      </c>
      <c r="E30" s="4">
        <f t="shared" si="2"/>
        <v>194.67878</v>
      </c>
      <c r="F30" s="3">
        <f t="shared" si="3"/>
        <v>0.000210216523</v>
      </c>
      <c r="G30" s="3">
        <f t="shared" si="4"/>
        <v>0</v>
      </c>
      <c r="H30" s="2">
        <f t="shared" si="5"/>
        <v>0</v>
      </c>
      <c r="I30" s="3">
        <f t="shared" si="6"/>
        <v>0</v>
      </c>
      <c r="J30" s="3">
        <f t="shared" si="7"/>
        <v>0</v>
      </c>
      <c r="K30" s="3"/>
      <c r="L30" s="3">
        <f t="shared" si="8"/>
        <v>473.7080526</v>
      </c>
      <c r="M30" s="31">
        <f t="shared" si="9"/>
        <v>467.4597587</v>
      </c>
      <c r="N30" s="14">
        <f t="shared" si="10"/>
        <v>6.248293894</v>
      </c>
      <c r="O30" s="3"/>
      <c r="P30" s="23">
        <f t="shared" si="11"/>
        <v>194.67878</v>
      </c>
      <c r="Q30" s="14">
        <f t="shared" si="12"/>
        <v>473.7080526</v>
      </c>
      <c r="R30" s="2"/>
      <c r="S30" s="14">
        <f t="shared" si="13"/>
        <v>5.737784119</v>
      </c>
    </row>
    <row r="31">
      <c r="A31" s="11">
        <v>19.0</v>
      </c>
      <c r="B31" s="11">
        <v>1.41947826086956E9</v>
      </c>
      <c r="C31" s="2">
        <v>-102.0960464</v>
      </c>
      <c r="D31" s="3">
        <f t="shared" si="1"/>
        <v>-921739.1304</v>
      </c>
      <c r="E31" s="4">
        <f t="shared" si="2"/>
        <v>193.7604839</v>
      </c>
      <c r="F31" s="3">
        <f t="shared" si="3"/>
        <v>0.0002102118457</v>
      </c>
      <c r="G31" s="3">
        <f t="shared" si="4"/>
        <v>0</v>
      </c>
      <c r="H31" s="2">
        <f t="shared" si="5"/>
        <v>0</v>
      </c>
      <c r="I31" s="3">
        <f t="shared" si="6"/>
        <v>0</v>
      </c>
      <c r="J31" s="3">
        <f t="shared" si="7"/>
        <v>0</v>
      </c>
      <c r="K31" s="3"/>
      <c r="L31" s="3">
        <f t="shared" si="8"/>
        <v>469.355085</v>
      </c>
      <c r="M31" s="31">
        <f t="shared" si="9"/>
        <v>467.2431497</v>
      </c>
      <c r="N31" s="14">
        <f t="shared" si="10"/>
        <v>2.111935279</v>
      </c>
      <c r="O31" s="3"/>
      <c r="P31" s="23">
        <f t="shared" si="11"/>
        <v>193.7604839</v>
      </c>
      <c r="Q31" s="14">
        <f t="shared" si="12"/>
        <v>469.355085</v>
      </c>
      <c r="R31" s="2"/>
      <c r="S31" s="14">
        <f t="shared" si="13"/>
        <v>1.939381995</v>
      </c>
    </row>
    <row r="32">
      <c r="A32" s="11">
        <v>20.0</v>
      </c>
      <c r="B32" s="11">
        <v>1.41948260869565E9</v>
      </c>
      <c r="C32" s="2">
        <v>-102.1306152</v>
      </c>
      <c r="D32" s="3">
        <f t="shared" si="1"/>
        <v>-917391.3043</v>
      </c>
      <c r="E32" s="4">
        <f t="shared" si="2"/>
        <v>192.8421878</v>
      </c>
      <c r="F32" s="3">
        <f t="shared" si="3"/>
        <v>0.0002102071241</v>
      </c>
      <c r="G32" s="3">
        <f t="shared" si="4"/>
        <v>0</v>
      </c>
      <c r="H32" s="2">
        <f t="shared" si="5"/>
        <v>0</v>
      </c>
      <c r="I32" s="3">
        <f t="shared" si="6"/>
        <v>0</v>
      </c>
      <c r="J32" s="3">
        <f t="shared" si="7"/>
        <v>0</v>
      </c>
      <c r="K32" s="3"/>
      <c r="L32" s="3">
        <f t="shared" si="8"/>
        <v>465.6339603</v>
      </c>
      <c r="M32" s="31">
        <f t="shared" si="9"/>
        <v>467.0275029</v>
      </c>
      <c r="N32" s="14">
        <f t="shared" si="10"/>
        <v>-1.393542649</v>
      </c>
      <c r="O32" s="3"/>
      <c r="P32" s="23">
        <f t="shared" si="11"/>
        <v>192.8421878</v>
      </c>
      <c r="Q32" s="14">
        <f t="shared" si="12"/>
        <v>465.6339603</v>
      </c>
      <c r="R32" s="2"/>
      <c r="S32" s="14">
        <f t="shared" si="13"/>
        <v>-1.279684825</v>
      </c>
    </row>
    <row r="33">
      <c r="A33" s="11">
        <v>21.0</v>
      </c>
      <c r="B33" s="11">
        <v>1.41948695652173E9</v>
      </c>
      <c r="C33" s="2">
        <v>-102.0997849</v>
      </c>
      <c r="D33" s="3">
        <f t="shared" si="1"/>
        <v>-913043.4783</v>
      </c>
      <c r="E33" s="4">
        <f t="shared" si="2"/>
        <v>191.9238916</v>
      </c>
      <c r="F33" s="3">
        <f t="shared" si="3"/>
        <v>0.0002102023575</v>
      </c>
      <c r="G33" s="3">
        <f t="shared" si="4"/>
        <v>0</v>
      </c>
      <c r="H33" s="2">
        <f t="shared" si="5"/>
        <v>0</v>
      </c>
      <c r="I33" s="3">
        <f t="shared" si="6"/>
        <v>0</v>
      </c>
      <c r="J33" s="3">
        <f t="shared" si="7"/>
        <v>0</v>
      </c>
      <c r="K33" s="3"/>
      <c r="L33" s="3">
        <f t="shared" si="8"/>
        <v>468.9512279</v>
      </c>
      <c r="M33" s="31">
        <f t="shared" si="9"/>
        <v>466.812815</v>
      </c>
      <c r="N33" s="14">
        <f t="shared" si="10"/>
        <v>2.138412904</v>
      </c>
      <c r="O33" s="3"/>
      <c r="P33" s="23">
        <f t="shared" si="11"/>
        <v>191.9238916</v>
      </c>
      <c r="Q33" s="14">
        <f t="shared" si="12"/>
        <v>468.9512279</v>
      </c>
      <c r="R33" s="2"/>
      <c r="S33" s="14">
        <f t="shared" si="13"/>
        <v>1.9636963</v>
      </c>
    </row>
    <row r="34">
      <c r="A34" s="11">
        <v>22.0</v>
      </c>
      <c r="B34" s="11">
        <v>1.41949130434782E9</v>
      </c>
      <c r="C34" s="2">
        <v>-102.0884094</v>
      </c>
      <c r="D34" s="3">
        <f t="shared" si="1"/>
        <v>-908695.6522</v>
      </c>
      <c r="E34" s="4">
        <f t="shared" si="2"/>
        <v>191.0055955</v>
      </c>
      <c r="F34" s="3">
        <f t="shared" si="3"/>
        <v>0.0002101975453</v>
      </c>
      <c r="G34" s="3">
        <f t="shared" si="4"/>
        <v>0</v>
      </c>
      <c r="H34" s="2">
        <f t="shared" si="5"/>
        <v>0</v>
      </c>
      <c r="I34" s="3">
        <f t="shared" si="6"/>
        <v>0</v>
      </c>
      <c r="J34" s="3">
        <f t="shared" si="7"/>
        <v>0</v>
      </c>
      <c r="K34" s="3"/>
      <c r="L34" s="3">
        <f t="shared" si="8"/>
        <v>470.1811646</v>
      </c>
      <c r="M34" s="31">
        <f t="shared" si="9"/>
        <v>466.5990827</v>
      </c>
      <c r="N34" s="14">
        <f t="shared" si="10"/>
        <v>3.582081893</v>
      </c>
      <c r="O34" s="3"/>
      <c r="P34" s="23">
        <f t="shared" si="11"/>
        <v>191.0055955</v>
      </c>
      <c r="Q34" s="14">
        <f t="shared" si="12"/>
        <v>470.1811646</v>
      </c>
      <c r="R34" s="2"/>
      <c r="S34" s="14">
        <f t="shared" si="13"/>
        <v>3.28941195</v>
      </c>
    </row>
    <row r="35">
      <c r="A35" s="11">
        <v>23.0</v>
      </c>
      <c r="B35" s="11">
        <v>1.41949565217391E9</v>
      </c>
      <c r="C35" s="2">
        <v>-102.1031876</v>
      </c>
      <c r="D35" s="3">
        <f t="shared" si="1"/>
        <v>-904347.8261</v>
      </c>
      <c r="E35" s="4">
        <f t="shared" si="2"/>
        <v>190.0872994</v>
      </c>
      <c r="F35" s="3">
        <f t="shared" si="3"/>
        <v>0.0002101926868</v>
      </c>
      <c r="G35" s="3">
        <f t="shared" si="4"/>
        <v>0</v>
      </c>
      <c r="H35" s="2">
        <f t="shared" si="5"/>
        <v>0</v>
      </c>
      <c r="I35" s="3">
        <f t="shared" si="6"/>
        <v>0</v>
      </c>
      <c r="J35" s="3">
        <f t="shared" si="7"/>
        <v>0</v>
      </c>
      <c r="K35" s="3"/>
      <c r="L35" s="3">
        <f t="shared" si="8"/>
        <v>468.5839482</v>
      </c>
      <c r="M35" s="31">
        <f t="shared" si="9"/>
        <v>466.3863028</v>
      </c>
      <c r="N35" s="14">
        <f t="shared" si="10"/>
        <v>2.197645474</v>
      </c>
      <c r="O35" s="3"/>
      <c r="P35" s="23">
        <f t="shared" si="11"/>
        <v>190.0872994</v>
      </c>
      <c r="Q35" s="14">
        <f t="shared" si="12"/>
        <v>468.5839482</v>
      </c>
      <c r="R35" s="2"/>
      <c r="S35" s="14">
        <f t="shared" si="13"/>
        <v>2.018089336</v>
      </c>
    </row>
    <row r="36">
      <c r="A36" s="11">
        <v>24.0</v>
      </c>
      <c r="B36" s="11">
        <v>1.4195E9</v>
      </c>
      <c r="C36" s="2">
        <v>-102.1412201</v>
      </c>
      <c r="D36" s="3">
        <f t="shared" si="1"/>
        <v>-900000</v>
      </c>
      <c r="E36" s="4">
        <f t="shared" si="2"/>
        <v>189.1690032</v>
      </c>
      <c r="F36" s="3">
        <f t="shared" si="3"/>
        <v>0.0002101877814</v>
      </c>
      <c r="G36" s="3">
        <f t="shared" si="4"/>
        <v>0</v>
      </c>
      <c r="H36" s="2">
        <f t="shared" si="5"/>
        <v>0</v>
      </c>
      <c r="I36" s="3">
        <f t="shared" si="6"/>
        <v>0</v>
      </c>
      <c r="J36" s="3">
        <f t="shared" si="7"/>
        <v>0</v>
      </c>
      <c r="K36" s="3"/>
      <c r="L36" s="3">
        <f t="shared" si="8"/>
        <v>464.4983305</v>
      </c>
      <c r="M36" s="31">
        <f t="shared" si="9"/>
        <v>466.1744719</v>
      </c>
      <c r="N36" s="14">
        <f t="shared" si="10"/>
        <v>-1.676141373</v>
      </c>
      <c r="O36" s="3"/>
      <c r="P36" s="23">
        <f t="shared" si="11"/>
        <v>189.1690032</v>
      </c>
      <c r="Q36" s="14">
        <f t="shared" si="12"/>
        <v>464.4983305</v>
      </c>
      <c r="R36" s="2"/>
      <c r="S36" s="14">
        <f t="shared" si="13"/>
        <v>-1.539194141</v>
      </c>
    </row>
    <row r="37">
      <c r="A37" s="11">
        <v>25.0</v>
      </c>
      <c r="B37" s="11">
        <v>1.41950434782608E9</v>
      </c>
      <c r="C37" s="2">
        <v>-102.1565399</v>
      </c>
      <c r="D37" s="3">
        <f t="shared" si="1"/>
        <v>-895652.1739</v>
      </c>
      <c r="E37" s="4">
        <f t="shared" si="2"/>
        <v>188.2507071</v>
      </c>
      <c r="F37" s="3">
        <f t="shared" si="3"/>
        <v>0.0002101828283</v>
      </c>
      <c r="G37" s="3">
        <f t="shared" si="4"/>
        <v>0</v>
      </c>
      <c r="H37" s="2">
        <f t="shared" si="5"/>
        <v>0</v>
      </c>
      <c r="I37" s="3">
        <f t="shared" si="6"/>
        <v>0</v>
      </c>
      <c r="J37" s="3">
        <f t="shared" si="7"/>
        <v>0</v>
      </c>
      <c r="K37" s="3"/>
      <c r="L37" s="3">
        <f t="shared" si="8"/>
        <v>462.8626925</v>
      </c>
      <c r="M37" s="31">
        <f t="shared" si="9"/>
        <v>465.9635867</v>
      </c>
      <c r="N37" s="14">
        <f t="shared" si="10"/>
        <v>-3.10089417</v>
      </c>
      <c r="O37" s="3"/>
      <c r="P37" s="23">
        <f t="shared" si="11"/>
        <v>188.2507071</v>
      </c>
      <c r="Q37" s="14">
        <f t="shared" si="12"/>
        <v>462.8626925</v>
      </c>
      <c r="R37" s="2"/>
      <c r="S37" s="14">
        <f t="shared" si="13"/>
        <v>-2.847539124</v>
      </c>
    </row>
    <row r="38">
      <c r="A38" s="11">
        <v>26.0</v>
      </c>
      <c r="B38" s="11">
        <v>1.41950869565217E9</v>
      </c>
      <c r="C38" s="2">
        <v>-102.0413589</v>
      </c>
      <c r="D38" s="3">
        <f t="shared" si="1"/>
        <v>-891304.3478</v>
      </c>
      <c r="E38" s="4">
        <f t="shared" si="2"/>
        <v>187.332411</v>
      </c>
      <c r="F38" s="3">
        <f t="shared" si="3"/>
        <v>0.0002101778269</v>
      </c>
      <c r="G38" s="3">
        <f t="shared" si="4"/>
        <v>0</v>
      </c>
      <c r="H38" s="2">
        <f t="shared" si="5"/>
        <v>0</v>
      </c>
      <c r="I38" s="3">
        <f t="shared" si="6"/>
        <v>0</v>
      </c>
      <c r="J38" s="3">
        <f t="shared" si="7"/>
        <v>0</v>
      </c>
      <c r="K38" s="3"/>
      <c r="L38" s="3">
        <f t="shared" si="8"/>
        <v>475.3026957</v>
      </c>
      <c r="M38" s="31">
        <f t="shared" si="9"/>
        <v>465.7536441</v>
      </c>
      <c r="N38" s="14">
        <f t="shared" si="10"/>
        <v>9.549051604</v>
      </c>
      <c r="O38" s="3"/>
      <c r="P38" s="23">
        <f t="shared" si="11"/>
        <v>187.332411</v>
      </c>
      <c r="Q38" s="14">
        <f t="shared" si="12"/>
        <v>475.3026957</v>
      </c>
      <c r="R38" s="2"/>
      <c r="S38" s="14">
        <f t="shared" si="13"/>
        <v>8.768857139</v>
      </c>
    </row>
    <row r="39">
      <c r="A39" s="11">
        <v>27.0</v>
      </c>
      <c r="B39" s="11">
        <v>1.41951304347826E9</v>
      </c>
      <c r="C39" s="2">
        <v>-102.0653915</v>
      </c>
      <c r="D39" s="3">
        <f t="shared" si="1"/>
        <v>-886956.5217</v>
      </c>
      <c r="E39" s="4">
        <f t="shared" si="2"/>
        <v>186.4141148</v>
      </c>
      <c r="F39" s="3">
        <f t="shared" si="3"/>
        <v>0.0002101727765</v>
      </c>
      <c r="G39" s="3">
        <f t="shared" si="4"/>
        <v>0</v>
      </c>
      <c r="H39" s="2">
        <f t="shared" si="5"/>
        <v>0</v>
      </c>
      <c r="I39" s="3">
        <f t="shared" si="6"/>
        <v>0</v>
      </c>
      <c r="J39" s="3">
        <f t="shared" si="7"/>
        <v>0</v>
      </c>
      <c r="K39" s="3"/>
      <c r="L39" s="3">
        <f t="shared" si="8"/>
        <v>472.679772</v>
      </c>
      <c r="M39" s="31">
        <f t="shared" si="9"/>
        <v>465.5446406</v>
      </c>
      <c r="N39" s="14">
        <f t="shared" si="10"/>
        <v>7.135131418</v>
      </c>
      <c r="O39" s="3"/>
      <c r="P39" s="23">
        <f t="shared" si="11"/>
        <v>186.4141148</v>
      </c>
      <c r="Q39" s="14">
        <f t="shared" si="12"/>
        <v>472.679772</v>
      </c>
      <c r="R39" s="2"/>
      <c r="S39" s="14">
        <f t="shared" si="13"/>
        <v>6.552163588</v>
      </c>
    </row>
    <row r="40">
      <c r="A40" s="11">
        <v>28.0</v>
      </c>
      <c r="B40" s="11">
        <v>1.41951739130434E9</v>
      </c>
      <c r="C40" s="2">
        <v>-102.166893</v>
      </c>
      <c r="D40" s="3">
        <f t="shared" si="1"/>
        <v>-882608.6957</v>
      </c>
      <c r="E40" s="4">
        <f t="shared" si="2"/>
        <v>185.4958187</v>
      </c>
      <c r="F40" s="3">
        <f t="shared" si="3"/>
        <v>0.0002101676763</v>
      </c>
      <c r="G40" s="3">
        <f t="shared" si="4"/>
        <v>0</v>
      </c>
      <c r="H40" s="2">
        <f t="shared" si="5"/>
        <v>0</v>
      </c>
      <c r="I40" s="3">
        <f t="shared" si="6"/>
        <v>0</v>
      </c>
      <c r="J40" s="3">
        <f t="shared" si="7"/>
        <v>0</v>
      </c>
      <c r="K40" s="3"/>
      <c r="L40" s="3">
        <f t="shared" si="8"/>
        <v>461.7605933</v>
      </c>
      <c r="M40" s="31">
        <f t="shared" si="9"/>
        <v>465.3365731</v>
      </c>
      <c r="N40" s="14">
        <f t="shared" si="10"/>
        <v>-3.575979797</v>
      </c>
      <c r="O40" s="3"/>
      <c r="P40" s="23">
        <f t="shared" si="11"/>
        <v>185.4958187</v>
      </c>
      <c r="Q40" s="14">
        <f t="shared" si="12"/>
        <v>461.7605933</v>
      </c>
      <c r="R40" s="2"/>
      <c r="S40" s="14">
        <f t="shared" si="13"/>
        <v>-3.283808419</v>
      </c>
    </row>
    <row r="41">
      <c r="A41" s="11">
        <v>29.0</v>
      </c>
      <c r="B41" s="11">
        <v>1.41952173913043E9</v>
      </c>
      <c r="C41" s="2">
        <v>-102.1985092</v>
      </c>
      <c r="D41" s="3">
        <f t="shared" si="1"/>
        <v>-878260.8696</v>
      </c>
      <c r="E41" s="4">
        <f t="shared" si="2"/>
        <v>184.5775226</v>
      </c>
      <c r="F41" s="3">
        <f t="shared" si="3"/>
        <v>0.0002101625257</v>
      </c>
      <c r="G41" s="3">
        <f t="shared" si="4"/>
        <v>0</v>
      </c>
      <c r="H41" s="2">
        <f t="shared" si="5"/>
        <v>0</v>
      </c>
      <c r="I41" s="3">
        <f t="shared" si="6"/>
        <v>0</v>
      </c>
      <c r="J41" s="3">
        <f t="shared" si="7"/>
        <v>0</v>
      </c>
      <c r="K41" s="3"/>
      <c r="L41" s="3">
        <f t="shared" si="8"/>
        <v>458.411229</v>
      </c>
      <c r="M41" s="31">
        <f t="shared" si="9"/>
        <v>465.1294382</v>
      </c>
      <c r="N41" s="14">
        <f t="shared" si="10"/>
        <v>-6.718209107</v>
      </c>
      <c r="O41" s="3"/>
      <c r="P41" s="23">
        <f t="shared" si="11"/>
        <v>184.5775226</v>
      </c>
      <c r="Q41" s="14">
        <f t="shared" si="12"/>
        <v>458.411229</v>
      </c>
      <c r="R41" s="2"/>
      <c r="S41" s="14">
        <f t="shared" si="13"/>
        <v>-6.169305428</v>
      </c>
    </row>
    <row r="42">
      <c r="A42" s="11">
        <v>30.0</v>
      </c>
      <c r="B42" s="11">
        <v>1.41952608695652E9</v>
      </c>
      <c r="C42" s="2">
        <v>-102.1578827</v>
      </c>
      <c r="D42" s="3">
        <f t="shared" si="1"/>
        <v>-873913.0435</v>
      </c>
      <c r="E42" s="4">
        <f t="shared" si="2"/>
        <v>183.6592264</v>
      </c>
      <c r="F42" s="3">
        <f t="shared" si="3"/>
        <v>0.0002101573238</v>
      </c>
      <c r="G42" s="3">
        <f t="shared" si="4"/>
        <v>0</v>
      </c>
      <c r="H42" s="2">
        <f t="shared" si="5"/>
        <v>0</v>
      </c>
      <c r="I42" s="3">
        <f t="shared" si="6"/>
        <v>0</v>
      </c>
      <c r="J42" s="3">
        <f t="shared" si="7"/>
        <v>0</v>
      </c>
      <c r="K42" s="3"/>
      <c r="L42" s="3">
        <f t="shared" si="8"/>
        <v>462.7196016</v>
      </c>
      <c r="M42" s="31">
        <f t="shared" si="9"/>
        <v>464.9232326</v>
      </c>
      <c r="N42" s="14">
        <f t="shared" si="10"/>
        <v>-2.20363098</v>
      </c>
      <c r="O42" s="3"/>
      <c r="P42" s="23">
        <f t="shared" si="11"/>
        <v>183.6592264</v>
      </c>
      <c r="Q42" s="14">
        <f t="shared" si="12"/>
        <v>462.7196016</v>
      </c>
      <c r="R42" s="2"/>
      <c r="S42" s="14">
        <f t="shared" si="13"/>
        <v>-2.023585807</v>
      </c>
    </row>
    <row r="43">
      <c r="A43" s="11">
        <v>31.0</v>
      </c>
      <c r="B43" s="11">
        <v>1.4195304347826E9</v>
      </c>
      <c r="C43" s="2">
        <v>-102.1374741</v>
      </c>
      <c r="D43" s="3">
        <f t="shared" si="1"/>
        <v>-869565.2174</v>
      </c>
      <c r="E43" s="4">
        <f t="shared" si="2"/>
        <v>182.7409303</v>
      </c>
      <c r="F43" s="3">
        <f t="shared" si="3"/>
        <v>0.0002101520698</v>
      </c>
      <c r="G43" s="3">
        <f t="shared" si="4"/>
        <v>0</v>
      </c>
      <c r="H43" s="2">
        <f t="shared" si="5"/>
        <v>0</v>
      </c>
      <c r="I43" s="3">
        <f t="shared" si="6"/>
        <v>0</v>
      </c>
      <c r="J43" s="3">
        <f t="shared" si="7"/>
        <v>0</v>
      </c>
      <c r="K43" s="3"/>
      <c r="L43" s="3">
        <f t="shared" si="8"/>
        <v>464.8991556</v>
      </c>
      <c r="M43" s="31">
        <f t="shared" si="9"/>
        <v>464.7179531</v>
      </c>
      <c r="N43" s="14">
        <f t="shared" si="10"/>
        <v>0.1812024656</v>
      </c>
      <c r="O43" s="3"/>
      <c r="P43" s="23">
        <f t="shared" si="11"/>
        <v>182.7409303</v>
      </c>
      <c r="Q43" s="14">
        <f t="shared" si="12"/>
        <v>464.8991556</v>
      </c>
      <c r="R43" s="2"/>
      <c r="S43" s="14">
        <f t="shared" si="13"/>
        <v>0.1663975234</v>
      </c>
    </row>
    <row r="44">
      <c r="A44" s="11">
        <v>32.0</v>
      </c>
      <c r="B44" s="11">
        <v>1.41953478260869E9</v>
      </c>
      <c r="C44" s="2">
        <v>-102.103035</v>
      </c>
      <c r="D44" s="3">
        <f t="shared" si="1"/>
        <v>-865217.3913</v>
      </c>
      <c r="E44" s="4">
        <f t="shared" si="2"/>
        <v>181.8226342</v>
      </c>
      <c r="F44" s="3">
        <f t="shared" si="3"/>
        <v>0.0002101467631</v>
      </c>
      <c r="G44" s="3">
        <f t="shared" si="4"/>
        <v>0</v>
      </c>
      <c r="H44" s="2">
        <f t="shared" si="5"/>
        <v>0</v>
      </c>
      <c r="I44" s="3">
        <f t="shared" si="6"/>
        <v>0</v>
      </c>
      <c r="J44" s="3">
        <f t="shared" si="7"/>
        <v>0</v>
      </c>
      <c r="K44" s="3"/>
      <c r="L44" s="3">
        <f t="shared" si="8"/>
        <v>468.6004134</v>
      </c>
      <c r="M44" s="31">
        <f t="shared" si="9"/>
        <v>464.5135965</v>
      </c>
      <c r="N44" s="14">
        <f t="shared" si="10"/>
        <v>4.08681691</v>
      </c>
      <c r="O44" s="3"/>
      <c r="P44" s="23">
        <f t="shared" si="11"/>
        <v>181.8226342</v>
      </c>
      <c r="Q44" s="14">
        <f t="shared" si="12"/>
        <v>468.6004134</v>
      </c>
      <c r="R44" s="2"/>
      <c r="S44" s="14">
        <f t="shared" si="13"/>
        <v>3.752908164</v>
      </c>
    </row>
    <row r="45">
      <c r="A45" s="11">
        <v>33.0</v>
      </c>
      <c r="B45" s="11">
        <v>1.41953913043478E9</v>
      </c>
      <c r="C45" s="2">
        <v>-102.1843872</v>
      </c>
      <c r="D45" s="3">
        <f t="shared" si="1"/>
        <v>-860869.5652</v>
      </c>
      <c r="E45" s="4">
        <f t="shared" si="2"/>
        <v>180.904338</v>
      </c>
      <c r="F45" s="3">
        <f t="shared" si="3"/>
        <v>0.0002101414028</v>
      </c>
      <c r="G45" s="3">
        <f t="shared" si="4"/>
        <v>0</v>
      </c>
      <c r="H45" s="2">
        <f t="shared" si="5"/>
        <v>0</v>
      </c>
      <c r="I45" s="3">
        <f t="shared" si="6"/>
        <v>0</v>
      </c>
      <c r="J45" s="3">
        <f t="shared" si="7"/>
        <v>0</v>
      </c>
      <c r="K45" s="3"/>
      <c r="L45" s="3">
        <f t="shared" si="8"/>
        <v>459.9042759</v>
      </c>
      <c r="M45" s="31">
        <f t="shared" si="9"/>
        <v>464.3101593</v>
      </c>
      <c r="N45" s="14">
        <f t="shared" si="10"/>
        <v>-4.405883424</v>
      </c>
      <c r="O45" s="3"/>
      <c r="P45" s="23">
        <f t="shared" si="11"/>
        <v>180.904338</v>
      </c>
      <c r="Q45" s="14">
        <f t="shared" si="12"/>
        <v>459.9042759</v>
      </c>
      <c r="R45" s="2"/>
      <c r="S45" s="14">
        <f t="shared" si="13"/>
        <v>-4.0459057</v>
      </c>
    </row>
    <row r="46">
      <c r="A46" s="11">
        <v>34.0</v>
      </c>
      <c r="B46" s="11">
        <v>1.41954347826087E9</v>
      </c>
      <c r="C46" s="2">
        <v>-102.1875992</v>
      </c>
      <c r="D46" s="3">
        <f t="shared" si="1"/>
        <v>-856521.7391</v>
      </c>
      <c r="E46" s="4">
        <f t="shared" si="2"/>
        <v>179.9860419</v>
      </c>
      <c r="F46" s="3">
        <f t="shared" si="3"/>
        <v>0.000210135988</v>
      </c>
      <c r="G46" s="3">
        <f t="shared" si="4"/>
        <v>0</v>
      </c>
      <c r="H46" s="2">
        <f t="shared" si="5"/>
        <v>0</v>
      </c>
      <c r="I46" s="3">
        <f t="shared" si="6"/>
        <v>0</v>
      </c>
      <c r="J46" s="3">
        <f t="shared" si="7"/>
        <v>0</v>
      </c>
      <c r="K46" s="3"/>
      <c r="L46" s="3">
        <f t="shared" si="8"/>
        <v>459.5642609</v>
      </c>
      <c r="M46" s="31">
        <f t="shared" si="9"/>
        <v>464.1076384</v>
      </c>
      <c r="N46" s="14">
        <f t="shared" si="10"/>
        <v>-4.543377502</v>
      </c>
      <c r="O46" s="3"/>
      <c r="P46" s="23">
        <f t="shared" si="11"/>
        <v>179.9860419</v>
      </c>
      <c r="Q46" s="14">
        <f t="shared" si="12"/>
        <v>459.5642609</v>
      </c>
      <c r="R46" s="2"/>
      <c r="S46" s="14">
        <f t="shared" si="13"/>
        <v>-4.17216599</v>
      </c>
    </row>
    <row r="47">
      <c r="A47" s="11">
        <v>35.0</v>
      </c>
      <c r="B47" s="11">
        <v>1.41954782608695E9</v>
      </c>
      <c r="C47" s="2">
        <v>-102.185936</v>
      </c>
      <c r="D47" s="3">
        <f t="shared" si="1"/>
        <v>-852173.913</v>
      </c>
      <c r="E47" s="4">
        <f t="shared" si="2"/>
        <v>179.0677458</v>
      </c>
      <c r="F47" s="3">
        <f t="shared" si="3"/>
        <v>0.000210130518</v>
      </c>
      <c r="G47" s="3">
        <f t="shared" si="4"/>
        <v>0</v>
      </c>
      <c r="H47" s="2">
        <f t="shared" si="5"/>
        <v>0</v>
      </c>
      <c r="I47" s="3">
        <f t="shared" si="6"/>
        <v>0</v>
      </c>
      <c r="J47" s="3">
        <f t="shared" si="7"/>
        <v>0</v>
      </c>
      <c r="K47" s="3"/>
      <c r="L47" s="3">
        <f t="shared" si="8"/>
        <v>459.7402921</v>
      </c>
      <c r="M47" s="31">
        <f t="shared" si="9"/>
        <v>463.9060304</v>
      </c>
      <c r="N47" s="14">
        <f t="shared" si="10"/>
        <v>-4.165738355</v>
      </c>
      <c r="O47" s="3"/>
      <c r="P47" s="23">
        <f t="shared" si="11"/>
        <v>179.0677458</v>
      </c>
      <c r="Q47" s="14">
        <f t="shared" si="12"/>
        <v>459.7402921</v>
      </c>
      <c r="R47" s="2"/>
      <c r="S47" s="14">
        <f t="shared" si="13"/>
        <v>-3.825381422</v>
      </c>
    </row>
    <row r="48">
      <c r="A48" s="11">
        <v>36.0</v>
      </c>
      <c r="B48" s="11">
        <v>1.41955217391304E9</v>
      </c>
      <c r="C48" s="2">
        <v>-102.0769119</v>
      </c>
      <c r="D48" s="3">
        <f t="shared" si="1"/>
        <v>-847826.087</v>
      </c>
      <c r="E48" s="4">
        <f t="shared" si="2"/>
        <v>178.1494496</v>
      </c>
      <c r="F48" s="3">
        <f t="shared" si="3"/>
        <v>0.0002101249919</v>
      </c>
      <c r="G48" s="3">
        <f t="shared" si="4"/>
        <v>0</v>
      </c>
      <c r="H48" s="2">
        <f t="shared" si="5"/>
        <v>0</v>
      </c>
      <c r="I48" s="3">
        <f t="shared" si="6"/>
        <v>0</v>
      </c>
      <c r="J48" s="3">
        <f t="shared" si="7"/>
        <v>0</v>
      </c>
      <c r="K48" s="3"/>
      <c r="L48" s="3">
        <f t="shared" si="8"/>
        <v>471.4275701</v>
      </c>
      <c r="M48" s="31">
        <f t="shared" si="9"/>
        <v>463.7053321</v>
      </c>
      <c r="N48" s="14">
        <f t="shared" si="10"/>
        <v>7.722237968</v>
      </c>
      <c r="O48" s="3"/>
      <c r="P48" s="23">
        <f t="shared" si="11"/>
        <v>178.1494496</v>
      </c>
      <c r="Q48" s="14">
        <f t="shared" si="12"/>
        <v>471.4275701</v>
      </c>
      <c r="R48" s="2"/>
      <c r="S48" s="14">
        <f t="shared" si="13"/>
        <v>7.091301246</v>
      </c>
    </row>
    <row r="49">
      <c r="A49" s="11">
        <v>37.0</v>
      </c>
      <c r="B49" s="11">
        <v>1.41955652173913E9</v>
      </c>
      <c r="C49" s="2">
        <v>-102.2074203</v>
      </c>
      <c r="D49" s="3">
        <f t="shared" si="1"/>
        <v>-843478.2609</v>
      </c>
      <c r="E49" s="4">
        <f t="shared" si="2"/>
        <v>177.2311535</v>
      </c>
      <c r="F49" s="3">
        <f t="shared" si="3"/>
        <v>0.0002101194088</v>
      </c>
      <c r="G49" s="3">
        <f t="shared" si="4"/>
        <v>0</v>
      </c>
      <c r="H49" s="2">
        <f t="shared" si="5"/>
        <v>0</v>
      </c>
      <c r="I49" s="3">
        <f t="shared" si="6"/>
        <v>0</v>
      </c>
      <c r="J49" s="3">
        <f t="shared" si="7"/>
        <v>0</v>
      </c>
      <c r="K49" s="3"/>
      <c r="L49" s="3">
        <f t="shared" si="8"/>
        <v>457.4715993</v>
      </c>
      <c r="M49" s="31">
        <f t="shared" si="9"/>
        <v>463.5055402</v>
      </c>
      <c r="N49" s="14">
        <f t="shared" si="10"/>
        <v>-6.03394092</v>
      </c>
      <c r="O49" s="3"/>
      <c r="P49" s="23">
        <f t="shared" si="11"/>
        <v>177.2311535</v>
      </c>
      <c r="Q49" s="14">
        <f t="shared" si="12"/>
        <v>457.4715993</v>
      </c>
      <c r="R49" s="2"/>
      <c r="S49" s="14">
        <f t="shared" si="13"/>
        <v>-5.540944612</v>
      </c>
    </row>
    <row r="50">
      <c r="A50" s="11">
        <v>38.0</v>
      </c>
      <c r="B50" s="11">
        <v>1.41956086956521E9</v>
      </c>
      <c r="C50" s="2">
        <v>-102.1735458</v>
      </c>
      <c r="D50" s="3">
        <f t="shared" si="1"/>
        <v>-839130.4348</v>
      </c>
      <c r="E50" s="4">
        <f t="shared" si="2"/>
        <v>176.3128574</v>
      </c>
      <c r="F50" s="3">
        <f t="shared" si="3"/>
        <v>0.0002101137678</v>
      </c>
      <c r="G50" s="3">
        <f t="shared" si="4"/>
        <v>0</v>
      </c>
      <c r="H50" s="2">
        <f t="shared" si="5"/>
        <v>0</v>
      </c>
      <c r="I50" s="3">
        <f t="shared" si="6"/>
        <v>0</v>
      </c>
      <c r="J50" s="3">
        <f t="shared" si="7"/>
        <v>0</v>
      </c>
      <c r="K50" s="3"/>
      <c r="L50" s="3">
        <f t="shared" si="8"/>
        <v>461.0537804</v>
      </c>
      <c r="M50" s="31">
        <f t="shared" si="9"/>
        <v>463.3066514</v>
      </c>
      <c r="N50" s="14">
        <f t="shared" si="10"/>
        <v>-2.252870942</v>
      </c>
      <c r="O50" s="3"/>
      <c r="P50" s="23">
        <f t="shared" si="11"/>
        <v>176.3128574</v>
      </c>
      <c r="Q50" s="14">
        <f t="shared" si="12"/>
        <v>461.0537804</v>
      </c>
      <c r="R50" s="2"/>
      <c r="S50" s="14">
        <f t="shared" si="13"/>
        <v>-2.068802673</v>
      </c>
    </row>
    <row r="51">
      <c r="A51" s="11">
        <v>39.0</v>
      </c>
      <c r="B51" s="11">
        <v>1.4195652173913E9</v>
      </c>
      <c r="C51" s="2">
        <v>-102.0988083</v>
      </c>
      <c r="D51" s="3">
        <f t="shared" si="1"/>
        <v>-834782.6087</v>
      </c>
      <c r="E51" s="4">
        <f t="shared" si="2"/>
        <v>175.3945612</v>
      </c>
      <c r="F51" s="3">
        <f t="shared" si="3"/>
        <v>0.0002101080681</v>
      </c>
      <c r="G51" s="3">
        <f t="shared" si="4"/>
        <v>0</v>
      </c>
      <c r="H51" s="2">
        <f t="shared" si="5"/>
        <v>0</v>
      </c>
      <c r="I51" s="3">
        <f t="shared" si="6"/>
        <v>0</v>
      </c>
      <c r="J51" s="3">
        <f t="shared" si="7"/>
        <v>0</v>
      </c>
      <c r="K51" s="3"/>
      <c r="L51" s="3">
        <f t="shared" si="8"/>
        <v>469.0566931</v>
      </c>
      <c r="M51" s="31">
        <f t="shared" si="9"/>
        <v>463.1086624</v>
      </c>
      <c r="N51" s="14">
        <f t="shared" si="10"/>
        <v>5.948030699</v>
      </c>
      <c r="O51" s="3"/>
      <c r="P51" s="23">
        <f t="shared" si="11"/>
        <v>175.3945612</v>
      </c>
      <c r="Q51" s="14">
        <f t="shared" si="12"/>
        <v>469.0566931</v>
      </c>
      <c r="R51" s="2"/>
      <c r="S51" s="14">
        <f t="shared" si="13"/>
        <v>5.462053575</v>
      </c>
    </row>
    <row r="52">
      <c r="A52" s="11">
        <v>40.0</v>
      </c>
      <c r="B52" s="11">
        <v>1.41956956521739E9</v>
      </c>
      <c r="C52" s="2">
        <v>-102.1400986</v>
      </c>
      <c r="D52" s="3">
        <f t="shared" si="1"/>
        <v>-830434.7826</v>
      </c>
      <c r="E52" s="4">
        <f t="shared" si="2"/>
        <v>174.4762651</v>
      </c>
      <c r="F52" s="3">
        <f t="shared" si="3"/>
        <v>0.0002101023088</v>
      </c>
      <c r="G52" s="3">
        <f t="shared" si="4"/>
        <v>0</v>
      </c>
      <c r="H52" s="2">
        <f t="shared" si="5"/>
        <v>0</v>
      </c>
      <c r="I52" s="3">
        <f t="shared" si="6"/>
        <v>0</v>
      </c>
      <c r="J52" s="3">
        <f t="shared" si="7"/>
        <v>0</v>
      </c>
      <c r="K52" s="3"/>
      <c r="L52" s="3">
        <f t="shared" si="8"/>
        <v>464.6182957</v>
      </c>
      <c r="M52" s="31">
        <f t="shared" si="9"/>
        <v>462.9115699</v>
      </c>
      <c r="N52" s="14">
        <f t="shared" si="10"/>
        <v>1.70672575</v>
      </c>
      <c r="O52" s="3"/>
      <c r="P52" s="23">
        <f t="shared" si="11"/>
        <v>174.4762651</v>
      </c>
      <c r="Q52" s="14">
        <f t="shared" si="12"/>
        <v>464.6182957</v>
      </c>
      <c r="R52" s="2"/>
      <c r="S52" s="14">
        <f t="shared" si="13"/>
        <v>1.567279656</v>
      </c>
    </row>
    <row r="53">
      <c r="A53" s="11">
        <v>41.0</v>
      </c>
      <c r="B53" s="11">
        <v>1.41957391304347E9</v>
      </c>
      <c r="C53" s="2">
        <v>-102.1412659</v>
      </c>
      <c r="D53" s="3">
        <f t="shared" si="1"/>
        <v>-826086.9565</v>
      </c>
      <c r="E53" s="4">
        <f t="shared" si="2"/>
        <v>173.557969</v>
      </c>
      <c r="F53" s="3">
        <f t="shared" si="3"/>
        <v>0.0002100964888</v>
      </c>
      <c r="G53" s="3">
        <f t="shared" si="4"/>
        <v>0</v>
      </c>
      <c r="H53" s="2">
        <f t="shared" si="5"/>
        <v>0</v>
      </c>
      <c r="I53" s="3">
        <f t="shared" si="6"/>
        <v>0</v>
      </c>
      <c r="J53" s="3">
        <f t="shared" si="7"/>
        <v>0</v>
      </c>
      <c r="K53" s="3"/>
      <c r="L53" s="3">
        <f t="shared" si="8"/>
        <v>464.493432</v>
      </c>
      <c r="M53" s="31">
        <f t="shared" si="9"/>
        <v>462.7153707</v>
      </c>
      <c r="N53" s="14">
        <f t="shared" si="10"/>
        <v>1.778061266</v>
      </c>
      <c r="O53" s="3"/>
      <c r="P53" s="23">
        <f t="shared" si="11"/>
        <v>173.557969</v>
      </c>
      <c r="Q53" s="14">
        <f t="shared" si="12"/>
        <v>464.493432</v>
      </c>
      <c r="R53" s="2"/>
      <c r="S53" s="14">
        <f t="shared" si="13"/>
        <v>1.632786785</v>
      </c>
    </row>
    <row r="54">
      <c r="A54" s="11">
        <v>42.0</v>
      </c>
      <c r="B54" s="11">
        <v>1.41957826086956E9</v>
      </c>
      <c r="C54" s="2">
        <v>-102.1603546</v>
      </c>
      <c r="D54" s="3">
        <f t="shared" si="1"/>
        <v>-821739.1304</v>
      </c>
      <c r="E54" s="4">
        <f t="shared" si="2"/>
        <v>172.6396728</v>
      </c>
      <c r="F54" s="3">
        <f t="shared" si="3"/>
        <v>0.0002100906072</v>
      </c>
      <c r="G54" s="3">
        <f t="shared" si="4"/>
        <v>0</v>
      </c>
      <c r="H54" s="2">
        <f t="shared" si="5"/>
        <v>0</v>
      </c>
      <c r="I54" s="3">
        <f t="shared" si="6"/>
        <v>0</v>
      </c>
      <c r="J54" s="3">
        <f t="shared" si="7"/>
        <v>0</v>
      </c>
      <c r="K54" s="3"/>
      <c r="L54" s="3">
        <f t="shared" si="8"/>
        <v>462.4563077</v>
      </c>
      <c r="M54" s="31">
        <f t="shared" si="9"/>
        <v>462.5200615</v>
      </c>
      <c r="N54" s="14">
        <f t="shared" si="10"/>
        <v>-0.06375383771</v>
      </c>
      <c r="O54" s="3"/>
      <c r="P54" s="23">
        <f t="shared" si="11"/>
        <v>172.6396728</v>
      </c>
      <c r="Q54" s="14">
        <f t="shared" si="12"/>
        <v>462.4563077</v>
      </c>
      <c r="R54" s="2"/>
      <c r="S54" s="14">
        <f t="shared" si="13"/>
        <v>-0.05854490249</v>
      </c>
    </row>
    <row r="55">
      <c r="A55" s="11">
        <v>43.0</v>
      </c>
      <c r="B55" s="11">
        <v>1.41958260869565E9</v>
      </c>
      <c r="C55" s="2">
        <v>-102.1295929</v>
      </c>
      <c r="D55" s="3">
        <f t="shared" si="1"/>
        <v>-817391.3043</v>
      </c>
      <c r="E55" s="4">
        <f t="shared" si="2"/>
        <v>171.7213767</v>
      </c>
      <c r="F55" s="3">
        <f t="shared" si="3"/>
        <v>0.000210084663</v>
      </c>
      <c r="G55" s="3">
        <f t="shared" si="4"/>
        <v>0</v>
      </c>
      <c r="H55" s="2">
        <f t="shared" si="5"/>
        <v>0</v>
      </c>
      <c r="I55" s="3">
        <f t="shared" si="6"/>
        <v>0</v>
      </c>
      <c r="J55" s="3">
        <f t="shared" si="7"/>
        <v>0</v>
      </c>
      <c r="K55" s="3"/>
      <c r="L55" s="3">
        <f t="shared" si="8"/>
        <v>465.7435803</v>
      </c>
      <c r="M55" s="31">
        <f t="shared" si="9"/>
        <v>462.325639</v>
      </c>
      <c r="N55" s="14">
        <f t="shared" si="10"/>
        <v>3.417941291</v>
      </c>
      <c r="O55" s="3"/>
      <c r="P55" s="23">
        <f t="shared" si="11"/>
        <v>171.7213767</v>
      </c>
      <c r="Q55" s="14">
        <f t="shared" si="12"/>
        <v>465.7435803</v>
      </c>
      <c r="R55" s="2"/>
      <c r="S55" s="14">
        <f t="shared" si="13"/>
        <v>3.13868227</v>
      </c>
    </row>
    <row r="56">
      <c r="A56" s="11">
        <v>44.0</v>
      </c>
      <c r="B56" s="11">
        <v>1.41958695652173E9</v>
      </c>
      <c r="C56" s="2">
        <v>-102.1984024</v>
      </c>
      <c r="D56" s="3">
        <f t="shared" si="1"/>
        <v>-813043.4783</v>
      </c>
      <c r="E56" s="4">
        <f t="shared" si="2"/>
        <v>170.8030806</v>
      </c>
      <c r="F56" s="3">
        <f t="shared" si="3"/>
        <v>0.0002100786553</v>
      </c>
      <c r="G56" s="3">
        <f t="shared" si="4"/>
        <v>0</v>
      </c>
      <c r="H56" s="2">
        <f t="shared" si="5"/>
        <v>0</v>
      </c>
      <c r="I56" s="3">
        <f t="shared" si="6"/>
        <v>0</v>
      </c>
      <c r="J56" s="3">
        <f t="shared" si="7"/>
        <v>0</v>
      </c>
      <c r="K56" s="3"/>
      <c r="L56" s="3">
        <f t="shared" si="8"/>
        <v>458.4225023</v>
      </c>
      <c r="M56" s="31">
        <f t="shared" si="9"/>
        <v>462.1320999</v>
      </c>
      <c r="N56" s="14">
        <f t="shared" si="10"/>
        <v>-3.709597637</v>
      </c>
      <c r="O56" s="3"/>
      <c r="P56" s="23">
        <f t="shared" si="11"/>
        <v>170.8030806</v>
      </c>
      <c r="Q56" s="14">
        <f t="shared" si="12"/>
        <v>458.4225023</v>
      </c>
      <c r="R56" s="2"/>
      <c r="S56" s="14">
        <f t="shared" si="13"/>
        <v>-3.406509164</v>
      </c>
    </row>
    <row r="57">
      <c r="A57" s="11">
        <v>45.0</v>
      </c>
      <c r="B57" s="11">
        <v>1.41959130434782E9</v>
      </c>
      <c r="C57" s="2">
        <v>-102.1302261</v>
      </c>
      <c r="D57" s="3">
        <f t="shared" si="1"/>
        <v>-808695.6522</v>
      </c>
      <c r="E57" s="4">
        <f t="shared" si="2"/>
        <v>169.8847844</v>
      </c>
      <c r="F57" s="3">
        <f t="shared" si="3"/>
        <v>0.0002100725829</v>
      </c>
      <c r="G57" s="3">
        <f t="shared" si="4"/>
        <v>0</v>
      </c>
      <c r="H57" s="2">
        <f t="shared" si="5"/>
        <v>0</v>
      </c>
      <c r="I57" s="3">
        <f t="shared" si="6"/>
        <v>0</v>
      </c>
      <c r="J57" s="3">
        <f t="shared" si="7"/>
        <v>0</v>
      </c>
      <c r="K57" s="3"/>
      <c r="L57" s="3">
        <f t="shared" si="8"/>
        <v>465.67568</v>
      </c>
      <c r="M57" s="31">
        <f t="shared" si="9"/>
        <v>461.9394409</v>
      </c>
      <c r="N57" s="14">
        <f t="shared" si="10"/>
        <v>3.736239044</v>
      </c>
      <c r="O57" s="3"/>
      <c r="P57" s="23">
        <f t="shared" si="11"/>
        <v>169.8847844</v>
      </c>
      <c r="Q57" s="14">
        <f t="shared" si="12"/>
        <v>465.67568</v>
      </c>
      <c r="R57" s="2"/>
      <c r="S57" s="14">
        <f t="shared" si="13"/>
        <v>3.430973865</v>
      </c>
    </row>
    <row r="58">
      <c r="A58" s="11">
        <v>46.0</v>
      </c>
      <c r="B58" s="11">
        <v>1.41959565217391E9</v>
      </c>
      <c r="C58" s="2">
        <v>-102.1320038</v>
      </c>
      <c r="D58" s="3">
        <f t="shared" si="1"/>
        <v>-804347.8261</v>
      </c>
      <c r="E58" s="4">
        <f t="shared" si="2"/>
        <v>168.9664883</v>
      </c>
      <c r="F58" s="3">
        <f t="shared" si="3"/>
        <v>0.0002100664449</v>
      </c>
      <c r="G58" s="3">
        <f t="shared" si="4"/>
        <v>0</v>
      </c>
      <c r="H58" s="2">
        <f t="shared" si="5"/>
        <v>0</v>
      </c>
      <c r="I58" s="3">
        <f t="shared" si="6"/>
        <v>0</v>
      </c>
      <c r="J58" s="3">
        <f t="shared" si="7"/>
        <v>0</v>
      </c>
      <c r="K58" s="3"/>
      <c r="L58" s="3">
        <f t="shared" si="8"/>
        <v>465.4851037</v>
      </c>
      <c r="M58" s="31">
        <f t="shared" si="9"/>
        <v>461.7476588</v>
      </c>
      <c r="N58" s="14">
        <f t="shared" si="10"/>
        <v>3.737444885</v>
      </c>
      <c r="O58" s="3"/>
      <c r="P58" s="23">
        <f t="shared" si="11"/>
        <v>168.9664883</v>
      </c>
      <c r="Q58" s="14">
        <f t="shared" si="12"/>
        <v>465.4851037</v>
      </c>
      <c r="R58" s="2"/>
      <c r="S58" s="14">
        <f t="shared" si="13"/>
        <v>3.432081177</v>
      </c>
    </row>
    <row r="59">
      <c r="A59" s="11">
        <v>47.0</v>
      </c>
      <c r="B59" s="11">
        <v>1.4196E9</v>
      </c>
      <c r="C59" s="2">
        <v>-102.1692429</v>
      </c>
      <c r="D59" s="3">
        <f t="shared" si="1"/>
        <v>-800000</v>
      </c>
      <c r="E59" s="4">
        <f t="shared" si="2"/>
        <v>168.0481922</v>
      </c>
      <c r="F59" s="3">
        <f t="shared" si="3"/>
        <v>0.0002100602402</v>
      </c>
      <c r="G59" s="3">
        <f t="shared" si="4"/>
        <v>0</v>
      </c>
      <c r="H59" s="2">
        <f t="shared" si="5"/>
        <v>0</v>
      </c>
      <c r="I59" s="3">
        <f t="shared" si="6"/>
        <v>0</v>
      </c>
      <c r="J59" s="3">
        <f t="shared" si="7"/>
        <v>0</v>
      </c>
      <c r="K59" s="3"/>
      <c r="L59" s="3">
        <f t="shared" si="8"/>
        <v>461.5108094</v>
      </c>
      <c r="M59" s="31">
        <f t="shared" si="9"/>
        <v>461.5567503</v>
      </c>
      <c r="N59" s="14">
        <f t="shared" si="10"/>
        <v>-0.04594090553</v>
      </c>
      <c r="O59" s="3"/>
      <c r="P59" s="23">
        <f t="shared" si="11"/>
        <v>168.0481922</v>
      </c>
      <c r="Q59" s="14">
        <f t="shared" si="12"/>
        <v>461.5108094</v>
      </c>
      <c r="R59" s="2"/>
      <c r="S59" s="14">
        <f t="shared" si="13"/>
        <v>-0.04218735589</v>
      </c>
    </row>
    <row r="60">
      <c r="A60" s="11">
        <v>48.0</v>
      </c>
      <c r="B60" s="11">
        <v>1.41960434782608E9</v>
      </c>
      <c r="C60" s="2">
        <v>-102.125145</v>
      </c>
      <c r="D60" s="3">
        <f t="shared" si="1"/>
        <v>-795652.1739</v>
      </c>
      <c r="E60" s="4">
        <f t="shared" si="2"/>
        <v>167.129896</v>
      </c>
      <c r="F60" s="3">
        <f t="shared" si="3"/>
        <v>0.0002100539677</v>
      </c>
      <c r="G60" s="3">
        <f t="shared" si="4"/>
        <v>0</v>
      </c>
      <c r="H60" s="2">
        <f t="shared" si="5"/>
        <v>0</v>
      </c>
      <c r="I60" s="3">
        <f t="shared" si="6"/>
        <v>0</v>
      </c>
      <c r="J60" s="3">
        <f t="shared" si="7"/>
        <v>0</v>
      </c>
      <c r="K60" s="3"/>
      <c r="L60" s="3">
        <f t="shared" si="8"/>
        <v>466.2208238</v>
      </c>
      <c r="M60" s="31">
        <f t="shared" si="9"/>
        <v>461.366712</v>
      </c>
      <c r="N60" s="14">
        <f t="shared" si="10"/>
        <v>4.854111754</v>
      </c>
      <c r="O60" s="3"/>
      <c r="P60" s="23">
        <f t="shared" si="11"/>
        <v>167.129896</v>
      </c>
      <c r="Q60" s="14">
        <f t="shared" si="12"/>
        <v>466.2208238</v>
      </c>
      <c r="R60" s="2"/>
      <c r="S60" s="14">
        <f t="shared" si="13"/>
        <v>4.457512052</v>
      </c>
    </row>
    <row r="61">
      <c r="A61" s="11">
        <v>49.0</v>
      </c>
      <c r="B61" s="11">
        <v>1.41960869565217E9</v>
      </c>
      <c r="C61" s="2">
        <v>-102.1784744</v>
      </c>
      <c r="D61" s="3">
        <f t="shared" si="1"/>
        <v>-791304.3478</v>
      </c>
      <c r="E61" s="4">
        <f t="shared" si="2"/>
        <v>166.2115999</v>
      </c>
      <c r="F61" s="3">
        <f t="shared" si="3"/>
        <v>0.0002100476263</v>
      </c>
      <c r="G61" s="3">
        <f t="shared" si="4"/>
        <v>0</v>
      </c>
      <c r="H61" s="2">
        <f t="shared" si="5"/>
        <v>0</v>
      </c>
      <c r="I61" s="3">
        <f t="shared" si="6"/>
        <v>0</v>
      </c>
      <c r="J61" s="3">
        <f t="shared" si="7"/>
        <v>0</v>
      </c>
      <c r="K61" s="3"/>
      <c r="L61" s="3">
        <f t="shared" si="8"/>
        <v>460.5308494</v>
      </c>
      <c r="M61" s="31">
        <f t="shared" si="9"/>
        <v>461.1775407</v>
      </c>
      <c r="N61" s="14">
        <f t="shared" si="10"/>
        <v>-0.6466913913</v>
      </c>
      <c r="O61" s="3"/>
      <c r="P61" s="23">
        <f t="shared" si="11"/>
        <v>166.2115999</v>
      </c>
      <c r="Q61" s="14">
        <f t="shared" si="12"/>
        <v>460.5308494</v>
      </c>
      <c r="R61" s="2"/>
      <c r="S61" s="14">
        <f t="shared" si="13"/>
        <v>-0.5938542024</v>
      </c>
    </row>
    <row r="62">
      <c r="A62" s="11">
        <v>50.0</v>
      </c>
      <c r="B62" s="11">
        <v>1.41961304347826E9</v>
      </c>
      <c r="C62" s="2">
        <v>-102.1869888</v>
      </c>
      <c r="D62" s="3">
        <f t="shared" si="1"/>
        <v>-786956.5217</v>
      </c>
      <c r="E62" s="4">
        <f t="shared" si="2"/>
        <v>165.2933038</v>
      </c>
      <c r="F62" s="3">
        <f t="shared" si="3"/>
        <v>0.0002100412148</v>
      </c>
      <c r="G62" s="3">
        <f t="shared" si="4"/>
        <v>0</v>
      </c>
      <c r="H62" s="2">
        <f t="shared" si="5"/>
        <v>0</v>
      </c>
      <c r="I62" s="3">
        <f t="shared" si="6"/>
        <v>0</v>
      </c>
      <c r="J62" s="3">
        <f t="shared" si="7"/>
        <v>0</v>
      </c>
      <c r="K62" s="3"/>
      <c r="L62" s="3">
        <f t="shared" si="8"/>
        <v>459.6288571</v>
      </c>
      <c r="M62" s="31">
        <f t="shared" si="9"/>
        <v>460.9892332</v>
      </c>
      <c r="N62" s="14">
        <f t="shared" si="10"/>
        <v>-1.360376134</v>
      </c>
      <c r="O62" s="3"/>
      <c r="P62" s="23">
        <f t="shared" si="11"/>
        <v>165.2933038</v>
      </c>
      <c r="Q62" s="14">
        <f t="shared" si="12"/>
        <v>459.6288571</v>
      </c>
      <c r="R62" s="2"/>
      <c r="S62" s="14">
        <f t="shared" si="13"/>
        <v>-1.249228143</v>
      </c>
    </row>
    <row r="63">
      <c r="A63" s="11">
        <v>51.0</v>
      </c>
      <c r="B63" s="11">
        <v>1.41961739130434E9</v>
      </c>
      <c r="C63" s="2">
        <v>-102.1922531</v>
      </c>
      <c r="D63" s="3">
        <f t="shared" si="1"/>
        <v>-782608.6957</v>
      </c>
      <c r="E63" s="4">
        <f t="shared" si="2"/>
        <v>164.3750077</v>
      </c>
      <c r="F63" s="3">
        <f t="shared" si="3"/>
        <v>0.000210034732</v>
      </c>
      <c r="G63" s="3">
        <f t="shared" si="4"/>
        <v>0</v>
      </c>
      <c r="H63" s="2">
        <f t="shared" si="5"/>
        <v>0</v>
      </c>
      <c r="I63" s="3">
        <f t="shared" si="6"/>
        <v>0</v>
      </c>
      <c r="J63" s="3">
        <f t="shared" si="7"/>
        <v>0</v>
      </c>
      <c r="K63" s="3"/>
      <c r="L63" s="3">
        <f t="shared" si="8"/>
        <v>459.0720556</v>
      </c>
      <c r="M63" s="31">
        <f t="shared" si="9"/>
        <v>460.8017861</v>
      </c>
      <c r="N63" s="14">
        <f t="shared" si="10"/>
        <v>-1.72973058</v>
      </c>
      <c r="O63" s="3"/>
      <c r="P63" s="23">
        <f t="shared" si="11"/>
        <v>164.3750077</v>
      </c>
      <c r="Q63" s="14">
        <f t="shared" si="12"/>
        <v>459.0720556</v>
      </c>
      <c r="R63" s="2"/>
      <c r="S63" s="14">
        <f t="shared" si="13"/>
        <v>-1.588404902</v>
      </c>
    </row>
    <row r="64">
      <c r="A64" s="11">
        <v>52.0</v>
      </c>
      <c r="B64" s="11">
        <v>1.41962173913043E9</v>
      </c>
      <c r="C64" s="2">
        <v>-102.2376175</v>
      </c>
      <c r="D64" s="3">
        <f t="shared" si="1"/>
        <v>-778260.8696</v>
      </c>
      <c r="E64" s="4">
        <f t="shared" si="2"/>
        <v>163.4567115</v>
      </c>
      <c r="F64" s="3">
        <f t="shared" si="3"/>
        <v>0.0002100281768</v>
      </c>
      <c r="G64" s="3">
        <f t="shared" si="4"/>
        <v>0</v>
      </c>
      <c r="H64" s="2">
        <f t="shared" si="5"/>
        <v>0</v>
      </c>
      <c r="I64" s="3">
        <f t="shared" si="6"/>
        <v>0</v>
      </c>
      <c r="J64" s="3">
        <f t="shared" si="7"/>
        <v>0</v>
      </c>
      <c r="K64" s="3"/>
      <c r="L64" s="3">
        <f t="shared" si="8"/>
        <v>454.301758</v>
      </c>
      <c r="M64" s="31">
        <f t="shared" si="9"/>
        <v>460.6151962</v>
      </c>
      <c r="N64" s="14">
        <f t="shared" si="10"/>
        <v>-6.313438237</v>
      </c>
      <c r="O64" s="3"/>
      <c r="P64" s="23">
        <f t="shared" si="11"/>
        <v>163.4567115</v>
      </c>
      <c r="Q64" s="14">
        <f t="shared" si="12"/>
        <v>454.301758</v>
      </c>
      <c r="R64" s="2"/>
      <c r="S64" s="14">
        <f t="shared" si="13"/>
        <v>-5.797605904</v>
      </c>
    </row>
    <row r="65">
      <c r="A65" s="11">
        <v>53.0</v>
      </c>
      <c r="B65" s="11">
        <v>1.41962608695652E9</v>
      </c>
      <c r="C65" s="2">
        <v>-102.2367096</v>
      </c>
      <c r="D65" s="3">
        <f t="shared" si="1"/>
        <v>-773913.0435</v>
      </c>
      <c r="E65" s="4">
        <f t="shared" si="2"/>
        <v>162.5384154</v>
      </c>
      <c r="F65" s="3">
        <f t="shared" si="3"/>
        <v>0.000210021548</v>
      </c>
      <c r="G65" s="3">
        <f t="shared" si="4"/>
        <v>0</v>
      </c>
      <c r="H65" s="2">
        <f t="shared" si="5"/>
        <v>0</v>
      </c>
      <c r="I65" s="3">
        <f t="shared" si="6"/>
        <v>0</v>
      </c>
      <c r="J65" s="3">
        <f t="shared" si="7"/>
        <v>0</v>
      </c>
      <c r="K65" s="3"/>
      <c r="L65" s="3">
        <f t="shared" si="8"/>
        <v>454.3967405</v>
      </c>
      <c r="M65" s="31">
        <f t="shared" si="9"/>
        <v>460.4294602</v>
      </c>
      <c r="N65" s="14">
        <f t="shared" si="10"/>
        <v>-6.032719715</v>
      </c>
      <c r="O65" s="3"/>
      <c r="P65" s="23">
        <f t="shared" si="11"/>
        <v>162.5384154</v>
      </c>
      <c r="Q65" s="14">
        <f t="shared" si="12"/>
        <v>454.3967405</v>
      </c>
      <c r="R65" s="2"/>
      <c r="S65" s="14">
        <f t="shared" si="13"/>
        <v>-5.539823184</v>
      </c>
    </row>
    <row r="66">
      <c r="A66" s="11">
        <v>54.0</v>
      </c>
      <c r="B66" s="11">
        <v>1.4196304347826E9</v>
      </c>
      <c r="C66" s="2">
        <v>-102.1690826</v>
      </c>
      <c r="D66" s="3">
        <f t="shared" si="1"/>
        <v>-769565.2174</v>
      </c>
      <c r="E66" s="4">
        <f t="shared" si="2"/>
        <v>161.6201193</v>
      </c>
      <c r="F66" s="3">
        <f t="shared" si="3"/>
        <v>0.0002100148442</v>
      </c>
      <c r="G66" s="3">
        <f t="shared" si="4"/>
        <v>0</v>
      </c>
      <c r="H66" s="2">
        <f t="shared" si="5"/>
        <v>0</v>
      </c>
      <c r="I66" s="3">
        <f t="shared" si="6"/>
        <v>0</v>
      </c>
      <c r="J66" s="3">
        <f t="shared" si="7"/>
        <v>0</v>
      </c>
      <c r="K66" s="3"/>
      <c r="L66" s="3">
        <f t="shared" si="8"/>
        <v>461.5278442</v>
      </c>
      <c r="M66" s="31">
        <f t="shared" si="9"/>
        <v>460.2445747</v>
      </c>
      <c r="N66" s="14">
        <f t="shared" si="10"/>
        <v>1.283269491</v>
      </c>
      <c r="O66" s="3"/>
      <c r="P66" s="23">
        <f t="shared" si="11"/>
        <v>161.6201193</v>
      </c>
      <c r="Q66" s="14">
        <f t="shared" si="12"/>
        <v>461.5278442</v>
      </c>
      <c r="R66" s="2"/>
      <c r="S66" s="14">
        <f t="shared" si="13"/>
        <v>1.178421411</v>
      </c>
    </row>
    <row r="67">
      <c r="A67" s="11">
        <v>55.0</v>
      </c>
      <c r="B67" s="11">
        <v>1.41963478260869E9</v>
      </c>
      <c r="C67" s="2">
        <v>-102.2050552</v>
      </c>
      <c r="D67" s="3">
        <f t="shared" si="1"/>
        <v>-765217.3913</v>
      </c>
      <c r="E67" s="4">
        <f t="shared" si="2"/>
        <v>160.7018231</v>
      </c>
      <c r="F67" s="3">
        <f t="shared" si="3"/>
        <v>0.0002100080643</v>
      </c>
      <c r="G67" s="3">
        <f t="shared" si="4"/>
        <v>0</v>
      </c>
      <c r="H67" s="2">
        <f t="shared" si="5"/>
        <v>0</v>
      </c>
      <c r="I67" s="3">
        <f t="shared" si="6"/>
        <v>0</v>
      </c>
      <c r="J67" s="3">
        <f t="shared" si="7"/>
        <v>0</v>
      </c>
      <c r="K67" s="3"/>
      <c r="L67" s="3">
        <f t="shared" si="8"/>
        <v>457.720799</v>
      </c>
      <c r="M67" s="31">
        <f t="shared" si="9"/>
        <v>460.0605366</v>
      </c>
      <c r="N67" s="14">
        <f t="shared" si="10"/>
        <v>-2.339737612</v>
      </c>
      <c r="O67" s="3"/>
      <c r="P67" s="23">
        <f t="shared" si="11"/>
        <v>160.7018231</v>
      </c>
      <c r="Q67" s="14">
        <f t="shared" si="12"/>
        <v>457.720799</v>
      </c>
      <c r="R67" s="2"/>
      <c r="S67" s="14">
        <f t="shared" si="13"/>
        <v>-2.148572001</v>
      </c>
    </row>
    <row r="68">
      <c r="A68" s="11">
        <v>56.0</v>
      </c>
      <c r="B68" s="11">
        <v>1.41963913043478E9</v>
      </c>
      <c r="C68" s="2">
        <v>-102.2325211</v>
      </c>
      <c r="D68" s="24">
        <f t="shared" si="1"/>
        <v>-760869.5652</v>
      </c>
      <c r="E68" s="25">
        <f t="shared" si="2"/>
        <v>159.783527</v>
      </c>
      <c r="F68" s="24">
        <f t="shared" si="3"/>
        <v>0.0002100012069</v>
      </c>
      <c r="G68" s="24">
        <f t="shared" si="4"/>
        <v>0</v>
      </c>
      <c r="H68" s="26">
        <f t="shared" si="5"/>
        <v>0</v>
      </c>
      <c r="I68" s="24">
        <f t="shared" si="6"/>
        <v>0</v>
      </c>
      <c r="J68" s="24">
        <f t="shared" si="7"/>
        <v>0</v>
      </c>
      <c r="K68" s="24"/>
      <c r="L68" s="24">
        <f t="shared" si="8"/>
        <v>454.8351892</v>
      </c>
      <c r="M68" s="31">
        <f t="shared" si="9"/>
        <v>459.8773425</v>
      </c>
      <c r="N68" s="27">
        <f t="shared" si="10"/>
        <v>-5.042153292</v>
      </c>
      <c r="O68" s="24"/>
      <c r="P68" s="28">
        <f t="shared" ref="P68:P123" si="14">-((B418-$B$4)/$B$4)*(3*10^5)</f>
        <v>-160.7018231</v>
      </c>
      <c r="Q68" s="27">
        <f t="shared" ref="Q68:Q123" si="15">(1/(2*$K$13))*(I417)</f>
        <v>425.0690921</v>
      </c>
      <c r="R68" s="26"/>
      <c r="S68" s="14">
        <f t="shared" si="13"/>
        <v>-4.630189858</v>
      </c>
    </row>
    <row r="69">
      <c r="A69" s="11">
        <v>57.0</v>
      </c>
      <c r="B69" s="11">
        <v>1.41964347826087E9</v>
      </c>
      <c r="C69" s="2">
        <v>-102.2143402</v>
      </c>
      <c r="D69" s="24">
        <f t="shared" si="1"/>
        <v>-756521.7391</v>
      </c>
      <c r="E69" s="25">
        <f t="shared" si="2"/>
        <v>158.8652309</v>
      </c>
      <c r="F69" s="24">
        <f t="shared" si="3"/>
        <v>0.0002099942707</v>
      </c>
      <c r="G69" s="24">
        <f t="shared" si="4"/>
        <v>0</v>
      </c>
      <c r="H69" s="26">
        <f t="shared" si="5"/>
        <v>0</v>
      </c>
      <c r="I69" s="24">
        <f t="shared" si="6"/>
        <v>0</v>
      </c>
      <c r="J69" s="24">
        <f t="shared" si="7"/>
        <v>0</v>
      </c>
      <c r="K69" s="24"/>
      <c r="L69" s="24">
        <f t="shared" si="8"/>
        <v>456.74326</v>
      </c>
      <c r="M69" s="31">
        <f t="shared" si="9"/>
        <v>459.6949892</v>
      </c>
      <c r="N69" s="27">
        <f t="shared" si="10"/>
        <v>-2.951729155</v>
      </c>
      <c r="O69" s="24"/>
      <c r="P69" s="28">
        <f t="shared" si="14"/>
        <v>-161.6201193</v>
      </c>
      <c r="Q69" s="27">
        <f t="shared" si="15"/>
        <v>423.137219</v>
      </c>
      <c r="R69" s="26"/>
      <c r="S69" s="14">
        <f t="shared" si="13"/>
        <v>-2.710561468</v>
      </c>
    </row>
    <row r="70">
      <c r="A70" s="11">
        <v>58.0</v>
      </c>
      <c r="B70" s="11">
        <v>1.41964782608695E9</v>
      </c>
      <c r="C70" s="2">
        <v>-102.1990662</v>
      </c>
      <c r="D70" s="24">
        <f t="shared" si="1"/>
        <v>-752173.913</v>
      </c>
      <c r="E70" s="25">
        <f t="shared" si="2"/>
        <v>157.9469347</v>
      </c>
      <c r="F70" s="24">
        <f t="shared" si="3"/>
        <v>0.0002099872543</v>
      </c>
      <c r="G70" s="24">
        <f t="shared" si="4"/>
        <v>0</v>
      </c>
      <c r="H70" s="26">
        <f t="shared" si="5"/>
        <v>0</v>
      </c>
      <c r="I70" s="24">
        <f t="shared" si="6"/>
        <v>0</v>
      </c>
      <c r="J70" s="24">
        <f t="shared" si="7"/>
        <v>0</v>
      </c>
      <c r="K70" s="24"/>
      <c r="L70" s="24">
        <f t="shared" si="8"/>
        <v>458.3524397</v>
      </c>
      <c r="M70" s="31">
        <f t="shared" si="9"/>
        <v>459.5134733</v>
      </c>
      <c r="N70" s="27">
        <f t="shared" si="10"/>
        <v>-1.161033591</v>
      </c>
      <c r="O70" s="24"/>
      <c r="P70" s="28">
        <f t="shared" si="14"/>
        <v>-162.5384154</v>
      </c>
      <c r="Q70" s="27">
        <f t="shared" si="15"/>
        <v>422.0236773</v>
      </c>
      <c r="R70" s="26"/>
      <c r="S70" s="14">
        <f t="shared" si="13"/>
        <v>-1.066172656</v>
      </c>
    </row>
    <row r="71">
      <c r="A71" s="11">
        <v>59.0</v>
      </c>
      <c r="B71" s="11">
        <v>1.41965217391304E9</v>
      </c>
      <c r="C71" s="2">
        <v>-102.1254959</v>
      </c>
      <c r="D71" s="24">
        <f t="shared" si="1"/>
        <v>-747826.087</v>
      </c>
      <c r="E71" s="25">
        <f t="shared" si="2"/>
        <v>157.0286386</v>
      </c>
      <c r="F71" s="24">
        <f t="shared" si="3"/>
        <v>0.0002099801563</v>
      </c>
      <c r="G71" s="24">
        <f t="shared" si="4"/>
        <v>0</v>
      </c>
      <c r="H71" s="26">
        <f t="shared" si="5"/>
        <v>0</v>
      </c>
      <c r="I71" s="24">
        <f t="shared" si="6"/>
        <v>0</v>
      </c>
      <c r="J71" s="24">
        <f t="shared" si="7"/>
        <v>0</v>
      </c>
      <c r="K71" s="24"/>
      <c r="L71" s="24">
        <f t="shared" si="8"/>
        <v>466.1831557</v>
      </c>
      <c r="M71" s="31">
        <f t="shared" si="9"/>
        <v>459.3327917</v>
      </c>
      <c r="N71" s="27">
        <f t="shared" si="10"/>
        <v>6.850364033</v>
      </c>
      <c r="O71" s="24"/>
      <c r="P71" s="28">
        <f t="shared" si="14"/>
        <v>-163.4567115</v>
      </c>
      <c r="Q71" s="27">
        <f t="shared" si="15"/>
        <v>418.7285636</v>
      </c>
      <c r="R71" s="26"/>
      <c r="S71" s="14">
        <f t="shared" si="13"/>
        <v>6.290662786</v>
      </c>
    </row>
    <row r="72">
      <c r="A72" s="11">
        <v>60.0</v>
      </c>
      <c r="B72" s="11">
        <v>1.41965652173913E9</v>
      </c>
      <c r="C72" s="2">
        <v>-102.1795349</v>
      </c>
      <c r="D72" s="24">
        <f t="shared" si="1"/>
        <v>-743478.2609</v>
      </c>
      <c r="E72" s="25">
        <f t="shared" si="2"/>
        <v>156.1103425</v>
      </c>
      <c r="F72" s="24">
        <f t="shared" si="3"/>
        <v>0.0002099729752</v>
      </c>
      <c r="G72" s="24">
        <f t="shared" si="4"/>
        <v>0</v>
      </c>
      <c r="H72" s="26">
        <f t="shared" si="5"/>
        <v>0</v>
      </c>
      <c r="I72" s="24">
        <f t="shared" si="6"/>
        <v>0</v>
      </c>
      <c r="J72" s="24">
        <f t="shared" si="7"/>
        <v>0</v>
      </c>
      <c r="K72" s="24"/>
      <c r="L72" s="24">
        <f t="shared" si="8"/>
        <v>460.4184064</v>
      </c>
      <c r="M72" s="31">
        <f t="shared" si="9"/>
        <v>459.1529409</v>
      </c>
      <c r="N72" s="27">
        <f t="shared" si="10"/>
        <v>1.265465544</v>
      </c>
      <c r="O72" s="24"/>
      <c r="P72" s="28">
        <f t="shared" si="14"/>
        <v>-164.3750077</v>
      </c>
      <c r="Q72" s="27">
        <f t="shared" si="15"/>
        <v>422.8139887</v>
      </c>
      <c r="R72" s="26"/>
      <c r="S72" s="14">
        <f t="shared" si="13"/>
        <v>1.162072115</v>
      </c>
    </row>
    <row r="73">
      <c r="A73" s="11">
        <v>61.0</v>
      </c>
      <c r="B73" s="11">
        <v>1.41966086956521E9</v>
      </c>
      <c r="C73" s="2">
        <v>-102.1903763</v>
      </c>
      <c r="D73" s="24">
        <f t="shared" si="1"/>
        <v>-739130.4348</v>
      </c>
      <c r="E73" s="25">
        <f t="shared" si="2"/>
        <v>155.1920463</v>
      </c>
      <c r="F73" s="24">
        <f t="shared" si="3"/>
        <v>0.0002099657097</v>
      </c>
      <c r="G73" s="24">
        <f t="shared" si="4"/>
        <v>0</v>
      </c>
      <c r="H73" s="26">
        <f t="shared" si="5"/>
        <v>0</v>
      </c>
      <c r="I73" s="24">
        <f t="shared" si="6"/>
        <v>0</v>
      </c>
      <c r="J73" s="24">
        <f t="shared" si="7"/>
        <v>0</v>
      </c>
      <c r="K73" s="24"/>
      <c r="L73" s="24">
        <f t="shared" si="8"/>
        <v>459.270486</v>
      </c>
      <c r="M73" s="31">
        <f t="shared" si="9"/>
        <v>458.9739178</v>
      </c>
      <c r="N73" s="27">
        <f t="shared" si="10"/>
        <v>0.2965682689</v>
      </c>
      <c r="O73" s="24"/>
      <c r="P73" s="28">
        <f t="shared" si="14"/>
        <v>-165.2933038</v>
      </c>
      <c r="Q73" s="27">
        <f t="shared" si="15"/>
        <v>420.9781424</v>
      </c>
      <c r="R73" s="26"/>
      <c r="S73" s="14">
        <f t="shared" si="13"/>
        <v>0.2723374944</v>
      </c>
    </row>
    <row r="74">
      <c r="A74" s="11">
        <v>62.0</v>
      </c>
      <c r="B74" s="11">
        <v>1.4196652173913E9</v>
      </c>
      <c r="C74" s="2">
        <v>-102.2637177</v>
      </c>
      <c r="D74" s="24">
        <f t="shared" si="1"/>
        <v>-734782.6087</v>
      </c>
      <c r="E74" s="25">
        <f t="shared" si="2"/>
        <v>154.2737502</v>
      </c>
      <c r="F74" s="24">
        <f t="shared" si="3"/>
        <v>0.0002099583583</v>
      </c>
      <c r="G74" s="24">
        <f t="shared" si="4"/>
        <v>0</v>
      </c>
      <c r="H74" s="26">
        <f t="shared" si="5"/>
        <v>0</v>
      </c>
      <c r="I74" s="24">
        <f t="shared" si="6"/>
        <v>0</v>
      </c>
      <c r="J74" s="24">
        <f t="shared" si="7"/>
        <v>0</v>
      </c>
      <c r="K74" s="24"/>
      <c r="L74" s="24">
        <f t="shared" si="8"/>
        <v>451.5796861</v>
      </c>
      <c r="M74" s="31">
        <f t="shared" si="9"/>
        <v>458.795719</v>
      </c>
      <c r="N74" s="27">
        <f t="shared" si="10"/>
        <v>-7.216032854</v>
      </c>
      <c r="O74" s="24"/>
      <c r="P74" s="28">
        <f t="shared" si="14"/>
        <v>-166.2115999</v>
      </c>
      <c r="Q74" s="27">
        <f t="shared" si="15"/>
        <v>421.1127662</v>
      </c>
      <c r="R74" s="26"/>
      <c r="S74" s="14">
        <f t="shared" si="13"/>
        <v>-6.626455048</v>
      </c>
    </row>
    <row r="75">
      <c r="A75" s="11">
        <v>63.0</v>
      </c>
      <c r="B75" s="11">
        <v>1.41966956521739E9</v>
      </c>
      <c r="C75" s="2">
        <v>-102.1948929</v>
      </c>
      <c r="D75" s="24">
        <f t="shared" si="1"/>
        <v>-730434.7826</v>
      </c>
      <c r="E75" s="25">
        <f t="shared" si="2"/>
        <v>153.3554541</v>
      </c>
      <c r="F75" s="24">
        <f t="shared" si="3"/>
        <v>0.0002099509193</v>
      </c>
      <c r="G75" s="24">
        <f t="shared" si="4"/>
        <v>0</v>
      </c>
      <c r="H75" s="26">
        <f t="shared" si="5"/>
        <v>0</v>
      </c>
      <c r="I75" s="24">
        <f t="shared" si="6"/>
        <v>0</v>
      </c>
      <c r="J75" s="24">
        <f t="shared" si="7"/>
        <v>0</v>
      </c>
      <c r="K75" s="24"/>
      <c r="L75" s="24">
        <f t="shared" si="8"/>
        <v>458.7930996</v>
      </c>
      <c r="M75" s="31">
        <f t="shared" si="9"/>
        <v>458.6183413</v>
      </c>
      <c r="N75" s="27">
        <f t="shared" si="10"/>
        <v>0.1747583758</v>
      </c>
      <c r="O75" s="24"/>
      <c r="P75" s="28">
        <f t="shared" si="14"/>
        <v>-167.129896</v>
      </c>
      <c r="Q75" s="27">
        <f t="shared" si="15"/>
        <v>421.1223755</v>
      </c>
      <c r="R75" s="26"/>
      <c r="S75" s="14">
        <f t="shared" si="13"/>
        <v>0.1604799407</v>
      </c>
    </row>
    <row r="76">
      <c r="A76" s="11">
        <v>64.0</v>
      </c>
      <c r="B76" s="11">
        <v>1.41967391304347E9</v>
      </c>
      <c r="C76" s="2">
        <v>-102.1928635</v>
      </c>
      <c r="D76" s="24">
        <f t="shared" si="1"/>
        <v>-726086.9565</v>
      </c>
      <c r="E76" s="25">
        <f t="shared" si="2"/>
        <v>152.4371579</v>
      </c>
      <c r="F76" s="24">
        <f t="shared" si="3"/>
        <v>0.0002099433912</v>
      </c>
      <c r="G76" s="24">
        <f t="shared" si="4"/>
        <v>0</v>
      </c>
      <c r="H76" s="26">
        <f t="shared" si="5"/>
        <v>0</v>
      </c>
      <c r="I76" s="24">
        <f t="shared" si="6"/>
        <v>0</v>
      </c>
      <c r="J76" s="24">
        <f t="shared" si="7"/>
        <v>0</v>
      </c>
      <c r="K76" s="24"/>
      <c r="L76" s="24">
        <f t="shared" si="8"/>
        <v>459.0075376</v>
      </c>
      <c r="M76" s="31">
        <f t="shared" si="9"/>
        <v>458.4417813</v>
      </c>
      <c r="N76" s="27">
        <f t="shared" si="10"/>
        <v>0.5657562908</v>
      </c>
      <c r="O76" s="24"/>
      <c r="P76" s="28">
        <f t="shared" si="14"/>
        <v>-168.0481922</v>
      </c>
      <c r="Q76" s="27">
        <f t="shared" si="15"/>
        <v>421.9488012</v>
      </c>
      <c r="R76" s="26"/>
      <c r="S76" s="14">
        <f t="shared" si="13"/>
        <v>0.519531814</v>
      </c>
    </row>
    <row r="77">
      <c r="A77" s="11">
        <v>65.0</v>
      </c>
      <c r="B77" s="11">
        <v>1.41967826086956E9</v>
      </c>
      <c r="C77" s="2">
        <v>-102.2567825</v>
      </c>
      <c r="D77" s="24">
        <f t="shared" si="1"/>
        <v>-721739.1304</v>
      </c>
      <c r="E77" s="25">
        <f t="shared" si="2"/>
        <v>151.5188618</v>
      </c>
      <c r="F77" s="24">
        <f t="shared" si="3"/>
        <v>0.0002099357724</v>
      </c>
      <c r="G77" s="24">
        <f t="shared" si="4"/>
        <v>0</v>
      </c>
      <c r="H77" s="26">
        <f t="shared" si="5"/>
        <v>0</v>
      </c>
      <c r="I77" s="24">
        <f t="shared" si="6"/>
        <v>0</v>
      </c>
      <c r="J77" s="24">
        <f t="shared" si="7"/>
        <v>0</v>
      </c>
      <c r="K77" s="24"/>
      <c r="L77" s="24">
        <f t="shared" si="8"/>
        <v>452.3013848</v>
      </c>
      <c r="M77" s="31">
        <f t="shared" si="9"/>
        <v>458.2660359</v>
      </c>
      <c r="N77" s="27">
        <f t="shared" si="10"/>
        <v>-5.964651118</v>
      </c>
      <c r="O77" s="24"/>
      <c r="P77" s="28">
        <f t="shared" si="14"/>
        <v>-168.9664883</v>
      </c>
      <c r="Q77" s="27">
        <f t="shared" si="15"/>
        <v>424.4132241</v>
      </c>
      <c r="R77" s="26"/>
      <c r="S77" s="14">
        <f t="shared" si="13"/>
        <v>-5.477316043</v>
      </c>
    </row>
    <row r="78">
      <c r="A78" s="11">
        <v>66.0</v>
      </c>
      <c r="B78" s="11">
        <v>1.41968260869565E9</v>
      </c>
      <c r="C78" s="2">
        <v>-102.1459885</v>
      </c>
      <c r="D78" s="24">
        <f t="shared" si="1"/>
        <v>-717391.3043</v>
      </c>
      <c r="E78" s="25">
        <f t="shared" si="2"/>
        <v>150.6005657</v>
      </c>
      <c r="F78" s="24">
        <f t="shared" si="3"/>
        <v>0.0002099280612</v>
      </c>
      <c r="G78" s="24">
        <f t="shared" si="4"/>
        <v>0</v>
      </c>
      <c r="H78" s="26">
        <f t="shared" si="5"/>
        <v>0</v>
      </c>
      <c r="I78" s="24">
        <f t="shared" si="6"/>
        <v>0</v>
      </c>
      <c r="J78" s="24">
        <f t="shared" si="7"/>
        <v>0</v>
      </c>
      <c r="K78" s="24"/>
      <c r="L78" s="24">
        <f t="shared" si="8"/>
        <v>463.9886076</v>
      </c>
      <c r="M78" s="31">
        <f t="shared" si="9"/>
        <v>458.0911017</v>
      </c>
      <c r="N78" s="27">
        <f t="shared" si="10"/>
        <v>5.897505949</v>
      </c>
      <c r="O78" s="24"/>
      <c r="P78" s="28">
        <f t="shared" si="14"/>
        <v>-169.8847844</v>
      </c>
      <c r="Q78" s="27">
        <f t="shared" si="15"/>
        <v>424.7152912</v>
      </c>
      <c r="R78" s="26"/>
      <c r="S78" s="14">
        <f t="shared" si="13"/>
        <v>5.415656906</v>
      </c>
    </row>
    <row r="79">
      <c r="A79" s="11">
        <v>67.0</v>
      </c>
      <c r="B79" s="11">
        <v>1.41968695652173E9</v>
      </c>
      <c r="C79" s="2">
        <v>-102.1818924</v>
      </c>
      <c r="D79" s="24">
        <f t="shared" si="1"/>
        <v>-713043.4783</v>
      </c>
      <c r="E79" s="25">
        <f t="shared" si="2"/>
        <v>149.6822695</v>
      </c>
      <c r="F79" s="24">
        <f t="shared" si="3"/>
        <v>0.0002099202561</v>
      </c>
      <c r="G79" s="24">
        <f t="shared" si="4"/>
        <v>0</v>
      </c>
      <c r="H79" s="26">
        <f t="shared" si="5"/>
        <v>0</v>
      </c>
      <c r="I79" s="24">
        <f t="shared" si="6"/>
        <v>0</v>
      </c>
      <c r="J79" s="24">
        <f t="shared" si="7"/>
        <v>0</v>
      </c>
      <c r="K79" s="24"/>
      <c r="L79" s="24">
        <f t="shared" si="8"/>
        <v>460.1685433</v>
      </c>
      <c r="M79" s="31">
        <f t="shared" si="9"/>
        <v>457.9169754</v>
      </c>
      <c r="N79" s="27">
        <f t="shared" si="10"/>
        <v>2.251567928</v>
      </c>
      <c r="O79" s="24"/>
      <c r="P79" s="28">
        <f t="shared" si="14"/>
        <v>-170.8030806</v>
      </c>
      <c r="Q79" s="27">
        <f t="shared" si="15"/>
        <v>421.3725083</v>
      </c>
      <c r="R79" s="26"/>
      <c r="S79" s="14">
        <f t="shared" si="13"/>
        <v>2.067606121</v>
      </c>
    </row>
    <row r="80">
      <c r="A80" s="11">
        <v>68.0</v>
      </c>
      <c r="B80" s="11">
        <v>1.41969130434782E9</v>
      </c>
      <c r="C80" s="2">
        <v>-102.1600647</v>
      </c>
      <c r="D80" s="24">
        <f t="shared" si="1"/>
        <v>-708695.6522</v>
      </c>
      <c r="E80" s="25">
        <f t="shared" si="2"/>
        <v>148.7639734</v>
      </c>
      <c r="F80" s="24">
        <f t="shared" si="3"/>
        <v>0.0002099123551</v>
      </c>
      <c r="G80" s="24">
        <f t="shared" si="4"/>
        <v>0</v>
      </c>
      <c r="H80" s="26">
        <f t="shared" si="5"/>
        <v>0</v>
      </c>
      <c r="I80" s="24">
        <f t="shared" si="6"/>
        <v>0</v>
      </c>
      <c r="J80" s="24">
        <f t="shared" si="7"/>
        <v>0</v>
      </c>
      <c r="K80" s="24"/>
      <c r="L80" s="24">
        <f t="shared" si="8"/>
        <v>462.4871786</v>
      </c>
      <c r="M80" s="31">
        <f t="shared" si="9"/>
        <v>457.7436538</v>
      </c>
      <c r="N80" s="27">
        <f t="shared" si="10"/>
        <v>4.743524806</v>
      </c>
      <c r="O80" s="24"/>
      <c r="P80" s="28">
        <f t="shared" si="14"/>
        <v>-171.7213767</v>
      </c>
      <c r="Q80" s="27">
        <f t="shared" si="15"/>
        <v>428.7348406</v>
      </c>
      <c r="R80" s="26"/>
      <c r="S80" s="14">
        <f t="shared" si="13"/>
        <v>4.355960485</v>
      </c>
    </row>
    <row r="81">
      <c r="A81" s="11">
        <v>69.0</v>
      </c>
      <c r="B81" s="11">
        <v>1.41969565217391E9</v>
      </c>
      <c r="C81" s="2">
        <v>-102.1058197</v>
      </c>
      <c r="D81" s="24">
        <f t="shared" si="1"/>
        <v>-704347.8261</v>
      </c>
      <c r="E81" s="25">
        <f t="shared" si="2"/>
        <v>147.8456773</v>
      </c>
      <c r="F81" s="24">
        <f t="shared" si="3"/>
        <v>0.0002099043566</v>
      </c>
      <c r="G81" s="24">
        <f t="shared" si="4"/>
        <v>0</v>
      </c>
      <c r="H81" s="26">
        <f t="shared" si="5"/>
        <v>0</v>
      </c>
      <c r="I81" s="24">
        <f t="shared" si="6"/>
        <v>0</v>
      </c>
      <c r="J81" s="24">
        <f t="shared" si="7"/>
        <v>0</v>
      </c>
      <c r="K81" s="24"/>
      <c r="L81" s="24">
        <f t="shared" si="8"/>
        <v>468.3000427</v>
      </c>
      <c r="M81" s="31">
        <f t="shared" si="9"/>
        <v>457.5711335</v>
      </c>
      <c r="N81" s="27">
        <f t="shared" si="10"/>
        <v>10.7289092</v>
      </c>
      <c r="O81" s="24"/>
      <c r="P81" s="28">
        <f t="shared" si="14"/>
        <v>-172.6396728</v>
      </c>
      <c r="Q81" s="27">
        <f t="shared" si="15"/>
        <v>426.2625487</v>
      </c>
      <c r="R81" s="26"/>
      <c r="S81" s="14">
        <f t="shared" si="13"/>
        <v>9.852315803</v>
      </c>
    </row>
    <row r="82">
      <c r="A82" s="11">
        <v>70.0</v>
      </c>
      <c r="B82" s="11">
        <v>1.4197E9</v>
      </c>
      <c r="C82" s="2">
        <v>-102.1651688</v>
      </c>
      <c r="D82" s="24">
        <f t="shared" si="1"/>
        <v>-700000</v>
      </c>
      <c r="E82" s="25">
        <f t="shared" si="2"/>
        <v>146.9273811</v>
      </c>
      <c r="F82" s="24">
        <f t="shared" si="3"/>
        <v>0.0002098962588</v>
      </c>
      <c r="G82" s="24">
        <f t="shared" si="4"/>
        <v>0</v>
      </c>
      <c r="H82" s="26">
        <f t="shared" si="5"/>
        <v>0</v>
      </c>
      <c r="I82" s="24">
        <f t="shared" si="6"/>
        <v>0</v>
      </c>
      <c r="J82" s="24">
        <f t="shared" si="7"/>
        <v>0</v>
      </c>
      <c r="K82" s="24"/>
      <c r="L82" s="24">
        <f t="shared" si="8"/>
        <v>461.943954</v>
      </c>
      <c r="M82" s="31">
        <f t="shared" si="9"/>
        <v>457.3994113</v>
      </c>
      <c r="N82" s="27">
        <f t="shared" si="10"/>
        <v>4.544542676</v>
      </c>
      <c r="O82" s="24"/>
      <c r="P82" s="28">
        <f t="shared" si="14"/>
        <v>-173.557969</v>
      </c>
      <c r="Q82" s="27">
        <f t="shared" si="15"/>
        <v>420.6979516</v>
      </c>
      <c r="R82" s="26"/>
      <c r="S82" s="14">
        <f t="shared" si="13"/>
        <v>4.173235965</v>
      </c>
    </row>
    <row r="83">
      <c r="A83" s="11">
        <v>71.0</v>
      </c>
      <c r="B83" s="11">
        <v>1.41970434782608E9</v>
      </c>
      <c r="C83" s="2">
        <v>-102.203743</v>
      </c>
      <c r="D83" s="24">
        <f t="shared" si="1"/>
        <v>-695652.1739</v>
      </c>
      <c r="E83" s="25">
        <f t="shared" si="2"/>
        <v>146.009085</v>
      </c>
      <c r="F83" s="24">
        <f t="shared" si="3"/>
        <v>0.0002098880597</v>
      </c>
      <c r="G83" s="24">
        <f t="shared" si="4"/>
        <v>0</v>
      </c>
      <c r="H83" s="26">
        <f t="shared" si="5"/>
        <v>0</v>
      </c>
      <c r="I83" s="24">
        <f t="shared" si="6"/>
        <v>0</v>
      </c>
      <c r="J83" s="24">
        <f t="shared" si="7"/>
        <v>0</v>
      </c>
      <c r="K83" s="24"/>
      <c r="L83" s="24">
        <f t="shared" si="8"/>
        <v>457.859118</v>
      </c>
      <c r="M83" s="31">
        <f t="shared" si="9"/>
        <v>457.228484</v>
      </c>
      <c r="N83" s="27">
        <f t="shared" si="10"/>
        <v>0.6306340556</v>
      </c>
      <c r="O83" s="24"/>
      <c r="P83" s="28">
        <f t="shared" si="14"/>
        <v>-174.4762651</v>
      </c>
      <c r="Q83" s="27">
        <f t="shared" si="15"/>
        <v>425.3260447</v>
      </c>
      <c r="R83" s="26"/>
      <c r="S83" s="14">
        <f t="shared" si="13"/>
        <v>0.5791088145</v>
      </c>
    </row>
    <row r="84">
      <c r="A84" s="11">
        <v>72.0</v>
      </c>
      <c r="B84" s="11">
        <v>1.41970869565217E9</v>
      </c>
      <c r="C84" s="2">
        <v>-102.2274933</v>
      </c>
      <c r="D84" s="24">
        <f t="shared" si="1"/>
        <v>-691304.3478</v>
      </c>
      <c r="E84" s="25">
        <f t="shared" si="2"/>
        <v>145.0907889</v>
      </c>
      <c r="F84" s="24">
        <f t="shared" si="3"/>
        <v>0.0002098797575</v>
      </c>
      <c r="G84" s="24">
        <f t="shared" si="4"/>
        <v>0</v>
      </c>
      <c r="H84" s="26">
        <f t="shared" si="5"/>
        <v>0</v>
      </c>
      <c r="I84" s="24">
        <f t="shared" si="6"/>
        <v>0</v>
      </c>
      <c r="J84" s="24">
        <f t="shared" si="7"/>
        <v>0</v>
      </c>
      <c r="K84" s="24"/>
      <c r="L84" s="24">
        <f t="shared" si="8"/>
        <v>455.362054</v>
      </c>
      <c r="M84" s="31">
        <f t="shared" si="9"/>
        <v>457.0583482</v>
      </c>
      <c r="N84" s="27">
        <f t="shared" si="10"/>
        <v>-1.696294176</v>
      </c>
      <c r="O84" s="24"/>
      <c r="P84" s="28">
        <f t="shared" si="14"/>
        <v>-175.3945612</v>
      </c>
      <c r="Q84" s="27">
        <f t="shared" si="15"/>
        <v>418.6770711</v>
      </c>
      <c r="R84" s="26"/>
      <c r="S84" s="14">
        <f t="shared" si="13"/>
        <v>-1.557700378</v>
      </c>
    </row>
    <row r="85">
      <c r="A85" s="11">
        <v>73.0</v>
      </c>
      <c r="B85" s="11">
        <v>1.41971304347826E9</v>
      </c>
      <c r="C85" s="2">
        <v>-102.1837158</v>
      </c>
      <c r="D85" s="24">
        <f t="shared" si="1"/>
        <v>-686956.5217</v>
      </c>
      <c r="E85" s="25">
        <f t="shared" si="2"/>
        <v>144.1724927</v>
      </c>
      <c r="F85" s="24">
        <f t="shared" si="3"/>
        <v>0.0002098713502</v>
      </c>
      <c r="G85" s="24">
        <f t="shared" si="4"/>
        <v>0</v>
      </c>
      <c r="H85" s="26">
        <f t="shared" si="5"/>
        <v>0</v>
      </c>
      <c r="I85" s="24">
        <f t="shared" si="6"/>
        <v>0</v>
      </c>
      <c r="J85" s="24">
        <f t="shared" si="7"/>
        <v>0</v>
      </c>
      <c r="K85" s="24"/>
      <c r="L85" s="24">
        <f t="shared" si="8"/>
        <v>459.9753805</v>
      </c>
      <c r="M85" s="31">
        <f t="shared" si="9"/>
        <v>456.8890006</v>
      </c>
      <c r="N85" s="27">
        <f t="shared" si="10"/>
        <v>3.08637994</v>
      </c>
      <c r="O85" s="24"/>
      <c r="P85" s="28">
        <f t="shared" si="14"/>
        <v>-176.3128574</v>
      </c>
      <c r="Q85" s="27">
        <f t="shared" si="15"/>
        <v>420.4740784</v>
      </c>
      <c r="R85" s="26"/>
      <c r="S85" s="14">
        <f t="shared" si="13"/>
        <v>2.834210763</v>
      </c>
    </row>
    <row r="86">
      <c r="A86" s="11">
        <v>74.0</v>
      </c>
      <c r="B86" s="11">
        <v>1.41971739130434E9</v>
      </c>
      <c r="C86" s="2">
        <v>-102.1972275</v>
      </c>
      <c r="D86" s="24">
        <f t="shared" si="1"/>
        <v>-682608.6957</v>
      </c>
      <c r="E86" s="25">
        <f t="shared" si="2"/>
        <v>143.2541966</v>
      </c>
      <c r="F86" s="24">
        <f t="shared" si="3"/>
        <v>0.0002098628358</v>
      </c>
      <c r="G86" s="24">
        <f t="shared" si="4"/>
        <v>0</v>
      </c>
      <c r="H86" s="26">
        <f t="shared" si="5"/>
        <v>0</v>
      </c>
      <c r="I86" s="24">
        <f t="shared" si="6"/>
        <v>0</v>
      </c>
      <c r="J86" s="24">
        <f t="shared" si="7"/>
        <v>0</v>
      </c>
      <c r="K86" s="24"/>
      <c r="L86" s="24">
        <f t="shared" si="8"/>
        <v>458.5465364</v>
      </c>
      <c r="M86" s="31">
        <f t="shared" si="9"/>
        <v>456.720438</v>
      </c>
      <c r="N86" s="27">
        <f t="shared" si="10"/>
        <v>1.826098396</v>
      </c>
      <c r="O86" s="24"/>
      <c r="P86" s="28">
        <f t="shared" si="14"/>
        <v>-177.2311535</v>
      </c>
      <c r="Q86" s="27">
        <f t="shared" si="15"/>
        <v>421.0861308</v>
      </c>
      <c r="R86" s="26"/>
      <c r="S86" s="14">
        <f t="shared" si="13"/>
        <v>1.676899095</v>
      </c>
    </row>
    <row r="87">
      <c r="A87" s="11">
        <v>75.0</v>
      </c>
      <c r="B87" s="11">
        <v>1.41972173913043E9</v>
      </c>
      <c r="C87" s="2">
        <v>-102.2705688</v>
      </c>
      <c r="D87" s="24">
        <f t="shared" si="1"/>
        <v>-678260.8696</v>
      </c>
      <c r="E87" s="25">
        <f t="shared" si="2"/>
        <v>142.3359005</v>
      </c>
      <c r="F87" s="24">
        <f t="shared" si="3"/>
        <v>0.0002098542122</v>
      </c>
      <c r="G87" s="24">
        <f t="shared" si="4"/>
        <v>0</v>
      </c>
      <c r="H87" s="26">
        <f t="shared" si="5"/>
        <v>0</v>
      </c>
      <c r="I87" s="24">
        <f t="shared" si="6"/>
        <v>0</v>
      </c>
      <c r="J87" s="24">
        <f t="shared" si="7"/>
        <v>0</v>
      </c>
      <c r="K87" s="24"/>
      <c r="L87" s="24">
        <f t="shared" si="8"/>
        <v>450.8678699</v>
      </c>
      <c r="M87" s="31">
        <f t="shared" si="9"/>
        <v>456.5526571</v>
      </c>
      <c r="N87" s="27">
        <f t="shared" si="10"/>
        <v>-5.68478718</v>
      </c>
      <c r="O87" s="24"/>
      <c r="P87" s="28">
        <f t="shared" si="14"/>
        <v>-178.1494496</v>
      </c>
      <c r="Q87" s="27">
        <f t="shared" si="15"/>
        <v>423.2658376</v>
      </c>
      <c r="R87" s="26"/>
      <c r="S87" s="14">
        <f t="shared" si="13"/>
        <v>-5.220318071</v>
      </c>
    </row>
    <row r="88">
      <c r="A88" s="11">
        <v>76.0</v>
      </c>
      <c r="B88" s="11">
        <v>1.41972608695652E9</v>
      </c>
      <c r="C88" s="2">
        <v>-102.1459656</v>
      </c>
      <c r="D88" s="24">
        <f t="shared" si="1"/>
        <v>-673913.0435</v>
      </c>
      <c r="E88" s="25">
        <f t="shared" si="2"/>
        <v>141.4176044</v>
      </c>
      <c r="F88" s="24">
        <f t="shared" si="3"/>
        <v>0.0002098454774</v>
      </c>
      <c r="G88" s="24">
        <f t="shared" si="4"/>
        <v>0</v>
      </c>
      <c r="H88" s="26">
        <f t="shared" si="5"/>
        <v>0</v>
      </c>
      <c r="I88" s="24">
        <f t="shared" si="6"/>
        <v>0</v>
      </c>
      <c r="J88" s="24">
        <f t="shared" si="7"/>
        <v>0</v>
      </c>
      <c r="K88" s="24"/>
      <c r="L88" s="24">
        <f t="shared" si="8"/>
        <v>463.9910542</v>
      </c>
      <c r="M88" s="31">
        <f t="shared" si="9"/>
        <v>456.3856546</v>
      </c>
      <c r="N88" s="27">
        <f t="shared" si="10"/>
        <v>7.60539962</v>
      </c>
      <c r="O88" s="24"/>
      <c r="P88" s="28">
        <f t="shared" si="14"/>
        <v>-179.0677458</v>
      </c>
      <c r="Q88" s="27">
        <f t="shared" si="15"/>
        <v>417.8313647</v>
      </c>
      <c r="R88" s="26"/>
      <c r="S88" s="14">
        <f t="shared" si="13"/>
        <v>6.98400906</v>
      </c>
    </row>
    <row r="89">
      <c r="A89" s="11">
        <v>77.0</v>
      </c>
      <c r="B89" s="11">
        <v>1.4197304347826E9</v>
      </c>
      <c r="C89" s="2">
        <v>-102.2268982</v>
      </c>
      <c r="D89" s="24">
        <f t="shared" si="1"/>
        <v>-669565.2174</v>
      </c>
      <c r="E89" s="25">
        <f t="shared" si="2"/>
        <v>140.4993082</v>
      </c>
      <c r="F89" s="24">
        <f t="shared" si="3"/>
        <v>0.0002098366292</v>
      </c>
      <c r="G89" s="24">
        <f t="shared" si="4"/>
        <v>0</v>
      </c>
      <c r="H89" s="26">
        <f t="shared" si="5"/>
        <v>0</v>
      </c>
      <c r="I89" s="24">
        <f t="shared" si="6"/>
        <v>0</v>
      </c>
      <c r="J89" s="24">
        <f t="shared" si="7"/>
        <v>0</v>
      </c>
      <c r="K89" s="24"/>
      <c r="L89" s="24">
        <f t="shared" si="8"/>
        <v>455.4244551</v>
      </c>
      <c r="M89" s="31">
        <f t="shared" si="9"/>
        <v>456.2194272</v>
      </c>
      <c r="N89" s="27">
        <f t="shared" si="10"/>
        <v>-0.7949720778</v>
      </c>
      <c r="O89" s="24"/>
      <c r="P89" s="28">
        <f t="shared" si="14"/>
        <v>-179.9860419</v>
      </c>
      <c r="Q89" s="27">
        <f t="shared" si="15"/>
        <v>420.3285865</v>
      </c>
      <c r="R89" s="26"/>
      <c r="S89" s="14">
        <f t="shared" si="13"/>
        <v>-0.7300197847</v>
      </c>
    </row>
    <row r="90">
      <c r="A90" s="11">
        <v>78.0</v>
      </c>
      <c r="B90" s="11">
        <v>1.41973478260869E9</v>
      </c>
      <c r="C90" s="2">
        <v>-102.1332703</v>
      </c>
      <c r="D90" s="24">
        <f t="shared" si="1"/>
        <v>-665217.3913</v>
      </c>
      <c r="E90" s="25">
        <f t="shared" si="2"/>
        <v>139.5810121</v>
      </c>
      <c r="F90" s="24">
        <f t="shared" si="3"/>
        <v>0.0002098276652</v>
      </c>
      <c r="G90" s="24">
        <f t="shared" si="4"/>
        <v>0</v>
      </c>
      <c r="H90" s="26">
        <f t="shared" si="5"/>
        <v>0</v>
      </c>
      <c r="I90" s="24">
        <f t="shared" si="6"/>
        <v>0</v>
      </c>
      <c r="J90" s="24">
        <f t="shared" si="7"/>
        <v>0</v>
      </c>
      <c r="K90" s="24"/>
      <c r="L90" s="24">
        <f t="shared" si="8"/>
        <v>465.3493776</v>
      </c>
      <c r="M90" s="31">
        <f t="shared" si="9"/>
        <v>456.0539716</v>
      </c>
      <c r="N90" s="27">
        <f t="shared" si="10"/>
        <v>9.295405972</v>
      </c>
      <c r="O90" s="24"/>
      <c r="P90" s="28">
        <f t="shared" si="14"/>
        <v>-180.904338</v>
      </c>
      <c r="Q90" s="27">
        <f t="shared" si="15"/>
        <v>429.8041726</v>
      </c>
      <c r="R90" s="26"/>
      <c r="S90" s="14">
        <f t="shared" si="13"/>
        <v>8.535935357</v>
      </c>
    </row>
    <row r="91">
      <c r="A91" s="11">
        <v>79.0</v>
      </c>
      <c r="B91" s="11">
        <v>1.41973913043478E9</v>
      </c>
      <c r="C91" s="2">
        <v>-102.1839676</v>
      </c>
      <c r="D91" s="24">
        <f t="shared" si="1"/>
        <v>-660869.5652</v>
      </c>
      <c r="E91" s="25">
        <f t="shared" si="2"/>
        <v>138.662716</v>
      </c>
      <c r="F91" s="24">
        <f t="shared" si="3"/>
        <v>0.0002098185833</v>
      </c>
      <c r="G91" s="24">
        <f t="shared" si="4"/>
        <v>0</v>
      </c>
      <c r="H91" s="26">
        <f t="shared" si="5"/>
        <v>0</v>
      </c>
      <c r="I91" s="24">
        <f t="shared" si="6"/>
        <v>0</v>
      </c>
      <c r="J91" s="24">
        <f t="shared" si="7"/>
        <v>0</v>
      </c>
      <c r="K91" s="24"/>
      <c r="L91" s="24">
        <f t="shared" si="8"/>
        <v>459.9487124</v>
      </c>
      <c r="M91" s="31">
        <f t="shared" si="9"/>
        <v>455.8892846</v>
      </c>
      <c r="N91" s="27">
        <f t="shared" si="10"/>
        <v>4.059427737</v>
      </c>
      <c r="O91" s="24"/>
      <c r="P91" s="28">
        <f t="shared" si="14"/>
        <v>-181.8226342</v>
      </c>
      <c r="Q91" s="27">
        <f t="shared" si="15"/>
        <v>425.6594283</v>
      </c>
      <c r="R91" s="26"/>
      <c r="S91" s="14">
        <f t="shared" si="13"/>
        <v>3.727756784</v>
      </c>
    </row>
    <row r="92">
      <c r="A92" s="11">
        <v>80.0</v>
      </c>
      <c r="B92" s="11">
        <v>1.41974347826087E9</v>
      </c>
      <c r="C92" s="2">
        <v>-102.214035</v>
      </c>
      <c r="D92" s="24">
        <f t="shared" si="1"/>
        <v>-656521.7391</v>
      </c>
      <c r="E92" s="25">
        <f t="shared" si="2"/>
        <v>137.7444198</v>
      </c>
      <c r="F92" s="24">
        <f t="shared" si="3"/>
        <v>0.0002098093812</v>
      </c>
      <c r="G92" s="24">
        <f t="shared" si="4"/>
        <v>0</v>
      </c>
      <c r="H92" s="26">
        <f t="shared" si="5"/>
        <v>0</v>
      </c>
      <c r="I92" s="24">
        <f t="shared" si="6"/>
        <v>0</v>
      </c>
      <c r="J92" s="24">
        <f t="shared" si="7"/>
        <v>0</v>
      </c>
      <c r="K92" s="24"/>
      <c r="L92" s="24">
        <f t="shared" si="8"/>
        <v>456.7753588</v>
      </c>
      <c r="M92" s="31">
        <f t="shared" si="9"/>
        <v>455.7253629</v>
      </c>
      <c r="N92" s="27">
        <f t="shared" si="10"/>
        <v>1.049995846</v>
      </c>
      <c r="O92" s="24"/>
      <c r="P92" s="28">
        <f t="shared" si="14"/>
        <v>-182.7409303</v>
      </c>
      <c r="Q92" s="27">
        <f t="shared" si="15"/>
        <v>428.0537611</v>
      </c>
      <c r="R92" s="26"/>
      <c r="S92" s="14">
        <f t="shared" si="13"/>
        <v>0.9642071246</v>
      </c>
    </row>
    <row r="93">
      <c r="A93" s="11">
        <v>81.0</v>
      </c>
      <c r="B93" s="11">
        <v>1.41974782608695E9</v>
      </c>
      <c r="C93" s="2">
        <v>-102.1946869</v>
      </c>
      <c r="D93" s="24">
        <f t="shared" si="1"/>
        <v>-652173.913</v>
      </c>
      <c r="E93" s="25">
        <f t="shared" si="2"/>
        <v>136.8261237</v>
      </c>
      <c r="F93" s="24">
        <f t="shared" si="3"/>
        <v>0.0002098000563</v>
      </c>
      <c r="G93" s="24">
        <f t="shared" si="4"/>
        <v>0</v>
      </c>
      <c r="H93" s="26">
        <f t="shared" si="5"/>
        <v>0</v>
      </c>
      <c r="I93" s="24">
        <f t="shared" si="6"/>
        <v>0</v>
      </c>
      <c r="J93" s="24">
        <f t="shared" si="7"/>
        <v>0</v>
      </c>
      <c r="K93" s="24"/>
      <c r="L93" s="24">
        <f t="shared" si="8"/>
        <v>458.8148622</v>
      </c>
      <c r="M93" s="31">
        <f t="shared" si="9"/>
        <v>455.5622032</v>
      </c>
      <c r="N93" s="27">
        <f t="shared" si="10"/>
        <v>3.252659016</v>
      </c>
      <c r="O93" s="24"/>
      <c r="P93" s="28">
        <f t="shared" si="14"/>
        <v>-183.6592264</v>
      </c>
      <c r="Q93" s="27">
        <f t="shared" si="15"/>
        <v>418.2146937</v>
      </c>
      <c r="R93" s="26"/>
      <c r="S93" s="14">
        <f t="shared" si="13"/>
        <v>2.986904196</v>
      </c>
    </row>
    <row r="94">
      <c r="A94" s="11">
        <v>82.0</v>
      </c>
      <c r="B94" s="11">
        <v>1.41975217391304E9</v>
      </c>
      <c r="C94" s="2">
        <v>-102.2120667</v>
      </c>
      <c r="D94" s="24">
        <f t="shared" si="1"/>
        <v>-647826.087</v>
      </c>
      <c r="E94" s="25">
        <f t="shared" si="2"/>
        <v>135.9078276</v>
      </c>
      <c r="F94" s="24">
        <f t="shared" si="3"/>
        <v>0.0002097906063</v>
      </c>
      <c r="G94" s="24">
        <f t="shared" si="4"/>
        <v>0</v>
      </c>
      <c r="H94" s="26">
        <f t="shared" si="5"/>
        <v>0</v>
      </c>
      <c r="I94" s="24">
        <f t="shared" si="6"/>
        <v>0</v>
      </c>
      <c r="J94" s="24">
        <f t="shared" si="7"/>
        <v>0</v>
      </c>
      <c r="K94" s="24"/>
      <c r="L94" s="24">
        <f t="shared" si="8"/>
        <v>456.9824244</v>
      </c>
      <c r="M94" s="31">
        <f t="shared" si="9"/>
        <v>455.3998022</v>
      </c>
      <c r="N94" s="27">
        <f t="shared" si="10"/>
        <v>1.582622233</v>
      </c>
      <c r="O94" s="24"/>
      <c r="P94" s="28">
        <f t="shared" si="14"/>
        <v>-184.5775226</v>
      </c>
      <c r="Q94" s="27">
        <f t="shared" si="15"/>
        <v>426.8230426</v>
      </c>
      <c r="R94" s="26"/>
      <c r="S94" s="14">
        <f t="shared" si="13"/>
        <v>1.453315873</v>
      </c>
    </row>
    <row r="95">
      <c r="A95" s="11">
        <v>83.0</v>
      </c>
      <c r="B95" s="11">
        <v>1.41975652173913E9</v>
      </c>
      <c r="C95" s="2">
        <v>-102.2071075</v>
      </c>
      <c r="D95" s="24">
        <f t="shared" si="1"/>
        <v>-643478.2609</v>
      </c>
      <c r="E95" s="25">
        <f t="shared" si="2"/>
        <v>134.9895314</v>
      </c>
      <c r="F95" s="24">
        <f t="shared" si="3"/>
        <v>0.0002097810286</v>
      </c>
      <c r="G95" s="24">
        <f t="shared" si="4"/>
        <v>0</v>
      </c>
      <c r="H95" s="26">
        <f t="shared" si="5"/>
        <v>0</v>
      </c>
      <c r="I95" s="24">
        <f t="shared" si="6"/>
        <v>0</v>
      </c>
      <c r="J95" s="24">
        <f t="shared" si="7"/>
        <v>0</v>
      </c>
      <c r="K95" s="24"/>
      <c r="L95" s="24">
        <f t="shared" si="8"/>
        <v>457.5045498</v>
      </c>
      <c r="M95" s="31">
        <f t="shared" si="9"/>
        <v>455.2381566</v>
      </c>
      <c r="N95" s="27">
        <f t="shared" si="10"/>
        <v>2.266393178</v>
      </c>
      <c r="O95" s="24"/>
      <c r="P95" s="28">
        <f t="shared" si="14"/>
        <v>-185.4958187</v>
      </c>
      <c r="Q95" s="27">
        <f t="shared" si="15"/>
        <v>429.6101637</v>
      </c>
      <c r="R95" s="26"/>
      <c r="S95" s="14">
        <f t="shared" si="13"/>
        <v>2.08122009</v>
      </c>
    </row>
    <row r="96">
      <c r="A96" s="11">
        <v>84.0</v>
      </c>
      <c r="B96" s="11">
        <v>1.41976086956521E9</v>
      </c>
      <c r="C96" s="2">
        <v>-102.1993561</v>
      </c>
      <c r="D96" s="24">
        <f t="shared" si="1"/>
        <v>-639130.4348</v>
      </c>
      <c r="E96" s="25">
        <f t="shared" si="2"/>
        <v>134.0712353</v>
      </c>
      <c r="F96" s="24">
        <f t="shared" si="3"/>
        <v>0.0002097713205</v>
      </c>
      <c r="G96" s="24">
        <f t="shared" si="4"/>
        <v>0</v>
      </c>
      <c r="H96" s="26">
        <f t="shared" si="5"/>
        <v>0</v>
      </c>
      <c r="I96" s="24">
        <f t="shared" si="6"/>
        <v>0</v>
      </c>
      <c r="J96" s="24">
        <f t="shared" si="7"/>
        <v>0</v>
      </c>
      <c r="K96" s="24"/>
      <c r="L96" s="24">
        <f t="shared" si="8"/>
        <v>458.3218449</v>
      </c>
      <c r="M96" s="31">
        <f t="shared" si="9"/>
        <v>455.0772632</v>
      </c>
      <c r="N96" s="27">
        <f t="shared" si="10"/>
        <v>3.244581682</v>
      </c>
      <c r="O96" s="24"/>
      <c r="P96" s="28">
        <f t="shared" si="14"/>
        <v>-186.4141148</v>
      </c>
      <c r="Q96" s="27">
        <f t="shared" si="15"/>
        <v>421.6835189</v>
      </c>
      <c r="R96" s="26"/>
      <c r="S96" s="14">
        <f t="shared" si="13"/>
        <v>2.979486811</v>
      </c>
    </row>
    <row r="97">
      <c r="A97" s="11">
        <v>85.0</v>
      </c>
      <c r="B97" s="11">
        <v>1.4197652173913E9</v>
      </c>
      <c r="C97" s="2">
        <v>-102.2127075</v>
      </c>
      <c r="D97" s="24">
        <f t="shared" si="1"/>
        <v>-634782.6087</v>
      </c>
      <c r="E97" s="25">
        <f t="shared" si="2"/>
        <v>133.1529392</v>
      </c>
      <c r="F97" s="24">
        <f t="shared" si="3"/>
        <v>0.0002097614795</v>
      </c>
      <c r="G97" s="24">
        <f t="shared" si="4"/>
        <v>0</v>
      </c>
      <c r="H97" s="26">
        <f t="shared" si="5"/>
        <v>0</v>
      </c>
      <c r="I97" s="24">
        <f t="shared" si="6"/>
        <v>0</v>
      </c>
      <c r="J97" s="24">
        <f t="shared" si="7"/>
        <v>0</v>
      </c>
      <c r="K97" s="24"/>
      <c r="L97" s="24">
        <f t="shared" si="8"/>
        <v>456.9150018</v>
      </c>
      <c r="M97" s="31">
        <f t="shared" si="9"/>
        <v>454.9171186</v>
      </c>
      <c r="N97" s="27">
        <f t="shared" si="10"/>
        <v>1.997883175</v>
      </c>
      <c r="O97" s="24"/>
      <c r="P97" s="28">
        <f t="shared" si="14"/>
        <v>-187.332411</v>
      </c>
      <c r="Q97" s="27">
        <f t="shared" si="15"/>
        <v>421.8198446</v>
      </c>
      <c r="R97" s="26"/>
      <c r="S97" s="14">
        <f t="shared" si="13"/>
        <v>1.834648389</v>
      </c>
    </row>
    <row r="98">
      <c r="A98" s="11">
        <v>86.0</v>
      </c>
      <c r="B98" s="11">
        <v>1.41976956521739E9</v>
      </c>
      <c r="C98" s="2">
        <v>-102.2022476</v>
      </c>
      <c r="D98" s="24">
        <f t="shared" si="1"/>
        <v>-630434.7826</v>
      </c>
      <c r="E98" s="25">
        <f t="shared" si="2"/>
        <v>132.234643</v>
      </c>
      <c r="F98" s="24">
        <f t="shared" si="3"/>
        <v>0.0002097515027</v>
      </c>
      <c r="G98" s="24">
        <f t="shared" si="4"/>
        <v>0</v>
      </c>
      <c r="H98" s="26">
        <f t="shared" si="5"/>
        <v>0</v>
      </c>
      <c r="I98" s="24">
        <f t="shared" si="6"/>
        <v>0</v>
      </c>
      <c r="J98" s="24">
        <f t="shared" si="7"/>
        <v>0</v>
      </c>
      <c r="K98" s="24"/>
      <c r="L98" s="24">
        <f t="shared" si="8"/>
        <v>458.0167992</v>
      </c>
      <c r="M98" s="31">
        <f t="shared" si="9"/>
        <v>454.7577196</v>
      </c>
      <c r="N98" s="27">
        <f t="shared" si="10"/>
        <v>3.259079536</v>
      </c>
      <c r="O98" s="24"/>
      <c r="P98" s="28">
        <f t="shared" si="14"/>
        <v>-188.2507071</v>
      </c>
      <c r="Q98" s="27">
        <f t="shared" si="15"/>
        <v>425.1124043</v>
      </c>
      <c r="R98" s="26"/>
      <c r="S98" s="14">
        <f t="shared" si="13"/>
        <v>2.992800134</v>
      </c>
    </row>
    <row r="99">
      <c r="A99" s="11">
        <v>87.0</v>
      </c>
      <c r="B99" s="11">
        <v>1.41977391304347E9</v>
      </c>
      <c r="C99" s="2">
        <v>-102.1694717</v>
      </c>
      <c r="D99" s="24">
        <f t="shared" si="1"/>
        <v>-626086.9565</v>
      </c>
      <c r="E99" s="25">
        <f t="shared" si="2"/>
        <v>131.3163469</v>
      </c>
      <c r="F99" s="24">
        <f t="shared" si="3"/>
        <v>0.0002097413874</v>
      </c>
      <c r="G99" s="24">
        <f t="shared" si="4"/>
        <v>0</v>
      </c>
      <c r="H99" s="26">
        <f t="shared" si="5"/>
        <v>0</v>
      </c>
      <c r="I99" s="24">
        <f t="shared" si="6"/>
        <v>0</v>
      </c>
      <c r="J99" s="24">
        <f t="shared" si="7"/>
        <v>0</v>
      </c>
      <c r="K99" s="24"/>
      <c r="L99" s="24">
        <f t="shared" si="8"/>
        <v>461.4864961</v>
      </c>
      <c r="M99" s="31">
        <f t="shared" si="9"/>
        <v>454.599063</v>
      </c>
      <c r="N99" s="27">
        <f t="shared" si="10"/>
        <v>6.88743318</v>
      </c>
      <c r="O99" s="24"/>
      <c r="P99" s="28">
        <f t="shared" si="14"/>
        <v>-189.1690032</v>
      </c>
      <c r="Q99" s="27">
        <f t="shared" si="15"/>
        <v>420.2134097</v>
      </c>
      <c r="R99" s="26"/>
      <c r="S99" s="14">
        <f t="shared" si="13"/>
        <v>6.324703254</v>
      </c>
    </row>
    <row r="100">
      <c r="A100" s="11">
        <v>88.0</v>
      </c>
      <c r="B100" s="11">
        <v>1.41977826086956E9</v>
      </c>
      <c r="C100" s="2">
        <v>-102.2418594</v>
      </c>
      <c r="D100" s="24">
        <f t="shared" si="1"/>
        <v>-621739.1304</v>
      </c>
      <c r="E100" s="25">
        <f t="shared" si="2"/>
        <v>130.3980508</v>
      </c>
      <c r="F100" s="24">
        <f t="shared" si="3"/>
        <v>0.0002097311306</v>
      </c>
      <c r="G100" s="24">
        <f t="shared" si="4"/>
        <v>0</v>
      </c>
      <c r="H100" s="26">
        <f t="shared" si="5"/>
        <v>0</v>
      </c>
      <c r="I100" s="24">
        <f t="shared" si="6"/>
        <v>0</v>
      </c>
      <c r="J100" s="24">
        <f t="shared" si="7"/>
        <v>0</v>
      </c>
      <c r="K100" s="24"/>
      <c r="L100" s="24">
        <f t="shared" si="8"/>
        <v>453.8582428</v>
      </c>
      <c r="M100" s="31">
        <f t="shared" si="9"/>
        <v>454.4411453</v>
      </c>
      <c r="N100" s="27">
        <f t="shared" si="10"/>
        <v>-0.5829024879</v>
      </c>
      <c r="O100" s="24"/>
      <c r="P100" s="28">
        <f t="shared" si="14"/>
        <v>-190.0872994</v>
      </c>
      <c r="Q100" s="27">
        <f t="shared" si="15"/>
        <v>419.2695742</v>
      </c>
      <c r="R100" s="26"/>
      <c r="S100" s="14">
        <f t="shared" si="13"/>
        <v>-0.5352770992</v>
      </c>
    </row>
    <row r="101">
      <c r="A101" s="11">
        <v>89.0</v>
      </c>
      <c r="B101" s="11">
        <v>1.41978260869565E9</v>
      </c>
      <c r="C101" s="2">
        <v>-102.2207718</v>
      </c>
      <c r="D101" s="24">
        <f t="shared" si="1"/>
        <v>-617391.3043</v>
      </c>
      <c r="E101" s="25">
        <f t="shared" si="2"/>
        <v>129.4797546</v>
      </c>
      <c r="F101" s="24">
        <f t="shared" si="3"/>
        <v>0.0002097207293</v>
      </c>
      <c r="G101" s="24">
        <f t="shared" si="4"/>
        <v>0</v>
      </c>
      <c r="H101" s="26">
        <f t="shared" si="5"/>
        <v>0</v>
      </c>
      <c r="I101" s="24">
        <f t="shared" si="6"/>
        <v>0</v>
      </c>
      <c r="J101" s="24">
        <f t="shared" si="7"/>
        <v>0</v>
      </c>
      <c r="K101" s="24"/>
      <c r="L101" s="24">
        <f t="shared" si="8"/>
        <v>456.0673556</v>
      </c>
      <c r="M101" s="31">
        <f t="shared" si="9"/>
        <v>454.2839634</v>
      </c>
      <c r="N101" s="27">
        <f t="shared" si="10"/>
        <v>1.783392141</v>
      </c>
      <c r="O101" s="24"/>
      <c r="P101" s="28">
        <f t="shared" si="14"/>
        <v>-191.0055955</v>
      </c>
      <c r="Q101" s="27">
        <f t="shared" si="15"/>
        <v>418.9147068</v>
      </c>
      <c r="R101" s="26"/>
      <c r="S101" s="14">
        <f t="shared" si="13"/>
        <v>1.637682106</v>
      </c>
    </row>
    <row r="102">
      <c r="A102" s="11">
        <v>90.0</v>
      </c>
      <c r="B102" s="11">
        <v>1.41978695652173E9</v>
      </c>
      <c r="C102" s="2">
        <v>-102.2608109</v>
      </c>
      <c r="D102" s="24">
        <f t="shared" si="1"/>
        <v>-613043.4783</v>
      </c>
      <c r="E102" s="25">
        <f t="shared" si="2"/>
        <v>128.5614585</v>
      </c>
      <c r="F102" s="24">
        <f t="shared" si="3"/>
        <v>0.0002097101805</v>
      </c>
      <c r="G102" s="24">
        <f t="shared" si="4"/>
        <v>0</v>
      </c>
      <c r="H102" s="26">
        <f t="shared" si="5"/>
        <v>0</v>
      </c>
      <c r="I102" s="24">
        <f t="shared" si="6"/>
        <v>0</v>
      </c>
      <c r="J102" s="24">
        <f t="shared" si="7"/>
        <v>0</v>
      </c>
      <c r="K102" s="24"/>
      <c r="L102" s="24">
        <f t="shared" si="8"/>
        <v>451.8820366</v>
      </c>
      <c r="M102" s="31">
        <f t="shared" si="9"/>
        <v>454.127514</v>
      </c>
      <c r="N102" s="27">
        <f t="shared" si="10"/>
        <v>-2.245477428</v>
      </c>
      <c r="O102" s="24"/>
      <c r="P102" s="28">
        <f t="shared" si="14"/>
        <v>-191.9238916</v>
      </c>
      <c r="Q102" s="27">
        <f t="shared" si="15"/>
        <v>421.6894515</v>
      </c>
      <c r="R102" s="26"/>
      <c r="S102" s="14">
        <f t="shared" si="13"/>
        <v>-2.062013238</v>
      </c>
    </row>
    <row r="103">
      <c r="A103" s="11">
        <v>91.0</v>
      </c>
      <c r="B103" s="11">
        <v>1.41979130434782E9</v>
      </c>
      <c r="C103" s="2">
        <v>-102.2182388</v>
      </c>
      <c r="D103" s="24">
        <f t="shared" si="1"/>
        <v>-608695.6522</v>
      </c>
      <c r="E103" s="25">
        <f t="shared" si="2"/>
        <v>127.6431624</v>
      </c>
      <c r="F103" s="24">
        <f t="shared" si="3"/>
        <v>0.000209699481</v>
      </c>
      <c r="G103" s="24">
        <f t="shared" si="4"/>
        <v>0</v>
      </c>
      <c r="H103" s="26">
        <f t="shared" si="5"/>
        <v>0</v>
      </c>
      <c r="I103" s="24">
        <f t="shared" si="6"/>
        <v>0</v>
      </c>
      <c r="J103" s="24">
        <f t="shared" si="7"/>
        <v>0</v>
      </c>
      <c r="K103" s="24"/>
      <c r="L103" s="24">
        <f t="shared" si="8"/>
        <v>456.3334321</v>
      </c>
      <c r="M103" s="31">
        <f t="shared" si="9"/>
        <v>453.9717937</v>
      </c>
      <c r="N103" s="27">
        <f t="shared" si="10"/>
        <v>2.361638346</v>
      </c>
      <c r="O103" s="24"/>
      <c r="P103" s="28">
        <f t="shared" si="14"/>
        <v>-192.8421877</v>
      </c>
      <c r="Q103" s="27">
        <f t="shared" si="15"/>
        <v>417.0327841</v>
      </c>
      <c r="R103" s="26"/>
      <c r="S103" s="14">
        <f t="shared" si="13"/>
        <v>2.16868336</v>
      </c>
    </row>
    <row r="104">
      <c r="A104" s="11">
        <v>92.0</v>
      </c>
      <c r="B104" s="11">
        <v>1.41979565217391E9</v>
      </c>
      <c r="C104" s="2">
        <v>-102.1802444</v>
      </c>
      <c r="D104" s="24">
        <f t="shared" si="1"/>
        <v>-604347.8261</v>
      </c>
      <c r="E104" s="25">
        <f t="shared" si="2"/>
        <v>126.7248662</v>
      </c>
      <c r="F104" s="24">
        <f t="shared" si="3"/>
        <v>0.0002096886276</v>
      </c>
      <c r="G104" s="24">
        <f t="shared" si="4"/>
        <v>0</v>
      </c>
      <c r="H104" s="26">
        <f t="shared" si="5"/>
        <v>0</v>
      </c>
      <c r="I104" s="24">
        <f t="shared" si="6"/>
        <v>0</v>
      </c>
      <c r="J104" s="24">
        <f t="shared" si="7"/>
        <v>0</v>
      </c>
      <c r="K104" s="24"/>
      <c r="L104" s="24">
        <f t="shared" si="8"/>
        <v>460.3431948</v>
      </c>
      <c r="M104" s="31">
        <f t="shared" si="9"/>
        <v>453.8167994</v>
      </c>
      <c r="N104" s="27">
        <f t="shared" si="10"/>
        <v>6.526395412</v>
      </c>
      <c r="O104" s="24"/>
      <c r="P104" s="28">
        <f t="shared" si="14"/>
        <v>-193.7604839</v>
      </c>
      <c r="Q104" s="27">
        <f t="shared" si="15"/>
        <v>419.0427753</v>
      </c>
      <c r="R104" s="26"/>
      <c r="S104" s="14">
        <f t="shared" si="13"/>
        <v>5.993163654</v>
      </c>
    </row>
    <row r="105">
      <c r="A105" s="11">
        <v>93.0</v>
      </c>
      <c r="B105" s="11">
        <v>1.4198E9</v>
      </c>
      <c r="C105" s="2">
        <v>-102.3021011</v>
      </c>
      <c r="D105" s="24">
        <f t="shared" si="1"/>
        <v>-600000</v>
      </c>
      <c r="E105" s="25">
        <f t="shared" si="2"/>
        <v>125.8065701</v>
      </c>
      <c r="F105" s="24">
        <f t="shared" si="3"/>
        <v>0.0002096776168</v>
      </c>
      <c r="G105" s="24">
        <f t="shared" si="4"/>
        <v>0</v>
      </c>
      <c r="H105" s="26">
        <f t="shared" si="5"/>
        <v>0</v>
      </c>
      <c r="I105" s="24">
        <f t="shared" si="6"/>
        <v>0</v>
      </c>
      <c r="J105" s="24">
        <f t="shared" si="7"/>
        <v>0</v>
      </c>
      <c r="K105" s="24"/>
      <c r="L105" s="24">
        <f t="shared" si="8"/>
        <v>447.6061628</v>
      </c>
      <c r="M105" s="31">
        <f t="shared" si="9"/>
        <v>453.6625276</v>
      </c>
      <c r="N105" s="27">
        <f t="shared" si="10"/>
        <v>-6.056364846</v>
      </c>
      <c r="O105" s="24"/>
      <c r="P105" s="28">
        <f t="shared" si="14"/>
        <v>-194.67878</v>
      </c>
      <c r="Q105" s="27">
        <f t="shared" si="15"/>
        <v>417.1822647</v>
      </c>
      <c r="R105" s="26"/>
      <c r="S105" s="14">
        <f t="shared" si="13"/>
        <v>-5.561536417</v>
      </c>
    </row>
    <row r="106">
      <c r="A106" s="11">
        <v>94.0</v>
      </c>
      <c r="B106" s="11">
        <v>1.41980434782608E9</v>
      </c>
      <c r="C106" s="2">
        <v>-102.2852707</v>
      </c>
      <c r="D106" s="24">
        <f t="shared" si="1"/>
        <v>-595652.1739</v>
      </c>
      <c r="E106" s="25">
        <f t="shared" si="2"/>
        <v>124.888274</v>
      </c>
      <c r="F106" s="24">
        <f t="shared" si="3"/>
        <v>0.0002096664454</v>
      </c>
      <c r="G106" s="24">
        <f t="shared" si="4"/>
        <v>0</v>
      </c>
      <c r="H106" s="26">
        <f t="shared" si="5"/>
        <v>0</v>
      </c>
      <c r="I106" s="24">
        <f t="shared" si="6"/>
        <v>0</v>
      </c>
      <c r="J106" s="24">
        <f t="shared" si="7"/>
        <v>0</v>
      </c>
      <c r="K106" s="24"/>
      <c r="L106" s="24">
        <f t="shared" si="8"/>
        <v>449.3441556</v>
      </c>
      <c r="M106" s="31">
        <f t="shared" si="9"/>
        <v>453.5089752</v>
      </c>
      <c r="N106" s="27">
        <f t="shared" si="10"/>
        <v>-4.16481962</v>
      </c>
      <c r="O106" s="24"/>
      <c r="P106" s="28">
        <f t="shared" si="14"/>
        <v>-195.5970761</v>
      </c>
      <c r="Q106" s="27">
        <f t="shared" si="15"/>
        <v>422.3314635</v>
      </c>
      <c r="R106" s="26"/>
      <c r="S106" s="14">
        <f t="shared" si="13"/>
        <v>-3.824537751</v>
      </c>
    </row>
    <row r="107">
      <c r="A107" s="11">
        <v>95.0</v>
      </c>
      <c r="B107" s="11">
        <v>1.41980869565217E9</v>
      </c>
      <c r="C107" s="2">
        <v>-102.2412949</v>
      </c>
      <c r="D107" s="24">
        <f t="shared" si="1"/>
        <v>-591304.3478</v>
      </c>
      <c r="E107" s="25">
        <f t="shared" si="2"/>
        <v>123.9699778</v>
      </c>
      <c r="F107" s="24">
        <f t="shared" si="3"/>
        <v>0.0002096551096</v>
      </c>
      <c r="G107" s="24">
        <f t="shared" si="4"/>
        <v>0</v>
      </c>
      <c r="H107" s="26">
        <f t="shared" si="5"/>
        <v>0</v>
      </c>
      <c r="I107" s="24">
        <f t="shared" si="6"/>
        <v>0</v>
      </c>
      <c r="J107" s="24">
        <f t="shared" si="7"/>
        <v>0</v>
      </c>
      <c r="K107" s="24"/>
      <c r="L107" s="24">
        <f t="shared" si="8"/>
        <v>453.9172396</v>
      </c>
      <c r="M107" s="31">
        <f t="shared" si="9"/>
        <v>453.3561388</v>
      </c>
      <c r="N107" s="27">
        <f t="shared" si="10"/>
        <v>0.5611007591</v>
      </c>
      <c r="O107" s="24"/>
      <c r="P107" s="28">
        <f t="shared" si="14"/>
        <v>-196.5153723</v>
      </c>
      <c r="Q107" s="27">
        <f t="shared" si="15"/>
        <v>422.3670763</v>
      </c>
      <c r="R107" s="26"/>
      <c r="S107" s="14">
        <f t="shared" si="13"/>
        <v>0.515256656</v>
      </c>
    </row>
    <row r="108">
      <c r="A108" s="11">
        <v>96.0</v>
      </c>
      <c r="B108" s="11">
        <v>1.41981304347826E9</v>
      </c>
      <c r="C108" s="2">
        <v>-102.2201538</v>
      </c>
      <c r="D108" s="24">
        <f t="shared" si="1"/>
        <v>-586956.5217</v>
      </c>
      <c r="E108" s="25">
        <f t="shared" si="2"/>
        <v>123.0516817</v>
      </c>
      <c r="F108" s="24">
        <f t="shared" si="3"/>
        <v>0.0002096436059</v>
      </c>
      <c r="G108" s="24">
        <f t="shared" si="4"/>
        <v>0</v>
      </c>
      <c r="H108" s="26">
        <f t="shared" si="5"/>
        <v>0</v>
      </c>
      <c r="I108" s="24">
        <f t="shared" si="6"/>
        <v>0</v>
      </c>
      <c r="J108" s="24">
        <f t="shared" si="7"/>
        <v>0</v>
      </c>
      <c r="K108" s="24"/>
      <c r="L108" s="24">
        <f t="shared" si="8"/>
        <v>456.1322585</v>
      </c>
      <c r="M108" s="31">
        <f t="shared" si="9"/>
        <v>453.2040152</v>
      </c>
      <c r="N108" s="27">
        <f t="shared" si="10"/>
        <v>2.928243221</v>
      </c>
      <c r="O108" s="24"/>
      <c r="P108" s="28">
        <f t="shared" si="14"/>
        <v>-197.4336684</v>
      </c>
      <c r="Q108" s="27">
        <f t="shared" si="15"/>
        <v>418.9021963</v>
      </c>
      <c r="R108" s="26"/>
      <c r="S108" s="14">
        <f t="shared" si="13"/>
        <v>2.688994426</v>
      </c>
    </row>
    <row r="109">
      <c r="A109" s="11">
        <v>97.0</v>
      </c>
      <c r="B109" s="11">
        <v>1.41981739130434E9</v>
      </c>
      <c r="C109" s="2">
        <v>-102.2405853</v>
      </c>
      <c r="D109" s="24">
        <f t="shared" si="1"/>
        <v>-582608.6957</v>
      </c>
      <c r="E109" s="25">
        <f t="shared" si="2"/>
        <v>122.1333856</v>
      </c>
      <c r="F109" s="24">
        <f t="shared" si="3"/>
        <v>0.0002096319305</v>
      </c>
      <c r="G109" s="24">
        <f t="shared" si="4"/>
        <v>0</v>
      </c>
      <c r="H109" s="26">
        <f t="shared" si="5"/>
        <v>0</v>
      </c>
      <c r="I109" s="24">
        <f t="shared" si="6"/>
        <v>0</v>
      </c>
      <c r="J109" s="24">
        <f t="shared" si="7"/>
        <v>0</v>
      </c>
      <c r="K109" s="24"/>
      <c r="L109" s="24">
        <f t="shared" si="8"/>
        <v>453.9914118</v>
      </c>
      <c r="M109" s="31">
        <f t="shared" si="9"/>
        <v>453.0526011</v>
      </c>
      <c r="N109" s="27">
        <f t="shared" si="10"/>
        <v>0.9388107044</v>
      </c>
      <c r="O109" s="24"/>
      <c r="P109" s="28">
        <f t="shared" si="14"/>
        <v>-198.3519645</v>
      </c>
      <c r="Q109" s="27">
        <f t="shared" si="15"/>
        <v>422.6535853</v>
      </c>
      <c r="R109" s="26"/>
      <c r="S109" s="14">
        <f t="shared" si="13"/>
        <v>0.8621062393</v>
      </c>
    </row>
    <row r="110">
      <c r="A110" s="11">
        <v>98.0</v>
      </c>
      <c r="B110" s="11">
        <v>1.41982173913043E9</v>
      </c>
      <c r="C110" s="2">
        <v>-102.296875</v>
      </c>
      <c r="D110" s="24">
        <f t="shared" si="1"/>
        <v>-578260.8696</v>
      </c>
      <c r="E110" s="25">
        <f t="shared" si="2"/>
        <v>121.2150894</v>
      </c>
      <c r="F110" s="24">
        <f t="shared" si="3"/>
        <v>0.0002096200795</v>
      </c>
      <c r="G110" s="24">
        <f t="shared" si="4"/>
        <v>0</v>
      </c>
      <c r="H110" s="26">
        <f t="shared" si="5"/>
        <v>0</v>
      </c>
      <c r="I110" s="24">
        <f t="shared" si="6"/>
        <v>0</v>
      </c>
      <c r="J110" s="24">
        <f t="shared" si="7"/>
        <v>0</v>
      </c>
      <c r="K110" s="24"/>
      <c r="L110" s="24">
        <f t="shared" si="8"/>
        <v>448.1451156</v>
      </c>
      <c r="M110" s="31">
        <f t="shared" si="9"/>
        <v>452.9018932</v>
      </c>
      <c r="N110" s="27">
        <f t="shared" si="10"/>
        <v>-4.756777602</v>
      </c>
      <c r="O110" s="24"/>
      <c r="P110" s="28">
        <f t="shared" si="14"/>
        <v>-199.2702607</v>
      </c>
      <c r="Q110" s="27">
        <f t="shared" si="15"/>
        <v>423.0249934</v>
      </c>
      <c r="R110" s="26"/>
      <c r="S110" s="14">
        <f t="shared" si="13"/>
        <v>-4.368130466</v>
      </c>
    </row>
    <row r="111">
      <c r="A111" s="11">
        <v>99.0</v>
      </c>
      <c r="B111" s="11">
        <v>1.41982608695652E9</v>
      </c>
      <c r="C111" s="2">
        <v>-102.2746887</v>
      </c>
      <c r="D111" s="24">
        <f t="shared" si="1"/>
        <v>-573913.0435</v>
      </c>
      <c r="E111" s="25">
        <f t="shared" si="2"/>
        <v>120.2967933</v>
      </c>
      <c r="F111" s="24">
        <f t="shared" si="3"/>
        <v>0.000209608049</v>
      </c>
      <c r="G111" s="24">
        <f t="shared" si="4"/>
        <v>0</v>
      </c>
      <c r="H111" s="26">
        <f t="shared" si="5"/>
        <v>0</v>
      </c>
      <c r="I111" s="24">
        <f t="shared" si="6"/>
        <v>0</v>
      </c>
      <c r="J111" s="24">
        <f t="shared" si="7"/>
        <v>0</v>
      </c>
      <c r="K111" s="24"/>
      <c r="L111" s="24">
        <f t="shared" si="8"/>
        <v>450.4403605</v>
      </c>
      <c r="M111" s="31">
        <f t="shared" si="9"/>
        <v>452.7518883</v>
      </c>
      <c r="N111" s="27">
        <f t="shared" si="10"/>
        <v>-2.311527767</v>
      </c>
      <c r="O111" s="24"/>
      <c r="P111" s="28">
        <f t="shared" si="14"/>
        <v>-200.1885568</v>
      </c>
      <c r="Q111" s="27">
        <f t="shared" si="15"/>
        <v>416.1172861</v>
      </c>
      <c r="R111" s="26"/>
      <c r="S111" s="14">
        <f t="shared" si="13"/>
        <v>-2.122667009</v>
      </c>
    </row>
    <row r="112">
      <c r="A112" s="11">
        <v>100.0</v>
      </c>
      <c r="B112" s="11">
        <v>1.4198304347826E9</v>
      </c>
      <c r="C112" s="2">
        <v>-102.3322601</v>
      </c>
      <c r="D112" s="24">
        <f t="shared" si="1"/>
        <v>-569565.2174</v>
      </c>
      <c r="E112" s="25">
        <f t="shared" si="2"/>
        <v>119.3784972</v>
      </c>
      <c r="F112" s="24">
        <f t="shared" si="3"/>
        <v>0.0002095958347</v>
      </c>
      <c r="G112" s="24">
        <f t="shared" si="4"/>
        <v>0</v>
      </c>
      <c r="H112" s="26">
        <f t="shared" si="5"/>
        <v>0</v>
      </c>
      <c r="I112" s="24">
        <f t="shared" si="6"/>
        <v>0</v>
      </c>
      <c r="J112" s="24">
        <f t="shared" si="7"/>
        <v>0</v>
      </c>
      <c r="K112" s="24"/>
      <c r="L112" s="24">
        <f t="shared" si="8"/>
        <v>444.5085894</v>
      </c>
      <c r="M112" s="31">
        <f t="shared" si="9"/>
        <v>452.6025829</v>
      </c>
      <c r="N112" s="27">
        <f t="shared" si="10"/>
        <v>-8.09399358</v>
      </c>
      <c r="O112" s="24"/>
      <c r="P112" s="28">
        <f t="shared" si="14"/>
        <v>-201.1068529</v>
      </c>
      <c r="Q112" s="27">
        <f t="shared" si="15"/>
        <v>422.8489022</v>
      </c>
      <c r="R112" s="26"/>
      <c r="S112" s="14">
        <f t="shared" si="13"/>
        <v>-7.432683003</v>
      </c>
      <c r="U112" s="21"/>
      <c r="V112" s="21"/>
    </row>
    <row r="113">
      <c r="A113" s="11">
        <v>101.0</v>
      </c>
      <c r="B113" s="11">
        <v>1.41983478260869E9</v>
      </c>
      <c r="C113" s="2">
        <v>-102.2158432</v>
      </c>
      <c r="D113" s="24">
        <f t="shared" si="1"/>
        <v>-565217.3913</v>
      </c>
      <c r="E113" s="25">
        <f t="shared" si="2"/>
        <v>118.460201</v>
      </c>
      <c r="F113" s="24">
        <f t="shared" si="3"/>
        <v>0.0002095834326</v>
      </c>
      <c r="G113" s="24">
        <f t="shared" si="4"/>
        <v>0</v>
      </c>
      <c r="H113" s="26">
        <f t="shared" si="5"/>
        <v>0</v>
      </c>
      <c r="I113" s="24">
        <f t="shared" si="6"/>
        <v>0</v>
      </c>
      <c r="J113" s="24">
        <f t="shared" si="7"/>
        <v>0</v>
      </c>
      <c r="K113" s="24"/>
      <c r="L113" s="24">
        <f t="shared" si="8"/>
        <v>456.5852183</v>
      </c>
      <c r="M113" s="31">
        <f t="shared" si="9"/>
        <v>452.453974</v>
      </c>
      <c r="N113" s="27">
        <f t="shared" si="10"/>
        <v>4.131244371</v>
      </c>
      <c r="O113" s="24"/>
      <c r="P113" s="28">
        <f t="shared" si="14"/>
        <v>-202.0251491</v>
      </c>
      <c r="Q113" s="27">
        <f t="shared" si="15"/>
        <v>417.824024</v>
      </c>
      <c r="R113" s="26"/>
      <c r="S113" s="14">
        <f t="shared" si="13"/>
        <v>3.793705729</v>
      </c>
      <c r="U113" s="21"/>
      <c r="V113" s="21"/>
    </row>
    <row r="114">
      <c r="A114" s="11">
        <v>102.0</v>
      </c>
      <c r="B114" s="11">
        <v>1.41983913043478E9</v>
      </c>
      <c r="C114" s="2">
        <v>-102.1901932</v>
      </c>
      <c r="D114" s="24">
        <f t="shared" si="1"/>
        <v>-560869.5652</v>
      </c>
      <c r="E114" s="25">
        <f t="shared" si="2"/>
        <v>117.5419049</v>
      </c>
      <c r="F114" s="24">
        <f t="shared" si="3"/>
        <v>0.0002095708382</v>
      </c>
      <c r="G114" s="24">
        <f t="shared" si="4"/>
        <v>0</v>
      </c>
      <c r="H114" s="26">
        <f t="shared" si="5"/>
        <v>0</v>
      </c>
      <c r="I114" s="24">
        <f t="shared" si="6"/>
        <v>0</v>
      </c>
      <c r="J114" s="24">
        <f t="shared" si="7"/>
        <v>0</v>
      </c>
      <c r="K114" s="24"/>
      <c r="L114" s="24">
        <f t="shared" si="8"/>
        <v>459.2898494</v>
      </c>
      <c r="M114" s="31">
        <f t="shared" si="9"/>
        <v>452.3060581</v>
      </c>
      <c r="N114" s="27">
        <f t="shared" si="10"/>
        <v>6.983791347</v>
      </c>
      <c r="O114" s="24"/>
      <c r="P114" s="28">
        <f t="shared" si="14"/>
        <v>-202.9434452</v>
      </c>
      <c r="Q114" s="27">
        <f t="shared" si="15"/>
        <v>420.6957333</v>
      </c>
      <c r="R114" s="26"/>
      <c r="S114" s="14">
        <f t="shared" si="13"/>
        <v>6.413188572</v>
      </c>
      <c r="U114" s="21"/>
      <c r="V114" s="21"/>
    </row>
    <row r="115">
      <c r="A115" s="11">
        <v>103.0</v>
      </c>
      <c r="B115" s="11">
        <v>1.41984347826087E9</v>
      </c>
      <c r="C115" s="2">
        <v>-102.1970673</v>
      </c>
      <c r="D115" s="24">
        <f t="shared" si="1"/>
        <v>-556521.7391</v>
      </c>
      <c r="E115" s="25">
        <f t="shared" si="2"/>
        <v>116.6236088</v>
      </c>
      <c r="F115" s="24">
        <f t="shared" si="3"/>
        <v>0.000209558047</v>
      </c>
      <c r="G115" s="24">
        <f t="shared" si="4"/>
        <v>0</v>
      </c>
      <c r="H115" s="26">
        <f t="shared" si="5"/>
        <v>0</v>
      </c>
      <c r="I115" s="24">
        <f t="shared" si="6"/>
        <v>0</v>
      </c>
      <c r="J115" s="24">
        <f t="shared" si="7"/>
        <v>0</v>
      </c>
      <c r="K115" s="24"/>
      <c r="L115" s="24">
        <f t="shared" si="8"/>
        <v>458.5634513</v>
      </c>
      <c r="M115" s="31">
        <f t="shared" si="9"/>
        <v>452.158832</v>
      </c>
      <c r="N115" s="27">
        <f t="shared" si="10"/>
        <v>6.404619292</v>
      </c>
      <c r="O115" s="24"/>
      <c r="P115" s="28">
        <f t="shared" si="14"/>
        <v>-203.8617413</v>
      </c>
      <c r="Q115" s="27">
        <f t="shared" si="15"/>
        <v>419.1937099</v>
      </c>
      <c r="R115" s="26"/>
      <c r="S115" s="14">
        <f t="shared" si="13"/>
        <v>5.881337128</v>
      </c>
      <c r="U115" s="21"/>
      <c r="V115" s="21"/>
    </row>
    <row r="116">
      <c r="A116" s="11">
        <v>104.0</v>
      </c>
      <c r="B116" s="11">
        <v>1.41984782608695E9</v>
      </c>
      <c r="C116" s="2">
        <v>-102.1294327</v>
      </c>
      <c r="D116" s="24">
        <f t="shared" si="1"/>
        <v>-552173.913</v>
      </c>
      <c r="E116" s="25">
        <f t="shared" si="2"/>
        <v>115.7053126</v>
      </c>
      <c r="F116" s="24">
        <f t="shared" si="3"/>
        <v>0.0002095450544</v>
      </c>
      <c r="G116" s="24">
        <f t="shared" si="4"/>
        <v>0</v>
      </c>
      <c r="H116" s="26">
        <f t="shared" si="5"/>
        <v>0</v>
      </c>
      <c r="I116" s="24">
        <f t="shared" si="6"/>
        <v>0</v>
      </c>
      <c r="J116" s="24">
        <f t="shared" si="7"/>
        <v>0</v>
      </c>
      <c r="K116" s="24"/>
      <c r="L116" s="24">
        <f t="shared" si="8"/>
        <v>465.7607607</v>
      </c>
      <c r="M116" s="31">
        <f t="shared" si="9"/>
        <v>452.0122924</v>
      </c>
      <c r="N116" s="27">
        <f t="shared" si="10"/>
        <v>13.74846823</v>
      </c>
      <c r="O116" s="24"/>
      <c r="P116" s="28">
        <f t="shared" si="14"/>
        <v>-204.7800375</v>
      </c>
      <c r="Q116" s="27">
        <f t="shared" si="15"/>
        <v>418.8433238</v>
      </c>
      <c r="R116" s="26"/>
      <c r="S116" s="14">
        <f t="shared" si="13"/>
        <v>12.6251652</v>
      </c>
      <c r="U116" s="21"/>
      <c r="V116" s="21"/>
    </row>
    <row r="117">
      <c r="A117" s="11">
        <v>105.0</v>
      </c>
      <c r="B117" s="11">
        <v>1.41985217391304E9</v>
      </c>
      <c r="C117" s="2">
        <v>-102.2746658</v>
      </c>
      <c r="D117" s="24">
        <f t="shared" si="1"/>
        <v>-547826.087</v>
      </c>
      <c r="E117" s="25">
        <f t="shared" si="2"/>
        <v>114.7870165</v>
      </c>
      <c r="F117" s="24">
        <f t="shared" si="3"/>
        <v>0.0002095318555</v>
      </c>
      <c r="G117" s="24">
        <f t="shared" si="4"/>
        <v>0</v>
      </c>
      <c r="H117" s="26">
        <f t="shared" si="5"/>
        <v>0</v>
      </c>
      <c r="I117" s="24">
        <f t="shared" si="6"/>
        <v>0</v>
      </c>
      <c r="J117" s="24">
        <f t="shared" si="7"/>
        <v>0</v>
      </c>
      <c r="K117" s="24"/>
      <c r="L117" s="24">
        <f t="shared" si="8"/>
        <v>450.4427356</v>
      </c>
      <c r="M117" s="31">
        <f t="shared" si="9"/>
        <v>451.8664361</v>
      </c>
      <c r="N117" s="27">
        <f t="shared" si="10"/>
        <v>-1.423700477</v>
      </c>
      <c r="O117" s="24"/>
      <c r="P117" s="28">
        <f t="shared" si="14"/>
        <v>-205.6983336</v>
      </c>
      <c r="Q117" s="27">
        <f t="shared" si="15"/>
        <v>418.3146239</v>
      </c>
      <c r="R117" s="26"/>
      <c r="S117" s="14">
        <f t="shared" si="13"/>
        <v>-1.30737864</v>
      </c>
      <c r="U117" s="21"/>
      <c r="V117" s="21"/>
    </row>
    <row r="118">
      <c r="A118" s="11">
        <v>106.0</v>
      </c>
      <c r="B118" s="11">
        <v>1.41985652173913E9</v>
      </c>
      <c r="C118" s="2">
        <v>-102.2234039</v>
      </c>
      <c r="D118" s="24">
        <f t="shared" si="1"/>
        <v>-543478.2609</v>
      </c>
      <c r="E118" s="25">
        <f t="shared" si="2"/>
        <v>113.8687204</v>
      </c>
      <c r="F118" s="24">
        <f t="shared" si="3"/>
        <v>0.0002095184455</v>
      </c>
      <c r="G118" s="24">
        <f t="shared" si="4"/>
        <v>0</v>
      </c>
      <c r="H118" s="26">
        <f t="shared" si="5"/>
        <v>0</v>
      </c>
      <c r="I118" s="24">
        <f t="shared" si="6"/>
        <v>0</v>
      </c>
      <c r="J118" s="24">
        <f t="shared" si="7"/>
        <v>0</v>
      </c>
      <c r="K118" s="24"/>
      <c r="L118" s="24">
        <f t="shared" si="8"/>
        <v>455.7910336</v>
      </c>
      <c r="M118" s="31">
        <f t="shared" si="9"/>
        <v>451.7212597</v>
      </c>
      <c r="N118" s="27">
        <f t="shared" si="10"/>
        <v>4.069773819</v>
      </c>
      <c r="O118" s="24"/>
      <c r="P118" s="28">
        <f t="shared" si="14"/>
        <v>-206.6166297</v>
      </c>
      <c r="Q118" s="27">
        <f t="shared" si="15"/>
        <v>419.7006747</v>
      </c>
      <c r="R118" s="26"/>
      <c r="S118" s="14">
        <f t="shared" si="13"/>
        <v>3.737257559</v>
      </c>
      <c r="U118" s="21"/>
      <c r="V118" s="21"/>
    </row>
    <row r="119">
      <c r="A119" s="11">
        <v>107.0</v>
      </c>
      <c r="B119" s="11">
        <v>1.41986086956521E9</v>
      </c>
      <c r="C119" s="2">
        <v>-102.3291626</v>
      </c>
      <c r="D119" s="24">
        <f t="shared" si="1"/>
        <v>-539130.4348</v>
      </c>
      <c r="E119" s="25">
        <f t="shared" si="2"/>
        <v>112.9504243</v>
      </c>
      <c r="F119" s="24">
        <f t="shared" si="3"/>
        <v>0.0002095048192</v>
      </c>
      <c r="G119" s="24">
        <f t="shared" si="4"/>
        <v>0</v>
      </c>
      <c r="H119" s="26">
        <f t="shared" si="5"/>
        <v>0</v>
      </c>
      <c r="I119" s="24">
        <f t="shared" si="6"/>
        <v>0</v>
      </c>
      <c r="J119" s="24">
        <f t="shared" si="7"/>
        <v>0</v>
      </c>
      <c r="K119" s="24"/>
      <c r="L119" s="24">
        <f t="shared" si="8"/>
        <v>444.8257374</v>
      </c>
      <c r="M119" s="31">
        <f t="shared" si="9"/>
        <v>451.57676</v>
      </c>
      <c r="N119" s="27">
        <f t="shared" si="10"/>
        <v>-6.751022633</v>
      </c>
      <c r="O119" s="24"/>
      <c r="P119" s="28">
        <f t="shared" si="14"/>
        <v>-207.5349259</v>
      </c>
      <c r="Q119" s="27">
        <f t="shared" si="15"/>
        <v>415.9141131</v>
      </c>
      <c r="R119" s="26"/>
      <c r="S119" s="14">
        <f t="shared" si="13"/>
        <v>-6.199437976</v>
      </c>
      <c r="U119" s="21"/>
      <c r="V119" s="21"/>
    </row>
    <row r="120">
      <c r="A120" s="11">
        <v>108.0</v>
      </c>
      <c r="B120" s="11">
        <v>1.4198652173913E9</v>
      </c>
      <c r="C120" s="2">
        <v>-102.2722931</v>
      </c>
      <c r="D120" s="24">
        <f t="shared" si="1"/>
        <v>-534782.6087</v>
      </c>
      <c r="E120" s="25">
        <f t="shared" si="2"/>
        <v>112.0321281</v>
      </c>
      <c r="F120" s="24">
        <f t="shared" si="3"/>
        <v>0.0002094909713</v>
      </c>
      <c r="G120" s="24">
        <f t="shared" si="4"/>
        <v>0</v>
      </c>
      <c r="H120" s="26">
        <f t="shared" si="5"/>
        <v>0</v>
      </c>
      <c r="I120" s="24">
        <f t="shared" si="6"/>
        <v>0</v>
      </c>
      <c r="J120" s="24">
        <f t="shared" si="7"/>
        <v>0</v>
      </c>
      <c r="K120" s="24"/>
      <c r="L120" s="24">
        <f t="shared" si="8"/>
        <v>450.6888952</v>
      </c>
      <c r="M120" s="31">
        <f t="shared" si="9"/>
        <v>451.4329337</v>
      </c>
      <c r="N120" s="27">
        <f t="shared" si="10"/>
        <v>-0.7440385089</v>
      </c>
      <c r="O120" s="24"/>
      <c r="P120" s="28">
        <f t="shared" si="14"/>
        <v>-208.453222</v>
      </c>
      <c r="Q120" s="27">
        <f t="shared" si="15"/>
        <v>423.3059933</v>
      </c>
      <c r="R120" s="26"/>
      <c r="S120" s="14">
        <f t="shared" si="13"/>
        <v>-0.6832476838</v>
      </c>
      <c r="U120" s="21"/>
      <c r="V120" s="21"/>
    </row>
    <row r="121">
      <c r="A121" s="11">
        <v>109.0</v>
      </c>
      <c r="B121" s="11">
        <v>1.41986956521739E9</v>
      </c>
      <c r="C121" s="2">
        <v>-102.2609253</v>
      </c>
      <c r="D121" s="24">
        <f t="shared" si="1"/>
        <v>-530434.7826</v>
      </c>
      <c r="E121" s="25">
        <f t="shared" si="2"/>
        <v>111.113832</v>
      </c>
      <c r="F121" s="24">
        <f t="shared" si="3"/>
        <v>0.0002094768964</v>
      </c>
      <c r="G121" s="24">
        <f t="shared" si="4"/>
        <v>0</v>
      </c>
      <c r="H121" s="26">
        <f t="shared" si="5"/>
        <v>0</v>
      </c>
      <c r="I121" s="24">
        <f t="shared" si="6"/>
        <v>0</v>
      </c>
      <c r="J121" s="24">
        <f t="shared" si="7"/>
        <v>0</v>
      </c>
      <c r="K121" s="24"/>
      <c r="L121" s="24">
        <f t="shared" si="8"/>
        <v>451.8701334</v>
      </c>
      <c r="M121" s="31">
        <f t="shared" si="9"/>
        <v>451.2897775</v>
      </c>
      <c r="N121" s="27">
        <f t="shared" si="10"/>
        <v>0.5803558945</v>
      </c>
      <c r="O121" s="24"/>
      <c r="P121" s="28">
        <f t="shared" si="14"/>
        <v>-209.3715181</v>
      </c>
      <c r="Q121" s="27">
        <f t="shared" si="15"/>
        <v>413.1984249</v>
      </c>
      <c r="R121" s="26"/>
      <c r="S121" s="14">
        <f t="shared" si="13"/>
        <v>0.5329385735</v>
      </c>
      <c r="U121" s="21"/>
      <c r="V121" s="21"/>
    </row>
    <row r="122">
      <c r="A122" s="11">
        <v>110.0</v>
      </c>
      <c r="B122" s="11">
        <v>1.41987391304347E9</v>
      </c>
      <c r="C122" s="2">
        <v>-102.280899</v>
      </c>
      <c r="D122" s="24">
        <f t="shared" si="1"/>
        <v>-526086.9565</v>
      </c>
      <c r="E122" s="25">
        <f t="shared" si="2"/>
        <v>110.1955359</v>
      </c>
      <c r="F122" s="24">
        <f t="shared" si="3"/>
        <v>0.0002094625888</v>
      </c>
      <c r="G122" s="24">
        <f t="shared" si="4"/>
        <v>0</v>
      </c>
      <c r="H122" s="26">
        <f t="shared" si="5"/>
        <v>0</v>
      </c>
      <c r="I122" s="24">
        <f t="shared" si="6"/>
        <v>0</v>
      </c>
      <c r="J122" s="24">
        <f t="shared" si="7"/>
        <v>0</v>
      </c>
      <c r="K122" s="24"/>
      <c r="L122" s="24">
        <f t="shared" si="8"/>
        <v>449.7967026</v>
      </c>
      <c r="M122" s="31">
        <f t="shared" si="9"/>
        <v>451.1472882</v>
      </c>
      <c r="N122" s="27">
        <f t="shared" si="10"/>
        <v>-1.350585537</v>
      </c>
      <c r="O122" s="24"/>
      <c r="P122" s="28">
        <f t="shared" si="14"/>
        <v>-210.2898143</v>
      </c>
      <c r="Q122" s="27">
        <f t="shared" si="15"/>
        <v>411.8627902</v>
      </c>
      <c r="R122" s="26"/>
      <c r="S122" s="14">
        <f t="shared" si="13"/>
        <v>-1.240237476</v>
      </c>
      <c r="U122" s="21"/>
      <c r="V122" s="21"/>
    </row>
    <row r="123">
      <c r="A123" s="11">
        <v>111.0</v>
      </c>
      <c r="B123" s="11">
        <v>1.41987826086956E9</v>
      </c>
      <c r="C123" s="2">
        <v>-102.2208633</v>
      </c>
      <c r="D123" s="24">
        <f t="shared" si="1"/>
        <v>-521739.1304</v>
      </c>
      <c r="E123" s="25">
        <f t="shared" si="2"/>
        <v>109.2772397</v>
      </c>
      <c r="F123" s="24">
        <f t="shared" si="3"/>
        <v>0.0002094480428</v>
      </c>
      <c r="G123" s="24">
        <f t="shared" si="4"/>
        <v>0</v>
      </c>
      <c r="H123" s="26">
        <f t="shared" si="5"/>
        <v>0</v>
      </c>
      <c r="I123" s="24">
        <f t="shared" si="6"/>
        <v>0</v>
      </c>
      <c r="J123" s="24">
        <f t="shared" si="7"/>
        <v>0</v>
      </c>
      <c r="K123" s="24"/>
      <c r="L123" s="24">
        <f t="shared" si="8"/>
        <v>456.0577469</v>
      </c>
      <c r="M123" s="31">
        <f t="shared" si="9"/>
        <v>451.0054623</v>
      </c>
      <c r="N123" s="27">
        <f t="shared" si="10"/>
        <v>5.052284606</v>
      </c>
      <c r="O123" s="24"/>
      <c r="P123" s="28">
        <f t="shared" si="14"/>
        <v>-211.2081104</v>
      </c>
      <c r="Q123" s="27">
        <f t="shared" si="15"/>
        <v>421.5050259</v>
      </c>
      <c r="R123" s="26"/>
      <c r="S123" s="14">
        <f t="shared" si="13"/>
        <v>4.639493405</v>
      </c>
      <c r="U123" s="21"/>
      <c r="V123" s="21"/>
    </row>
    <row r="124">
      <c r="A124" s="11">
        <v>112.0</v>
      </c>
      <c r="B124" s="11">
        <v>1.41988260869565E9</v>
      </c>
      <c r="C124" s="2">
        <v>-102.2094498</v>
      </c>
      <c r="D124" s="24">
        <f t="shared" si="1"/>
        <v>-517391.3043</v>
      </c>
      <c r="E124" s="25">
        <f t="shared" si="2"/>
        <v>108.3589436</v>
      </c>
      <c r="F124" s="24">
        <f t="shared" si="3"/>
        <v>0.0002094332523</v>
      </c>
      <c r="G124" s="24">
        <f t="shared" si="4"/>
        <v>0</v>
      </c>
      <c r="H124" s="26">
        <f t="shared" si="5"/>
        <v>0</v>
      </c>
      <c r="I124" s="24">
        <f t="shared" si="6"/>
        <v>0</v>
      </c>
      <c r="J124" s="24">
        <f t="shared" si="7"/>
        <v>0</v>
      </c>
      <c r="K124" s="24"/>
      <c r="L124" s="24">
        <f t="shared" si="8"/>
        <v>457.2578683</v>
      </c>
      <c r="M124" s="31">
        <f t="shared" si="9"/>
        <v>450.8642968</v>
      </c>
      <c r="N124" s="27">
        <f t="shared" si="10"/>
        <v>6.393571538</v>
      </c>
      <c r="O124" s="24"/>
      <c r="P124" s="28"/>
      <c r="Q124" s="27"/>
      <c r="R124" s="26"/>
      <c r="S124" s="14">
        <f t="shared" si="13"/>
        <v>5.871192018</v>
      </c>
      <c r="U124" s="21"/>
      <c r="V124" s="21"/>
    </row>
    <row r="125">
      <c r="A125" s="11">
        <v>113.0</v>
      </c>
      <c r="B125" s="11">
        <v>1.41988695652173E9</v>
      </c>
      <c r="C125" s="2">
        <v>-102.2055206</v>
      </c>
      <c r="D125" s="24">
        <f t="shared" si="1"/>
        <v>-513043.4783</v>
      </c>
      <c r="E125" s="25">
        <f t="shared" si="2"/>
        <v>107.4406475</v>
      </c>
      <c r="F125" s="24">
        <f t="shared" si="3"/>
        <v>0.0002094182111</v>
      </c>
      <c r="G125" s="24">
        <f t="shared" si="4"/>
        <v>0</v>
      </c>
      <c r="H125" s="26">
        <f t="shared" si="5"/>
        <v>0</v>
      </c>
      <c r="I125" s="24">
        <f t="shared" si="6"/>
        <v>0</v>
      </c>
      <c r="J125" s="24">
        <f t="shared" si="7"/>
        <v>0</v>
      </c>
      <c r="K125" s="24"/>
      <c r="L125" s="24">
        <f t="shared" si="8"/>
        <v>457.6717512</v>
      </c>
      <c r="M125" s="31">
        <f t="shared" si="9"/>
        <v>450.7237882</v>
      </c>
      <c r="N125" s="27">
        <f t="shared" si="10"/>
        <v>6.947963019</v>
      </c>
      <c r="O125" s="24"/>
      <c r="P125" s="24"/>
      <c r="Q125" s="24"/>
      <c r="R125" s="26"/>
      <c r="S125" s="14">
        <f t="shared" si="13"/>
        <v>6.380287571</v>
      </c>
      <c r="U125" s="21"/>
      <c r="V125" s="21"/>
    </row>
    <row r="126">
      <c r="A126" s="11">
        <v>114.0</v>
      </c>
      <c r="B126" s="11">
        <v>1.41989130434782E9</v>
      </c>
      <c r="C126" s="2">
        <v>-102.2584305</v>
      </c>
      <c r="D126" s="24">
        <f t="shared" si="1"/>
        <v>-508695.6522</v>
      </c>
      <c r="E126" s="25">
        <f t="shared" si="2"/>
        <v>106.5223513</v>
      </c>
      <c r="F126" s="24">
        <f t="shared" si="3"/>
        <v>0.0002094029129</v>
      </c>
      <c r="G126" s="24">
        <f t="shared" si="4"/>
        <v>0</v>
      </c>
      <c r="H126" s="26">
        <f t="shared" si="5"/>
        <v>0</v>
      </c>
      <c r="I126" s="24">
        <f t="shared" si="6"/>
        <v>0</v>
      </c>
      <c r="J126" s="24">
        <f t="shared" si="7"/>
        <v>0</v>
      </c>
      <c r="K126" s="24"/>
      <c r="L126" s="24">
        <f t="shared" si="8"/>
        <v>452.1297843</v>
      </c>
      <c r="M126" s="31">
        <f t="shared" si="9"/>
        <v>450.5839333</v>
      </c>
      <c r="N126" s="27">
        <f t="shared" si="10"/>
        <v>1.545850995</v>
      </c>
      <c r="O126" s="24"/>
      <c r="P126" s="24"/>
      <c r="Q126" s="24"/>
      <c r="R126" s="26"/>
      <c r="S126" s="14">
        <f t="shared" si="13"/>
        <v>1.419548991</v>
      </c>
      <c r="U126" s="21"/>
      <c r="V126" s="21"/>
    </row>
    <row r="127">
      <c r="A127" s="11">
        <v>115.0</v>
      </c>
      <c r="B127" s="11">
        <v>1.41989565217391E9</v>
      </c>
      <c r="C127" s="2">
        <v>-102.2473373</v>
      </c>
      <c r="D127" s="24">
        <f t="shared" si="1"/>
        <v>-504347.8261</v>
      </c>
      <c r="E127" s="25">
        <f t="shared" si="2"/>
        <v>105.6040552</v>
      </c>
      <c r="F127" s="24">
        <f t="shared" si="3"/>
        <v>0.0002093873508</v>
      </c>
      <c r="G127" s="24">
        <f t="shared" si="4"/>
        <v>0</v>
      </c>
      <c r="H127" s="26">
        <f t="shared" si="5"/>
        <v>0</v>
      </c>
      <c r="I127" s="24">
        <f t="shared" si="6"/>
        <v>0</v>
      </c>
      <c r="J127" s="24">
        <f t="shared" si="7"/>
        <v>0</v>
      </c>
      <c r="K127" s="24"/>
      <c r="L127" s="24">
        <f t="shared" si="8"/>
        <v>453.2861373</v>
      </c>
      <c r="M127" s="31">
        <f t="shared" si="9"/>
        <v>450.4447289</v>
      </c>
      <c r="N127" s="27">
        <f t="shared" si="10"/>
        <v>2.841408441</v>
      </c>
      <c r="O127" s="24"/>
      <c r="P127" s="24"/>
      <c r="Q127" s="24"/>
      <c r="R127" s="26"/>
      <c r="S127" s="14">
        <f t="shared" si="13"/>
        <v>2.609254377</v>
      </c>
      <c r="U127" s="21"/>
      <c r="V127" s="21"/>
    </row>
    <row r="128">
      <c r="A128" s="11">
        <v>116.0</v>
      </c>
      <c r="B128" s="11">
        <v>1.4199E9</v>
      </c>
      <c r="C128" s="2">
        <v>-102.2749252</v>
      </c>
      <c r="D128" s="24">
        <f t="shared" si="1"/>
        <v>-500000</v>
      </c>
      <c r="E128" s="25">
        <f t="shared" si="2"/>
        <v>104.6857591</v>
      </c>
      <c r="F128" s="24">
        <f t="shared" si="3"/>
        <v>0.0002093715181</v>
      </c>
      <c r="G128" s="24">
        <f t="shared" si="4"/>
        <v>0</v>
      </c>
      <c r="H128" s="26">
        <f t="shared" si="5"/>
        <v>0</v>
      </c>
      <c r="I128" s="24">
        <f t="shared" si="6"/>
        <v>0</v>
      </c>
      <c r="J128" s="24">
        <f t="shared" si="7"/>
        <v>0</v>
      </c>
      <c r="K128" s="24"/>
      <c r="L128" s="24">
        <f t="shared" si="8"/>
        <v>450.4158319</v>
      </c>
      <c r="M128" s="31">
        <f t="shared" si="9"/>
        <v>450.3061715</v>
      </c>
      <c r="N128" s="27">
        <f t="shared" si="10"/>
        <v>0.1096603835</v>
      </c>
      <c r="O128" s="24"/>
      <c r="P128" s="24"/>
      <c r="Q128" s="24"/>
      <c r="R128" s="26"/>
      <c r="S128" s="14">
        <f t="shared" si="13"/>
        <v>0.100700706</v>
      </c>
      <c r="U128" s="21"/>
      <c r="V128" s="21"/>
    </row>
    <row r="129">
      <c r="A129" s="11">
        <v>117.0</v>
      </c>
      <c r="B129" s="11">
        <v>1.41990434782608E9</v>
      </c>
      <c r="C129" s="2">
        <v>-102.222496</v>
      </c>
      <c r="D129" s="24">
        <f t="shared" si="1"/>
        <v>-495652.1739</v>
      </c>
      <c r="E129" s="25">
        <f t="shared" si="2"/>
        <v>103.7674629</v>
      </c>
      <c r="F129" s="24">
        <f t="shared" si="3"/>
        <v>0.0002093554077</v>
      </c>
      <c r="G129" s="24">
        <f t="shared" si="4"/>
        <v>0</v>
      </c>
      <c r="H129" s="26">
        <f t="shared" si="5"/>
        <v>0</v>
      </c>
      <c r="I129" s="24">
        <f t="shared" si="6"/>
        <v>0</v>
      </c>
      <c r="J129" s="24">
        <f t="shared" si="7"/>
        <v>0</v>
      </c>
      <c r="K129" s="24"/>
      <c r="L129" s="24">
        <f t="shared" si="8"/>
        <v>455.8863274</v>
      </c>
      <c r="M129" s="31">
        <f t="shared" si="9"/>
        <v>450.1682581</v>
      </c>
      <c r="N129" s="27">
        <f t="shared" si="10"/>
        <v>5.718069336</v>
      </c>
      <c r="O129" s="24"/>
      <c r="P129" s="24"/>
      <c r="Q129" s="24"/>
      <c r="R129" s="26"/>
      <c r="S129" s="14">
        <f t="shared" si="13"/>
        <v>5.250880958</v>
      </c>
      <c r="U129" s="21"/>
      <c r="V129" s="21"/>
    </row>
    <row r="130">
      <c r="A130" s="11">
        <v>118.0</v>
      </c>
      <c r="B130" s="11">
        <v>1.41990869565217E9</v>
      </c>
      <c r="C130" s="2">
        <v>-102.2412567</v>
      </c>
      <c r="D130" s="24">
        <f t="shared" si="1"/>
        <v>-491304.3478</v>
      </c>
      <c r="E130" s="25">
        <f t="shared" si="2"/>
        <v>102.8491668</v>
      </c>
      <c r="F130" s="24">
        <f t="shared" si="3"/>
        <v>0.0002093390121</v>
      </c>
      <c r="G130" s="24">
        <f t="shared" si="4"/>
        <v>0</v>
      </c>
      <c r="H130" s="26">
        <f t="shared" si="5"/>
        <v>0</v>
      </c>
      <c r="I130" s="24">
        <f t="shared" si="6"/>
        <v>0</v>
      </c>
      <c r="J130" s="24">
        <f t="shared" si="7"/>
        <v>0</v>
      </c>
      <c r="K130" s="24"/>
      <c r="L130" s="24">
        <f t="shared" si="8"/>
        <v>453.9212322</v>
      </c>
      <c r="M130" s="31">
        <f t="shared" si="9"/>
        <v>450.0309852</v>
      </c>
      <c r="N130" s="27">
        <f t="shared" si="10"/>
        <v>3.890247011</v>
      </c>
      <c r="O130" s="24"/>
      <c r="P130" s="24"/>
      <c r="Q130" s="24"/>
      <c r="R130" s="26"/>
      <c r="S130" s="14">
        <f t="shared" si="13"/>
        <v>3.572398777</v>
      </c>
      <c r="U130" s="21"/>
      <c r="V130" s="21"/>
    </row>
    <row r="131">
      <c r="A131" s="11">
        <v>119.0</v>
      </c>
      <c r="B131" s="11">
        <v>1.41991304347826E9</v>
      </c>
      <c r="C131" s="2">
        <v>-102.2885056</v>
      </c>
      <c r="D131" s="24">
        <f t="shared" si="1"/>
        <v>-486956.5217</v>
      </c>
      <c r="E131" s="25">
        <f t="shared" si="2"/>
        <v>101.9308707</v>
      </c>
      <c r="F131" s="24">
        <f t="shared" si="3"/>
        <v>0.0002093223237</v>
      </c>
      <c r="G131" s="24">
        <f t="shared" si="4"/>
        <v>0</v>
      </c>
      <c r="H131" s="26">
        <f t="shared" si="5"/>
        <v>0</v>
      </c>
      <c r="I131" s="24">
        <f t="shared" si="6"/>
        <v>0</v>
      </c>
      <c r="J131" s="24">
        <f t="shared" si="7"/>
        <v>0</v>
      </c>
      <c r="K131" s="24"/>
      <c r="L131" s="24">
        <f t="shared" si="8"/>
        <v>449.0095802</v>
      </c>
      <c r="M131" s="31">
        <f t="shared" si="9"/>
        <v>449.8943496</v>
      </c>
      <c r="N131" s="27">
        <f t="shared" si="10"/>
        <v>-0.884769356</v>
      </c>
      <c r="O131" s="24"/>
      <c r="P131" s="24"/>
      <c r="Q131" s="24"/>
      <c r="R131" s="26"/>
      <c r="S131" s="14">
        <f t="shared" si="13"/>
        <v>-0.812480278</v>
      </c>
      <c r="U131" s="21"/>
      <c r="V131" s="21"/>
    </row>
    <row r="132">
      <c r="A132" s="11">
        <v>120.0</v>
      </c>
      <c r="B132" s="11">
        <v>1.41991739130434E9</v>
      </c>
      <c r="C132" s="2">
        <v>-102.2582092</v>
      </c>
      <c r="D132" s="24">
        <f t="shared" si="1"/>
        <v>-482608.6957</v>
      </c>
      <c r="E132" s="25">
        <f t="shared" si="2"/>
        <v>101.0125745</v>
      </c>
      <c r="F132" s="24">
        <f t="shared" si="3"/>
        <v>0.0002093053346</v>
      </c>
      <c r="G132" s="24">
        <f t="shared" si="4"/>
        <v>0</v>
      </c>
      <c r="H132" s="26">
        <f t="shared" si="5"/>
        <v>0</v>
      </c>
      <c r="I132" s="24">
        <f t="shared" si="6"/>
        <v>0</v>
      </c>
      <c r="J132" s="24">
        <f t="shared" si="7"/>
        <v>0</v>
      </c>
      <c r="K132" s="24"/>
      <c r="L132" s="24">
        <f t="shared" si="8"/>
        <v>452.1528237</v>
      </c>
      <c r="M132" s="31">
        <f t="shared" si="9"/>
        <v>449.758348</v>
      </c>
      <c r="N132" s="27">
        <f t="shared" si="10"/>
        <v>2.394475702</v>
      </c>
      <c r="O132" s="24"/>
      <c r="P132" s="24"/>
      <c r="Q132" s="24"/>
      <c r="R132" s="26"/>
      <c r="S132" s="14">
        <f t="shared" si="13"/>
        <v>2.198837777</v>
      </c>
      <c r="U132" s="21"/>
      <c r="V132" s="21"/>
    </row>
    <row r="133">
      <c r="A133" s="11">
        <v>121.0</v>
      </c>
      <c r="B133" s="11">
        <v>1.41992173913043E9</v>
      </c>
      <c r="C133" s="2">
        <v>-102.2580109</v>
      </c>
      <c r="D133" s="24">
        <f t="shared" si="1"/>
        <v>-478260.8696</v>
      </c>
      <c r="E133" s="25">
        <f t="shared" si="2"/>
        <v>100.0942784</v>
      </c>
      <c r="F133" s="24">
        <f t="shared" si="3"/>
        <v>0.0002092880367</v>
      </c>
      <c r="G133" s="24">
        <f t="shared" si="4"/>
        <v>0</v>
      </c>
      <c r="H133" s="26">
        <f t="shared" si="5"/>
        <v>0</v>
      </c>
      <c r="I133" s="24">
        <f t="shared" si="6"/>
        <v>0</v>
      </c>
      <c r="J133" s="24">
        <f t="shared" si="7"/>
        <v>0</v>
      </c>
      <c r="K133" s="24"/>
      <c r="L133" s="24">
        <f t="shared" si="8"/>
        <v>452.1734696</v>
      </c>
      <c r="M133" s="31">
        <f t="shared" si="9"/>
        <v>449.6229772</v>
      </c>
      <c r="N133" s="27">
        <f t="shared" si="10"/>
        <v>2.550492441</v>
      </c>
      <c r="O133" s="24"/>
      <c r="P133" s="24"/>
      <c r="Q133" s="24"/>
      <c r="R133" s="26"/>
      <c r="S133" s="14">
        <f t="shared" si="13"/>
        <v>2.34210734</v>
      </c>
      <c r="U133" s="21"/>
      <c r="V133" s="21"/>
    </row>
    <row r="134">
      <c r="A134" s="11">
        <v>122.0</v>
      </c>
      <c r="B134" s="11">
        <v>1.41992608695652E9</v>
      </c>
      <c r="C134" s="2">
        <v>-102.2084122</v>
      </c>
      <c r="D134" s="24">
        <f t="shared" si="1"/>
        <v>-473913.0435</v>
      </c>
      <c r="E134" s="25">
        <f t="shared" si="2"/>
        <v>99.17598227</v>
      </c>
      <c r="F134" s="24">
        <f t="shared" si="3"/>
        <v>0.0002092704213</v>
      </c>
      <c r="G134" s="24">
        <f t="shared" si="4"/>
        <v>0</v>
      </c>
      <c r="H134" s="26">
        <f t="shared" si="5"/>
        <v>0</v>
      </c>
      <c r="I134" s="24">
        <f t="shared" si="6"/>
        <v>0</v>
      </c>
      <c r="J134" s="24">
        <f t="shared" si="7"/>
        <v>0</v>
      </c>
      <c r="K134" s="24"/>
      <c r="L134" s="24">
        <f t="shared" si="8"/>
        <v>457.3671277</v>
      </c>
      <c r="M134" s="31">
        <f t="shared" si="9"/>
        <v>449.4882338</v>
      </c>
      <c r="N134" s="27">
        <f t="shared" si="10"/>
        <v>7.878893925</v>
      </c>
      <c r="O134" s="24"/>
      <c r="P134" s="24"/>
      <c r="Q134" s="24"/>
      <c r="R134" s="26"/>
      <c r="S134" s="14">
        <f t="shared" si="13"/>
        <v>7.235157822</v>
      </c>
      <c r="U134" s="21"/>
      <c r="V134" s="21"/>
    </row>
    <row r="135">
      <c r="A135" s="11">
        <v>123.0</v>
      </c>
      <c r="B135" s="11">
        <v>1.4199304347826E9</v>
      </c>
      <c r="C135" s="2">
        <v>-102.2237778</v>
      </c>
      <c r="D135" s="24">
        <f t="shared" si="1"/>
        <v>-469565.2174</v>
      </c>
      <c r="E135" s="25">
        <f t="shared" si="2"/>
        <v>98.25768614</v>
      </c>
      <c r="F135" s="24">
        <f t="shared" si="3"/>
        <v>0.0002092524797</v>
      </c>
      <c r="G135" s="24">
        <f t="shared" si="4"/>
        <v>0</v>
      </c>
      <c r="H135" s="26">
        <f t="shared" si="5"/>
        <v>0</v>
      </c>
      <c r="I135" s="24">
        <f t="shared" si="6"/>
        <v>0</v>
      </c>
      <c r="J135" s="24">
        <f t="shared" si="7"/>
        <v>0</v>
      </c>
      <c r="K135" s="24"/>
      <c r="L135" s="24">
        <f t="shared" si="8"/>
        <v>455.7517945</v>
      </c>
      <c r="M135" s="31">
        <f t="shared" si="9"/>
        <v>449.3541145</v>
      </c>
      <c r="N135" s="27">
        <f t="shared" si="10"/>
        <v>6.397680011</v>
      </c>
      <c r="O135" s="24"/>
      <c r="P135" s="24"/>
      <c r="Q135" s="24"/>
      <c r="R135" s="26"/>
      <c r="S135" s="14">
        <f t="shared" si="13"/>
        <v>5.874964813</v>
      </c>
      <c r="U135" s="21"/>
      <c r="V135" s="21"/>
    </row>
    <row r="136">
      <c r="A136" s="11">
        <v>124.0</v>
      </c>
      <c r="B136" s="11">
        <v>1.41993478260869E9</v>
      </c>
      <c r="C136" s="2">
        <v>-102.268898</v>
      </c>
      <c r="D136" s="24">
        <f t="shared" si="1"/>
        <v>-465217.3913</v>
      </c>
      <c r="E136" s="25">
        <f t="shared" si="2"/>
        <v>97.33939001</v>
      </c>
      <c r="F136" s="24">
        <f t="shared" si="3"/>
        <v>0.0002092342028</v>
      </c>
      <c r="G136" s="24">
        <f t="shared" si="4"/>
        <v>0</v>
      </c>
      <c r="H136" s="26">
        <f t="shared" si="5"/>
        <v>0</v>
      </c>
      <c r="I136" s="24">
        <f t="shared" si="6"/>
        <v>0</v>
      </c>
      <c r="J136" s="24">
        <f t="shared" si="7"/>
        <v>0</v>
      </c>
      <c r="K136" s="24"/>
      <c r="L136" s="24">
        <f t="shared" si="8"/>
        <v>451.0413593</v>
      </c>
      <c r="M136" s="31">
        <f t="shared" si="9"/>
        <v>449.2206162</v>
      </c>
      <c r="N136" s="27">
        <f t="shared" si="10"/>
        <v>1.820743145</v>
      </c>
      <c r="O136" s="24"/>
      <c r="P136" s="24"/>
      <c r="Q136" s="24"/>
      <c r="R136" s="26"/>
      <c r="S136" s="14">
        <f t="shared" si="13"/>
        <v>1.671981389</v>
      </c>
      <c r="U136" s="21"/>
      <c r="V136" s="21"/>
    </row>
    <row r="137">
      <c r="A137" s="11">
        <v>125.0</v>
      </c>
      <c r="B137" s="11">
        <v>1.41993913043478E9</v>
      </c>
      <c r="C137" s="2">
        <v>-102.162323</v>
      </c>
      <c r="D137" s="24">
        <f t="shared" si="1"/>
        <v>-460869.5652</v>
      </c>
      <c r="E137" s="25">
        <f t="shared" si="2"/>
        <v>96.42109387</v>
      </c>
      <c r="F137" s="24">
        <f t="shared" si="3"/>
        <v>0.000209215581</v>
      </c>
      <c r="G137" s="24">
        <f t="shared" si="4"/>
        <v>0</v>
      </c>
      <c r="H137" s="26">
        <f t="shared" si="5"/>
        <v>0</v>
      </c>
      <c r="I137" s="24">
        <f t="shared" si="6"/>
        <v>0</v>
      </c>
      <c r="J137" s="24">
        <f t="shared" si="7"/>
        <v>0</v>
      </c>
      <c r="K137" s="24"/>
      <c r="L137" s="24">
        <f t="shared" si="8"/>
        <v>462.2467511</v>
      </c>
      <c r="M137" s="31">
        <f t="shared" si="9"/>
        <v>449.0877354</v>
      </c>
      <c r="N137" s="27">
        <f t="shared" si="10"/>
        <v>13.15901564</v>
      </c>
      <c r="O137" s="24"/>
      <c r="P137" s="24"/>
      <c r="Q137" s="24"/>
      <c r="R137" s="26"/>
      <c r="S137" s="14">
        <f t="shared" si="13"/>
        <v>12.08387315</v>
      </c>
      <c r="U137" s="21"/>
      <c r="V137" s="21"/>
    </row>
    <row r="138">
      <c r="A138" s="11">
        <v>126.0</v>
      </c>
      <c r="B138" s="11">
        <v>1.41994347826087E9</v>
      </c>
      <c r="C138" s="2">
        <v>-102.2843628</v>
      </c>
      <c r="D138" s="24">
        <f t="shared" si="1"/>
        <v>-456521.7391</v>
      </c>
      <c r="E138" s="25">
        <f t="shared" si="2"/>
        <v>95.50279774</v>
      </c>
      <c r="F138" s="24">
        <f t="shared" si="3"/>
        <v>0.0002091966046</v>
      </c>
      <c r="G138" s="24">
        <f t="shared" si="4"/>
        <v>0</v>
      </c>
      <c r="H138" s="26">
        <f t="shared" si="5"/>
        <v>0</v>
      </c>
      <c r="I138" s="24">
        <f t="shared" si="6"/>
        <v>0</v>
      </c>
      <c r="J138" s="24">
        <f t="shared" si="7"/>
        <v>0</v>
      </c>
      <c r="K138" s="24"/>
      <c r="L138" s="24">
        <f t="shared" si="8"/>
        <v>449.4381016</v>
      </c>
      <c r="M138" s="31">
        <f t="shared" si="9"/>
        <v>448.955469</v>
      </c>
      <c r="N138" s="27">
        <f t="shared" si="10"/>
        <v>0.4826325473</v>
      </c>
      <c r="O138" s="24"/>
      <c r="P138" s="24"/>
      <c r="Q138" s="24"/>
      <c r="R138" s="26"/>
      <c r="S138" s="14">
        <f t="shared" si="13"/>
        <v>0.4431996018</v>
      </c>
      <c r="U138" s="21"/>
      <c r="V138" s="21"/>
    </row>
    <row r="139">
      <c r="A139" s="11">
        <v>127.0</v>
      </c>
      <c r="B139" s="11">
        <v>1.41994782608695E9</v>
      </c>
      <c r="C139" s="2">
        <v>-102.2711945</v>
      </c>
      <c r="D139" s="24">
        <f t="shared" si="1"/>
        <v>-452173.913</v>
      </c>
      <c r="E139" s="25">
        <f t="shared" si="2"/>
        <v>94.58450161</v>
      </c>
      <c r="F139" s="24">
        <f t="shared" si="3"/>
        <v>0.0002091772632</v>
      </c>
      <c r="G139" s="24">
        <f t="shared" si="4"/>
        <v>0</v>
      </c>
      <c r="H139" s="26">
        <f t="shared" si="5"/>
        <v>0</v>
      </c>
      <c r="I139" s="24">
        <f t="shared" si="6"/>
        <v>0</v>
      </c>
      <c r="J139" s="24">
        <f t="shared" si="7"/>
        <v>0</v>
      </c>
      <c r="K139" s="24"/>
      <c r="L139" s="24">
        <f t="shared" si="8"/>
        <v>450.8029168</v>
      </c>
      <c r="M139" s="31">
        <f t="shared" si="9"/>
        <v>448.8238136</v>
      </c>
      <c r="N139" s="27">
        <f t="shared" si="10"/>
        <v>1.979103192</v>
      </c>
      <c r="O139" s="24"/>
      <c r="P139" s="24"/>
      <c r="Q139" s="24"/>
      <c r="R139" s="26"/>
      <c r="S139" s="14">
        <f t="shared" si="13"/>
        <v>1.817402807</v>
      </c>
      <c r="U139" s="21"/>
      <c r="V139" s="21"/>
    </row>
    <row r="140">
      <c r="A140" s="11">
        <v>128.0</v>
      </c>
      <c r="B140" s="11">
        <v>1.41995217391304E9</v>
      </c>
      <c r="C140" s="2">
        <v>-102.2584152</v>
      </c>
      <c r="D140" s="24">
        <f t="shared" si="1"/>
        <v>-447826.087</v>
      </c>
      <c r="E140" s="25">
        <f t="shared" si="2"/>
        <v>93.66620548</v>
      </c>
      <c r="F140" s="24">
        <f t="shared" si="3"/>
        <v>0.0002091575462</v>
      </c>
      <c r="G140" s="24">
        <f t="shared" si="4"/>
        <v>0</v>
      </c>
      <c r="H140" s="26">
        <f t="shared" si="5"/>
        <v>0</v>
      </c>
      <c r="I140" s="24">
        <f t="shared" si="6"/>
        <v>0</v>
      </c>
      <c r="J140" s="24">
        <f t="shared" si="7"/>
        <v>0</v>
      </c>
      <c r="K140" s="24"/>
      <c r="L140" s="24">
        <f t="shared" si="8"/>
        <v>452.1313771</v>
      </c>
      <c r="M140" s="31">
        <f t="shared" si="9"/>
        <v>448.692766</v>
      </c>
      <c r="N140" s="27">
        <f t="shared" si="10"/>
        <v>3.438611158</v>
      </c>
      <c r="O140" s="24"/>
      <c r="P140" s="24"/>
      <c r="Q140" s="24"/>
      <c r="R140" s="26"/>
      <c r="S140" s="14">
        <f t="shared" si="13"/>
        <v>3.157663321</v>
      </c>
      <c r="U140" s="21"/>
      <c r="V140" s="21"/>
    </row>
    <row r="141">
      <c r="A141" s="11">
        <v>129.0</v>
      </c>
      <c r="B141" s="11">
        <v>1.41995652173913E9</v>
      </c>
      <c r="C141" s="2">
        <v>-102.210228</v>
      </c>
      <c r="D141" s="24">
        <f t="shared" si="1"/>
        <v>-443478.2609</v>
      </c>
      <c r="E141" s="25">
        <f t="shared" si="2"/>
        <v>92.74790935</v>
      </c>
      <c r="F141" s="24">
        <f t="shared" si="3"/>
        <v>0.0002091374426</v>
      </c>
      <c r="G141" s="24">
        <f t="shared" si="4"/>
        <v>0</v>
      </c>
      <c r="H141" s="26">
        <f t="shared" si="5"/>
        <v>0</v>
      </c>
      <c r="I141" s="24">
        <f t="shared" si="6"/>
        <v>0</v>
      </c>
      <c r="J141" s="24">
        <f t="shared" si="7"/>
        <v>0</v>
      </c>
      <c r="K141" s="24"/>
      <c r="L141" s="24">
        <f t="shared" si="8"/>
        <v>457.1759409</v>
      </c>
      <c r="M141" s="31">
        <f t="shared" si="9"/>
        <v>448.5623228</v>
      </c>
      <c r="N141" s="27">
        <f t="shared" si="10"/>
        <v>8.613618065</v>
      </c>
      <c r="O141" s="24"/>
      <c r="P141" s="24"/>
      <c r="Q141" s="24"/>
      <c r="R141" s="26"/>
      <c r="S141" s="14">
        <f t="shared" si="13"/>
        <v>7.909852158</v>
      </c>
      <c r="U141" s="21"/>
      <c r="V141" s="21"/>
    </row>
    <row r="142">
      <c r="A142" s="11">
        <v>130.0</v>
      </c>
      <c r="B142" s="11">
        <v>1.41996086956521E9</v>
      </c>
      <c r="C142" s="2">
        <v>-102.2007523</v>
      </c>
      <c r="D142" s="24">
        <f t="shared" si="1"/>
        <v>-439130.4348</v>
      </c>
      <c r="E142" s="25">
        <f t="shared" si="2"/>
        <v>91.82961321</v>
      </c>
      <c r="F142" s="24">
        <f t="shared" si="3"/>
        <v>0.000209116941</v>
      </c>
      <c r="G142" s="24">
        <f t="shared" si="4"/>
        <v>0</v>
      </c>
      <c r="H142" s="26">
        <f t="shared" si="5"/>
        <v>0</v>
      </c>
      <c r="I142" s="24">
        <f t="shared" si="6"/>
        <v>0</v>
      </c>
      <c r="J142" s="24">
        <f t="shared" si="7"/>
        <v>0</v>
      </c>
      <c r="K142" s="24"/>
      <c r="L142" s="24">
        <f t="shared" si="8"/>
        <v>458.174524</v>
      </c>
      <c r="M142" s="31">
        <f t="shared" si="9"/>
        <v>448.4324809</v>
      </c>
      <c r="N142" s="27">
        <f t="shared" si="10"/>
        <v>9.742043159</v>
      </c>
      <c r="O142" s="24"/>
      <c r="P142" s="24"/>
      <c r="Q142" s="24"/>
      <c r="R142" s="26"/>
      <c r="S142" s="14">
        <f t="shared" si="13"/>
        <v>8.946080559</v>
      </c>
      <c r="U142" s="21"/>
      <c r="V142" s="21"/>
    </row>
    <row r="143">
      <c r="A143" s="11">
        <v>131.0</v>
      </c>
      <c r="B143" s="11">
        <v>1.4199652173913E9</v>
      </c>
      <c r="C143" s="2">
        <v>-102.1960754</v>
      </c>
      <c r="D143" s="24">
        <f t="shared" si="1"/>
        <v>-434782.6087</v>
      </c>
      <c r="E143" s="25">
        <f t="shared" si="2"/>
        <v>90.91131708</v>
      </c>
      <c r="F143" s="24">
        <f t="shared" si="3"/>
        <v>0.0002090960293</v>
      </c>
      <c r="G143" s="24">
        <f t="shared" si="4"/>
        <v>0</v>
      </c>
      <c r="H143" s="26">
        <f t="shared" si="5"/>
        <v>0</v>
      </c>
      <c r="I143" s="24">
        <f t="shared" si="6"/>
        <v>0</v>
      </c>
      <c r="J143" s="24">
        <f t="shared" si="7"/>
        <v>0</v>
      </c>
      <c r="K143" s="24"/>
      <c r="L143" s="24">
        <f t="shared" si="8"/>
        <v>458.6681961</v>
      </c>
      <c r="M143" s="31">
        <f t="shared" si="9"/>
        <v>448.3032369</v>
      </c>
      <c r="N143" s="27">
        <f t="shared" si="10"/>
        <v>10.36495929</v>
      </c>
      <c r="O143" s="24"/>
      <c r="P143" s="24"/>
      <c r="Q143" s="24"/>
      <c r="R143" s="26"/>
      <c r="S143" s="14">
        <f t="shared" si="13"/>
        <v>9.518102011</v>
      </c>
      <c r="U143" s="21"/>
      <c r="V143" s="21"/>
    </row>
    <row r="144">
      <c r="A144" s="11">
        <v>132.0</v>
      </c>
      <c r="B144" s="11">
        <v>1.41996956521739E9</v>
      </c>
      <c r="C144" s="2">
        <v>-102.1642685</v>
      </c>
      <c r="D144" s="24">
        <f t="shared" si="1"/>
        <v>-430434.7826</v>
      </c>
      <c r="E144" s="25">
        <f t="shared" si="2"/>
        <v>89.99302095</v>
      </c>
      <c r="F144" s="24">
        <f t="shared" si="3"/>
        <v>0.0002090746951</v>
      </c>
      <c r="G144" s="24">
        <f t="shared" si="4"/>
        <v>0</v>
      </c>
      <c r="H144" s="26">
        <f t="shared" si="5"/>
        <v>0</v>
      </c>
      <c r="I144" s="24">
        <f t="shared" si="6"/>
        <v>0</v>
      </c>
      <c r="J144" s="24">
        <f t="shared" si="7"/>
        <v>0</v>
      </c>
      <c r="K144" s="24"/>
      <c r="L144" s="24">
        <f t="shared" si="8"/>
        <v>462.0397257</v>
      </c>
      <c r="M144" s="31">
        <f t="shared" si="9"/>
        <v>448.1745874</v>
      </c>
      <c r="N144" s="27">
        <f t="shared" si="10"/>
        <v>13.86513828</v>
      </c>
      <c r="O144" s="24"/>
      <c r="P144" s="24"/>
      <c r="Q144" s="24"/>
      <c r="R144" s="26"/>
      <c r="S144" s="14">
        <f t="shared" si="13"/>
        <v>12.73230287</v>
      </c>
      <c r="U144" s="21"/>
      <c r="V144" s="21"/>
    </row>
    <row r="145">
      <c r="A145" s="11">
        <v>133.0</v>
      </c>
      <c r="B145" s="11">
        <v>1.41997391304347E9</v>
      </c>
      <c r="C145" s="2">
        <v>-102.2505951</v>
      </c>
      <c r="D145" s="24">
        <f t="shared" si="1"/>
        <v>-426086.9565</v>
      </c>
      <c r="E145" s="25">
        <f t="shared" si="2"/>
        <v>89.07472482</v>
      </c>
      <c r="F145" s="24">
        <f t="shared" si="3"/>
        <v>0.0002090529256</v>
      </c>
      <c r="G145" s="24">
        <f t="shared" si="4"/>
        <v>0</v>
      </c>
      <c r="H145" s="26">
        <f t="shared" si="5"/>
        <v>0</v>
      </c>
      <c r="I145" s="24">
        <f t="shared" si="6"/>
        <v>0</v>
      </c>
      <c r="J145" s="24">
        <f t="shared" si="7"/>
        <v>0</v>
      </c>
      <c r="K145" s="24"/>
      <c r="L145" s="24">
        <f t="shared" si="8"/>
        <v>452.9462385</v>
      </c>
      <c r="M145" s="31">
        <f t="shared" si="9"/>
        <v>448.0465294</v>
      </c>
      <c r="N145" s="27">
        <f t="shared" si="10"/>
        <v>4.89970909</v>
      </c>
      <c r="O145" s="24"/>
      <c r="P145" s="24"/>
      <c r="Q145" s="24"/>
      <c r="R145" s="26"/>
      <c r="S145" s="14">
        <f t="shared" si="13"/>
        <v>4.499383909</v>
      </c>
      <c r="U145" s="21"/>
      <c r="V145" s="21"/>
    </row>
    <row r="146">
      <c r="A146" s="11">
        <v>134.0</v>
      </c>
      <c r="B146" s="11">
        <v>1.41997826086956E9</v>
      </c>
      <c r="C146" s="2">
        <v>-102.1811218</v>
      </c>
      <c r="D146" s="24">
        <f t="shared" si="1"/>
        <v>-421739.1304</v>
      </c>
      <c r="E146" s="25">
        <f t="shared" si="2"/>
        <v>88.15642869</v>
      </c>
      <c r="F146" s="24">
        <f t="shared" si="3"/>
        <v>0.0002090307072</v>
      </c>
      <c r="G146" s="24">
        <f t="shared" si="4"/>
        <v>0</v>
      </c>
      <c r="H146" s="26">
        <f t="shared" si="5"/>
        <v>0</v>
      </c>
      <c r="I146" s="24">
        <f t="shared" si="6"/>
        <v>0</v>
      </c>
      <c r="J146" s="24">
        <f t="shared" si="7"/>
        <v>0</v>
      </c>
      <c r="K146" s="24"/>
      <c r="L146" s="24">
        <f t="shared" si="8"/>
        <v>460.2502016</v>
      </c>
      <c r="M146" s="31">
        <f t="shared" si="9"/>
        <v>447.9190594</v>
      </c>
      <c r="N146" s="27">
        <f t="shared" si="10"/>
        <v>12.33114217</v>
      </c>
      <c r="O146" s="24"/>
      <c r="P146" s="24"/>
      <c r="Q146" s="24"/>
      <c r="R146" s="26"/>
      <c r="S146" s="14">
        <f t="shared" si="13"/>
        <v>11.32364014</v>
      </c>
      <c r="U146" s="21"/>
      <c r="V146" s="21"/>
    </row>
    <row r="147">
      <c r="A147" s="11">
        <v>135.0</v>
      </c>
      <c r="B147" s="11">
        <v>1.41998260869565E9</v>
      </c>
      <c r="C147" s="2">
        <v>-102.1344299</v>
      </c>
      <c r="D147" s="24">
        <f t="shared" si="1"/>
        <v>-417391.3043</v>
      </c>
      <c r="E147" s="25">
        <f t="shared" si="2"/>
        <v>87.23813255</v>
      </c>
      <c r="F147" s="24">
        <f t="shared" si="3"/>
        <v>0.0002090080259</v>
      </c>
      <c r="G147" s="24">
        <f t="shared" si="4"/>
        <v>0</v>
      </c>
      <c r="H147" s="26">
        <f t="shared" si="5"/>
        <v>0</v>
      </c>
      <c r="I147" s="24">
        <f t="shared" si="6"/>
        <v>0</v>
      </c>
      <c r="J147" s="24">
        <f t="shared" si="7"/>
        <v>0</v>
      </c>
      <c r="K147" s="24"/>
      <c r="L147" s="24">
        <f t="shared" si="8"/>
        <v>465.2251423</v>
      </c>
      <c r="M147" s="31">
        <f t="shared" si="9"/>
        <v>447.7921742</v>
      </c>
      <c r="N147" s="27">
        <f t="shared" si="10"/>
        <v>17.43296808</v>
      </c>
      <c r="O147" s="24"/>
      <c r="P147" s="24"/>
      <c r="Q147" s="24"/>
      <c r="R147" s="26"/>
      <c r="S147" s="14">
        <f t="shared" si="13"/>
        <v>16.00862717</v>
      </c>
      <c r="U147" s="21"/>
      <c r="V147" s="21"/>
    </row>
    <row r="148">
      <c r="A148" s="11">
        <v>136.0</v>
      </c>
      <c r="B148" s="11">
        <v>1.41998695652173E9</v>
      </c>
      <c r="C148" s="2">
        <v>-102.1354446</v>
      </c>
      <c r="D148" s="24">
        <f t="shared" si="1"/>
        <v>-413043.4783</v>
      </c>
      <c r="E148" s="25">
        <f t="shared" si="2"/>
        <v>86.31983642</v>
      </c>
      <c r="F148" s="24">
        <f t="shared" si="3"/>
        <v>0.0002089848671</v>
      </c>
      <c r="G148" s="24">
        <f t="shared" si="4"/>
        <v>0</v>
      </c>
      <c r="H148" s="26">
        <f t="shared" si="5"/>
        <v>0</v>
      </c>
      <c r="I148" s="24">
        <f t="shared" si="6"/>
        <v>0</v>
      </c>
      <c r="J148" s="24">
        <f t="shared" si="7"/>
        <v>0</v>
      </c>
      <c r="K148" s="24"/>
      <c r="L148" s="24">
        <f t="shared" si="8"/>
        <v>465.1164582</v>
      </c>
      <c r="M148" s="31">
        <f t="shared" si="9"/>
        <v>447.6658705</v>
      </c>
      <c r="N148" s="27">
        <f t="shared" si="10"/>
        <v>17.45058773</v>
      </c>
      <c r="O148" s="24"/>
      <c r="P148" s="24"/>
      <c r="Q148" s="24"/>
      <c r="R148" s="26"/>
      <c r="S148" s="14">
        <f t="shared" si="13"/>
        <v>16.02480723</v>
      </c>
      <c r="U148" s="21"/>
      <c r="V148" s="21"/>
    </row>
    <row r="149">
      <c r="A149" s="11">
        <v>137.0</v>
      </c>
      <c r="B149" s="11">
        <v>1.41999130434782E9</v>
      </c>
      <c r="C149" s="2">
        <v>-102.1644211</v>
      </c>
      <c r="D149" s="24">
        <f t="shared" si="1"/>
        <v>-408695.6522</v>
      </c>
      <c r="E149" s="25">
        <f t="shared" si="2"/>
        <v>85.40154029</v>
      </c>
      <c r="F149" s="24">
        <f t="shared" si="3"/>
        <v>0.0002089612156</v>
      </c>
      <c r="G149" s="24">
        <f t="shared" si="4"/>
        <v>0</v>
      </c>
      <c r="H149" s="26">
        <f t="shared" si="5"/>
        <v>0</v>
      </c>
      <c r="I149" s="24">
        <f t="shared" si="6"/>
        <v>0</v>
      </c>
      <c r="J149" s="24">
        <f t="shared" si="7"/>
        <v>0</v>
      </c>
      <c r="K149" s="24"/>
      <c r="L149" s="24">
        <f t="shared" si="8"/>
        <v>462.0234911</v>
      </c>
      <c r="M149" s="31">
        <f t="shared" si="9"/>
        <v>447.540145</v>
      </c>
      <c r="N149" s="27">
        <f t="shared" si="10"/>
        <v>14.48334608</v>
      </c>
      <c r="O149" s="24"/>
      <c r="P149" s="24"/>
      <c r="Q149" s="24"/>
      <c r="R149" s="26"/>
      <c r="S149" s="14">
        <f t="shared" si="13"/>
        <v>13.3000007</v>
      </c>
      <c r="U149" s="21"/>
      <c r="V149" s="21"/>
    </row>
    <row r="150">
      <c r="A150" s="11">
        <v>138.0</v>
      </c>
      <c r="B150" s="11">
        <v>1.41999565217391E9</v>
      </c>
      <c r="C150" s="2">
        <v>-102.0475235</v>
      </c>
      <c r="D150" s="24">
        <f t="shared" si="1"/>
        <v>-404347.8261</v>
      </c>
      <c r="E150" s="25">
        <f t="shared" si="2"/>
        <v>84.48324416</v>
      </c>
      <c r="F150" s="24">
        <f t="shared" si="3"/>
        <v>0.0002089370554</v>
      </c>
      <c r="G150" s="24">
        <f t="shared" si="4"/>
        <v>0</v>
      </c>
      <c r="H150" s="26">
        <f t="shared" si="5"/>
        <v>0</v>
      </c>
      <c r="I150" s="24">
        <f t="shared" si="6"/>
        <v>0</v>
      </c>
      <c r="J150" s="24">
        <f t="shared" si="7"/>
        <v>0</v>
      </c>
      <c r="K150" s="24"/>
      <c r="L150" s="24">
        <f t="shared" si="8"/>
        <v>474.6285051</v>
      </c>
      <c r="M150" s="31">
        <f t="shared" si="9"/>
        <v>447.4149945</v>
      </c>
      <c r="N150" s="27">
        <f t="shared" si="10"/>
        <v>27.21351058</v>
      </c>
      <c r="O150" s="24"/>
      <c r="P150" s="24"/>
      <c r="Q150" s="24"/>
      <c r="R150" s="26"/>
      <c r="S150" s="14">
        <f t="shared" si="13"/>
        <v>24.99006146</v>
      </c>
      <c r="U150" s="21"/>
      <c r="V150" s="21"/>
    </row>
    <row r="151">
      <c r="A151" s="11">
        <v>139.0</v>
      </c>
      <c r="B151" s="11">
        <v>1.42E9</v>
      </c>
      <c r="C151" s="2">
        <v>-102.0828934</v>
      </c>
      <c r="D151" s="24">
        <f t="shared" si="1"/>
        <v>-400000</v>
      </c>
      <c r="E151" s="25">
        <f t="shared" si="2"/>
        <v>83.56494803</v>
      </c>
      <c r="F151" s="24">
        <f t="shared" si="3"/>
        <v>0.0002089123701</v>
      </c>
      <c r="G151" s="24">
        <f t="shared" si="4"/>
        <v>0</v>
      </c>
      <c r="H151" s="26">
        <f t="shared" si="5"/>
        <v>0</v>
      </c>
      <c r="I151" s="24">
        <f t="shared" si="6"/>
        <v>0</v>
      </c>
      <c r="J151" s="24">
        <f t="shared" si="7"/>
        <v>0</v>
      </c>
      <c r="K151" s="24"/>
      <c r="L151" s="24">
        <f t="shared" si="8"/>
        <v>470.7787239</v>
      </c>
      <c r="M151" s="31">
        <f t="shared" si="9"/>
        <v>447.2904156</v>
      </c>
      <c r="N151" s="27">
        <f t="shared" si="10"/>
        <v>23.48830828</v>
      </c>
      <c r="O151" s="24"/>
      <c r="P151" s="24"/>
      <c r="Q151" s="24"/>
      <c r="R151" s="26"/>
      <c r="S151" s="14">
        <f t="shared" si="13"/>
        <v>21.56922266</v>
      </c>
      <c r="U151" s="21"/>
      <c r="V151" s="21"/>
    </row>
    <row r="152">
      <c r="A152" s="11">
        <v>140.0</v>
      </c>
      <c r="B152" s="11">
        <v>1.42000434782608E9</v>
      </c>
      <c r="C152" s="2">
        <v>-102.1108551</v>
      </c>
      <c r="D152" s="24">
        <f t="shared" si="1"/>
        <v>-395652.1739</v>
      </c>
      <c r="E152" s="25">
        <f t="shared" si="2"/>
        <v>82.64665189</v>
      </c>
      <c r="F152" s="24">
        <f t="shared" si="3"/>
        <v>0.0002088871421</v>
      </c>
      <c r="G152" s="24">
        <f t="shared" si="4"/>
        <v>0</v>
      </c>
      <c r="H152" s="26">
        <f t="shared" si="5"/>
        <v>0</v>
      </c>
      <c r="I152" s="24">
        <f t="shared" si="6"/>
        <v>0</v>
      </c>
      <c r="J152" s="24">
        <f t="shared" si="7"/>
        <v>0</v>
      </c>
      <c r="K152" s="24"/>
      <c r="L152" s="24">
        <f t="shared" si="8"/>
        <v>467.7573898</v>
      </c>
      <c r="M152" s="31">
        <f t="shared" si="9"/>
        <v>447.1664052</v>
      </c>
      <c r="N152" s="27">
        <f t="shared" si="10"/>
        <v>20.59098466</v>
      </c>
      <c r="O152" s="24"/>
      <c r="P152" s="24"/>
      <c r="Q152" s="24"/>
      <c r="R152" s="26"/>
      <c r="S152" s="14">
        <f t="shared" si="13"/>
        <v>18.90862159</v>
      </c>
      <c r="U152" s="21"/>
      <c r="V152" s="21"/>
    </row>
    <row r="153">
      <c r="A153" s="11">
        <v>141.0</v>
      </c>
      <c r="B153" s="11">
        <v>1.42000869565217E9</v>
      </c>
      <c r="C153" s="2">
        <v>-102.0685501</v>
      </c>
      <c r="D153" s="24">
        <f t="shared" si="1"/>
        <v>-391304.3478</v>
      </c>
      <c r="E153" s="25">
        <f t="shared" si="2"/>
        <v>81.72835576</v>
      </c>
      <c r="F153" s="24">
        <f t="shared" si="3"/>
        <v>0.0002088613536</v>
      </c>
      <c r="G153" s="24">
        <f t="shared" si="4"/>
        <v>0</v>
      </c>
      <c r="H153" s="26">
        <f t="shared" si="5"/>
        <v>0</v>
      </c>
      <c r="I153" s="24">
        <f t="shared" si="6"/>
        <v>0</v>
      </c>
      <c r="J153" s="24">
        <f t="shared" si="7"/>
        <v>0</v>
      </c>
      <c r="K153" s="24"/>
      <c r="L153" s="24">
        <f t="shared" si="8"/>
        <v>472.3361196</v>
      </c>
      <c r="M153" s="31">
        <f t="shared" si="9"/>
        <v>447.0429598</v>
      </c>
      <c r="N153" s="27">
        <f t="shared" si="10"/>
        <v>25.29315982</v>
      </c>
      <c r="O153" s="24"/>
      <c r="P153" s="24"/>
      <c r="Q153" s="24"/>
      <c r="R153" s="26"/>
      <c r="S153" s="14">
        <f t="shared" si="13"/>
        <v>23.22661079</v>
      </c>
      <c r="U153" s="21"/>
      <c r="V153" s="21"/>
    </row>
    <row r="154">
      <c r="A154" s="11">
        <v>142.0</v>
      </c>
      <c r="B154" s="11">
        <v>1.42001304347826E9</v>
      </c>
      <c r="C154" s="2">
        <v>-102.1005936</v>
      </c>
      <c r="D154" s="24">
        <f t="shared" si="1"/>
        <v>-386956.5217</v>
      </c>
      <c r="E154" s="25">
        <f t="shared" si="2"/>
        <v>80.81005963</v>
      </c>
      <c r="F154" s="24">
        <f t="shared" si="3"/>
        <v>0.0002088349856</v>
      </c>
      <c r="G154" s="24">
        <f t="shared" si="4"/>
        <v>0</v>
      </c>
      <c r="H154" s="26">
        <f t="shared" si="5"/>
        <v>0</v>
      </c>
      <c r="I154" s="24">
        <f t="shared" si="6"/>
        <v>0</v>
      </c>
      <c r="J154" s="24">
        <f t="shared" si="7"/>
        <v>0</v>
      </c>
      <c r="K154" s="24"/>
      <c r="L154" s="24">
        <f t="shared" si="8"/>
        <v>468.8639126</v>
      </c>
      <c r="M154" s="31">
        <f t="shared" si="9"/>
        <v>446.9200762</v>
      </c>
      <c r="N154" s="27">
        <f t="shared" si="10"/>
        <v>21.94383644</v>
      </c>
      <c r="O154" s="24"/>
      <c r="P154" s="24"/>
      <c r="Q154" s="24"/>
      <c r="R154" s="26"/>
      <c r="S154" s="14">
        <f t="shared" si="13"/>
        <v>20.15094014</v>
      </c>
      <c r="U154" s="21"/>
      <c r="V154" s="21"/>
    </row>
    <row r="155">
      <c r="A155" s="11">
        <v>143.0</v>
      </c>
      <c r="B155" s="11">
        <v>1.42001739130434E9</v>
      </c>
      <c r="C155" s="2">
        <v>-102.0163345</v>
      </c>
      <c r="D155" s="24">
        <f t="shared" si="1"/>
        <v>-382608.6957</v>
      </c>
      <c r="E155" s="25">
        <f t="shared" si="2"/>
        <v>79.8917635</v>
      </c>
      <c r="F155" s="24">
        <f t="shared" si="3"/>
        <v>0.0002088080182</v>
      </c>
      <c r="G155" s="24">
        <f t="shared" si="4"/>
        <v>0</v>
      </c>
      <c r="H155" s="26">
        <f t="shared" si="5"/>
        <v>0</v>
      </c>
      <c r="I155" s="24">
        <f t="shared" si="6"/>
        <v>0</v>
      </c>
      <c r="J155" s="24">
        <f t="shared" si="7"/>
        <v>0</v>
      </c>
      <c r="K155" s="24"/>
      <c r="L155" s="24">
        <f t="shared" si="8"/>
        <v>478.0493339</v>
      </c>
      <c r="M155" s="31">
        <f t="shared" si="9"/>
        <v>446.7977511</v>
      </c>
      <c r="N155" s="27">
        <f t="shared" si="10"/>
        <v>31.25158273</v>
      </c>
      <c r="O155" s="24"/>
      <c r="P155" s="24"/>
      <c r="Q155" s="24"/>
      <c r="R155" s="26"/>
      <c r="S155" s="14">
        <f t="shared" si="13"/>
        <v>28.69820757</v>
      </c>
      <c r="U155" s="21"/>
      <c r="V155" s="21"/>
    </row>
    <row r="156">
      <c r="A156" s="11">
        <v>144.0</v>
      </c>
      <c r="B156" s="11">
        <v>1.42002173913043E9</v>
      </c>
      <c r="C156" s="2">
        <v>-102.0060349</v>
      </c>
      <c r="D156" s="24">
        <f t="shared" si="1"/>
        <v>-378260.8696</v>
      </c>
      <c r="E156" s="25">
        <f t="shared" si="2"/>
        <v>78.97346736</v>
      </c>
      <c r="F156" s="24">
        <f t="shared" si="3"/>
        <v>0.000208780431</v>
      </c>
      <c r="G156" s="24">
        <f t="shared" si="4"/>
        <v>0</v>
      </c>
      <c r="H156" s="26">
        <f t="shared" si="5"/>
        <v>0</v>
      </c>
      <c r="I156" s="24">
        <f t="shared" si="6"/>
        <v>0</v>
      </c>
      <c r="J156" s="24">
        <f t="shared" si="7"/>
        <v>0</v>
      </c>
      <c r="K156" s="24"/>
      <c r="L156" s="24">
        <f t="shared" si="8"/>
        <v>479.184407</v>
      </c>
      <c r="M156" s="31">
        <f t="shared" si="9"/>
        <v>446.6759814</v>
      </c>
      <c r="N156" s="27">
        <f t="shared" si="10"/>
        <v>32.50842566</v>
      </c>
      <c r="O156" s="24"/>
      <c r="P156" s="24"/>
      <c r="Q156" s="24"/>
      <c r="R156" s="26"/>
      <c r="S156" s="14">
        <f t="shared" si="13"/>
        <v>29.85236149</v>
      </c>
      <c r="U156" s="21"/>
      <c r="V156" s="21"/>
    </row>
    <row r="157">
      <c r="A157" s="11">
        <v>145.0</v>
      </c>
      <c r="B157" s="11">
        <v>1.42002608695652E9</v>
      </c>
      <c r="C157" s="2">
        <v>-101.9903488</v>
      </c>
      <c r="D157" s="24">
        <f t="shared" si="1"/>
        <v>-373913.0435</v>
      </c>
      <c r="E157" s="25">
        <f t="shared" si="2"/>
        <v>78.05517123</v>
      </c>
      <c r="F157" s="24">
        <f t="shared" si="3"/>
        <v>0.0002087522021</v>
      </c>
      <c r="G157" s="24">
        <f t="shared" si="4"/>
        <v>0</v>
      </c>
      <c r="H157" s="26">
        <f t="shared" si="5"/>
        <v>0</v>
      </c>
      <c r="I157" s="24">
        <f t="shared" si="6"/>
        <v>0</v>
      </c>
      <c r="J157" s="24">
        <f t="shared" si="7"/>
        <v>0</v>
      </c>
      <c r="K157" s="24"/>
      <c r="L157" s="24">
        <f t="shared" si="8"/>
        <v>480.9182824</v>
      </c>
      <c r="M157" s="31">
        <f t="shared" si="9"/>
        <v>446.5547635</v>
      </c>
      <c r="N157" s="27">
        <f t="shared" si="10"/>
        <v>34.36351888</v>
      </c>
      <c r="O157" s="24"/>
      <c r="P157" s="24"/>
      <c r="Q157" s="24"/>
      <c r="R157" s="26"/>
      <c r="S157" s="14">
        <f t="shared" si="13"/>
        <v>31.5558865</v>
      </c>
      <c r="U157" s="21"/>
      <c r="V157" s="21"/>
    </row>
    <row r="158">
      <c r="A158" s="11">
        <v>146.0</v>
      </c>
      <c r="B158" s="11">
        <v>1.4200304347826E9</v>
      </c>
      <c r="C158" s="2">
        <v>-102.0221939</v>
      </c>
      <c r="D158" s="24">
        <f t="shared" si="1"/>
        <v>-369565.2174</v>
      </c>
      <c r="E158" s="25">
        <f t="shared" si="2"/>
        <v>77.1368751</v>
      </c>
      <c r="F158" s="24">
        <f t="shared" si="3"/>
        <v>0.0002087233091</v>
      </c>
      <c r="G158" s="24">
        <f t="shared" si="4"/>
        <v>0</v>
      </c>
      <c r="H158" s="26">
        <f t="shared" si="5"/>
        <v>0</v>
      </c>
      <c r="I158" s="24">
        <f t="shared" si="6"/>
        <v>0</v>
      </c>
      <c r="J158" s="24">
        <f t="shared" si="7"/>
        <v>0</v>
      </c>
      <c r="K158" s="24"/>
      <c r="L158" s="24">
        <f t="shared" si="8"/>
        <v>477.4047957</v>
      </c>
      <c r="M158" s="31">
        <f t="shared" si="9"/>
        <v>446.4340944</v>
      </c>
      <c r="N158" s="27">
        <f t="shared" si="10"/>
        <v>30.97070133</v>
      </c>
      <c r="O158" s="24"/>
      <c r="P158" s="24"/>
      <c r="Q158" s="24"/>
      <c r="R158" s="26"/>
      <c r="S158" s="14">
        <f t="shared" si="13"/>
        <v>28.44027526</v>
      </c>
      <c r="U158" s="21"/>
      <c r="V158" s="21"/>
    </row>
    <row r="159">
      <c r="A159" s="11">
        <v>147.0</v>
      </c>
      <c r="B159" s="11">
        <v>1.42003478260869E9</v>
      </c>
      <c r="C159" s="2">
        <v>-102.0234222</v>
      </c>
      <c r="D159" s="24">
        <f t="shared" si="1"/>
        <v>-365217.3913</v>
      </c>
      <c r="E159" s="25">
        <f t="shared" si="2"/>
        <v>76.21857897</v>
      </c>
      <c r="F159" s="24">
        <f t="shared" si="3"/>
        <v>0.0002086937281</v>
      </c>
      <c r="G159" s="24">
        <f t="shared" si="4"/>
        <v>0</v>
      </c>
      <c r="H159" s="26">
        <f t="shared" si="5"/>
        <v>0</v>
      </c>
      <c r="I159" s="24">
        <f t="shared" si="6"/>
        <v>0</v>
      </c>
      <c r="J159" s="24">
        <f t="shared" si="7"/>
        <v>0</v>
      </c>
      <c r="K159" s="24"/>
      <c r="L159" s="24">
        <f t="shared" si="8"/>
        <v>477.2697921</v>
      </c>
      <c r="M159" s="31">
        <f t="shared" si="9"/>
        <v>446.3139707</v>
      </c>
      <c r="N159" s="27">
        <f t="shared" si="10"/>
        <v>30.9558214</v>
      </c>
      <c r="O159" s="24"/>
      <c r="P159" s="24"/>
      <c r="Q159" s="24"/>
      <c r="R159" s="26"/>
      <c r="S159" s="14">
        <f t="shared" si="13"/>
        <v>28.42661108</v>
      </c>
      <c r="U159" s="21"/>
      <c r="V159" s="21"/>
    </row>
    <row r="160">
      <c r="A160" s="11">
        <v>148.0</v>
      </c>
      <c r="B160" s="11">
        <v>1.42003913043478E9</v>
      </c>
      <c r="C160" s="2">
        <v>-101.9536438</v>
      </c>
      <c r="D160" s="24">
        <f t="shared" si="1"/>
        <v>-360869.5652</v>
      </c>
      <c r="E160" s="25">
        <f t="shared" si="2"/>
        <v>75.30028284</v>
      </c>
      <c r="F160" s="24">
        <f t="shared" si="3"/>
        <v>0.0002086634344</v>
      </c>
      <c r="G160" s="24">
        <f t="shared" si="4"/>
        <v>0</v>
      </c>
      <c r="H160" s="26">
        <f t="shared" si="5"/>
        <v>0</v>
      </c>
      <c r="I160" s="24">
        <f t="shared" si="6"/>
        <v>0</v>
      </c>
      <c r="J160" s="24">
        <f t="shared" si="7"/>
        <v>0</v>
      </c>
      <c r="K160" s="24"/>
      <c r="L160" s="24">
        <f t="shared" si="8"/>
        <v>485.0000545</v>
      </c>
      <c r="M160" s="31">
        <f t="shared" si="9"/>
        <v>446.1943891</v>
      </c>
      <c r="N160" s="27">
        <f t="shared" si="10"/>
        <v>38.80566536</v>
      </c>
      <c r="O160" s="24"/>
      <c r="P160" s="24"/>
      <c r="Q160" s="24"/>
      <c r="R160" s="26"/>
      <c r="S160" s="14">
        <f t="shared" si="13"/>
        <v>35.63509235</v>
      </c>
      <c r="U160" s="21"/>
      <c r="V160" s="21"/>
    </row>
    <row r="161">
      <c r="A161" s="11">
        <v>149.0</v>
      </c>
      <c r="B161" s="11">
        <v>1.42004347826087E9</v>
      </c>
      <c r="C161" s="2">
        <v>-101.937706</v>
      </c>
      <c r="D161" s="24">
        <f t="shared" si="1"/>
        <v>-356521.7391</v>
      </c>
      <c r="E161" s="25">
        <f t="shared" si="2"/>
        <v>74.3819867</v>
      </c>
      <c r="F161" s="24">
        <f t="shared" si="3"/>
        <v>0.0002086324017</v>
      </c>
      <c r="G161" s="24">
        <f t="shared" si="4"/>
        <v>0</v>
      </c>
      <c r="H161" s="26">
        <f t="shared" si="5"/>
        <v>0</v>
      </c>
      <c r="I161" s="24">
        <f t="shared" si="6"/>
        <v>0</v>
      </c>
      <c r="J161" s="24">
        <f t="shared" si="7"/>
        <v>0</v>
      </c>
      <c r="K161" s="24"/>
      <c r="L161" s="24">
        <f t="shared" si="8"/>
        <v>486.7831844</v>
      </c>
      <c r="M161" s="31">
        <f t="shared" si="9"/>
        <v>446.0753464</v>
      </c>
      <c r="N161" s="27">
        <f t="shared" si="10"/>
        <v>40.70783801</v>
      </c>
      <c r="O161" s="24"/>
      <c r="P161" s="24"/>
      <c r="Q161" s="24"/>
      <c r="R161" s="26"/>
      <c r="S161" s="14">
        <f t="shared" si="13"/>
        <v>37.38185021</v>
      </c>
      <c r="U161" s="21"/>
      <c r="V161" s="21"/>
    </row>
    <row r="162">
      <c r="A162" s="11">
        <v>150.0</v>
      </c>
      <c r="B162" s="11">
        <v>1.42004782608695E9</v>
      </c>
      <c r="C162" s="2">
        <v>-101.9632645</v>
      </c>
      <c r="D162" s="24">
        <f t="shared" si="1"/>
        <v>-352173.913</v>
      </c>
      <c r="E162" s="25">
        <f t="shared" si="2"/>
        <v>73.46369057</v>
      </c>
      <c r="F162" s="24">
        <f t="shared" si="3"/>
        <v>0.0002086006029</v>
      </c>
      <c r="G162" s="24">
        <f t="shared" si="4"/>
        <v>0</v>
      </c>
      <c r="H162" s="26">
        <f t="shared" si="5"/>
        <v>0</v>
      </c>
      <c r="I162" s="24">
        <f t="shared" si="6"/>
        <v>0</v>
      </c>
      <c r="J162" s="24">
        <f t="shared" si="7"/>
        <v>0</v>
      </c>
      <c r="K162" s="24"/>
      <c r="L162" s="24">
        <f t="shared" si="8"/>
        <v>483.9268482</v>
      </c>
      <c r="M162" s="31">
        <f t="shared" si="9"/>
        <v>445.9568392</v>
      </c>
      <c r="N162" s="27">
        <f t="shared" si="10"/>
        <v>37.97000902</v>
      </c>
      <c r="O162" s="24"/>
      <c r="P162" s="24"/>
      <c r="Q162" s="24"/>
      <c r="R162" s="26"/>
      <c r="S162" s="14">
        <f t="shared" si="13"/>
        <v>34.86771244</v>
      </c>
      <c r="U162" s="21"/>
      <c r="V162" s="21"/>
    </row>
    <row r="163">
      <c r="A163" s="11">
        <v>151.0</v>
      </c>
      <c r="B163" s="11">
        <v>1.42005217391304E9</v>
      </c>
      <c r="C163" s="2">
        <v>-101.9766922</v>
      </c>
      <c r="D163" s="24">
        <f t="shared" si="1"/>
        <v>-347826.087</v>
      </c>
      <c r="E163" s="25">
        <f t="shared" si="2"/>
        <v>72.54539444</v>
      </c>
      <c r="F163" s="24">
        <f t="shared" si="3"/>
        <v>0.000208568009</v>
      </c>
      <c r="G163" s="24">
        <f t="shared" si="4"/>
        <v>0</v>
      </c>
      <c r="H163" s="26">
        <f t="shared" si="5"/>
        <v>0</v>
      </c>
      <c r="I163" s="24">
        <f t="shared" si="6"/>
        <v>0</v>
      </c>
      <c r="J163" s="24">
        <f t="shared" si="7"/>
        <v>0</v>
      </c>
      <c r="K163" s="24"/>
      <c r="L163" s="24">
        <f t="shared" si="8"/>
        <v>482.4329334</v>
      </c>
      <c r="M163" s="31">
        <f t="shared" si="9"/>
        <v>445.8388643</v>
      </c>
      <c r="N163" s="27">
        <f t="shared" si="10"/>
        <v>36.59406914</v>
      </c>
      <c r="O163" s="24"/>
      <c r="P163" s="24"/>
      <c r="Q163" s="24"/>
      <c r="R163" s="26"/>
      <c r="S163" s="14">
        <f t="shared" si="13"/>
        <v>33.6041921</v>
      </c>
      <c r="U163" s="21"/>
      <c r="V163" s="21"/>
    </row>
    <row r="164">
      <c r="A164" s="11">
        <v>152.0</v>
      </c>
      <c r="B164" s="11">
        <v>1.42005652173913E9</v>
      </c>
      <c r="C164" s="2">
        <v>-101.987999</v>
      </c>
      <c r="D164" s="24">
        <f t="shared" si="1"/>
        <v>-343478.2609</v>
      </c>
      <c r="E164" s="25">
        <f t="shared" si="2"/>
        <v>71.62709831</v>
      </c>
      <c r="F164" s="24">
        <f t="shared" si="3"/>
        <v>0.00020853459</v>
      </c>
      <c r="G164" s="24">
        <f t="shared" si="4"/>
        <v>0</v>
      </c>
      <c r="H164" s="26">
        <f t="shared" si="5"/>
        <v>0</v>
      </c>
      <c r="I164" s="24">
        <f t="shared" si="6"/>
        <v>0</v>
      </c>
      <c r="J164" s="24">
        <f t="shared" si="7"/>
        <v>0</v>
      </c>
      <c r="K164" s="24"/>
      <c r="L164" s="24">
        <f t="shared" si="8"/>
        <v>481.1785592</v>
      </c>
      <c r="M164" s="31">
        <f t="shared" si="9"/>
        <v>445.7214184</v>
      </c>
      <c r="N164" s="27">
        <f t="shared" si="10"/>
        <v>35.4571408</v>
      </c>
      <c r="O164" s="24"/>
      <c r="P164" s="24"/>
      <c r="Q164" s="24"/>
      <c r="R164" s="26"/>
      <c r="S164" s="14">
        <f t="shared" si="13"/>
        <v>32.56015527</v>
      </c>
      <c r="U164" s="21"/>
      <c r="V164" s="21"/>
    </row>
    <row r="165">
      <c r="A165" s="11">
        <v>153.0</v>
      </c>
      <c r="B165" s="11">
        <v>1.42006086956521E9</v>
      </c>
      <c r="C165" s="2">
        <v>-101.9674454</v>
      </c>
      <c r="D165" s="24">
        <f t="shared" si="1"/>
        <v>-339130.4348</v>
      </c>
      <c r="E165" s="25">
        <f t="shared" si="2"/>
        <v>70.70880218</v>
      </c>
      <c r="F165" s="24">
        <f t="shared" si="3"/>
        <v>0.0002085003141</v>
      </c>
      <c r="G165" s="24">
        <f t="shared" si="4"/>
        <v>0</v>
      </c>
      <c r="H165" s="26">
        <f t="shared" si="5"/>
        <v>0</v>
      </c>
      <c r="I165" s="24">
        <f t="shared" si="6"/>
        <v>0</v>
      </c>
      <c r="J165" s="24">
        <f t="shared" si="7"/>
        <v>0</v>
      </c>
      <c r="K165" s="24"/>
      <c r="L165" s="24">
        <f t="shared" si="8"/>
        <v>483.4612019</v>
      </c>
      <c r="M165" s="31">
        <f t="shared" si="9"/>
        <v>445.6044982</v>
      </c>
      <c r="N165" s="27">
        <f t="shared" si="10"/>
        <v>37.85670371</v>
      </c>
      <c r="O165" s="24"/>
      <c r="P165" s="24"/>
      <c r="Q165" s="24"/>
      <c r="R165" s="26"/>
      <c r="S165" s="14">
        <f t="shared" si="13"/>
        <v>34.76366461</v>
      </c>
      <c r="U165" s="21"/>
      <c r="V165" s="21"/>
    </row>
    <row r="166">
      <c r="A166" s="11">
        <v>154.0</v>
      </c>
      <c r="B166" s="11">
        <v>1.4200652173913E9</v>
      </c>
      <c r="C166" s="2">
        <v>-101.8780212</v>
      </c>
      <c r="D166" s="24">
        <f t="shared" si="1"/>
        <v>-334782.6087</v>
      </c>
      <c r="E166" s="25">
        <f t="shared" si="2"/>
        <v>69.79050604</v>
      </c>
      <c r="F166" s="24">
        <f t="shared" si="3"/>
        <v>0.0002084651479</v>
      </c>
      <c r="G166" s="24">
        <f t="shared" si="4"/>
        <v>0</v>
      </c>
      <c r="H166" s="26">
        <f t="shared" si="5"/>
        <v>0</v>
      </c>
      <c r="I166" s="24">
        <f t="shared" si="6"/>
        <v>0</v>
      </c>
      <c r="J166" s="24">
        <f t="shared" si="7"/>
        <v>0</v>
      </c>
      <c r="K166" s="24"/>
      <c r="L166" s="24">
        <f t="shared" si="8"/>
        <v>493.5191933</v>
      </c>
      <c r="M166" s="31">
        <f t="shared" si="9"/>
        <v>445.4881004</v>
      </c>
      <c r="N166" s="27">
        <f t="shared" si="10"/>
        <v>48.0310929</v>
      </c>
      <c r="O166" s="24"/>
      <c r="P166" s="24"/>
      <c r="Q166" s="24"/>
      <c r="R166" s="26"/>
      <c r="S166" s="14">
        <f t="shared" si="13"/>
        <v>44.10676676</v>
      </c>
      <c r="U166" s="21"/>
      <c r="V166" s="21"/>
    </row>
    <row r="167">
      <c r="A167" s="11">
        <v>155.0</v>
      </c>
      <c r="B167" s="11">
        <v>1.42006956521739E9</v>
      </c>
      <c r="C167" s="2">
        <v>-101.8735199</v>
      </c>
      <c r="D167" s="24">
        <f t="shared" si="1"/>
        <v>-330434.7826</v>
      </c>
      <c r="E167" s="25">
        <f t="shared" si="2"/>
        <v>68.87220991</v>
      </c>
      <c r="F167" s="24">
        <f t="shared" si="3"/>
        <v>0.0002084290563</v>
      </c>
      <c r="G167" s="24">
        <f t="shared" si="4"/>
        <v>0</v>
      </c>
      <c r="H167" s="26">
        <f t="shared" si="5"/>
        <v>0</v>
      </c>
      <c r="I167" s="24">
        <f t="shared" si="6"/>
        <v>0</v>
      </c>
      <c r="J167" s="24">
        <f t="shared" si="7"/>
        <v>0</v>
      </c>
      <c r="K167" s="24"/>
      <c r="L167" s="24">
        <f t="shared" si="8"/>
        <v>494.0309727</v>
      </c>
      <c r="M167" s="31">
        <f t="shared" si="9"/>
        <v>445.3722219</v>
      </c>
      <c r="N167" s="27">
        <f t="shared" si="10"/>
        <v>48.65875086</v>
      </c>
      <c r="O167" s="24"/>
      <c r="P167" s="24"/>
      <c r="Q167" s="24"/>
      <c r="R167" s="26"/>
      <c r="S167" s="14">
        <f t="shared" si="13"/>
        <v>44.68314274</v>
      </c>
      <c r="U167" s="21"/>
      <c r="V167" s="21"/>
    </row>
    <row r="168">
      <c r="A168" s="11">
        <v>156.0</v>
      </c>
      <c r="B168" s="11">
        <v>1.42007391304347E9</v>
      </c>
      <c r="C168" s="2">
        <v>-101.9641724</v>
      </c>
      <c r="D168" s="24">
        <f t="shared" si="1"/>
        <v>-326086.9565</v>
      </c>
      <c r="E168" s="25">
        <f t="shared" si="2"/>
        <v>67.95391378</v>
      </c>
      <c r="F168" s="24">
        <f t="shared" si="3"/>
        <v>0.0002083920023</v>
      </c>
      <c r="G168" s="24">
        <f t="shared" si="4"/>
        <v>0</v>
      </c>
      <c r="H168" s="26">
        <f t="shared" si="5"/>
        <v>0</v>
      </c>
      <c r="I168" s="24">
        <f t="shared" si="6"/>
        <v>0</v>
      </c>
      <c r="J168" s="24">
        <f t="shared" si="7"/>
        <v>0</v>
      </c>
      <c r="K168" s="24"/>
      <c r="L168" s="24">
        <f t="shared" si="8"/>
        <v>483.825693</v>
      </c>
      <c r="M168" s="31">
        <f t="shared" si="9"/>
        <v>445.2568591</v>
      </c>
      <c r="N168" s="27">
        <f t="shared" si="10"/>
        <v>38.56883391</v>
      </c>
      <c r="O168" s="24"/>
      <c r="P168" s="24"/>
      <c r="Q168" s="24"/>
      <c r="R168" s="26"/>
      <c r="S168" s="14">
        <f t="shared" si="13"/>
        <v>35.41761103</v>
      </c>
      <c r="U168" s="21"/>
      <c r="V168" s="21"/>
    </row>
    <row r="169">
      <c r="A169" s="11">
        <v>157.0</v>
      </c>
      <c r="B169" s="11">
        <v>1.42007826086956E9</v>
      </c>
      <c r="C169" s="2">
        <v>-101.9164734</v>
      </c>
      <c r="D169" s="24">
        <f t="shared" si="1"/>
        <v>-321739.1304</v>
      </c>
      <c r="E169" s="25">
        <f t="shared" si="2"/>
        <v>67.03561765</v>
      </c>
      <c r="F169" s="24">
        <f t="shared" si="3"/>
        <v>0.0002083539467</v>
      </c>
      <c r="G169" s="24">
        <f t="shared" si="4"/>
        <v>0</v>
      </c>
      <c r="H169" s="26">
        <f t="shared" si="5"/>
        <v>0</v>
      </c>
      <c r="I169" s="24">
        <f t="shared" si="6"/>
        <v>0</v>
      </c>
      <c r="J169" s="24">
        <f t="shared" si="7"/>
        <v>0</v>
      </c>
      <c r="K169" s="24"/>
      <c r="L169" s="24">
        <f t="shared" si="8"/>
        <v>489.168888</v>
      </c>
      <c r="M169" s="31">
        <f t="shared" si="9"/>
        <v>445.142009</v>
      </c>
      <c r="N169" s="27">
        <f t="shared" si="10"/>
        <v>44.02687903</v>
      </c>
      <c r="O169" s="24"/>
      <c r="P169" s="24"/>
      <c r="Q169" s="24"/>
      <c r="R169" s="26"/>
      <c r="S169" s="14">
        <f t="shared" si="13"/>
        <v>40.42971265</v>
      </c>
      <c r="U169" s="21"/>
      <c r="V169" s="21"/>
    </row>
    <row r="170">
      <c r="A170" s="11">
        <v>158.0</v>
      </c>
      <c r="B170" s="11">
        <v>1.42008260869565E9</v>
      </c>
      <c r="C170" s="2">
        <v>-101.9060745</v>
      </c>
      <c r="D170" s="24">
        <f t="shared" si="1"/>
        <v>-317391.3043</v>
      </c>
      <c r="E170" s="25">
        <f t="shared" si="2"/>
        <v>66.11732152</v>
      </c>
      <c r="F170" s="24">
        <f t="shared" si="3"/>
        <v>0.0002083148486</v>
      </c>
      <c r="G170" s="24">
        <f t="shared" si="4"/>
        <v>0</v>
      </c>
      <c r="H170" s="26">
        <f t="shared" si="5"/>
        <v>0</v>
      </c>
      <c r="I170" s="24">
        <f t="shared" si="6"/>
        <v>0</v>
      </c>
      <c r="J170" s="24">
        <f t="shared" si="7"/>
        <v>0</v>
      </c>
      <c r="K170" s="24"/>
      <c r="L170" s="24">
        <f t="shared" si="8"/>
        <v>490.3415746</v>
      </c>
      <c r="M170" s="31">
        <f t="shared" si="9"/>
        <v>445.0276682</v>
      </c>
      <c r="N170" s="27">
        <f t="shared" si="10"/>
        <v>45.31390646</v>
      </c>
      <c r="O170" s="24"/>
      <c r="P170" s="24"/>
      <c r="Q170" s="24"/>
      <c r="R170" s="26"/>
      <c r="S170" s="14">
        <f t="shared" si="13"/>
        <v>41.61158506</v>
      </c>
      <c r="U170" s="21"/>
      <c r="V170" s="21"/>
    </row>
    <row r="171">
      <c r="A171" s="11">
        <v>159.0</v>
      </c>
      <c r="B171" s="11">
        <v>1.42008695652173E9</v>
      </c>
      <c r="C171" s="2">
        <v>-101.8580704</v>
      </c>
      <c r="D171" s="24">
        <f t="shared" si="1"/>
        <v>-313043.4783</v>
      </c>
      <c r="E171" s="25">
        <f t="shared" si="2"/>
        <v>65.19902538</v>
      </c>
      <c r="F171" s="24">
        <f t="shared" si="3"/>
        <v>0.0002082746644</v>
      </c>
      <c r="G171" s="24">
        <f t="shared" si="4"/>
        <v>0</v>
      </c>
      <c r="H171" s="26">
        <f t="shared" si="5"/>
        <v>0</v>
      </c>
      <c r="I171" s="24">
        <f t="shared" si="6"/>
        <v>0</v>
      </c>
      <c r="J171" s="24">
        <f t="shared" si="7"/>
        <v>0</v>
      </c>
      <c r="K171" s="24"/>
      <c r="L171" s="24">
        <f t="shared" si="8"/>
        <v>495.7915577</v>
      </c>
      <c r="M171" s="31">
        <f t="shared" si="9"/>
        <v>444.9138334</v>
      </c>
      <c r="N171" s="27">
        <f t="shared" si="10"/>
        <v>50.87772432</v>
      </c>
      <c r="O171" s="24"/>
      <c r="P171" s="24"/>
      <c r="Q171" s="24"/>
      <c r="R171" s="26"/>
      <c r="S171" s="14">
        <f t="shared" si="13"/>
        <v>46.72081749</v>
      </c>
      <c r="U171" s="21"/>
      <c r="V171" s="21"/>
    </row>
    <row r="172">
      <c r="A172" s="11">
        <v>160.0</v>
      </c>
      <c r="B172" s="11">
        <v>1.42009130434782E9</v>
      </c>
      <c r="C172" s="2">
        <v>-101.9265289</v>
      </c>
      <c r="D172" s="24">
        <f t="shared" si="1"/>
        <v>-308695.6522</v>
      </c>
      <c r="E172" s="25">
        <f t="shared" si="2"/>
        <v>64.28072925</v>
      </c>
      <c r="F172" s="24">
        <f t="shared" si="3"/>
        <v>0.0002082333483</v>
      </c>
      <c r="G172" s="24">
        <f t="shared" si="4"/>
        <v>0</v>
      </c>
      <c r="H172" s="26">
        <f t="shared" si="5"/>
        <v>0</v>
      </c>
      <c r="I172" s="24">
        <f t="shared" si="6"/>
        <v>0</v>
      </c>
      <c r="J172" s="24">
        <f t="shared" si="7"/>
        <v>0</v>
      </c>
      <c r="K172" s="24"/>
      <c r="L172" s="24">
        <f t="shared" si="8"/>
        <v>488.037594</v>
      </c>
      <c r="M172" s="31">
        <f t="shared" si="9"/>
        <v>444.8005014</v>
      </c>
      <c r="N172" s="27">
        <f t="shared" si="10"/>
        <v>43.23709261</v>
      </c>
      <c r="O172" s="24"/>
      <c r="P172" s="24"/>
      <c r="Q172" s="24"/>
      <c r="R172" s="26"/>
      <c r="S172" s="14">
        <f t="shared" si="13"/>
        <v>39.70445494</v>
      </c>
      <c r="U172" s="21"/>
      <c r="V172" s="21"/>
    </row>
    <row r="173">
      <c r="A173" s="11">
        <v>161.0</v>
      </c>
      <c r="B173" s="11">
        <v>1.42009565217391E9</v>
      </c>
      <c r="C173" s="2">
        <v>-101.8845367</v>
      </c>
      <c r="D173" s="24">
        <f t="shared" si="1"/>
        <v>-304347.8261</v>
      </c>
      <c r="E173" s="25">
        <f t="shared" si="2"/>
        <v>63.36243312</v>
      </c>
      <c r="F173" s="24">
        <f t="shared" si="3"/>
        <v>0.0002081908517</v>
      </c>
      <c r="G173" s="24">
        <f t="shared" si="4"/>
        <v>0</v>
      </c>
      <c r="H173" s="26">
        <f t="shared" si="5"/>
        <v>0</v>
      </c>
      <c r="I173" s="24">
        <f t="shared" si="6"/>
        <v>0</v>
      </c>
      <c r="J173" s="24">
        <f t="shared" si="7"/>
        <v>0</v>
      </c>
      <c r="K173" s="24"/>
      <c r="L173" s="24">
        <f t="shared" si="8"/>
        <v>492.7793466</v>
      </c>
      <c r="M173" s="31">
        <f t="shared" si="9"/>
        <v>444.6876688</v>
      </c>
      <c r="N173" s="27">
        <f t="shared" si="10"/>
        <v>48.09167784</v>
      </c>
      <c r="O173" s="24"/>
      <c r="P173" s="24"/>
      <c r="Q173" s="24"/>
      <c r="R173" s="26"/>
      <c r="S173" s="14">
        <f t="shared" si="13"/>
        <v>44.16240168</v>
      </c>
      <c r="U173" s="21"/>
      <c r="V173" s="21"/>
    </row>
    <row r="174">
      <c r="A174" s="11">
        <v>162.0</v>
      </c>
      <c r="B174" s="11">
        <v>1.4201E9</v>
      </c>
      <c r="C174" s="2">
        <v>-101.9027634</v>
      </c>
      <c r="D174" s="24">
        <f t="shared" si="1"/>
        <v>-300000</v>
      </c>
      <c r="E174" s="25">
        <f t="shared" si="2"/>
        <v>62.44413699</v>
      </c>
      <c r="F174" s="24">
        <f t="shared" si="3"/>
        <v>0.0002081471233</v>
      </c>
      <c r="G174" s="24">
        <f t="shared" si="4"/>
        <v>0</v>
      </c>
      <c r="H174" s="26">
        <f t="shared" si="5"/>
        <v>0</v>
      </c>
      <c r="I174" s="24">
        <f t="shared" si="6"/>
        <v>0</v>
      </c>
      <c r="J174" s="24">
        <f t="shared" si="7"/>
        <v>0</v>
      </c>
      <c r="K174" s="24"/>
      <c r="L174" s="24">
        <f t="shared" si="8"/>
        <v>490.715558</v>
      </c>
      <c r="M174" s="31">
        <f t="shared" si="9"/>
        <v>444.5753324</v>
      </c>
      <c r="N174" s="27">
        <f t="shared" si="10"/>
        <v>46.14022561</v>
      </c>
      <c r="O174" s="24"/>
      <c r="P174" s="24"/>
      <c r="Q174" s="24"/>
      <c r="R174" s="26"/>
      <c r="S174" s="14">
        <f t="shared" si="13"/>
        <v>42.37039074</v>
      </c>
      <c r="U174" s="21"/>
      <c r="V174" s="21"/>
    </row>
    <row r="175">
      <c r="A175" s="11">
        <v>163.0</v>
      </c>
      <c r="B175" s="11">
        <v>1.42010434782608E9</v>
      </c>
      <c r="C175" s="2">
        <v>-101.8771515</v>
      </c>
      <c r="D175" s="24">
        <f t="shared" si="1"/>
        <v>-295652.1739</v>
      </c>
      <c r="E175" s="25">
        <f t="shared" si="2"/>
        <v>61.52584085</v>
      </c>
      <c r="F175" s="24">
        <f t="shared" si="3"/>
        <v>0.0002081021088</v>
      </c>
      <c r="G175" s="24">
        <f t="shared" si="4"/>
        <v>0</v>
      </c>
      <c r="H175" s="26">
        <f t="shared" si="5"/>
        <v>0</v>
      </c>
      <c r="I175" s="24">
        <f t="shared" si="6"/>
        <v>0</v>
      </c>
      <c r="J175" s="24">
        <f t="shared" si="7"/>
        <v>0</v>
      </c>
      <c r="K175" s="24"/>
      <c r="L175" s="24">
        <f t="shared" si="8"/>
        <v>493.6180333</v>
      </c>
      <c r="M175" s="31">
        <f t="shared" si="9"/>
        <v>444.4634889</v>
      </c>
      <c r="N175" s="27">
        <f t="shared" si="10"/>
        <v>49.15454444</v>
      </c>
      <c r="O175" s="24"/>
      <c r="P175" s="24"/>
      <c r="Q175" s="24"/>
      <c r="R175" s="26"/>
      <c r="S175" s="14">
        <f t="shared" si="13"/>
        <v>45.13842807</v>
      </c>
      <c r="U175" s="21"/>
      <c r="V175" s="21"/>
    </row>
    <row r="176">
      <c r="A176" s="11">
        <v>164.0</v>
      </c>
      <c r="B176" s="11">
        <v>1.42010869565217E9</v>
      </c>
      <c r="C176" s="2">
        <v>-101.9069214</v>
      </c>
      <c r="D176" s="24">
        <f t="shared" si="1"/>
        <v>-291304.3478</v>
      </c>
      <c r="E176" s="25">
        <f t="shared" si="2"/>
        <v>60.60754472</v>
      </c>
      <c r="F176" s="24">
        <f t="shared" si="3"/>
        <v>0.0002080557505</v>
      </c>
      <c r="G176" s="24">
        <f t="shared" si="4"/>
        <v>0</v>
      </c>
      <c r="H176" s="26">
        <f t="shared" si="5"/>
        <v>0</v>
      </c>
      <c r="I176" s="24">
        <f t="shared" si="6"/>
        <v>0</v>
      </c>
      <c r="J176" s="24">
        <f t="shared" si="7"/>
        <v>0</v>
      </c>
      <c r="K176" s="24"/>
      <c r="L176" s="24">
        <f t="shared" si="8"/>
        <v>490.2459645</v>
      </c>
      <c r="M176" s="31">
        <f t="shared" si="9"/>
        <v>444.352135</v>
      </c>
      <c r="N176" s="27">
        <f t="shared" si="10"/>
        <v>45.89382943</v>
      </c>
      <c r="O176" s="24"/>
      <c r="P176" s="24"/>
      <c r="Q176" s="24"/>
      <c r="R176" s="26"/>
      <c r="S176" s="14">
        <f t="shared" si="13"/>
        <v>42.14412598</v>
      </c>
      <c r="U176" s="21"/>
      <c r="V176" s="21"/>
    </row>
    <row r="177">
      <c r="A177" s="11">
        <v>165.0</v>
      </c>
      <c r="B177" s="11">
        <v>1.42011304347826E9</v>
      </c>
      <c r="C177" s="2">
        <v>-101.8976669</v>
      </c>
      <c r="D177" s="24">
        <f t="shared" si="1"/>
        <v>-286956.5217</v>
      </c>
      <c r="E177" s="25">
        <f t="shared" si="2"/>
        <v>59.68924859</v>
      </c>
      <c r="F177" s="24">
        <f t="shared" si="3"/>
        <v>0.0002080079875</v>
      </c>
      <c r="G177" s="24">
        <f t="shared" si="4"/>
        <v>0</v>
      </c>
      <c r="H177" s="26">
        <f t="shared" si="5"/>
        <v>0</v>
      </c>
      <c r="I177" s="24">
        <f t="shared" si="6"/>
        <v>0</v>
      </c>
      <c r="J177" s="24">
        <f t="shared" si="7"/>
        <v>0</v>
      </c>
      <c r="K177" s="24"/>
      <c r="L177" s="24">
        <f t="shared" si="8"/>
        <v>491.2917569</v>
      </c>
      <c r="M177" s="31">
        <f t="shared" si="9"/>
        <v>444.2412675</v>
      </c>
      <c r="N177" s="27">
        <f t="shared" si="10"/>
        <v>47.05048936</v>
      </c>
      <c r="O177" s="24"/>
      <c r="P177" s="24"/>
      <c r="Q177" s="24"/>
      <c r="R177" s="26"/>
      <c r="S177" s="14">
        <f t="shared" si="13"/>
        <v>43.20628243</v>
      </c>
      <c r="U177" s="21"/>
      <c r="V177" s="21"/>
    </row>
    <row r="178">
      <c r="A178" s="11">
        <v>166.0</v>
      </c>
      <c r="B178" s="11">
        <v>1.42011739130434E9</v>
      </c>
      <c r="C178" s="2">
        <v>-101.9351654</v>
      </c>
      <c r="D178" s="24">
        <f t="shared" si="1"/>
        <v>-282608.6957</v>
      </c>
      <c r="E178" s="25">
        <f t="shared" si="2"/>
        <v>58.77095246</v>
      </c>
      <c r="F178" s="24">
        <f t="shared" si="3"/>
        <v>0.0002079587548</v>
      </c>
      <c r="G178" s="24">
        <f t="shared" si="4"/>
        <v>0</v>
      </c>
      <c r="H178" s="26">
        <f t="shared" si="5"/>
        <v>0</v>
      </c>
      <c r="I178" s="24">
        <f t="shared" si="6"/>
        <v>0</v>
      </c>
      <c r="J178" s="24">
        <f t="shared" si="7"/>
        <v>0</v>
      </c>
      <c r="K178" s="24"/>
      <c r="L178" s="24">
        <f t="shared" si="8"/>
        <v>487.0680333</v>
      </c>
      <c r="M178" s="31">
        <f t="shared" si="9"/>
        <v>444.130883</v>
      </c>
      <c r="N178" s="27">
        <f t="shared" si="10"/>
        <v>42.93715028</v>
      </c>
      <c r="O178" s="24"/>
      <c r="P178" s="24"/>
      <c r="Q178" s="24"/>
      <c r="R178" s="26"/>
      <c r="S178" s="14">
        <f t="shared" si="13"/>
        <v>39.42901906</v>
      </c>
      <c r="U178" s="21"/>
      <c r="V178" s="21"/>
    </row>
    <row r="179">
      <c r="A179" s="11">
        <v>167.0</v>
      </c>
      <c r="B179" s="11">
        <v>1.42012173913043E9</v>
      </c>
      <c r="C179" s="2">
        <v>-101.8581085</v>
      </c>
      <c r="D179" s="24">
        <f t="shared" si="1"/>
        <v>-278260.8696</v>
      </c>
      <c r="E179" s="25">
        <f t="shared" si="2"/>
        <v>57.85265632</v>
      </c>
      <c r="F179" s="24">
        <f t="shared" si="3"/>
        <v>0.0002079079837</v>
      </c>
      <c r="G179" s="24">
        <f t="shared" si="4"/>
        <v>0</v>
      </c>
      <c r="H179" s="26">
        <f t="shared" si="5"/>
        <v>0</v>
      </c>
      <c r="I179" s="24">
        <f t="shared" si="6"/>
        <v>0</v>
      </c>
      <c r="J179" s="24">
        <f t="shared" si="7"/>
        <v>0</v>
      </c>
      <c r="K179" s="24"/>
      <c r="L179" s="24">
        <f t="shared" si="8"/>
        <v>495.7872082</v>
      </c>
      <c r="M179" s="31">
        <f t="shared" si="9"/>
        <v>444.0209783</v>
      </c>
      <c r="N179" s="27">
        <f t="shared" si="10"/>
        <v>51.76622992</v>
      </c>
      <c r="O179" s="24"/>
      <c r="P179" s="24"/>
      <c r="Q179" s="24"/>
      <c r="R179" s="26"/>
      <c r="S179" s="14">
        <f t="shared" si="13"/>
        <v>47.53672863</v>
      </c>
      <c r="U179" s="21"/>
      <c r="V179" s="21"/>
    </row>
    <row r="180">
      <c r="A180" s="11">
        <v>168.0</v>
      </c>
      <c r="B180" s="11">
        <v>1.42012608695652E9</v>
      </c>
      <c r="C180" s="2">
        <v>-101.9156723</v>
      </c>
      <c r="D180" s="24">
        <f t="shared" si="1"/>
        <v>-273913.0435</v>
      </c>
      <c r="E180" s="25">
        <f t="shared" si="2"/>
        <v>56.93436019</v>
      </c>
      <c r="F180" s="24">
        <f t="shared" si="3"/>
        <v>0.0002078556007</v>
      </c>
      <c r="G180" s="24">
        <f t="shared" si="4"/>
        <v>0</v>
      </c>
      <c r="H180" s="26">
        <f t="shared" si="5"/>
        <v>0</v>
      </c>
      <c r="I180" s="24">
        <f t="shared" si="6"/>
        <v>0</v>
      </c>
      <c r="J180" s="24">
        <f t="shared" si="7"/>
        <v>0</v>
      </c>
      <c r="K180" s="24"/>
      <c r="L180" s="24">
        <f t="shared" si="8"/>
        <v>489.2591285</v>
      </c>
      <c r="M180" s="31">
        <f t="shared" si="9"/>
        <v>443.9115501</v>
      </c>
      <c r="N180" s="27">
        <f t="shared" si="10"/>
        <v>45.34757838</v>
      </c>
      <c r="O180" s="24"/>
      <c r="P180" s="24"/>
      <c r="Q180" s="24"/>
      <c r="R180" s="26"/>
      <c r="S180" s="14">
        <f t="shared" si="13"/>
        <v>41.64250586</v>
      </c>
      <c r="U180" s="21"/>
      <c r="V180" s="21"/>
    </row>
    <row r="181">
      <c r="A181" s="11">
        <v>169.0</v>
      </c>
      <c r="B181" s="11">
        <v>1.4201304347826E9</v>
      </c>
      <c r="C181" s="2">
        <v>-101.9275284</v>
      </c>
      <c r="D181" s="24">
        <f t="shared" si="1"/>
        <v>-269565.2174</v>
      </c>
      <c r="E181" s="25">
        <f t="shared" si="2"/>
        <v>56.01606406</v>
      </c>
      <c r="F181" s="24">
        <f t="shared" si="3"/>
        <v>0.000207801528</v>
      </c>
      <c r="G181" s="24">
        <f t="shared" si="4"/>
        <v>0</v>
      </c>
      <c r="H181" s="26">
        <f t="shared" si="5"/>
        <v>0</v>
      </c>
      <c r="I181" s="24">
        <f t="shared" si="6"/>
        <v>0</v>
      </c>
      <c r="J181" s="24">
        <f t="shared" si="7"/>
        <v>0</v>
      </c>
      <c r="K181" s="24"/>
      <c r="L181" s="24">
        <f t="shared" si="8"/>
        <v>487.9252883</v>
      </c>
      <c r="M181" s="31">
        <f t="shared" si="9"/>
        <v>443.8025951</v>
      </c>
      <c r="N181" s="27">
        <f t="shared" si="10"/>
        <v>44.12269316</v>
      </c>
      <c r="O181" s="24"/>
      <c r="P181" s="24"/>
      <c r="Q181" s="24"/>
      <c r="R181" s="26"/>
      <c r="S181" s="14">
        <f t="shared" si="13"/>
        <v>40.51769849</v>
      </c>
      <c r="U181" s="21"/>
      <c r="V181" s="21"/>
    </row>
    <row r="182">
      <c r="A182" s="11">
        <v>170.0</v>
      </c>
      <c r="B182" s="11">
        <v>1.42013478260869E9</v>
      </c>
      <c r="C182" s="2">
        <v>-101.9591522</v>
      </c>
      <c r="D182" s="24">
        <f t="shared" si="1"/>
        <v>-265217.3913</v>
      </c>
      <c r="E182" s="25">
        <f t="shared" si="2"/>
        <v>55.09776793</v>
      </c>
      <c r="F182" s="24">
        <f t="shared" si="3"/>
        <v>0.0002077456823</v>
      </c>
      <c r="G182" s="24">
        <f t="shared" si="4"/>
        <v>0</v>
      </c>
      <c r="H182" s="26">
        <f t="shared" si="5"/>
        <v>0</v>
      </c>
      <c r="I182" s="24">
        <f t="shared" si="6"/>
        <v>0</v>
      </c>
      <c r="J182" s="24">
        <f t="shared" si="7"/>
        <v>0</v>
      </c>
      <c r="K182" s="24"/>
      <c r="L182" s="24">
        <f t="shared" si="8"/>
        <v>484.3852917</v>
      </c>
      <c r="M182" s="31">
        <f t="shared" si="9"/>
        <v>443.6941101</v>
      </c>
      <c r="N182" s="27">
        <f t="shared" si="10"/>
        <v>40.69118166</v>
      </c>
      <c r="O182" s="24"/>
      <c r="P182" s="24"/>
      <c r="Q182" s="24"/>
      <c r="R182" s="26"/>
      <c r="S182" s="14">
        <f t="shared" si="13"/>
        <v>37.36655475</v>
      </c>
      <c r="U182" s="21"/>
      <c r="V182" s="21"/>
    </row>
    <row r="183">
      <c r="A183" s="11">
        <v>171.0</v>
      </c>
      <c r="B183" s="11">
        <v>1.42013913043478E9</v>
      </c>
      <c r="C183" s="2">
        <v>-101.8999863</v>
      </c>
      <c r="D183" s="24">
        <f t="shared" si="1"/>
        <v>-260869.5652</v>
      </c>
      <c r="E183" s="25">
        <f t="shared" si="2"/>
        <v>54.1794718</v>
      </c>
      <c r="F183" s="24">
        <f t="shared" si="3"/>
        <v>0.0002076879752</v>
      </c>
      <c r="G183" s="24">
        <f t="shared" si="4"/>
        <v>0</v>
      </c>
      <c r="H183" s="26">
        <f t="shared" si="5"/>
        <v>0</v>
      </c>
      <c r="I183" s="24">
        <f t="shared" si="6"/>
        <v>0</v>
      </c>
      <c r="J183" s="24">
        <f t="shared" si="7"/>
        <v>0</v>
      </c>
      <c r="K183" s="24"/>
      <c r="L183" s="24">
        <f t="shared" si="8"/>
        <v>491.0294469</v>
      </c>
      <c r="M183" s="31">
        <f t="shared" si="9"/>
        <v>443.5860916</v>
      </c>
      <c r="N183" s="27">
        <f t="shared" si="10"/>
        <v>47.44335521</v>
      </c>
      <c r="O183" s="24"/>
      <c r="P183" s="24"/>
      <c r="Q183" s="24"/>
      <c r="R183" s="26"/>
      <c r="S183" s="14">
        <f t="shared" si="13"/>
        <v>43.56704952</v>
      </c>
      <c r="U183" s="21"/>
      <c r="V183" s="21"/>
    </row>
    <row r="184">
      <c r="A184" s="11">
        <v>172.0</v>
      </c>
      <c r="B184" s="11">
        <v>1.42014347826087E9</v>
      </c>
      <c r="C184" s="2">
        <v>-101.9151001</v>
      </c>
      <c r="D184" s="24">
        <f t="shared" si="1"/>
        <v>-256521.7391</v>
      </c>
      <c r="E184" s="25">
        <f t="shared" si="2"/>
        <v>53.26117567</v>
      </c>
      <c r="F184" s="24">
        <f t="shared" si="3"/>
        <v>0.0002076283119</v>
      </c>
      <c r="G184" s="24">
        <f t="shared" si="4"/>
        <v>0</v>
      </c>
      <c r="H184" s="26">
        <f t="shared" si="5"/>
        <v>0</v>
      </c>
      <c r="I184" s="24">
        <f t="shared" si="6"/>
        <v>0</v>
      </c>
      <c r="J184" s="24">
        <f t="shared" si="7"/>
        <v>0</v>
      </c>
      <c r="K184" s="24"/>
      <c r="L184" s="24">
        <f t="shared" si="8"/>
        <v>489.3235945</v>
      </c>
      <c r="M184" s="31">
        <f t="shared" si="9"/>
        <v>443.4785366</v>
      </c>
      <c r="N184" s="27">
        <f t="shared" si="10"/>
        <v>45.84505796</v>
      </c>
      <c r="O184" s="24"/>
      <c r="P184" s="24"/>
      <c r="Q184" s="24"/>
      <c r="R184" s="26"/>
      <c r="S184" s="14">
        <f t="shared" si="13"/>
        <v>42.09933943</v>
      </c>
      <c r="U184" s="21"/>
      <c r="V184" s="21"/>
    </row>
    <row r="185">
      <c r="A185" s="11">
        <v>173.0</v>
      </c>
      <c r="B185" s="11">
        <v>1.42014782608695E9</v>
      </c>
      <c r="C185" s="2">
        <v>-101.9370117</v>
      </c>
      <c r="D185" s="24">
        <f t="shared" si="1"/>
        <v>-252173.913</v>
      </c>
      <c r="E185" s="25">
        <f t="shared" si="2"/>
        <v>52.34287953</v>
      </c>
      <c r="F185" s="24">
        <f t="shared" si="3"/>
        <v>0.0002075665912</v>
      </c>
      <c r="G185" s="24">
        <f t="shared" si="4"/>
        <v>0</v>
      </c>
      <c r="H185" s="26">
        <f t="shared" si="5"/>
        <v>0</v>
      </c>
      <c r="I185" s="24">
        <f t="shared" si="6"/>
        <v>0</v>
      </c>
      <c r="J185" s="24">
        <f t="shared" si="7"/>
        <v>0</v>
      </c>
      <c r="K185" s="24"/>
      <c r="L185" s="24">
        <f t="shared" si="8"/>
        <v>486.8610119</v>
      </c>
      <c r="M185" s="31">
        <f t="shared" si="9"/>
        <v>443.3714416</v>
      </c>
      <c r="N185" s="27">
        <f t="shared" si="10"/>
        <v>43.48957025</v>
      </c>
      <c r="O185" s="24"/>
      <c r="P185" s="24"/>
      <c r="Q185" s="24"/>
      <c r="R185" s="26"/>
      <c r="S185" s="14">
        <f t="shared" si="13"/>
        <v>39.93630418</v>
      </c>
      <c r="U185" s="21"/>
      <c r="V185" s="21"/>
    </row>
    <row r="186">
      <c r="A186" s="11">
        <v>174.0</v>
      </c>
      <c r="B186" s="11">
        <v>1.42015217391304E9</v>
      </c>
      <c r="C186" s="2">
        <v>-101.9909897</v>
      </c>
      <c r="D186" s="24">
        <f t="shared" si="1"/>
        <v>-247826.087</v>
      </c>
      <c r="E186" s="25">
        <f t="shared" si="2"/>
        <v>51.4245834</v>
      </c>
      <c r="F186" s="24">
        <f t="shared" si="3"/>
        <v>0.0002075027049</v>
      </c>
      <c r="G186" s="24">
        <f t="shared" si="4"/>
        <v>0</v>
      </c>
      <c r="H186" s="26">
        <f t="shared" si="5"/>
        <v>0</v>
      </c>
      <c r="I186" s="24">
        <f t="shared" si="6"/>
        <v>0</v>
      </c>
      <c r="J186" s="24">
        <f t="shared" si="7"/>
        <v>0</v>
      </c>
      <c r="K186" s="24"/>
      <c r="L186" s="24">
        <f t="shared" si="8"/>
        <v>480.8473173</v>
      </c>
      <c r="M186" s="31">
        <f t="shared" si="9"/>
        <v>443.2648035</v>
      </c>
      <c r="N186" s="27">
        <f t="shared" si="10"/>
        <v>37.58251379</v>
      </c>
      <c r="O186" s="24"/>
      <c r="P186" s="24"/>
      <c r="Q186" s="24"/>
      <c r="R186" s="26"/>
      <c r="S186" s="14">
        <f t="shared" si="13"/>
        <v>34.511877</v>
      </c>
      <c r="U186" s="21"/>
      <c r="V186" s="21"/>
    </row>
    <row r="187">
      <c r="A187" s="11">
        <v>175.0</v>
      </c>
      <c r="B187" s="11">
        <v>1.42015652173913E9</v>
      </c>
      <c r="C187" s="2">
        <v>-101.8938217</v>
      </c>
      <c r="D187" s="24">
        <f t="shared" si="1"/>
        <v>-243478.2609</v>
      </c>
      <c r="E187" s="25">
        <f t="shared" si="2"/>
        <v>50.50628727</v>
      </c>
      <c r="F187" s="24">
        <f t="shared" si="3"/>
        <v>0.000207436537</v>
      </c>
      <c r="G187" s="24">
        <f t="shared" si="4"/>
        <v>0</v>
      </c>
      <c r="H187" s="26">
        <f t="shared" si="5"/>
        <v>0</v>
      </c>
      <c r="I187" s="24">
        <f t="shared" si="6"/>
        <v>0</v>
      </c>
      <c r="J187" s="24">
        <f t="shared" si="7"/>
        <v>0</v>
      </c>
      <c r="K187" s="24"/>
      <c r="L187" s="24">
        <f t="shared" si="8"/>
        <v>491.7269343</v>
      </c>
      <c r="M187" s="31">
        <f t="shared" si="9"/>
        <v>443.1586188</v>
      </c>
      <c r="N187" s="27">
        <f t="shared" si="10"/>
        <v>48.56831546</v>
      </c>
      <c r="O187" s="24"/>
      <c r="P187" s="24"/>
      <c r="Q187" s="24"/>
      <c r="R187" s="26"/>
      <c r="S187" s="14">
        <f t="shared" si="13"/>
        <v>44.60009626</v>
      </c>
      <c r="U187" s="21"/>
      <c r="V187" s="21"/>
    </row>
    <row r="188">
      <c r="A188" s="11">
        <v>176.0</v>
      </c>
      <c r="B188" s="11">
        <v>1.42016086956521E9</v>
      </c>
      <c r="C188" s="2">
        <v>-101.943222</v>
      </c>
      <c r="D188" s="24">
        <f t="shared" si="1"/>
        <v>-239130.4348</v>
      </c>
      <c r="E188" s="25">
        <f t="shared" si="2"/>
        <v>49.58799114</v>
      </c>
      <c r="F188" s="24">
        <f t="shared" si="3"/>
        <v>0.0002073679629</v>
      </c>
      <c r="G188" s="24">
        <f t="shared" si="4"/>
        <v>0</v>
      </c>
      <c r="H188" s="26">
        <f t="shared" si="5"/>
        <v>0</v>
      </c>
      <c r="I188" s="24">
        <f t="shared" si="6"/>
        <v>0</v>
      </c>
      <c r="J188" s="24">
        <f t="shared" si="7"/>
        <v>0</v>
      </c>
      <c r="K188" s="24"/>
      <c r="L188" s="24">
        <f t="shared" si="8"/>
        <v>486.1653106</v>
      </c>
      <c r="M188" s="31">
        <f t="shared" si="9"/>
        <v>443.0528844</v>
      </c>
      <c r="N188" s="27">
        <f t="shared" si="10"/>
        <v>43.11242618</v>
      </c>
      <c r="O188" s="24"/>
      <c r="P188" s="24"/>
      <c r="Q188" s="24"/>
      <c r="R188" s="26"/>
      <c r="S188" s="14">
        <f t="shared" si="13"/>
        <v>39.58997424</v>
      </c>
      <c r="U188" s="21"/>
      <c r="V188" s="21"/>
    </row>
    <row r="189">
      <c r="A189" s="11">
        <v>177.0</v>
      </c>
      <c r="B189" s="11">
        <v>1.4201652173913E9</v>
      </c>
      <c r="C189" s="2">
        <v>-101.9355469</v>
      </c>
      <c r="D189" s="24">
        <f t="shared" si="1"/>
        <v>-234782.6087</v>
      </c>
      <c r="E189" s="25">
        <f t="shared" si="2"/>
        <v>48.669695</v>
      </c>
      <c r="F189" s="24">
        <f t="shared" si="3"/>
        <v>0.0002072968491</v>
      </c>
      <c r="G189" s="24">
        <f t="shared" si="4"/>
        <v>0</v>
      </c>
      <c r="H189" s="26">
        <f t="shared" si="5"/>
        <v>0</v>
      </c>
      <c r="I189" s="24">
        <f t="shared" si="6"/>
        <v>0</v>
      </c>
      <c r="J189" s="24">
        <f t="shared" si="7"/>
        <v>0</v>
      </c>
      <c r="K189" s="24"/>
      <c r="L189" s="24">
        <f t="shared" si="8"/>
        <v>487.0252494</v>
      </c>
      <c r="M189" s="31">
        <f t="shared" si="9"/>
        <v>442.947597</v>
      </c>
      <c r="N189" s="27">
        <f t="shared" si="10"/>
        <v>44.07765235</v>
      </c>
      <c r="O189" s="24"/>
      <c r="P189" s="24"/>
      <c r="Q189" s="24"/>
      <c r="R189" s="26"/>
      <c r="S189" s="14">
        <f t="shared" si="13"/>
        <v>40.4763376</v>
      </c>
      <c r="U189" s="21"/>
      <c r="V189" s="21"/>
    </row>
    <row r="190">
      <c r="A190" s="11">
        <v>178.0</v>
      </c>
      <c r="B190" s="11">
        <v>1.42016956521739E9</v>
      </c>
      <c r="C190" s="2">
        <v>-101.9618988</v>
      </c>
      <c r="D190" s="24">
        <f t="shared" si="1"/>
        <v>-230434.7826</v>
      </c>
      <c r="E190" s="25">
        <f t="shared" si="2"/>
        <v>47.75139887</v>
      </c>
      <c r="F190" s="24">
        <f t="shared" si="3"/>
        <v>0.0002072230517</v>
      </c>
      <c r="G190" s="24">
        <f t="shared" si="4"/>
        <v>0</v>
      </c>
      <c r="H190" s="26">
        <f t="shared" si="5"/>
        <v>0</v>
      </c>
      <c r="I190" s="24">
        <f t="shared" si="6"/>
        <v>0</v>
      </c>
      <c r="J190" s="24">
        <f t="shared" si="7"/>
        <v>0</v>
      </c>
      <c r="K190" s="24"/>
      <c r="L190" s="24">
        <f t="shared" si="8"/>
        <v>484.0790497</v>
      </c>
      <c r="M190" s="31">
        <f t="shared" si="9"/>
        <v>442.8427533</v>
      </c>
      <c r="N190" s="27">
        <f t="shared" si="10"/>
        <v>41.23629647</v>
      </c>
      <c r="O190" s="24"/>
      <c r="P190" s="24"/>
      <c r="Q190" s="24"/>
      <c r="R190" s="26"/>
      <c r="S190" s="14">
        <f t="shared" si="13"/>
        <v>37.86713158</v>
      </c>
      <c r="U190" s="21"/>
      <c r="V190" s="21"/>
    </row>
    <row r="191">
      <c r="A191" s="11">
        <v>179.0</v>
      </c>
      <c r="B191" s="11">
        <v>1.42017391304347E9</v>
      </c>
      <c r="C191" s="2">
        <v>-101.9462433</v>
      </c>
      <c r="D191" s="24">
        <f t="shared" si="1"/>
        <v>-226086.9565</v>
      </c>
      <c r="E191" s="25">
        <f t="shared" si="2"/>
        <v>46.83310274</v>
      </c>
      <c r="F191" s="24">
        <f t="shared" si="3"/>
        <v>0.000207146416</v>
      </c>
      <c r="G191" s="24">
        <f t="shared" si="4"/>
        <v>0</v>
      </c>
      <c r="H191" s="26">
        <f t="shared" si="5"/>
        <v>0</v>
      </c>
      <c r="I191" s="24">
        <f t="shared" si="6"/>
        <v>0</v>
      </c>
      <c r="J191" s="24">
        <f t="shared" si="7"/>
        <v>0</v>
      </c>
      <c r="K191" s="24"/>
      <c r="L191" s="24">
        <f t="shared" si="8"/>
        <v>485.8272127</v>
      </c>
      <c r="M191" s="31">
        <f t="shared" si="9"/>
        <v>442.7383499</v>
      </c>
      <c r="N191" s="27">
        <f t="shared" si="10"/>
        <v>43.08886285</v>
      </c>
      <c r="O191" s="24"/>
      <c r="P191" s="24"/>
      <c r="Q191" s="24"/>
      <c r="R191" s="26"/>
      <c r="S191" s="14">
        <f t="shared" si="13"/>
        <v>39.56833612</v>
      </c>
      <c r="U191" s="21"/>
      <c r="V191" s="21"/>
    </row>
    <row r="192">
      <c r="A192" s="11">
        <v>180.0</v>
      </c>
      <c r="B192" s="11">
        <v>1.42017826086956E9</v>
      </c>
      <c r="C192" s="2">
        <v>-101.8987885</v>
      </c>
      <c r="D192" s="24">
        <f t="shared" si="1"/>
        <v>-221739.1304</v>
      </c>
      <c r="E192" s="25">
        <f t="shared" si="2"/>
        <v>45.91480661</v>
      </c>
      <c r="F192" s="24">
        <f t="shared" si="3"/>
        <v>0.0002070667749</v>
      </c>
      <c r="G192" s="24">
        <f t="shared" si="4"/>
        <v>0</v>
      </c>
      <c r="H192" s="26">
        <f t="shared" si="5"/>
        <v>0</v>
      </c>
      <c r="I192" s="24">
        <f t="shared" si="6"/>
        <v>0</v>
      </c>
      <c r="J192" s="24">
        <f t="shared" si="7"/>
        <v>0</v>
      </c>
      <c r="K192" s="24"/>
      <c r="L192" s="24">
        <f t="shared" si="8"/>
        <v>491.1648932</v>
      </c>
      <c r="M192" s="31">
        <f t="shared" si="9"/>
        <v>442.6343836</v>
      </c>
      <c r="N192" s="27">
        <f t="shared" si="10"/>
        <v>48.53050959</v>
      </c>
      <c r="O192" s="24"/>
      <c r="P192" s="24"/>
      <c r="Q192" s="24"/>
      <c r="R192" s="26"/>
      <c r="S192" s="14">
        <f t="shared" si="13"/>
        <v>44.56537918</v>
      </c>
      <c r="U192" s="21"/>
      <c r="V192" s="21"/>
    </row>
    <row r="193">
      <c r="A193" s="11">
        <v>181.0</v>
      </c>
      <c r="B193" s="11">
        <v>1.42018260869565E9</v>
      </c>
      <c r="C193" s="2">
        <v>-101.9399261</v>
      </c>
      <c r="D193" s="24">
        <f t="shared" si="1"/>
        <v>-217391.3043</v>
      </c>
      <c r="E193" s="25">
        <f t="shared" si="2"/>
        <v>44.99651048</v>
      </c>
      <c r="F193" s="24">
        <f t="shared" si="3"/>
        <v>0.0002069839482</v>
      </c>
      <c r="G193" s="24">
        <f t="shared" si="4"/>
        <v>0</v>
      </c>
      <c r="H193" s="26">
        <f t="shared" si="5"/>
        <v>0</v>
      </c>
      <c r="I193" s="24">
        <f t="shared" si="6"/>
        <v>0</v>
      </c>
      <c r="J193" s="24">
        <f t="shared" si="7"/>
        <v>0</v>
      </c>
      <c r="K193" s="24"/>
      <c r="L193" s="24">
        <f t="shared" si="8"/>
        <v>486.5344059</v>
      </c>
      <c r="M193" s="31">
        <f t="shared" si="9"/>
        <v>442.5308512</v>
      </c>
      <c r="N193" s="27">
        <f t="shared" si="10"/>
        <v>44.00355467</v>
      </c>
      <c r="O193" s="24"/>
      <c r="P193" s="24"/>
      <c r="Q193" s="24"/>
      <c r="R193" s="26"/>
      <c r="S193" s="14">
        <f t="shared" si="13"/>
        <v>40.40829408</v>
      </c>
      <c r="U193" s="21"/>
      <c r="V193" s="21"/>
    </row>
    <row r="194">
      <c r="A194" s="11">
        <v>182.0</v>
      </c>
      <c r="B194" s="11">
        <v>1.42018695652173E9</v>
      </c>
      <c r="C194" s="2">
        <v>-101.9581528</v>
      </c>
      <c r="D194" s="24">
        <f t="shared" si="1"/>
        <v>-213043.4783</v>
      </c>
      <c r="E194" s="25">
        <f t="shared" si="2"/>
        <v>44.07821434</v>
      </c>
      <c r="F194" s="24">
        <f t="shared" si="3"/>
        <v>0.0002068977408</v>
      </c>
      <c r="G194" s="24">
        <f t="shared" si="4"/>
        <v>0</v>
      </c>
      <c r="H194" s="26">
        <f t="shared" si="5"/>
        <v>0</v>
      </c>
      <c r="I194" s="24">
        <f t="shared" si="6"/>
        <v>0</v>
      </c>
      <c r="J194" s="24">
        <f t="shared" si="7"/>
        <v>0</v>
      </c>
      <c r="K194" s="24"/>
      <c r="L194" s="24">
        <f t="shared" si="8"/>
        <v>484.4967714</v>
      </c>
      <c r="M194" s="31">
        <f t="shared" si="9"/>
        <v>442.4277494</v>
      </c>
      <c r="N194" s="27">
        <f t="shared" si="10"/>
        <v>42.06902208</v>
      </c>
      <c r="O194" s="24"/>
      <c r="P194" s="24"/>
      <c r="Q194" s="24"/>
      <c r="R194" s="26"/>
      <c r="S194" s="14">
        <f t="shared" si="13"/>
        <v>38.63182029</v>
      </c>
      <c r="U194" s="21"/>
      <c r="V194" s="21"/>
    </row>
    <row r="195">
      <c r="A195" s="11">
        <v>183.0</v>
      </c>
      <c r="B195" s="11">
        <v>1.42019130434782E9</v>
      </c>
      <c r="C195" s="2">
        <v>-101.9888535</v>
      </c>
      <c r="D195" s="24">
        <f t="shared" si="1"/>
        <v>-208695.6522</v>
      </c>
      <c r="E195" s="25">
        <f t="shared" si="2"/>
        <v>43.15991821</v>
      </c>
      <c r="F195" s="24">
        <f t="shared" si="3"/>
        <v>0.0002068079414</v>
      </c>
      <c r="G195" s="24">
        <f t="shared" si="4"/>
        <v>0</v>
      </c>
      <c r="H195" s="26">
        <f t="shared" si="5"/>
        <v>0</v>
      </c>
      <c r="I195" s="24">
        <f t="shared" si="6"/>
        <v>0</v>
      </c>
      <c r="J195" s="24">
        <f t="shared" si="7"/>
        <v>0</v>
      </c>
      <c r="K195" s="24"/>
      <c r="L195" s="24">
        <f t="shared" si="8"/>
        <v>481.0838938</v>
      </c>
      <c r="M195" s="31">
        <f t="shared" si="9"/>
        <v>442.3250748</v>
      </c>
      <c r="N195" s="27">
        <f t="shared" si="10"/>
        <v>38.75881899</v>
      </c>
      <c r="O195" s="24"/>
      <c r="P195" s="24"/>
      <c r="Q195" s="24"/>
      <c r="R195" s="26"/>
      <c r="S195" s="14">
        <f t="shared" si="13"/>
        <v>35.59207359</v>
      </c>
      <c r="U195" s="21"/>
      <c r="V195" s="21"/>
    </row>
    <row r="196">
      <c r="A196" s="11">
        <v>184.0</v>
      </c>
      <c r="B196" s="11">
        <v>1.42019565217391E9</v>
      </c>
      <c r="C196" s="2">
        <v>-101.9100418</v>
      </c>
      <c r="D196" s="24">
        <f t="shared" si="1"/>
        <v>-204347.8261</v>
      </c>
      <c r="E196" s="25">
        <f t="shared" si="2"/>
        <v>42.24162208</v>
      </c>
      <c r="F196" s="24">
        <f t="shared" si="3"/>
        <v>0.0002067143208</v>
      </c>
      <c r="G196" s="24">
        <f t="shared" si="4"/>
        <v>0</v>
      </c>
      <c r="H196" s="26">
        <f t="shared" si="5"/>
        <v>0</v>
      </c>
      <c r="I196" s="24">
        <f t="shared" si="6"/>
        <v>0</v>
      </c>
      <c r="J196" s="24">
        <f t="shared" si="7"/>
        <v>0</v>
      </c>
      <c r="K196" s="24"/>
      <c r="L196" s="24">
        <f t="shared" si="8"/>
        <v>489.8938499</v>
      </c>
      <c r="M196" s="31">
        <f t="shared" si="9"/>
        <v>442.2228242</v>
      </c>
      <c r="N196" s="27">
        <f t="shared" si="10"/>
        <v>47.67102573</v>
      </c>
      <c r="O196" s="24"/>
      <c r="P196" s="24"/>
      <c r="Q196" s="24"/>
      <c r="R196" s="26"/>
      <c r="S196" s="14">
        <f t="shared" si="13"/>
        <v>43.77611847</v>
      </c>
      <c r="U196" s="21"/>
      <c r="V196" s="21"/>
    </row>
    <row r="197">
      <c r="A197" s="11">
        <v>185.0</v>
      </c>
      <c r="B197" s="11">
        <v>1.4202E9</v>
      </c>
      <c r="C197" s="2">
        <v>-101.8706741</v>
      </c>
      <c r="D197" s="24">
        <f t="shared" si="1"/>
        <v>-200000</v>
      </c>
      <c r="E197" s="25">
        <f t="shared" si="2"/>
        <v>41.32332595</v>
      </c>
      <c r="F197" s="24">
        <f t="shared" si="3"/>
        <v>0.0002066166297</v>
      </c>
      <c r="G197" s="24">
        <f t="shared" si="4"/>
        <v>0</v>
      </c>
      <c r="H197" s="26">
        <f t="shared" si="5"/>
        <v>0</v>
      </c>
      <c r="I197" s="24">
        <f t="shared" si="6"/>
        <v>0</v>
      </c>
      <c r="J197" s="24">
        <f t="shared" si="7"/>
        <v>0</v>
      </c>
      <c r="K197" s="24"/>
      <c r="L197" s="24">
        <f t="shared" si="8"/>
        <v>494.3548023</v>
      </c>
      <c r="M197" s="31">
        <f t="shared" si="9"/>
        <v>442.1209943</v>
      </c>
      <c r="N197" s="27">
        <f t="shared" si="10"/>
        <v>52.23380804</v>
      </c>
      <c r="O197" s="24"/>
      <c r="P197" s="24"/>
      <c r="Q197" s="24"/>
      <c r="R197" s="26"/>
      <c r="S197" s="14">
        <f t="shared" si="13"/>
        <v>47.96610392</v>
      </c>
      <c r="U197" s="21"/>
      <c r="V197" s="21"/>
    </row>
    <row r="198">
      <c r="A198" s="11">
        <v>186.0</v>
      </c>
      <c r="B198" s="11">
        <v>1.42020434782608E9</v>
      </c>
      <c r="C198" s="2">
        <v>-101.9007645</v>
      </c>
      <c r="D198" s="24">
        <f t="shared" si="1"/>
        <v>-195652.1739</v>
      </c>
      <c r="E198" s="25">
        <f t="shared" si="2"/>
        <v>40.40502981</v>
      </c>
      <c r="F198" s="24">
        <f t="shared" si="3"/>
        <v>0.0002065145968</v>
      </c>
      <c r="G198" s="24">
        <f t="shared" si="4"/>
        <v>0</v>
      </c>
      <c r="H198" s="26">
        <f t="shared" si="5"/>
        <v>0</v>
      </c>
      <c r="I198" s="24">
        <f t="shared" si="6"/>
        <v>0</v>
      </c>
      <c r="J198" s="24">
        <f t="shared" si="7"/>
        <v>0</v>
      </c>
      <c r="K198" s="24"/>
      <c r="L198" s="24">
        <f t="shared" si="8"/>
        <v>490.9414686</v>
      </c>
      <c r="M198" s="31">
        <f t="shared" si="9"/>
        <v>442.0195818</v>
      </c>
      <c r="N198" s="27">
        <f t="shared" si="10"/>
        <v>48.92188676</v>
      </c>
      <c r="O198" s="24"/>
      <c r="P198" s="24"/>
      <c r="Q198" s="24"/>
      <c r="R198" s="26"/>
      <c r="S198" s="14">
        <f t="shared" si="13"/>
        <v>44.92477942</v>
      </c>
      <c r="U198" s="21"/>
      <c r="V198" s="21"/>
    </row>
    <row r="199">
      <c r="A199" s="11">
        <v>187.0</v>
      </c>
      <c r="B199" s="11">
        <v>1.42020869565217E9</v>
      </c>
      <c r="C199" s="2">
        <v>-101.8982391</v>
      </c>
      <c r="D199" s="24">
        <f t="shared" si="1"/>
        <v>-191304.3478</v>
      </c>
      <c r="E199" s="25">
        <f t="shared" si="2"/>
        <v>39.48673368</v>
      </c>
      <c r="F199" s="24">
        <f t="shared" si="3"/>
        <v>0.0002064079261</v>
      </c>
      <c r="G199" s="24">
        <f t="shared" si="4"/>
        <v>0</v>
      </c>
      <c r="H199" s="26">
        <f t="shared" si="5"/>
        <v>0</v>
      </c>
      <c r="I199" s="24">
        <f t="shared" si="6"/>
        <v>0</v>
      </c>
      <c r="J199" s="24">
        <f t="shared" si="7"/>
        <v>0</v>
      </c>
      <c r="K199" s="24"/>
      <c r="L199" s="24">
        <f t="shared" si="8"/>
        <v>491.2270315</v>
      </c>
      <c r="M199" s="31">
        <f t="shared" si="9"/>
        <v>441.9185835</v>
      </c>
      <c r="N199" s="27">
        <f t="shared" si="10"/>
        <v>49.30844804</v>
      </c>
      <c r="O199" s="24"/>
      <c r="P199" s="24"/>
      <c r="Q199" s="24"/>
      <c r="R199" s="26"/>
      <c r="S199" s="14">
        <f t="shared" si="13"/>
        <v>45.27975704</v>
      </c>
      <c r="U199" s="21"/>
      <c r="V199" s="21"/>
    </row>
    <row r="200">
      <c r="A200" s="11">
        <v>188.0</v>
      </c>
      <c r="B200" s="11">
        <v>1.42021304347826E9</v>
      </c>
      <c r="C200" s="2">
        <v>-101.9271088</v>
      </c>
      <c r="D200" s="24">
        <f t="shared" si="1"/>
        <v>-186956.5217</v>
      </c>
      <c r="E200" s="25">
        <f t="shared" si="2"/>
        <v>38.56843755</v>
      </c>
      <c r="F200" s="24">
        <f t="shared" si="3"/>
        <v>0.0002062962939</v>
      </c>
      <c r="G200" s="24">
        <f t="shared" si="4"/>
        <v>0</v>
      </c>
      <c r="H200" s="26">
        <f t="shared" si="5"/>
        <v>0</v>
      </c>
      <c r="I200" s="24">
        <f t="shared" si="6"/>
        <v>0</v>
      </c>
      <c r="J200" s="24">
        <f t="shared" si="7"/>
        <v>0</v>
      </c>
      <c r="K200" s="24"/>
      <c r="L200" s="24">
        <f t="shared" si="8"/>
        <v>487.9724322</v>
      </c>
      <c r="M200" s="31">
        <f t="shared" si="9"/>
        <v>441.817996</v>
      </c>
      <c r="N200" s="27">
        <f t="shared" si="10"/>
        <v>46.15443617</v>
      </c>
      <c r="O200" s="24"/>
      <c r="P200" s="24"/>
      <c r="Q200" s="24"/>
      <c r="R200" s="26"/>
      <c r="S200" s="14">
        <f t="shared" si="13"/>
        <v>42.38344025</v>
      </c>
      <c r="U200" s="21"/>
      <c r="V200" s="21"/>
    </row>
    <row r="201">
      <c r="A201" s="11">
        <v>189.0</v>
      </c>
      <c r="B201" s="11">
        <v>1.42021739130434E9</v>
      </c>
      <c r="C201" s="2">
        <v>-101.9076309</v>
      </c>
      <c r="D201" s="24">
        <f t="shared" si="1"/>
        <v>-182608.6957</v>
      </c>
      <c r="E201" s="25">
        <f t="shared" si="2"/>
        <v>37.65014142</v>
      </c>
      <c r="F201" s="24">
        <f t="shared" si="3"/>
        <v>0.0002061793459</v>
      </c>
      <c r="G201" s="24">
        <f t="shared" si="4"/>
        <v>0</v>
      </c>
      <c r="H201" s="26">
        <f t="shared" si="5"/>
        <v>0</v>
      </c>
      <c r="I201" s="24">
        <f t="shared" si="6"/>
        <v>0</v>
      </c>
      <c r="J201" s="24">
        <f t="shared" si="7"/>
        <v>0</v>
      </c>
      <c r="K201" s="24"/>
      <c r="L201" s="24">
        <f t="shared" si="8"/>
        <v>490.1658803</v>
      </c>
      <c r="M201" s="31">
        <f t="shared" si="9"/>
        <v>441.7178161</v>
      </c>
      <c r="N201" s="27">
        <f t="shared" si="10"/>
        <v>48.44806418</v>
      </c>
      <c r="O201" s="24"/>
      <c r="P201" s="24"/>
      <c r="Q201" s="24"/>
      <c r="R201" s="26"/>
      <c r="S201" s="14">
        <f t="shared" si="13"/>
        <v>44.48966998</v>
      </c>
      <c r="U201" s="21"/>
      <c r="V201" s="21"/>
    </row>
    <row r="202">
      <c r="A202" s="11">
        <v>190.0</v>
      </c>
      <c r="B202" s="11">
        <v>1.42022173913043E9</v>
      </c>
      <c r="C202" s="2">
        <v>-101.8896255</v>
      </c>
      <c r="D202" s="24">
        <f t="shared" si="1"/>
        <v>-178260.8696</v>
      </c>
      <c r="E202" s="25">
        <f t="shared" si="2"/>
        <v>36.73184529</v>
      </c>
      <c r="F202" s="24">
        <f t="shared" si="3"/>
        <v>0.0002060566931</v>
      </c>
      <c r="G202" s="24">
        <f t="shared" si="4"/>
        <v>0</v>
      </c>
      <c r="H202" s="26">
        <f t="shared" si="5"/>
        <v>0</v>
      </c>
      <c r="I202" s="24">
        <f t="shared" si="6"/>
        <v>0</v>
      </c>
      <c r="J202" s="24">
        <f t="shared" si="7"/>
        <v>0</v>
      </c>
      <c r="K202" s="24"/>
      <c r="L202" s="24">
        <f t="shared" si="8"/>
        <v>492.2022758</v>
      </c>
      <c r="M202" s="31">
        <f t="shared" si="9"/>
        <v>441.6180405</v>
      </c>
      <c r="N202" s="27">
        <f t="shared" si="10"/>
        <v>50.58423524</v>
      </c>
      <c r="O202" s="24"/>
      <c r="P202" s="24"/>
      <c r="Q202" s="24"/>
      <c r="R202" s="26"/>
      <c r="S202" s="14">
        <f t="shared" si="13"/>
        <v>46.45130749</v>
      </c>
      <c r="U202" s="21"/>
      <c r="V202" s="21"/>
    </row>
    <row r="203">
      <c r="A203" s="11">
        <v>191.0</v>
      </c>
      <c r="B203" s="11">
        <v>1.42022608695652E9</v>
      </c>
      <c r="C203" s="2">
        <v>-101.9587784</v>
      </c>
      <c r="D203" s="24">
        <f t="shared" si="1"/>
        <v>-173913.0435</v>
      </c>
      <c r="E203" s="25">
        <f t="shared" si="2"/>
        <v>35.81354916</v>
      </c>
      <c r="F203" s="24">
        <f t="shared" si="3"/>
        <v>0.0002059279076</v>
      </c>
      <c r="G203" s="24">
        <f t="shared" si="4"/>
        <v>0</v>
      </c>
      <c r="H203" s="26">
        <f t="shared" si="5"/>
        <v>0</v>
      </c>
      <c r="I203" s="24">
        <f t="shared" si="6"/>
        <v>0</v>
      </c>
      <c r="J203" s="24">
        <f t="shared" si="7"/>
        <v>0</v>
      </c>
      <c r="K203" s="24"/>
      <c r="L203" s="24">
        <f t="shared" si="8"/>
        <v>484.4269848</v>
      </c>
      <c r="M203" s="31">
        <f t="shared" si="9"/>
        <v>441.5186659</v>
      </c>
      <c r="N203" s="27">
        <f t="shared" si="10"/>
        <v>42.90831891</v>
      </c>
      <c r="O203" s="24"/>
      <c r="P203" s="24"/>
      <c r="Q203" s="24"/>
      <c r="R203" s="26"/>
      <c r="S203" s="14">
        <f t="shared" si="13"/>
        <v>39.40254332</v>
      </c>
      <c r="U203" s="21"/>
      <c r="V203" s="21"/>
    </row>
    <row r="204">
      <c r="A204" s="11">
        <v>192.0</v>
      </c>
      <c r="B204" s="11">
        <v>1.4202304347826E9</v>
      </c>
      <c r="C204" s="2">
        <v>-101.885498</v>
      </c>
      <c r="D204" s="24">
        <f t="shared" si="1"/>
        <v>-169565.2174</v>
      </c>
      <c r="E204" s="25">
        <f t="shared" si="2"/>
        <v>34.89525302</v>
      </c>
      <c r="F204" s="24">
        <f t="shared" si="3"/>
        <v>0.0002057925178</v>
      </c>
      <c r="G204" s="24">
        <f t="shared" si="4"/>
        <v>0</v>
      </c>
      <c r="H204" s="26">
        <f t="shared" si="5"/>
        <v>0</v>
      </c>
      <c r="I204" s="24">
        <f t="shared" si="6"/>
        <v>0</v>
      </c>
      <c r="J204" s="24">
        <f t="shared" si="7"/>
        <v>0</v>
      </c>
      <c r="K204" s="24"/>
      <c r="L204" s="24">
        <f t="shared" si="8"/>
        <v>492.6702832</v>
      </c>
      <c r="M204" s="31">
        <f t="shared" si="9"/>
        <v>441.4196891</v>
      </c>
      <c r="N204" s="27">
        <f t="shared" si="10"/>
        <v>51.25059412</v>
      </c>
      <c r="O204" s="24"/>
      <c r="P204" s="24"/>
      <c r="Q204" s="24"/>
      <c r="R204" s="26"/>
      <c r="S204" s="14">
        <f t="shared" si="13"/>
        <v>47.06322238</v>
      </c>
      <c r="U204" s="21"/>
      <c r="V204" s="21"/>
    </row>
    <row r="205">
      <c r="A205" s="11">
        <v>193.0</v>
      </c>
      <c r="B205" s="11">
        <v>1.42023478260869E9</v>
      </c>
      <c r="C205" s="2">
        <v>-101.8904495</v>
      </c>
      <c r="D205" s="24">
        <f t="shared" si="1"/>
        <v>-165217.3913</v>
      </c>
      <c r="E205" s="25">
        <f t="shared" si="2"/>
        <v>33.97695689</v>
      </c>
      <c r="F205" s="24">
        <f t="shared" si="3"/>
        <v>0.0002056500022</v>
      </c>
      <c r="G205" s="24">
        <f t="shared" si="4"/>
        <v>0</v>
      </c>
      <c r="H205" s="26">
        <f t="shared" si="5"/>
        <v>0</v>
      </c>
      <c r="I205" s="24">
        <f t="shared" si="6"/>
        <v>0</v>
      </c>
      <c r="J205" s="24">
        <f t="shared" si="7"/>
        <v>0</v>
      </c>
      <c r="K205" s="24"/>
      <c r="L205" s="24">
        <f t="shared" si="8"/>
        <v>492.1088976</v>
      </c>
      <c r="M205" s="31">
        <f t="shared" si="9"/>
        <v>441.3211067</v>
      </c>
      <c r="N205" s="27">
        <f t="shared" si="10"/>
        <v>50.78779088</v>
      </c>
      <c r="O205" s="24"/>
      <c r="P205" s="24"/>
      <c r="Q205" s="24"/>
      <c r="R205" s="26"/>
      <c r="S205" s="14">
        <f t="shared" si="13"/>
        <v>46.63823196</v>
      </c>
      <c r="U205" s="21"/>
      <c r="V205" s="21"/>
    </row>
    <row r="206">
      <c r="A206" s="11">
        <v>194.0</v>
      </c>
      <c r="B206" s="11">
        <v>1.42023913043478E9</v>
      </c>
      <c r="C206" s="2">
        <v>-101.8708954</v>
      </c>
      <c r="D206" s="24">
        <f t="shared" si="1"/>
        <v>-160869.5652</v>
      </c>
      <c r="E206" s="25">
        <f t="shared" si="2"/>
        <v>33.05866076</v>
      </c>
      <c r="F206" s="24">
        <f t="shared" si="3"/>
        <v>0.0002054997831</v>
      </c>
      <c r="G206" s="24">
        <f t="shared" si="4"/>
        <v>0</v>
      </c>
      <c r="H206" s="26">
        <f t="shared" si="5"/>
        <v>0</v>
      </c>
      <c r="I206" s="24">
        <f t="shared" si="6"/>
        <v>0</v>
      </c>
      <c r="J206" s="24">
        <f t="shared" si="7"/>
        <v>0</v>
      </c>
      <c r="K206" s="24"/>
      <c r="L206" s="24">
        <f t="shared" si="8"/>
        <v>494.3296125</v>
      </c>
      <c r="M206" s="31">
        <f t="shared" si="9"/>
        <v>441.2229155</v>
      </c>
      <c r="N206" s="27">
        <f t="shared" si="10"/>
        <v>53.10669701</v>
      </c>
      <c r="O206" s="24"/>
      <c r="P206" s="24"/>
      <c r="Q206" s="24"/>
      <c r="R206" s="26"/>
      <c r="S206" s="14">
        <f t="shared" si="13"/>
        <v>48.76767438</v>
      </c>
      <c r="U206" s="21"/>
      <c r="V206" s="21"/>
    </row>
    <row r="207">
      <c r="A207" s="11">
        <v>195.0</v>
      </c>
      <c r="B207" s="11">
        <v>1.42024347826087E9</v>
      </c>
      <c r="C207" s="2">
        <v>-101.8450851</v>
      </c>
      <c r="D207" s="24">
        <f t="shared" si="1"/>
        <v>-156521.7391</v>
      </c>
      <c r="E207" s="25">
        <f t="shared" si="2"/>
        <v>32.14036463</v>
      </c>
      <c r="F207" s="24">
        <f t="shared" si="3"/>
        <v>0.0002053412184</v>
      </c>
      <c r="G207" s="24">
        <f t="shared" si="4"/>
        <v>0</v>
      </c>
      <c r="H207" s="26">
        <f t="shared" si="5"/>
        <v>0</v>
      </c>
      <c r="I207" s="24">
        <f t="shared" si="6"/>
        <v>0</v>
      </c>
      <c r="J207" s="24">
        <f t="shared" si="7"/>
        <v>0</v>
      </c>
      <c r="K207" s="24"/>
      <c r="L207" s="24">
        <f t="shared" si="8"/>
        <v>497.2761809</v>
      </c>
      <c r="M207" s="31">
        <f t="shared" si="9"/>
        <v>441.1251122</v>
      </c>
      <c r="N207" s="27">
        <f t="shared" si="10"/>
        <v>56.15106871</v>
      </c>
      <c r="O207" s="24"/>
      <c r="P207" s="24"/>
      <c r="Q207" s="24"/>
      <c r="R207" s="26"/>
      <c r="S207" s="14">
        <f t="shared" si="13"/>
        <v>51.56330925</v>
      </c>
      <c r="U207" s="21"/>
      <c r="V207" s="21"/>
    </row>
    <row r="208">
      <c r="A208" s="11">
        <v>196.0</v>
      </c>
      <c r="B208" s="11">
        <v>1.42024782608695E9</v>
      </c>
      <c r="C208" s="2">
        <v>-101.8608856</v>
      </c>
      <c r="D208" s="24">
        <f t="shared" si="1"/>
        <v>-152173.913</v>
      </c>
      <c r="E208" s="25">
        <f t="shared" si="2"/>
        <v>31.22206849</v>
      </c>
      <c r="F208" s="24">
        <f t="shared" si="3"/>
        <v>0.0002051735929</v>
      </c>
      <c r="G208" s="24">
        <f t="shared" si="4"/>
        <v>0</v>
      </c>
      <c r="H208" s="26">
        <f t="shared" si="5"/>
        <v>0</v>
      </c>
      <c r="I208" s="24">
        <f t="shared" si="6"/>
        <v>0</v>
      </c>
      <c r="J208" s="24">
        <f t="shared" si="7"/>
        <v>0</v>
      </c>
      <c r="K208" s="24"/>
      <c r="L208" s="24">
        <f t="shared" si="8"/>
        <v>495.470278</v>
      </c>
      <c r="M208" s="31">
        <f t="shared" si="9"/>
        <v>441.0276934</v>
      </c>
      <c r="N208" s="27">
        <f t="shared" si="10"/>
        <v>54.44258455</v>
      </c>
      <c r="O208" s="24"/>
      <c r="P208" s="24"/>
      <c r="Q208" s="24"/>
      <c r="R208" s="26"/>
      <c r="S208" s="14">
        <f t="shared" si="13"/>
        <v>49.99441485</v>
      </c>
      <c r="U208" s="21"/>
      <c r="V208" s="21"/>
    </row>
    <row r="209">
      <c r="A209" s="11">
        <v>197.0</v>
      </c>
      <c r="B209" s="11">
        <v>1.42025217391304E9</v>
      </c>
      <c r="C209" s="2">
        <v>-101.8185883</v>
      </c>
      <c r="D209" s="24">
        <f t="shared" si="1"/>
        <v>-147826.087</v>
      </c>
      <c r="E209" s="25">
        <f t="shared" si="2"/>
        <v>30.30377236</v>
      </c>
      <c r="F209" s="24">
        <f t="shared" si="3"/>
        <v>0.0002049961071</v>
      </c>
      <c r="G209" s="24">
        <f t="shared" si="4"/>
        <v>0</v>
      </c>
      <c r="H209" s="26">
        <f t="shared" si="5"/>
        <v>0</v>
      </c>
      <c r="I209" s="24">
        <f t="shared" si="6"/>
        <v>0</v>
      </c>
      <c r="J209" s="24">
        <f t="shared" si="7"/>
        <v>0</v>
      </c>
      <c r="K209" s="24"/>
      <c r="L209" s="24">
        <f t="shared" si="8"/>
        <v>500.3193934</v>
      </c>
      <c r="M209" s="31">
        <f t="shared" si="9"/>
        <v>440.9306561</v>
      </c>
      <c r="N209" s="27">
        <f t="shared" si="10"/>
        <v>59.38873738</v>
      </c>
      <c r="O209" s="24"/>
      <c r="P209" s="24"/>
      <c r="Q209" s="24"/>
      <c r="R209" s="26"/>
      <c r="S209" s="14">
        <f t="shared" si="13"/>
        <v>54.53644774</v>
      </c>
      <c r="U209" s="21"/>
      <c r="V209" s="21"/>
    </row>
    <row r="210">
      <c r="A210" s="11">
        <v>198.0</v>
      </c>
      <c r="B210" s="11">
        <v>1.42025652173913E9</v>
      </c>
      <c r="C210" s="2">
        <v>-101.8322754</v>
      </c>
      <c r="D210" s="24">
        <f t="shared" si="1"/>
        <v>-143478.2609</v>
      </c>
      <c r="E210" s="25">
        <f t="shared" si="2"/>
        <v>29.38547623</v>
      </c>
      <c r="F210" s="24">
        <f t="shared" si="3"/>
        <v>0.0002048078646</v>
      </c>
      <c r="G210" s="24">
        <f t="shared" si="4"/>
        <v>0</v>
      </c>
      <c r="H210" s="26">
        <f t="shared" si="5"/>
        <v>0</v>
      </c>
      <c r="I210" s="24">
        <f t="shared" si="6"/>
        <v>0</v>
      </c>
      <c r="J210" s="24">
        <f t="shared" si="7"/>
        <v>0</v>
      </c>
      <c r="K210" s="24"/>
      <c r="L210" s="24">
        <f t="shared" si="8"/>
        <v>498.7450833</v>
      </c>
      <c r="M210" s="31">
        <f t="shared" si="9"/>
        <v>440.8339967</v>
      </c>
      <c r="N210" s="27">
        <f t="shared" si="10"/>
        <v>57.91108659</v>
      </c>
      <c r="O210" s="24"/>
      <c r="P210" s="24"/>
      <c r="Q210" s="24"/>
      <c r="R210" s="26"/>
      <c r="S210" s="14">
        <f t="shared" si="13"/>
        <v>53.17952686</v>
      </c>
      <c r="U210" s="21"/>
      <c r="V210" s="21"/>
    </row>
    <row r="211">
      <c r="A211" s="11">
        <v>199.0</v>
      </c>
      <c r="B211" s="11">
        <v>1.42026086956521E9</v>
      </c>
      <c r="C211" s="2">
        <v>-101.8427429</v>
      </c>
      <c r="D211" s="24">
        <f t="shared" si="1"/>
        <v>-139130.4348</v>
      </c>
      <c r="E211" s="25">
        <f t="shared" si="2"/>
        <v>28.4671801</v>
      </c>
      <c r="F211" s="24">
        <f t="shared" si="3"/>
        <v>0.0002046078569</v>
      </c>
      <c r="G211" s="24">
        <f t="shared" si="4"/>
        <v>0</v>
      </c>
      <c r="H211" s="26">
        <f t="shared" si="5"/>
        <v>0</v>
      </c>
      <c r="I211" s="24">
        <f t="shared" si="6"/>
        <v>0</v>
      </c>
      <c r="J211" s="24">
        <f t="shared" si="7"/>
        <v>0</v>
      </c>
      <c r="K211" s="24"/>
      <c r="L211" s="24">
        <f t="shared" si="8"/>
        <v>497.54444</v>
      </c>
      <c r="M211" s="31">
        <f t="shared" si="9"/>
        <v>440.7377121</v>
      </c>
      <c r="N211" s="27">
        <f t="shared" si="10"/>
        <v>56.80672783</v>
      </c>
      <c r="O211" s="24"/>
      <c r="P211" s="24"/>
      <c r="Q211" s="24"/>
      <c r="R211" s="26"/>
      <c r="S211" s="14">
        <f t="shared" si="13"/>
        <v>52.16539848</v>
      </c>
      <c r="U211" s="21"/>
      <c r="V211" s="21"/>
    </row>
    <row r="212">
      <c r="A212" s="11">
        <v>200.0</v>
      </c>
      <c r="B212" s="11">
        <v>1.4202652173913E9</v>
      </c>
      <c r="C212" s="2">
        <v>-101.8674469</v>
      </c>
      <c r="D212" s="24">
        <f t="shared" si="1"/>
        <v>-134782.6087</v>
      </c>
      <c r="E212" s="25">
        <f t="shared" si="2"/>
        <v>27.54888396</v>
      </c>
      <c r="F212" s="24">
        <f t="shared" si="3"/>
        <v>0.0002043949455</v>
      </c>
      <c r="G212" s="24">
        <f t="shared" si="4"/>
        <v>0</v>
      </c>
      <c r="H212" s="26">
        <f t="shared" si="5"/>
        <v>0</v>
      </c>
      <c r="I212" s="24">
        <f t="shared" si="6"/>
        <v>0</v>
      </c>
      <c r="J212" s="24">
        <f t="shared" si="7"/>
        <v>0</v>
      </c>
      <c r="K212" s="24"/>
      <c r="L212" s="24">
        <f t="shared" si="8"/>
        <v>494.7222891</v>
      </c>
      <c r="M212" s="31">
        <f t="shared" si="9"/>
        <v>440.641799</v>
      </c>
      <c r="N212" s="27">
        <f t="shared" si="10"/>
        <v>54.08049004</v>
      </c>
      <c r="O212" s="24"/>
      <c r="P212" s="24"/>
      <c r="Q212" s="24"/>
      <c r="R212" s="26"/>
      <c r="S212" s="14">
        <f t="shared" si="13"/>
        <v>49.66190475</v>
      </c>
      <c r="U212" s="21"/>
      <c r="V212" s="21"/>
    </row>
    <row r="213">
      <c r="A213" s="11">
        <v>201.0</v>
      </c>
      <c r="B213" s="11">
        <v>1.42026956521739E9</v>
      </c>
      <c r="C213" s="2">
        <v>-101.8484726</v>
      </c>
      <c r="D213" s="24">
        <f t="shared" si="1"/>
        <v>-130434.7826</v>
      </c>
      <c r="E213" s="25">
        <f t="shared" si="2"/>
        <v>26.63058783</v>
      </c>
      <c r="F213" s="24">
        <f t="shared" si="3"/>
        <v>0.0002041678401</v>
      </c>
      <c r="G213" s="24">
        <f t="shared" si="4"/>
        <v>0</v>
      </c>
      <c r="H213" s="26">
        <f t="shared" si="5"/>
        <v>0</v>
      </c>
      <c r="I213" s="24">
        <f t="shared" si="6"/>
        <v>0</v>
      </c>
      <c r="J213" s="24">
        <f t="shared" si="7"/>
        <v>0</v>
      </c>
      <c r="K213" s="24"/>
      <c r="L213" s="24">
        <f t="shared" si="8"/>
        <v>496.8884563</v>
      </c>
      <c r="M213" s="31">
        <f t="shared" si="9"/>
        <v>440.5462541</v>
      </c>
      <c r="N213" s="27">
        <f t="shared" si="10"/>
        <v>56.34220221</v>
      </c>
      <c r="O213" s="24"/>
      <c r="P213" s="24"/>
      <c r="Q213" s="24"/>
      <c r="R213" s="26"/>
      <c r="S213" s="14">
        <f t="shared" si="13"/>
        <v>51.7388264</v>
      </c>
      <c r="U213" s="21"/>
      <c r="V213" s="21"/>
    </row>
    <row r="214">
      <c r="A214" s="11">
        <v>202.0</v>
      </c>
      <c r="B214" s="11">
        <v>1.42027391304347E9</v>
      </c>
      <c r="C214" s="2">
        <v>-101.8139191</v>
      </c>
      <c r="D214" s="24">
        <f t="shared" si="1"/>
        <v>-126086.9565</v>
      </c>
      <c r="E214" s="25">
        <f t="shared" si="2"/>
        <v>25.7122917</v>
      </c>
      <c r="F214" s="24">
        <f t="shared" si="3"/>
        <v>0.0002039250721</v>
      </c>
      <c r="G214" s="24">
        <f t="shared" si="4"/>
        <v>0</v>
      </c>
      <c r="H214" s="26">
        <f t="shared" si="5"/>
        <v>0</v>
      </c>
      <c r="I214" s="24">
        <f t="shared" si="6"/>
        <v>0</v>
      </c>
      <c r="J214" s="24">
        <f t="shared" si="7"/>
        <v>0</v>
      </c>
      <c r="K214" s="24"/>
      <c r="L214" s="24">
        <f t="shared" si="8"/>
        <v>500.8575876</v>
      </c>
      <c r="M214" s="31">
        <f t="shared" si="9"/>
        <v>440.4510742</v>
      </c>
      <c r="N214" s="27">
        <f t="shared" si="10"/>
        <v>60.40651345</v>
      </c>
      <c r="O214" s="24"/>
      <c r="P214" s="24"/>
      <c r="Q214" s="24"/>
      <c r="R214" s="26"/>
      <c r="S214" s="14">
        <f t="shared" si="13"/>
        <v>55.4710677</v>
      </c>
      <c r="U214" s="21"/>
      <c r="V214" s="21"/>
    </row>
    <row r="215">
      <c r="A215" s="11">
        <v>203.0</v>
      </c>
      <c r="B215" s="11">
        <v>1.42027826086956E9</v>
      </c>
      <c r="C215" s="2">
        <v>-101.7502441</v>
      </c>
      <c r="D215" s="24">
        <f t="shared" si="1"/>
        <v>-121739.1304</v>
      </c>
      <c r="E215" s="25">
        <f t="shared" si="2"/>
        <v>24.79399557</v>
      </c>
      <c r="F215" s="24">
        <f t="shared" si="3"/>
        <v>0.0002036649636</v>
      </c>
      <c r="G215" s="24">
        <f t="shared" si="4"/>
        <v>0</v>
      </c>
      <c r="H215" s="26">
        <f t="shared" si="5"/>
        <v>0</v>
      </c>
      <c r="I215" s="24">
        <f t="shared" si="6"/>
        <v>0</v>
      </c>
      <c r="J215" s="24">
        <f t="shared" si="7"/>
        <v>0</v>
      </c>
      <c r="K215" s="24"/>
      <c r="L215" s="24">
        <f t="shared" si="8"/>
        <v>508.2551143</v>
      </c>
      <c r="M215" s="31">
        <f t="shared" si="9"/>
        <v>440.3562558</v>
      </c>
      <c r="N215" s="27">
        <f t="shared" si="10"/>
        <v>67.89885846</v>
      </c>
      <c r="O215" s="24"/>
      <c r="P215" s="24"/>
      <c r="Q215" s="24"/>
      <c r="R215" s="26"/>
      <c r="S215" s="14">
        <f t="shared" si="13"/>
        <v>62.351259</v>
      </c>
      <c r="U215" s="21"/>
      <c r="V215" s="21"/>
    </row>
    <row r="216">
      <c r="A216" s="11">
        <v>204.0</v>
      </c>
      <c r="B216" s="11">
        <v>1.42028260869565E9</v>
      </c>
      <c r="C216" s="2">
        <v>-101.7908173</v>
      </c>
      <c r="D216" s="24">
        <f t="shared" si="1"/>
        <v>-117391.3043</v>
      </c>
      <c r="E216" s="25">
        <f t="shared" si="2"/>
        <v>23.87569944</v>
      </c>
      <c r="F216" s="24">
        <f t="shared" si="3"/>
        <v>0.0002033855878</v>
      </c>
      <c r="G216" s="24">
        <f t="shared" si="4"/>
        <v>0</v>
      </c>
      <c r="H216" s="26">
        <f t="shared" si="5"/>
        <v>0</v>
      </c>
      <c r="I216" s="24">
        <f t="shared" si="6"/>
        <v>0</v>
      </c>
      <c r="J216" s="24">
        <f t="shared" si="7"/>
        <v>0</v>
      </c>
      <c r="K216" s="24"/>
      <c r="L216" s="24">
        <f t="shared" si="8"/>
        <v>503.5289411</v>
      </c>
      <c r="M216" s="31">
        <f t="shared" si="9"/>
        <v>440.2617958</v>
      </c>
      <c r="N216" s="27">
        <f t="shared" si="10"/>
        <v>63.26714532</v>
      </c>
      <c r="O216" s="24"/>
      <c r="P216" s="24"/>
      <c r="Q216" s="24"/>
      <c r="R216" s="26"/>
      <c r="S216" s="14">
        <f t="shared" si="13"/>
        <v>58.09797488</v>
      </c>
      <c r="U216" s="21"/>
      <c r="V216" s="21"/>
    </row>
    <row r="217">
      <c r="A217" s="11">
        <v>205.0</v>
      </c>
      <c r="B217" s="11">
        <v>1.42028695652173E9</v>
      </c>
      <c r="C217" s="2">
        <v>-101.8274384</v>
      </c>
      <c r="D217" s="24">
        <f t="shared" si="1"/>
        <v>-113043.4783</v>
      </c>
      <c r="E217" s="25">
        <f t="shared" si="2"/>
        <v>22.9574033</v>
      </c>
      <c r="F217" s="24">
        <f t="shared" si="3"/>
        <v>0.0002030847215</v>
      </c>
      <c r="G217" s="24">
        <f t="shared" si="4"/>
        <v>0</v>
      </c>
      <c r="H217" s="26">
        <f t="shared" si="5"/>
        <v>0</v>
      </c>
      <c r="I217" s="24">
        <f t="shared" si="6"/>
        <v>0</v>
      </c>
      <c r="J217" s="24">
        <f t="shared" si="7"/>
        <v>0</v>
      </c>
      <c r="K217" s="24"/>
      <c r="L217" s="24">
        <f t="shared" si="8"/>
        <v>499.3008753</v>
      </c>
      <c r="M217" s="31">
        <f t="shared" si="9"/>
        <v>440.1676909</v>
      </c>
      <c r="N217" s="27">
        <f t="shared" si="10"/>
        <v>59.13318438</v>
      </c>
      <c r="O217" s="24"/>
      <c r="P217" s="24"/>
      <c r="Q217" s="24"/>
      <c r="R217" s="26"/>
      <c r="S217" s="14">
        <f t="shared" si="13"/>
        <v>54.30177453</v>
      </c>
      <c r="U217" s="21"/>
      <c r="V217" s="21"/>
    </row>
    <row r="218">
      <c r="A218" s="11">
        <v>206.0</v>
      </c>
      <c r="B218" s="11">
        <v>1.42029130434782E9</v>
      </c>
      <c r="C218" s="2">
        <v>-101.7764053</v>
      </c>
      <c r="D218" s="24">
        <f t="shared" si="1"/>
        <v>-108695.6522</v>
      </c>
      <c r="E218" s="25">
        <f t="shared" si="2"/>
        <v>22.03910717</v>
      </c>
      <c r="F218" s="24">
        <f t="shared" si="3"/>
        <v>0.000202759786</v>
      </c>
      <c r="G218" s="24">
        <f t="shared" si="4"/>
        <v>0</v>
      </c>
      <c r="H218" s="26">
        <f t="shared" si="5"/>
        <v>0</v>
      </c>
      <c r="I218" s="24">
        <f t="shared" si="6"/>
        <v>0</v>
      </c>
      <c r="J218" s="24">
        <f t="shared" si="7"/>
        <v>0</v>
      </c>
      <c r="K218" s="24"/>
      <c r="L218" s="24">
        <f t="shared" si="8"/>
        <v>505.2026703</v>
      </c>
      <c r="M218" s="31">
        <f t="shared" si="9"/>
        <v>440.0739378</v>
      </c>
      <c r="N218" s="27">
        <f t="shared" si="10"/>
        <v>65.1287325</v>
      </c>
      <c r="O218" s="24"/>
      <c r="P218" s="24"/>
      <c r="Q218" s="24"/>
      <c r="R218" s="26"/>
      <c r="S218" s="14">
        <f t="shared" si="13"/>
        <v>59.80746319</v>
      </c>
      <c r="U218" s="21"/>
      <c r="V218" s="21"/>
    </row>
    <row r="219">
      <c r="A219" s="11">
        <v>207.0</v>
      </c>
      <c r="B219" s="11">
        <v>1.42029565217391E9</v>
      </c>
      <c r="C219" s="2">
        <v>-101.7731323</v>
      </c>
      <c r="D219" s="24">
        <f t="shared" si="1"/>
        <v>-104347.8261</v>
      </c>
      <c r="E219" s="25">
        <f t="shared" si="2"/>
        <v>21.12081104</v>
      </c>
      <c r="F219" s="24">
        <f t="shared" si="3"/>
        <v>0.0002024077725</v>
      </c>
      <c r="G219" s="24">
        <f t="shared" si="4"/>
        <v>0</v>
      </c>
      <c r="H219" s="26">
        <f t="shared" si="5"/>
        <v>0</v>
      </c>
      <c r="I219" s="24">
        <f t="shared" si="6"/>
        <v>0</v>
      </c>
      <c r="J219" s="24">
        <f t="shared" si="7"/>
        <v>0</v>
      </c>
      <c r="K219" s="24"/>
      <c r="L219" s="24">
        <f t="shared" si="8"/>
        <v>505.5835528</v>
      </c>
      <c r="M219" s="31">
        <f t="shared" si="9"/>
        <v>439.9805332</v>
      </c>
      <c r="N219" s="27">
        <f t="shared" si="10"/>
        <v>65.60301959</v>
      </c>
      <c r="O219" s="24"/>
      <c r="P219" s="24"/>
      <c r="Q219" s="24"/>
      <c r="R219" s="26"/>
      <c r="S219" s="14">
        <f t="shared" si="13"/>
        <v>60.24299905</v>
      </c>
      <c r="U219" s="21"/>
      <c r="V219" s="21"/>
    </row>
    <row r="220">
      <c r="A220" s="11">
        <v>208.0</v>
      </c>
      <c r="B220" s="11">
        <v>1.4203E9</v>
      </c>
      <c r="C220" s="2">
        <v>-101.7470398</v>
      </c>
      <c r="D220" s="24">
        <f t="shared" si="1"/>
        <v>-100000</v>
      </c>
      <c r="E220" s="25">
        <f t="shared" si="2"/>
        <v>20.20251491</v>
      </c>
      <c r="F220" s="24">
        <f t="shared" si="3"/>
        <v>0.0002020251491</v>
      </c>
      <c r="G220" s="24">
        <f t="shared" si="4"/>
        <v>0</v>
      </c>
      <c r="H220" s="26">
        <f t="shared" si="5"/>
        <v>0</v>
      </c>
      <c r="I220" s="24">
        <f t="shared" si="6"/>
        <v>0</v>
      </c>
      <c r="J220" s="24">
        <f t="shared" si="7"/>
        <v>0</v>
      </c>
      <c r="K220" s="24"/>
      <c r="L220" s="24">
        <f t="shared" si="8"/>
        <v>508.6302521</v>
      </c>
      <c r="M220" s="31">
        <f t="shared" si="9"/>
        <v>439.8874738</v>
      </c>
      <c r="N220" s="27">
        <f t="shared" si="10"/>
        <v>68.7427783</v>
      </c>
      <c r="O220" s="24"/>
      <c r="P220" s="24"/>
      <c r="Q220" s="24"/>
      <c r="R220" s="26"/>
      <c r="S220" s="14">
        <f t="shared" si="13"/>
        <v>63.12622746</v>
      </c>
      <c r="U220" s="21"/>
      <c r="V220" s="21"/>
    </row>
    <row r="221">
      <c r="A221" s="11">
        <v>209.0</v>
      </c>
      <c r="B221" s="11">
        <v>1.42030434782608E9</v>
      </c>
      <c r="C221" s="2">
        <v>-101.7135315</v>
      </c>
      <c r="D221" s="24">
        <f t="shared" si="1"/>
        <v>-95652.17392</v>
      </c>
      <c r="E221" s="25">
        <f t="shared" si="2"/>
        <v>19.28421878</v>
      </c>
      <c r="F221" s="24">
        <f t="shared" si="3"/>
        <v>0.0002016077417</v>
      </c>
      <c r="G221" s="24">
        <f t="shared" si="4"/>
        <v>0</v>
      </c>
      <c r="H221" s="26">
        <f t="shared" si="5"/>
        <v>0</v>
      </c>
      <c r="I221" s="24">
        <f t="shared" si="6"/>
        <v>0</v>
      </c>
      <c r="J221" s="24">
        <f t="shared" si="7"/>
        <v>0</v>
      </c>
      <c r="K221" s="24"/>
      <c r="L221" s="24">
        <f t="shared" si="8"/>
        <v>512.5698034</v>
      </c>
      <c r="M221" s="31">
        <f t="shared" si="9"/>
        <v>439.7947563</v>
      </c>
      <c r="N221" s="27">
        <f t="shared" si="10"/>
        <v>72.77504706</v>
      </c>
      <c r="O221" s="24"/>
      <c r="P221" s="24"/>
      <c r="Q221" s="24"/>
      <c r="R221" s="26"/>
      <c r="S221" s="14">
        <f t="shared" si="13"/>
        <v>66.82904428</v>
      </c>
      <c r="U221" s="21"/>
      <c r="V221" s="21"/>
    </row>
    <row r="222">
      <c r="A222" s="11">
        <v>210.0</v>
      </c>
      <c r="B222" s="11">
        <v>1.42030869565217E9</v>
      </c>
      <c r="C222" s="2">
        <v>-101.6513596</v>
      </c>
      <c r="D222" s="24">
        <f t="shared" si="1"/>
        <v>-91304.34783</v>
      </c>
      <c r="E222" s="25">
        <f t="shared" si="2"/>
        <v>18.36592264</v>
      </c>
      <c r="F222" s="24">
        <f t="shared" si="3"/>
        <v>0.0002011505813</v>
      </c>
      <c r="G222" s="24">
        <f t="shared" si="4"/>
        <v>0</v>
      </c>
      <c r="H222" s="26">
        <f t="shared" si="5"/>
        <v>0</v>
      </c>
      <c r="I222" s="24">
        <f t="shared" si="6"/>
        <v>0</v>
      </c>
      <c r="J222" s="24">
        <f t="shared" si="7"/>
        <v>0</v>
      </c>
      <c r="K222" s="24"/>
      <c r="L222" s="24">
        <f t="shared" si="8"/>
        <v>519.960326</v>
      </c>
      <c r="M222" s="31">
        <f t="shared" si="9"/>
        <v>439.7023776</v>
      </c>
      <c r="N222" s="27">
        <f t="shared" si="10"/>
        <v>80.25794843</v>
      </c>
      <c r="O222" s="24"/>
      <c r="P222" s="24"/>
      <c r="Q222" s="24"/>
      <c r="R222" s="26"/>
      <c r="S222" s="14">
        <f t="shared" si="13"/>
        <v>73.7005635</v>
      </c>
      <c r="U222" s="21"/>
      <c r="V222" s="21"/>
    </row>
    <row r="223">
      <c r="A223" s="11">
        <v>211.0</v>
      </c>
      <c r="B223" s="11">
        <v>1.42031304347826E9</v>
      </c>
      <c r="C223" s="2">
        <v>-101.6650467</v>
      </c>
      <c r="D223" s="24">
        <f t="shared" si="1"/>
        <v>-86956.52174</v>
      </c>
      <c r="E223" s="25">
        <f t="shared" si="2"/>
        <v>17.44762651</v>
      </c>
      <c r="F223" s="24">
        <f t="shared" si="3"/>
        <v>0.0002006477049</v>
      </c>
      <c r="G223" s="24">
        <f t="shared" si="4"/>
        <v>0</v>
      </c>
      <c r="H223" s="26">
        <f t="shared" si="5"/>
        <v>0</v>
      </c>
      <c r="I223" s="24">
        <f t="shared" si="6"/>
        <v>0</v>
      </c>
      <c r="J223" s="24">
        <f t="shared" si="7"/>
        <v>0</v>
      </c>
      <c r="K223" s="24"/>
      <c r="L223" s="24">
        <f t="shared" si="8"/>
        <v>518.3242135</v>
      </c>
      <c r="M223" s="31">
        <f t="shared" si="9"/>
        <v>439.6103342</v>
      </c>
      <c r="N223" s="27">
        <f t="shared" si="10"/>
        <v>78.71387932</v>
      </c>
      <c r="O223" s="24"/>
      <c r="P223" s="24"/>
      <c r="Q223" s="24"/>
      <c r="R223" s="26"/>
      <c r="S223" s="14">
        <f t="shared" si="13"/>
        <v>72.28265098</v>
      </c>
      <c r="U223" s="21"/>
      <c r="V223" s="21"/>
    </row>
    <row r="224">
      <c r="A224" s="11">
        <v>212.0</v>
      </c>
      <c r="B224" s="11">
        <v>1.42031739130434E9</v>
      </c>
      <c r="C224" s="2">
        <v>-101.7128067</v>
      </c>
      <c r="D224" s="24">
        <f t="shared" si="1"/>
        <v>-82608.69566</v>
      </c>
      <c r="E224" s="25">
        <f t="shared" si="2"/>
        <v>16.52933038</v>
      </c>
      <c r="F224" s="24">
        <f t="shared" si="3"/>
        <v>0.000200091894</v>
      </c>
      <c r="G224" s="24">
        <f t="shared" si="4"/>
        <v>0</v>
      </c>
      <c r="H224" s="26">
        <f t="shared" si="5"/>
        <v>0</v>
      </c>
      <c r="I224" s="24">
        <f t="shared" si="6"/>
        <v>0</v>
      </c>
      <c r="J224" s="24">
        <f t="shared" si="7"/>
        <v>0</v>
      </c>
      <c r="K224" s="24"/>
      <c r="L224" s="24">
        <f t="shared" si="8"/>
        <v>512.655354</v>
      </c>
      <c r="M224" s="31">
        <f t="shared" si="9"/>
        <v>439.5186229</v>
      </c>
      <c r="N224" s="27">
        <f t="shared" si="10"/>
        <v>73.13673112</v>
      </c>
      <c r="O224" s="24"/>
      <c r="P224" s="24"/>
      <c r="Q224" s="24"/>
      <c r="R224" s="26"/>
      <c r="S224" s="14">
        <f t="shared" si="13"/>
        <v>67.16117735</v>
      </c>
      <c r="U224" s="21"/>
      <c r="V224" s="21"/>
    </row>
    <row r="225">
      <c r="A225" s="11">
        <v>213.0</v>
      </c>
      <c r="B225" s="11">
        <v>1.42032173913043E9</v>
      </c>
      <c r="C225" s="2">
        <v>-101.6407776</v>
      </c>
      <c r="D225" s="24">
        <f t="shared" si="1"/>
        <v>-78260.86957</v>
      </c>
      <c r="E225" s="25">
        <f t="shared" si="2"/>
        <v>15.61103425</v>
      </c>
      <c r="F225" s="24">
        <f t="shared" si="3"/>
        <v>0.0001994743265</v>
      </c>
      <c r="G225" s="24">
        <f t="shared" si="4"/>
        <v>0</v>
      </c>
      <c r="H225" s="26">
        <f t="shared" si="5"/>
        <v>0</v>
      </c>
      <c r="I225" s="24">
        <f t="shared" si="6"/>
        <v>0</v>
      </c>
      <c r="J225" s="24">
        <f t="shared" si="7"/>
        <v>0</v>
      </c>
      <c r="K225" s="24"/>
      <c r="L225" s="24">
        <f t="shared" si="8"/>
        <v>521.2288038</v>
      </c>
      <c r="M225" s="31">
        <f t="shared" si="9"/>
        <v>439.4272404</v>
      </c>
      <c r="N225" s="27">
        <f t="shared" si="10"/>
        <v>81.80156333</v>
      </c>
      <c r="O225" s="24"/>
      <c r="P225" s="24"/>
      <c r="Q225" s="24"/>
      <c r="R225" s="26"/>
      <c r="S225" s="14">
        <f t="shared" si="13"/>
        <v>75.11805909</v>
      </c>
      <c r="U225" s="21"/>
      <c r="V225" s="21"/>
    </row>
    <row r="226">
      <c r="A226" s="11">
        <v>214.0</v>
      </c>
      <c r="B226" s="11">
        <v>1.42032608695652E9</v>
      </c>
      <c r="C226" s="2">
        <v>-101.6105194</v>
      </c>
      <c r="D226" s="24">
        <f t="shared" si="1"/>
        <v>-73913.04348</v>
      </c>
      <c r="E226" s="25">
        <f t="shared" si="2"/>
        <v>14.69273812</v>
      </c>
      <c r="F226" s="24">
        <f t="shared" si="3"/>
        <v>0.0001987841039</v>
      </c>
      <c r="G226" s="24">
        <f t="shared" si="4"/>
        <v>0</v>
      </c>
      <c r="H226" s="26">
        <f t="shared" si="5"/>
        <v>0</v>
      </c>
      <c r="I226" s="24">
        <f t="shared" si="6"/>
        <v>0</v>
      </c>
      <c r="J226" s="24">
        <f t="shared" si="7"/>
        <v>0</v>
      </c>
      <c r="K226" s="24"/>
      <c r="L226" s="24">
        <f t="shared" si="8"/>
        <v>524.8729935</v>
      </c>
      <c r="M226" s="31">
        <f t="shared" si="9"/>
        <v>439.3361835</v>
      </c>
      <c r="N226" s="27">
        <f t="shared" si="10"/>
        <v>85.53680994</v>
      </c>
      <c r="O226" s="24"/>
      <c r="P226" s="24"/>
      <c r="Q226" s="24"/>
      <c r="R226" s="26"/>
      <c r="S226" s="14">
        <f t="shared" si="13"/>
        <v>78.54812178</v>
      </c>
      <c r="U226" s="21"/>
      <c r="V226" s="21"/>
    </row>
    <row r="227">
      <c r="A227" s="11">
        <v>215.0</v>
      </c>
      <c r="B227" s="11">
        <v>1.4203304347826E9</v>
      </c>
      <c r="C227" s="2">
        <v>-101.6070557</v>
      </c>
      <c r="D227" s="24">
        <f t="shared" si="1"/>
        <v>-69565.2174</v>
      </c>
      <c r="E227" s="25">
        <f t="shared" si="2"/>
        <v>13.77444198</v>
      </c>
      <c r="F227" s="24">
        <f t="shared" si="3"/>
        <v>0.0001980076035</v>
      </c>
      <c r="G227" s="24">
        <f t="shared" si="4"/>
        <v>0</v>
      </c>
      <c r="H227" s="26">
        <f t="shared" si="5"/>
        <v>0</v>
      </c>
      <c r="I227" s="24">
        <f t="shared" si="6"/>
        <v>0</v>
      </c>
      <c r="J227" s="24">
        <f t="shared" si="7"/>
        <v>0</v>
      </c>
      <c r="K227" s="24"/>
      <c r="L227" s="24">
        <f t="shared" si="8"/>
        <v>525.291771</v>
      </c>
      <c r="M227" s="31">
        <f t="shared" si="9"/>
        <v>439.2454489</v>
      </c>
      <c r="N227" s="27">
        <f t="shared" si="10"/>
        <v>86.04632214</v>
      </c>
      <c r="O227" s="24"/>
      <c r="P227" s="24"/>
      <c r="Q227" s="24"/>
      <c r="R227" s="26"/>
      <c r="S227" s="14">
        <f t="shared" si="13"/>
        <v>79.01600486</v>
      </c>
      <c r="U227" s="21"/>
      <c r="V227" s="21"/>
    </row>
    <row r="228">
      <c r="A228" s="11">
        <v>216.0</v>
      </c>
      <c r="B228" s="11">
        <v>1.42033478260869E9</v>
      </c>
      <c r="C228" s="2">
        <v>-101.600708</v>
      </c>
      <c r="D228" s="24">
        <f t="shared" si="1"/>
        <v>-65217.39131</v>
      </c>
      <c r="E228" s="25">
        <f t="shared" si="2"/>
        <v>12.85614585</v>
      </c>
      <c r="F228" s="24">
        <f t="shared" si="3"/>
        <v>0.0001971275697</v>
      </c>
      <c r="G228" s="24">
        <f t="shared" si="4"/>
        <v>0</v>
      </c>
      <c r="H228" s="26">
        <f t="shared" si="5"/>
        <v>0</v>
      </c>
      <c r="I228" s="24">
        <f t="shared" si="6"/>
        <v>0</v>
      </c>
      <c r="J228" s="24">
        <f t="shared" si="7"/>
        <v>0</v>
      </c>
      <c r="K228" s="24"/>
      <c r="L228" s="24">
        <f t="shared" si="8"/>
        <v>526.0601051</v>
      </c>
      <c r="M228" s="31">
        <f t="shared" si="9"/>
        <v>439.1550332</v>
      </c>
      <c r="N228" s="27">
        <f t="shared" si="10"/>
        <v>86.90507192</v>
      </c>
      <c r="O228" s="24"/>
      <c r="P228" s="24"/>
      <c r="Q228" s="24"/>
      <c r="R228" s="26"/>
      <c r="S228" s="14">
        <f t="shared" si="13"/>
        <v>79.80459147</v>
      </c>
      <c r="U228" s="21"/>
      <c r="V228" s="21"/>
    </row>
    <row r="229">
      <c r="A229" s="11">
        <v>217.0</v>
      </c>
      <c r="B229" s="11">
        <v>1.42033913043478E9</v>
      </c>
      <c r="C229" s="2">
        <v>-101.6096649</v>
      </c>
      <c r="D229" s="24">
        <f t="shared" si="1"/>
        <v>-60869.56522</v>
      </c>
      <c r="E229" s="25">
        <f t="shared" si="2"/>
        <v>11.93784972</v>
      </c>
      <c r="F229" s="24">
        <f t="shared" si="3"/>
        <v>0.0001961218168</v>
      </c>
      <c r="G229" s="24">
        <f t="shared" si="4"/>
        <v>0</v>
      </c>
      <c r="H229" s="26">
        <f t="shared" si="5"/>
        <v>0</v>
      </c>
      <c r="I229" s="24">
        <f t="shared" si="6"/>
        <v>0</v>
      </c>
      <c r="J229" s="24">
        <f t="shared" si="7"/>
        <v>0</v>
      </c>
      <c r="K229" s="24"/>
      <c r="L229" s="24">
        <f t="shared" si="8"/>
        <v>524.9762755</v>
      </c>
      <c r="M229" s="31">
        <f t="shared" si="9"/>
        <v>439.0649332</v>
      </c>
      <c r="N229" s="27">
        <f t="shared" si="10"/>
        <v>85.9113423</v>
      </c>
      <c r="O229" s="24"/>
      <c r="P229" s="24"/>
      <c r="Q229" s="24"/>
      <c r="R229" s="26"/>
      <c r="S229" s="14">
        <f t="shared" si="13"/>
        <v>78.89205322</v>
      </c>
      <c r="U229" s="21"/>
      <c r="V229" s="21"/>
    </row>
    <row r="230">
      <c r="A230" s="11">
        <v>218.0</v>
      </c>
      <c r="B230" s="11">
        <v>1.42034347826087E9</v>
      </c>
      <c r="C230" s="2">
        <v>-101.5858307</v>
      </c>
      <c r="D230" s="24">
        <f t="shared" si="1"/>
        <v>-56521.73913</v>
      </c>
      <c r="E230" s="25">
        <f t="shared" si="2"/>
        <v>11.01955359</v>
      </c>
      <c r="F230" s="24">
        <f t="shared" si="3"/>
        <v>0.0001949613327</v>
      </c>
      <c r="G230" s="24">
        <f t="shared" si="4"/>
        <v>0</v>
      </c>
      <c r="H230" s="26">
        <f t="shared" si="5"/>
        <v>0</v>
      </c>
      <c r="I230" s="24">
        <f t="shared" si="6"/>
        <v>0</v>
      </c>
      <c r="J230" s="24">
        <f t="shared" si="7"/>
        <v>0</v>
      </c>
      <c r="K230" s="24"/>
      <c r="L230" s="24">
        <f t="shared" si="8"/>
        <v>527.8652799</v>
      </c>
      <c r="M230" s="31">
        <f t="shared" si="9"/>
        <v>438.9751456</v>
      </c>
      <c r="N230" s="27">
        <f t="shared" si="10"/>
        <v>88.89013427</v>
      </c>
      <c r="O230" s="24"/>
      <c r="P230" s="24"/>
      <c r="Q230" s="24"/>
      <c r="R230" s="26"/>
      <c r="S230" s="14">
        <f t="shared" si="13"/>
        <v>81.62746654</v>
      </c>
      <c r="U230" s="21"/>
      <c r="V230" s="21"/>
    </row>
    <row r="231">
      <c r="A231" s="11">
        <v>219.0</v>
      </c>
      <c r="B231" s="11">
        <v>1.42034782608695E9</v>
      </c>
      <c r="C231" s="2">
        <v>-101.5634613</v>
      </c>
      <c r="D231" s="24">
        <f t="shared" si="1"/>
        <v>-52173.91305</v>
      </c>
      <c r="E231" s="25">
        <f t="shared" si="2"/>
        <v>10.10125745</v>
      </c>
      <c r="F231" s="24">
        <f t="shared" si="3"/>
        <v>0.0001936074345</v>
      </c>
      <c r="G231" s="24">
        <f t="shared" si="4"/>
        <v>0</v>
      </c>
      <c r="H231" s="26">
        <f t="shared" si="5"/>
        <v>0</v>
      </c>
      <c r="I231" s="24">
        <f t="shared" si="6"/>
        <v>0</v>
      </c>
      <c r="J231" s="24">
        <f t="shared" si="7"/>
        <v>0</v>
      </c>
      <c r="K231" s="24"/>
      <c r="L231" s="24">
        <f t="shared" si="8"/>
        <v>530.5911934</v>
      </c>
      <c r="M231" s="31">
        <f t="shared" si="9"/>
        <v>438.8856671</v>
      </c>
      <c r="N231" s="27">
        <f t="shared" si="10"/>
        <v>91.70552623</v>
      </c>
      <c r="O231" s="24"/>
      <c r="P231" s="24"/>
      <c r="Q231" s="24"/>
      <c r="R231" s="26"/>
      <c r="S231" s="14">
        <f t="shared" si="13"/>
        <v>84.21283009</v>
      </c>
      <c r="U231" s="21"/>
      <c r="V231" s="21"/>
    </row>
    <row r="232">
      <c r="A232" s="11">
        <v>220.0</v>
      </c>
      <c r="B232" s="11">
        <v>1.42035217391304E9</v>
      </c>
      <c r="C232" s="2">
        <v>-101.582962</v>
      </c>
      <c r="D232" s="24">
        <f t="shared" si="1"/>
        <v>-47826.08696</v>
      </c>
      <c r="E232" s="25">
        <f t="shared" si="2"/>
        <v>9.182961321</v>
      </c>
      <c r="F232" s="24">
        <f t="shared" si="3"/>
        <v>0.0001920073731</v>
      </c>
      <c r="G232" s="24">
        <f t="shared" si="4"/>
        <v>0</v>
      </c>
      <c r="H232" s="26">
        <f t="shared" si="5"/>
        <v>0</v>
      </c>
      <c r="I232" s="24">
        <f t="shared" si="6"/>
        <v>0</v>
      </c>
      <c r="J232" s="24">
        <f t="shared" si="7"/>
        <v>0</v>
      </c>
      <c r="K232" s="24"/>
      <c r="L232" s="24">
        <f t="shared" si="8"/>
        <v>528.2140725</v>
      </c>
      <c r="M232" s="31">
        <f t="shared" si="9"/>
        <v>438.7964945</v>
      </c>
      <c r="N232" s="27">
        <f t="shared" si="10"/>
        <v>89.417578</v>
      </c>
      <c r="O232" s="24"/>
      <c r="P232" s="24"/>
      <c r="Q232" s="24"/>
      <c r="R232" s="26"/>
      <c r="S232" s="14">
        <f t="shared" si="13"/>
        <v>82.1118159</v>
      </c>
      <c r="U232" s="21"/>
      <c r="V232" s="21"/>
    </row>
    <row r="233">
      <c r="A233" s="11">
        <v>221.0</v>
      </c>
      <c r="B233" s="11">
        <v>1.42035652173913E9</v>
      </c>
      <c r="C233" s="2">
        <v>-101.5419312</v>
      </c>
      <c r="D233" s="24">
        <f t="shared" si="1"/>
        <v>-43478.26087</v>
      </c>
      <c r="E233" s="25">
        <f t="shared" si="2"/>
        <v>8.264665191</v>
      </c>
      <c r="F233" s="24">
        <f t="shared" si="3"/>
        <v>0.0001900872994</v>
      </c>
      <c r="G233" s="24">
        <f t="shared" si="4"/>
        <v>0</v>
      </c>
      <c r="H233" s="26">
        <f t="shared" si="5"/>
        <v>0</v>
      </c>
      <c r="I233" s="24">
        <f t="shared" si="6"/>
        <v>0</v>
      </c>
      <c r="J233" s="24">
        <f t="shared" si="7"/>
        <v>0</v>
      </c>
      <c r="K233" s="24"/>
      <c r="L233" s="24">
        <f t="shared" si="8"/>
        <v>533.2281241</v>
      </c>
      <c r="M233" s="31">
        <f t="shared" si="9"/>
        <v>438.7076245</v>
      </c>
      <c r="N233" s="27">
        <f t="shared" si="10"/>
        <v>94.5204996</v>
      </c>
      <c r="O233" s="24"/>
      <c r="P233" s="24"/>
      <c r="Q233" s="24"/>
      <c r="R233" s="26"/>
      <c r="S233" s="14">
        <f t="shared" si="13"/>
        <v>86.79780925</v>
      </c>
      <c r="U233" s="21"/>
      <c r="V233" s="21"/>
    </row>
    <row r="234">
      <c r="A234" s="11">
        <v>222.0</v>
      </c>
      <c r="B234" s="11">
        <v>1.42036086956521E9</v>
      </c>
      <c r="C234" s="2">
        <v>-101.5043259</v>
      </c>
      <c r="D234" s="24">
        <f t="shared" si="1"/>
        <v>-39130.43479</v>
      </c>
      <c r="E234" s="25">
        <f t="shared" si="2"/>
        <v>7.346369058</v>
      </c>
      <c r="F234" s="24">
        <f t="shared" si="3"/>
        <v>0.0001877405426</v>
      </c>
      <c r="G234" s="24">
        <f t="shared" si="4"/>
        <v>0</v>
      </c>
      <c r="H234" s="26">
        <f t="shared" si="5"/>
        <v>0</v>
      </c>
      <c r="I234" s="24">
        <f t="shared" si="6"/>
        <v>0</v>
      </c>
      <c r="J234" s="24">
        <f t="shared" si="7"/>
        <v>0</v>
      </c>
      <c r="K234" s="24"/>
      <c r="L234" s="24">
        <f t="shared" si="8"/>
        <v>537.8653624</v>
      </c>
      <c r="M234" s="31">
        <f t="shared" si="9"/>
        <v>438.6190537</v>
      </c>
      <c r="N234" s="27">
        <f t="shared" si="10"/>
        <v>99.24630867</v>
      </c>
      <c r="O234" s="24"/>
      <c r="P234" s="24"/>
      <c r="Q234" s="24"/>
      <c r="R234" s="26"/>
      <c r="S234" s="14">
        <f t="shared" si="13"/>
        <v>91.13750144</v>
      </c>
      <c r="U234" s="21"/>
      <c r="V234" s="21"/>
    </row>
    <row r="235">
      <c r="A235" s="11">
        <v>223.0</v>
      </c>
      <c r="B235" s="11">
        <v>1.4203652173913E9</v>
      </c>
      <c r="C235" s="2">
        <v>-101.5041733</v>
      </c>
      <c r="D235" s="24">
        <f t="shared" si="1"/>
        <v>-34782.6087</v>
      </c>
      <c r="E235" s="25">
        <f t="shared" si="2"/>
        <v>6.428072925</v>
      </c>
      <c r="F235" s="24">
        <f t="shared" si="3"/>
        <v>0.0001848070966</v>
      </c>
      <c r="G235" s="24">
        <f t="shared" si="4"/>
        <v>0</v>
      </c>
      <c r="H235" s="26">
        <f t="shared" si="5"/>
        <v>0</v>
      </c>
      <c r="I235" s="24">
        <f t="shared" si="6"/>
        <v>0</v>
      </c>
      <c r="J235" s="24">
        <f t="shared" si="7"/>
        <v>0</v>
      </c>
      <c r="K235" s="24"/>
      <c r="L235" s="24">
        <f t="shared" si="8"/>
        <v>537.884262</v>
      </c>
      <c r="M235" s="31">
        <f t="shared" si="9"/>
        <v>438.530779</v>
      </c>
      <c r="N235" s="27">
        <f t="shared" si="10"/>
        <v>99.35348296</v>
      </c>
      <c r="O235" s="24"/>
      <c r="P235" s="24"/>
      <c r="Q235" s="24"/>
      <c r="R235" s="26"/>
      <c r="S235" s="14">
        <f t="shared" si="13"/>
        <v>91.23591897</v>
      </c>
      <c r="U235" s="21"/>
      <c r="V235" s="21"/>
    </row>
    <row r="236">
      <c r="A236" s="11">
        <v>224.0</v>
      </c>
      <c r="B236" s="11">
        <v>1.42036956521739E9</v>
      </c>
      <c r="C236" s="2">
        <v>-101.5527496</v>
      </c>
      <c r="D236" s="24">
        <f t="shared" si="1"/>
        <v>-30434.78261</v>
      </c>
      <c r="E236" s="25">
        <f t="shared" si="2"/>
        <v>5.509776795</v>
      </c>
      <c r="F236" s="24">
        <f t="shared" si="3"/>
        <v>0.0001810355232</v>
      </c>
      <c r="G236" s="24">
        <f t="shared" si="4"/>
        <v>0</v>
      </c>
      <c r="H236" s="26">
        <f t="shared" si="5"/>
        <v>0</v>
      </c>
      <c r="I236" s="24">
        <f t="shared" si="6"/>
        <v>0</v>
      </c>
      <c r="J236" s="24">
        <f t="shared" si="7"/>
        <v>0</v>
      </c>
      <c r="K236" s="24"/>
      <c r="L236" s="24">
        <f t="shared" si="8"/>
        <v>531.9014906</v>
      </c>
      <c r="M236" s="31">
        <f t="shared" si="9"/>
        <v>438.442797</v>
      </c>
      <c r="N236" s="27">
        <f t="shared" si="10"/>
        <v>93.45869361</v>
      </c>
      <c r="O236" s="24"/>
      <c r="P236" s="24"/>
      <c r="Q236" s="24"/>
      <c r="R236" s="26"/>
      <c r="S236" s="14">
        <f t="shared" si="13"/>
        <v>85.82275692</v>
      </c>
      <c r="U236" s="21"/>
      <c r="V236" s="21"/>
    </row>
    <row r="237">
      <c r="A237" s="11">
        <v>225.0</v>
      </c>
      <c r="B237" s="11">
        <v>1.42037391304347E9</v>
      </c>
      <c r="C237" s="2">
        <v>-101.4665146</v>
      </c>
      <c r="D237" s="24">
        <f t="shared" si="1"/>
        <v>-26086.95653</v>
      </c>
      <c r="E237" s="25">
        <f t="shared" si="2"/>
        <v>4.591480662</v>
      </c>
      <c r="F237" s="24">
        <f t="shared" si="3"/>
        <v>0.0001760067586</v>
      </c>
      <c r="G237" s="24">
        <f t="shared" si="4"/>
        <v>0</v>
      </c>
      <c r="H237" s="26">
        <f t="shared" si="5"/>
        <v>0</v>
      </c>
      <c r="I237" s="24">
        <f t="shared" si="6"/>
        <v>0</v>
      </c>
      <c r="J237" s="24">
        <f t="shared" si="7"/>
        <v>0</v>
      </c>
      <c r="K237" s="24"/>
      <c r="L237" s="24">
        <f t="shared" si="8"/>
        <v>542.5686638</v>
      </c>
      <c r="M237" s="31">
        <f t="shared" si="9"/>
        <v>438.3551044</v>
      </c>
      <c r="N237" s="27">
        <f t="shared" si="10"/>
        <v>104.2135594</v>
      </c>
      <c r="O237" s="24"/>
      <c r="P237" s="24"/>
      <c r="Q237" s="24"/>
      <c r="R237" s="26"/>
      <c r="S237" s="14">
        <f t="shared" si="13"/>
        <v>95.69890861</v>
      </c>
      <c r="U237" s="21"/>
      <c r="V237" s="21"/>
    </row>
    <row r="238">
      <c r="A238" s="11">
        <v>226.0</v>
      </c>
      <c r="B238" s="11">
        <v>1.42037826086956E9</v>
      </c>
      <c r="C238" s="2">
        <v>-101.4332504</v>
      </c>
      <c r="D238" s="24">
        <f t="shared" si="1"/>
        <v>-21739.13044</v>
      </c>
      <c r="E238" s="25">
        <f t="shared" si="2"/>
        <v>3.673184529</v>
      </c>
      <c r="F238" s="24">
        <f t="shared" si="3"/>
        <v>0.0001689664883</v>
      </c>
      <c r="G238" s="24">
        <f t="shared" si="4"/>
        <v>0</v>
      </c>
      <c r="H238" s="26">
        <f t="shared" si="5"/>
        <v>0</v>
      </c>
      <c r="I238" s="24">
        <f t="shared" si="6"/>
        <v>0</v>
      </c>
      <c r="J238" s="24">
        <f t="shared" si="7"/>
        <v>0</v>
      </c>
      <c r="K238" s="24"/>
      <c r="L238" s="24">
        <f t="shared" si="8"/>
        <v>546.7403512</v>
      </c>
      <c r="M238" s="31">
        <f t="shared" si="9"/>
        <v>438.267698</v>
      </c>
      <c r="N238" s="27">
        <f t="shared" si="10"/>
        <v>108.4726532</v>
      </c>
      <c r="O238" s="24"/>
      <c r="P238" s="24"/>
      <c r="Q238" s="24"/>
      <c r="R238" s="26"/>
      <c r="S238" s="14">
        <f t="shared" si="13"/>
        <v>99.6100177</v>
      </c>
      <c r="U238" s="21"/>
      <c r="V238" s="21"/>
    </row>
    <row r="239">
      <c r="A239" s="11">
        <v>227.0</v>
      </c>
      <c r="B239" s="11">
        <v>1.42038260869565E9</v>
      </c>
      <c r="C239" s="2">
        <v>-101.4128723</v>
      </c>
      <c r="D239" s="24">
        <f t="shared" si="1"/>
        <v>-17391.30435</v>
      </c>
      <c r="E239" s="25">
        <f t="shared" si="2"/>
        <v>2.754888398</v>
      </c>
      <c r="F239" s="24">
        <f t="shared" si="3"/>
        <v>0.0001584060829</v>
      </c>
      <c r="G239" s="24">
        <f t="shared" si="4"/>
        <v>0</v>
      </c>
      <c r="H239" s="26">
        <f t="shared" si="5"/>
        <v>0</v>
      </c>
      <c r="I239" s="24">
        <f t="shared" si="6"/>
        <v>0</v>
      </c>
      <c r="J239" s="24">
        <f t="shared" si="7"/>
        <v>0</v>
      </c>
      <c r="K239" s="24"/>
      <c r="L239" s="24">
        <f t="shared" si="8"/>
        <v>549.3118114</v>
      </c>
      <c r="M239" s="31">
        <f t="shared" si="9"/>
        <v>438.1805744</v>
      </c>
      <c r="N239" s="27">
        <f t="shared" si="10"/>
        <v>111.1312369</v>
      </c>
      <c r="O239" s="24"/>
      <c r="P239" s="24"/>
      <c r="Q239" s="24"/>
      <c r="R239" s="26"/>
      <c r="S239" s="14">
        <f t="shared" si="13"/>
        <v>102.0513851</v>
      </c>
      <c r="U239" s="21"/>
      <c r="V239" s="21"/>
    </row>
    <row r="240">
      <c r="A240" s="11">
        <v>228.0</v>
      </c>
      <c r="B240" s="11">
        <v>1.42038695652173E9</v>
      </c>
      <c r="C240" s="2">
        <v>-101.378067</v>
      </c>
      <c r="D240" s="24">
        <f t="shared" si="1"/>
        <v>-13043.47827</v>
      </c>
      <c r="E240" s="25">
        <f t="shared" si="2"/>
        <v>1.836592266</v>
      </c>
      <c r="F240" s="24">
        <f t="shared" si="3"/>
        <v>0.0001408054069</v>
      </c>
      <c r="G240" s="24">
        <f t="shared" si="4"/>
        <v>0</v>
      </c>
      <c r="H240" s="26">
        <f t="shared" si="5"/>
        <v>0</v>
      </c>
      <c r="I240" s="24">
        <f t="shared" si="6"/>
        <v>0</v>
      </c>
      <c r="J240" s="24">
        <f t="shared" si="7"/>
        <v>0</v>
      </c>
      <c r="K240" s="24"/>
      <c r="L240" s="24">
        <f t="shared" si="8"/>
        <v>553.7318029</v>
      </c>
      <c r="M240" s="31">
        <f t="shared" si="9"/>
        <v>438.0937305</v>
      </c>
      <c r="N240" s="27">
        <f t="shared" si="10"/>
        <v>115.6380724</v>
      </c>
      <c r="O240" s="24"/>
      <c r="P240" s="24"/>
      <c r="Q240" s="24"/>
      <c r="R240" s="26"/>
      <c r="S240" s="14">
        <f t="shared" si="13"/>
        <v>106.1899947</v>
      </c>
      <c r="U240" s="21"/>
      <c r="V240" s="21"/>
    </row>
    <row r="241">
      <c r="A241" s="11">
        <v>229.0</v>
      </c>
      <c r="B241" s="11">
        <v>1.42039130434782E9</v>
      </c>
      <c r="C241" s="2">
        <v>-101.4274063</v>
      </c>
      <c r="D241" s="24">
        <f t="shared" si="1"/>
        <v>-8695.65218</v>
      </c>
      <c r="E241" s="25">
        <f t="shared" si="2"/>
        <v>0.9182961328</v>
      </c>
      <c r="F241" s="24">
        <f t="shared" si="3"/>
        <v>0.0001056040552</v>
      </c>
      <c r="G241" s="24">
        <f t="shared" si="4"/>
        <v>0</v>
      </c>
      <c r="H241" s="26">
        <f t="shared" si="5"/>
        <v>0</v>
      </c>
      <c r="I241" s="24">
        <f t="shared" si="6"/>
        <v>0</v>
      </c>
      <c r="J241" s="24">
        <f t="shared" si="7"/>
        <v>0</v>
      </c>
      <c r="K241" s="24"/>
      <c r="L241" s="24">
        <f t="shared" si="8"/>
        <v>547.4765696</v>
      </c>
      <c r="M241" s="31">
        <f t="shared" si="9"/>
        <v>438.0071629</v>
      </c>
      <c r="N241" s="27">
        <f t="shared" si="10"/>
        <v>109.4694067</v>
      </c>
      <c r="O241" s="24"/>
      <c r="P241" s="24"/>
      <c r="Q241" s="24"/>
      <c r="R241" s="26"/>
      <c r="S241" s="14">
        <f t="shared" si="13"/>
        <v>100.5253329</v>
      </c>
      <c r="U241" s="21"/>
      <c r="V241" s="21"/>
    </row>
    <row r="242">
      <c r="A242" s="11">
        <v>230.0</v>
      </c>
      <c r="B242" s="11">
        <v>1.42039565217391E9</v>
      </c>
      <c r="C242" s="2">
        <v>-101.3499603</v>
      </c>
      <c r="D242" s="24">
        <f t="shared" si="1"/>
        <v>-4347.82609</v>
      </c>
      <c r="E242" s="25">
        <f t="shared" si="2"/>
        <v>0</v>
      </c>
      <c r="F242" s="24">
        <f t="shared" si="3"/>
        <v>0</v>
      </c>
      <c r="G242" s="24">
        <f t="shared" si="4"/>
        <v>0</v>
      </c>
      <c r="H242" s="26">
        <f t="shared" si="5"/>
        <v>0</v>
      </c>
      <c r="I242" s="24">
        <f t="shared" si="6"/>
        <v>0</v>
      </c>
      <c r="J242" s="24" t="str">
        <f t="shared" si="7"/>
        <v>#DIV/0!</v>
      </c>
      <c r="K242" s="24"/>
      <c r="L242" s="24">
        <f t="shared" si="8"/>
        <v>557.3270695</v>
      </c>
      <c r="M242" s="31">
        <f t="shared" si="9"/>
        <v>437.9208683</v>
      </c>
      <c r="N242" s="27">
        <f t="shared" si="10"/>
        <v>119.4062013</v>
      </c>
      <c r="O242" s="24"/>
      <c r="P242" s="24"/>
      <c r="Q242" s="24"/>
      <c r="R242" s="26"/>
      <c r="S242" s="14">
        <f t="shared" si="13"/>
        <v>109.6502526</v>
      </c>
      <c r="U242" s="21"/>
      <c r="V242" s="21"/>
    </row>
    <row r="243">
      <c r="A243" s="11">
        <v>231.0</v>
      </c>
      <c r="B243" s="11">
        <v>1.4204E9</v>
      </c>
      <c r="C243" s="2">
        <v>-101.2669373</v>
      </c>
      <c r="D243" s="24">
        <f t="shared" si="1"/>
        <v>0</v>
      </c>
      <c r="E243" s="25">
        <f t="shared" si="2"/>
        <v>-0.9182961307</v>
      </c>
      <c r="F243" s="24" t="str">
        <f t="shared" si="3"/>
        <v>#DIV/0!</v>
      </c>
      <c r="G243" s="24">
        <f t="shared" si="4"/>
        <v>0</v>
      </c>
      <c r="H243" s="26">
        <f t="shared" si="5"/>
        <v>0</v>
      </c>
      <c r="I243" s="24">
        <f t="shared" si="6"/>
        <v>0</v>
      </c>
      <c r="J243" s="24" t="str">
        <f t="shared" si="7"/>
        <v>#DIV/0!</v>
      </c>
      <c r="K243" s="24"/>
      <c r="L243" s="24">
        <f t="shared" si="8"/>
        <v>568.0838427</v>
      </c>
      <c r="M243" s="31">
        <f t="shared" si="9"/>
        <v>437.8348434</v>
      </c>
      <c r="N243" s="27">
        <f t="shared" si="10"/>
        <v>130.2489993</v>
      </c>
      <c r="O243" s="24"/>
      <c r="P243" s="24"/>
      <c r="Q243" s="24"/>
      <c r="R243" s="26"/>
      <c r="S243" s="14">
        <f t="shared" si="13"/>
        <v>119.6071524</v>
      </c>
      <c r="U243" s="21"/>
      <c r="V243" s="21"/>
    </row>
    <row r="244">
      <c r="A244" s="11">
        <v>232.0</v>
      </c>
      <c r="B244" s="11">
        <v>1.42040434782608E9</v>
      </c>
      <c r="C244" s="2">
        <v>-101.2264481</v>
      </c>
      <c r="D244" s="24">
        <f t="shared" si="1"/>
        <v>4347.82608</v>
      </c>
      <c r="E244" s="25">
        <f t="shared" si="2"/>
        <v>-1.836592263</v>
      </c>
      <c r="F244" s="24">
        <f t="shared" si="3"/>
        <v>0.0004224162213</v>
      </c>
      <c r="G244" s="24">
        <f t="shared" si="4"/>
        <v>0</v>
      </c>
      <c r="H244" s="26">
        <f t="shared" si="5"/>
        <v>0</v>
      </c>
      <c r="I244" s="24">
        <f t="shared" si="6"/>
        <v>0</v>
      </c>
      <c r="J244" s="24">
        <f t="shared" si="7"/>
        <v>0</v>
      </c>
      <c r="K244" s="24"/>
      <c r="L244" s="24">
        <f t="shared" si="8"/>
        <v>573.4048439</v>
      </c>
      <c r="M244" s="31">
        <f t="shared" si="9"/>
        <v>437.749085</v>
      </c>
      <c r="N244" s="27">
        <f t="shared" si="10"/>
        <v>135.6557589</v>
      </c>
      <c r="O244" s="24"/>
      <c r="P244" s="24"/>
      <c r="Q244" s="24"/>
      <c r="R244" s="26"/>
      <c r="S244" s="14">
        <f t="shared" si="13"/>
        <v>124.5721588</v>
      </c>
      <c r="U244" s="21"/>
      <c r="V244" s="21"/>
    </row>
    <row r="245">
      <c r="A245" s="11">
        <v>233.0</v>
      </c>
      <c r="B245" s="11">
        <v>1.42040869565217E9</v>
      </c>
      <c r="C245" s="2">
        <v>-101.2759628</v>
      </c>
      <c r="D245" s="24">
        <f t="shared" si="1"/>
        <v>8695.65217</v>
      </c>
      <c r="E245" s="25">
        <f t="shared" si="2"/>
        <v>-2.754888396</v>
      </c>
      <c r="F245" s="24">
        <f t="shared" si="3"/>
        <v>0.0003168121657</v>
      </c>
      <c r="G245" s="24">
        <f t="shared" si="4"/>
        <v>0</v>
      </c>
      <c r="H245" s="26">
        <f t="shared" si="5"/>
        <v>0</v>
      </c>
      <c r="I245" s="24">
        <f t="shared" si="6"/>
        <v>0</v>
      </c>
      <c r="J245" s="24">
        <f t="shared" si="7"/>
        <v>0</v>
      </c>
      <c r="K245" s="24"/>
      <c r="L245" s="24">
        <f t="shared" si="8"/>
        <v>566.9044778</v>
      </c>
      <c r="M245" s="31">
        <f t="shared" si="9"/>
        <v>437.6635899</v>
      </c>
      <c r="N245" s="27">
        <f t="shared" si="10"/>
        <v>129.240888</v>
      </c>
      <c r="O245" s="24"/>
      <c r="P245" s="24"/>
      <c r="Q245" s="24"/>
      <c r="R245" s="26"/>
      <c r="S245" s="14">
        <f t="shared" si="13"/>
        <v>118.6814073</v>
      </c>
      <c r="U245" s="21"/>
      <c r="V245" s="21"/>
    </row>
    <row r="246">
      <c r="A246" s="11">
        <v>234.0</v>
      </c>
      <c r="B246" s="11">
        <v>1.42041304347826E9</v>
      </c>
      <c r="C246" s="2">
        <v>-101.23246</v>
      </c>
      <c r="D246" s="24">
        <f t="shared" si="1"/>
        <v>13043.47826</v>
      </c>
      <c r="E246" s="25">
        <f t="shared" si="2"/>
        <v>-3.673184527</v>
      </c>
      <c r="F246" s="24">
        <f t="shared" si="3"/>
        <v>0.0002816108137</v>
      </c>
      <c r="G246" s="24">
        <f t="shared" si="4"/>
        <v>0</v>
      </c>
      <c r="H246" s="26">
        <f t="shared" si="5"/>
        <v>0</v>
      </c>
      <c r="I246" s="24">
        <f t="shared" si="6"/>
        <v>0</v>
      </c>
      <c r="J246" s="24">
        <f t="shared" si="7"/>
        <v>0</v>
      </c>
      <c r="K246" s="24"/>
      <c r="L246" s="24">
        <f t="shared" si="8"/>
        <v>572.6116338</v>
      </c>
      <c r="M246" s="31">
        <f t="shared" si="9"/>
        <v>437.5783546</v>
      </c>
      <c r="N246" s="27">
        <f t="shared" si="10"/>
        <v>135.0332792</v>
      </c>
      <c r="O246" s="24"/>
      <c r="P246" s="24"/>
      <c r="Q246" s="24"/>
      <c r="R246" s="26"/>
      <c r="S246" s="14">
        <f t="shared" si="13"/>
        <v>124.0005381</v>
      </c>
      <c r="U246" s="21"/>
      <c r="V246" s="21"/>
    </row>
    <row r="247">
      <c r="A247" s="11">
        <v>235.0</v>
      </c>
      <c r="B247" s="11">
        <v>1.42041739130434E9</v>
      </c>
      <c r="C247" s="2">
        <v>-101.0712509</v>
      </c>
      <c r="D247" s="24">
        <f t="shared" si="1"/>
        <v>17391.30434</v>
      </c>
      <c r="E247" s="25">
        <f t="shared" si="2"/>
        <v>-4.59148066</v>
      </c>
      <c r="F247" s="24">
        <f t="shared" si="3"/>
        <v>0.0002640101381</v>
      </c>
      <c r="G247" s="24">
        <f t="shared" si="4"/>
        <v>0</v>
      </c>
      <c r="H247" s="26">
        <f t="shared" si="5"/>
        <v>0</v>
      </c>
      <c r="I247" s="24">
        <f t="shared" si="6"/>
        <v>0</v>
      </c>
      <c r="J247" s="24">
        <f t="shared" si="7"/>
        <v>0</v>
      </c>
      <c r="K247" s="24"/>
      <c r="L247" s="24">
        <f t="shared" si="8"/>
        <v>594.2662653</v>
      </c>
      <c r="M247" s="31">
        <f t="shared" si="9"/>
        <v>437.4933759</v>
      </c>
      <c r="N247" s="27">
        <f t="shared" si="10"/>
        <v>156.7728894</v>
      </c>
      <c r="O247" s="24"/>
      <c r="P247" s="24"/>
      <c r="Q247" s="24"/>
      <c r="R247" s="26"/>
      <c r="S247" s="14">
        <f t="shared" si="13"/>
        <v>143.9639381</v>
      </c>
      <c r="U247" s="21"/>
      <c r="V247" s="21"/>
    </row>
    <row r="248">
      <c r="A248" s="11">
        <v>236.0</v>
      </c>
      <c r="B248" s="11">
        <v>1.42042173913043E9</v>
      </c>
      <c r="C248" s="2">
        <v>-101.1086273</v>
      </c>
      <c r="D248" s="24">
        <f t="shared" si="1"/>
        <v>21739.13043</v>
      </c>
      <c r="E248" s="25">
        <f t="shared" si="2"/>
        <v>-5.509776792</v>
      </c>
      <c r="F248" s="24">
        <f t="shared" si="3"/>
        <v>0.0002534497325</v>
      </c>
      <c r="G248" s="24">
        <f t="shared" si="4"/>
        <v>0</v>
      </c>
      <c r="H248" s="26">
        <f t="shared" si="5"/>
        <v>0</v>
      </c>
      <c r="I248" s="24">
        <f t="shared" si="6"/>
        <v>0</v>
      </c>
      <c r="J248" s="24">
        <f t="shared" si="7"/>
        <v>0</v>
      </c>
      <c r="K248" s="24"/>
      <c r="L248" s="24">
        <f t="shared" si="8"/>
        <v>589.1738155</v>
      </c>
      <c r="M248" s="31">
        <f t="shared" si="9"/>
        <v>437.4086506</v>
      </c>
      <c r="N248" s="27">
        <f t="shared" si="10"/>
        <v>151.7651649</v>
      </c>
      <c r="O248" s="24"/>
      <c r="P248" s="24"/>
      <c r="Q248" s="24"/>
      <c r="R248" s="26"/>
      <c r="S248" s="14">
        <f t="shared" si="13"/>
        <v>139.3653637</v>
      </c>
      <c r="U248" s="21"/>
      <c r="V248" s="21"/>
    </row>
    <row r="249">
      <c r="A249" s="11">
        <v>237.0</v>
      </c>
      <c r="B249" s="11">
        <v>1.42042608695652E9</v>
      </c>
      <c r="C249" s="2">
        <v>-101.0613785</v>
      </c>
      <c r="D249" s="24">
        <f t="shared" si="1"/>
        <v>26086.95652</v>
      </c>
      <c r="E249" s="25">
        <f t="shared" si="2"/>
        <v>-6.428072923</v>
      </c>
      <c r="F249" s="24">
        <f t="shared" si="3"/>
        <v>0.0002464094621</v>
      </c>
      <c r="G249" s="24">
        <f t="shared" si="4"/>
        <v>0</v>
      </c>
      <c r="H249" s="26">
        <f t="shared" si="5"/>
        <v>0</v>
      </c>
      <c r="I249" s="24">
        <f t="shared" si="6"/>
        <v>0</v>
      </c>
      <c r="J249" s="24">
        <f t="shared" si="7"/>
        <v>0</v>
      </c>
      <c r="K249" s="24"/>
      <c r="L249" s="24">
        <f t="shared" si="8"/>
        <v>595.6186904</v>
      </c>
      <c r="M249" s="31">
        <f t="shared" si="9"/>
        <v>437.3241754</v>
      </c>
      <c r="N249" s="27">
        <f t="shared" si="10"/>
        <v>158.2945151</v>
      </c>
      <c r="O249" s="24"/>
      <c r="P249" s="24"/>
      <c r="Q249" s="24"/>
      <c r="R249" s="26"/>
      <c r="S249" s="14">
        <f t="shared" si="13"/>
        <v>145.361241</v>
      </c>
      <c r="U249" s="21"/>
      <c r="V249" s="21"/>
    </row>
    <row r="250">
      <c r="A250" s="11">
        <v>238.0</v>
      </c>
      <c r="B250" s="11">
        <v>1.4204304347826E9</v>
      </c>
      <c r="C250" s="2">
        <v>-101.081192</v>
      </c>
      <c r="D250" s="24">
        <f t="shared" si="1"/>
        <v>30434.7826</v>
      </c>
      <c r="E250" s="25">
        <f t="shared" si="2"/>
        <v>-7.346369056</v>
      </c>
      <c r="F250" s="24">
        <f t="shared" si="3"/>
        <v>0.0002413806976</v>
      </c>
      <c r="G250" s="24">
        <f t="shared" si="4"/>
        <v>0</v>
      </c>
      <c r="H250" s="26">
        <f t="shared" si="5"/>
        <v>0</v>
      </c>
      <c r="I250" s="24">
        <f t="shared" si="6"/>
        <v>0</v>
      </c>
      <c r="J250" s="24">
        <f t="shared" si="7"/>
        <v>0</v>
      </c>
      <c r="K250" s="24"/>
      <c r="L250" s="24">
        <f t="shared" si="8"/>
        <v>592.9075319</v>
      </c>
      <c r="M250" s="31">
        <f t="shared" si="9"/>
        <v>437.2399469</v>
      </c>
      <c r="N250" s="27">
        <f t="shared" si="10"/>
        <v>155.667585</v>
      </c>
      <c r="O250" s="24"/>
      <c r="P250" s="24"/>
      <c r="Q250" s="24"/>
      <c r="R250" s="26"/>
      <c r="S250" s="14">
        <f t="shared" si="13"/>
        <v>142.9489413</v>
      </c>
      <c r="U250" s="21"/>
      <c r="V250" s="21"/>
    </row>
    <row r="251">
      <c r="A251" s="11">
        <v>239.0</v>
      </c>
      <c r="B251" s="11">
        <v>1.42043478260869E9</v>
      </c>
      <c r="C251" s="2">
        <v>-100.9980011</v>
      </c>
      <c r="D251" s="24">
        <f t="shared" si="1"/>
        <v>34782.60869</v>
      </c>
      <c r="E251" s="25">
        <f t="shared" si="2"/>
        <v>-8.264665189</v>
      </c>
      <c r="F251" s="24">
        <f t="shared" si="3"/>
        <v>0.0002376091242</v>
      </c>
      <c r="G251" s="24">
        <f t="shared" si="4"/>
        <v>0</v>
      </c>
      <c r="H251" s="26">
        <f t="shared" si="5"/>
        <v>0</v>
      </c>
      <c r="I251" s="24">
        <f t="shared" si="6"/>
        <v>0</v>
      </c>
      <c r="J251" s="24">
        <f t="shared" si="7"/>
        <v>0</v>
      </c>
      <c r="K251" s="24"/>
      <c r="L251" s="24">
        <f t="shared" si="8"/>
        <v>604.374396</v>
      </c>
      <c r="M251" s="31">
        <f t="shared" si="9"/>
        <v>437.1559619</v>
      </c>
      <c r="N251" s="27">
        <f t="shared" si="10"/>
        <v>167.2184341</v>
      </c>
      <c r="O251" s="24"/>
      <c r="P251" s="24"/>
      <c r="Q251" s="24"/>
      <c r="R251" s="26"/>
      <c r="S251" s="14">
        <f t="shared" si="13"/>
        <v>153.5560413</v>
      </c>
      <c r="U251" s="21"/>
      <c r="V251" s="21"/>
    </row>
    <row r="252">
      <c r="A252" s="11">
        <v>240.0</v>
      </c>
      <c r="B252" s="11">
        <v>1.42043913043478E9</v>
      </c>
      <c r="C252" s="2">
        <v>-100.9960098</v>
      </c>
      <c r="D252" s="24">
        <f t="shared" si="1"/>
        <v>39130.43478</v>
      </c>
      <c r="E252" s="25">
        <f t="shared" si="2"/>
        <v>-9.182961321</v>
      </c>
      <c r="F252" s="24">
        <f t="shared" si="3"/>
        <v>0.0002346756782</v>
      </c>
      <c r="G252" s="24">
        <f t="shared" si="4"/>
        <v>0</v>
      </c>
      <c r="H252" s="26">
        <f t="shared" si="5"/>
        <v>0</v>
      </c>
      <c r="I252" s="24">
        <f t="shared" si="6"/>
        <v>0</v>
      </c>
      <c r="J252" s="24">
        <f t="shared" si="7"/>
        <v>0</v>
      </c>
      <c r="K252" s="24"/>
      <c r="L252" s="24">
        <f t="shared" si="8"/>
        <v>604.6515735</v>
      </c>
      <c r="M252" s="31">
        <f t="shared" si="9"/>
        <v>437.0722172</v>
      </c>
      <c r="N252" s="27">
        <f t="shared" si="10"/>
        <v>167.5793563</v>
      </c>
      <c r="O252" s="24"/>
      <c r="P252" s="24"/>
      <c r="Q252" s="24"/>
      <c r="R252" s="26"/>
      <c r="S252" s="14">
        <f t="shared" si="13"/>
        <v>153.8874745</v>
      </c>
      <c r="U252" s="21"/>
      <c r="V252" s="21"/>
    </row>
    <row r="253">
      <c r="A253" s="11">
        <v>241.0</v>
      </c>
      <c r="B253" s="11">
        <v>1.42044347826087E9</v>
      </c>
      <c r="C253" s="2">
        <v>-100.9764557</v>
      </c>
      <c r="D253" s="24">
        <f t="shared" si="1"/>
        <v>43478.26087</v>
      </c>
      <c r="E253" s="25">
        <f t="shared" si="2"/>
        <v>-10.10125745</v>
      </c>
      <c r="F253" s="24">
        <f t="shared" si="3"/>
        <v>0.0002323289214</v>
      </c>
      <c r="G253" s="24">
        <f t="shared" si="4"/>
        <v>0</v>
      </c>
      <c r="H253" s="26">
        <f t="shared" si="5"/>
        <v>0</v>
      </c>
      <c r="I253" s="24">
        <f t="shared" si="6"/>
        <v>0</v>
      </c>
      <c r="J253" s="24">
        <f t="shared" si="7"/>
        <v>0</v>
      </c>
      <c r="K253" s="24"/>
      <c r="L253" s="24">
        <f t="shared" si="8"/>
        <v>607.380154</v>
      </c>
      <c r="M253" s="31">
        <f t="shared" si="9"/>
        <v>436.9887093</v>
      </c>
      <c r="N253" s="27">
        <f t="shared" si="10"/>
        <v>170.3914447</v>
      </c>
      <c r="O253" s="24"/>
      <c r="P253" s="24"/>
      <c r="Q253" s="24"/>
      <c r="R253" s="26"/>
      <c r="S253" s="14">
        <f t="shared" si="13"/>
        <v>156.4698047</v>
      </c>
      <c r="U253" s="21"/>
      <c r="V253" s="21"/>
    </row>
    <row r="254">
      <c r="A254" s="11">
        <v>242.0</v>
      </c>
      <c r="B254" s="11">
        <v>1.42044782608695E9</v>
      </c>
      <c r="C254" s="2">
        <v>-100.9813004</v>
      </c>
      <c r="D254" s="24">
        <f t="shared" si="1"/>
        <v>47826.08695</v>
      </c>
      <c r="E254" s="25">
        <f t="shared" si="2"/>
        <v>-11.01955358</v>
      </c>
      <c r="F254" s="24">
        <f t="shared" si="3"/>
        <v>0.0002304088477</v>
      </c>
      <c r="G254" s="24">
        <f t="shared" si="4"/>
        <v>0</v>
      </c>
      <c r="H254" s="26">
        <f t="shared" si="5"/>
        <v>0</v>
      </c>
      <c r="I254" s="24">
        <f t="shared" si="6"/>
        <v>0</v>
      </c>
      <c r="J254" s="24">
        <f t="shared" si="7"/>
        <v>0</v>
      </c>
      <c r="K254" s="24"/>
      <c r="L254" s="24">
        <f t="shared" si="8"/>
        <v>606.702979</v>
      </c>
      <c r="M254" s="31">
        <f t="shared" si="9"/>
        <v>436.9054352</v>
      </c>
      <c r="N254" s="27">
        <f t="shared" si="10"/>
        <v>169.7975438</v>
      </c>
      <c r="O254" s="24"/>
      <c r="P254" s="24"/>
      <c r="Q254" s="24"/>
      <c r="R254" s="26"/>
      <c r="S254" s="14">
        <f t="shared" si="13"/>
        <v>155.9244278</v>
      </c>
      <c r="U254" s="21"/>
      <c r="V254" s="21"/>
    </row>
    <row r="255">
      <c r="A255" s="11">
        <v>243.0</v>
      </c>
      <c r="B255" s="11">
        <v>1.42045217391304E9</v>
      </c>
      <c r="C255" s="2">
        <v>-100.9420547</v>
      </c>
      <c r="D255" s="24">
        <f t="shared" si="1"/>
        <v>52173.91304</v>
      </c>
      <c r="E255" s="25">
        <f t="shared" si="2"/>
        <v>-11.93784972</v>
      </c>
      <c r="F255" s="24">
        <f t="shared" si="3"/>
        <v>0.0002288087863</v>
      </c>
      <c r="G255" s="24">
        <f t="shared" si="4"/>
        <v>0</v>
      </c>
      <c r="H255" s="26">
        <f t="shared" si="5"/>
        <v>0</v>
      </c>
      <c r="I255" s="24">
        <f t="shared" si="6"/>
        <v>0</v>
      </c>
      <c r="J255" s="24">
        <f t="shared" si="7"/>
        <v>0</v>
      </c>
      <c r="K255" s="24"/>
      <c r="L255" s="24">
        <f t="shared" si="8"/>
        <v>612.2103921</v>
      </c>
      <c r="M255" s="31">
        <f t="shared" si="9"/>
        <v>436.8223914</v>
      </c>
      <c r="N255" s="27">
        <f t="shared" si="10"/>
        <v>175.3880008</v>
      </c>
      <c r="O255" s="24"/>
      <c r="P255" s="24"/>
      <c r="Q255" s="24"/>
      <c r="R255" s="26"/>
      <c r="S255" s="14">
        <f t="shared" si="13"/>
        <v>161.0581225</v>
      </c>
      <c r="U255" s="21"/>
      <c r="V255" s="21"/>
    </row>
    <row r="256">
      <c r="A256" s="11">
        <v>244.0</v>
      </c>
      <c r="B256" s="11">
        <v>1.42045652173913E9</v>
      </c>
      <c r="C256" s="2">
        <v>-100.9578094</v>
      </c>
      <c r="D256" s="24">
        <f t="shared" si="1"/>
        <v>56521.73913</v>
      </c>
      <c r="E256" s="25">
        <f t="shared" si="2"/>
        <v>-12.85614585</v>
      </c>
      <c r="F256" s="24">
        <f t="shared" si="3"/>
        <v>0.0002274548881</v>
      </c>
      <c r="G256" s="24">
        <f t="shared" si="4"/>
        <v>0</v>
      </c>
      <c r="H256" s="26">
        <f t="shared" si="5"/>
        <v>0</v>
      </c>
      <c r="I256" s="24">
        <f t="shared" si="6"/>
        <v>0</v>
      </c>
      <c r="J256" s="24">
        <f t="shared" si="7"/>
        <v>0</v>
      </c>
      <c r="K256" s="24"/>
      <c r="L256" s="24">
        <f t="shared" si="8"/>
        <v>609.9935283</v>
      </c>
      <c r="M256" s="31">
        <f t="shared" si="9"/>
        <v>436.7395747</v>
      </c>
      <c r="N256" s="27">
        <f t="shared" si="10"/>
        <v>173.2539536</v>
      </c>
      <c r="O256" s="24"/>
      <c r="P256" s="24"/>
      <c r="Q256" s="24"/>
      <c r="R256" s="26"/>
      <c r="S256" s="14">
        <f t="shared" si="13"/>
        <v>159.0984356</v>
      </c>
      <c r="U256" s="21"/>
      <c r="V256" s="21"/>
    </row>
    <row r="257">
      <c r="A257" s="11">
        <v>245.0</v>
      </c>
      <c r="B257" s="11">
        <v>1.42046086956521E9</v>
      </c>
      <c r="C257" s="2">
        <v>-100.9724426</v>
      </c>
      <c r="D257" s="24">
        <f t="shared" si="1"/>
        <v>60869.56521</v>
      </c>
      <c r="E257" s="25">
        <f t="shared" si="2"/>
        <v>-13.77444198</v>
      </c>
      <c r="F257" s="24">
        <f t="shared" si="3"/>
        <v>0.000226294404</v>
      </c>
      <c r="G257" s="24">
        <f t="shared" si="4"/>
        <v>0</v>
      </c>
      <c r="H257" s="26">
        <f t="shared" si="5"/>
        <v>0</v>
      </c>
      <c r="I257" s="24">
        <f t="shared" si="6"/>
        <v>0</v>
      </c>
      <c r="J257" s="24">
        <f t="shared" si="7"/>
        <v>0</v>
      </c>
      <c r="K257" s="24"/>
      <c r="L257" s="24">
        <f t="shared" si="8"/>
        <v>607.9416633</v>
      </c>
      <c r="M257" s="31">
        <f t="shared" si="9"/>
        <v>436.6569818</v>
      </c>
      <c r="N257" s="27">
        <f t="shared" si="10"/>
        <v>171.2846815</v>
      </c>
      <c r="O257" s="24"/>
      <c r="P257" s="24"/>
      <c r="Q257" s="24"/>
      <c r="R257" s="26"/>
      <c r="S257" s="14">
        <f t="shared" si="13"/>
        <v>157.2900607</v>
      </c>
      <c r="U257" s="21"/>
      <c r="V257" s="21"/>
    </row>
    <row r="258">
      <c r="A258" s="11">
        <v>246.0</v>
      </c>
      <c r="B258" s="11">
        <v>1.4204652173913E9</v>
      </c>
      <c r="C258" s="2">
        <v>-100.9147797</v>
      </c>
      <c r="D258" s="24">
        <f t="shared" si="1"/>
        <v>65217.3913</v>
      </c>
      <c r="E258" s="25">
        <f t="shared" si="2"/>
        <v>-14.69273811</v>
      </c>
      <c r="F258" s="24">
        <f t="shared" si="3"/>
        <v>0.0002252886511</v>
      </c>
      <c r="G258" s="24">
        <f t="shared" si="4"/>
        <v>0</v>
      </c>
      <c r="H258" s="26">
        <f t="shared" si="5"/>
        <v>0</v>
      </c>
      <c r="I258" s="24">
        <f t="shared" si="6"/>
        <v>0</v>
      </c>
      <c r="J258" s="24">
        <f t="shared" si="7"/>
        <v>0</v>
      </c>
      <c r="K258" s="24"/>
      <c r="L258" s="24">
        <f t="shared" si="8"/>
        <v>616.0673564</v>
      </c>
      <c r="M258" s="31">
        <f t="shared" si="9"/>
        <v>436.5746094</v>
      </c>
      <c r="N258" s="27">
        <f t="shared" si="10"/>
        <v>179.4927469</v>
      </c>
      <c r="O258" s="24"/>
      <c r="P258" s="24"/>
      <c r="Q258" s="24"/>
      <c r="R258" s="26"/>
      <c r="S258" s="14">
        <f t="shared" si="13"/>
        <v>164.827495</v>
      </c>
      <c r="U258" s="21"/>
      <c r="V258" s="21"/>
    </row>
    <row r="259">
      <c r="A259" s="11">
        <v>247.0</v>
      </c>
      <c r="B259" s="11">
        <v>1.42046956521739E9</v>
      </c>
      <c r="C259" s="2">
        <v>-100.9701385</v>
      </c>
      <c r="D259" s="24">
        <f t="shared" si="1"/>
        <v>69565.21739</v>
      </c>
      <c r="E259" s="25">
        <f t="shared" si="2"/>
        <v>-15.61103424</v>
      </c>
      <c r="F259" s="24">
        <f t="shared" si="3"/>
        <v>0.0002244086173</v>
      </c>
      <c r="G259" s="24">
        <f t="shared" si="4"/>
        <v>0</v>
      </c>
      <c r="H259" s="26">
        <f t="shared" si="5"/>
        <v>0</v>
      </c>
      <c r="I259" s="24">
        <f t="shared" si="6"/>
        <v>0</v>
      </c>
      <c r="J259" s="24">
        <f t="shared" si="7"/>
        <v>0</v>
      </c>
      <c r="K259" s="24"/>
      <c r="L259" s="24">
        <f t="shared" si="8"/>
        <v>608.2642854</v>
      </c>
      <c r="M259" s="31">
        <f t="shared" si="9"/>
        <v>436.4924543</v>
      </c>
      <c r="N259" s="27">
        <f t="shared" si="10"/>
        <v>171.7718311</v>
      </c>
      <c r="O259" s="24"/>
      <c r="P259" s="24"/>
      <c r="Q259" s="24"/>
      <c r="R259" s="26"/>
      <c r="S259" s="14">
        <f t="shared" si="13"/>
        <v>157.7374083</v>
      </c>
      <c r="U259" s="21"/>
      <c r="V259" s="21"/>
    </row>
    <row r="260">
      <c r="A260" s="11">
        <v>248.0</v>
      </c>
      <c r="B260" s="11">
        <v>1.42047391304347E9</v>
      </c>
      <c r="C260" s="2">
        <v>-100.9496536</v>
      </c>
      <c r="D260" s="24">
        <f t="shared" si="1"/>
        <v>73913.04347</v>
      </c>
      <c r="E260" s="25">
        <f t="shared" si="2"/>
        <v>-16.52933038</v>
      </c>
      <c r="F260" s="24">
        <f t="shared" si="3"/>
        <v>0.0002236321169</v>
      </c>
      <c r="G260" s="24">
        <f t="shared" si="4"/>
        <v>0</v>
      </c>
      <c r="H260" s="26">
        <f t="shared" si="5"/>
        <v>0</v>
      </c>
      <c r="I260" s="24">
        <f t="shared" si="6"/>
        <v>0</v>
      </c>
      <c r="J260" s="24">
        <f t="shared" si="7"/>
        <v>0</v>
      </c>
      <c r="K260" s="24"/>
      <c r="L260" s="24">
        <f t="shared" si="8"/>
        <v>611.1401372</v>
      </c>
      <c r="M260" s="31">
        <f t="shared" si="9"/>
        <v>436.4105131</v>
      </c>
      <c r="N260" s="27">
        <f t="shared" si="10"/>
        <v>174.7296241</v>
      </c>
      <c r="O260" s="24"/>
      <c r="P260" s="24"/>
      <c r="Q260" s="24"/>
      <c r="R260" s="26"/>
      <c r="S260" s="14">
        <f t="shared" si="13"/>
        <v>160.4535381</v>
      </c>
      <c r="U260" s="21"/>
      <c r="V260" s="21"/>
    </row>
    <row r="261">
      <c r="A261" s="11">
        <v>249.0</v>
      </c>
      <c r="B261" s="11">
        <v>1.42047826086956E9</v>
      </c>
      <c r="C261" s="2">
        <v>-100.8754807</v>
      </c>
      <c r="D261" s="24">
        <f t="shared" si="1"/>
        <v>78260.86956</v>
      </c>
      <c r="E261" s="25">
        <f t="shared" si="2"/>
        <v>-17.44762651</v>
      </c>
      <c r="F261" s="24">
        <f t="shared" si="3"/>
        <v>0.0002229418943</v>
      </c>
      <c r="G261" s="24">
        <f t="shared" si="4"/>
        <v>0</v>
      </c>
      <c r="H261" s="26">
        <f t="shared" si="5"/>
        <v>0</v>
      </c>
      <c r="I261" s="24">
        <f t="shared" si="6"/>
        <v>0</v>
      </c>
      <c r="J261" s="24">
        <f t="shared" si="7"/>
        <v>0</v>
      </c>
      <c r="K261" s="24"/>
      <c r="L261" s="24">
        <f t="shared" si="8"/>
        <v>621.6674052</v>
      </c>
      <c r="M261" s="31">
        <f t="shared" si="9"/>
        <v>436.3287827</v>
      </c>
      <c r="N261" s="27">
        <f t="shared" si="10"/>
        <v>185.3386226</v>
      </c>
      <c r="O261" s="24"/>
      <c r="P261" s="24"/>
      <c r="Q261" s="24"/>
      <c r="R261" s="26"/>
      <c r="S261" s="14">
        <f t="shared" si="13"/>
        <v>170.19574</v>
      </c>
      <c r="U261" s="21"/>
      <c r="V261" s="21"/>
    </row>
    <row r="262">
      <c r="A262" s="11">
        <v>250.0</v>
      </c>
      <c r="B262" s="11">
        <v>1.42048260869565E9</v>
      </c>
      <c r="C262" s="2">
        <v>-100.8845062</v>
      </c>
      <c r="D262" s="24">
        <f t="shared" si="1"/>
        <v>82608.69565</v>
      </c>
      <c r="E262" s="25">
        <f t="shared" si="2"/>
        <v>-18.36592264</v>
      </c>
      <c r="F262" s="24">
        <f t="shared" si="3"/>
        <v>0.0002223243267</v>
      </c>
      <c r="G262" s="24">
        <f t="shared" si="4"/>
        <v>0</v>
      </c>
      <c r="H262" s="26">
        <f t="shared" si="5"/>
        <v>0</v>
      </c>
      <c r="I262" s="24">
        <f t="shared" si="6"/>
        <v>0</v>
      </c>
      <c r="J262" s="24">
        <f t="shared" si="7"/>
        <v>0</v>
      </c>
      <c r="K262" s="24"/>
      <c r="L262" s="24">
        <f t="shared" si="8"/>
        <v>620.3767987</v>
      </c>
      <c r="M262" s="31">
        <f t="shared" si="9"/>
        <v>436.2472596</v>
      </c>
      <c r="N262" s="27">
        <f t="shared" si="10"/>
        <v>184.1295391</v>
      </c>
      <c r="O262" s="24"/>
      <c r="P262" s="24"/>
      <c r="Q262" s="24"/>
      <c r="R262" s="26"/>
      <c r="S262" s="14">
        <f t="shared" si="13"/>
        <v>169.0854437</v>
      </c>
      <c r="U262" s="21"/>
      <c r="V262" s="21"/>
    </row>
    <row r="263">
      <c r="A263" s="11">
        <v>251.0</v>
      </c>
      <c r="B263" s="11">
        <v>1.42048695652173E9</v>
      </c>
      <c r="C263" s="2">
        <v>-100.9170227</v>
      </c>
      <c r="D263" s="24">
        <f t="shared" si="1"/>
        <v>86956.52173</v>
      </c>
      <c r="E263" s="25">
        <f t="shared" si="2"/>
        <v>-19.28421877</v>
      </c>
      <c r="F263" s="24">
        <f t="shared" si="3"/>
        <v>0.0002217685159</v>
      </c>
      <c r="G263" s="24">
        <f t="shared" si="4"/>
        <v>0</v>
      </c>
      <c r="H263" s="26">
        <f t="shared" si="5"/>
        <v>0</v>
      </c>
      <c r="I263" s="24">
        <f t="shared" si="6"/>
        <v>0</v>
      </c>
      <c r="J263" s="24">
        <f t="shared" si="7"/>
        <v>0</v>
      </c>
      <c r="K263" s="24"/>
      <c r="L263" s="24">
        <f t="shared" si="8"/>
        <v>615.7492583</v>
      </c>
      <c r="M263" s="31">
        <f t="shared" si="9"/>
        <v>436.1659406</v>
      </c>
      <c r="N263" s="27">
        <f t="shared" si="10"/>
        <v>179.5833177</v>
      </c>
      <c r="O263" s="24"/>
      <c r="P263" s="24"/>
      <c r="Q263" s="24"/>
      <c r="R263" s="26"/>
      <c r="S263" s="14">
        <f t="shared" si="13"/>
        <v>164.9106661</v>
      </c>
      <c r="U263" s="21"/>
      <c r="V263" s="21"/>
    </row>
    <row r="264">
      <c r="A264" s="11">
        <v>252.0</v>
      </c>
      <c r="B264" s="11">
        <v>1.42049130434782E9</v>
      </c>
      <c r="C264" s="2">
        <v>-100.8907166</v>
      </c>
      <c r="D264" s="24">
        <f t="shared" si="1"/>
        <v>91304.34782</v>
      </c>
      <c r="E264" s="25">
        <f t="shared" si="2"/>
        <v>-20.20251491</v>
      </c>
      <c r="F264" s="24">
        <f t="shared" si="3"/>
        <v>0.0002212656395</v>
      </c>
      <c r="G264" s="24">
        <f t="shared" si="4"/>
        <v>0</v>
      </c>
      <c r="H264" s="26">
        <f t="shared" si="5"/>
        <v>0</v>
      </c>
      <c r="I264" s="24">
        <f t="shared" si="6"/>
        <v>0</v>
      </c>
      <c r="J264" s="24">
        <f t="shared" si="7"/>
        <v>0</v>
      </c>
      <c r="K264" s="24"/>
      <c r="L264" s="24">
        <f t="shared" si="8"/>
        <v>619.4902955</v>
      </c>
      <c r="M264" s="31">
        <f t="shared" si="9"/>
        <v>436.0848225</v>
      </c>
      <c r="N264" s="27">
        <f t="shared" si="10"/>
        <v>183.4054729</v>
      </c>
      <c r="O264" s="24"/>
      <c r="P264" s="24"/>
      <c r="Q264" s="24"/>
      <c r="R264" s="26"/>
      <c r="S264" s="14">
        <f t="shared" si="13"/>
        <v>168.4205365</v>
      </c>
      <c r="U264" s="21"/>
      <c r="V264" s="21"/>
    </row>
    <row r="265">
      <c r="A265" s="11">
        <v>253.0</v>
      </c>
      <c r="B265" s="11">
        <v>1.42049565217391E9</v>
      </c>
      <c r="C265" s="2">
        <v>-100.8968353</v>
      </c>
      <c r="D265" s="24">
        <f t="shared" si="1"/>
        <v>95652.17391</v>
      </c>
      <c r="E265" s="25">
        <f t="shared" si="2"/>
        <v>-21.12081104</v>
      </c>
      <c r="F265" s="24">
        <f t="shared" si="3"/>
        <v>0.0002208084791</v>
      </c>
      <c r="G265" s="24">
        <f t="shared" si="4"/>
        <v>0</v>
      </c>
      <c r="H265" s="26">
        <f t="shared" si="5"/>
        <v>0</v>
      </c>
      <c r="I265" s="24">
        <f t="shared" si="6"/>
        <v>0</v>
      </c>
      <c r="J265" s="24">
        <f t="shared" si="7"/>
        <v>0</v>
      </c>
      <c r="K265" s="24"/>
      <c r="L265" s="24">
        <f t="shared" si="8"/>
        <v>618.6181208</v>
      </c>
      <c r="M265" s="31">
        <f t="shared" si="9"/>
        <v>436.0039019</v>
      </c>
      <c r="N265" s="27">
        <f t="shared" si="10"/>
        <v>182.6142189</v>
      </c>
      <c r="O265" s="24"/>
      <c r="P265" s="24"/>
      <c r="Q265" s="24"/>
      <c r="R265" s="26"/>
      <c r="S265" s="14">
        <f t="shared" si="13"/>
        <v>167.6939306</v>
      </c>
      <c r="U265" s="21"/>
      <c r="V265" s="21"/>
    </row>
    <row r="266">
      <c r="A266" s="11">
        <v>254.0</v>
      </c>
      <c r="B266" s="11">
        <v>1.4205E9</v>
      </c>
      <c r="C266" s="2">
        <v>-100.8861313</v>
      </c>
      <c r="D266" s="24">
        <f t="shared" si="1"/>
        <v>100000</v>
      </c>
      <c r="E266" s="25">
        <f t="shared" si="2"/>
        <v>-22.03910717</v>
      </c>
      <c r="F266" s="24">
        <f t="shared" si="3"/>
        <v>0.0002203910717</v>
      </c>
      <c r="G266" s="24">
        <f t="shared" si="4"/>
        <v>0</v>
      </c>
      <c r="H266" s="26">
        <f t="shared" si="5"/>
        <v>0</v>
      </c>
      <c r="I266" s="24">
        <f t="shared" si="6"/>
        <v>0</v>
      </c>
      <c r="J266" s="24">
        <f t="shared" si="7"/>
        <v>0</v>
      </c>
      <c r="K266" s="24"/>
      <c r="L266" s="24">
        <f t="shared" si="8"/>
        <v>620.1447014</v>
      </c>
      <c r="M266" s="31">
        <f t="shared" si="9"/>
        <v>435.9231757</v>
      </c>
      <c r="N266" s="27">
        <f t="shared" si="10"/>
        <v>184.2215257</v>
      </c>
      <c r="O266" s="24"/>
      <c r="P266" s="24"/>
      <c r="Q266" s="24"/>
      <c r="R266" s="26"/>
      <c r="S266" s="14">
        <f t="shared" si="13"/>
        <v>169.1699147</v>
      </c>
      <c r="U266" s="21"/>
      <c r="V266" s="21"/>
    </row>
    <row r="267">
      <c r="A267" s="11">
        <v>255.0</v>
      </c>
      <c r="B267" s="11">
        <v>1.42050434782608E9</v>
      </c>
      <c r="C267" s="2">
        <v>-100.8789597</v>
      </c>
      <c r="D267" s="24">
        <f t="shared" si="1"/>
        <v>104347.8261</v>
      </c>
      <c r="E267" s="25">
        <f t="shared" si="2"/>
        <v>-22.9574033</v>
      </c>
      <c r="F267" s="24">
        <f t="shared" si="3"/>
        <v>0.0002200084483</v>
      </c>
      <c r="G267" s="24">
        <f t="shared" si="4"/>
        <v>0</v>
      </c>
      <c r="H267" s="26">
        <f t="shared" si="5"/>
        <v>0</v>
      </c>
      <c r="I267" s="24">
        <f t="shared" si="6"/>
        <v>0</v>
      </c>
      <c r="J267" s="24">
        <f t="shared" si="7"/>
        <v>0</v>
      </c>
      <c r="K267" s="24"/>
      <c r="L267" s="24">
        <f t="shared" si="8"/>
        <v>621.1696059</v>
      </c>
      <c r="M267" s="31">
        <f t="shared" si="9"/>
        <v>435.8426404</v>
      </c>
      <c r="N267" s="27">
        <f t="shared" si="10"/>
        <v>185.3269656</v>
      </c>
      <c r="O267" s="24"/>
      <c r="P267" s="24"/>
      <c r="Q267" s="24"/>
      <c r="R267" s="26"/>
      <c r="S267" s="14">
        <f t="shared" si="13"/>
        <v>170.1850358</v>
      </c>
      <c r="U267" s="21"/>
      <c r="V267" s="21"/>
    </row>
    <row r="268">
      <c r="A268" s="11">
        <v>256.0</v>
      </c>
      <c r="B268" s="11">
        <v>1.42050869565217E9</v>
      </c>
      <c r="C268" s="2">
        <v>-100.8284073</v>
      </c>
      <c r="D268" s="24">
        <f t="shared" si="1"/>
        <v>108695.6522</v>
      </c>
      <c r="E268" s="25">
        <f t="shared" si="2"/>
        <v>-23.87569944</v>
      </c>
      <c r="F268" s="24">
        <f t="shared" si="3"/>
        <v>0.0002196564348</v>
      </c>
      <c r="G268" s="24">
        <f t="shared" si="4"/>
        <v>0</v>
      </c>
      <c r="H268" s="26">
        <f t="shared" si="5"/>
        <v>0</v>
      </c>
      <c r="I268" s="24">
        <f t="shared" si="6"/>
        <v>0</v>
      </c>
      <c r="J268" s="24">
        <f t="shared" si="7"/>
        <v>0</v>
      </c>
      <c r="K268" s="24"/>
      <c r="L268" s="24">
        <f t="shared" si="8"/>
        <v>628.4423405</v>
      </c>
      <c r="M268" s="31">
        <f t="shared" si="9"/>
        <v>435.7622928</v>
      </c>
      <c r="N268" s="27">
        <f t="shared" si="10"/>
        <v>192.6800477</v>
      </c>
      <c r="O268" s="24"/>
      <c r="P268" s="24"/>
      <c r="Q268" s="24"/>
      <c r="R268" s="26"/>
      <c r="S268" s="14">
        <f t="shared" si="13"/>
        <v>176.9373423</v>
      </c>
      <c r="U268" s="21"/>
      <c r="V268" s="21"/>
    </row>
    <row r="269">
      <c r="A269" s="11">
        <v>257.0</v>
      </c>
      <c r="B269" s="11">
        <v>1.42051304347826E9</v>
      </c>
      <c r="C269" s="2">
        <v>-100.925766</v>
      </c>
      <c r="D269" s="24">
        <f t="shared" si="1"/>
        <v>113043.4783</v>
      </c>
      <c r="E269" s="25">
        <f t="shared" si="2"/>
        <v>-24.79399557</v>
      </c>
      <c r="F269" s="24">
        <f t="shared" si="3"/>
        <v>0.0002193314992</v>
      </c>
      <c r="G269" s="24">
        <f t="shared" si="4"/>
        <v>0</v>
      </c>
      <c r="H269" s="26">
        <f t="shared" si="5"/>
        <v>0</v>
      </c>
      <c r="I269" s="24">
        <f t="shared" si="6"/>
        <v>0</v>
      </c>
      <c r="J269" s="24">
        <f t="shared" si="7"/>
        <v>0</v>
      </c>
      <c r="K269" s="24"/>
      <c r="L269" s="24">
        <f t="shared" si="8"/>
        <v>614.510867</v>
      </c>
      <c r="M269" s="31">
        <f t="shared" si="9"/>
        <v>435.6821296</v>
      </c>
      <c r="N269" s="27">
        <f t="shared" si="10"/>
        <v>178.8287374</v>
      </c>
      <c r="O269" s="24"/>
      <c r="P269" s="24"/>
      <c r="Q269" s="24"/>
      <c r="R269" s="26"/>
      <c r="S269" s="14">
        <f t="shared" si="13"/>
        <v>164.217738</v>
      </c>
      <c r="U269" s="21"/>
      <c r="V269" s="21"/>
    </row>
    <row r="270">
      <c r="A270" s="11">
        <v>258.0</v>
      </c>
      <c r="B270" s="11">
        <v>1.42051739130434E9</v>
      </c>
      <c r="C270" s="2">
        <v>-100.8861771</v>
      </c>
      <c r="D270" s="24">
        <f t="shared" si="1"/>
        <v>117391.3043</v>
      </c>
      <c r="E270" s="25">
        <f t="shared" si="2"/>
        <v>-25.7122917</v>
      </c>
      <c r="F270" s="24">
        <f t="shared" si="3"/>
        <v>0.000219030633</v>
      </c>
      <c r="G270" s="24">
        <f t="shared" si="4"/>
        <v>0</v>
      </c>
      <c r="H270" s="26">
        <f t="shared" si="5"/>
        <v>0</v>
      </c>
      <c r="I270" s="24">
        <f t="shared" si="6"/>
        <v>0</v>
      </c>
      <c r="J270" s="24">
        <f t="shared" si="7"/>
        <v>0</v>
      </c>
      <c r="K270" s="24"/>
      <c r="L270" s="24">
        <f t="shared" si="8"/>
        <v>620.1381615</v>
      </c>
      <c r="M270" s="31">
        <f t="shared" si="9"/>
        <v>435.6021476</v>
      </c>
      <c r="N270" s="27">
        <f t="shared" si="10"/>
        <v>184.5360139</v>
      </c>
      <c r="O270" s="24"/>
      <c r="P270" s="24"/>
      <c r="Q270" s="24"/>
      <c r="R270" s="26"/>
      <c r="S270" s="14">
        <f t="shared" si="13"/>
        <v>169.4587079</v>
      </c>
      <c r="U270" s="21"/>
      <c r="V270" s="21"/>
    </row>
    <row r="271">
      <c r="A271" s="11">
        <v>259.0</v>
      </c>
      <c r="B271" s="11">
        <v>1.42052173913043E9</v>
      </c>
      <c r="C271" s="2">
        <v>-100.9574203</v>
      </c>
      <c r="D271" s="24">
        <f t="shared" si="1"/>
        <v>121739.1304</v>
      </c>
      <c r="E271" s="25">
        <f t="shared" si="2"/>
        <v>-26.63058783</v>
      </c>
      <c r="F271" s="24">
        <f t="shared" si="3"/>
        <v>0.0002187512572</v>
      </c>
      <c r="G271" s="24">
        <f t="shared" si="4"/>
        <v>0</v>
      </c>
      <c r="H271" s="26">
        <f t="shared" si="5"/>
        <v>0</v>
      </c>
      <c r="I271" s="24">
        <f t="shared" si="6"/>
        <v>0</v>
      </c>
      <c r="J271" s="24">
        <f t="shared" si="7"/>
        <v>0</v>
      </c>
      <c r="K271" s="24"/>
      <c r="L271" s="24">
        <f t="shared" si="8"/>
        <v>610.0481822</v>
      </c>
      <c r="M271" s="31">
        <f t="shared" si="9"/>
        <v>435.5223435</v>
      </c>
      <c r="N271" s="27">
        <f t="shared" si="10"/>
        <v>174.5258387</v>
      </c>
      <c r="O271" s="24"/>
      <c r="P271" s="24"/>
      <c r="Q271" s="24"/>
      <c r="R271" s="26"/>
      <c r="S271" s="14">
        <f t="shared" si="13"/>
        <v>160.2664024</v>
      </c>
      <c r="U271" s="21"/>
      <c r="V271" s="21"/>
    </row>
    <row r="272">
      <c r="A272" s="11">
        <v>260.0</v>
      </c>
      <c r="B272" s="11">
        <v>1.42052608695652E9</v>
      </c>
      <c r="C272" s="2">
        <v>-101.0050659</v>
      </c>
      <c r="D272" s="24">
        <f t="shared" si="1"/>
        <v>126086.9565</v>
      </c>
      <c r="E272" s="25">
        <f t="shared" si="2"/>
        <v>-27.54888396</v>
      </c>
      <c r="F272" s="24">
        <f t="shared" si="3"/>
        <v>0.0002184911487</v>
      </c>
      <c r="G272" s="24">
        <f t="shared" si="4"/>
        <v>0</v>
      </c>
      <c r="H272" s="26">
        <f t="shared" si="5"/>
        <v>0</v>
      </c>
      <c r="I272" s="24">
        <f t="shared" si="6"/>
        <v>0</v>
      </c>
      <c r="J272" s="24">
        <f t="shared" si="7"/>
        <v>0</v>
      </c>
      <c r="K272" s="24"/>
      <c r="L272" s="24">
        <f t="shared" si="8"/>
        <v>603.392041</v>
      </c>
      <c r="M272" s="31">
        <f t="shared" si="9"/>
        <v>435.4427139</v>
      </c>
      <c r="N272" s="27">
        <f t="shared" si="10"/>
        <v>167.9493271</v>
      </c>
      <c r="O272" s="24"/>
      <c r="P272" s="24"/>
      <c r="Q272" s="24"/>
      <c r="R272" s="26"/>
      <c r="S272" s="14">
        <f t="shared" si="13"/>
        <v>154.2272176</v>
      </c>
      <c r="U272" s="21"/>
      <c r="V272" s="21"/>
    </row>
    <row r="273">
      <c r="A273" s="11">
        <v>261.0</v>
      </c>
      <c r="B273" s="11">
        <v>1.4205304347826E9</v>
      </c>
      <c r="C273" s="2">
        <v>-101.0860138</v>
      </c>
      <c r="D273" s="24">
        <f t="shared" si="1"/>
        <v>130434.7826</v>
      </c>
      <c r="E273" s="25">
        <f t="shared" si="2"/>
        <v>-28.4671801</v>
      </c>
      <c r="F273" s="24">
        <f t="shared" si="3"/>
        <v>0.0002182483807</v>
      </c>
      <c r="G273" s="24">
        <f t="shared" si="4"/>
        <v>0</v>
      </c>
      <c r="H273" s="26">
        <f t="shared" si="5"/>
        <v>0</v>
      </c>
      <c r="I273" s="24">
        <f t="shared" si="6"/>
        <v>0</v>
      </c>
      <c r="J273" s="24">
        <f t="shared" si="7"/>
        <v>0</v>
      </c>
      <c r="K273" s="24"/>
      <c r="L273" s="24">
        <f t="shared" si="8"/>
        <v>592.2496154</v>
      </c>
      <c r="M273" s="31">
        <f t="shared" si="9"/>
        <v>435.3632557</v>
      </c>
      <c r="N273" s="27">
        <f t="shared" si="10"/>
        <v>156.8863597</v>
      </c>
      <c r="O273" s="24"/>
      <c r="P273" s="24"/>
      <c r="Q273" s="24"/>
      <c r="R273" s="26"/>
      <c r="S273" s="14">
        <f t="shared" si="13"/>
        <v>144.0681374</v>
      </c>
      <c r="U273" s="21"/>
      <c r="V273" s="21"/>
    </row>
    <row r="274">
      <c r="A274" s="11">
        <v>262.0</v>
      </c>
      <c r="B274" s="11">
        <v>1.42053478260869E9</v>
      </c>
      <c r="C274" s="2">
        <v>-101.1461792</v>
      </c>
      <c r="D274" s="24">
        <f t="shared" si="1"/>
        <v>134782.6087</v>
      </c>
      <c r="E274" s="25">
        <f t="shared" si="2"/>
        <v>-29.38547623</v>
      </c>
      <c r="F274" s="24">
        <f t="shared" si="3"/>
        <v>0.0002180212752</v>
      </c>
      <c r="G274" s="24">
        <f t="shared" si="4"/>
        <v>0</v>
      </c>
      <c r="H274" s="26">
        <f t="shared" si="5"/>
        <v>0</v>
      </c>
      <c r="I274" s="24">
        <f t="shared" si="6"/>
        <v>0</v>
      </c>
      <c r="J274" s="24">
        <f t="shared" si="7"/>
        <v>0</v>
      </c>
      <c r="K274" s="24"/>
      <c r="L274" s="24">
        <f t="shared" si="8"/>
        <v>584.1014003</v>
      </c>
      <c r="M274" s="31">
        <f t="shared" si="9"/>
        <v>435.2839654</v>
      </c>
      <c r="N274" s="27">
        <f t="shared" si="10"/>
        <v>148.8174348</v>
      </c>
      <c r="O274" s="24"/>
      <c r="P274" s="24"/>
      <c r="Q274" s="24"/>
      <c r="R274" s="26"/>
      <c r="S274" s="14">
        <f t="shared" si="13"/>
        <v>136.6584749</v>
      </c>
      <c r="U274" s="21"/>
      <c r="V274" s="21"/>
    </row>
    <row r="275">
      <c r="A275" s="11">
        <v>263.0</v>
      </c>
      <c r="B275" s="11">
        <v>1.42053913043478E9</v>
      </c>
      <c r="C275" s="2">
        <v>-101.2534027</v>
      </c>
      <c r="D275" s="24">
        <f t="shared" si="1"/>
        <v>139130.4348</v>
      </c>
      <c r="E275" s="25">
        <f t="shared" si="2"/>
        <v>-30.30377236</v>
      </c>
      <c r="F275" s="24">
        <f t="shared" si="3"/>
        <v>0.0002178083638</v>
      </c>
      <c r="G275" s="24">
        <f t="shared" si="4"/>
        <v>0</v>
      </c>
      <c r="H275" s="26">
        <f t="shared" si="5"/>
        <v>0</v>
      </c>
      <c r="I275" s="24">
        <f t="shared" si="6"/>
        <v>0</v>
      </c>
      <c r="J275" s="24">
        <f t="shared" si="7"/>
        <v>0</v>
      </c>
      <c r="K275" s="24"/>
      <c r="L275" s="24">
        <f t="shared" si="8"/>
        <v>569.8570131</v>
      </c>
      <c r="M275" s="31">
        <f t="shared" si="9"/>
        <v>435.2048399</v>
      </c>
      <c r="N275" s="27">
        <f t="shared" si="10"/>
        <v>134.6521731</v>
      </c>
      <c r="O275" s="24"/>
      <c r="P275" s="24"/>
      <c r="Q275" s="24"/>
      <c r="R275" s="26"/>
      <c r="S275" s="14">
        <f t="shared" si="13"/>
        <v>123.6505696</v>
      </c>
      <c r="U275" s="21"/>
      <c r="V275" s="21"/>
    </row>
    <row r="276">
      <c r="A276" s="11">
        <v>264.0</v>
      </c>
      <c r="B276" s="11">
        <v>1.42054347826087E9</v>
      </c>
      <c r="C276" s="2">
        <v>-101.3912125</v>
      </c>
      <c r="D276" s="24">
        <f t="shared" si="1"/>
        <v>143478.2609</v>
      </c>
      <c r="E276" s="25">
        <f t="shared" si="2"/>
        <v>-31.22206849</v>
      </c>
      <c r="F276" s="24">
        <f t="shared" si="3"/>
        <v>0.0002176083562</v>
      </c>
      <c r="G276" s="24">
        <f t="shared" si="4"/>
        <v>0</v>
      </c>
      <c r="H276" s="26">
        <f t="shared" si="5"/>
        <v>0</v>
      </c>
      <c r="I276" s="24">
        <f t="shared" si="6"/>
        <v>0</v>
      </c>
      <c r="J276" s="24">
        <f t="shared" si="7"/>
        <v>0</v>
      </c>
      <c r="K276" s="24"/>
      <c r="L276" s="24">
        <f t="shared" si="8"/>
        <v>552.0582665</v>
      </c>
      <c r="M276" s="31">
        <f t="shared" si="9"/>
        <v>435.1258759</v>
      </c>
      <c r="N276" s="27">
        <f t="shared" si="10"/>
        <v>116.9323906</v>
      </c>
      <c r="O276" s="24"/>
      <c r="P276" s="24"/>
      <c r="Q276" s="24"/>
      <c r="R276" s="26"/>
      <c r="S276" s="14">
        <f t="shared" si="13"/>
        <v>107.3785621</v>
      </c>
      <c r="U276" s="21"/>
      <c r="V276" s="21"/>
    </row>
    <row r="277">
      <c r="A277" s="11">
        <v>265.0</v>
      </c>
      <c r="B277" s="11">
        <v>1.42054782608695E9</v>
      </c>
      <c r="C277" s="2">
        <v>-101.495018</v>
      </c>
      <c r="D277" s="24">
        <f t="shared" si="1"/>
        <v>147826.087</v>
      </c>
      <c r="E277" s="25">
        <f t="shared" si="2"/>
        <v>-32.14036462</v>
      </c>
      <c r="F277" s="24">
        <f t="shared" si="3"/>
        <v>0.0002174201136</v>
      </c>
      <c r="G277" s="24">
        <f t="shared" si="4"/>
        <v>0</v>
      </c>
      <c r="H277" s="26">
        <f t="shared" si="5"/>
        <v>0</v>
      </c>
      <c r="I277" s="24">
        <f t="shared" si="6"/>
        <v>0</v>
      </c>
      <c r="J277" s="24">
        <f t="shared" si="7"/>
        <v>0</v>
      </c>
      <c r="K277" s="24"/>
      <c r="L277" s="24">
        <f t="shared" si="8"/>
        <v>539.0193641</v>
      </c>
      <c r="M277" s="31">
        <f t="shared" si="9"/>
        <v>435.0470701</v>
      </c>
      <c r="N277" s="27">
        <f t="shared" si="10"/>
        <v>103.9722941</v>
      </c>
      <c r="O277" s="24"/>
      <c r="P277" s="24"/>
      <c r="Q277" s="24"/>
      <c r="R277" s="26"/>
      <c r="S277" s="14">
        <f t="shared" si="13"/>
        <v>95.47735557</v>
      </c>
      <c r="U277" s="21"/>
      <c r="V277" s="21"/>
    </row>
    <row r="278">
      <c r="A278" s="11">
        <v>266.0</v>
      </c>
      <c r="B278" s="11">
        <v>1.42055217391304E9</v>
      </c>
      <c r="C278" s="2">
        <v>-101.6599121</v>
      </c>
      <c r="D278" s="24">
        <f t="shared" si="1"/>
        <v>152173.913</v>
      </c>
      <c r="E278" s="25">
        <f t="shared" si="2"/>
        <v>-33.05866076</v>
      </c>
      <c r="F278" s="24">
        <f t="shared" si="3"/>
        <v>0.0002172426278</v>
      </c>
      <c r="G278" s="24">
        <f t="shared" si="4"/>
        <v>0</v>
      </c>
      <c r="H278" s="26">
        <f t="shared" si="5"/>
        <v>0</v>
      </c>
      <c r="I278" s="24">
        <f t="shared" si="6"/>
        <v>0</v>
      </c>
      <c r="J278" s="24">
        <f t="shared" si="7"/>
        <v>0</v>
      </c>
      <c r="K278" s="24"/>
      <c r="L278" s="24">
        <f t="shared" si="8"/>
        <v>518.937383</v>
      </c>
      <c r="M278" s="31">
        <f t="shared" si="9"/>
        <v>434.9684191</v>
      </c>
      <c r="N278" s="27">
        <f t="shared" si="10"/>
        <v>83.96896395</v>
      </c>
      <c r="O278" s="24"/>
      <c r="P278" s="24"/>
      <c r="Q278" s="24"/>
      <c r="R278" s="26"/>
      <c r="S278" s="14">
        <f t="shared" si="13"/>
        <v>77.10837469</v>
      </c>
      <c r="U278" s="21"/>
      <c r="V278" s="21"/>
    </row>
    <row r="279">
      <c r="A279" s="11">
        <v>267.0</v>
      </c>
      <c r="B279" s="11">
        <v>1.42055652173913E9</v>
      </c>
      <c r="C279" s="2">
        <v>-101.7404709</v>
      </c>
      <c r="D279" s="24">
        <f t="shared" si="1"/>
        <v>156521.7391</v>
      </c>
      <c r="E279" s="25">
        <f t="shared" si="2"/>
        <v>-33.97695689</v>
      </c>
      <c r="F279" s="24">
        <f t="shared" si="3"/>
        <v>0.0002170750023</v>
      </c>
      <c r="G279" s="24">
        <f t="shared" si="4"/>
        <v>0</v>
      </c>
      <c r="H279" s="26">
        <f t="shared" si="5"/>
        <v>0</v>
      </c>
      <c r="I279" s="24">
        <f t="shared" si="6"/>
        <v>0</v>
      </c>
      <c r="J279" s="24">
        <f t="shared" si="7"/>
        <v>0</v>
      </c>
      <c r="K279" s="24"/>
      <c r="L279" s="24">
        <f t="shared" si="8"/>
        <v>509.4001604</v>
      </c>
      <c r="M279" s="31">
        <f t="shared" si="9"/>
        <v>434.8899197</v>
      </c>
      <c r="N279" s="27">
        <f t="shared" si="10"/>
        <v>74.51024066</v>
      </c>
      <c r="O279" s="24"/>
      <c r="P279" s="24"/>
      <c r="Q279" s="24"/>
      <c r="R279" s="26"/>
      <c r="S279" s="14">
        <f t="shared" si="13"/>
        <v>68.42246585</v>
      </c>
      <c r="U279" s="21"/>
      <c r="V279" s="21"/>
    </row>
    <row r="280">
      <c r="A280" s="11">
        <v>268.0</v>
      </c>
      <c r="B280" s="11">
        <v>1.42056086956521E9</v>
      </c>
      <c r="C280" s="2">
        <v>-101.8053055</v>
      </c>
      <c r="D280" s="24">
        <f t="shared" si="1"/>
        <v>160869.5652</v>
      </c>
      <c r="E280" s="25">
        <f t="shared" si="2"/>
        <v>-34.89525302</v>
      </c>
      <c r="F280" s="24">
        <f t="shared" si="3"/>
        <v>0.0002169164377</v>
      </c>
      <c r="G280" s="24">
        <f t="shared" si="4"/>
        <v>0</v>
      </c>
      <c r="H280" s="26">
        <f t="shared" si="5"/>
        <v>0</v>
      </c>
      <c r="I280" s="24">
        <f t="shared" si="6"/>
        <v>0</v>
      </c>
      <c r="J280" s="24">
        <f t="shared" si="7"/>
        <v>0</v>
      </c>
      <c r="K280" s="24"/>
      <c r="L280" s="24">
        <f t="shared" si="8"/>
        <v>501.8519516</v>
      </c>
      <c r="M280" s="31">
        <f t="shared" si="9"/>
        <v>434.8115687</v>
      </c>
      <c r="N280" s="27">
        <f t="shared" si="10"/>
        <v>67.04038289</v>
      </c>
      <c r="O280" s="24"/>
      <c r="P280" s="24"/>
      <c r="Q280" s="24"/>
      <c r="R280" s="26"/>
      <c r="S280" s="14">
        <f t="shared" si="13"/>
        <v>61.56292435</v>
      </c>
      <c r="U280" s="21"/>
      <c r="V280" s="21"/>
    </row>
    <row r="281">
      <c r="A281" s="11">
        <v>269.0</v>
      </c>
      <c r="B281" s="11">
        <v>1.4205652173913E9</v>
      </c>
      <c r="C281" s="2">
        <v>-101.8366165</v>
      </c>
      <c r="D281" s="24">
        <f t="shared" si="1"/>
        <v>165217.3913</v>
      </c>
      <c r="E281" s="25">
        <f t="shared" si="2"/>
        <v>-35.81354915</v>
      </c>
      <c r="F281" s="24">
        <f t="shared" si="3"/>
        <v>0.0002167662186</v>
      </c>
      <c r="G281" s="24">
        <f t="shared" si="4"/>
        <v>0</v>
      </c>
      <c r="H281" s="26">
        <f t="shared" si="5"/>
        <v>0</v>
      </c>
      <c r="I281" s="24">
        <f t="shared" si="6"/>
        <v>0</v>
      </c>
      <c r="J281" s="24">
        <f t="shared" si="7"/>
        <v>0</v>
      </c>
      <c r="K281" s="24"/>
      <c r="L281" s="24">
        <f t="shared" si="8"/>
        <v>498.2467992</v>
      </c>
      <c r="M281" s="31">
        <f t="shared" si="9"/>
        <v>434.7333627</v>
      </c>
      <c r="N281" s="27">
        <f t="shared" si="10"/>
        <v>63.51343641</v>
      </c>
      <c r="O281" s="24"/>
      <c r="P281" s="24"/>
      <c r="Q281" s="24"/>
      <c r="R281" s="26"/>
      <c r="S281" s="14">
        <f t="shared" si="13"/>
        <v>58.32414289</v>
      </c>
      <c r="U281" s="21"/>
      <c r="V281" s="21"/>
    </row>
    <row r="282">
      <c r="A282" s="11">
        <v>270.0</v>
      </c>
      <c r="B282" s="11">
        <v>1.42056956521739E9</v>
      </c>
      <c r="C282" s="2">
        <v>-101.8728638</v>
      </c>
      <c r="D282" s="24">
        <f t="shared" si="1"/>
        <v>169565.2174</v>
      </c>
      <c r="E282" s="25">
        <f t="shared" si="2"/>
        <v>-36.73184528</v>
      </c>
      <c r="F282" s="24">
        <f t="shared" si="3"/>
        <v>0.000216623703</v>
      </c>
      <c r="G282" s="24">
        <f t="shared" si="4"/>
        <v>0</v>
      </c>
      <c r="H282" s="26">
        <f t="shared" si="5"/>
        <v>0</v>
      </c>
      <c r="I282" s="24">
        <f t="shared" si="6"/>
        <v>0</v>
      </c>
      <c r="J282" s="24">
        <f t="shared" si="7"/>
        <v>0</v>
      </c>
      <c r="K282" s="24"/>
      <c r="L282" s="24">
        <f t="shared" si="8"/>
        <v>494.1056129</v>
      </c>
      <c r="M282" s="31">
        <f t="shared" si="9"/>
        <v>434.6552985</v>
      </c>
      <c r="N282" s="27">
        <f t="shared" si="10"/>
        <v>59.45031435</v>
      </c>
      <c r="O282" s="24"/>
      <c r="P282" s="24"/>
      <c r="Q282" s="24"/>
      <c r="R282" s="26"/>
      <c r="S282" s="14">
        <f t="shared" si="13"/>
        <v>54.59299376</v>
      </c>
      <c r="U282" s="21"/>
      <c r="V282" s="21"/>
    </row>
    <row r="283">
      <c r="A283" s="11">
        <v>271.0</v>
      </c>
      <c r="B283" s="11">
        <v>1.42057391304347E9</v>
      </c>
      <c r="C283" s="2">
        <v>-101.9501877</v>
      </c>
      <c r="D283" s="24">
        <f t="shared" si="1"/>
        <v>173913.0435</v>
      </c>
      <c r="E283" s="25">
        <f t="shared" si="2"/>
        <v>-37.65014142</v>
      </c>
      <c r="F283" s="24">
        <f t="shared" si="3"/>
        <v>0.0002164883132</v>
      </c>
      <c r="G283" s="24">
        <f t="shared" si="4"/>
        <v>0</v>
      </c>
      <c r="H283" s="26">
        <f t="shared" si="5"/>
        <v>0</v>
      </c>
      <c r="I283" s="24">
        <f t="shared" si="6"/>
        <v>0</v>
      </c>
      <c r="J283" s="24">
        <f t="shared" si="7"/>
        <v>0</v>
      </c>
      <c r="K283" s="24"/>
      <c r="L283" s="24">
        <f t="shared" si="8"/>
        <v>485.3861694</v>
      </c>
      <c r="M283" s="31">
        <f t="shared" si="9"/>
        <v>434.5773728</v>
      </c>
      <c r="N283" s="27">
        <f t="shared" si="10"/>
        <v>50.80879657</v>
      </c>
      <c r="O283" s="24"/>
      <c r="P283" s="24"/>
      <c r="Q283" s="24"/>
      <c r="R283" s="26"/>
      <c r="S283" s="14">
        <f t="shared" si="13"/>
        <v>46.6575214</v>
      </c>
      <c r="U283" s="21"/>
      <c r="V283" s="21"/>
    </row>
    <row r="284">
      <c r="A284" s="11">
        <v>272.0</v>
      </c>
      <c r="B284" s="11">
        <v>1.42057826086956E9</v>
      </c>
      <c r="C284" s="2">
        <v>-101.9809875</v>
      </c>
      <c r="D284" s="24">
        <f t="shared" si="1"/>
        <v>178260.8696</v>
      </c>
      <c r="E284" s="25">
        <f t="shared" si="2"/>
        <v>-38.56843755</v>
      </c>
      <c r="F284" s="24">
        <f t="shared" si="3"/>
        <v>0.0002163595277</v>
      </c>
      <c r="G284" s="24">
        <f t="shared" si="4"/>
        <v>0</v>
      </c>
      <c r="H284" s="26">
        <f t="shared" si="5"/>
        <v>0</v>
      </c>
      <c r="I284" s="24">
        <f t="shared" si="6"/>
        <v>0</v>
      </c>
      <c r="J284" s="24">
        <f t="shared" si="7"/>
        <v>0</v>
      </c>
      <c r="K284" s="24"/>
      <c r="L284" s="24">
        <f t="shared" si="8"/>
        <v>481.956029</v>
      </c>
      <c r="M284" s="31">
        <f t="shared" si="9"/>
        <v>434.4995823</v>
      </c>
      <c r="N284" s="27">
        <f t="shared" si="10"/>
        <v>47.45644663</v>
      </c>
      <c r="O284" s="24"/>
      <c r="P284" s="24"/>
      <c r="Q284" s="24"/>
      <c r="R284" s="26"/>
      <c r="S284" s="14">
        <f t="shared" si="13"/>
        <v>43.57907131</v>
      </c>
      <c r="U284" s="21"/>
      <c r="V284" s="21"/>
    </row>
    <row r="285">
      <c r="A285" s="11">
        <v>273.0</v>
      </c>
      <c r="B285" s="11">
        <v>1.42058260869565E9</v>
      </c>
      <c r="C285" s="2">
        <v>-101.96492</v>
      </c>
      <c r="D285" s="24">
        <f t="shared" si="1"/>
        <v>182608.6957</v>
      </c>
      <c r="E285" s="25">
        <f t="shared" si="2"/>
        <v>-39.48673368</v>
      </c>
      <c r="F285" s="24">
        <f t="shared" si="3"/>
        <v>0.0002162368749</v>
      </c>
      <c r="G285" s="24">
        <f t="shared" si="4"/>
        <v>0</v>
      </c>
      <c r="H285" s="26">
        <f t="shared" si="5"/>
        <v>0</v>
      </c>
      <c r="I285" s="24">
        <f t="shared" si="6"/>
        <v>0</v>
      </c>
      <c r="J285" s="24">
        <f t="shared" si="7"/>
        <v>0</v>
      </c>
      <c r="K285" s="24"/>
      <c r="L285" s="24">
        <f t="shared" si="8"/>
        <v>483.7424138</v>
      </c>
      <c r="M285" s="31">
        <f t="shared" si="9"/>
        <v>434.4219237</v>
      </c>
      <c r="N285" s="27">
        <f t="shared" si="10"/>
        <v>49.32049011</v>
      </c>
      <c r="O285" s="24"/>
      <c r="P285" s="24"/>
      <c r="Q285" s="24"/>
      <c r="R285" s="26"/>
      <c r="S285" s="14">
        <f t="shared" si="13"/>
        <v>45.29081533</v>
      </c>
      <c r="U285" s="21"/>
      <c r="V285" s="21"/>
    </row>
    <row r="286">
      <c r="A286" s="11">
        <v>274.0</v>
      </c>
      <c r="B286" s="11">
        <v>1.42058695652173E9</v>
      </c>
      <c r="C286" s="2">
        <v>-101.9650574</v>
      </c>
      <c r="D286" s="24">
        <f t="shared" si="1"/>
        <v>186956.5217</v>
      </c>
      <c r="E286" s="25">
        <f t="shared" si="2"/>
        <v>-40.40502981</v>
      </c>
      <c r="F286" s="24">
        <f t="shared" si="3"/>
        <v>0.0002161199269</v>
      </c>
      <c r="G286" s="24">
        <f t="shared" si="4"/>
        <v>0</v>
      </c>
      <c r="H286" s="26">
        <f t="shared" si="5"/>
        <v>0</v>
      </c>
      <c r="I286" s="24">
        <f t="shared" si="6"/>
        <v>0</v>
      </c>
      <c r="J286" s="24">
        <f t="shared" si="7"/>
        <v>0</v>
      </c>
      <c r="K286" s="24"/>
      <c r="L286" s="24">
        <f t="shared" si="8"/>
        <v>483.7271097</v>
      </c>
      <c r="M286" s="31">
        <f t="shared" si="9"/>
        <v>434.3443938</v>
      </c>
      <c r="N286" s="27">
        <f t="shared" si="10"/>
        <v>49.38271588</v>
      </c>
      <c r="O286" s="24"/>
      <c r="P286" s="24"/>
      <c r="Q286" s="24"/>
      <c r="R286" s="26"/>
      <c r="S286" s="14">
        <f t="shared" si="13"/>
        <v>45.34795702</v>
      </c>
      <c r="U286" s="21"/>
      <c r="V286" s="21"/>
    </row>
    <row r="287">
      <c r="A287" s="11">
        <v>275.0</v>
      </c>
      <c r="B287" s="11">
        <v>1.42059130434782E9</v>
      </c>
      <c r="C287" s="2">
        <v>-101.9933777</v>
      </c>
      <c r="D287" s="24">
        <f t="shared" si="1"/>
        <v>191304.3478</v>
      </c>
      <c r="E287" s="25">
        <f t="shared" si="2"/>
        <v>-41.32332595</v>
      </c>
      <c r="F287" s="24">
        <f t="shared" si="3"/>
        <v>0.0002160082947</v>
      </c>
      <c r="G287" s="24">
        <f t="shared" si="4"/>
        <v>0</v>
      </c>
      <c r="H287" s="26">
        <f t="shared" si="5"/>
        <v>0</v>
      </c>
      <c r="I287" s="24">
        <f t="shared" si="6"/>
        <v>0</v>
      </c>
      <c r="J287" s="24">
        <f t="shared" si="7"/>
        <v>0</v>
      </c>
      <c r="K287" s="24"/>
      <c r="L287" s="24">
        <f t="shared" si="8"/>
        <v>480.5829925</v>
      </c>
      <c r="M287" s="31">
        <f t="shared" si="9"/>
        <v>434.2669892</v>
      </c>
      <c r="N287" s="27">
        <f t="shared" si="10"/>
        <v>46.31600331</v>
      </c>
      <c r="O287" s="24"/>
      <c r="P287" s="24"/>
      <c r="Q287" s="24"/>
      <c r="R287" s="26"/>
      <c r="S287" s="14">
        <f t="shared" si="13"/>
        <v>42.53180673</v>
      </c>
      <c r="U287" s="21"/>
      <c r="V287" s="21"/>
    </row>
    <row r="288">
      <c r="A288" s="11">
        <v>276.0</v>
      </c>
      <c r="B288" s="11">
        <v>1.42059565217391E9</v>
      </c>
      <c r="C288" s="2">
        <v>-101.985817</v>
      </c>
      <c r="D288" s="24">
        <f t="shared" si="1"/>
        <v>195652.1739</v>
      </c>
      <c r="E288" s="25">
        <f t="shared" si="2"/>
        <v>-42.24162208</v>
      </c>
      <c r="F288" s="24">
        <f t="shared" si="3"/>
        <v>0.000215901624</v>
      </c>
      <c r="G288" s="24">
        <f t="shared" si="4"/>
        <v>0</v>
      </c>
      <c r="H288" s="26">
        <f t="shared" si="5"/>
        <v>0</v>
      </c>
      <c r="I288" s="24">
        <f t="shared" si="6"/>
        <v>0</v>
      </c>
      <c r="J288" s="24">
        <f t="shared" si="7"/>
        <v>0</v>
      </c>
      <c r="K288" s="24"/>
      <c r="L288" s="24">
        <f t="shared" si="8"/>
        <v>481.4203756</v>
      </c>
      <c r="M288" s="31">
        <f t="shared" si="9"/>
        <v>434.1897067</v>
      </c>
      <c r="N288" s="27">
        <f t="shared" si="10"/>
        <v>47.2306689</v>
      </c>
      <c r="O288" s="24"/>
      <c r="P288" s="24"/>
      <c r="Q288" s="24"/>
      <c r="R288" s="26"/>
      <c r="S288" s="14">
        <f t="shared" si="13"/>
        <v>43.3717405</v>
      </c>
      <c r="U288" s="21"/>
      <c r="V288" s="21"/>
    </row>
    <row r="289">
      <c r="A289" s="11">
        <v>277.0</v>
      </c>
      <c r="B289" s="11">
        <v>1.4206E9</v>
      </c>
      <c r="C289" s="2">
        <v>-102.0014114</v>
      </c>
      <c r="D289" s="24">
        <f t="shared" si="1"/>
        <v>200000</v>
      </c>
      <c r="E289" s="25">
        <f t="shared" si="2"/>
        <v>-43.15991821</v>
      </c>
      <c r="F289" s="24">
        <f t="shared" si="3"/>
        <v>0.000215799591</v>
      </c>
      <c r="G289" s="24">
        <f t="shared" si="4"/>
        <v>0</v>
      </c>
      <c r="H289" s="26">
        <f t="shared" si="5"/>
        <v>0</v>
      </c>
      <c r="I289" s="24">
        <f t="shared" si="6"/>
        <v>0</v>
      </c>
      <c r="J289" s="24">
        <f t="shared" si="7"/>
        <v>0</v>
      </c>
      <c r="K289" s="24"/>
      <c r="L289" s="24">
        <f t="shared" si="8"/>
        <v>479.6948185</v>
      </c>
      <c r="M289" s="31">
        <f t="shared" si="9"/>
        <v>434.112543</v>
      </c>
      <c r="N289" s="27">
        <f t="shared" si="10"/>
        <v>45.58227549</v>
      </c>
      <c r="O289" s="24"/>
      <c r="P289" s="24"/>
      <c r="Q289" s="24"/>
      <c r="R289" s="26"/>
      <c r="S289" s="14">
        <f t="shared" si="13"/>
        <v>41.8580273</v>
      </c>
      <c r="U289" s="21"/>
      <c r="V289" s="21"/>
    </row>
    <row r="290">
      <c r="A290" s="11">
        <v>278.0</v>
      </c>
      <c r="B290" s="11">
        <v>1.42060434782608E9</v>
      </c>
      <c r="C290" s="2">
        <v>-101.9825516</v>
      </c>
      <c r="D290" s="24">
        <f t="shared" si="1"/>
        <v>204347.8261</v>
      </c>
      <c r="E290" s="25">
        <f t="shared" si="2"/>
        <v>-44.07821434</v>
      </c>
      <c r="F290" s="24">
        <f t="shared" si="3"/>
        <v>0.0002157019</v>
      </c>
      <c r="G290" s="24">
        <f t="shared" si="4"/>
        <v>0</v>
      </c>
      <c r="H290" s="26">
        <f t="shared" si="5"/>
        <v>0</v>
      </c>
      <c r="I290" s="24">
        <f t="shared" si="6"/>
        <v>0</v>
      </c>
      <c r="J290" s="24">
        <f t="shared" si="7"/>
        <v>0</v>
      </c>
      <c r="K290" s="24"/>
      <c r="L290" s="24">
        <f t="shared" si="8"/>
        <v>481.782485</v>
      </c>
      <c r="M290" s="31">
        <f t="shared" si="9"/>
        <v>434.0354948</v>
      </c>
      <c r="N290" s="27">
        <f t="shared" si="10"/>
        <v>47.74699022</v>
      </c>
      <c r="O290" s="24"/>
      <c r="P290" s="24"/>
      <c r="Q290" s="24"/>
      <c r="R290" s="26"/>
      <c r="S290" s="14">
        <f t="shared" si="13"/>
        <v>43.84587647</v>
      </c>
      <c r="U290" s="21"/>
      <c r="V290" s="21"/>
    </row>
    <row r="291">
      <c r="A291" s="11">
        <v>279.0</v>
      </c>
      <c r="B291" s="11">
        <v>1.42060869565217E9</v>
      </c>
      <c r="C291" s="2">
        <v>-102.0118332</v>
      </c>
      <c r="D291" s="24">
        <f t="shared" si="1"/>
        <v>208695.6522</v>
      </c>
      <c r="E291" s="25">
        <f t="shared" si="2"/>
        <v>-44.99651047</v>
      </c>
      <c r="F291" s="24">
        <f t="shared" si="3"/>
        <v>0.0002156082794</v>
      </c>
      <c r="G291" s="24">
        <f t="shared" si="4"/>
        <v>0</v>
      </c>
      <c r="H291" s="26">
        <f t="shared" si="5"/>
        <v>0</v>
      </c>
      <c r="I291" s="24">
        <f t="shared" si="6"/>
        <v>0</v>
      </c>
      <c r="J291" s="24">
        <f t="shared" si="7"/>
        <v>0</v>
      </c>
      <c r="K291" s="24"/>
      <c r="L291" s="24">
        <f t="shared" si="8"/>
        <v>478.545071</v>
      </c>
      <c r="M291" s="31">
        <f t="shared" si="9"/>
        <v>433.9585588</v>
      </c>
      <c r="N291" s="27">
        <f t="shared" si="10"/>
        <v>44.58651216</v>
      </c>
      <c r="O291" s="24"/>
      <c r="P291" s="24"/>
      <c r="Q291" s="24"/>
      <c r="R291" s="26"/>
      <c r="S291" s="14">
        <f t="shared" si="13"/>
        <v>40.9436216</v>
      </c>
      <c r="U291" s="21"/>
      <c r="V291" s="21"/>
    </row>
    <row r="292">
      <c r="A292" s="11">
        <v>280.0</v>
      </c>
      <c r="B292" s="11">
        <v>1.42061304347826E9</v>
      </c>
      <c r="C292" s="2">
        <v>-101.993309</v>
      </c>
      <c r="D292" s="24">
        <f t="shared" si="1"/>
        <v>213043.4783</v>
      </c>
      <c r="E292" s="25">
        <f t="shared" si="2"/>
        <v>-45.91480661</v>
      </c>
      <c r="F292" s="24">
        <f t="shared" si="3"/>
        <v>0.00021551848</v>
      </c>
      <c r="G292" s="24">
        <f t="shared" si="4"/>
        <v>0</v>
      </c>
      <c r="H292" s="26">
        <f t="shared" si="5"/>
        <v>0</v>
      </c>
      <c r="I292" s="24">
        <f t="shared" si="6"/>
        <v>0</v>
      </c>
      <c r="J292" s="24">
        <f t="shared" si="7"/>
        <v>0</v>
      </c>
      <c r="K292" s="24"/>
      <c r="L292" s="24">
        <f t="shared" si="8"/>
        <v>480.5905948</v>
      </c>
      <c r="M292" s="31">
        <f t="shared" si="9"/>
        <v>433.8817318</v>
      </c>
      <c r="N292" s="27">
        <f t="shared" si="10"/>
        <v>46.70886297</v>
      </c>
      <c r="O292" s="24"/>
      <c r="P292" s="24"/>
      <c r="Q292" s="24"/>
      <c r="R292" s="26"/>
      <c r="S292" s="14">
        <f t="shared" si="13"/>
        <v>42.89256823</v>
      </c>
      <c r="U292" s="21"/>
      <c r="V292" s="21"/>
    </row>
    <row r="293">
      <c r="A293" s="11">
        <v>281.0</v>
      </c>
      <c r="B293" s="11">
        <v>1.42061739130434E9</v>
      </c>
      <c r="C293" s="2">
        <v>-101.9994507</v>
      </c>
      <c r="D293" s="24">
        <f t="shared" si="1"/>
        <v>217391.3043</v>
      </c>
      <c r="E293" s="25">
        <f t="shared" si="2"/>
        <v>-46.83310274</v>
      </c>
      <c r="F293" s="24">
        <f t="shared" si="3"/>
        <v>0.0002154322726</v>
      </c>
      <c r="G293" s="24">
        <f t="shared" si="4"/>
        <v>0</v>
      </c>
      <c r="H293" s="26">
        <f t="shared" si="5"/>
        <v>0</v>
      </c>
      <c r="I293" s="24">
        <f t="shared" si="6"/>
        <v>0</v>
      </c>
      <c r="J293" s="24">
        <f t="shared" si="7"/>
        <v>0</v>
      </c>
      <c r="K293" s="24"/>
      <c r="L293" s="24">
        <f t="shared" si="8"/>
        <v>479.9114342</v>
      </c>
      <c r="M293" s="31">
        <f t="shared" si="9"/>
        <v>433.8050105</v>
      </c>
      <c r="N293" s="27">
        <f t="shared" si="10"/>
        <v>46.10642367</v>
      </c>
      <c r="O293" s="24"/>
      <c r="P293" s="24"/>
      <c r="Q293" s="24"/>
      <c r="R293" s="26"/>
      <c r="S293" s="14">
        <f t="shared" si="13"/>
        <v>42.33935055</v>
      </c>
      <c r="U293" s="21"/>
      <c r="V293" s="21"/>
    </row>
    <row r="294">
      <c r="A294" s="11">
        <v>282.0</v>
      </c>
      <c r="B294" s="11">
        <v>1.42062173913043E9</v>
      </c>
      <c r="C294" s="2">
        <v>-102.0118332</v>
      </c>
      <c r="D294" s="24">
        <f t="shared" si="1"/>
        <v>221739.1304</v>
      </c>
      <c r="E294" s="25">
        <f t="shared" si="2"/>
        <v>-47.75139887</v>
      </c>
      <c r="F294" s="24">
        <f t="shared" si="3"/>
        <v>0.0002153494459</v>
      </c>
      <c r="G294" s="24">
        <f t="shared" si="4"/>
        <v>0</v>
      </c>
      <c r="H294" s="26">
        <f t="shared" si="5"/>
        <v>0</v>
      </c>
      <c r="I294" s="24">
        <f t="shared" si="6"/>
        <v>0</v>
      </c>
      <c r="J294" s="24">
        <f t="shared" si="7"/>
        <v>0</v>
      </c>
      <c r="K294" s="24"/>
      <c r="L294" s="24">
        <f t="shared" si="8"/>
        <v>478.545071</v>
      </c>
      <c r="M294" s="31">
        <f t="shared" si="9"/>
        <v>433.7283916</v>
      </c>
      <c r="N294" s="27">
        <f t="shared" si="10"/>
        <v>44.81667946</v>
      </c>
      <c r="O294" s="24"/>
      <c r="P294" s="24"/>
      <c r="Q294" s="24"/>
      <c r="R294" s="26"/>
      <c r="S294" s="14">
        <f t="shared" si="13"/>
        <v>41.15498333</v>
      </c>
      <c r="U294" s="21"/>
      <c r="V294" s="21"/>
    </row>
    <row r="295">
      <c r="A295" s="11">
        <v>283.0</v>
      </c>
      <c r="B295" s="11">
        <v>1.42062608695652E9</v>
      </c>
      <c r="C295" s="2">
        <v>-101.9872894</v>
      </c>
      <c r="D295" s="24">
        <f t="shared" si="1"/>
        <v>226086.9565</v>
      </c>
      <c r="E295" s="25">
        <f t="shared" si="2"/>
        <v>-48.669695</v>
      </c>
      <c r="F295" s="24">
        <f t="shared" si="3"/>
        <v>0.0002152698048</v>
      </c>
      <c r="G295" s="24">
        <f t="shared" si="4"/>
        <v>0</v>
      </c>
      <c r="H295" s="26">
        <f t="shared" si="5"/>
        <v>0</v>
      </c>
      <c r="I295" s="24">
        <f t="shared" si="6"/>
        <v>0</v>
      </c>
      <c r="J295" s="24">
        <f t="shared" si="7"/>
        <v>0</v>
      </c>
      <c r="K295" s="24"/>
      <c r="L295" s="24">
        <f t="shared" si="8"/>
        <v>481.2571861</v>
      </c>
      <c r="M295" s="31">
        <f t="shared" si="9"/>
        <v>433.6518717</v>
      </c>
      <c r="N295" s="27">
        <f t="shared" si="10"/>
        <v>47.60531434</v>
      </c>
      <c r="O295" s="24"/>
      <c r="P295" s="24"/>
      <c r="Q295" s="24"/>
      <c r="R295" s="26"/>
      <c r="S295" s="14">
        <f t="shared" si="13"/>
        <v>43.71577606</v>
      </c>
      <c r="U295" s="21"/>
      <c r="V295" s="21"/>
    </row>
    <row r="296">
      <c r="A296" s="11">
        <v>284.0</v>
      </c>
      <c r="B296" s="11">
        <v>1.4206304347826E9</v>
      </c>
      <c r="C296" s="2">
        <v>-102.0405426</v>
      </c>
      <c r="D296" s="24">
        <f t="shared" si="1"/>
        <v>230434.7826</v>
      </c>
      <c r="E296" s="25">
        <f t="shared" si="2"/>
        <v>-49.58799113</v>
      </c>
      <c r="F296" s="24">
        <f t="shared" si="3"/>
        <v>0.0002151931691</v>
      </c>
      <c r="G296" s="24">
        <f t="shared" si="4"/>
        <v>0</v>
      </c>
      <c r="H296" s="26">
        <f t="shared" si="5"/>
        <v>0</v>
      </c>
      <c r="I296" s="24">
        <f t="shared" si="6"/>
        <v>0</v>
      </c>
      <c r="J296" s="24">
        <f t="shared" si="7"/>
        <v>0</v>
      </c>
      <c r="K296" s="24"/>
      <c r="L296" s="24">
        <f t="shared" si="8"/>
        <v>475.392042</v>
      </c>
      <c r="M296" s="31">
        <f t="shared" si="9"/>
        <v>433.5754477</v>
      </c>
      <c r="N296" s="27">
        <f t="shared" si="10"/>
        <v>41.81659425</v>
      </c>
      <c r="O296" s="24"/>
      <c r="P296" s="24"/>
      <c r="Q296" s="24"/>
      <c r="R296" s="26"/>
      <c r="S296" s="14">
        <f t="shared" si="13"/>
        <v>38.40001679</v>
      </c>
      <c r="U296" s="21"/>
      <c r="V296" s="21"/>
    </row>
    <row r="297">
      <c r="A297" s="11">
        <v>285.0</v>
      </c>
      <c r="B297" s="11">
        <v>1.42063478260869E9</v>
      </c>
      <c r="C297" s="2">
        <v>-101.9948044</v>
      </c>
      <c r="D297" s="24">
        <f t="shared" si="1"/>
        <v>234782.6087</v>
      </c>
      <c r="E297" s="25">
        <f t="shared" si="2"/>
        <v>-50.50628727</v>
      </c>
      <c r="F297" s="24">
        <f t="shared" si="3"/>
        <v>0.0002151193717</v>
      </c>
      <c r="G297" s="24">
        <f t="shared" si="4"/>
        <v>0</v>
      </c>
      <c r="H297" s="26">
        <f t="shared" si="5"/>
        <v>0</v>
      </c>
      <c r="I297" s="24">
        <f t="shared" si="6"/>
        <v>0</v>
      </c>
      <c r="J297" s="24">
        <f t="shared" si="7"/>
        <v>0</v>
      </c>
      <c r="K297" s="24"/>
      <c r="L297" s="24">
        <f t="shared" si="8"/>
        <v>480.4251422</v>
      </c>
      <c r="M297" s="31">
        <f t="shared" si="9"/>
        <v>433.4991162</v>
      </c>
      <c r="N297" s="27">
        <f t="shared" si="10"/>
        <v>46.92602599</v>
      </c>
      <c r="O297" s="24"/>
      <c r="P297" s="24"/>
      <c r="Q297" s="24"/>
      <c r="R297" s="26"/>
      <c r="S297" s="14">
        <f t="shared" si="13"/>
        <v>43.0919882</v>
      </c>
      <c r="U297" s="21"/>
      <c r="V297" s="21"/>
    </row>
    <row r="298">
      <c r="A298" s="11">
        <v>286.0</v>
      </c>
      <c r="B298" s="11">
        <v>1.42063913043478E9</v>
      </c>
      <c r="C298" s="2">
        <v>-102.021492</v>
      </c>
      <c r="D298" s="24">
        <f t="shared" si="1"/>
        <v>239130.4348</v>
      </c>
      <c r="E298" s="25">
        <f t="shared" si="2"/>
        <v>-51.4245834</v>
      </c>
      <c r="F298" s="24">
        <f t="shared" si="3"/>
        <v>0.0002150482579</v>
      </c>
      <c r="G298" s="24">
        <f t="shared" si="4"/>
        <v>0</v>
      </c>
      <c r="H298" s="26">
        <f t="shared" si="5"/>
        <v>0</v>
      </c>
      <c r="I298" s="24">
        <f t="shared" si="6"/>
        <v>0</v>
      </c>
      <c r="J298" s="24">
        <f t="shared" si="7"/>
        <v>0</v>
      </c>
      <c r="K298" s="24"/>
      <c r="L298" s="24">
        <f t="shared" si="8"/>
        <v>477.4819594</v>
      </c>
      <c r="M298" s="31">
        <f t="shared" si="9"/>
        <v>433.422874</v>
      </c>
      <c r="N298" s="27">
        <f t="shared" si="10"/>
        <v>44.05908539</v>
      </c>
      <c r="O298" s="24"/>
      <c r="P298" s="24"/>
      <c r="Q298" s="24"/>
      <c r="R298" s="26"/>
      <c r="S298" s="14">
        <f t="shared" si="13"/>
        <v>40.45928763</v>
      </c>
      <c r="U298" s="21"/>
      <c r="V298" s="21"/>
    </row>
    <row r="299">
      <c r="A299" s="11">
        <v>287.0</v>
      </c>
      <c r="B299" s="11">
        <v>1.42064347826087E9</v>
      </c>
      <c r="C299" s="2">
        <v>-102.0327072</v>
      </c>
      <c r="D299" s="24">
        <f t="shared" si="1"/>
        <v>243478.2609</v>
      </c>
      <c r="E299" s="25">
        <f t="shared" si="2"/>
        <v>-52.34287953</v>
      </c>
      <c r="F299" s="24">
        <f t="shared" si="3"/>
        <v>0.0002149796838</v>
      </c>
      <c r="G299" s="24">
        <f t="shared" si="4"/>
        <v>0</v>
      </c>
      <c r="H299" s="26">
        <f t="shared" si="5"/>
        <v>0</v>
      </c>
      <c r="I299" s="24">
        <f t="shared" si="6"/>
        <v>0</v>
      </c>
      <c r="J299" s="24">
        <f t="shared" si="7"/>
        <v>0</v>
      </c>
      <c r="K299" s="24"/>
      <c r="L299" s="24">
        <f t="shared" si="8"/>
        <v>476.250503</v>
      </c>
      <c r="M299" s="31">
        <f t="shared" si="9"/>
        <v>433.3467178</v>
      </c>
      <c r="N299" s="27">
        <f t="shared" si="10"/>
        <v>42.90378522</v>
      </c>
      <c r="O299" s="24"/>
      <c r="P299" s="24"/>
      <c r="Q299" s="24"/>
      <c r="R299" s="26"/>
      <c r="S299" s="14">
        <f t="shared" si="13"/>
        <v>39.39838004</v>
      </c>
      <c r="U299" s="21"/>
      <c r="V299" s="21"/>
    </row>
    <row r="300">
      <c r="A300" s="11">
        <v>288.0</v>
      </c>
      <c r="B300" s="11">
        <v>1.42064782608695E9</v>
      </c>
      <c r="C300" s="2">
        <v>-101.9849548</v>
      </c>
      <c r="D300" s="24">
        <f t="shared" si="1"/>
        <v>247826.087</v>
      </c>
      <c r="E300" s="25">
        <f t="shared" si="2"/>
        <v>-53.26117566</v>
      </c>
      <c r="F300" s="24">
        <f t="shared" si="3"/>
        <v>0.0002149135158</v>
      </c>
      <c r="G300" s="24">
        <f t="shared" si="4"/>
        <v>0</v>
      </c>
      <c r="H300" s="26">
        <f t="shared" si="5"/>
        <v>0</v>
      </c>
      <c r="I300" s="24">
        <f t="shared" si="6"/>
        <v>0</v>
      </c>
      <c r="J300" s="24">
        <f t="shared" si="7"/>
        <v>0</v>
      </c>
      <c r="K300" s="24"/>
      <c r="L300" s="24">
        <f t="shared" si="8"/>
        <v>481.5159609</v>
      </c>
      <c r="M300" s="31">
        <f t="shared" si="9"/>
        <v>433.2706443</v>
      </c>
      <c r="N300" s="27">
        <f t="shared" si="10"/>
        <v>48.24531668</v>
      </c>
      <c r="O300" s="24"/>
      <c r="P300" s="24"/>
      <c r="Q300" s="24"/>
      <c r="R300" s="26"/>
      <c r="S300" s="14">
        <f t="shared" si="13"/>
        <v>44.30348773</v>
      </c>
      <c r="U300" s="21"/>
      <c r="V300" s="21"/>
    </row>
    <row r="301">
      <c r="A301" s="11">
        <v>289.0</v>
      </c>
      <c r="B301" s="11">
        <v>1.42065217391304E9</v>
      </c>
      <c r="C301" s="2">
        <v>-102.0272064</v>
      </c>
      <c r="D301" s="24">
        <f t="shared" si="1"/>
        <v>252173.913</v>
      </c>
      <c r="E301" s="25">
        <f t="shared" si="2"/>
        <v>-54.1794718</v>
      </c>
      <c r="F301" s="24">
        <f t="shared" si="3"/>
        <v>0.0002148496295</v>
      </c>
      <c r="G301" s="24">
        <f t="shared" si="4"/>
        <v>0</v>
      </c>
      <c r="H301" s="26">
        <f t="shared" si="5"/>
        <v>0</v>
      </c>
      <c r="I301" s="24">
        <f t="shared" si="6"/>
        <v>0</v>
      </c>
      <c r="J301" s="24">
        <f t="shared" si="7"/>
        <v>0</v>
      </c>
      <c r="K301" s="24"/>
      <c r="L301" s="24">
        <f t="shared" si="8"/>
        <v>476.8541069</v>
      </c>
      <c r="M301" s="31">
        <f t="shared" si="9"/>
        <v>433.1946502</v>
      </c>
      <c r="N301" s="27">
        <f t="shared" si="10"/>
        <v>43.65945679</v>
      </c>
      <c r="O301" s="24"/>
      <c r="P301" s="24"/>
      <c r="Q301" s="24"/>
      <c r="R301" s="26"/>
      <c r="S301" s="14">
        <f t="shared" si="13"/>
        <v>40.09231024</v>
      </c>
      <c r="U301" s="21"/>
      <c r="V301" s="21"/>
    </row>
    <row r="302">
      <c r="A302" s="11">
        <v>290.0</v>
      </c>
      <c r="B302" s="11">
        <v>1.42065652173913E9</v>
      </c>
      <c r="C302" s="2">
        <v>-102.0229034</v>
      </c>
      <c r="D302" s="24">
        <f t="shared" si="1"/>
        <v>256521.7391</v>
      </c>
      <c r="E302" s="25">
        <f t="shared" si="2"/>
        <v>-55.09776793</v>
      </c>
      <c r="F302" s="24">
        <f t="shared" si="3"/>
        <v>0.0002147879089</v>
      </c>
      <c r="G302" s="24">
        <f t="shared" si="4"/>
        <v>0</v>
      </c>
      <c r="H302" s="26">
        <f t="shared" si="5"/>
        <v>0</v>
      </c>
      <c r="I302" s="24">
        <f t="shared" si="6"/>
        <v>0</v>
      </c>
      <c r="J302" s="24">
        <f t="shared" si="7"/>
        <v>0</v>
      </c>
      <c r="K302" s="24"/>
      <c r="L302" s="24">
        <f t="shared" si="8"/>
        <v>477.3268093</v>
      </c>
      <c r="M302" s="31">
        <f t="shared" si="9"/>
        <v>433.1187322</v>
      </c>
      <c r="N302" s="27">
        <f t="shared" si="10"/>
        <v>44.20807708</v>
      </c>
      <c r="O302" s="24"/>
      <c r="P302" s="24"/>
      <c r="Q302" s="24"/>
      <c r="R302" s="26"/>
      <c r="S302" s="14">
        <f t="shared" si="13"/>
        <v>40.59610622</v>
      </c>
      <c r="U302" s="21"/>
      <c r="V302" s="21"/>
    </row>
    <row r="303">
      <c r="A303" s="11">
        <v>291.0</v>
      </c>
      <c r="B303" s="11">
        <v>1.42066086956521E9</v>
      </c>
      <c r="C303" s="2">
        <v>-101.9571686</v>
      </c>
      <c r="D303" s="24">
        <f t="shared" si="1"/>
        <v>260869.5652</v>
      </c>
      <c r="E303" s="25">
        <f t="shared" si="2"/>
        <v>-56.01606406</v>
      </c>
      <c r="F303" s="24">
        <f t="shared" si="3"/>
        <v>0.0002147282456</v>
      </c>
      <c r="G303" s="24">
        <f t="shared" si="4"/>
        <v>0</v>
      </c>
      <c r="H303" s="26">
        <f t="shared" si="5"/>
        <v>0</v>
      </c>
      <c r="I303" s="24">
        <f t="shared" si="6"/>
        <v>0</v>
      </c>
      <c r="J303" s="24">
        <f t="shared" si="7"/>
        <v>0</v>
      </c>
      <c r="K303" s="24"/>
      <c r="L303" s="24">
        <f t="shared" si="8"/>
        <v>484.6065808</v>
      </c>
      <c r="M303" s="31">
        <f t="shared" si="9"/>
        <v>433.0428871</v>
      </c>
      <c r="N303" s="27">
        <f t="shared" si="10"/>
        <v>51.5636937</v>
      </c>
      <c r="O303" s="24"/>
      <c r="P303" s="24"/>
      <c r="Q303" s="24"/>
      <c r="R303" s="26"/>
      <c r="S303" s="14">
        <f t="shared" si="13"/>
        <v>47.35074052</v>
      </c>
      <c r="U303" s="21"/>
      <c r="V303" s="21"/>
    </row>
    <row r="304">
      <c r="A304" s="11">
        <v>292.0</v>
      </c>
      <c r="B304" s="11">
        <v>1.4206652173913E9</v>
      </c>
      <c r="C304" s="2">
        <v>-102.0099487</v>
      </c>
      <c r="D304" s="24">
        <f t="shared" si="1"/>
        <v>265217.3913</v>
      </c>
      <c r="E304" s="25">
        <f t="shared" si="2"/>
        <v>-56.93436019</v>
      </c>
      <c r="F304" s="24">
        <f t="shared" si="3"/>
        <v>0.0002146705384</v>
      </c>
      <c r="G304" s="24">
        <f t="shared" si="4"/>
        <v>0</v>
      </c>
      <c r="H304" s="26">
        <f t="shared" si="5"/>
        <v>0</v>
      </c>
      <c r="I304" s="24">
        <f t="shared" si="6"/>
        <v>0</v>
      </c>
      <c r="J304" s="24">
        <f t="shared" si="7"/>
        <v>0</v>
      </c>
      <c r="K304" s="24"/>
      <c r="L304" s="24">
        <f t="shared" si="8"/>
        <v>478.7527674</v>
      </c>
      <c r="M304" s="31">
        <f t="shared" si="9"/>
        <v>432.9671115</v>
      </c>
      <c r="N304" s="27">
        <f t="shared" si="10"/>
        <v>45.78565588</v>
      </c>
      <c r="O304" s="24"/>
      <c r="P304" s="24"/>
      <c r="Q304" s="24"/>
      <c r="R304" s="26"/>
      <c r="S304" s="14">
        <f t="shared" si="13"/>
        <v>42.04479063</v>
      </c>
      <c r="U304" s="21"/>
      <c r="V304" s="21"/>
    </row>
    <row r="305">
      <c r="A305" s="11">
        <v>293.0</v>
      </c>
      <c r="B305" s="11">
        <v>1.42066956521739E9</v>
      </c>
      <c r="C305" s="2">
        <v>-101.9468994</v>
      </c>
      <c r="D305" s="24">
        <f t="shared" si="1"/>
        <v>269565.2174</v>
      </c>
      <c r="E305" s="25">
        <f t="shared" si="2"/>
        <v>-57.85265632</v>
      </c>
      <c r="F305" s="24">
        <f t="shared" si="3"/>
        <v>0.0002146146928</v>
      </c>
      <c r="G305" s="24">
        <f t="shared" si="4"/>
        <v>0</v>
      </c>
      <c r="H305" s="26">
        <f t="shared" si="5"/>
        <v>0</v>
      </c>
      <c r="I305" s="24">
        <f t="shared" si="6"/>
        <v>0</v>
      </c>
      <c r="J305" s="24">
        <f t="shared" si="7"/>
        <v>0</v>
      </c>
      <c r="K305" s="24"/>
      <c r="L305" s="24">
        <f t="shared" si="8"/>
        <v>485.7538231</v>
      </c>
      <c r="M305" s="31">
        <f t="shared" si="9"/>
        <v>432.8914022</v>
      </c>
      <c r="N305" s="27">
        <f t="shared" si="10"/>
        <v>52.86242086</v>
      </c>
      <c r="O305" s="24"/>
      <c r="P305" s="24"/>
      <c r="Q305" s="24"/>
      <c r="R305" s="26"/>
      <c r="S305" s="14">
        <f t="shared" si="13"/>
        <v>48.54335664</v>
      </c>
      <c r="U305" s="21"/>
      <c r="V305" s="21"/>
    </row>
    <row r="306">
      <c r="A306" s="11">
        <v>294.0</v>
      </c>
      <c r="B306" s="11">
        <v>1.42067391304347E9</v>
      </c>
      <c r="C306" s="2">
        <v>-101.9529724</v>
      </c>
      <c r="D306" s="24">
        <f t="shared" si="1"/>
        <v>273913.0435</v>
      </c>
      <c r="E306" s="25">
        <f t="shared" si="2"/>
        <v>-58.77095246</v>
      </c>
      <c r="F306" s="24">
        <f t="shared" si="3"/>
        <v>0.0002145606201</v>
      </c>
      <c r="G306" s="24">
        <f t="shared" si="4"/>
        <v>0</v>
      </c>
      <c r="H306" s="26">
        <f t="shared" si="5"/>
        <v>0</v>
      </c>
      <c r="I306" s="24">
        <f t="shared" si="6"/>
        <v>0</v>
      </c>
      <c r="J306" s="24">
        <f t="shared" si="7"/>
        <v>0</v>
      </c>
      <c r="K306" s="24"/>
      <c r="L306" s="24">
        <f t="shared" si="8"/>
        <v>485.0750391</v>
      </c>
      <c r="M306" s="31">
        <f t="shared" si="9"/>
        <v>432.815756</v>
      </c>
      <c r="N306" s="27">
        <f t="shared" si="10"/>
        <v>52.25928313</v>
      </c>
      <c r="O306" s="24"/>
      <c r="P306" s="24"/>
      <c r="Q306" s="24"/>
      <c r="R306" s="26"/>
      <c r="S306" s="14">
        <f t="shared" si="13"/>
        <v>47.9894976</v>
      </c>
      <c r="U306" s="21"/>
      <c r="V306" s="21"/>
    </row>
    <row r="307">
      <c r="A307" s="11">
        <v>295.0</v>
      </c>
      <c r="B307" s="11">
        <v>1.42067826086956E9</v>
      </c>
      <c r="C307" s="2">
        <v>-101.9500809</v>
      </c>
      <c r="D307" s="24">
        <f t="shared" si="1"/>
        <v>278260.8696</v>
      </c>
      <c r="E307" s="25">
        <f t="shared" si="2"/>
        <v>-59.68924859</v>
      </c>
      <c r="F307" s="24">
        <f t="shared" si="3"/>
        <v>0.0002145082371</v>
      </c>
      <c r="G307" s="24">
        <f t="shared" si="4"/>
        <v>0</v>
      </c>
      <c r="H307" s="26">
        <f t="shared" si="5"/>
        <v>0</v>
      </c>
      <c r="I307" s="24">
        <f t="shared" si="6"/>
        <v>0</v>
      </c>
      <c r="J307" s="24">
        <f t="shared" si="7"/>
        <v>0</v>
      </c>
      <c r="K307" s="24"/>
      <c r="L307" s="24">
        <f t="shared" si="8"/>
        <v>485.398106</v>
      </c>
      <c r="M307" s="31">
        <f t="shared" si="9"/>
        <v>432.7401695</v>
      </c>
      <c r="N307" s="27">
        <f t="shared" si="10"/>
        <v>52.6579365</v>
      </c>
      <c r="O307" s="24"/>
      <c r="P307" s="24"/>
      <c r="Q307" s="24"/>
      <c r="R307" s="26"/>
      <c r="S307" s="14">
        <f t="shared" si="13"/>
        <v>48.35557933</v>
      </c>
      <c r="U307" s="21"/>
      <c r="V307" s="21"/>
    </row>
    <row r="308">
      <c r="A308" s="11">
        <v>296.0</v>
      </c>
      <c r="B308" s="11">
        <v>1.42068260869565E9</v>
      </c>
      <c r="C308" s="2">
        <v>-101.9032745</v>
      </c>
      <c r="D308" s="24">
        <f t="shared" si="1"/>
        <v>282608.6957</v>
      </c>
      <c r="E308" s="25">
        <f t="shared" si="2"/>
        <v>-60.60754472</v>
      </c>
      <c r="F308" s="24">
        <f t="shared" si="3"/>
        <v>0.0002144574659</v>
      </c>
      <c r="G308" s="24">
        <f t="shared" si="4"/>
        <v>0</v>
      </c>
      <c r="H308" s="26">
        <f t="shared" si="5"/>
        <v>0</v>
      </c>
      <c r="I308" s="24">
        <f t="shared" si="6"/>
        <v>0</v>
      </c>
      <c r="J308" s="24">
        <f t="shared" si="7"/>
        <v>0</v>
      </c>
      <c r="K308" s="24"/>
      <c r="L308" s="24">
        <f t="shared" si="8"/>
        <v>490.6578115</v>
      </c>
      <c r="M308" s="31">
        <f t="shared" si="9"/>
        <v>432.6646394</v>
      </c>
      <c r="N308" s="27">
        <f t="shared" si="10"/>
        <v>57.99317207</v>
      </c>
      <c r="O308" s="24"/>
      <c r="P308" s="24"/>
      <c r="Q308" s="24"/>
      <c r="R308" s="26"/>
      <c r="S308" s="14">
        <f t="shared" si="13"/>
        <v>53.25490564</v>
      </c>
      <c r="U308" s="21"/>
      <c r="V308" s="21"/>
    </row>
    <row r="309">
      <c r="A309" s="11">
        <v>297.0</v>
      </c>
      <c r="B309" s="11">
        <v>1.42068695652173E9</v>
      </c>
      <c r="C309" s="2">
        <v>-101.9090347</v>
      </c>
      <c r="D309" s="24">
        <f t="shared" si="1"/>
        <v>286956.5217</v>
      </c>
      <c r="E309" s="25">
        <f t="shared" si="2"/>
        <v>-61.52584085</v>
      </c>
      <c r="F309" s="24">
        <f t="shared" si="3"/>
        <v>0.0002144082333</v>
      </c>
      <c r="G309" s="24">
        <f t="shared" si="4"/>
        <v>0</v>
      </c>
      <c r="H309" s="26">
        <f t="shared" si="5"/>
        <v>0</v>
      </c>
      <c r="I309" s="24">
        <f t="shared" si="6"/>
        <v>0</v>
      </c>
      <c r="J309" s="24">
        <f t="shared" si="7"/>
        <v>0</v>
      </c>
      <c r="K309" s="24"/>
      <c r="L309" s="24">
        <f t="shared" si="8"/>
        <v>490.0074662</v>
      </c>
      <c r="M309" s="31">
        <f t="shared" si="9"/>
        <v>432.5891625</v>
      </c>
      <c r="N309" s="27">
        <f t="shared" si="10"/>
        <v>57.4183037</v>
      </c>
      <c r="O309" s="24"/>
      <c r="P309" s="24"/>
      <c r="Q309" s="24"/>
      <c r="R309" s="26"/>
      <c r="S309" s="14">
        <f t="shared" si="13"/>
        <v>52.72700624</v>
      </c>
      <c r="U309" s="21"/>
      <c r="V309" s="21"/>
    </row>
    <row r="310">
      <c r="A310" s="11">
        <v>298.0</v>
      </c>
      <c r="B310" s="11">
        <v>1.42069130434782E9</v>
      </c>
      <c r="C310" s="2">
        <v>-101.9127121</v>
      </c>
      <c r="D310" s="24">
        <f t="shared" si="1"/>
        <v>291304.3478</v>
      </c>
      <c r="E310" s="25">
        <f t="shared" si="2"/>
        <v>-62.44413698</v>
      </c>
      <c r="F310" s="24">
        <f t="shared" si="3"/>
        <v>0.0002143604703</v>
      </c>
      <c r="G310" s="24">
        <f t="shared" si="4"/>
        <v>0</v>
      </c>
      <c r="H310" s="26">
        <f t="shared" si="5"/>
        <v>0</v>
      </c>
      <c r="I310" s="24">
        <f t="shared" si="6"/>
        <v>0</v>
      </c>
      <c r="J310" s="24">
        <f t="shared" si="7"/>
        <v>0</v>
      </c>
      <c r="K310" s="24"/>
      <c r="L310" s="24">
        <f t="shared" si="8"/>
        <v>489.5927267</v>
      </c>
      <c r="M310" s="31">
        <f t="shared" si="9"/>
        <v>432.5137355</v>
      </c>
      <c r="N310" s="27">
        <f t="shared" si="10"/>
        <v>57.07899123</v>
      </c>
      <c r="O310" s="24"/>
      <c r="P310" s="24"/>
      <c r="Q310" s="24"/>
      <c r="R310" s="26"/>
      <c r="S310" s="14">
        <f t="shared" si="13"/>
        <v>52.41541691</v>
      </c>
      <c r="U310" s="21"/>
      <c r="V310" s="21"/>
    </row>
    <row r="311">
      <c r="A311" s="11">
        <v>299.0</v>
      </c>
      <c r="B311" s="11">
        <v>1.42069565217391E9</v>
      </c>
      <c r="C311" s="2">
        <v>-101.932991</v>
      </c>
      <c r="D311" s="24">
        <f t="shared" si="1"/>
        <v>295652.1739</v>
      </c>
      <c r="E311" s="25">
        <f t="shared" si="2"/>
        <v>-63.36243312</v>
      </c>
      <c r="F311" s="24">
        <f t="shared" si="3"/>
        <v>0.000214314112</v>
      </c>
      <c r="G311" s="24">
        <f t="shared" si="4"/>
        <v>0</v>
      </c>
      <c r="H311" s="26">
        <f t="shared" si="5"/>
        <v>0</v>
      </c>
      <c r="I311" s="24">
        <f t="shared" si="6"/>
        <v>0</v>
      </c>
      <c r="J311" s="24">
        <f t="shared" si="7"/>
        <v>0</v>
      </c>
      <c r="K311" s="24"/>
      <c r="L311" s="24">
        <f t="shared" si="8"/>
        <v>487.3119567</v>
      </c>
      <c r="M311" s="31">
        <f t="shared" si="9"/>
        <v>432.438355</v>
      </c>
      <c r="N311" s="27">
        <f t="shared" si="10"/>
        <v>54.87360167</v>
      </c>
      <c r="O311" s="24"/>
      <c r="P311" s="24"/>
      <c r="Q311" s="24"/>
      <c r="R311" s="26"/>
      <c r="S311" s="14">
        <f t="shared" si="13"/>
        <v>50.39021609</v>
      </c>
      <c r="U311" s="21"/>
      <c r="V311" s="21"/>
    </row>
    <row r="312">
      <c r="A312" s="11">
        <v>300.0</v>
      </c>
      <c r="B312" s="11">
        <v>1.4207E9</v>
      </c>
      <c r="C312" s="2">
        <v>-101.9018021</v>
      </c>
      <c r="D312" s="24">
        <f t="shared" si="1"/>
        <v>300000</v>
      </c>
      <c r="E312" s="25">
        <f t="shared" si="2"/>
        <v>-64.28072925</v>
      </c>
      <c r="F312" s="24">
        <f t="shared" si="3"/>
        <v>0.0002142690975</v>
      </c>
      <c r="G312" s="24">
        <f t="shared" si="4"/>
        <v>0</v>
      </c>
      <c r="H312" s="26">
        <f t="shared" si="5"/>
        <v>0</v>
      </c>
      <c r="I312" s="24">
        <f t="shared" si="6"/>
        <v>0</v>
      </c>
      <c r="J312" s="24">
        <f t="shared" si="7"/>
        <v>0</v>
      </c>
      <c r="K312" s="24"/>
      <c r="L312" s="24">
        <f t="shared" si="8"/>
        <v>490.8241887</v>
      </c>
      <c r="M312" s="31">
        <f t="shared" si="9"/>
        <v>432.3630179</v>
      </c>
      <c r="N312" s="27">
        <f t="shared" si="10"/>
        <v>58.46117075</v>
      </c>
      <c r="O312" s="24"/>
      <c r="P312" s="24"/>
      <c r="Q312" s="24"/>
      <c r="R312" s="26"/>
      <c r="S312" s="14">
        <f t="shared" si="13"/>
        <v>53.68466702</v>
      </c>
      <c r="U312" s="21"/>
      <c r="V312" s="21"/>
    </row>
    <row r="313">
      <c r="A313" s="11">
        <v>301.0</v>
      </c>
      <c r="B313" s="11">
        <v>1.42070434782608E9</v>
      </c>
      <c r="C313" s="2">
        <v>-101.8177795</v>
      </c>
      <c r="D313" s="24">
        <f t="shared" si="1"/>
        <v>304347.8261</v>
      </c>
      <c r="E313" s="25">
        <f t="shared" si="2"/>
        <v>-65.19902538</v>
      </c>
      <c r="F313" s="24">
        <f t="shared" si="3"/>
        <v>0.0002142253691</v>
      </c>
      <c r="G313" s="24">
        <f t="shared" si="4"/>
        <v>0</v>
      </c>
      <c r="H313" s="26">
        <f t="shared" si="5"/>
        <v>0</v>
      </c>
      <c r="I313" s="24">
        <f t="shared" si="6"/>
        <v>0</v>
      </c>
      <c r="J313" s="24">
        <f t="shared" si="7"/>
        <v>0</v>
      </c>
      <c r="K313" s="24"/>
      <c r="L313" s="24">
        <f t="shared" si="8"/>
        <v>500.4125781</v>
      </c>
      <c r="M313" s="31">
        <f t="shared" si="9"/>
        <v>432.2877209</v>
      </c>
      <c r="N313" s="27">
        <f t="shared" si="10"/>
        <v>68.12485727</v>
      </c>
      <c r="O313" s="24"/>
      <c r="P313" s="24"/>
      <c r="Q313" s="24"/>
      <c r="R313" s="26"/>
      <c r="S313" s="14">
        <f t="shared" si="13"/>
        <v>62.55879298</v>
      </c>
      <c r="U313" s="21"/>
      <c r="V313" s="21"/>
    </row>
    <row r="314">
      <c r="A314" s="11">
        <v>302.0</v>
      </c>
      <c r="B314" s="11">
        <v>1.42070869565217E9</v>
      </c>
      <c r="C314" s="2">
        <v>-101.9130478</v>
      </c>
      <c r="D314" s="24">
        <f t="shared" si="1"/>
        <v>308695.6522</v>
      </c>
      <c r="E314" s="25">
        <f t="shared" si="2"/>
        <v>-66.11732151</v>
      </c>
      <c r="F314" s="24">
        <f t="shared" si="3"/>
        <v>0.0002141828725</v>
      </c>
      <c r="G314" s="24">
        <f t="shared" si="4"/>
        <v>0</v>
      </c>
      <c r="H314" s="26">
        <f t="shared" si="5"/>
        <v>0</v>
      </c>
      <c r="I314" s="24">
        <f t="shared" si="6"/>
        <v>0</v>
      </c>
      <c r="J314" s="24">
        <f t="shared" si="7"/>
        <v>0</v>
      </c>
      <c r="K314" s="24"/>
      <c r="L314" s="24">
        <f t="shared" si="8"/>
        <v>489.5548837</v>
      </c>
      <c r="M314" s="31">
        <f t="shared" si="9"/>
        <v>432.2124605</v>
      </c>
      <c r="N314" s="27">
        <f t="shared" si="10"/>
        <v>57.34242318</v>
      </c>
      <c r="O314" s="24"/>
      <c r="P314" s="24"/>
      <c r="Q314" s="24"/>
      <c r="R314" s="26"/>
      <c r="S314" s="14">
        <f t="shared" si="13"/>
        <v>52.65732532</v>
      </c>
      <c r="U314" s="21"/>
      <c r="V314" s="21"/>
    </row>
    <row r="315">
      <c r="A315" s="11">
        <v>303.0</v>
      </c>
      <c r="B315" s="11">
        <v>1.42071304347826E9</v>
      </c>
      <c r="C315" s="2">
        <v>-101.8881149</v>
      </c>
      <c r="D315" s="24">
        <f t="shared" si="1"/>
        <v>313043.4783</v>
      </c>
      <c r="E315" s="25">
        <f t="shared" si="2"/>
        <v>-67.03561764</v>
      </c>
      <c r="F315" s="24">
        <f t="shared" si="3"/>
        <v>0.0002141415564</v>
      </c>
      <c r="G315" s="24">
        <f t="shared" si="4"/>
        <v>0</v>
      </c>
      <c r="H315" s="26">
        <f t="shared" si="5"/>
        <v>0</v>
      </c>
      <c r="I315" s="24">
        <f t="shared" si="6"/>
        <v>0</v>
      </c>
      <c r="J315" s="24">
        <f t="shared" si="7"/>
        <v>0</v>
      </c>
      <c r="K315" s="24"/>
      <c r="L315" s="24">
        <f t="shared" si="8"/>
        <v>492.3735075</v>
      </c>
      <c r="M315" s="31">
        <f t="shared" si="9"/>
        <v>432.1372337</v>
      </c>
      <c r="N315" s="27">
        <f t="shared" si="10"/>
        <v>60.2362738</v>
      </c>
      <c r="O315" s="24"/>
      <c r="P315" s="24"/>
      <c r="Q315" s="24"/>
      <c r="R315" s="26"/>
      <c r="S315" s="14">
        <f t="shared" si="13"/>
        <v>55.31473729</v>
      </c>
      <c r="U315" s="21"/>
      <c r="V315" s="21"/>
    </row>
    <row r="316">
      <c r="A316" s="11">
        <v>304.0</v>
      </c>
      <c r="B316" s="11">
        <v>1.42071739130434E9</v>
      </c>
      <c r="C316" s="2">
        <v>-101.8876801</v>
      </c>
      <c r="D316" s="24">
        <f t="shared" si="1"/>
        <v>317391.3043</v>
      </c>
      <c r="E316" s="25">
        <f t="shared" si="2"/>
        <v>-67.95391378</v>
      </c>
      <c r="F316" s="24">
        <f t="shared" si="3"/>
        <v>0.0002141013722</v>
      </c>
      <c r="G316" s="24">
        <f t="shared" si="4"/>
        <v>0</v>
      </c>
      <c r="H316" s="26">
        <f t="shared" si="5"/>
        <v>0</v>
      </c>
      <c r="I316" s="24">
        <f t="shared" si="6"/>
        <v>0</v>
      </c>
      <c r="J316" s="24">
        <f t="shared" si="7"/>
        <v>0</v>
      </c>
      <c r="K316" s="24"/>
      <c r="L316" s="24">
        <f t="shared" si="8"/>
        <v>492.4228046</v>
      </c>
      <c r="M316" s="31">
        <f t="shared" si="9"/>
        <v>432.0620371</v>
      </c>
      <c r="N316" s="27">
        <f t="shared" si="10"/>
        <v>60.36076758</v>
      </c>
      <c r="O316" s="24"/>
      <c r="P316" s="24"/>
      <c r="Q316" s="24"/>
      <c r="R316" s="26"/>
      <c r="S316" s="14">
        <f t="shared" si="13"/>
        <v>55.42905944</v>
      </c>
      <c r="U316" s="21"/>
      <c r="V316" s="21"/>
    </row>
    <row r="317">
      <c r="A317" s="11">
        <v>305.0</v>
      </c>
      <c r="B317" s="11">
        <v>1.42072173913043E9</v>
      </c>
      <c r="C317" s="2">
        <v>-101.8681335</v>
      </c>
      <c r="D317" s="24">
        <f t="shared" si="1"/>
        <v>321739.1304</v>
      </c>
      <c r="E317" s="25">
        <f t="shared" si="2"/>
        <v>-68.87220991</v>
      </c>
      <c r="F317" s="24">
        <f t="shared" si="3"/>
        <v>0.000214062274</v>
      </c>
      <c r="G317" s="24">
        <f t="shared" si="4"/>
        <v>0</v>
      </c>
      <c r="H317" s="26">
        <f t="shared" si="5"/>
        <v>0</v>
      </c>
      <c r="I317" s="24">
        <f t="shared" si="6"/>
        <v>0</v>
      </c>
      <c r="J317" s="24">
        <f t="shared" si="7"/>
        <v>0</v>
      </c>
      <c r="K317" s="24"/>
      <c r="L317" s="24">
        <f t="shared" si="8"/>
        <v>494.6440819</v>
      </c>
      <c r="M317" s="31">
        <f t="shared" si="9"/>
        <v>431.9868673</v>
      </c>
      <c r="N317" s="27">
        <f t="shared" si="10"/>
        <v>62.65721456</v>
      </c>
      <c r="O317" s="24"/>
      <c r="P317" s="24"/>
      <c r="Q317" s="24"/>
      <c r="R317" s="26"/>
      <c r="S317" s="14">
        <f t="shared" si="13"/>
        <v>57.53787769</v>
      </c>
      <c r="U317" s="21"/>
      <c r="V317" s="21"/>
    </row>
    <row r="318">
      <c r="A318" s="11">
        <v>306.0</v>
      </c>
      <c r="B318" s="11">
        <v>1.42072608695652E9</v>
      </c>
      <c r="C318" s="2">
        <v>-101.9269562</v>
      </c>
      <c r="D318" s="24">
        <f t="shared" si="1"/>
        <v>326086.9565</v>
      </c>
      <c r="E318" s="25">
        <f t="shared" si="2"/>
        <v>-69.79050604</v>
      </c>
      <c r="F318" s="24">
        <f t="shared" si="3"/>
        <v>0.0002140242185</v>
      </c>
      <c r="G318" s="24">
        <f t="shared" si="4"/>
        <v>0</v>
      </c>
      <c r="H318" s="26">
        <f t="shared" si="5"/>
        <v>0</v>
      </c>
      <c r="I318" s="24">
        <f t="shared" si="6"/>
        <v>0</v>
      </c>
      <c r="J318" s="24">
        <f t="shared" si="7"/>
        <v>0</v>
      </c>
      <c r="K318" s="24"/>
      <c r="L318" s="24">
        <f t="shared" si="8"/>
        <v>487.9895786</v>
      </c>
      <c r="M318" s="31">
        <f t="shared" si="9"/>
        <v>431.9117212</v>
      </c>
      <c r="N318" s="27">
        <f t="shared" si="10"/>
        <v>56.07785735</v>
      </c>
      <c r="O318" s="24"/>
      <c r="P318" s="24"/>
      <c r="Q318" s="24"/>
      <c r="R318" s="26"/>
      <c r="S318" s="14">
        <f t="shared" si="13"/>
        <v>51.49607954</v>
      </c>
      <c r="U318" s="21"/>
      <c r="V318" s="21"/>
    </row>
    <row r="319">
      <c r="A319" s="11">
        <v>307.0</v>
      </c>
      <c r="B319" s="11">
        <v>1.4207304347826E9</v>
      </c>
      <c r="C319" s="2">
        <v>-101.9365158</v>
      </c>
      <c r="D319" s="24">
        <f t="shared" si="1"/>
        <v>330434.7826</v>
      </c>
      <c r="E319" s="25">
        <f t="shared" si="2"/>
        <v>-70.70880217</v>
      </c>
      <c r="F319" s="24">
        <f t="shared" si="3"/>
        <v>0.0002139871645</v>
      </c>
      <c r="G319" s="24">
        <f t="shared" si="4"/>
        <v>0</v>
      </c>
      <c r="H319" s="26">
        <f t="shared" si="5"/>
        <v>0</v>
      </c>
      <c r="I319" s="24">
        <f t="shared" si="6"/>
        <v>0</v>
      </c>
      <c r="J319" s="24">
        <f t="shared" si="7"/>
        <v>0</v>
      </c>
      <c r="K319" s="24"/>
      <c r="L319" s="24">
        <f t="shared" si="8"/>
        <v>486.9166074</v>
      </c>
      <c r="M319" s="31">
        <f t="shared" si="9"/>
        <v>431.8365955</v>
      </c>
      <c r="N319" s="27">
        <f t="shared" si="10"/>
        <v>55.08001191</v>
      </c>
      <c r="O319" s="24"/>
      <c r="P319" s="24"/>
      <c r="Q319" s="24"/>
      <c r="R319" s="26"/>
      <c r="S319" s="14">
        <f t="shared" si="13"/>
        <v>50.57976192</v>
      </c>
      <c r="U319" s="21"/>
      <c r="V319" s="21"/>
    </row>
    <row r="320">
      <c r="A320" s="11">
        <v>308.0</v>
      </c>
      <c r="B320" s="11">
        <v>1.42073478260869E9</v>
      </c>
      <c r="C320" s="2">
        <v>-101.8974609</v>
      </c>
      <c r="D320" s="24">
        <f t="shared" si="1"/>
        <v>334782.6087</v>
      </c>
      <c r="E320" s="25">
        <f t="shared" si="2"/>
        <v>-71.62709831</v>
      </c>
      <c r="F320" s="24">
        <f t="shared" si="3"/>
        <v>0.0002139510729</v>
      </c>
      <c r="G320" s="24">
        <f t="shared" si="4"/>
        <v>0</v>
      </c>
      <c r="H320" s="26">
        <f t="shared" si="5"/>
        <v>0</v>
      </c>
      <c r="I320" s="24">
        <f t="shared" si="6"/>
        <v>0</v>
      </c>
      <c r="J320" s="24">
        <f t="shared" si="7"/>
        <v>0</v>
      </c>
      <c r="K320" s="24"/>
      <c r="L320" s="24">
        <f t="shared" si="8"/>
        <v>491.315061</v>
      </c>
      <c r="M320" s="31">
        <f t="shared" si="9"/>
        <v>431.7614868</v>
      </c>
      <c r="N320" s="27">
        <f t="shared" si="10"/>
        <v>59.55357419</v>
      </c>
      <c r="O320" s="24"/>
      <c r="P320" s="24"/>
      <c r="Q320" s="24"/>
      <c r="R320" s="26"/>
      <c r="S320" s="14">
        <f t="shared" si="13"/>
        <v>54.68781687</v>
      </c>
      <c r="U320" s="21"/>
      <c r="V320" s="21"/>
    </row>
    <row r="321">
      <c r="A321" s="11">
        <v>309.0</v>
      </c>
      <c r="B321" s="11">
        <v>1.42073913043478E9</v>
      </c>
      <c r="C321" s="2">
        <v>-101.9923096</v>
      </c>
      <c r="D321" s="24">
        <f t="shared" si="1"/>
        <v>339130.4348</v>
      </c>
      <c r="E321" s="25">
        <f t="shared" si="2"/>
        <v>-72.54539444</v>
      </c>
      <c r="F321" s="24">
        <f t="shared" si="3"/>
        <v>0.0002139159067</v>
      </c>
      <c r="G321" s="24">
        <f t="shared" si="4"/>
        <v>0</v>
      </c>
      <c r="H321" s="26">
        <f t="shared" si="5"/>
        <v>0</v>
      </c>
      <c r="I321" s="24">
        <f t="shared" si="6"/>
        <v>0</v>
      </c>
      <c r="J321" s="24">
        <f t="shared" si="7"/>
        <v>0</v>
      </c>
      <c r="K321" s="24"/>
      <c r="L321" s="24">
        <f t="shared" si="8"/>
        <v>480.7012012</v>
      </c>
      <c r="M321" s="31">
        <f t="shared" si="9"/>
        <v>431.6863919</v>
      </c>
      <c r="N321" s="27">
        <f t="shared" si="10"/>
        <v>49.01480934</v>
      </c>
      <c r="O321" s="24"/>
      <c r="P321" s="24"/>
      <c r="Q321" s="24"/>
      <c r="R321" s="26"/>
      <c r="S321" s="14">
        <f t="shared" si="13"/>
        <v>45.01010976</v>
      </c>
      <c r="U321" s="21"/>
      <c r="V321" s="21"/>
    </row>
    <row r="322">
      <c r="A322" s="11">
        <v>310.0</v>
      </c>
      <c r="B322" s="11">
        <v>1.42074347826087E9</v>
      </c>
      <c r="C322" s="2">
        <v>-101.9923172</v>
      </c>
      <c r="D322" s="24">
        <f t="shared" si="1"/>
        <v>343478.2609</v>
      </c>
      <c r="E322" s="25">
        <f t="shared" si="2"/>
        <v>-73.46369057</v>
      </c>
      <c r="F322" s="24">
        <f t="shared" si="3"/>
        <v>0.0002138816308</v>
      </c>
      <c r="G322" s="24">
        <f t="shared" si="4"/>
        <v>0</v>
      </c>
      <c r="H322" s="26">
        <f t="shared" si="5"/>
        <v>0</v>
      </c>
      <c r="I322" s="24">
        <f t="shared" si="6"/>
        <v>0</v>
      </c>
      <c r="J322" s="24">
        <f t="shared" si="7"/>
        <v>0</v>
      </c>
      <c r="K322" s="24"/>
      <c r="L322" s="24">
        <f t="shared" si="8"/>
        <v>480.70036</v>
      </c>
      <c r="M322" s="31">
        <f t="shared" si="9"/>
        <v>431.6113075</v>
      </c>
      <c r="N322" s="27">
        <f t="shared" si="10"/>
        <v>49.08905253</v>
      </c>
      <c r="O322" s="24"/>
      <c r="P322" s="24"/>
      <c r="Q322" s="24"/>
      <c r="R322" s="26"/>
      <c r="S322" s="14">
        <f t="shared" si="13"/>
        <v>45.0782871</v>
      </c>
      <c r="U322" s="21"/>
      <c r="V322" s="21"/>
    </row>
    <row r="323">
      <c r="A323" s="11">
        <v>311.0</v>
      </c>
      <c r="B323" s="11">
        <v>1.42074782608695E9</v>
      </c>
      <c r="C323" s="2">
        <v>-101.9760742</v>
      </c>
      <c r="D323" s="24">
        <f t="shared" si="1"/>
        <v>347826.087</v>
      </c>
      <c r="E323" s="25">
        <f t="shared" si="2"/>
        <v>-74.3819867</v>
      </c>
      <c r="F323" s="24">
        <f t="shared" si="3"/>
        <v>0.0002138482118</v>
      </c>
      <c r="G323" s="24">
        <f t="shared" si="4"/>
        <v>0</v>
      </c>
      <c r="H323" s="26">
        <f t="shared" si="5"/>
        <v>0</v>
      </c>
      <c r="I323" s="24">
        <f t="shared" si="6"/>
        <v>0</v>
      </c>
      <c r="J323" s="24">
        <f t="shared" si="7"/>
        <v>0</v>
      </c>
      <c r="K323" s="24"/>
      <c r="L323" s="24">
        <f t="shared" si="8"/>
        <v>482.5015884</v>
      </c>
      <c r="M323" s="31">
        <f t="shared" si="9"/>
        <v>431.5362303</v>
      </c>
      <c r="N323" s="27">
        <f t="shared" si="10"/>
        <v>50.9653581</v>
      </c>
      <c r="O323" s="24"/>
      <c r="P323" s="24"/>
      <c r="Q323" s="24"/>
      <c r="R323" s="26"/>
      <c r="S323" s="14">
        <f t="shared" si="13"/>
        <v>46.80129125</v>
      </c>
      <c r="U323" s="21"/>
      <c r="V323" s="21"/>
    </row>
    <row r="324">
      <c r="A324" s="11">
        <v>312.0</v>
      </c>
      <c r="B324" s="11">
        <v>1.42075217391304E9</v>
      </c>
      <c r="C324" s="2">
        <v>-102.1057205</v>
      </c>
      <c r="D324" s="24">
        <f t="shared" si="1"/>
        <v>352173.913</v>
      </c>
      <c r="E324" s="25">
        <f t="shared" si="2"/>
        <v>-75.30028284</v>
      </c>
      <c r="F324" s="24">
        <f t="shared" si="3"/>
        <v>0.0002138156179</v>
      </c>
      <c r="G324" s="24">
        <f t="shared" si="4"/>
        <v>0</v>
      </c>
      <c r="H324" s="26">
        <f t="shared" si="5"/>
        <v>0</v>
      </c>
      <c r="I324" s="24">
        <f t="shared" si="6"/>
        <v>0</v>
      </c>
      <c r="J324" s="24">
        <f t="shared" si="7"/>
        <v>0</v>
      </c>
      <c r="K324" s="24"/>
      <c r="L324" s="24">
        <f t="shared" si="8"/>
        <v>468.3107396</v>
      </c>
      <c r="M324" s="31">
        <f t="shared" si="9"/>
        <v>431.4611571</v>
      </c>
      <c r="N324" s="27">
        <f t="shared" si="10"/>
        <v>36.8495825</v>
      </c>
      <c r="O324" s="24"/>
      <c r="P324" s="24"/>
      <c r="Q324" s="24"/>
      <c r="R324" s="26"/>
      <c r="S324" s="14">
        <f t="shared" si="13"/>
        <v>33.83882903</v>
      </c>
      <c r="U324" s="21"/>
      <c r="V324" s="21"/>
    </row>
    <row r="325">
      <c r="A325" s="11">
        <v>313.0</v>
      </c>
      <c r="B325" s="11">
        <v>1.42075652173913E9</v>
      </c>
      <c r="C325" s="2">
        <v>-102.0788803</v>
      </c>
      <c r="D325" s="24">
        <f t="shared" si="1"/>
        <v>356521.7391</v>
      </c>
      <c r="E325" s="25">
        <f t="shared" si="2"/>
        <v>-76.21857897</v>
      </c>
      <c r="F325" s="24">
        <f t="shared" si="3"/>
        <v>0.0002137838191</v>
      </c>
      <c r="G325" s="24">
        <f t="shared" si="4"/>
        <v>0</v>
      </c>
      <c r="H325" s="26">
        <f t="shared" si="5"/>
        <v>0</v>
      </c>
      <c r="I325" s="24">
        <f t="shared" si="6"/>
        <v>0</v>
      </c>
      <c r="J325" s="24">
        <f t="shared" si="7"/>
        <v>0</v>
      </c>
      <c r="K325" s="24"/>
      <c r="L325" s="24">
        <f t="shared" si="8"/>
        <v>471.2139483</v>
      </c>
      <c r="M325" s="31">
        <f t="shared" si="9"/>
        <v>431.3860845</v>
      </c>
      <c r="N325" s="27">
        <f t="shared" si="10"/>
        <v>39.82786377</v>
      </c>
      <c r="O325" s="24"/>
      <c r="P325" s="24"/>
      <c r="Q325" s="24"/>
      <c r="R325" s="26"/>
      <c r="S325" s="14">
        <f t="shared" si="13"/>
        <v>36.57377328</v>
      </c>
      <c r="U325" s="21"/>
      <c r="V325" s="21"/>
    </row>
    <row r="326">
      <c r="A326" s="11">
        <v>314.0</v>
      </c>
      <c r="B326" s="11">
        <v>1.42076086956521E9</v>
      </c>
      <c r="C326" s="2">
        <v>-102.128685</v>
      </c>
      <c r="D326" s="24">
        <f t="shared" si="1"/>
        <v>360869.5652</v>
      </c>
      <c r="E326" s="25">
        <f t="shared" si="2"/>
        <v>-77.1368751</v>
      </c>
      <c r="F326" s="24">
        <f t="shared" si="3"/>
        <v>0.0002137527864</v>
      </c>
      <c r="G326" s="24">
        <f t="shared" si="4"/>
        <v>0</v>
      </c>
      <c r="H326" s="26">
        <f t="shared" si="5"/>
        <v>0</v>
      </c>
      <c r="I326" s="24">
        <f t="shared" si="6"/>
        <v>0</v>
      </c>
      <c r="J326" s="24">
        <f t="shared" si="7"/>
        <v>0</v>
      </c>
      <c r="K326" s="24"/>
      <c r="L326" s="24">
        <f t="shared" si="8"/>
        <v>465.8409549</v>
      </c>
      <c r="M326" s="31">
        <f t="shared" si="9"/>
        <v>431.3110093</v>
      </c>
      <c r="N326" s="27">
        <f t="shared" si="10"/>
        <v>34.52994567</v>
      </c>
      <c r="O326" s="24"/>
      <c r="P326" s="24"/>
      <c r="Q326" s="24"/>
      <c r="R326" s="26"/>
      <c r="S326" s="14">
        <f t="shared" si="13"/>
        <v>31.70871558</v>
      </c>
      <c r="U326" s="21"/>
      <c r="V326" s="21"/>
    </row>
    <row r="327">
      <c r="A327" s="11">
        <v>315.0</v>
      </c>
      <c r="B327" s="11">
        <v>1.4207652173913E9</v>
      </c>
      <c r="C327" s="2">
        <v>-102.1158142</v>
      </c>
      <c r="D327" s="24">
        <f t="shared" si="1"/>
        <v>365217.3913</v>
      </c>
      <c r="E327" s="25">
        <f t="shared" si="2"/>
        <v>-78.05517123</v>
      </c>
      <c r="F327" s="24">
        <f t="shared" si="3"/>
        <v>0.0002137224927</v>
      </c>
      <c r="G327" s="24">
        <f t="shared" si="4"/>
        <v>0</v>
      </c>
      <c r="H327" s="26">
        <f t="shared" si="5"/>
        <v>0</v>
      </c>
      <c r="I327" s="24">
        <f t="shared" si="6"/>
        <v>0</v>
      </c>
      <c r="J327" s="24">
        <f t="shared" si="7"/>
        <v>0</v>
      </c>
      <c r="K327" s="24"/>
      <c r="L327" s="24">
        <f t="shared" si="8"/>
        <v>467.2235742</v>
      </c>
      <c r="M327" s="31">
        <f t="shared" si="9"/>
        <v>431.2359282</v>
      </c>
      <c r="N327" s="27">
        <f t="shared" si="10"/>
        <v>35.98764602</v>
      </c>
      <c r="O327" s="24"/>
      <c r="P327" s="24"/>
      <c r="Q327" s="24"/>
      <c r="R327" s="26"/>
      <c r="S327" s="14">
        <f t="shared" si="13"/>
        <v>33.04731609</v>
      </c>
      <c r="U327" s="21"/>
      <c r="V327" s="21"/>
    </row>
    <row r="328">
      <c r="A328" s="11">
        <v>316.0</v>
      </c>
      <c r="B328" s="11">
        <v>1.42076956521739E9</v>
      </c>
      <c r="C328" s="2">
        <v>-102.1841125</v>
      </c>
      <c r="D328" s="24">
        <f t="shared" si="1"/>
        <v>369565.2174</v>
      </c>
      <c r="E328" s="25">
        <f t="shared" si="2"/>
        <v>-78.97346736</v>
      </c>
      <c r="F328" s="24">
        <f t="shared" si="3"/>
        <v>0.0002136929117</v>
      </c>
      <c r="G328" s="24">
        <f t="shared" si="4"/>
        <v>0</v>
      </c>
      <c r="H328" s="26">
        <f t="shared" si="5"/>
        <v>0</v>
      </c>
      <c r="I328" s="24">
        <f t="shared" si="6"/>
        <v>0</v>
      </c>
      <c r="J328" s="24">
        <f t="shared" si="7"/>
        <v>0</v>
      </c>
      <c r="K328" s="24"/>
      <c r="L328" s="24">
        <f t="shared" si="8"/>
        <v>459.9333667</v>
      </c>
      <c r="M328" s="31">
        <f t="shared" si="9"/>
        <v>431.1608379</v>
      </c>
      <c r="N328" s="27">
        <f t="shared" si="10"/>
        <v>28.77252881</v>
      </c>
      <c r="O328" s="24"/>
      <c r="P328" s="24"/>
      <c r="Q328" s="24"/>
      <c r="R328" s="26"/>
      <c r="S328" s="14">
        <f t="shared" si="13"/>
        <v>26.42170194</v>
      </c>
      <c r="U328" s="21"/>
      <c r="V328" s="21"/>
    </row>
    <row r="329">
      <c r="A329" s="11">
        <v>317.0</v>
      </c>
      <c r="B329" s="11">
        <v>1.42077391304347E9</v>
      </c>
      <c r="C329" s="2">
        <v>-102.1746826</v>
      </c>
      <c r="D329" s="24">
        <f t="shared" si="1"/>
        <v>373913.0435</v>
      </c>
      <c r="E329" s="25">
        <f t="shared" si="2"/>
        <v>-79.89176349</v>
      </c>
      <c r="F329" s="24">
        <f t="shared" si="3"/>
        <v>0.0002136640187</v>
      </c>
      <c r="G329" s="24">
        <f t="shared" si="4"/>
        <v>0</v>
      </c>
      <c r="H329" s="26">
        <f t="shared" si="5"/>
        <v>0</v>
      </c>
      <c r="I329" s="24">
        <f t="shared" si="6"/>
        <v>0</v>
      </c>
      <c r="J329" s="24">
        <f t="shared" si="7"/>
        <v>0</v>
      </c>
      <c r="K329" s="24"/>
      <c r="L329" s="24">
        <f t="shared" si="8"/>
        <v>460.9331118</v>
      </c>
      <c r="M329" s="31">
        <f t="shared" si="9"/>
        <v>431.0857351</v>
      </c>
      <c r="N329" s="27">
        <f t="shared" si="10"/>
        <v>29.84737665</v>
      </c>
      <c r="O329" s="24"/>
      <c r="P329" s="24"/>
      <c r="Q329" s="24"/>
      <c r="R329" s="26"/>
      <c r="S329" s="14">
        <f t="shared" si="13"/>
        <v>27.40873055</v>
      </c>
      <c r="U329" s="21"/>
      <c r="V329" s="21"/>
    </row>
    <row r="330">
      <c r="A330" s="11">
        <v>318.0</v>
      </c>
      <c r="B330" s="11">
        <v>1.42077826086956E9</v>
      </c>
      <c r="C330" s="2">
        <v>-102.1671219</v>
      </c>
      <c r="D330" s="24">
        <f t="shared" si="1"/>
        <v>378260.8696</v>
      </c>
      <c r="E330" s="25">
        <f t="shared" si="2"/>
        <v>-80.81005963</v>
      </c>
      <c r="F330" s="24">
        <f t="shared" si="3"/>
        <v>0.0002136357898</v>
      </c>
      <c r="G330" s="24">
        <f t="shared" si="4"/>
        <v>0</v>
      </c>
      <c r="H330" s="26">
        <f t="shared" si="5"/>
        <v>0</v>
      </c>
      <c r="I330" s="24">
        <f t="shared" si="6"/>
        <v>0</v>
      </c>
      <c r="J330" s="24">
        <f t="shared" si="7"/>
        <v>0</v>
      </c>
      <c r="K330" s="24"/>
      <c r="L330" s="24">
        <f t="shared" si="8"/>
        <v>461.7362563</v>
      </c>
      <c r="M330" s="31">
        <f t="shared" si="9"/>
        <v>431.0106166</v>
      </c>
      <c r="N330" s="27">
        <f t="shared" si="10"/>
        <v>30.72563966</v>
      </c>
      <c r="O330" s="24"/>
      <c r="P330" s="24"/>
      <c r="Q330" s="24"/>
      <c r="R330" s="26"/>
      <c r="S330" s="14">
        <f t="shared" si="13"/>
        <v>28.21523601</v>
      </c>
      <c r="U330" s="21"/>
      <c r="V330" s="21"/>
    </row>
    <row r="331">
      <c r="A331" s="11">
        <v>319.0</v>
      </c>
      <c r="B331" s="11">
        <v>1.42078260869565E9</v>
      </c>
      <c r="C331" s="2">
        <v>-102.2871246</v>
      </c>
      <c r="D331" s="24">
        <f t="shared" si="1"/>
        <v>382608.6957</v>
      </c>
      <c r="E331" s="25">
        <f t="shared" si="2"/>
        <v>-81.72835576</v>
      </c>
      <c r="F331" s="24">
        <f t="shared" si="3"/>
        <v>0.0002136082026</v>
      </c>
      <c r="G331" s="24">
        <f t="shared" si="4"/>
        <v>0</v>
      </c>
      <c r="H331" s="26">
        <f t="shared" si="5"/>
        <v>0</v>
      </c>
      <c r="I331" s="24">
        <f t="shared" si="6"/>
        <v>0</v>
      </c>
      <c r="J331" s="24">
        <f t="shared" si="7"/>
        <v>0</v>
      </c>
      <c r="K331" s="24"/>
      <c r="L331" s="24">
        <f t="shared" si="8"/>
        <v>449.1523822</v>
      </c>
      <c r="M331" s="31">
        <f t="shared" si="9"/>
        <v>430.9354791</v>
      </c>
      <c r="N331" s="27">
        <f t="shared" si="10"/>
        <v>18.2169031</v>
      </c>
      <c r="O331" s="24"/>
      <c r="P331" s="24"/>
      <c r="Q331" s="24"/>
      <c r="R331" s="26"/>
      <c r="S331" s="14">
        <f t="shared" si="13"/>
        <v>16.72851167</v>
      </c>
      <c r="U331" s="21"/>
      <c r="V331" s="21"/>
    </row>
    <row r="332">
      <c r="A332" s="11">
        <v>320.0</v>
      </c>
      <c r="B332" s="11">
        <v>1.42078695652173E9</v>
      </c>
      <c r="C332" s="2">
        <v>-102.2090988</v>
      </c>
      <c r="D332" s="24">
        <f t="shared" si="1"/>
        <v>386956.5217</v>
      </c>
      <c r="E332" s="25">
        <f t="shared" si="2"/>
        <v>-82.64665189</v>
      </c>
      <c r="F332" s="24">
        <f t="shared" si="3"/>
        <v>0.0002135812352</v>
      </c>
      <c r="G332" s="24">
        <f t="shared" si="4"/>
        <v>0</v>
      </c>
      <c r="H332" s="26">
        <f t="shared" si="5"/>
        <v>0</v>
      </c>
      <c r="I332" s="24">
        <f t="shared" si="6"/>
        <v>0</v>
      </c>
      <c r="J332" s="24">
        <f t="shared" si="7"/>
        <v>0</v>
      </c>
      <c r="K332" s="24"/>
      <c r="L332" s="24">
        <f t="shared" si="8"/>
        <v>457.2948257</v>
      </c>
      <c r="M332" s="31">
        <f t="shared" si="9"/>
        <v>430.8603192</v>
      </c>
      <c r="N332" s="27">
        <f t="shared" si="10"/>
        <v>26.43450652</v>
      </c>
      <c r="O332" s="24"/>
      <c r="P332" s="24"/>
      <c r="Q332" s="24"/>
      <c r="R332" s="26"/>
      <c r="S332" s="14">
        <f t="shared" si="13"/>
        <v>24.27470511</v>
      </c>
      <c r="U332" s="21"/>
      <c r="V332" s="21"/>
    </row>
    <row r="333">
      <c r="A333" s="11">
        <v>321.0</v>
      </c>
      <c r="B333" s="11">
        <v>1.42079130434782E9</v>
      </c>
      <c r="C333" s="2">
        <v>-102.2210388</v>
      </c>
      <c r="D333" s="24">
        <f t="shared" si="1"/>
        <v>391304.3478</v>
      </c>
      <c r="E333" s="25">
        <f t="shared" si="2"/>
        <v>-83.56494802</v>
      </c>
      <c r="F333" s="24">
        <f t="shared" si="3"/>
        <v>0.0002135548672</v>
      </c>
      <c r="G333" s="24">
        <f t="shared" si="4"/>
        <v>0</v>
      </c>
      <c r="H333" s="26">
        <f t="shared" si="5"/>
        <v>0</v>
      </c>
      <c r="I333" s="24">
        <f t="shared" si="6"/>
        <v>0</v>
      </c>
      <c r="J333" s="24">
        <f t="shared" si="7"/>
        <v>0</v>
      </c>
      <c r="K333" s="24"/>
      <c r="L333" s="24">
        <f t="shared" si="8"/>
        <v>456.0393179</v>
      </c>
      <c r="M333" s="31">
        <f t="shared" si="9"/>
        <v>430.7851337</v>
      </c>
      <c r="N333" s="27">
        <f t="shared" si="10"/>
        <v>25.25418411</v>
      </c>
      <c r="O333" s="24"/>
      <c r="P333" s="24"/>
      <c r="Q333" s="24"/>
      <c r="R333" s="26"/>
      <c r="S333" s="14">
        <f t="shared" si="13"/>
        <v>23.1908196</v>
      </c>
      <c r="U333" s="21"/>
      <c r="V333" s="21"/>
    </row>
    <row r="334">
      <c r="A334" s="11">
        <v>322.0</v>
      </c>
      <c r="B334" s="11">
        <v>1.42079565217391E9</v>
      </c>
      <c r="C334" s="2">
        <v>-102.3013535</v>
      </c>
      <c r="D334" s="24">
        <f t="shared" si="1"/>
        <v>395652.1739</v>
      </c>
      <c r="E334" s="25">
        <f t="shared" si="2"/>
        <v>-84.48324416</v>
      </c>
      <c r="F334" s="24">
        <f t="shared" si="3"/>
        <v>0.0002135290786</v>
      </c>
      <c r="G334" s="24">
        <f t="shared" si="4"/>
        <v>0</v>
      </c>
      <c r="H334" s="26">
        <f t="shared" si="5"/>
        <v>0</v>
      </c>
      <c r="I334" s="24">
        <f t="shared" si="6"/>
        <v>0</v>
      </c>
      <c r="J334" s="24">
        <f t="shared" si="7"/>
        <v>0</v>
      </c>
      <c r="K334" s="24"/>
      <c r="L334" s="24">
        <f t="shared" si="8"/>
        <v>447.6832209</v>
      </c>
      <c r="M334" s="31">
        <f t="shared" si="9"/>
        <v>430.7099194</v>
      </c>
      <c r="N334" s="27">
        <f t="shared" si="10"/>
        <v>16.97330146</v>
      </c>
      <c r="O334" s="24"/>
      <c r="P334" s="24"/>
      <c r="Q334" s="24"/>
      <c r="R334" s="26"/>
      <c r="S334" s="14">
        <f t="shared" si="13"/>
        <v>15.58651706</v>
      </c>
      <c r="U334" s="21"/>
      <c r="V334" s="21"/>
    </row>
    <row r="335">
      <c r="A335" s="11">
        <v>323.0</v>
      </c>
      <c r="B335" s="11">
        <v>1.4208E9</v>
      </c>
      <c r="C335" s="2">
        <v>-102.2913437</v>
      </c>
      <c r="D335" s="24">
        <f t="shared" si="1"/>
        <v>400000</v>
      </c>
      <c r="E335" s="25">
        <f t="shared" si="2"/>
        <v>-85.40154029</v>
      </c>
      <c r="F335" s="24">
        <f t="shared" si="3"/>
        <v>0.0002135038507</v>
      </c>
      <c r="G335" s="24">
        <f t="shared" si="4"/>
        <v>0</v>
      </c>
      <c r="H335" s="26">
        <f t="shared" si="5"/>
        <v>0</v>
      </c>
      <c r="I335" s="24">
        <f t="shared" si="6"/>
        <v>0</v>
      </c>
      <c r="J335" s="24">
        <f t="shared" si="7"/>
        <v>0</v>
      </c>
      <c r="K335" s="24"/>
      <c r="L335" s="24">
        <f t="shared" si="8"/>
        <v>448.7162498</v>
      </c>
      <c r="M335" s="31">
        <f t="shared" si="9"/>
        <v>430.6346729</v>
      </c>
      <c r="N335" s="27">
        <f t="shared" si="10"/>
        <v>18.0815769</v>
      </c>
      <c r="O335" s="24"/>
      <c r="P335" s="24"/>
      <c r="Q335" s="24"/>
      <c r="R335" s="26"/>
      <c r="S335" s="14">
        <f t="shared" si="13"/>
        <v>16.60424214</v>
      </c>
      <c r="U335" s="21"/>
      <c r="V335" s="21"/>
    </row>
    <row r="336">
      <c r="A336" s="11">
        <v>324.0</v>
      </c>
      <c r="B336" s="11">
        <v>1.42080434782608E9</v>
      </c>
      <c r="C336" s="2">
        <v>-102.3121796</v>
      </c>
      <c r="D336" s="24">
        <f t="shared" si="1"/>
        <v>404347.8261</v>
      </c>
      <c r="E336" s="25">
        <f t="shared" si="2"/>
        <v>-86.31983642</v>
      </c>
      <c r="F336" s="24">
        <f t="shared" si="3"/>
        <v>0.0002134791653</v>
      </c>
      <c r="G336" s="24">
        <f t="shared" si="4"/>
        <v>0</v>
      </c>
      <c r="H336" s="26">
        <f t="shared" si="5"/>
        <v>0</v>
      </c>
      <c r="I336" s="24">
        <f t="shared" si="6"/>
        <v>0</v>
      </c>
      <c r="J336" s="24">
        <f t="shared" si="7"/>
        <v>0</v>
      </c>
      <c r="K336" s="24"/>
      <c r="L336" s="24">
        <f t="shared" si="8"/>
        <v>446.5686252</v>
      </c>
      <c r="M336" s="31">
        <f t="shared" si="9"/>
        <v>430.559391</v>
      </c>
      <c r="N336" s="27">
        <f t="shared" si="10"/>
        <v>16.00923421</v>
      </c>
      <c r="O336" s="24"/>
      <c r="P336" s="24"/>
      <c r="Q336" s="24"/>
      <c r="R336" s="26"/>
      <c r="S336" s="14">
        <f t="shared" si="13"/>
        <v>14.70121787</v>
      </c>
      <c r="U336" s="21"/>
      <c r="V336" s="21"/>
    </row>
    <row r="337">
      <c r="A337" s="11">
        <v>325.0</v>
      </c>
      <c r="B337" s="11">
        <v>1.42080869565217E9</v>
      </c>
      <c r="C337" s="2">
        <v>-102.326683</v>
      </c>
      <c r="D337" s="24">
        <f t="shared" si="1"/>
        <v>408695.6522</v>
      </c>
      <c r="E337" s="25">
        <f t="shared" si="2"/>
        <v>-87.23813255</v>
      </c>
      <c r="F337" s="24">
        <f t="shared" si="3"/>
        <v>0.0002134550052</v>
      </c>
      <c r="G337" s="24">
        <f t="shared" si="4"/>
        <v>0</v>
      </c>
      <c r="H337" s="26">
        <f t="shared" si="5"/>
        <v>0</v>
      </c>
      <c r="I337" s="24">
        <f t="shared" si="6"/>
        <v>0</v>
      </c>
      <c r="J337" s="24">
        <f t="shared" si="7"/>
        <v>0</v>
      </c>
      <c r="K337" s="24"/>
      <c r="L337" s="24">
        <f t="shared" si="8"/>
        <v>445.0797827</v>
      </c>
      <c r="M337" s="31">
        <f t="shared" si="9"/>
        <v>430.4840704</v>
      </c>
      <c r="N337" s="27">
        <f t="shared" si="10"/>
        <v>14.59571237</v>
      </c>
      <c r="O337" s="24"/>
      <c r="P337" s="24"/>
      <c r="Q337" s="24"/>
      <c r="R337" s="26"/>
      <c r="S337" s="14">
        <f t="shared" si="13"/>
        <v>13.4031862</v>
      </c>
      <c r="U337" s="21"/>
      <c r="V337" s="21"/>
    </row>
    <row r="338">
      <c r="A338" s="11">
        <v>326.0</v>
      </c>
      <c r="B338" s="11">
        <v>1.42081304347826E9</v>
      </c>
      <c r="C338" s="2">
        <v>-102.373497</v>
      </c>
      <c r="D338" s="24">
        <f t="shared" si="1"/>
        <v>413043.4783</v>
      </c>
      <c r="E338" s="25">
        <f t="shared" si="2"/>
        <v>-88.15642868</v>
      </c>
      <c r="F338" s="24">
        <f t="shared" si="3"/>
        <v>0.0002134313537</v>
      </c>
      <c r="G338" s="24">
        <f t="shared" si="4"/>
        <v>0</v>
      </c>
      <c r="H338" s="26">
        <f t="shared" si="5"/>
        <v>0</v>
      </c>
      <c r="I338" s="24">
        <f t="shared" si="6"/>
        <v>0</v>
      </c>
      <c r="J338" s="24">
        <f t="shared" si="7"/>
        <v>0</v>
      </c>
      <c r="K338" s="24"/>
      <c r="L338" s="24">
        <f t="shared" si="8"/>
        <v>440.3078896</v>
      </c>
      <c r="M338" s="31">
        <f t="shared" si="9"/>
        <v>430.4087077</v>
      </c>
      <c r="N338" s="27">
        <f t="shared" si="10"/>
        <v>9.899181883</v>
      </c>
      <c r="O338" s="24"/>
      <c r="P338" s="24"/>
      <c r="Q338" s="24"/>
      <c r="R338" s="26"/>
      <c r="S338" s="14">
        <f t="shared" si="13"/>
        <v>9.090380441</v>
      </c>
      <c r="U338" s="21"/>
      <c r="V338" s="21"/>
    </row>
    <row r="339">
      <c r="A339" s="11">
        <v>327.0</v>
      </c>
      <c r="B339" s="11">
        <v>1.42081739130434E9</v>
      </c>
      <c r="C339" s="2">
        <v>-102.3574524</v>
      </c>
      <c r="D339" s="24">
        <f t="shared" si="1"/>
        <v>417391.3043</v>
      </c>
      <c r="E339" s="25">
        <f t="shared" si="2"/>
        <v>-89.07472482</v>
      </c>
      <c r="F339" s="24">
        <f t="shared" si="3"/>
        <v>0.0002134081949</v>
      </c>
      <c r="G339" s="24">
        <f t="shared" si="4"/>
        <v>0</v>
      </c>
      <c r="H339" s="26">
        <f t="shared" si="5"/>
        <v>0</v>
      </c>
      <c r="I339" s="24">
        <f t="shared" si="6"/>
        <v>0</v>
      </c>
      <c r="J339" s="24">
        <f t="shared" si="7"/>
        <v>0</v>
      </c>
      <c r="K339" s="24"/>
      <c r="L339" s="24">
        <f t="shared" si="8"/>
        <v>441.9375741</v>
      </c>
      <c r="M339" s="31">
        <f t="shared" si="9"/>
        <v>430.3332998</v>
      </c>
      <c r="N339" s="27">
        <f t="shared" si="10"/>
        <v>11.60427429</v>
      </c>
      <c r="O339" s="24"/>
      <c r="P339" s="24"/>
      <c r="Q339" s="24"/>
      <c r="R339" s="26"/>
      <c r="S339" s="14">
        <f t="shared" si="13"/>
        <v>10.6561602</v>
      </c>
      <c r="U339" s="21"/>
      <c r="V339" s="21"/>
    </row>
    <row r="340">
      <c r="A340" s="11">
        <v>328.0</v>
      </c>
      <c r="B340" s="11">
        <v>1.42082173913043E9</v>
      </c>
      <c r="C340" s="2">
        <v>-102.3373642</v>
      </c>
      <c r="D340" s="24">
        <f t="shared" si="1"/>
        <v>421739.1304</v>
      </c>
      <c r="E340" s="25">
        <f t="shared" si="2"/>
        <v>-89.99302095</v>
      </c>
      <c r="F340" s="24">
        <f t="shared" si="3"/>
        <v>0.0002133855136</v>
      </c>
      <c r="G340" s="24">
        <f t="shared" si="4"/>
        <v>0</v>
      </c>
      <c r="H340" s="26">
        <f t="shared" si="5"/>
        <v>0</v>
      </c>
      <c r="I340" s="24">
        <f t="shared" si="6"/>
        <v>0</v>
      </c>
      <c r="J340" s="24">
        <f t="shared" si="7"/>
        <v>0</v>
      </c>
      <c r="K340" s="24"/>
      <c r="L340" s="24">
        <f t="shared" si="8"/>
        <v>443.986482</v>
      </c>
      <c r="M340" s="31">
        <f t="shared" si="9"/>
        <v>430.2578433</v>
      </c>
      <c r="N340" s="27">
        <f t="shared" si="10"/>
        <v>13.72863868</v>
      </c>
      <c r="O340" s="24"/>
      <c r="P340" s="24"/>
      <c r="Q340" s="24"/>
      <c r="R340" s="26"/>
      <c r="S340" s="14">
        <f t="shared" si="13"/>
        <v>12.60695578</v>
      </c>
      <c r="U340" s="21"/>
      <c r="V340" s="21"/>
    </row>
    <row r="341">
      <c r="A341" s="11">
        <v>329.0</v>
      </c>
      <c r="B341" s="11">
        <v>1.42082608695652E9</v>
      </c>
      <c r="C341" s="2">
        <v>-102.3765182</v>
      </c>
      <c r="D341" s="24">
        <f t="shared" si="1"/>
        <v>426086.9565</v>
      </c>
      <c r="E341" s="25">
        <f t="shared" si="2"/>
        <v>-90.91131708</v>
      </c>
      <c r="F341" s="24">
        <f t="shared" si="3"/>
        <v>0.0002133632952</v>
      </c>
      <c r="G341" s="24">
        <f t="shared" si="4"/>
        <v>0</v>
      </c>
      <c r="H341" s="26">
        <f t="shared" si="5"/>
        <v>0</v>
      </c>
      <c r="I341" s="24">
        <f t="shared" si="6"/>
        <v>0</v>
      </c>
      <c r="J341" s="24">
        <f t="shared" si="7"/>
        <v>0</v>
      </c>
      <c r="K341" s="24"/>
      <c r="L341" s="24">
        <f t="shared" si="8"/>
        <v>440.0016928</v>
      </c>
      <c r="M341" s="31">
        <f t="shared" si="9"/>
        <v>430.1823349</v>
      </c>
      <c r="N341" s="27">
        <f t="shared" si="10"/>
        <v>9.819357906</v>
      </c>
      <c r="O341" s="24"/>
      <c r="P341" s="24"/>
      <c r="Q341" s="24"/>
      <c r="R341" s="26"/>
      <c r="S341" s="14">
        <f t="shared" si="13"/>
        <v>9.017078391</v>
      </c>
      <c r="U341" s="21"/>
      <c r="V341" s="21"/>
    </row>
    <row r="342">
      <c r="A342" s="11">
        <v>330.0</v>
      </c>
      <c r="B342" s="11">
        <v>1.4208304347826E9</v>
      </c>
      <c r="C342" s="2">
        <v>-102.3546143</v>
      </c>
      <c r="D342" s="24">
        <f t="shared" si="1"/>
        <v>430434.7826</v>
      </c>
      <c r="E342" s="25">
        <f t="shared" si="2"/>
        <v>-91.82961321</v>
      </c>
      <c r="F342" s="24">
        <f t="shared" si="3"/>
        <v>0.0002133415256</v>
      </c>
      <c r="G342" s="24">
        <f t="shared" si="4"/>
        <v>0</v>
      </c>
      <c r="H342" s="26">
        <f t="shared" si="5"/>
        <v>0</v>
      </c>
      <c r="I342" s="24">
        <f t="shared" si="6"/>
        <v>0</v>
      </c>
      <c r="J342" s="24">
        <f t="shared" si="7"/>
        <v>0</v>
      </c>
      <c r="K342" s="24"/>
      <c r="L342" s="24">
        <f t="shared" si="8"/>
        <v>442.2264732</v>
      </c>
      <c r="M342" s="31">
        <f t="shared" si="9"/>
        <v>430.1067715</v>
      </c>
      <c r="N342" s="27">
        <f t="shared" si="10"/>
        <v>12.11970173</v>
      </c>
      <c r="O342" s="24"/>
      <c r="P342" s="24"/>
      <c r="Q342" s="24"/>
      <c r="R342" s="26"/>
      <c r="S342" s="14">
        <f t="shared" si="13"/>
        <v>11.12947523</v>
      </c>
      <c r="U342" s="21"/>
      <c r="V342" s="21"/>
    </row>
    <row r="343">
      <c r="A343" s="11">
        <v>331.0</v>
      </c>
      <c r="B343" s="11">
        <v>1.42083478260869E9</v>
      </c>
      <c r="C343" s="2">
        <v>-102.3826294</v>
      </c>
      <c r="D343" s="24">
        <f t="shared" si="1"/>
        <v>434782.6087</v>
      </c>
      <c r="E343" s="25">
        <f t="shared" si="2"/>
        <v>-92.74790935</v>
      </c>
      <c r="F343" s="24">
        <f t="shared" si="3"/>
        <v>0.0002133201915</v>
      </c>
      <c r="G343" s="24">
        <f t="shared" si="4"/>
        <v>0</v>
      </c>
      <c r="H343" s="26">
        <f t="shared" si="5"/>
        <v>0</v>
      </c>
      <c r="I343" s="24">
        <f t="shared" si="6"/>
        <v>0</v>
      </c>
      <c r="J343" s="24">
        <f t="shared" si="7"/>
        <v>0</v>
      </c>
      <c r="K343" s="24"/>
      <c r="L343" s="24">
        <f t="shared" si="8"/>
        <v>439.3829773</v>
      </c>
      <c r="M343" s="31">
        <f t="shared" si="9"/>
        <v>430.0311496</v>
      </c>
      <c r="N343" s="27">
        <f t="shared" si="10"/>
        <v>9.351827747</v>
      </c>
      <c r="O343" s="24"/>
      <c r="P343" s="24"/>
      <c r="Q343" s="24"/>
      <c r="R343" s="26"/>
      <c r="S343" s="14">
        <f t="shared" si="13"/>
        <v>8.587747255</v>
      </c>
      <c r="U343" s="21"/>
      <c r="V343" s="21"/>
    </row>
    <row r="344">
      <c r="A344" s="11">
        <v>332.0</v>
      </c>
      <c r="B344" s="11">
        <v>1.42083913043478E9</v>
      </c>
      <c r="C344" s="2">
        <v>-102.3702621</v>
      </c>
      <c r="D344" s="24">
        <f t="shared" si="1"/>
        <v>439130.4348</v>
      </c>
      <c r="E344" s="25">
        <f t="shared" si="2"/>
        <v>-93.66620548</v>
      </c>
      <c r="F344" s="24">
        <f t="shared" si="3"/>
        <v>0.0002132992798</v>
      </c>
      <c r="G344" s="24">
        <f t="shared" si="4"/>
        <v>0</v>
      </c>
      <c r="H344" s="26">
        <f t="shared" si="5"/>
        <v>0</v>
      </c>
      <c r="I344" s="24">
        <f t="shared" si="6"/>
        <v>0</v>
      </c>
      <c r="J344" s="24">
        <f t="shared" si="7"/>
        <v>0</v>
      </c>
      <c r="K344" s="24"/>
      <c r="L344" s="24">
        <f t="shared" si="8"/>
        <v>440.6359809</v>
      </c>
      <c r="M344" s="31">
        <f t="shared" si="9"/>
        <v>429.955466</v>
      </c>
      <c r="N344" s="27">
        <f t="shared" si="10"/>
        <v>10.68051494</v>
      </c>
      <c r="O344" s="24"/>
      <c r="P344" s="24"/>
      <c r="Q344" s="24"/>
      <c r="R344" s="26"/>
      <c r="S344" s="14">
        <f t="shared" si="13"/>
        <v>9.807875542</v>
      </c>
      <c r="U344" s="21"/>
      <c r="V344" s="21"/>
    </row>
    <row r="345">
      <c r="A345" s="11">
        <v>333.0</v>
      </c>
      <c r="B345" s="11">
        <v>1.42084347826087E9</v>
      </c>
      <c r="C345" s="2">
        <v>-102.3857193</v>
      </c>
      <c r="D345" s="24">
        <f t="shared" si="1"/>
        <v>443478.2609</v>
      </c>
      <c r="E345" s="25">
        <f t="shared" si="2"/>
        <v>-94.58450161</v>
      </c>
      <c r="F345" s="24">
        <f t="shared" si="3"/>
        <v>0.0002132787781</v>
      </c>
      <c r="G345" s="24">
        <f t="shared" si="4"/>
        <v>0</v>
      </c>
      <c r="H345" s="26">
        <f t="shared" si="5"/>
        <v>0</v>
      </c>
      <c r="I345" s="24">
        <f t="shared" si="6"/>
        <v>0</v>
      </c>
      <c r="J345" s="24">
        <f t="shared" si="7"/>
        <v>0</v>
      </c>
      <c r="K345" s="24"/>
      <c r="L345" s="24">
        <f t="shared" si="8"/>
        <v>439.0704782</v>
      </c>
      <c r="M345" s="31">
        <f t="shared" si="9"/>
        <v>429.8797175</v>
      </c>
      <c r="N345" s="27">
        <f t="shared" si="10"/>
        <v>9.190760716</v>
      </c>
      <c r="O345" s="24"/>
      <c r="P345" s="24"/>
      <c r="Q345" s="24"/>
      <c r="R345" s="26"/>
      <c r="S345" s="14">
        <f t="shared" si="13"/>
        <v>8.439840023</v>
      </c>
      <c r="U345" s="21"/>
      <c r="V345" s="21"/>
    </row>
    <row r="346">
      <c r="A346" s="11">
        <v>334.0</v>
      </c>
      <c r="B346" s="11">
        <v>1.42084782608695E9</v>
      </c>
      <c r="C346" s="2">
        <v>-102.4325256</v>
      </c>
      <c r="D346" s="24">
        <f t="shared" si="1"/>
        <v>447826.087</v>
      </c>
      <c r="E346" s="25">
        <f t="shared" si="2"/>
        <v>-95.50279774</v>
      </c>
      <c r="F346" s="24">
        <f t="shared" si="3"/>
        <v>0.0002132586746</v>
      </c>
      <c r="G346" s="24">
        <f t="shared" si="4"/>
        <v>0</v>
      </c>
      <c r="H346" s="26">
        <f t="shared" si="5"/>
        <v>0</v>
      </c>
      <c r="I346" s="24">
        <f t="shared" si="6"/>
        <v>0</v>
      </c>
      <c r="J346" s="24">
        <f t="shared" si="7"/>
        <v>0</v>
      </c>
      <c r="K346" s="24"/>
      <c r="L346" s="24">
        <f t="shared" si="8"/>
        <v>434.3637835</v>
      </c>
      <c r="M346" s="31">
        <f t="shared" si="9"/>
        <v>429.8039006</v>
      </c>
      <c r="N346" s="27">
        <f t="shared" si="10"/>
        <v>4.559882865</v>
      </c>
      <c r="O346" s="24"/>
      <c r="P346" s="24"/>
      <c r="Q346" s="24"/>
      <c r="R346" s="26"/>
      <c r="S346" s="14">
        <f t="shared" si="13"/>
        <v>4.187322801</v>
      </c>
      <c r="U346" s="21"/>
      <c r="V346" s="21"/>
    </row>
    <row r="347">
      <c r="A347" s="11">
        <v>335.0</v>
      </c>
      <c r="B347" s="11">
        <v>1.42085217391304E9</v>
      </c>
      <c r="C347" s="2">
        <v>-102.4299545</v>
      </c>
      <c r="D347" s="24">
        <f t="shared" si="1"/>
        <v>452173.913</v>
      </c>
      <c r="E347" s="25">
        <f t="shared" si="2"/>
        <v>-96.42109387</v>
      </c>
      <c r="F347" s="24">
        <f t="shared" si="3"/>
        <v>0.0002132389576</v>
      </c>
      <c r="G347" s="24">
        <f t="shared" si="4"/>
        <v>0</v>
      </c>
      <c r="H347" s="26">
        <f t="shared" si="5"/>
        <v>0</v>
      </c>
      <c r="I347" s="24">
        <f t="shared" si="6"/>
        <v>0</v>
      </c>
      <c r="J347" s="24">
        <f t="shared" si="7"/>
        <v>0</v>
      </c>
      <c r="K347" s="24"/>
      <c r="L347" s="24">
        <f t="shared" si="8"/>
        <v>434.6210107</v>
      </c>
      <c r="M347" s="31">
        <f t="shared" si="9"/>
        <v>429.7280123</v>
      </c>
      <c r="N347" s="27">
        <f t="shared" si="10"/>
        <v>4.892998372</v>
      </c>
      <c r="O347" s="24"/>
      <c r="P347" s="24"/>
      <c r="Q347" s="24"/>
      <c r="R347" s="26"/>
      <c r="S347" s="14">
        <f t="shared" si="13"/>
        <v>4.493221472</v>
      </c>
      <c r="U347" s="21"/>
      <c r="V347" s="21"/>
    </row>
    <row r="348">
      <c r="A348" s="11">
        <v>336.0</v>
      </c>
      <c r="B348" s="11">
        <v>1.42085652173913E9</v>
      </c>
      <c r="C348" s="2">
        <v>-102.4437561</v>
      </c>
      <c r="D348" s="24">
        <f t="shared" si="1"/>
        <v>456521.7391</v>
      </c>
      <c r="E348" s="25">
        <f t="shared" si="2"/>
        <v>-97.33939</v>
      </c>
      <c r="F348" s="24">
        <f t="shared" si="3"/>
        <v>0.0002132196162</v>
      </c>
      <c r="G348" s="24">
        <f t="shared" si="4"/>
        <v>0</v>
      </c>
      <c r="H348" s="26">
        <f t="shared" si="5"/>
        <v>0</v>
      </c>
      <c r="I348" s="24">
        <f t="shared" si="6"/>
        <v>0</v>
      </c>
      <c r="J348" s="24">
        <f t="shared" si="7"/>
        <v>0</v>
      </c>
      <c r="K348" s="24"/>
      <c r="L348" s="24">
        <f t="shared" si="8"/>
        <v>433.2420053</v>
      </c>
      <c r="M348" s="31">
        <f t="shared" si="9"/>
        <v>429.6520491</v>
      </c>
      <c r="N348" s="27">
        <f t="shared" si="10"/>
        <v>3.589956203</v>
      </c>
      <c r="O348" s="24"/>
      <c r="P348" s="24"/>
      <c r="Q348" s="24"/>
      <c r="R348" s="26"/>
      <c r="S348" s="14">
        <f t="shared" si="13"/>
        <v>3.296642898</v>
      </c>
      <c r="U348" s="21"/>
      <c r="V348" s="21"/>
    </row>
    <row r="349">
      <c r="A349" s="11">
        <v>337.0</v>
      </c>
      <c r="B349" s="11">
        <v>1.42086086956521E9</v>
      </c>
      <c r="C349" s="2">
        <v>-102.4563446</v>
      </c>
      <c r="D349" s="24">
        <f t="shared" si="1"/>
        <v>460869.5652</v>
      </c>
      <c r="E349" s="25">
        <f t="shared" si="2"/>
        <v>-98.25768614</v>
      </c>
      <c r="F349" s="24">
        <f t="shared" si="3"/>
        <v>0.0002132006397</v>
      </c>
      <c r="G349" s="24">
        <f t="shared" si="4"/>
        <v>0</v>
      </c>
      <c r="H349" s="26">
        <f t="shared" si="5"/>
        <v>0</v>
      </c>
      <c r="I349" s="24">
        <f t="shared" si="6"/>
        <v>0</v>
      </c>
      <c r="J349" s="24">
        <f t="shared" si="7"/>
        <v>0</v>
      </c>
      <c r="K349" s="24"/>
      <c r="L349" s="24">
        <f t="shared" si="8"/>
        <v>431.9880243</v>
      </c>
      <c r="M349" s="31">
        <f t="shared" si="9"/>
        <v>429.5760079</v>
      </c>
      <c r="N349" s="27">
        <f t="shared" si="10"/>
        <v>2.412016464</v>
      </c>
      <c r="O349" s="24"/>
      <c r="P349" s="24"/>
      <c r="Q349" s="24"/>
      <c r="R349" s="26"/>
      <c r="S349" s="14">
        <f t="shared" si="13"/>
        <v>2.214945391</v>
      </c>
      <c r="U349" s="21"/>
      <c r="V349" s="21"/>
    </row>
    <row r="350">
      <c r="A350" s="11">
        <v>338.0</v>
      </c>
      <c r="B350" s="11">
        <v>1.4208652173913E9</v>
      </c>
      <c r="C350" s="2">
        <v>-102.454071</v>
      </c>
      <c r="D350" s="24">
        <f t="shared" si="1"/>
        <v>465217.3913</v>
      </c>
      <c r="E350" s="25">
        <f t="shared" si="2"/>
        <v>-99.17598227</v>
      </c>
      <c r="F350" s="24">
        <f t="shared" si="3"/>
        <v>0.000213182018</v>
      </c>
      <c r="G350" s="24">
        <f t="shared" si="4"/>
        <v>0</v>
      </c>
      <c r="H350" s="26">
        <f t="shared" si="5"/>
        <v>0</v>
      </c>
      <c r="I350" s="24">
        <f t="shared" si="6"/>
        <v>0</v>
      </c>
      <c r="J350" s="24">
        <f t="shared" si="7"/>
        <v>0</v>
      </c>
      <c r="K350" s="24"/>
      <c r="L350" s="24">
        <f t="shared" si="8"/>
        <v>432.2142361</v>
      </c>
      <c r="M350" s="31">
        <f t="shared" si="9"/>
        <v>429.4998852</v>
      </c>
      <c r="N350" s="27">
        <f t="shared" si="10"/>
        <v>2.714350851</v>
      </c>
      <c r="O350" s="24"/>
      <c r="P350" s="24"/>
      <c r="Q350" s="24"/>
      <c r="R350" s="26"/>
      <c r="S350" s="14">
        <f t="shared" si="13"/>
        <v>2.492577884</v>
      </c>
      <c r="U350" s="21"/>
      <c r="V350" s="21"/>
    </row>
    <row r="351">
      <c r="A351" s="11">
        <v>339.0</v>
      </c>
      <c r="B351" s="11">
        <v>1.42086956521739E9</v>
      </c>
      <c r="C351" s="2">
        <v>-102.39991</v>
      </c>
      <c r="D351" s="24">
        <f t="shared" si="1"/>
        <v>469565.2174</v>
      </c>
      <c r="E351" s="25">
        <f t="shared" si="2"/>
        <v>-100.0942784</v>
      </c>
      <c r="F351" s="24">
        <f t="shared" si="3"/>
        <v>0.000213163741</v>
      </c>
      <c r="G351" s="24">
        <f t="shared" si="4"/>
        <v>0</v>
      </c>
      <c r="H351" s="26">
        <f t="shared" si="5"/>
        <v>0</v>
      </c>
      <c r="I351" s="24">
        <f t="shared" si="6"/>
        <v>0</v>
      </c>
      <c r="J351" s="24">
        <f t="shared" si="7"/>
        <v>0</v>
      </c>
      <c r="K351" s="24"/>
      <c r="L351" s="24">
        <f t="shared" si="8"/>
        <v>437.6381438</v>
      </c>
      <c r="M351" s="31">
        <f t="shared" si="9"/>
        <v>429.4236779</v>
      </c>
      <c r="N351" s="27">
        <f t="shared" si="10"/>
        <v>8.214465915</v>
      </c>
      <c r="O351" s="24"/>
      <c r="P351" s="24"/>
      <c r="Q351" s="24"/>
      <c r="R351" s="26"/>
      <c r="S351" s="14">
        <f t="shared" si="13"/>
        <v>7.543312282</v>
      </c>
      <c r="U351" s="21"/>
      <c r="V351" s="21"/>
    </row>
    <row r="352">
      <c r="A352" s="11">
        <v>340.0</v>
      </c>
      <c r="B352" s="11">
        <v>1.42087391304347E9</v>
      </c>
      <c r="C352" s="2">
        <v>-102.4333801</v>
      </c>
      <c r="D352" s="24">
        <f t="shared" si="1"/>
        <v>473913.0435</v>
      </c>
      <c r="E352" s="25">
        <f t="shared" si="2"/>
        <v>-101.0125745</v>
      </c>
      <c r="F352" s="24">
        <f t="shared" si="3"/>
        <v>0.0002131457995</v>
      </c>
      <c r="G352" s="24">
        <f t="shared" si="4"/>
        <v>0</v>
      </c>
      <c r="H352" s="26">
        <f t="shared" si="5"/>
        <v>0</v>
      </c>
      <c r="I352" s="24">
        <f t="shared" si="6"/>
        <v>0</v>
      </c>
      <c r="J352" s="24">
        <f t="shared" si="7"/>
        <v>0</v>
      </c>
      <c r="K352" s="24"/>
      <c r="L352" s="24">
        <f t="shared" si="8"/>
        <v>434.2783283</v>
      </c>
      <c r="M352" s="31">
        <f t="shared" si="9"/>
        <v>429.3473827</v>
      </c>
      <c r="N352" s="27">
        <f t="shared" si="10"/>
        <v>4.93094562</v>
      </c>
      <c r="O352" s="24"/>
      <c r="P352" s="24"/>
      <c r="Q352" s="24"/>
      <c r="R352" s="26"/>
      <c r="S352" s="14">
        <f t="shared" si="13"/>
        <v>4.528068294</v>
      </c>
      <c r="U352" s="21"/>
      <c r="V352" s="21"/>
    </row>
    <row r="353">
      <c r="A353" s="11">
        <v>341.0</v>
      </c>
      <c r="B353" s="11">
        <v>1.42087826086956E9</v>
      </c>
      <c r="C353" s="2">
        <v>-102.4583969</v>
      </c>
      <c r="D353" s="24">
        <f t="shared" si="1"/>
        <v>478260.8696</v>
      </c>
      <c r="E353" s="25">
        <f t="shared" si="2"/>
        <v>-101.9308707</v>
      </c>
      <c r="F353" s="24">
        <f t="shared" si="3"/>
        <v>0.0002131281841</v>
      </c>
      <c r="G353" s="24">
        <f t="shared" si="4"/>
        <v>0</v>
      </c>
      <c r="H353" s="26">
        <f t="shared" si="5"/>
        <v>0</v>
      </c>
      <c r="I353" s="24">
        <f t="shared" si="6"/>
        <v>0</v>
      </c>
      <c r="J353" s="24">
        <f t="shared" si="7"/>
        <v>0</v>
      </c>
      <c r="K353" s="24"/>
      <c r="L353" s="24">
        <f t="shared" si="8"/>
        <v>431.7839325</v>
      </c>
      <c r="M353" s="31">
        <f t="shared" si="9"/>
        <v>429.2709962</v>
      </c>
      <c r="N353" s="27">
        <f t="shared" si="10"/>
        <v>2.512936322</v>
      </c>
      <c r="O353" s="24"/>
      <c r="P353" s="24"/>
      <c r="Q353" s="24"/>
      <c r="R353" s="26"/>
      <c r="S353" s="14">
        <f t="shared" si="13"/>
        <v>2.307619701</v>
      </c>
      <c r="U353" s="21"/>
      <c r="V353" s="21"/>
    </row>
    <row r="354">
      <c r="A354" s="11">
        <v>342.0</v>
      </c>
      <c r="B354" s="11">
        <v>1.42088260869565E9</v>
      </c>
      <c r="C354" s="2">
        <v>-102.4444199</v>
      </c>
      <c r="D354" s="24">
        <f t="shared" si="1"/>
        <v>482608.6957</v>
      </c>
      <c r="E354" s="25">
        <f t="shared" si="2"/>
        <v>-102.8491668</v>
      </c>
      <c r="F354" s="24">
        <f t="shared" si="3"/>
        <v>0.0002131108862</v>
      </c>
      <c r="G354" s="24">
        <f t="shared" si="4"/>
        <v>0</v>
      </c>
      <c r="H354" s="26">
        <f t="shared" si="5"/>
        <v>0</v>
      </c>
      <c r="I354" s="24">
        <f t="shared" si="6"/>
        <v>0</v>
      </c>
      <c r="J354" s="24">
        <f t="shared" si="7"/>
        <v>0</v>
      </c>
      <c r="K354" s="24"/>
      <c r="L354" s="24">
        <f t="shared" si="8"/>
        <v>433.1757913</v>
      </c>
      <c r="M354" s="31">
        <f t="shared" si="9"/>
        <v>429.1945152</v>
      </c>
      <c r="N354" s="27">
        <f t="shared" si="10"/>
        <v>3.981276078</v>
      </c>
      <c r="O354" s="24"/>
      <c r="P354" s="24"/>
      <c r="Q354" s="24"/>
      <c r="R354" s="26"/>
      <c r="S354" s="14">
        <f t="shared" si="13"/>
        <v>3.655990426</v>
      </c>
      <c r="U354" s="21"/>
      <c r="V354" s="21"/>
    </row>
    <row r="355">
      <c r="A355" s="11">
        <v>343.0</v>
      </c>
      <c r="B355" s="11">
        <v>1.42088695652173E9</v>
      </c>
      <c r="C355" s="2">
        <v>-102.4189987</v>
      </c>
      <c r="D355" s="24">
        <f t="shared" si="1"/>
        <v>486956.5217</v>
      </c>
      <c r="E355" s="25">
        <f t="shared" si="2"/>
        <v>-103.7674629</v>
      </c>
      <c r="F355" s="24">
        <f t="shared" si="3"/>
        <v>0.0002130938971</v>
      </c>
      <c r="G355" s="24">
        <f t="shared" si="4"/>
        <v>0</v>
      </c>
      <c r="H355" s="26">
        <f t="shared" si="5"/>
        <v>0</v>
      </c>
      <c r="I355" s="24">
        <f t="shared" si="6"/>
        <v>0</v>
      </c>
      <c r="J355" s="24">
        <f t="shared" si="7"/>
        <v>0</v>
      </c>
      <c r="K355" s="24"/>
      <c r="L355" s="24">
        <f t="shared" si="8"/>
        <v>435.7187985</v>
      </c>
      <c r="M355" s="31">
        <f t="shared" si="9"/>
        <v>429.1179364</v>
      </c>
      <c r="N355" s="27">
        <f t="shared" si="10"/>
        <v>6.60086208</v>
      </c>
      <c r="O355" s="24"/>
      <c r="P355" s="24"/>
      <c r="Q355" s="24"/>
      <c r="R355" s="26"/>
      <c r="S355" s="14">
        <f t="shared" si="13"/>
        <v>6.061546121</v>
      </c>
      <c r="U355" s="21"/>
      <c r="V355" s="21"/>
    </row>
    <row r="356">
      <c r="A356" s="11">
        <v>344.0</v>
      </c>
      <c r="B356" s="11">
        <v>1.42089130434782E9</v>
      </c>
      <c r="C356" s="2">
        <v>-102.450676</v>
      </c>
      <c r="D356" s="24">
        <f t="shared" si="1"/>
        <v>491304.3478</v>
      </c>
      <c r="E356" s="25">
        <f t="shared" si="2"/>
        <v>-104.6857591</v>
      </c>
      <c r="F356" s="24">
        <f t="shared" si="3"/>
        <v>0.0002130772087</v>
      </c>
      <c r="G356" s="24">
        <f t="shared" si="4"/>
        <v>0</v>
      </c>
      <c r="H356" s="26">
        <f t="shared" si="5"/>
        <v>0</v>
      </c>
      <c r="I356" s="24">
        <f t="shared" si="6"/>
        <v>0</v>
      </c>
      <c r="J356" s="24">
        <f t="shared" si="7"/>
        <v>0</v>
      </c>
      <c r="K356" s="24"/>
      <c r="L356" s="24">
        <f t="shared" si="8"/>
        <v>432.552242</v>
      </c>
      <c r="M356" s="31">
        <f t="shared" si="9"/>
        <v>429.0412566</v>
      </c>
      <c r="N356" s="27">
        <f t="shared" si="10"/>
        <v>3.510985433</v>
      </c>
      <c r="O356" s="24"/>
      <c r="P356" s="24"/>
      <c r="Q356" s="24"/>
      <c r="R356" s="26"/>
      <c r="S356" s="14">
        <f t="shared" si="13"/>
        <v>3.224124346</v>
      </c>
      <c r="U356" s="21"/>
      <c r="V356" s="21"/>
    </row>
    <row r="357">
      <c r="A357" s="11">
        <v>345.0</v>
      </c>
      <c r="B357" s="11">
        <v>1.42089565217391E9</v>
      </c>
      <c r="C357" s="2">
        <v>-102.3779907</v>
      </c>
      <c r="D357" s="24">
        <f t="shared" si="1"/>
        <v>495652.1739</v>
      </c>
      <c r="E357" s="25">
        <f t="shared" si="2"/>
        <v>-105.6040552</v>
      </c>
      <c r="F357" s="24">
        <f t="shared" si="3"/>
        <v>0.0002130608131</v>
      </c>
      <c r="G357" s="24">
        <f t="shared" si="4"/>
        <v>0</v>
      </c>
      <c r="H357" s="26">
        <f t="shared" si="5"/>
        <v>0</v>
      </c>
      <c r="I357" s="24">
        <f t="shared" si="6"/>
        <v>0</v>
      </c>
      <c r="J357" s="24">
        <f t="shared" si="7"/>
        <v>0</v>
      </c>
      <c r="K357" s="24"/>
      <c r="L357" s="24">
        <f t="shared" si="8"/>
        <v>439.8525331</v>
      </c>
      <c r="M357" s="31">
        <f t="shared" si="9"/>
        <v>428.9644724</v>
      </c>
      <c r="N357" s="27">
        <f t="shared" si="10"/>
        <v>10.88806072</v>
      </c>
      <c r="O357" s="24"/>
      <c r="P357" s="24"/>
      <c r="Q357" s="24"/>
      <c r="R357" s="26"/>
      <c r="S357" s="14">
        <f t="shared" si="13"/>
        <v>9.998464033</v>
      </c>
      <c r="U357" s="21"/>
      <c r="V357" s="21"/>
    </row>
    <row r="358">
      <c r="A358" s="11">
        <v>346.0</v>
      </c>
      <c r="B358" s="11">
        <v>1.4209E9</v>
      </c>
      <c r="C358" s="2">
        <v>-102.4723816</v>
      </c>
      <c r="D358" s="24">
        <f t="shared" si="1"/>
        <v>500000</v>
      </c>
      <c r="E358" s="25">
        <f t="shared" si="2"/>
        <v>-106.5223513</v>
      </c>
      <c r="F358" s="24">
        <f t="shared" si="3"/>
        <v>0.0002130447027</v>
      </c>
      <c r="G358" s="24">
        <f t="shared" si="4"/>
        <v>0</v>
      </c>
      <c r="H358" s="26">
        <f t="shared" si="5"/>
        <v>0</v>
      </c>
      <c r="I358" s="24">
        <f t="shared" si="6"/>
        <v>0</v>
      </c>
      <c r="J358" s="24">
        <f t="shared" si="7"/>
        <v>0</v>
      </c>
      <c r="K358" s="24"/>
      <c r="L358" s="24">
        <f t="shared" si="8"/>
        <v>430.3957829</v>
      </c>
      <c r="M358" s="31">
        <f t="shared" si="9"/>
        <v>428.8875805</v>
      </c>
      <c r="N358" s="27">
        <f t="shared" si="10"/>
        <v>1.508202391</v>
      </c>
      <c r="O358" s="24"/>
      <c r="P358" s="24"/>
      <c r="Q358" s="24"/>
      <c r="R358" s="26"/>
      <c r="S358" s="14">
        <f t="shared" si="13"/>
        <v>1.384976423</v>
      </c>
      <c r="U358" s="21"/>
      <c r="V358" s="21"/>
    </row>
    <row r="359">
      <c r="A359" s="11">
        <v>347.0</v>
      </c>
      <c r="B359" s="11">
        <v>1.42090434782608E9</v>
      </c>
      <c r="C359" s="2">
        <v>-102.4192047</v>
      </c>
      <c r="D359" s="24">
        <f t="shared" si="1"/>
        <v>504347.8261</v>
      </c>
      <c r="E359" s="25">
        <f t="shared" si="2"/>
        <v>-107.4406475</v>
      </c>
      <c r="F359" s="24">
        <f t="shared" si="3"/>
        <v>0.00021302887</v>
      </c>
      <c r="G359" s="24">
        <f t="shared" si="4"/>
        <v>0</v>
      </c>
      <c r="H359" s="26">
        <f t="shared" si="5"/>
        <v>0</v>
      </c>
      <c r="I359" s="24">
        <f t="shared" si="6"/>
        <v>0</v>
      </c>
      <c r="J359" s="24">
        <f t="shared" si="7"/>
        <v>0</v>
      </c>
      <c r="K359" s="24"/>
      <c r="L359" s="24">
        <f t="shared" si="8"/>
        <v>435.6981314</v>
      </c>
      <c r="M359" s="31">
        <f t="shared" si="9"/>
        <v>428.8105778</v>
      </c>
      <c r="N359" s="27">
        <f t="shared" si="10"/>
        <v>6.887553669</v>
      </c>
      <c r="O359" s="24"/>
      <c r="P359" s="24"/>
      <c r="Q359" s="24"/>
      <c r="R359" s="26"/>
      <c r="S359" s="14">
        <f t="shared" si="13"/>
        <v>6.324813899</v>
      </c>
      <c r="U359" s="21"/>
      <c r="V359" s="21"/>
    </row>
    <row r="360">
      <c r="A360" s="11">
        <v>348.0</v>
      </c>
      <c r="B360" s="11">
        <v>1.42090869565217E9</v>
      </c>
      <c r="C360" s="2">
        <v>-102.4389496</v>
      </c>
      <c r="D360" s="24">
        <f t="shared" si="1"/>
        <v>508695.6522</v>
      </c>
      <c r="E360" s="25">
        <f t="shared" si="2"/>
        <v>-108.3589436</v>
      </c>
      <c r="F360" s="24">
        <f t="shared" si="3"/>
        <v>0.0002130133079</v>
      </c>
      <c r="G360" s="24">
        <f t="shared" si="4"/>
        <v>0</v>
      </c>
      <c r="H360" s="26">
        <f t="shared" si="5"/>
        <v>0</v>
      </c>
      <c r="I360" s="24">
        <f t="shared" si="6"/>
        <v>0</v>
      </c>
      <c r="J360" s="24">
        <f t="shared" si="7"/>
        <v>0</v>
      </c>
      <c r="K360" s="24"/>
      <c r="L360" s="24">
        <f t="shared" si="8"/>
        <v>433.721756</v>
      </c>
      <c r="M360" s="31">
        <f t="shared" si="9"/>
        <v>428.7334608</v>
      </c>
      <c r="N360" s="27">
        <f t="shared" si="10"/>
        <v>4.988295161</v>
      </c>
      <c r="O360" s="24"/>
      <c r="P360" s="24"/>
      <c r="Q360" s="24"/>
      <c r="R360" s="26"/>
      <c r="S360" s="14">
        <f t="shared" si="13"/>
        <v>4.580732145</v>
      </c>
      <c r="U360" s="21"/>
      <c r="V360" s="21"/>
    </row>
    <row r="361">
      <c r="A361" s="11">
        <v>349.0</v>
      </c>
      <c r="B361" s="11">
        <v>1.42091304347826E9</v>
      </c>
      <c r="C361" s="2">
        <v>-102.4516525</v>
      </c>
      <c r="D361" s="24">
        <f t="shared" si="1"/>
        <v>513043.4783</v>
      </c>
      <c r="E361" s="25">
        <f t="shared" si="2"/>
        <v>-109.2772397</v>
      </c>
      <c r="F361" s="24">
        <f t="shared" si="3"/>
        <v>0.0002129980096</v>
      </c>
      <c r="G361" s="24">
        <f t="shared" si="4"/>
        <v>0</v>
      </c>
      <c r="H361" s="26">
        <f t="shared" si="5"/>
        <v>0</v>
      </c>
      <c r="I361" s="24">
        <f t="shared" si="6"/>
        <v>0</v>
      </c>
      <c r="J361" s="24">
        <f t="shared" si="7"/>
        <v>0</v>
      </c>
      <c r="K361" s="24"/>
      <c r="L361" s="24">
        <f t="shared" si="8"/>
        <v>432.4549947</v>
      </c>
      <c r="M361" s="31">
        <f t="shared" si="9"/>
        <v>428.6562264</v>
      </c>
      <c r="N361" s="27">
        <f t="shared" si="10"/>
        <v>3.798768303</v>
      </c>
      <c r="O361" s="24"/>
      <c r="P361" s="24"/>
      <c r="Q361" s="24"/>
      <c r="R361" s="26"/>
      <c r="S361" s="14">
        <f t="shared" si="13"/>
        <v>3.488394242</v>
      </c>
      <c r="U361" s="21"/>
      <c r="V361" s="21"/>
    </row>
    <row r="362">
      <c r="A362" s="11">
        <v>350.0</v>
      </c>
      <c r="B362" s="11">
        <v>1.42091739130434E9</v>
      </c>
      <c r="C362" s="2">
        <v>-102.4363251</v>
      </c>
      <c r="D362" s="24">
        <f t="shared" si="1"/>
        <v>517391.3043</v>
      </c>
      <c r="E362" s="25">
        <f t="shared" si="2"/>
        <v>-110.1955359</v>
      </c>
      <c r="F362" s="24">
        <f t="shared" si="3"/>
        <v>0.0002129829685</v>
      </c>
      <c r="G362" s="24">
        <f t="shared" si="4"/>
        <v>0</v>
      </c>
      <c r="H362" s="26">
        <f t="shared" si="5"/>
        <v>0</v>
      </c>
      <c r="I362" s="24">
        <f t="shared" si="6"/>
        <v>0</v>
      </c>
      <c r="J362" s="24">
        <f t="shared" si="7"/>
        <v>0</v>
      </c>
      <c r="K362" s="24"/>
      <c r="L362" s="24">
        <f t="shared" si="8"/>
        <v>433.9839391</v>
      </c>
      <c r="M362" s="31">
        <f t="shared" si="9"/>
        <v>428.5788712</v>
      </c>
      <c r="N362" s="27">
        <f t="shared" si="10"/>
        <v>5.405067902</v>
      </c>
      <c r="O362" s="24"/>
      <c r="P362" s="24"/>
      <c r="Q362" s="24"/>
      <c r="R362" s="26"/>
      <c r="S362" s="14">
        <f t="shared" si="13"/>
        <v>4.963452952</v>
      </c>
      <c r="U362" s="21"/>
      <c r="V362" s="21"/>
    </row>
    <row r="363">
      <c r="A363" s="11">
        <v>351.0</v>
      </c>
      <c r="B363" s="11">
        <v>1.42092173913043E9</v>
      </c>
      <c r="C363" s="2">
        <v>-102.4348831</v>
      </c>
      <c r="D363" s="24">
        <f t="shared" si="1"/>
        <v>521739.1304</v>
      </c>
      <c r="E363" s="25">
        <f t="shared" si="2"/>
        <v>-111.113832</v>
      </c>
      <c r="F363" s="24">
        <f t="shared" si="3"/>
        <v>0.000212968178</v>
      </c>
      <c r="G363" s="24">
        <f t="shared" si="4"/>
        <v>0</v>
      </c>
      <c r="H363" s="26">
        <f t="shared" si="5"/>
        <v>0</v>
      </c>
      <c r="I363" s="24">
        <f t="shared" si="6"/>
        <v>0</v>
      </c>
      <c r="J363" s="24">
        <f t="shared" si="7"/>
        <v>0</v>
      </c>
      <c r="K363" s="24"/>
      <c r="L363" s="24">
        <f t="shared" si="8"/>
        <v>434.1280599</v>
      </c>
      <c r="M363" s="31">
        <f t="shared" si="9"/>
        <v>428.5013919</v>
      </c>
      <c r="N363" s="27">
        <f t="shared" si="10"/>
        <v>5.626667957</v>
      </c>
      <c r="O363" s="24"/>
      <c r="P363" s="24"/>
      <c r="Q363" s="24"/>
      <c r="R363" s="26"/>
      <c r="S363" s="14">
        <f t="shared" si="13"/>
        <v>5.166947414</v>
      </c>
      <c r="U363" s="21"/>
      <c r="V363" s="21"/>
    </row>
    <row r="364">
      <c r="A364" s="11">
        <v>352.0</v>
      </c>
      <c r="B364" s="11">
        <v>1.42092608695652E9</v>
      </c>
      <c r="C364" s="2">
        <v>-102.4998703</v>
      </c>
      <c r="D364" s="24">
        <f t="shared" si="1"/>
        <v>526086.9565</v>
      </c>
      <c r="E364" s="25">
        <f t="shared" si="2"/>
        <v>-112.0321281</v>
      </c>
      <c r="F364" s="24">
        <f t="shared" si="3"/>
        <v>0.000212953632</v>
      </c>
      <c r="G364" s="24">
        <f t="shared" si="4"/>
        <v>0</v>
      </c>
      <c r="H364" s="26">
        <f t="shared" si="5"/>
        <v>0</v>
      </c>
      <c r="I364" s="24">
        <f t="shared" si="6"/>
        <v>0</v>
      </c>
      <c r="J364" s="24">
        <f t="shared" si="7"/>
        <v>0</v>
      </c>
      <c r="K364" s="24"/>
      <c r="L364" s="24">
        <f t="shared" si="8"/>
        <v>427.680193</v>
      </c>
      <c r="M364" s="31">
        <f t="shared" si="9"/>
        <v>428.4237854</v>
      </c>
      <c r="N364" s="27">
        <f t="shared" si="10"/>
        <v>-0.7435923712</v>
      </c>
      <c r="O364" s="24"/>
      <c r="P364" s="24"/>
      <c r="Q364" s="24"/>
      <c r="R364" s="26"/>
      <c r="S364" s="14">
        <f t="shared" si="13"/>
        <v>-0.6828379989</v>
      </c>
      <c r="U364" s="21"/>
      <c r="V364" s="21"/>
    </row>
    <row r="365">
      <c r="A365" s="11">
        <v>353.0</v>
      </c>
      <c r="B365" s="11">
        <v>1.4209304347826E9</v>
      </c>
      <c r="C365" s="2">
        <v>-102.4922867</v>
      </c>
      <c r="D365" s="24">
        <f t="shared" si="1"/>
        <v>530434.7826</v>
      </c>
      <c r="E365" s="25">
        <f t="shared" si="2"/>
        <v>-112.9504243</v>
      </c>
      <c r="F365" s="24">
        <f t="shared" si="3"/>
        <v>0.0002129393244</v>
      </c>
      <c r="G365" s="24">
        <f t="shared" si="4"/>
        <v>0</v>
      </c>
      <c r="H365" s="26">
        <f t="shared" si="5"/>
        <v>0</v>
      </c>
      <c r="I365" s="24">
        <f t="shared" si="6"/>
        <v>0</v>
      </c>
      <c r="J365" s="24">
        <f t="shared" si="7"/>
        <v>0</v>
      </c>
      <c r="K365" s="24"/>
      <c r="L365" s="24">
        <f t="shared" si="8"/>
        <v>428.4276556</v>
      </c>
      <c r="M365" s="31">
        <f t="shared" si="9"/>
        <v>428.3460482</v>
      </c>
      <c r="N365" s="27">
        <f t="shared" si="10"/>
        <v>0.08160742179</v>
      </c>
      <c r="O365" s="24"/>
      <c r="P365" s="24"/>
      <c r="Q365" s="24"/>
      <c r="R365" s="26"/>
      <c r="S365" s="14">
        <f t="shared" si="13"/>
        <v>0.07493977984</v>
      </c>
      <c r="U365" s="21"/>
      <c r="V365" s="21"/>
    </row>
    <row r="366">
      <c r="A366" s="11">
        <v>354.0</v>
      </c>
      <c r="B366" s="11">
        <v>1.42093478260869E9</v>
      </c>
      <c r="C366" s="2">
        <v>-102.4626846</v>
      </c>
      <c r="D366" s="24">
        <f t="shared" si="1"/>
        <v>534782.6087</v>
      </c>
      <c r="E366" s="25">
        <f t="shared" si="2"/>
        <v>-113.8687204</v>
      </c>
      <c r="F366" s="24">
        <f t="shared" si="3"/>
        <v>0.0002129252495</v>
      </c>
      <c r="G366" s="24">
        <f t="shared" si="4"/>
        <v>0</v>
      </c>
      <c r="H366" s="26">
        <f t="shared" si="5"/>
        <v>0</v>
      </c>
      <c r="I366" s="24">
        <f t="shared" si="6"/>
        <v>0</v>
      </c>
      <c r="J366" s="24">
        <f t="shared" si="7"/>
        <v>0</v>
      </c>
      <c r="K366" s="24"/>
      <c r="L366" s="24">
        <f t="shared" si="8"/>
        <v>431.3578515</v>
      </c>
      <c r="M366" s="31">
        <f t="shared" si="9"/>
        <v>428.2681771</v>
      </c>
      <c r="N366" s="27">
        <f t="shared" si="10"/>
        <v>3.089674361</v>
      </c>
      <c r="O366" s="24"/>
      <c r="P366" s="24"/>
      <c r="Q366" s="24"/>
      <c r="R366" s="26"/>
      <c r="S366" s="14">
        <f t="shared" si="13"/>
        <v>2.837236017</v>
      </c>
      <c r="U366" s="21"/>
      <c r="V366" s="21"/>
    </row>
    <row r="367">
      <c r="A367" s="11">
        <v>355.0</v>
      </c>
      <c r="B367" s="11">
        <v>1.42093913043478E9</v>
      </c>
      <c r="C367" s="2">
        <v>-102.4787369</v>
      </c>
      <c r="D367" s="24">
        <f t="shared" si="1"/>
        <v>539130.4348</v>
      </c>
      <c r="E367" s="25">
        <f t="shared" si="2"/>
        <v>-114.7870165</v>
      </c>
      <c r="F367" s="24">
        <f t="shared" si="3"/>
        <v>0.0002129114016</v>
      </c>
      <c r="G367" s="24">
        <f t="shared" si="4"/>
        <v>0</v>
      </c>
      <c r="H367" s="26">
        <f t="shared" si="5"/>
        <v>0</v>
      </c>
      <c r="I367" s="24">
        <f t="shared" si="6"/>
        <v>0</v>
      </c>
      <c r="J367" s="24">
        <f t="shared" si="7"/>
        <v>0</v>
      </c>
      <c r="K367" s="24"/>
      <c r="L367" s="24">
        <f t="shared" si="8"/>
        <v>429.7664187</v>
      </c>
      <c r="M367" s="31">
        <f t="shared" si="9"/>
        <v>428.1901689</v>
      </c>
      <c r="N367" s="27">
        <f t="shared" si="10"/>
        <v>1.576249824</v>
      </c>
      <c r="O367" s="24"/>
      <c r="P367" s="24"/>
      <c r="Q367" s="24"/>
      <c r="R367" s="26"/>
      <c r="S367" s="14">
        <f t="shared" si="13"/>
        <v>1.447464114</v>
      </c>
      <c r="U367" s="21"/>
      <c r="V367" s="21"/>
    </row>
    <row r="368">
      <c r="A368" s="11">
        <v>356.0</v>
      </c>
      <c r="B368" s="11">
        <v>1.42094347826087E9</v>
      </c>
      <c r="C368" s="2">
        <v>-102.4477997</v>
      </c>
      <c r="D368" s="24">
        <f t="shared" si="1"/>
        <v>543478.2609</v>
      </c>
      <c r="E368" s="25">
        <f t="shared" si="2"/>
        <v>-115.7053126</v>
      </c>
      <c r="F368" s="24">
        <f t="shared" si="3"/>
        <v>0.0002128977753</v>
      </c>
      <c r="G368" s="24">
        <f t="shared" si="4"/>
        <v>0</v>
      </c>
      <c r="H368" s="26">
        <f t="shared" si="5"/>
        <v>0</v>
      </c>
      <c r="I368" s="24">
        <f t="shared" si="6"/>
        <v>0</v>
      </c>
      <c r="J368" s="24">
        <f t="shared" si="7"/>
        <v>0</v>
      </c>
      <c r="K368" s="24"/>
      <c r="L368" s="24">
        <f t="shared" si="8"/>
        <v>432.838813</v>
      </c>
      <c r="M368" s="31">
        <f t="shared" si="9"/>
        <v>428.1120202</v>
      </c>
      <c r="N368" s="27">
        <f t="shared" si="10"/>
        <v>4.726792795</v>
      </c>
      <c r="O368" s="24"/>
      <c r="P368" s="24"/>
      <c r="Q368" s="24"/>
      <c r="R368" s="26"/>
      <c r="S368" s="14">
        <f t="shared" si="13"/>
        <v>4.340595544</v>
      </c>
      <c r="U368" s="21"/>
      <c r="V368" s="21"/>
    </row>
    <row r="369">
      <c r="A369" s="11">
        <v>357.0</v>
      </c>
      <c r="B369" s="11">
        <v>1.42094782608695E9</v>
      </c>
      <c r="C369" s="2">
        <v>-102.4822464</v>
      </c>
      <c r="D369" s="24">
        <f t="shared" si="1"/>
        <v>547826.087</v>
      </c>
      <c r="E369" s="25">
        <f t="shared" si="2"/>
        <v>-116.6236088</v>
      </c>
      <c r="F369" s="24">
        <f t="shared" si="3"/>
        <v>0.0002128843652</v>
      </c>
      <c r="G369" s="24">
        <f t="shared" si="4"/>
        <v>0</v>
      </c>
      <c r="H369" s="26">
        <f t="shared" si="5"/>
        <v>0</v>
      </c>
      <c r="I369" s="24">
        <f t="shared" si="6"/>
        <v>0</v>
      </c>
      <c r="J369" s="24">
        <f t="shared" si="7"/>
        <v>0</v>
      </c>
      <c r="K369" s="24"/>
      <c r="L369" s="24">
        <f t="shared" si="8"/>
        <v>429.4192681</v>
      </c>
      <c r="M369" s="31">
        <f t="shared" si="9"/>
        <v>428.0337278</v>
      </c>
      <c r="N369" s="27">
        <f t="shared" si="10"/>
        <v>1.385540296</v>
      </c>
      <c r="O369" s="24"/>
      <c r="P369" s="24"/>
      <c r="Q369" s="24"/>
      <c r="R369" s="26"/>
      <c r="S369" s="14">
        <f t="shared" si="13"/>
        <v>1.272336296</v>
      </c>
      <c r="U369" s="21"/>
      <c r="V369" s="21"/>
    </row>
    <row r="370">
      <c r="A370" s="11">
        <v>358.0</v>
      </c>
      <c r="B370" s="11">
        <v>1.42095217391304E9</v>
      </c>
      <c r="C370" s="2">
        <v>-102.5426788</v>
      </c>
      <c r="D370" s="24">
        <f t="shared" si="1"/>
        <v>552173.913</v>
      </c>
      <c r="E370" s="25">
        <f t="shared" si="2"/>
        <v>-117.5419049</v>
      </c>
      <c r="F370" s="24">
        <f t="shared" si="3"/>
        <v>0.0002128711664</v>
      </c>
      <c r="G370" s="24">
        <f t="shared" si="4"/>
        <v>0</v>
      </c>
      <c r="H370" s="26">
        <f t="shared" si="5"/>
        <v>0</v>
      </c>
      <c r="I370" s="24">
        <f t="shared" si="6"/>
        <v>0</v>
      </c>
      <c r="J370" s="24">
        <f t="shared" si="7"/>
        <v>0</v>
      </c>
      <c r="K370" s="24"/>
      <c r="L370" s="24">
        <f t="shared" si="8"/>
        <v>423.485249</v>
      </c>
      <c r="M370" s="31">
        <f t="shared" si="9"/>
        <v>427.9552884</v>
      </c>
      <c r="N370" s="27">
        <f t="shared" si="10"/>
        <v>-4.470039404</v>
      </c>
      <c r="O370" s="24"/>
      <c r="P370" s="24"/>
      <c r="Q370" s="24"/>
      <c r="R370" s="26"/>
      <c r="S370" s="14">
        <f t="shared" si="13"/>
        <v>-4.104819889</v>
      </c>
      <c r="U370" s="21"/>
      <c r="V370" s="21"/>
    </row>
    <row r="371">
      <c r="A371" s="11">
        <v>359.0</v>
      </c>
      <c r="B371" s="11">
        <v>1.42095652173913E9</v>
      </c>
      <c r="C371" s="2">
        <v>-102.5018921</v>
      </c>
      <c r="D371" s="24">
        <f t="shared" si="1"/>
        <v>556521.7391</v>
      </c>
      <c r="E371" s="25">
        <f t="shared" si="2"/>
        <v>-118.460201</v>
      </c>
      <c r="F371" s="24">
        <f t="shared" si="3"/>
        <v>0.0002128581738</v>
      </c>
      <c r="G371" s="24">
        <f t="shared" si="4"/>
        <v>0</v>
      </c>
      <c r="H371" s="26">
        <f t="shared" si="5"/>
        <v>0</v>
      </c>
      <c r="I371" s="24">
        <f t="shared" si="6"/>
        <v>0</v>
      </c>
      <c r="J371" s="24">
        <f t="shared" si="7"/>
        <v>0</v>
      </c>
      <c r="K371" s="24"/>
      <c r="L371" s="24">
        <f t="shared" si="8"/>
        <v>427.4811385</v>
      </c>
      <c r="M371" s="31">
        <f t="shared" si="9"/>
        <v>427.8766986</v>
      </c>
      <c r="N371" s="27">
        <f t="shared" si="10"/>
        <v>-0.3955601269</v>
      </c>
      <c r="O371" s="24"/>
      <c r="P371" s="24"/>
      <c r="Q371" s="24"/>
      <c r="R371" s="26"/>
      <c r="S371" s="14">
        <f t="shared" si="13"/>
        <v>-0.3632413348</v>
      </c>
      <c r="U371" s="21"/>
      <c r="V371" s="21"/>
    </row>
    <row r="372">
      <c r="A372" s="11">
        <v>360.0</v>
      </c>
      <c r="B372" s="11">
        <v>1.42096086956521E9</v>
      </c>
      <c r="C372" s="2">
        <v>-102.4895172</v>
      </c>
      <c r="D372" s="24">
        <f t="shared" si="1"/>
        <v>560869.5652</v>
      </c>
      <c r="E372" s="25">
        <f t="shared" si="2"/>
        <v>-119.3784972</v>
      </c>
      <c r="F372" s="24">
        <f t="shared" si="3"/>
        <v>0.0002128453826</v>
      </c>
      <c r="G372" s="24">
        <f t="shared" si="4"/>
        <v>0</v>
      </c>
      <c r="H372" s="26">
        <f t="shared" si="5"/>
        <v>0</v>
      </c>
      <c r="I372" s="24">
        <f t="shared" si="6"/>
        <v>0</v>
      </c>
      <c r="J372" s="24">
        <f t="shared" si="7"/>
        <v>0</v>
      </c>
      <c r="K372" s="24"/>
      <c r="L372" s="24">
        <f t="shared" si="8"/>
        <v>428.7009515</v>
      </c>
      <c r="M372" s="31">
        <f t="shared" si="9"/>
        <v>427.7979553</v>
      </c>
      <c r="N372" s="27">
        <f t="shared" si="10"/>
        <v>0.9029961162</v>
      </c>
      <c r="O372" s="24"/>
      <c r="P372" s="24"/>
      <c r="Q372" s="24"/>
      <c r="R372" s="26"/>
      <c r="S372" s="14">
        <f t="shared" si="13"/>
        <v>0.8292178414</v>
      </c>
      <c r="U372" s="21"/>
      <c r="V372" s="21"/>
    </row>
    <row r="373">
      <c r="A373" s="11">
        <v>361.0</v>
      </c>
      <c r="B373" s="11">
        <v>1.4209652173913E9</v>
      </c>
      <c r="C373" s="2">
        <v>-102.479248</v>
      </c>
      <c r="D373" s="24">
        <f t="shared" si="1"/>
        <v>565217.3913</v>
      </c>
      <c r="E373" s="25">
        <f t="shared" si="2"/>
        <v>-120.2967933</v>
      </c>
      <c r="F373" s="24">
        <f t="shared" si="3"/>
        <v>0.0002128327882</v>
      </c>
      <c r="G373" s="24">
        <f t="shared" si="4"/>
        <v>0</v>
      </c>
      <c r="H373" s="26">
        <f t="shared" si="5"/>
        <v>0</v>
      </c>
      <c r="I373" s="24">
        <f t="shared" si="6"/>
        <v>0</v>
      </c>
      <c r="J373" s="24">
        <f t="shared" si="7"/>
        <v>0</v>
      </c>
      <c r="K373" s="24"/>
      <c r="L373" s="24">
        <f t="shared" si="8"/>
        <v>429.7158446</v>
      </c>
      <c r="M373" s="31">
        <f t="shared" si="9"/>
        <v>427.7190552</v>
      </c>
      <c r="N373" s="27">
        <f t="shared" si="10"/>
        <v>1.996789401</v>
      </c>
      <c r="O373" s="24"/>
      <c r="P373" s="24"/>
      <c r="Q373" s="24"/>
      <c r="R373" s="26"/>
      <c r="S373" s="14">
        <f t="shared" si="13"/>
        <v>1.833643981</v>
      </c>
      <c r="U373" s="21"/>
      <c r="V373" s="21"/>
    </row>
    <row r="374">
      <c r="A374" s="11">
        <v>362.0</v>
      </c>
      <c r="B374" s="11">
        <v>1.42096956521739E9</v>
      </c>
      <c r="C374" s="2">
        <v>-102.4585419</v>
      </c>
      <c r="D374" s="24">
        <f t="shared" si="1"/>
        <v>569565.2174</v>
      </c>
      <c r="E374" s="25">
        <f t="shared" si="2"/>
        <v>-121.2150894</v>
      </c>
      <c r="F374" s="24">
        <f t="shared" si="3"/>
        <v>0.000212820386</v>
      </c>
      <c r="G374" s="24">
        <f t="shared" si="4"/>
        <v>0</v>
      </c>
      <c r="H374" s="26">
        <f t="shared" si="5"/>
        <v>0</v>
      </c>
      <c r="I374" s="24">
        <f t="shared" si="6"/>
        <v>0</v>
      </c>
      <c r="J374" s="24">
        <f t="shared" si="7"/>
        <v>0</v>
      </c>
      <c r="K374" s="24"/>
      <c r="L374" s="24">
        <f t="shared" si="8"/>
        <v>431.7695166</v>
      </c>
      <c r="M374" s="31">
        <f t="shared" si="9"/>
        <v>427.6399949</v>
      </c>
      <c r="N374" s="27">
        <f t="shared" si="10"/>
        <v>4.129521693</v>
      </c>
      <c r="O374" s="24"/>
      <c r="P374" s="24"/>
      <c r="Q374" s="24"/>
      <c r="R374" s="26"/>
      <c r="S374" s="14">
        <f t="shared" si="13"/>
        <v>3.792123801</v>
      </c>
    </row>
    <row r="375">
      <c r="A375" s="11">
        <v>363.0</v>
      </c>
      <c r="B375" s="11">
        <v>1.42097391304347E9</v>
      </c>
      <c r="C375" s="2">
        <v>-102.483963</v>
      </c>
      <c r="D375" s="24">
        <f t="shared" si="1"/>
        <v>573913.0435</v>
      </c>
      <c r="E375" s="25">
        <f t="shared" si="2"/>
        <v>-122.1333856</v>
      </c>
      <c r="F375" s="24">
        <f t="shared" si="3"/>
        <v>0.0002128081718</v>
      </c>
      <c r="G375" s="24">
        <f t="shared" si="4"/>
        <v>0</v>
      </c>
      <c r="H375" s="26">
        <f t="shared" si="5"/>
        <v>0</v>
      </c>
      <c r="I375" s="24">
        <f t="shared" si="6"/>
        <v>0</v>
      </c>
      <c r="J375" s="24">
        <f t="shared" si="7"/>
        <v>0</v>
      </c>
      <c r="K375" s="24"/>
      <c r="L375" s="24">
        <f t="shared" si="8"/>
        <v>429.2495686</v>
      </c>
      <c r="M375" s="31">
        <f t="shared" si="9"/>
        <v>427.5607711</v>
      </c>
      <c r="N375" s="27">
        <f t="shared" si="10"/>
        <v>1.688797471</v>
      </c>
      <c r="O375" s="24"/>
      <c r="P375" s="24"/>
      <c r="Q375" s="24"/>
      <c r="R375" s="26"/>
      <c r="S375" s="14">
        <f t="shared" si="13"/>
        <v>1.550816187</v>
      </c>
    </row>
    <row r="376">
      <c r="A376" s="11">
        <v>364.0</v>
      </c>
      <c r="B376" s="11">
        <v>1.42097826086956E9</v>
      </c>
      <c r="C376" s="2">
        <v>-102.4595947</v>
      </c>
      <c r="D376" s="24">
        <f t="shared" si="1"/>
        <v>578260.8696</v>
      </c>
      <c r="E376" s="25">
        <f t="shared" si="2"/>
        <v>-123.0516817</v>
      </c>
      <c r="F376" s="24">
        <f t="shared" si="3"/>
        <v>0.0002127961413</v>
      </c>
      <c r="G376" s="24">
        <f t="shared" si="4"/>
        <v>0</v>
      </c>
      <c r="H376" s="26">
        <f t="shared" si="5"/>
        <v>0</v>
      </c>
      <c r="I376" s="24">
        <f t="shared" si="6"/>
        <v>0</v>
      </c>
      <c r="J376" s="24">
        <f t="shared" si="7"/>
        <v>0</v>
      </c>
      <c r="K376" s="24"/>
      <c r="L376" s="24">
        <f t="shared" si="8"/>
        <v>431.6648613</v>
      </c>
      <c r="M376" s="31">
        <f t="shared" si="9"/>
        <v>427.4813807</v>
      </c>
      <c r="N376" s="27">
        <f t="shared" si="10"/>
        <v>4.183480628</v>
      </c>
      <c r="O376" s="24"/>
      <c r="P376" s="24"/>
      <c r="Q376" s="24"/>
      <c r="R376" s="26"/>
      <c r="S376" s="14">
        <f t="shared" si="13"/>
        <v>3.841674073</v>
      </c>
    </row>
    <row r="377">
      <c r="A377" s="11">
        <v>365.0</v>
      </c>
      <c r="B377" s="11">
        <v>1.42098260869565E9</v>
      </c>
      <c r="C377" s="2">
        <v>-102.5431442</v>
      </c>
      <c r="D377" s="24">
        <f t="shared" si="1"/>
        <v>582608.6957</v>
      </c>
      <c r="E377" s="25">
        <f t="shared" si="2"/>
        <v>-123.9699778</v>
      </c>
      <c r="F377" s="24">
        <f t="shared" si="3"/>
        <v>0.0002127842903</v>
      </c>
      <c r="G377" s="24">
        <f t="shared" si="4"/>
        <v>0</v>
      </c>
      <c r="H377" s="26">
        <f t="shared" si="5"/>
        <v>0</v>
      </c>
      <c r="I377" s="24">
        <f t="shared" si="6"/>
        <v>0</v>
      </c>
      <c r="J377" s="24">
        <f t="shared" si="7"/>
        <v>0</v>
      </c>
      <c r="K377" s="24"/>
      <c r="L377" s="24">
        <f t="shared" si="8"/>
        <v>423.4398697</v>
      </c>
      <c r="M377" s="31">
        <f t="shared" si="9"/>
        <v>427.4018203</v>
      </c>
      <c r="N377" s="27">
        <f t="shared" si="10"/>
        <v>-3.961950563</v>
      </c>
      <c r="O377" s="24"/>
      <c r="P377" s="24"/>
      <c r="Q377" s="24"/>
      <c r="R377" s="26"/>
      <c r="S377" s="14">
        <f t="shared" si="13"/>
        <v>-3.63824388</v>
      </c>
    </row>
    <row r="378">
      <c r="A378" s="11">
        <v>366.0</v>
      </c>
      <c r="B378" s="11">
        <v>1.42098695652173E9</v>
      </c>
      <c r="C378" s="2">
        <v>-102.4131927</v>
      </c>
      <c r="D378" s="24">
        <f t="shared" si="1"/>
        <v>586956.5217</v>
      </c>
      <c r="E378" s="25">
        <f t="shared" si="2"/>
        <v>-124.888274</v>
      </c>
      <c r="F378" s="24">
        <f t="shared" si="3"/>
        <v>0.0002127726149</v>
      </c>
      <c r="G378" s="24">
        <f t="shared" si="4"/>
        <v>0</v>
      </c>
      <c r="H378" s="26">
        <f t="shared" si="5"/>
        <v>0</v>
      </c>
      <c r="I378" s="24">
        <f t="shared" si="6"/>
        <v>0</v>
      </c>
      <c r="J378" s="24">
        <f t="shared" si="7"/>
        <v>0</v>
      </c>
      <c r="K378" s="24"/>
      <c r="L378" s="24">
        <f t="shared" si="8"/>
        <v>436.3016922</v>
      </c>
      <c r="M378" s="31">
        <f t="shared" si="9"/>
        <v>427.3220866</v>
      </c>
      <c r="N378" s="27">
        <f t="shared" si="10"/>
        <v>8.97960556</v>
      </c>
      <c r="O378" s="24"/>
      <c r="P378" s="24"/>
      <c r="Q378" s="24"/>
      <c r="R378" s="26"/>
      <c r="S378" s="14">
        <f t="shared" si="13"/>
        <v>8.245937059</v>
      </c>
    </row>
    <row r="379">
      <c r="A379" s="11">
        <v>367.0</v>
      </c>
      <c r="B379" s="11">
        <v>1.42099130434782E9</v>
      </c>
      <c r="C379" s="2">
        <v>-102.5000229</v>
      </c>
      <c r="D379" s="24">
        <f t="shared" si="1"/>
        <v>591304.3478</v>
      </c>
      <c r="E379" s="25">
        <f t="shared" si="2"/>
        <v>-125.8065701</v>
      </c>
      <c r="F379" s="24">
        <f t="shared" si="3"/>
        <v>0.0002127611112</v>
      </c>
      <c r="G379" s="24">
        <f t="shared" si="4"/>
        <v>0</v>
      </c>
      <c r="H379" s="26">
        <f t="shared" si="5"/>
        <v>0</v>
      </c>
      <c r="I379" s="24">
        <f t="shared" si="6"/>
        <v>0</v>
      </c>
      <c r="J379" s="24">
        <f t="shared" si="7"/>
        <v>0</v>
      </c>
      <c r="K379" s="24"/>
      <c r="L379" s="24">
        <f t="shared" si="8"/>
        <v>427.6651657</v>
      </c>
      <c r="M379" s="31">
        <f t="shared" si="9"/>
        <v>427.2421764</v>
      </c>
      <c r="N379" s="27">
        <f t="shared" si="10"/>
        <v>0.4229892747</v>
      </c>
      <c r="O379" s="24"/>
      <c r="P379" s="24"/>
      <c r="Q379" s="24"/>
      <c r="R379" s="26"/>
      <c r="S379" s="14">
        <f t="shared" si="13"/>
        <v>0.3884294152</v>
      </c>
    </row>
    <row r="380">
      <c r="A380" s="11">
        <v>368.0</v>
      </c>
      <c r="B380" s="11">
        <v>1.42099565217391E9</v>
      </c>
      <c r="C380" s="2">
        <v>-102.4726868</v>
      </c>
      <c r="D380" s="24">
        <f t="shared" si="1"/>
        <v>595652.1739</v>
      </c>
      <c r="E380" s="25">
        <f t="shared" si="2"/>
        <v>-126.7248662</v>
      </c>
      <c r="F380" s="24">
        <f t="shared" si="3"/>
        <v>0.0002127497754</v>
      </c>
      <c r="G380" s="24">
        <f t="shared" si="4"/>
        <v>0</v>
      </c>
      <c r="H380" s="26">
        <f t="shared" si="5"/>
        <v>0</v>
      </c>
      <c r="I380" s="24">
        <f t="shared" si="6"/>
        <v>0</v>
      </c>
      <c r="J380" s="24">
        <f t="shared" si="7"/>
        <v>0</v>
      </c>
      <c r="K380" s="24"/>
      <c r="L380" s="24">
        <f t="shared" si="8"/>
        <v>430.3655379</v>
      </c>
      <c r="M380" s="31">
        <f t="shared" si="9"/>
        <v>427.1620863</v>
      </c>
      <c r="N380" s="27">
        <f t="shared" si="10"/>
        <v>3.203451627</v>
      </c>
      <c r="O380" s="24"/>
      <c r="P380" s="24"/>
      <c r="Q380" s="24"/>
      <c r="R380" s="26"/>
      <c r="S380" s="14">
        <f t="shared" si="13"/>
        <v>2.941717234</v>
      </c>
    </row>
    <row r="381">
      <c r="A381" s="11">
        <v>369.0</v>
      </c>
      <c r="B381" s="11">
        <v>1.421E9</v>
      </c>
      <c r="C381" s="2">
        <v>-102.522049</v>
      </c>
      <c r="D381" s="24">
        <f t="shared" si="1"/>
        <v>600000</v>
      </c>
      <c r="E381" s="25">
        <f t="shared" si="2"/>
        <v>-127.6431624</v>
      </c>
      <c r="F381" s="24">
        <f t="shared" si="3"/>
        <v>0.0002127386039</v>
      </c>
      <c r="G381" s="24">
        <f t="shared" si="4"/>
        <v>0</v>
      </c>
      <c r="H381" s="26">
        <f t="shared" si="5"/>
        <v>0</v>
      </c>
      <c r="I381" s="24">
        <f t="shared" si="6"/>
        <v>0</v>
      </c>
      <c r="J381" s="24">
        <f t="shared" si="7"/>
        <v>0</v>
      </c>
      <c r="K381" s="24"/>
      <c r="L381" s="24">
        <f t="shared" si="8"/>
        <v>425.5016685</v>
      </c>
      <c r="M381" s="31">
        <f t="shared" si="9"/>
        <v>427.0818131</v>
      </c>
      <c r="N381" s="27">
        <f t="shared" si="10"/>
        <v>-1.580144663</v>
      </c>
      <c r="O381" s="24"/>
      <c r="P381" s="24"/>
      <c r="Q381" s="24"/>
      <c r="R381" s="26"/>
      <c r="S381" s="14">
        <f t="shared" si="13"/>
        <v>-1.451040734</v>
      </c>
    </row>
    <row r="382">
      <c r="A382" s="11">
        <v>370.0</v>
      </c>
      <c r="B382" s="11">
        <v>1.42100434782608E9</v>
      </c>
      <c r="C382" s="2">
        <v>-102.4961929</v>
      </c>
      <c r="D382" s="24">
        <f t="shared" si="1"/>
        <v>604347.8261</v>
      </c>
      <c r="E382" s="25">
        <f t="shared" si="2"/>
        <v>-128.5614585</v>
      </c>
      <c r="F382" s="24">
        <f t="shared" si="3"/>
        <v>0.0002127275932</v>
      </c>
      <c r="G382" s="24">
        <f t="shared" si="4"/>
        <v>0</v>
      </c>
      <c r="H382" s="26">
        <f t="shared" si="5"/>
        <v>0</v>
      </c>
      <c r="I382" s="24">
        <f t="shared" si="6"/>
        <v>0</v>
      </c>
      <c r="J382" s="24">
        <f t="shared" si="7"/>
        <v>0</v>
      </c>
      <c r="K382" s="24"/>
      <c r="L382" s="24">
        <f t="shared" si="8"/>
        <v>428.0424857</v>
      </c>
      <c r="M382" s="31">
        <f t="shared" si="9"/>
        <v>427.0013536</v>
      </c>
      <c r="N382" s="27">
        <f t="shared" si="10"/>
        <v>1.04113211</v>
      </c>
      <c r="O382" s="24"/>
      <c r="P382" s="24"/>
      <c r="Q382" s="24"/>
      <c r="R382" s="26"/>
      <c r="S382" s="14">
        <f t="shared" si="13"/>
        <v>0.9560675906</v>
      </c>
    </row>
    <row r="383">
      <c r="A383" s="11">
        <v>371.0</v>
      </c>
      <c r="B383" s="11">
        <v>1.42100869565217E9</v>
      </c>
      <c r="C383" s="2">
        <v>-102.4590759</v>
      </c>
      <c r="D383" s="24">
        <f t="shared" si="1"/>
        <v>608695.6522</v>
      </c>
      <c r="E383" s="25">
        <f t="shared" si="2"/>
        <v>-129.4797546</v>
      </c>
      <c r="F383" s="24">
        <f t="shared" si="3"/>
        <v>0.0002127167398</v>
      </c>
      <c r="G383" s="24">
        <f t="shared" si="4"/>
        <v>0</v>
      </c>
      <c r="H383" s="26">
        <f t="shared" si="5"/>
        <v>0</v>
      </c>
      <c r="I383" s="24">
        <f t="shared" si="6"/>
        <v>0</v>
      </c>
      <c r="J383" s="24">
        <f t="shared" si="7"/>
        <v>0</v>
      </c>
      <c r="K383" s="24"/>
      <c r="L383" s="24">
        <f t="shared" si="8"/>
        <v>431.7164303</v>
      </c>
      <c r="M383" s="31">
        <f t="shared" si="9"/>
        <v>426.9207043</v>
      </c>
      <c r="N383" s="27">
        <f t="shared" si="10"/>
        <v>4.795725969</v>
      </c>
      <c r="O383" s="24"/>
      <c r="P383" s="24"/>
      <c r="Q383" s="24"/>
      <c r="R383" s="26"/>
      <c r="S383" s="14">
        <f t="shared" si="13"/>
        <v>4.403896601</v>
      </c>
    </row>
    <row r="384">
      <c r="A384" s="11">
        <v>372.0</v>
      </c>
      <c r="B384" s="11">
        <v>1.42101304347826E9</v>
      </c>
      <c r="C384" s="2">
        <v>-102.4773026</v>
      </c>
      <c r="D384" s="24">
        <f t="shared" si="1"/>
        <v>613043.4783</v>
      </c>
      <c r="E384" s="25">
        <f t="shared" si="2"/>
        <v>-130.3980508</v>
      </c>
      <c r="F384" s="24">
        <f t="shared" si="3"/>
        <v>0.0002127060402</v>
      </c>
      <c r="G384" s="24">
        <f t="shared" si="4"/>
        <v>0</v>
      </c>
      <c r="H384" s="26">
        <f t="shared" si="5"/>
        <v>0</v>
      </c>
      <c r="I384" s="24">
        <f t="shared" si="6"/>
        <v>0</v>
      </c>
      <c r="J384" s="24">
        <f t="shared" si="7"/>
        <v>0</v>
      </c>
      <c r="K384" s="24"/>
      <c r="L384" s="24">
        <f t="shared" si="8"/>
        <v>429.9083767</v>
      </c>
      <c r="M384" s="31">
        <f t="shared" si="9"/>
        <v>426.8398621</v>
      </c>
      <c r="N384" s="27">
        <f t="shared" si="10"/>
        <v>3.068514597</v>
      </c>
      <c r="O384" s="24"/>
      <c r="P384" s="24"/>
      <c r="Q384" s="24"/>
      <c r="R384" s="26"/>
      <c r="S384" s="14">
        <f t="shared" si="13"/>
        <v>2.817805088</v>
      </c>
    </row>
    <row r="385">
      <c r="A385" s="11">
        <v>373.0</v>
      </c>
      <c r="B385" s="11">
        <v>1.42101739130434E9</v>
      </c>
      <c r="C385" s="2">
        <v>-102.4628601</v>
      </c>
      <c r="D385" s="24">
        <f t="shared" si="1"/>
        <v>617391.3043</v>
      </c>
      <c r="E385" s="25">
        <f t="shared" si="2"/>
        <v>-131.3163469</v>
      </c>
      <c r="F385" s="24">
        <f t="shared" si="3"/>
        <v>0.0002126954915</v>
      </c>
      <c r="G385" s="24">
        <f t="shared" si="4"/>
        <v>0</v>
      </c>
      <c r="H385" s="26">
        <f t="shared" si="5"/>
        <v>0</v>
      </c>
      <c r="I385" s="24">
        <f t="shared" si="6"/>
        <v>0</v>
      </c>
      <c r="J385" s="24">
        <f t="shared" si="7"/>
        <v>0</v>
      </c>
      <c r="K385" s="24"/>
      <c r="L385" s="24">
        <f t="shared" si="8"/>
        <v>431.3404205</v>
      </c>
      <c r="M385" s="31">
        <f t="shared" si="9"/>
        <v>426.7588237</v>
      </c>
      <c r="N385" s="27">
        <f t="shared" si="10"/>
        <v>4.581596826</v>
      </c>
      <c r="O385" s="24"/>
      <c r="P385" s="24"/>
      <c r="Q385" s="24"/>
      <c r="R385" s="26"/>
      <c r="S385" s="14">
        <f t="shared" si="13"/>
        <v>4.207262648</v>
      </c>
    </row>
    <row r="386">
      <c r="A386" s="11">
        <v>374.0</v>
      </c>
      <c r="B386" s="11">
        <v>1.42102173913043E9</v>
      </c>
      <c r="C386" s="2">
        <v>-102.4899063</v>
      </c>
      <c r="D386" s="24">
        <f t="shared" si="1"/>
        <v>621739.1304</v>
      </c>
      <c r="E386" s="25">
        <f t="shared" si="2"/>
        <v>-132.234643</v>
      </c>
      <c r="F386" s="24">
        <f t="shared" si="3"/>
        <v>0.0002126850902</v>
      </c>
      <c r="G386" s="24">
        <f t="shared" si="4"/>
        <v>0</v>
      </c>
      <c r="H386" s="26">
        <f t="shared" si="5"/>
        <v>0</v>
      </c>
      <c r="I386" s="24">
        <f t="shared" si="6"/>
        <v>0</v>
      </c>
      <c r="J386" s="24">
        <f t="shared" si="7"/>
        <v>0</v>
      </c>
      <c r="K386" s="24"/>
      <c r="L386" s="24">
        <f t="shared" si="8"/>
        <v>428.6625443</v>
      </c>
      <c r="M386" s="31">
        <f t="shared" si="9"/>
        <v>426.6775857</v>
      </c>
      <c r="N386" s="27">
        <f t="shared" si="10"/>
        <v>1.984958603</v>
      </c>
      <c r="O386" s="24"/>
      <c r="P386" s="24"/>
      <c r="Q386" s="24"/>
      <c r="R386" s="26"/>
      <c r="S386" s="14">
        <f t="shared" si="13"/>
        <v>1.822779805</v>
      </c>
    </row>
    <row r="387">
      <c r="A387" s="11">
        <v>375.0</v>
      </c>
      <c r="B387" s="11">
        <v>1.42102608695652E9</v>
      </c>
      <c r="C387" s="2">
        <v>-102.4465485</v>
      </c>
      <c r="D387" s="24">
        <f t="shared" si="1"/>
        <v>626086.9565</v>
      </c>
      <c r="E387" s="25">
        <f t="shared" si="2"/>
        <v>-133.1529392</v>
      </c>
      <c r="F387" s="24">
        <f t="shared" si="3"/>
        <v>0.0002126748334</v>
      </c>
      <c r="G387" s="24">
        <f t="shared" si="4"/>
        <v>0</v>
      </c>
      <c r="H387" s="26">
        <f t="shared" si="5"/>
        <v>0</v>
      </c>
      <c r="I387" s="24">
        <f t="shared" si="6"/>
        <v>0</v>
      </c>
      <c r="J387" s="24">
        <f t="shared" si="7"/>
        <v>0</v>
      </c>
      <c r="K387" s="24"/>
      <c r="L387" s="24">
        <f t="shared" si="8"/>
        <v>432.9635316</v>
      </c>
      <c r="M387" s="31">
        <f t="shared" si="9"/>
        <v>426.596145</v>
      </c>
      <c r="N387" s="27">
        <f t="shared" si="10"/>
        <v>6.367386641</v>
      </c>
      <c r="O387" s="24"/>
      <c r="P387" s="24"/>
      <c r="Q387" s="24"/>
      <c r="R387" s="26"/>
      <c r="S387" s="14">
        <f t="shared" si="13"/>
        <v>5.847146529</v>
      </c>
    </row>
    <row r="388">
      <c r="A388" s="11">
        <v>376.0</v>
      </c>
      <c r="B388" s="11">
        <v>1.4210304347826E9</v>
      </c>
      <c r="C388" s="2">
        <v>-102.4716873</v>
      </c>
      <c r="D388" s="24">
        <f t="shared" si="1"/>
        <v>630434.7826</v>
      </c>
      <c r="E388" s="25">
        <f t="shared" si="2"/>
        <v>-134.0712353</v>
      </c>
      <c r="F388" s="24">
        <f t="shared" si="3"/>
        <v>0.0002126647181</v>
      </c>
      <c r="G388" s="24">
        <f t="shared" si="4"/>
        <v>0</v>
      </c>
      <c r="H388" s="26">
        <f t="shared" si="5"/>
        <v>0</v>
      </c>
      <c r="I388" s="24">
        <f t="shared" si="6"/>
        <v>0</v>
      </c>
      <c r="J388" s="24">
        <f t="shared" si="7"/>
        <v>0</v>
      </c>
      <c r="K388" s="24"/>
      <c r="L388" s="24">
        <f t="shared" si="8"/>
        <v>430.4645951</v>
      </c>
      <c r="M388" s="31">
        <f t="shared" si="9"/>
        <v>426.5144981</v>
      </c>
      <c r="N388" s="27">
        <f t="shared" si="10"/>
        <v>3.95009702</v>
      </c>
      <c r="O388" s="24"/>
      <c r="P388" s="24"/>
      <c r="Q388" s="24"/>
      <c r="R388" s="26"/>
      <c r="S388" s="14">
        <f t="shared" si="13"/>
        <v>3.627358818</v>
      </c>
    </row>
    <row r="389">
      <c r="A389" s="11">
        <v>377.0</v>
      </c>
      <c r="B389" s="11">
        <v>1.42103478260869E9</v>
      </c>
      <c r="C389" s="2">
        <v>-102.4830399</v>
      </c>
      <c r="D389" s="24">
        <f t="shared" si="1"/>
        <v>634782.6087</v>
      </c>
      <c r="E389" s="25">
        <f t="shared" si="2"/>
        <v>-134.9895314</v>
      </c>
      <c r="F389" s="24">
        <f t="shared" si="3"/>
        <v>0.0002126547413</v>
      </c>
      <c r="G389" s="24">
        <f t="shared" si="4"/>
        <v>0</v>
      </c>
      <c r="H389" s="26">
        <f t="shared" si="5"/>
        <v>0</v>
      </c>
      <c r="I389" s="24">
        <f t="shared" si="6"/>
        <v>0</v>
      </c>
      <c r="J389" s="24">
        <f t="shared" si="7"/>
        <v>0</v>
      </c>
      <c r="K389" s="24"/>
      <c r="L389" s="24">
        <f t="shared" si="8"/>
        <v>429.340816</v>
      </c>
      <c r="M389" s="31">
        <f t="shared" si="9"/>
        <v>426.4326419</v>
      </c>
      <c r="N389" s="27">
        <f t="shared" si="10"/>
        <v>2.908174122</v>
      </c>
      <c r="O389" s="24"/>
      <c r="P389" s="24"/>
      <c r="Q389" s="24"/>
      <c r="R389" s="26"/>
      <c r="S389" s="14">
        <f t="shared" si="13"/>
        <v>2.67056505</v>
      </c>
    </row>
    <row r="390">
      <c r="A390" s="11">
        <v>378.0</v>
      </c>
      <c r="B390" s="11">
        <v>1.42103913043478E9</v>
      </c>
      <c r="C390" s="2">
        <v>-102.5464554</v>
      </c>
      <c r="D390" s="24">
        <f t="shared" si="1"/>
        <v>639130.4348</v>
      </c>
      <c r="E390" s="25">
        <f t="shared" si="2"/>
        <v>-135.9078276</v>
      </c>
      <c r="F390" s="24">
        <f t="shared" si="3"/>
        <v>0.0002126449003</v>
      </c>
      <c r="G390" s="24">
        <f t="shared" si="4"/>
        <v>0</v>
      </c>
      <c r="H390" s="26">
        <f t="shared" si="5"/>
        <v>0</v>
      </c>
      <c r="I390" s="24">
        <f t="shared" si="6"/>
        <v>0</v>
      </c>
      <c r="J390" s="24">
        <f t="shared" si="7"/>
        <v>0</v>
      </c>
      <c r="K390" s="24"/>
      <c r="L390" s="24">
        <f t="shared" si="8"/>
        <v>423.1171487</v>
      </c>
      <c r="M390" s="31">
        <f t="shared" si="9"/>
        <v>426.350573</v>
      </c>
      <c r="N390" s="27">
        <f t="shared" si="10"/>
        <v>-3.233424345</v>
      </c>
      <c r="O390" s="24"/>
      <c r="P390" s="24"/>
      <c r="Q390" s="24"/>
      <c r="R390" s="26"/>
      <c r="S390" s="14">
        <f t="shared" si="13"/>
        <v>-2.969241064</v>
      </c>
    </row>
    <row r="391">
      <c r="A391" s="11">
        <v>379.0</v>
      </c>
      <c r="B391" s="11">
        <v>1.42104347826087E9</v>
      </c>
      <c r="C391" s="2">
        <v>-102.5306931</v>
      </c>
      <c r="D391" s="24">
        <f t="shared" si="1"/>
        <v>643478.2609</v>
      </c>
      <c r="E391" s="25">
        <f t="shared" si="2"/>
        <v>-136.8261237</v>
      </c>
      <c r="F391" s="24">
        <f t="shared" si="3"/>
        <v>0.0002126351922</v>
      </c>
      <c r="G391" s="24">
        <f t="shared" si="4"/>
        <v>0</v>
      </c>
      <c r="H391" s="26">
        <f t="shared" si="5"/>
        <v>0</v>
      </c>
      <c r="I391" s="24">
        <f t="shared" si="6"/>
        <v>0</v>
      </c>
      <c r="J391" s="24">
        <f t="shared" si="7"/>
        <v>0</v>
      </c>
      <c r="K391" s="24"/>
      <c r="L391" s="24">
        <f t="shared" si="8"/>
        <v>424.6556018</v>
      </c>
      <c r="M391" s="31">
        <f t="shared" si="9"/>
        <v>426.2682882</v>
      </c>
      <c r="N391" s="27">
        <f t="shared" si="10"/>
        <v>-1.612686464</v>
      </c>
      <c r="O391" s="24"/>
      <c r="P391" s="24"/>
      <c r="Q391" s="24"/>
      <c r="R391" s="26"/>
      <c r="S391" s="14">
        <f t="shared" si="13"/>
        <v>-1.480923744</v>
      </c>
    </row>
    <row r="392">
      <c r="A392" s="11">
        <v>380.0</v>
      </c>
      <c r="B392" s="11">
        <v>1.42104782608695E9</v>
      </c>
      <c r="C392" s="2">
        <v>-102.5219879</v>
      </c>
      <c r="D392" s="24">
        <f t="shared" si="1"/>
        <v>647826.087</v>
      </c>
      <c r="E392" s="25">
        <f t="shared" si="2"/>
        <v>-137.7444198</v>
      </c>
      <c r="F392" s="24">
        <f t="shared" si="3"/>
        <v>0.0002126256145</v>
      </c>
      <c r="G392" s="24">
        <f t="shared" si="4"/>
        <v>0</v>
      </c>
      <c r="H392" s="26">
        <f t="shared" si="5"/>
        <v>0</v>
      </c>
      <c r="I392" s="24">
        <f t="shared" si="6"/>
        <v>0</v>
      </c>
      <c r="J392" s="24">
        <f t="shared" si="7"/>
        <v>0</v>
      </c>
      <c r="K392" s="24"/>
      <c r="L392" s="24">
        <f t="shared" si="8"/>
        <v>425.5076548</v>
      </c>
      <c r="M392" s="31">
        <f t="shared" si="9"/>
        <v>426.1857842</v>
      </c>
      <c r="N392" s="27">
        <f t="shared" si="10"/>
        <v>-0.6781294203</v>
      </c>
      <c r="O392" s="24"/>
      <c r="P392" s="24"/>
      <c r="Q392" s="24"/>
      <c r="R392" s="26"/>
      <c r="S392" s="14">
        <f t="shared" si="13"/>
        <v>-0.6227236242</v>
      </c>
    </row>
    <row r="393">
      <c r="A393" s="11">
        <v>381.0</v>
      </c>
      <c r="B393" s="11">
        <v>1.42105217391304E9</v>
      </c>
      <c r="C393" s="2">
        <v>-102.4849014</v>
      </c>
      <c r="D393" s="24">
        <f t="shared" si="1"/>
        <v>652173.913</v>
      </c>
      <c r="E393" s="25">
        <f t="shared" si="2"/>
        <v>-138.662716</v>
      </c>
      <c r="F393" s="24">
        <f t="shared" si="3"/>
        <v>0.0002126161645</v>
      </c>
      <c r="G393" s="24">
        <f t="shared" si="4"/>
        <v>0</v>
      </c>
      <c r="H393" s="26">
        <f t="shared" si="5"/>
        <v>0</v>
      </c>
      <c r="I393" s="24">
        <f t="shared" si="6"/>
        <v>0</v>
      </c>
      <c r="J393" s="24">
        <f t="shared" si="7"/>
        <v>0</v>
      </c>
      <c r="K393" s="24"/>
      <c r="L393" s="24">
        <f t="shared" si="8"/>
        <v>429.1568287</v>
      </c>
      <c r="M393" s="31">
        <f t="shared" si="9"/>
        <v>426.1030577</v>
      </c>
      <c r="N393" s="27">
        <f t="shared" si="10"/>
        <v>3.053770971</v>
      </c>
      <c r="O393" s="24"/>
      <c r="P393" s="24"/>
      <c r="Q393" s="24"/>
      <c r="R393" s="26"/>
      <c r="S393" s="14">
        <f t="shared" si="13"/>
        <v>2.804266066</v>
      </c>
    </row>
    <row r="394">
      <c r="A394" s="11">
        <v>382.0</v>
      </c>
      <c r="B394" s="11">
        <v>1.42105652173913E9</v>
      </c>
      <c r="C394" s="2">
        <v>-102.4935379</v>
      </c>
      <c r="D394" s="24">
        <f t="shared" si="1"/>
        <v>656521.7391</v>
      </c>
      <c r="E394" s="25">
        <f t="shared" si="2"/>
        <v>-139.5810121</v>
      </c>
      <c r="F394" s="24">
        <f t="shared" si="3"/>
        <v>0.0002126068396</v>
      </c>
      <c r="G394" s="24">
        <f t="shared" si="4"/>
        <v>0</v>
      </c>
      <c r="H394" s="26">
        <f t="shared" si="5"/>
        <v>0</v>
      </c>
      <c r="I394" s="24">
        <f t="shared" si="6"/>
        <v>0</v>
      </c>
      <c r="J394" s="24">
        <f t="shared" si="7"/>
        <v>0</v>
      </c>
      <c r="K394" s="24"/>
      <c r="L394" s="24">
        <f t="shared" si="8"/>
        <v>428.3042436</v>
      </c>
      <c r="M394" s="31">
        <f t="shared" si="9"/>
        <v>426.0201055</v>
      </c>
      <c r="N394" s="27">
        <f t="shared" si="10"/>
        <v>2.284138133</v>
      </c>
      <c r="O394" s="24"/>
      <c r="P394" s="24"/>
      <c r="Q394" s="24"/>
      <c r="R394" s="26"/>
      <c r="S394" s="14">
        <f t="shared" si="13"/>
        <v>2.097515214</v>
      </c>
    </row>
    <row r="395">
      <c r="A395" s="11">
        <v>383.0</v>
      </c>
      <c r="B395" s="11">
        <v>1.42106086956521E9</v>
      </c>
      <c r="C395" s="2">
        <v>-102.5563583</v>
      </c>
      <c r="D395" s="24">
        <f t="shared" si="1"/>
        <v>660869.5652</v>
      </c>
      <c r="E395" s="25">
        <f t="shared" si="2"/>
        <v>-140.4993082</v>
      </c>
      <c r="F395" s="24">
        <f t="shared" si="3"/>
        <v>0.0002125976374</v>
      </c>
      <c r="G395" s="24">
        <f t="shared" si="4"/>
        <v>0</v>
      </c>
      <c r="H395" s="26">
        <f t="shared" si="5"/>
        <v>0</v>
      </c>
      <c r="I395" s="24">
        <f t="shared" si="6"/>
        <v>0</v>
      </c>
      <c r="J395" s="24">
        <f t="shared" si="7"/>
        <v>0</v>
      </c>
      <c r="K395" s="24"/>
      <c r="L395" s="24">
        <f t="shared" si="8"/>
        <v>422.1534447</v>
      </c>
      <c r="M395" s="31">
        <f t="shared" si="9"/>
        <v>425.9369242</v>
      </c>
      <c r="N395" s="27">
        <f t="shared" si="10"/>
        <v>-3.783479469</v>
      </c>
      <c r="O395" s="24"/>
      <c r="P395" s="24"/>
      <c r="Q395" s="24"/>
      <c r="R395" s="26"/>
      <c r="S395" s="14">
        <f t="shared" si="13"/>
        <v>-3.474354565</v>
      </c>
    </row>
    <row r="396">
      <c r="A396" s="11">
        <v>384.0</v>
      </c>
      <c r="B396" s="11">
        <v>1.4210652173913E9</v>
      </c>
      <c r="C396" s="2">
        <v>-102.4600525</v>
      </c>
      <c r="D396" s="24">
        <f t="shared" si="1"/>
        <v>665217.3913</v>
      </c>
      <c r="E396" s="25">
        <f t="shared" si="2"/>
        <v>-141.4176043</v>
      </c>
      <c r="F396" s="24">
        <f t="shared" si="3"/>
        <v>0.0002125885556</v>
      </c>
      <c r="G396" s="24">
        <f t="shared" si="4"/>
        <v>0</v>
      </c>
      <c r="H396" s="26">
        <f t="shared" si="5"/>
        <v>0</v>
      </c>
      <c r="I396" s="24">
        <f t="shared" si="6"/>
        <v>0</v>
      </c>
      <c r="J396" s="24">
        <f t="shared" si="7"/>
        <v>0</v>
      </c>
      <c r="K396" s="24"/>
      <c r="L396" s="24">
        <f t="shared" si="8"/>
        <v>431.6193609</v>
      </c>
      <c r="M396" s="31">
        <f t="shared" si="9"/>
        <v>425.8535105</v>
      </c>
      <c r="N396" s="27">
        <f t="shared" si="10"/>
        <v>5.765850436</v>
      </c>
      <c r="O396" s="24"/>
      <c r="P396" s="24"/>
      <c r="Q396" s="24"/>
      <c r="R396" s="26"/>
      <c r="S396" s="14">
        <f t="shared" si="13"/>
        <v>5.294758145</v>
      </c>
    </row>
    <row r="397">
      <c r="A397" s="11">
        <v>385.0</v>
      </c>
      <c r="B397" s="11">
        <v>1.42106956521739E9</v>
      </c>
      <c r="C397" s="2">
        <v>-102.4801407</v>
      </c>
      <c r="D397" s="24">
        <f t="shared" si="1"/>
        <v>669565.2174</v>
      </c>
      <c r="E397" s="25">
        <f t="shared" si="2"/>
        <v>-142.3359005</v>
      </c>
      <c r="F397" s="24">
        <f t="shared" si="3"/>
        <v>0.0002125795916</v>
      </c>
      <c r="G397" s="24">
        <f t="shared" si="4"/>
        <v>0</v>
      </c>
      <c r="H397" s="26">
        <f t="shared" si="5"/>
        <v>0</v>
      </c>
      <c r="I397" s="24">
        <f t="shared" si="6"/>
        <v>0</v>
      </c>
      <c r="J397" s="24">
        <f t="shared" si="7"/>
        <v>0</v>
      </c>
      <c r="K397" s="24"/>
      <c r="L397" s="24">
        <f t="shared" si="8"/>
        <v>429.6275248</v>
      </c>
      <c r="M397" s="31">
        <f t="shared" si="9"/>
        <v>425.7698612</v>
      </c>
      <c r="N397" s="27">
        <f t="shared" si="10"/>
        <v>3.857663577</v>
      </c>
      <c r="O397" s="24"/>
      <c r="P397" s="24"/>
      <c r="Q397" s="24"/>
      <c r="R397" s="26"/>
      <c r="S397" s="14">
        <f t="shared" si="13"/>
        <v>3.542477545</v>
      </c>
    </row>
    <row r="398">
      <c r="A398" s="11">
        <v>386.0</v>
      </c>
      <c r="B398" s="11">
        <v>1.42107391304347E9</v>
      </c>
      <c r="C398" s="2">
        <v>-102.5466919</v>
      </c>
      <c r="D398" s="24">
        <f t="shared" si="1"/>
        <v>673913.0435</v>
      </c>
      <c r="E398" s="25">
        <f t="shared" si="2"/>
        <v>-143.2541966</v>
      </c>
      <c r="F398" s="24">
        <f t="shared" si="3"/>
        <v>0.0002125707434</v>
      </c>
      <c r="G398" s="24">
        <f t="shared" si="4"/>
        <v>0</v>
      </c>
      <c r="H398" s="26">
        <f t="shared" si="5"/>
        <v>0</v>
      </c>
      <c r="I398" s="24">
        <f t="shared" si="6"/>
        <v>0</v>
      </c>
      <c r="J398" s="24">
        <f t="shared" si="7"/>
        <v>0</v>
      </c>
      <c r="K398" s="24"/>
      <c r="L398" s="24">
        <f t="shared" si="8"/>
        <v>423.094108</v>
      </c>
      <c r="M398" s="31">
        <f t="shared" si="9"/>
        <v>425.685973</v>
      </c>
      <c r="N398" s="27">
        <f t="shared" si="10"/>
        <v>-2.591865064</v>
      </c>
      <c r="O398" s="24"/>
      <c r="P398" s="24"/>
      <c r="Q398" s="24"/>
      <c r="R398" s="26"/>
      <c r="S398" s="14">
        <f t="shared" si="13"/>
        <v>-2.380099665</v>
      </c>
    </row>
    <row r="399">
      <c r="A399" s="11">
        <v>387.0</v>
      </c>
      <c r="B399" s="11">
        <v>1.42107826086956E9</v>
      </c>
      <c r="C399" s="2">
        <v>-102.4924393</v>
      </c>
      <c r="D399" s="24">
        <f t="shared" si="1"/>
        <v>678260.8696</v>
      </c>
      <c r="E399" s="25">
        <f t="shared" si="2"/>
        <v>-144.1724927</v>
      </c>
      <c r="F399" s="24">
        <f t="shared" si="3"/>
        <v>0.0002125620085</v>
      </c>
      <c r="G399" s="24">
        <f t="shared" si="4"/>
        <v>0</v>
      </c>
      <c r="H399" s="26">
        <f t="shared" si="5"/>
        <v>0</v>
      </c>
      <c r="I399" s="24">
        <f t="shared" si="6"/>
        <v>0</v>
      </c>
      <c r="J399" s="24">
        <f t="shared" si="7"/>
        <v>0</v>
      </c>
      <c r="K399" s="24"/>
      <c r="L399" s="24">
        <f t="shared" si="8"/>
        <v>428.412602</v>
      </c>
      <c r="M399" s="31">
        <f t="shared" si="9"/>
        <v>425.6018427</v>
      </c>
      <c r="N399" s="27">
        <f t="shared" si="10"/>
        <v>2.810759324</v>
      </c>
      <c r="O399" s="24"/>
      <c r="P399" s="24"/>
      <c r="Q399" s="24"/>
      <c r="R399" s="26"/>
      <c r="S399" s="14">
        <f t="shared" si="13"/>
        <v>2.581109411</v>
      </c>
    </row>
    <row r="400">
      <c r="A400" s="11">
        <v>388.0</v>
      </c>
      <c r="B400" s="11">
        <v>1.42108260869565E9</v>
      </c>
      <c r="C400" s="2">
        <v>-102.5421524</v>
      </c>
      <c r="D400" s="24">
        <f t="shared" si="1"/>
        <v>682608.6957</v>
      </c>
      <c r="E400" s="25">
        <f t="shared" si="2"/>
        <v>-145.0907889</v>
      </c>
      <c r="F400" s="24">
        <f t="shared" si="3"/>
        <v>0.000212553385</v>
      </c>
      <c r="G400" s="24">
        <f t="shared" si="4"/>
        <v>0</v>
      </c>
      <c r="H400" s="26">
        <f t="shared" si="5"/>
        <v>0</v>
      </c>
      <c r="I400" s="24">
        <f t="shared" si="6"/>
        <v>0</v>
      </c>
      <c r="J400" s="24">
        <f t="shared" si="7"/>
        <v>0</v>
      </c>
      <c r="K400" s="24"/>
      <c r="L400" s="24">
        <f t="shared" si="8"/>
        <v>423.5365819</v>
      </c>
      <c r="M400" s="31">
        <f t="shared" si="9"/>
        <v>425.5174669</v>
      </c>
      <c r="N400" s="27">
        <f t="shared" si="10"/>
        <v>-1.980884962</v>
      </c>
      <c r="O400" s="24"/>
      <c r="P400" s="24"/>
      <c r="Q400" s="24"/>
      <c r="R400" s="26"/>
      <c r="S400" s="14">
        <f t="shared" si="13"/>
        <v>-1.819039</v>
      </c>
    </row>
    <row r="401">
      <c r="A401" s="11">
        <v>389.0</v>
      </c>
      <c r="B401" s="11">
        <v>1.42108695652173E9</v>
      </c>
      <c r="C401" s="2">
        <v>-102.5348816</v>
      </c>
      <c r="D401" s="24">
        <f t="shared" si="1"/>
        <v>686956.5217</v>
      </c>
      <c r="E401" s="25">
        <f t="shared" si="2"/>
        <v>-146.009085</v>
      </c>
      <c r="F401" s="24">
        <f t="shared" si="3"/>
        <v>0.0002125448706</v>
      </c>
      <c r="G401" s="24">
        <f t="shared" si="4"/>
        <v>0</v>
      </c>
      <c r="H401" s="26">
        <f t="shared" si="5"/>
        <v>0</v>
      </c>
      <c r="I401" s="24">
        <f t="shared" si="6"/>
        <v>0</v>
      </c>
      <c r="J401" s="24">
        <f t="shared" si="7"/>
        <v>0</v>
      </c>
      <c r="K401" s="24"/>
      <c r="L401" s="24">
        <f t="shared" si="8"/>
        <v>424.2462453</v>
      </c>
      <c r="M401" s="31">
        <f t="shared" si="9"/>
        <v>425.4328423</v>
      </c>
      <c r="N401" s="27">
        <f t="shared" si="10"/>
        <v>-1.186597</v>
      </c>
      <c r="O401" s="24"/>
      <c r="P401" s="24"/>
      <c r="Q401" s="24"/>
      <c r="R401" s="26"/>
      <c r="S401" s="14">
        <f t="shared" si="13"/>
        <v>-1.089647436</v>
      </c>
    </row>
    <row r="402">
      <c r="A402" s="11">
        <v>390.0</v>
      </c>
      <c r="B402" s="11">
        <v>1.42109130434782E9</v>
      </c>
      <c r="C402" s="2">
        <v>-102.4743805</v>
      </c>
      <c r="D402" s="24">
        <f t="shared" si="1"/>
        <v>691304.3478</v>
      </c>
      <c r="E402" s="25">
        <f t="shared" si="2"/>
        <v>-146.9273811</v>
      </c>
      <c r="F402" s="24">
        <f t="shared" si="3"/>
        <v>0.0002125364633</v>
      </c>
      <c r="G402" s="24">
        <f t="shared" si="4"/>
        <v>0</v>
      </c>
      <c r="H402" s="26">
        <f t="shared" si="5"/>
        <v>0</v>
      </c>
      <c r="I402" s="24">
        <f t="shared" si="6"/>
        <v>0</v>
      </c>
      <c r="J402" s="24">
        <f t="shared" si="7"/>
        <v>0</v>
      </c>
      <c r="K402" s="24"/>
      <c r="L402" s="24">
        <f t="shared" si="8"/>
        <v>430.1977329</v>
      </c>
      <c r="M402" s="31">
        <f t="shared" si="9"/>
        <v>425.3479657</v>
      </c>
      <c r="N402" s="27">
        <f t="shared" si="10"/>
        <v>4.849767201</v>
      </c>
      <c r="O402" s="24"/>
      <c r="P402" s="24"/>
      <c r="Q402" s="24"/>
      <c r="R402" s="26"/>
      <c r="S402" s="14">
        <f t="shared" si="13"/>
        <v>4.453522466</v>
      </c>
    </row>
    <row r="403">
      <c r="A403" s="11">
        <v>391.0</v>
      </c>
      <c r="B403" s="11">
        <v>1.42109565217391E9</v>
      </c>
      <c r="C403" s="2">
        <v>-102.4756088</v>
      </c>
      <c r="D403" s="24">
        <f t="shared" si="1"/>
        <v>695652.1739</v>
      </c>
      <c r="E403" s="25">
        <f t="shared" si="2"/>
        <v>-147.8456773</v>
      </c>
      <c r="F403" s="24">
        <f t="shared" si="3"/>
        <v>0.0002125281611</v>
      </c>
      <c r="G403" s="24">
        <f t="shared" si="4"/>
        <v>0</v>
      </c>
      <c r="H403" s="26">
        <f t="shared" si="5"/>
        <v>0</v>
      </c>
      <c r="I403" s="24">
        <f t="shared" si="6"/>
        <v>0</v>
      </c>
      <c r="J403" s="24">
        <f t="shared" si="7"/>
        <v>0</v>
      </c>
      <c r="K403" s="24"/>
      <c r="L403" s="24">
        <f t="shared" si="8"/>
        <v>430.0760788</v>
      </c>
      <c r="M403" s="31">
        <f t="shared" si="9"/>
        <v>425.2628338</v>
      </c>
      <c r="N403" s="27">
        <f t="shared" si="10"/>
        <v>4.813244976</v>
      </c>
      <c r="O403" s="24"/>
      <c r="P403" s="24"/>
      <c r="Q403" s="24"/>
      <c r="R403" s="26"/>
      <c r="S403" s="14">
        <f t="shared" si="13"/>
        <v>4.419984237</v>
      </c>
    </row>
    <row r="404">
      <c r="A404" s="11">
        <v>392.0</v>
      </c>
      <c r="B404" s="11">
        <v>1.4211E9</v>
      </c>
      <c r="C404" s="2">
        <v>-102.4944687</v>
      </c>
      <c r="D404" s="24">
        <f t="shared" si="1"/>
        <v>700000</v>
      </c>
      <c r="E404" s="25">
        <f t="shared" si="2"/>
        <v>-148.7639734</v>
      </c>
      <c r="F404" s="24">
        <f t="shared" si="3"/>
        <v>0.000212519962</v>
      </c>
      <c r="G404" s="24">
        <f t="shared" si="4"/>
        <v>0</v>
      </c>
      <c r="H404" s="26">
        <f t="shared" si="5"/>
        <v>0</v>
      </c>
      <c r="I404" s="24">
        <f t="shared" si="6"/>
        <v>0</v>
      </c>
      <c r="J404" s="24">
        <f t="shared" si="7"/>
        <v>0</v>
      </c>
      <c r="K404" s="24"/>
      <c r="L404" s="24">
        <f t="shared" si="8"/>
        <v>428.2124573</v>
      </c>
      <c r="M404" s="31">
        <f t="shared" si="9"/>
        <v>425.1774433</v>
      </c>
      <c r="N404" s="27">
        <f t="shared" si="10"/>
        <v>3.035013983</v>
      </c>
      <c r="O404" s="24"/>
      <c r="P404" s="24"/>
      <c r="Q404" s="24"/>
      <c r="R404" s="26"/>
      <c r="S404" s="14">
        <f t="shared" si="13"/>
        <v>2.787041604</v>
      </c>
    </row>
    <row r="405">
      <c r="A405" s="11">
        <v>393.0</v>
      </c>
      <c r="B405" s="11">
        <v>1.42110434782608E9</v>
      </c>
      <c r="C405" s="2">
        <v>-102.5021515</v>
      </c>
      <c r="D405" s="24">
        <f t="shared" si="1"/>
        <v>704347.8261</v>
      </c>
      <c r="E405" s="25">
        <f t="shared" si="2"/>
        <v>-149.6822695</v>
      </c>
      <c r="F405" s="24">
        <f t="shared" si="3"/>
        <v>0.0002125118642</v>
      </c>
      <c r="G405" s="24">
        <f t="shared" si="4"/>
        <v>0</v>
      </c>
      <c r="H405" s="26">
        <f t="shared" si="5"/>
        <v>0</v>
      </c>
      <c r="I405" s="24">
        <f t="shared" si="6"/>
        <v>0</v>
      </c>
      <c r="J405" s="24">
        <f t="shared" si="7"/>
        <v>0</v>
      </c>
      <c r="K405" s="24"/>
      <c r="L405" s="24">
        <f t="shared" si="8"/>
        <v>427.4556062</v>
      </c>
      <c r="M405" s="31">
        <f t="shared" si="9"/>
        <v>425.091791</v>
      </c>
      <c r="N405" s="27">
        <f t="shared" si="10"/>
        <v>2.363815273</v>
      </c>
      <c r="O405" s="24"/>
      <c r="P405" s="24"/>
      <c r="Q405" s="24"/>
      <c r="R405" s="26"/>
      <c r="S405" s="14">
        <f t="shared" si="13"/>
        <v>2.170682424</v>
      </c>
    </row>
    <row r="406">
      <c r="A406" s="11">
        <v>394.0</v>
      </c>
      <c r="B406" s="11">
        <v>1.42110869565217E9</v>
      </c>
      <c r="C406" s="2">
        <v>-102.449173</v>
      </c>
      <c r="D406" s="24">
        <f t="shared" si="1"/>
        <v>708695.6522</v>
      </c>
      <c r="E406" s="25">
        <f t="shared" si="2"/>
        <v>-150.6005657</v>
      </c>
      <c r="F406" s="24">
        <f t="shared" si="3"/>
        <v>0.0002125038657</v>
      </c>
      <c r="G406" s="24">
        <f t="shared" si="4"/>
        <v>0</v>
      </c>
      <c r="H406" s="26">
        <f t="shared" si="5"/>
        <v>0</v>
      </c>
      <c r="I406" s="24">
        <f t="shared" si="6"/>
        <v>0</v>
      </c>
      <c r="J406" s="24">
        <f t="shared" si="7"/>
        <v>0</v>
      </c>
      <c r="K406" s="24"/>
      <c r="L406" s="24">
        <f t="shared" si="8"/>
        <v>432.7019649</v>
      </c>
      <c r="M406" s="31">
        <f t="shared" si="9"/>
        <v>425.0058734</v>
      </c>
      <c r="N406" s="27">
        <f t="shared" si="10"/>
        <v>7.696091502</v>
      </c>
      <c r="O406" s="24"/>
      <c r="P406" s="24"/>
      <c r="Q406" s="24"/>
      <c r="R406" s="26"/>
      <c r="S406" s="14">
        <f t="shared" si="13"/>
        <v>7.067291047</v>
      </c>
    </row>
    <row r="407">
      <c r="A407" s="11">
        <v>395.0</v>
      </c>
      <c r="B407" s="11">
        <v>1.42111304347826E9</v>
      </c>
      <c r="C407" s="2">
        <v>-102.5408936</v>
      </c>
      <c r="D407" s="24">
        <f t="shared" si="1"/>
        <v>713043.4783</v>
      </c>
      <c r="E407" s="25">
        <f t="shared" si="2"/>
        <v>-151.5188618</v>
      </c>
      <c r="F407" s="24">
        <f t="shared" si="3"/>
        <v>0.0002124959647</v>
      </c>
      <c r="G407" s="24">
        <f t="shared" si="4"/>
        <v>0</v>
      </c>
      <c r="H407" s="26">
        <f t="shared" si="5"/>
        <v>0</v>
      </c>
      <c r="I407" s="24">
        <f t="shared" si="6"/>
        <v>0</v>
      </c>
      <c r="J407" s="24">
        <f t="shared" si="7"/>
        <v>0</v>
      </c>
      <c r="K407" s="24"/>
      <c r="L407" s="24">
        <f t="shared" si="8"/>
        <v>423.6593615</v>
      </c>
      <c r="M407" s="31">
        <f t="shared" si="9"/>
        <v>424.9196875</v>
      </c>
      <c r="N407" s="27">
        <f t="shared" si="10"/>
        <v>-1.260325965</v>
      </c>
      <c r="O407" s="24"/>
      <c r="P407" s="24"/>
      <c r="Q407" s="24"/>
      <c r="R407" s="26"/>
      <c r="S407" s="14">
        <f t="shared" si="13"/>
        <v>-1.15735246</v>
      </c>
    </row>
    <row r="408">
      <c r="A408" s="11">
        <v>396.0</v>
      </c>
      <c r="B408" s="11">
        <v>1.42111739130434E9</v>
      </c>
      <c r="C408" s="2">
        <v>-102.5249557</v>
      </c>
      <c r="D408" s="24">
        <f t="shared" si="1"/>
        <v>717391.3043</v>
      </c>
      <c r="E408" s="25">
        <f t="shared" si="2"/>
        <v>-152.4371579</v>
      </c>
      <c r="F408" s="24">
        <f t="shared" si="3"/>
        <v>0.0002124881595</v>
      </c>
      <c r="G408" s="24">
        <f t="shared" si="4"/>
        <v>0</v>
      </c>
      <c r="H408" s="26">
        <f t="shared" si="5"/>
        <v>0</v>
      </c>
      <c r="I408" s="24">
        <f t="shared" si="6"/>
        <v>0</v>
      </c>
      <c r="J408" s="24">
        <f t="shared" si="7"/>
        <v>0</v>
      </c>
      <c r="K408" s="24"/>
      <c r="L408" s="24">
        <f t="shared" si="8"/>
        <v>425.2169787</v>
      </c>
      <c r="M408" s="31">
        <f t="shared" si="9"/>
        <v>424.8332298</v>
      </c>
      <c r="N408" s="27">
        <f t="shared" si="10"/>
        <v>0.3837488935</v>
      </c>
      <c r="O408" s="24"/>
      <c r="P408" s="24"/>
      <c r="Q408" s="24"/>
      <c r="R408" s="26"/>
      <c r="S408" s="14">
        <f t="shared" si="13"/>
        <v>0.3523951249</v>
      </c>
    </row>
    <row r="409">
      <c r="A409" s="11">
        <v>397.0</v>
      </c>
      <c r="B409" s="11">
        <v>1.42112173913043E9</v>
      </c>
      <c r="C409" s="2">
        <v>-102.5337906</v>
      </c>
      <c r="D409" s="24">
        <f t="shared" si="1"/>
        <v>721739.1304</v>
      </c>
      <c r="E409" s="25">
        <f t="shared" si="2"/>
        <v>-153.3554541</v>
      </c>
      <c r="F409" s="24">
        <f t="shared" si="3"/>
        <v>0.0002124804484</v>
      </c>
      <c r="G409" s="24">
        <f t="shared" si="4"/>
        <v>0</v>
      </c>
      <c r="H409" s="26">
        <f t="shared" si="5"/>
        <v>0</v>
      </c>
      <c r="I409" s="24">
        <f t="shared" si="6"/>
        <v>0</v>
      </c>
      <c r="J409" s="24">
        <f t="shared" si="7"/>
        <v>0</v>
      </c>
      <c r="K409" s="24"/>
      <c r="L409" s="24">
        <f t="shared" si="8"/>
        <v>424.3528345</v>
      </c>
      <c r="M409" s="31">
        <f t="shared" si="9"/>
        <v>424.7464972</v>
      </c>
      <c r="N409" s="27">
        <f t="shared" si="10"/>
        <v>-0.3936627122</v>
      </c>
      <c r="O409" s="24"/>
      <c r="P409" s="24"/>
      <c r="Q409" s="24"/>
      <c r="R409" s="26"/>
      <c r="S409" s="14">
        <f t="shared" si="13"/>
        <v>-0.3614989454</v>
      </c>
    </row>
    <row r="410">
      <c r="A410" s="11">
        <v>398.0</v>
      </c>
      <c r="B410" s="11">
        <v>1.42112608695652E9</v>
      </c>
      <c r="C410" s="2">
        <v>-102.4682541</v>
      </c>
      <c r="D410" s="24">
        <f t="shared" si="1"/>
        <v>726086.9565</v>
      </c>
      <c r="E410" s="25">
        <f t="shared" si="2"/>
        <v>-154.2737502</v>
      </c>
      <c r="F410" s="24">
        <f t="shared" si="3"/>
        <v>0.0002124728296</v>
      </c>
      <c r="G410" s="24">
        <f t="shared" si="4"/>
        <v>0</v>
      </c>
      <c r="H410" s="26">
        <f t="shared" si="5"/>
        <v>0</v>
      </c>
      <c r="I410" s="24">
        <f t="shared" si="6"/>
        <v>0</v>
      </c>
      <c r="J410" s="24">
        <f t="shared" si="7"/>
        <v>0</v>
      </c>
      <c r="K410" s="24"/>
      <c r="L410" s="24">
        <f t="shared" si="8"/>
        <v>430.805022</v>
      </c>
      <c r="M410" s="31">
        <f t="shared" si="9"/>
        <v>424.6594862</v>
      </c>
      <c r="N410" s="27">
        <f t="shared" si="10"/>
        <v>6.145535825</v>
      </c>
      <c r="O410" s="24"/>
      <c r="P410" s="24"/>
      <c r="Q410" s="24"/>
      <c r="R410" s="26"/>
      <c r="S410" s="14">
        <f t="shared" si="13"/>
        <v>5.643421782</v>
      </c>
    </row>
    <row r="411">
      <c r="A411" s="11">
        <v>399.0</v>
      </c>
      <c r="B411" s="11">
        <v>1.4211304347826E9</v>
      </c>
      <c r="C411" s="2">
        <v>-102.479599</v>
      </c>
      <c r="D411" s="24">
        <f t="shared" si="1"/>
        <v>730434.7826</v>
      </c>
      <c r="E411" s="25">
        <f t="shared" si="2"/>
        <v>-155.1920463</v>
      </c>
      <c r="F411" s="24">
        <f t="shared" si="3"/>
        <v>0.0002124653015</v>
      </c>
      <c r="G411" s="24">
        <f t="shared" si="4"/>
        <v>0</v>
      </c>
      <c r="H411" s="26">
        <f t="shared" si="5"/>
        <v>0</v>
      </c>
      <c r="I411" s="24">
        <f t="shared" si="6"/>
        <v>0</v>
      </c>
      <c r="J411" s="24">
        <f t="shared" si="7"/>
        <v>0</v>
      </c>
      <c r="K411" s="24"/>
      <c r="L411" s="24">
        <f t="shared" si="8"/>
        <v>429.681116</v>
      </c>
      <c r="M411" s="31">
        <f t="shared" si="9"/>
        <v>424.5721937</v>
      </c>
      <c r="N411" s="27">
        <f t="shared" si="10"/>
        <v>5.108922311</v>
      </c>
      <c r="O411" s="24"/>
      <c r="P411" s="24"/>
      <c r="Q411" s="24"/>
      <c r="R411" s="26"/>
      <c r="S411" s="14">
        <f t="shared" si="13"/>
        <v>4.6915036</v>
      </c>
    </row>
    <row r="412">
      <c r="A412" s="11">
        <v>400.0</v>
      </c>
      <c r="B412" s="11">
        <v>1.42113478260869E9</v>
      </c>
      <c r="C412" s="2">
        <v>-102.5064621</v>
      </c>
      <c r="D412" s="24">
        <f t="shared" si="1"/>
        <v>734782.6087</v>
      </c>
      <c r="E412" s="25">
        <f t="shared" si="2"/>
        <v>-156.1103425</v>
      </c>
      <c r="F412" s="24">
        <f t="shared" si="3"/>
        <v>0.0002124578625</v>
      </c>
      <c r="G412" s="24">
        <f t="shared" si="4"/>
        <v>0</v>
      </c>
      <c r="H412" s="26">
        <f t="shared" si="5"/>
        <v>0</v>
      </c>
      <c r="I412" s="24">
        <f t="shared" si="6"/>
        <v>0</v>
      </c>
      <c r="J412" s="24">
        <f t="shared" si="7"/>
        <v>0</v>
      </c>
      <c r="K412" s="24"/>
      <c r="L412" s="24">
        <f t="shared" si="8"/>
        <v>427.0315447</v>
      </c>
      <c r="M412" s="31">
        <f t="shared" si="9"/>
        <v>424.4846164</v>
      </c>
      <c r="N412" s="27">
        <f t="shared" si="10"/>
        <v>2.546928288</v>
      </c>
      <c r="O412" s="24"/>
      <c r="P412" s="24"/>
      <c r="Q412" s="24"/>
      <c r="R412" s="26"/>
      <c r="S412" s="14">
        <f t="shared" si="13"/>
        <v>2.338834398</v>
      </c>
    </row>
    <row r="413">
      <c r="A413" s="11">
        <v>401.0</v>
      </c>
      <c r="B413" s="11">
        <v>1.42113913043478E9</v>
      </c>
      <c r="C413" s="2">
        <v>-102.5461349</v>
      </c>
      <c r="D413" s="24">
        <f t="shared" si="1"/>
        <v>739130.4348</v>
      </c>
      <c r="E413" s="25">
        <f t="shared" si="2"/>
        <v>-157.0286386</v>
      </c>
      <c r="F413" s="24">
        <f t="shared" si="3"/>
        <v>0.000212450511</v>
      </c>
      <c r="G413" s="24">
        <f t="shared" si="4"/>
        <v>0</v>
      </c>
      <c r="H413" s="26">
        <f t="shared" si="5"/>
        <v>0</v>
      </c>
      <c r="I413" s="24">
        <f t="shared" si="6"/>
        <v>0</v>
      </c>
      <c r="J413" s="24">
        <f t="shared" si="7"/>
        <v>0</v>
      </c>
      <c r="K413" s="24"/>
      <c r="L413" s="24">
        <f t="shared" si="8"/>
        <v>423.148375</v>
      </c>
      <c r="M413" s="31">
        <f t="shared" si="9"/>
        <v>424.3967509</v>
      </c>
      <c r="N413" s="27">
        <f t="shared" si="10"/>
        <v>-1.248375929</v>
      </c>
      <c r="O413" s="24"/>
      <c r="P413" s="24"/>
      <c r="Q413" s="24"/>
      <c r="R413" s="26"/>
      <c r="S413" s="14">
        <f t="shared" si="13"/>
        <v>-1.146378786</v>
      </c>
    </row>
    <row r="414">
      <c r="A414" s="11">
        <v>402.0</v>
      </c>
      <c r="B414" s="11">
        <v>1.42114347826087E9</v>
      </c>
      <c r="C414" s="2">
        <v>-102.5480499</v>
      </c>
      <c r="D414" s="24">
        <f t="shared" si="1"/>
        <v>743478.2609</v>
      </c>
      <c r="E414" s="25">
        <f t="shared" si="2"/>
        <v>-157.9469347</v>
      </c>
      <c r="F414" s="24">
        <f t="shared" si="3"/>
        <v>0.0002124432455</v>
      </c>
      <c r="G414" s="24">
        <f t="shared" si="4"/>
        <v>0</v>
      </c>
      <c r="H414" s="26">
        <f t="shared" si="5"/>
        <v>0</v>
      </c>
      <c r="I414" s="24">
        <f t="shared" si="6"/>
        <v>0</v>
      </c>
      <c r="J414" s="24">
        <f t="shared" si="7"/>
        <v>0</v>
      </c>
      <c r="K414" s="24"/>
      <c r="L414" s="24">
        <f t="shared" si="8"/>
        <v>422.9618309</v>
      </c>
      <c r="M414" s="31">
        <f t="shared" si="9"/>
        <v>424.308594</v>
      </c>
      <c r="N414" s="27">
        <f t="shared" si="10"/>
        <v>-1.346763101</v>
      </c>
      <c r="O414" s="24"/>
      <c r="P414" s="24"/>
      <c r="Q414" s="24"/>
      <c r="R414" s="26"/>
      <c r="S414" s="14">
        <f t="shared" si="13"/>
        <v>-1.236727347</v>
      </c>
    </row>
    <row r="415">
      <c r="A415" s="11">
        <v>403.0</v>
      </c>
      <c r="B415" s="11">
        <v>1.42114782608695E9</v>
      </c>
      <c r="C415" s="2">
        <v>-102.4983597</v>
      </c>
      <c r="D415" s="24">
        <f t="shared" si="1"/>
        <v>747826.087</v>
      </c>
      <c r="E415" s="25">
        <f t="shared" si="2"/>
        <v>-158.8652309</v>
      </c>
      <c r="F415" s="24">
        <f t="shared" si="3"/>
        <v>0.0002124360645</v>
      </c>
      <c r="G415" s="24">
        <f t="shared" si="4"/>
        <v>0</v>
      </c>
      <c r="H415" s="26">
        <f t="shared" si="5"/>
        <v>0</v>
      </c>
      <c r="I415" s="24">
        <f t="shared" si="6"/>
        <v>0</v>
      </c>
      <c r="J415" s="24">
        <f t="shared" si="7"/>
        <v>0</v>
      </c>
      <c r="K415" s="24"/>
      <c r="L415" s="24">
        <f t="shared" si="8"/>
        <v>427.8289782</v>
      </c>
      <c r="M415" s="31">
        <f t="shared" si="9"/>
        <v>424.2201425</v>
      </c>
      <c r="N415" s="27">
        <f t="shared" si="10"/>
        <v>3.608835761</v>
      </c>
      <c r="O415" s="24"/>
      <c r="P415" s="24"/>
      <c r="Q415" s="24"/>
      <c r="R415" s="26"/>
      <c r="S415" s="14">
        <f t="shared" si="13"/>
        <v>3.313979923</v>
      </c>
    </row>
    <row r="416">
      <c r="A416" s="11">
        <v>404.0</v>
      </c>
      <c r="B416" s="11">
        <v>1.42115217391304E9</v>
      </c>
      <c r="C416" s="2">
        <v>-102.5229645</v>
      </c>
      <c r="D416" s="24">
        <f t="shared" si="1"/>
        <v>752173.913</v>
      </c>
      <c r="E416" s="25">
        <f t="shared" si="2"/>
        <v>-159.783527</v>
      </c>
      <c r="F416" s="24">
        <f t="shared" si="3"/>
        <v>0.0002124289665</v>
      </c>
      <c r="G416" s="24">
        <f t="shared" si="4"/>
        <v>0</v>
      </c>
      <c r="H416" s="26">
        <f t="shared" si="5"/>
        <v>0</v>
      </c>
      <c r="I416" s="24">
        <f t="shared" si="6"/>
        <v>0</v>
      </c>
      <c r="J416" s="24">
        <f t="shared" si="7"/>
        <v>0</v>
      </c>
      <c r="K416" s="24"/>
      <c r="L416" s="24">
        <f t="shared" si="8"/>
        <v>425.4119815</v>
      </c>
      <c r="M416" s="31">
        <f t="shared" si="9"/>
        <v>424.1313929</v>
      </c>
      <c r="N416" s="27">
        <f t="shared" si="10"/>
        <v>1.280588547</v>
      </c>
      <c r="O416" s="24"/>
      <c r="P416" s="24"/>
      <c r="Q416" s="24"/>
      <c r="R416" s="26"/>
      <c r="S416" s="14">
        <f t="shared" si="13"/>
        <v>1.175959508</v>
      </c>
    </row>
    <row r="417">
      <c r="A417" s="11">
        <v>405.0</v>
      </c>
      <c r="B417" s="11">
        <v>1.42115652173913E9</v>
      </c>
      <c r="C417" s="2">
        <v>-102.5264664</v>
      </c>
      <c r="D417" s="3">
        <f t="shared" si="1"/>
        <v>756521.7391</v>
      </c>
      <c r="E417" s="4">
        <f t="shared" si="2"/>
        <v>-160.7018231</v>
      </c>
      <c r="F417" s="3">
        <f t="shared" si="3"/>
        <v>0.0002124219501</v>
      </c>
      <c r="G417" s="3">
        <f t="shared" si="4"/>
        <v>0</v>
      </c>
      <c r="H417" s="2">
        <f t="shared" si="5"/>
        <v>0</v>
      </c>
      <c r="I417" s="3">
        <f t="shared" si="6"/>
        <v>0</v>
      </c>
      <c r="J417" s="3">
        <f t="shared" si="7"/>
        <v>0</v>
      </c>
      <c r="K417" s="3"/>
      <c r="L417" s="3">
        <f t="shared" si="8"/>
        <v>425.0690921</v>
      </c>
      <c r="M417" s="31">
        <f t="shared" si="9"/>
        <v>424.0423421</v>
      </c>
      <c r="N417" s="14">
        <f t="shared" si="10"/>
        <v>1.026749929</v>
      </c>
      <c r="O417" s="3"/>
      <c r="P417" s="3"/>
      <c r="Q417" s="3"/>
      <c r="R417" s="2"/>
      <c r="S417" s="14">
        <f t="shared" si="13"/>
        <v>0.9428604892</v>
      </c>
    </row>
    <row r="418">
      <c r="A418" s="11">
        <v>406.0</v>
      </c>
      <c r="B418" s="11">
        <v>1.42116086956521E9</v>
      </c>
      <c r="C418" s="2">
        <v>-102.5462494</v>
      </c>
      <c r="D418" s="3">
        <f t="shared" si="1"/>
        <v>760869.5652</v>
      </c>
      <c r="E418" s="4">
        <f t="shared" si="2"/>
        <v>-161.6201193</v>
      </c>
      <c r="F418" s="3">
        <f t="shared" si="3"/>
        <v>0.0002124150139</v>
      </c>
      <c r="G418" s="3">
        <f t="shared" si="4"/>
        <v>0</v>
      </c>
      <c r="H418" s="2">
        <f t="shared" si="5"/>
        <v>0</v>
      </c>
      <c r="I418" s="3">
        <f t="shared" si="6"/>
        <v>0</v>
      </c>
      <c r="J418" s="3">
        <f t="shared" si="7"/>
        <v>0</v>
      </c>
      <c r="K418" s="3"/>
      <c r="L418" s="3">
        <f t="shared" si="8"/>
        <v>423.137219</v>
      </c>
      <c r="M418" s="31">
        <f t="shared" si="9"/>
        <v>423.9529868</v>
      </c>
      <c r="N418" s="14">
        <f t="shared" si="10"/>
        <v>-0.8157678413</v>
      </c>
      <c r="O418" s="3"/>
      <c r="P418" s="3"/>
      <c r="Q418" s="3"/>
      <c r="R418" s="2"/>
      <c r="S418" s="14">
        <f t="shared" si="13"/>
        <v>-0.749116454</v>
      </c>
    </row>
    <row r="419">
      <c r="A419" s="11">
        <v>407.0</v>
      </c>
      <c r="B419" s="11">
        <v>1.4211652173913E9</v>
      </c>
      <c r="C419" s="2">
        <v>-102.5576935</v>
      </c>
      <c r="D419" s="3">
        <f t="shared" si="1"/>
        <v>765217.3913</v>
      </c>
      <c r="E419" s="4">
        <f t="shared" si="2"/>
        <v>-162.5384154</v>
      </c>
      <c r="F419" s="3">
        <f t="shared" si="3"/>
        <v>0.0002124081565</v>
      </c>
      <c r="G419" s="3">
        <f t="shared" si="4"/>
        <v>0</v>
      </c>
      <c r="H419" s="2">
        <f t="shared" si="5"/>
        <v>0</v>
      </c>
      <c r="I419" s="3">
        <f t="shared" si="6"/>
        <v>0</v>
      </c>
      <c r="J419" s="3">
        <f t="shared" si="7"/>
        <v>0</v>
      </c>
      <c r="K419" s="3"/>
      <c r="L419" s="3">
        <f t="shared" si="8"/>
        <v>422.0236773</v>
      </c>
      <c r="M419" s="31">
        <f t="shared" si="9"/>
        <v>423.8633237</v>
      </c>
      <c r="N419" s="14">
        <f t="shared" si="10"/>
        <v>-1.839646399</v>
      </c>
      <c r="O419" s="3"/>
      <c r="P419" s="3"/>
      <c r="Q419" s="3"/>
      <c r="R419" s="2"/>
      <c r="S419" s="14">
        <f t="shared" si="13"/>
        <v>-1.68934017</v>
      </c>
    </row>
    <row r="420">
      <c r="A420" s="11">
        <v>408.0</v>
      </c>
      <c r="B420" s="11">
        <v>1.42116956521739E9</v>
      </c>
      <c r="C420" s="2">
        <v>-102.5917358</v>
      </c>
      <c r="D420" s="3">
        <f t="shared" si="1"/>
        <v>769565.2174</v>
      </c>
      <c r="E420" s="4">
        <f t="shared" si="2"/>
        <v>-163.4567115</v>
      </c>
      <c r="F420" s="3">
        <f t="shared" si="3"/>
        <v>0.0002124013765</v>
      </c>
      <c r="G420" s="3">
        <f t="shared" si="4"/>
        <v>0</v>
      </c>
      <c r="H420" s="2">
        <f t="shared" si="5"/>
        <v>0</v>
      </c>
      <c r="I420" s="3">
        <f t="shared" si="6"/>
        <v>0</v>
      </c>
      <c r="J420" s="3">
        <f t="shared" si="7"/>
        <v>0</v>
      </c>
      <c r="K420" s="3"/>
      <c r="L420" s="3">
        <f t="shared" si="8"/>
        <v>418.7285636</v>
      </c>
      <c r="M420" s="31">
        <f t="shared" si="9"/>
        <v>423.7733495</v>
      </c>
      <c r="N420" s="14">
        <f t="shared" si="10"/>
        <v>-5.044785817</v>
      </c>
      <c r="O420" s="3"/>
      <c r="P420" s="3"/>
      <c r="Q420" s="3"/>
      <c r="R420" s="2"/>
      <c r="S420" s="14">
        <f t="shared" si="13"/>
        <v>-4.632607306</v>
      </c>
    </row>
    <row r="421">
      <c r="A421" s="11">
        <v>409.0</v>
      </c>
      <c r="B421" s="11">
        <v>1.42117391304347E9</v>
      </c>
      <c r="C421" s="2">
        <v>-102.5495682</v>
      </c>
      <c r="D421" s="3">
        <f t="shared" si="1"/>
        <v>773913.0435</v>
      </c>
      <c r="E421" s="4">
        <f t="shared" si="2"/>
        <v>-164.3750077</v>
      </c>
      <c r="F421" s="3">
        <f t="shared" si="3"/>
        <v>0.0002123946728</v>
      </c>
      <c r="G421" s="3">
        <f t="shared" si="4"/>
        <v>0</v>
      </c>
      <c r="H421" s="2">
        <f t="shared" si="5"/>
        <v>0</v>
      </c>
      <c r="I421" s="3">
        <f t="shared" si="6"/>
        <v>0</v>
      </c>
      <c r="J421" s="3">
        <f t="shared" si="7"/>
        <v>0</v>
      </c>
      <c r="K421" s="3"/>
      <c r="L421" s="3">
        <f t="shared" si="8"/>
        <v>422.8139887</v>
      </c>
      <c r="M421" s="31">
        <f t="shared" si="9"/>
        <v>423.6830609</v>
      </c>
      <c r="N421" s="14">
        <f t="shared" si="10"/>
        <v>-0.86907218</v>
      </c>
      <c r="O421" s="3"/>
      <c r="P421" s="3"/>
      <c r="Q421" s="3"/>
      <c r="R421" s="2"/>
      <c r="S421" s="14">
        <f t="shared" si="13"/>
        <v>-0.7980656221</v>
      </c>
    </row>
    <row r="422">
      <c r="A422" s="11">
        <v>410.0</v>
      </c>
      <c r="B422" s="11">
        <v>1.42117826086956E9</v>
      </c>
      <c r="C422" s="2">
        <v>-102.5684662</v>
      </c>
      <c r="D422" s="3">
        <f t="shared" si="1"/>
        <v>778260.8696</v>
      </c>
      <c r="E422" s="4">
        <f t="shared" si="2"/>
        <v>-165.2933038</v>
      </c>
      <c r="F422" s="3">
        <f t="shared" si="3"/>
        <v>0.000212388044</v>
      </c>
      <c r="G422" s="3">
        <f t="shared" si="4"/>
        <v>0</v>
      </c>
      <c r="H422" s="2">
        <f t="shared" si="5"/>
        <v>0</v>
      </c>
      <c r="I422" s="3">
        <f t="shared" si="6"/>
        <v>0</v>
      </c>
      <c r="J422" s="3">
        <f t="shared" si="7"/>
        <v>0</v>
      </c>
      <c r="K422" s="3"/>
      <c r="L422" s="3">
        <f t="shared" si="8"/>
        <v>420.9781424</v>
      </c>
      <c r="M422" s="31">
        <f t="shared" si="9"/>
        <v>423.5924546</v>
      </c>
      <c r="N422" s="14">
        <f t="shared" si="10"/>
        <v>-2.614312237</v>
      </c>
      <c r="O422" s="3"/>
      <c r="P422" s="3"/>
      <c r="Q422" s="3"/>
      <c r="R422" s="2"/>
      <c r="S422" s="14">
        <f t="shared" si="13"/>
        <v>-2.400712811</v>
      </c>
    </row>
    <row r="423">
      <c r="A423" s="11">
        <v>411.0</v>
      </c>
      <c r="B423" s="11">
        <v>1.42118260869565E9</v>
      </c>
      <c r="C423" s="2">
        <v>-102.5670776</v>
      </c>
      <c r="D423" s="3">
        <f t="shared" si="1"/>
        <v>782608.6957</v>
      </c>
      <c r="E423" s="4">
        <f t="shared" si="2"/>
        <v>-166.2115999</v>
      </c>
      <c r="F423" s="3">
        <f t="shared" si="3"/>
        <v>0.0002123814888</v>
      </c>
      <c r="G423" s="3">
        <f t="shared" si="4"/>
        <v>0</v>
      </c>
      <c r="H423" s="2">
        <f t="shared" si="5"/>
        <v>0</v>
      </c>
      <c r="I423" s="3">
        <f t="shared" si="6"/>
        <v>0</v>
      </c>
      <c r="J423" s="3">
        <f t="shared" si="7"/>
        <v>0</v>
      </c>
      <c r="K423" s="3"/>
      <c r="L423" s="3">
        <f t="shared" si="8"/>
        <v>421.1127662</v>
      </c>
      <c r="M423" s="31">
        <f t="shared" si="9"/>
        <v>423.5015274</v>
      </c>
      <c r="N423" s="14">
        <f t="shared" si="10"/>
        <v>-2.388761238</v>
      </c>
      <c r="O423" s="3"/>
      <c r="P423" s="3"/>
      <c r="Q423" s="3"/>
      <c r="R423" s="2"/>
      <c r="S423" s="14">
        <f t="shared" si="13"/>
        <v>-2.193590207</v>
      </c>
    </row>
    <row r="424">
      <c r="A424" s="11">
        <v>412.0</v>
      </c>
      <c r="B424" s="11">
        <v>1.42118695652173E9</v>
      </c>
      <c r="C424" s="2">
        <v>-102.5669785</v>
      </c>
      <c r="D424" s="3">
        <f t="shared" si="1"/>
        <v>786956.5217</v>
      </c>
      <c r="E424" s="4">
        <f t="shared" si="2"/>
        <v>-167.129896</v>
      </c>
      <c r="F424" s="3">
        <f t="shared" si="3"/>
        <v>0.000212375006</v>
      </c>
      <c r="G424" s="3">
        <f t="shared" si="4"/>
        <v>0</v>
      </c>
      <c r="H424" s="2">
        <f t="shared" si="5"/>
        <v>0</v>
      </c>
      <c r="I424" s="3">
        <f t="shared" si="6"/>
        <v>0</v>
      </c>
      <c r="J424" s="3">
        <f t="shared" si="7"/>
        <v>0</v>
      </c>
      <c r="K424" s="3"/>
      <c r="L424" s="3">
        <f t="shared" si="8"/>
        <v>421.1223755</v>
      </c>
      <c r="M424" s="31">
        <f t="shared" si="9"/>
        <v>423.410276</v>
      </c>
      <c r="N424" s="14">
        <f t="shared" si="10"/>
        <v>-2.28790049</v>
      </c>
      <c r="O424" s="3"/>
      <c r="P424" s="3"/>
      <c r="Q424" s="3"/>
      <c r="R424" s="2"/>
      <c r="S424" s="14">
        <f t="shared" si="13"/>
        <v>-2.100970172</v>
      </c>
    </row>
    <row r="425">
      <c r="A425" s="11">
        <v>413.0</v>
      </c>
      <c r="B425" s="11">
        <v>1.42119130434782E9</v>
      </c>
      <c r="C425" s="2">
        <v>-102.5584641</v>
      </c>
      <c r="D425" s="3">
        <f t="shared" si="1"/>
        <v>791304.3478</v>
      </c>
      <c r="E425" s="4">
        <f t="shared" si="2"/>
        <v>-168.0481922</v>
      </c>
      <c r="F425" s="3">
        <f t="shared" si="3"/>
        <v>0.0002123685945</v>
      </c>
      <c r="G425" s="3">
        <f t="shared" si="4"/>
        <v>0</v>
      </c>
      <c r="H425" s="2">
        <f t="shared" si="5"/>
        <v>0</v>
      </c>
      <c r="I425" s="3">
        <f t="shared" si="6"/>
        <v>0</v>
      </c>
      <c r="J425" s="3">
        <f t="shared" si="7"/>
        <v>0</v>
      </c>
      <c r="K425" s="3"/>
      <c r="L425" s="3">
        <f t="shared" si="8"/>
        <v>421.9488012</v>
      </c>
      <c r="M425" s="31">
        <f t="shared" si="9"/>
        <v>423.318697</v>
      </c>
      <c r="N425" s="14">
        <f t="shared" si="10"/>
        <v>-1.369895802</v>
      </c>
      <c r="O425" s="3"/>
      <c r="P425" s="3"/>
      <c r="Q425" s="3"/>
      <c r="R425" s="2"/>
      <c r="S425" s="14">
        <f t="shared" si="13"/>
        <v>-1.257970017</v>
      </c>
    </row>
    <row r="426">
      <c r="A426" s="11">
        <v>414.0</v>
      </c>
      <c r="B426" s="11">
        <v>1.42119565217391E9</v>
      </c>
      <c r="C426" s="2">
        <v>-102.5331726</v>
      </c>
      <c r="D426" s="3">
        <f t="shared" si="1"/>
        <v>795652.1739</v>
      </c>
      <c r="E426" s="4">
        <f t="shared" si="2"/>
        <v>-168.9664883</v>
      </c>
      <c r="F426" s="3">
        <f t="shared" si="3"/>
        <v>0.0002123622531</v>
      </c>
      <c r="G426" s="3">
        <f t="shared" si="4"/>
        <v>0</v>
      </c>
      <c r="H426" s="2">
        <f t="shared" si="5"/>
        <v>0</v>
      </c>
      <c r="I426" s="3">
        <f t="shared" si="6"/>
        <v>0</v>
      </c>
      <c r="J426" s="3">
        <f t="shared" si="7"/>
        <v>0</v>
      </c>
      <c r="K426" s="3"/>
      <c r="L426" s="3">
        <f t="shared" si="8"/>
        <v>424.4132241</v>
      </c>
      <c r="M426" s="31">
        <f t="shared" si="9"/>
        <v>423.2267873</v>
      </c>
      <c r="N426" s="14">
        <f t="shared" si="10"/>
        <v>1.186436737</v>
      </c>
      <c r="O426" s="3"/>
      <c r="P426" s="3"/>
      <c r="Q426" s="3"/>
      <c r="R426" s="2"/>
      <c r="S426" s="14">
        <f t="shared" si="13"/>
        <v>1.089500265</v>
      </c>
    </row>
    <row r="427">
      <c r="A427" s="11">
        <v>415.0</v>
      </c>
      <c r="B427" s="11">
        <v>1.4212E9</v>
      </c>
      <c r="C427" s="2">
        <v>-102.5300827</v>
      </c>
      <c r="D427" s="3">
        <f t="shared" si="1"/>
        <v>800000</v>
      </c>
      <c r="E427" s="4">
        <f t="shared" si="2"/>
        <v>-169.8847844</v>
      </c>
      <c r="F427" s="3">
        <f t="shared" si="3"/>
        <v>0.0002123559806</v>
      </c>
      <c r="G427" s="3">
        <f t="shared" si="4"/>
        <v>0</v>
      </c>
      <c r="H427" s="2">
        <f t="shared" si="5"/>
        <v>0</v>
      </c>
      <c r="I427" s="3">
        <f t="shared" si="6"/>
        <v>0</v>
      </c>
      <c r="J427" s="3">
        <f t="shared" si="7"/>
        <v>0</v>
      </c>
      <c r="K427" s="3"/>
      <c r="L427" s="3">
        <f t="shared" si="8"/>
        <v>424.7152912</v>
      </c>
      <c r="M427" s="31">
        <f t="shared" si="9"/>
        <v>423.1345435</v>
      </c>
      <c r="N427" s="14">
        <f t="shared" si="10"/>
        <v>1.580747689</v>
      </c>
      <c r="O427" s="3"/>
      <c r="P427" s="3"/>
      <c r="Q427" s="3"/>
      <c r="R427" s="2"/>
      <c r="S427" s="14">
        <f t="shared" si="13"/>
        <v>1.451594489</v>
      </c>
    </row>
    <row r="428">
      <c r="A428" s="11">
        <v>416.0</v>
      </c>
      <c r="B428" s="11">
        <v>1.42120434782608E9</v>
      </c>
      <c r="C428" s="2">
        <v>-102.5643997</v>
      </c>
      <c r="D428" s="3">
        <f t="shared" si="1"/>
        <v>804347.8261</v>
      </c>
      <c r="E428" s="4">
        <f t="shared" si="2"/>
        <v>-170.8030806</v>
      </c>
      <c r="F428" s="3">
        <f t="shared" si="3"/>
        <v>0.0002123497759</v>
      </c>
      <c r="G428" s="3">
        <f t="shared" si="4"/>
        <v>0</v>
      </c>
      <c r="H428" s="2">
        <f t="shared" si="5"/>
        <v>0</v>
      </c>
      <c r="I428" s="3">
        <f t="shared" si="6"/>
        <v>0</v>
      </c>
      <c r="J428" s="3">
        <f t="shared" si="7"/>
        <v>0</v>
      </c>
      <c r="K428" s="3"/>
      <c r="L428" s="3">
        <f t="shared" si="8"/>
        <v>421.3725083</v>
      </c>
      <c r="M428" s="31">
        <f t="shared" si="9"/>
        <v>423.0419624</v>
      </c>
      <c r="N428" s="14">
        <f t="shared" si="10"/>
        <v>-1.669454147</v>
      </c>
      <c r="O428" s="3"/>
      <c r="P428" s="3"/>
      <c r="Q428" s="3"/>
      <c r="R428" s="2"/>
      <c r="S428" s="14">
        <f t="shared" si="13"/>
        <v>-1.533053287</v>
      </c>
    </row>
    <row r="429">
      <c r="A429" s="11">
        <v>417.0</v>
      </c>
      <c r="B429" s="11">
        <v>1.42120869565217E9</v>
      </c>
      <c r="C429" s="2">
        <v>-102.4891739</v>
      </c>
      <c r="D429" s="3">
        <f t="shared" si="1"/>
        <v>808695.6522</v>
      </c>
      <c r="E429" s="4">
        <f t="shared" si="2"/>
        <v>-171.7213767</v>
      </c>
      <c r="F429" s="3">
        <f t="shared" si="3"/>
        <v>0.0002123436379</v>
      </c>
      <c r="G429" s="3">
        <f t="shared" si="4"/>
        <v>0</v>
      </c>
      <c r="H429" s="2">
        <f t="shared" si="5"/>
        <v>0</v>
      </c>
      <c r="I429" s="3">
        <f t="shared" si="6"/>
        <v>0</v>
      </c>
      <c r="J429" s="3">
        <f t="shared" si="7"/>
        <v>0</v>
      </c>
      <c r="K429" s="3"/>
      <c r="L429" s="3">
        <f t="shared" si="8"/>
        <v>428.7348406</v>
      </c>
      <c r="M429" s="31">
        <f t="shared" si="9"/>
        <v>422.9490406</v>
      </c>
      <c r="N429" s="14">
        <f t="shared" si="10"/>
        <v>5.785799996</v>
      </c>
      <c r="O429" s="3"/>
      <c r="P429" s="3"/>
      <c r="Q429" s="3"/>
      <c r="R429" s="2"/>
      <c r="S429" s="14">
        <f t="shared" si="13"/>
        <v>5.313077749</v>
      </c>
    </row>
    <row r="430">
      <c r="A430" s="11">
        <v>418.0</v>
      </c>
      <c r="B430" s="11">
        <v>1.42121304347826E9</v>
      </c>
      <c r="C430" s="2">
        <v>-102.5142899</v>
      </c>
      <c r="D430" s="3">
        <f t="shared" si="1"/>
        <v>813043.4783</v>
      </c>
      <c r="E430" s="4">
        <f t="shared" si="2"/>
        <v>-172.6396728</v>
      </c>
      <c r="F430" s="3">
        <f t="shared" si="3"/>
        <v>0.0002123375655</v>
      </c>
      <c r="G430" s="3">
        <f t="shared" si="4"/>
        <v>0</v>
      </c>
      <c r="H430" s="2">
        <f t="shared" si="5"/>
        <v>0</v>
      </c>
      <c r="I430" s="3">
        <f t="shared" si="6"/>
        <v>0</v>
      </c>
      <c r="J430" s="3">
        <f t="shared" si="7"/>
        <v>0</v>
      </c>
      <c r="K430" s="3"/>
      <c r="L430" s="3">
        <f t="shared" si="8"/>
        <v>426.2625487</v>
      </c>
      <c r="M430" s="31">
        <f t="shared" si="9"/>
        <v>422.855775</v>
      </c>
      <c r="N430" s="14">
        <f t="shared" si="10"/>
        <v>3.406773771</v>
      </c>
      <c r="O430" s="3"/>
      <c r="P430" s="3"/>
      <c r="Q430" s="3"/>
      <c r="R430" s="2"/>
      <c r="S430" s="14">
        <f t="shared" si="13"/>
        <v>3.12842718</v>
      </c>
    </row>
    <row r="431">
      <c r="A431" s="11">
        <v>419.0</v>
      </c>
      <c r="B431" s="11">
        <v>1.42121739130434E9</v>
      </c>
      <c r="C431" s="2">
        <v>-102.5713577</v>
      </c>
      <c r="D431" s="3">
        <f t="shared" si="1"/>
        <v>817391.3043</v>
      </c>
      <c r="E431" s="4">
        <f t="shared" si="2"/>
        <v>-173.557969</v>
      </c>
      <c r="F431" s="3">
        <f t="shared" si="3"/>
        <v>0.0002123315578</v>
      </c>
      <c r="G431" s="3">
        <f t="shared" si="4"/>
        <v>0</v>
      </c>
      <c r="H431" s="2">
        <f t="shared" si="5"/>
        <v>0</v>
      </c>
      <c r="I431" s="3">
        <f t="shared" si="6"/>
        <v>0</v>
      </c>
      <c r="J431" s="3">
        <f t="shared" si="7"/>
        <v>0</v>
      </c>
      <c r="K431" s="3"/>
      <c r="L431" s="3">
        <f t="shared" si="8"/>
        <v>420.6979516</v>
      </c>
      <c r="M431" s="31">
        <f t="shared" si="9"/>
        <v>422.7621621</v>
      </c>
      <c r="N431" s="14">
        <f t="shared" si="10"/>
        <v>-2.064210539</v>
      </c>
      <c r="O431" s="3"/>
      <c r="P431" s="3"/>
      <c r="Q431" s="3"/>
      <c r="R431" s="2"/>
      <c r="S431" s="14">
        <f t="shared" si="13"/>
        <v>-1.895556555</v>
      </c>
    </row>
    <row r="432">
      <c r="A432" s="11">
        <v>420.0</v>
      </c>
      <c r="B432" s="11">
        <v>1.42122173913043E9</v>
      </c>
      <c r="C432" s="2">
        <v>-102.5238419</v>
      </c>
      <c r="D432" s="3">
        <f t="shared" si="1"/>
        <v>821739.1304</v>
      </c>
      <c r="E432" s="4">
        <f t="shared" si="2"/>
        <v>-174.4762651</v>
      </c>
      <c r="F432" s="3">
        <f t="shared" si="3"/>
        <v>0.0002123256136</v>
      </c>
      <c r="G432" s="3">
        <f t="shared" si="4"/>
        <v>0</v>
      </c>
      <c r="H432" s="2">
        <f t="shared" si="5"/>
        <v>0</v>
      </c>
      <c r="I432" s="3">
        <f t="shared" si="6"/>
        <v>0</v>
      </c>
      <c r="J432" s="3">
        <f t="shared" si="7"/>
        <v>0</v>
      </c>
      <c r="K432" s="3"/>
      <c r="L432" s="3">
        <f t="shared" si="8"/>
        <v>425.3260447</v>
      </c>
      <c r="M432" s="31">
        <f t="shared" si="9"/>
        <v>422.6681988</v>
      </c>
      <c r="N432" s="14">
        <f t="shared" si="10"/>
        <v>2.657845915</v>
      </c>
      <c r="O432" s="3"/>
      <c r="P432" s="3"/>
      <c r="Q432" s="3"/>
      <c r="R432" s="2"/>
      <c r="S432" s="14">
        <f t="shared" si="13"/>
        <v>2.44068962</v>
      </c>
    </row>
    <row r="433">
      <c r="A433" s="11">
        <v>421.0</v>
      </c>
      <c r="B433" s="11">
        <v>1.42122608695652E9</v>
      </c>
      <c r="C433" s="2">
        <v>-102.5922699</v>
      </c>
      <c r="D433" s="3">
        <f t="shared" si="1"/>
        <v>826086.9565</v>
      </c>
      <c r="E433" s="4">
        <f t="shared" si="2"/>
        <v>-175.3945612</v>
      </c>
      <c r="F433" s="3">
        <f t="shared" si="3"/>
        <v>0.000212319732</v>
      </c>
      <c r="G433" s="3">
        <f t="shared" si="4"/>
        <v>0</v>
      </c>
      <c r="H433" s="2">
        <f t="shared" si="5"/>
        <v>0</v>
      </c>
      <c r="I433" s="3">
        <f t="shared" si="6"/>
        <v>0</v>
      </c>
      <c r="J433" s="3">
        <f t="shared" si="7"/>
        <v>0</v>
      </c>
      <c r="K433" s="3"/>
      <c r="L433" s="3">
        <f t="shared" si="8"/>
        <v>418.6770711</v>
      </c>
      <c r="M433" s="31">
        <f t="shared" si="9"/>
        <v>422.5738817</v>
      </c>
      <c r="N433" s="14">
        <f t="shared" si="10"/>
        <v>-3.896810532</v>
      </c>
      <c r="O433" s="3"/>
      <c r="P433" s="3"/>
      <c r="Q433" s="3"/>
      <c r="R433" s="2"/>
      <c r="S433" s="14">
        <f t="shared" si="13"/>
        <v>-3.578426042</v>
      </c>
    </row>
    <row r="434">
      <c r="A434" s="11">
        <v>422.0</v>
      </c>
      <c r="B434" s="11">
        <v>1.4212304347826E9</v>
      </c>
      <c r="C434" s="2">
        <v>-102.5736694</v>
      </c>
      <c r="D434" s="3">
        <f t="shared" si="1"/>
        <v>830434.7826</v>
      </c>
      <c r="E434" s="4">
        <f t="shared" si="2"/>
        <v>-176.3128574</v>
      </c>
      <c r="F434" s="3">
        <f t="shared" si="3"/>
        <v>0.000212313912</v>
      </c>
      <c r="G434" s="3">
        <f t="shared" si="4"/>
        <v>0</v>
      </c>
      <c r="H434" s="2">
        <f t="shared" si="5"/>
        <v>0</v>
      </c>
      <c r="I434" s="3">
        <f t="shared" si="6"/>
        <v>0</v>
      </c>
      <c r="J434" s="3">
        <f t="shared" si="7"/>
        <v>0</v>
      </c>
      <c r="K434" s="3"/>
      <c r="L434" s="3">
        <f t="shared" si="8"/>
        <v>420.4740784</v>
      </c>
      <c r="M434" s="31">
        <f t="shared" si="9"/>
        <v>422.4792075</v>
      </c>
      <c r="N434" s="14">
        <f t="shared" si="10"/>
        <v>-2.005129093</v>
      </c>
      <c r="O434" s="3"/>
      <c r="P434" s="3"/>
      <c r="Q434" s="3"/>
      <c r="R434" s="2"/>
      <c r="S434" s="14">
        <f t="shared" si="13"/>
        <v>-1.841302292</v>
      </c>
    </row>
    <row r="435">
      <c r="A435" s="11">
        <v>423.0</v>
      </c>
      <c r="B435" s="11">
        <v>1.42123478260869E9</v>
      </c>
      <c r="C435" s="2">
        <v>-102.5673523</v>
      </c>
      <c r="D435" s="3">
        <f t="shared" si="1"/>
        <v>834782.6087</v>
      </c>
      <c r="E435" s="4">
        <f t="shared" si="2"/>
        <v>-177.2311535</v>
      </c>
      <c r="F435" s="3">
        <f t="shared" si="3"/>
        <v>0.0002123081526</v>
      </c>
      <c r="G435" s="3">
        <f t="shared" si="4"/>
        <v>0</v>
      </c>
      <c r="H435" s="2">
        <f t="shared" si="5"/>
        <v>0</v>
      </c>
      <c r="I435" s="3">
        <f t="shared" si="6"/>
        <v>0</v>
      </c>
      <c r="J435" s="3">
        <f t="shared" si="7"/>
        <v>0</v>
      </c>
      <c r="K435" s="3"/>
      <c r="L435" s="3">
        <f t="shared" si="8"/>
        <v>421.0861308</v>
      </c>
      <c r="M435" s="31">
        <f t="shared" si="9"/>
        <v>422.3841731</v>
      </c>
      <c r="N435" s="14">
        <f t="shared" si="10"/>
        <v>-1.298042297</v>
      </c>
      <c r="O435" s="3"/>
      <c r="P435" s="3"/>
      <c r="Q435" s="3"/>
      <c r="R435" s="2"/>
      <c r="S435" s="14">
        <f t="shared" si="13"/>
        <v>-1.191987221</v>
      </c>
    </row>
    <row r="436">
      <c r="A436" s="11">
        <v>424.0</v>
      </c>
      <c r="B436" s="11">
        <v>1.42123913043478E9</v>
      </c>
      <c r="C436" s="2">
        <v>-102.5449295</v>
      </c>
      <c r="D436" s="3">
        <f t="shared" si="1"/>
        <v>839130.4348</v>
      </c>
      <c r="E436" s="4">
        <f t="shared" si="2"/>
        <v>-178.1494496</v>
      </c>
      <c r="F436" s="3">
        <f t="shared" si="3"/>
        <v>0.0002123024529</v>
      </c>
      <c r="G436" s="3">
        <f t="shared" si="4"/>
        <v>0</v>
      </c>
      <c r="H436" s="2">
        <f t="shared" si="5"/>
        <v>0</v>
      </c>
      <c r="I436" s="3">
        <f t="shared" si="6"/>
        <v>0</v>
      </c>
      <c r="J436" s="3">
        <f t="shared" si="7"/>
        <v>0</v>
      </c>
      <c r="K436" s="3"/>
      <c r="L436" s="3">
        <f t="shared" si="8"/>
        <v>423.2658376</v>
      </c>
      <c r="M436" s="31">
        <f t="shared" si="9"/>
        <v>422.288775</v>
      </c>
      <c r="N436" s="14">
        <f t="shared" si="10"/>
        <v>0.9770626265</v>
      </c>
      <c r="O436" s="3"/>
      <c r="P436" s="3"/>
      <c r="Q436" s="3"/>
      <c r="R436" s="2"/>
      <c r="S436" s="14">
        <f t="shared" si="13"/>
        <v>0.8972328294</v>
      </c>
    </row>
    <row r="437">
      <c r="A437" s="11">
        <v>425.0</v>
      </c>
      <c r="B437" s="11">
        <v>1.42124347826087E9</v>
      </c>
      <c r="C437" s="2">
        <v>-102.6010513</v>
      </c>
      <c r="D437" s="3">
        <f t="shared" si="1"/>
        <v>843478.2609</v>
      </c>
      <c r="E437" s="4">
        <f t="shared" si="2"/>
        <v>-179.0677458</v>
      </c>
      <c r="F437" s="3">
        <f t="shared" si="3"/>
        <v>0.000212296812</v>
      </c>
      <c r="G437" s="3">
        <f t="shared" si="4"/>
        <v>0</v>
      </c>
      <c r="H437" s="2">
        <f t="shared" si="5"/>
        <v>0</v>
      </c>
      <c r="I437" s="3">
        <f t="shared" si="6"/>
        <v>0</v>
      </c>
      <c r="J437" s="3">
        <f t="shared" si="7"/>
        <v>0</v>
      </c>
      <c r="K437" s="3"/>
      <c r="L437" s="3">
        <f t="shared" si="8"/>
        <v>417.8313647</v>
      </c>
      <c r="M437" s="31">
        <f t="shared" si="9"/>
        <v>422.1930101</v>
      </c>
      <c r="N437" s="14">
        <f t="shared" si="10"/>
        <v>-4.361645358</v>
      </c>
      <c r="O437" s="3"/>
      <c r="P437" s="3"/>
      <c r="Q437" s="3"/>
      <c r="R437" s="2"/>
      <c r="S437" s="14">
        <f t="shared" si="13"/>
        <v>-4.005282065</v>
      </c>
    </row>
    <row r="438">
      <c r="A438" s="11">
        <v>426.0</v>
      </c>
      <c r="B438" s="11">
        <v>1.42124782608695E9</v>
      </c>
      <c r="C438" s="2">
        <v>-102.5751724</v>
      </c>
      <c r="D438" s="3">
        <f t="shared" si="1"/>
        <v>847826.087</v>
      </c>
      <c r="E438" s="4">
        <f t="shared" si="2"/>
        <v>-179.9860419</v>
      </c>
      <c r="F438" s="3">
        <f t="shared" si="3"/>
        <v>0.0002122912289</v>
      </c>
      <c r="G438" s="3">
        <f t="shared" si="4"/>
        <v>0</v>
      </c>
      <c r="H438" s="2">
        <f t="shared" si="5"/>
        <v>0</v>
      </c>
      <c r="I438" s="3">
        <f t="shared" si="6"/>
        <v>0</v>
      </c>
      <c r="J438" s="3">
        <f t="shared" si="7"/>
        <v>0</v>
      </c>
      <c r="K438" s="3"/>
      <c r="L438" s="3">
        <f t="shared" si="8"/>
        <v>420.3285865</v>
      </c>
      <c r="M438" s="31">
        <f t="shared" si="9"/>
        <v>422.096875</v>
      </c>
      <c r="N438" s="14">
        <f t="shared" si="10"/>
        <v>-1.768288402</v>
      </c>
      <c r="O438" s="3"/>
      <c r="P438" s="3"/>
      <c r="Q438" s="3"/>
      <c r="R438" s="2"/>
      <c r="S438" s="14">
        <f t="shared" si="13"/>
        <v>-1.623812401</v>
      </c>
    </row>
    <row r="439">
      <c r="A439" s="11">
        <v>427.0</v>
      </c>
      <c r="B439" s="11">
        <v>1.42125217391304E9</v>
      </c>
      <c r="C439" s="2">
        <v>-102.4783554</v>
      </c>
      <c r="D439" s="3">
        <f t="shared" si="1"/>
        <v>852173.913</v>
      </c>
      <c r="E439" s="4">
        <f t="shared" si="2"/>
        <v>-180.904338</v>
      </c>
      <c r="F439" s="3">
        <f t="shared" si="3"/>
        <v>0.0002122857028</v>
      </c>
      <c r="G439" s="3">
        <f t="shared" si="4"/>
        <v>0</v>
      </c>
      <c r="H439" s="2">
        <f t="shared" si="5"/>
        <v>0</v>
      </c>
      <c r="I439" s="3">
        <f t="shared" si="6"/>
        <v>0</v>
      </c>
      <c r="J439" s="3">
        <f t="shared" si="7"/>
        <v>0</v>
      </c>
      <c r="K439" s="3"/>
      <c r="L439" s="3">
        <f t="shared" si="8"/>
        <v>429.8041726</v>
      </c>
      <c r="M439" s="31">
        <f t="shared" si="9"/>
        <v>422.0003664</v>
      </c>
      <c r="N439" s="14">
        <f t="shared" si="10"/>
        <v>7.803806215</v>
      </c>
      <c r="O439" s="3"/>
      <c r="P439" s="3"/>
      <c r="Q439" s="3"/>
      <c r="R439" s="2"/>
      <c r="S439" s="14">
        <f t="shared" si="13"/>
        <v>7.166205052</v>
      </c>
    </row>
    <row r="440">
      <c r="A440" s="11">
        <v>428.0</v>
      </c>
      <c r="B440" s="11">
        <v>1.42125652173913E9</v>
      </c>
      <c r="C440" s="2">
        <v>-102.5204391</v>
      </c>
      <c r="D440" s="3">
        <f t="shared" si="1"/>
        <v>856521.7391</v>
      </c>
      <c r="E440" s="4">
        <f t="shared" si="2"/>
        <v>-181.8226342</v>
      </c>
      <c r="F440" s="3">
        <f t="shared" si="3"/>
        <v>0.0002122802328</v>
      </c>
      <c r="G440" s="3">
        <f t="shared" si="4"/>
        <v>0</v>
      </c>
      <c r="H440" s="2">
        <f t="shared" si="5"/>
        <v>0</v>
      </c>
      <c r="I440" s="3">
        <f t="shared" si="6"/>
        <v>0</v>
      </c>
      <c r="J440" s="3">
        <f t="shared" si="7"/>
        <v>0</v>
      </c>
      <c r="K440" s="3"/>
      <c r="L440" s="3">
        <f t="shared" si="8"/>
        <v>425.6594283</v>
      </c>
      <c r="M440" s="31">
        <f t="shared" si="9"/>
        <v>421.9034811</v>
      </c>
      <c r="N440" s="14">
        <f t="shared" si="10"/>
        <v>3.755947166</v>
      </c>
      <c r="O440" s="3"/>
      <c r="P440" s="3"/>
      <c r="Q440" s="3"/>
      <c r="R440" s="2"/>
      <c r="S440" s="14">
        <f t="shared" si="13"/>
        <v>3.449071758</v>
      </c>
    </row>
    <row r="441">
      <c r="A441" s="11">
        <v>429.0</v>
      </c>
      <c r="B441" s="11">
        <v>1.42126086956521E9</v>
      </c>
      <c r="C441" s="2">
        <v>-102.4960785</v>
      </c>
      <c r="D441" s="3">
        <f t="shared" si="1"/>
        <v>860869.5652</v>
      </c>
      <c r="E441" s="4">
        <f t="shared" si="2"/>
        <v>-182.7409303</v>
      </c>
      <c r="F441" s="3">
        <f t="shared" si="3"/>
        <v>0.000212274818</v>
      </c>
      <c r="G441" s="3">
        <f t="shared" si="4"/>
        <v>0</v>
      </c>
      <c r="H441" s="2">
        <f t="shared" si="5"/>
        <v>0</v>
      </c>
      <c r="I441" s="3">
        <f t="shared" si="6"/>
        <v>0</v>
      </c>
      <c r="J441" s="3">
        <f t="shared" si="7"/>
        <v>0</v>
      </c>
      <c r="K441" s="3"/>
      <c r="L441" s="3">
        <f t="shared" si="8"/>
        <v>428.0537611</v>
      </c>
      <c r="M441" s="31">
        <f t="shared" si="9"/>
        <v>421.8062158</v>
      </c>
      <c r="N441" s="14">
        <f t="shared" si="10"/>
        <v>6.247545321</v>
      </c>
      <c r="O441" s="3"/>
      <c r="P441" s="3"/>
      <c r="Q441" s="3"/>
      <c r="R441" s="2"/>
      <c r="S441" s="14">
        <f t="shared" si="13"/>
        <v>5.737096708</v>
      </c>
    </row>
    <row r="442">
      <c r="A442" s="11">
        <v>430.0</v>
      </c>
      <c r="B442" s="11">
        <v>1.4212652173913E9</v>
      </c>
      <c r="C442" s="2">
        <v>-102.5970688</v>
      </c>
      <c r="D442" s="3">
        <f t="shared" si="1"/>
        <v>865217.3913</v>
      </c>
      <c r="E442" s="4">
        <f t="shared" si="2"/>
        <v>-183.6592264</v>
      </c>
      <c r="F442" s="3">
        <f t="shared" si="3"/>
        <v>0.0002122694577</v>
      </c>
      <c r="G442" s="3">
        <f t="shared" si="4"/>
        <v>0</v>
      </c>
      <c r="H442" s="2">
        <f t="shared" si="5"/>
        <v>0</v>
      </c>
      <c r="I442" s="3">
        <f t="shared" si="6"/>
        <v>0</v>
      </c>
      <c r="J442" s="3">
        <f t="shared" si="7"/>
        <v>0</v>
      </c>
      <c r="K442" s="3"/>
      <c r="L442" s="3">
        <f t="shared" si="8"/>
        <v>418.2146937</v>
      </c>
      <c r="M442" s="31">
        <f t="shared" si="9"/>
        <v>421.7085672</v>
      </c>
      <c r="N442" s="14">
        <f t="shared" si="10"/>
        <v>-3.493873559</v>
      </c>
      <c r="O442" s="3"/>
      <c r="P442" s="3"/>
      <c r="Q442" s="3"/>
      <c r="R442" s="2"/>
      <c r="S442" s="14">
        <f t="shared" si="13"/>
        <v>-3.20841057</v>
      </c>
    </row>
    <row r="443">
      <c r="A443" s="11">
        <v>431.0</v>
      </c>
      <c r="B443" s="11">
        <v>1.42126956521739E9</v>
      </c>
      <c r="C443" s="2">
        <v>-102.5085831</v>
      </c>
      <c r="D443" s="3">
        <f t="shared" si="1"/>
        <v>869565.2174</v>
      </c>
      <c r="E443" s="4">
        <f t="shared" si="2"/>
        <v>-184.5775226</v>
      </c>
      <c r="F443" s="3">
        <f t="shared" si="3"/>
        <v>0.0002122641509</v>
      </c>
      <c r="G443" s="3">
        <f t="shared" si="4"/>
        <v>0</v>
      </c>
      <c r="H443" s="2">
        <f t="shared" si="5"/>
        <v>0</v>
      </c>
      <c r="I443" s="3">
        <f t="shared" si="6"/>
        <v>0</v>
      </c>
      <c r="J443" s="3">
        <f t="shared" si="7"/>
        <v>0</v>
      </c>
      <c r="K443" s="3"/>
      <c r="L443" s="3">
        <f t="shared" si="8"/>
        <v>426.8230426</v>
      </c>
      <c r="M443" s="31">
        <f t="shared" si="9"/>
        <v>421.6105321</v>
      </c>
      <c r="N443" s="14">
        <f t="shared" si="10"/>
        <v>5.212510559</v>
      </c>
      <c r="O443" s="3"/>
      <c r="P443" s="3"/>
      <c r="Q443" s="3"/>
      <c r="R443" s="2"/>
      <c r="S443" s="14">
        <f t="shared" si="13"/>
        <v>4.786628288</v>
      </c>
    </row>
    <row r="444">
      <c r="A444" s="11">
        <v>432.0</v>
      </c>
      <c r="B444" s="11">
        <v>1.42127391304347E9</v>
      </c>
      <c r="C444" s="2">
        <v>-102.4803162</v>
      </c>
      <c r="D444" s="3">
        <f t="shared" si="1"/>
        <v>873913.0435</v>
      </c>
      <c r="E444" s="4">
        <f t="shared" si="2"/>
        <v>-185.4958187</v>
      </c>
      <c r="F444" s="3">
        <f t="shared" si="3"/>
        <v>0.000212258897</v>
      </c>
      <c r="G444" s="3">
        <f t="shared" si="4"/>
        <v>0</v>
      </c>
      <c r="H444" s="2">
        <f t="shared" si="5"/>
        <v>0</v>
      </c>
      <c r="I444" s="3">
        <f t="shared" si="6"/>
        <v>0</v>
      </c>
      <c r="J444" s="3">
        <f t="shared" si="7"/>
        <v>0</v>
      </c>
      <c r="K444" s="3"/>
      <c r="L444" s="3">
        <f t="shared" si="8"/>
        <v>429.6101637</v>
      </c>
      <c r="M444" s="31">
        <f t="shared" si="9"/>
        <v>421.5121071</v>
      </c>
      <c r="N444" s="14">
        <f t="shared" si="10"/>
        <v>8.098056677</v>
      </c>
      <c r="O444" s="3"/>
      <c r="P444" s="3"/>
      <c r="Q444" s="3"/>
      <c r="R444" s="2"/>
      <c r="S444" s="14">
        <f t="shared" si="13"/>
        <v>7.43641413</v>
      </c>
    </row>
    <row r="445">
      <c r="A445" s="11">
        <v>433.0</v>
      </c>
      <c r="B445" s="11">
        <v>1.42127826086956E9</v>
      </c>
      <c r="C445" s="2">
        <v>-102.5611954</v>
      </c>
      <c r="D445" s="3">
        <f t="shared" si="1"/>
        <v>878260.8696</v>
      </c>
      <c r="E445" s="4">
        <f t="shared" si="2"/>
        <v>-186.4141148</v>
      </c>
      <c r="F445" s="3">
        <f t="shared" si="3"/>
        <v>0.0002122536951</v>
      </c>
      <c r="G445" s="3">
        <f t="shared" si="4"/>
        <v>0</v>
      </c>
      <c r="H445" s="2">
        <f t="shared" si="5"/>
        <v>0</v>
      </c>
      <c r="I445" s="3">
        <f t="shared" si="6"/>
        <v>0</v>
      </c>
      <c r="J445" s="3">
        <f t="shared" si="7"/>
        <v>0</v>
      </c>
      <c r="K445" s="3"/>
      <c r="L445" s="3">
        <f t="shared" si="8"/>
        <v>421.6835189</v>
      </c>
      <c r="M445" s="31">
        <f t="shared" si="9"/>
        <v>421.4132889</v>
      </c>
      <c r="N445" s="14">
        <f t="shared" si="10"/>
        <v>0.2702300008</v>
      </c>
      <c r="O445" s="3"/>
      <c r="P445" s="3"/>
      <c r="Q445" s="3"/>
      <c r="R445" s="2"/>
      <c r="S445" s="14">
        <f t="shared" si="13"/>
        <v>0.2481511641</v>
      </c>
    </row>
    <row r="446">
      <c r="A446" s="11">
        <v>434.0</v>
      </c>
      <c r="B446" s="11">
        <v>1.42128260869565E9</v>
      </c>
      <c r="C446" s="2">
        <v>-102.5597916</v>
      </c>
      <c r="D446" s="3">
        <f t="shared" si="1"/>
        <v>882608.6957</v>
      </c>
      <c r="E446" s="4">
        <f t="shared" si="2"/>
        <v>-187.332411</v>
      </c>
      <c r="F446" s="3">
        <f t="shared" si="3"/>
        <v>0.0002122485444</v>
      </c>
      <c r="G446" s="3">
        <f t="shared" si="4"/>
        <v>0</v>
      </c>
      <c r="H446" s="2">
        <f t="shared" si="5"/>
        <v>0</v>
      </c>
      <c r="I446" s="3">
        <f t="shared" si="6"/>
        <v>0</v>
      </c>
      <c r="J446" s="3">
        <f t="shared" si="7"/>
        <v>0</v>
      </c>
      <c r="K446" s="3"/>
      <c r="L446" s="3">
        <f t="shared" si="8"/>
        <v>421.8198446</v>
      </c>
      <c r="M446" s="31">
        <f t="shared" si="9"/>
        <v>421.3140744</v>
      </c>
      <c r="N446" s="14">
        <f t="shared" si="10"/>
        <v>0.5057702698</v>
      </c>
      <c r="O446" s="3"/>
      <c r="P446" s="3"/>
      <c r="Q446" s="3"/>
      <c r="R446" s="2"/>
      <c r="S446" s="14">
        <f t="shared" si="13"/>
        <v>0.4644468828</v>
      </c>
    </row>
    <row r="447">
      <c r="A447" s="11">
        <v>435.0</v>
      </c>
      <c r="B447" s="11">
        <v>1.42128695652173E9</v>
      </c>
      <c r="C447" s="2">
        <v>-102.5260239</v>
      </c>
      <c r="D447" s="3">
        <f t="shared" si="1"/>
        <v>886956.5217</v>
      </c>
      <c r="E447" s="4">
        <f t="shared" si="2"/>
        <v>-188.2507071</v>
      </c>
      <c r="F447" s="3">
        <f t="shared" si="3"/>
        <v>0.0002122434443</v>
      </c>
      <c r="G447" s="3">
        <f t="shared" si="4"/>
        <v>0</v>
      </c>
      <c r="H447" s="2">
        <f t="shared" si="5"/>
        <v>0</v>
      </c>
      <c r="I447" s="3">
        <f t="shared" si="6"/>
        <v>0</v>
      </c>
      <c r="J447" s="3">
        <f t="shared" si="7"/>
        <v>0</v>
      </c>
      <c r="K447" s="3"/>
      <c r="L447" s="3">
        <f t="shared" si="8"/>
        <v>425.1124043</v>
      </c>
      <c r="M447" s="31">
        <f t="shared" si="9"/>
        <v>421.2144601</v>
      </c>
      <c r="N447" s="14">
        <f t="shared" si="10"/>
        <v>3.897944217</v>
      </c>
      <c r="O447" s="3"/>
      <c r="P447" s="3"/>
      <c r="Q447" s="3"/>
      <c r="R447" s="2"/>
      <c r="S447" s="14">
        <f t="shared" si="13"/>
        <v>3.5794671</v>
      </c>
    </row>
    <row r="448">
      <c r="A448" s="11">
        <v>436.0</v>
      </c>
      <c r="B448" s="11">
        <v>1.42129130434782E9</v>
      </c>
      <c r="C448" s="2">
        <v>-102.5763626</v>
      </c>
      <c r="D448" s="3">
        <f t="shared" si="1"/>
        <v>891304.3478</v>
      </c>
      <c r="E448" s="4">
        <f t="shared" si="2"/>
        <v>-189.1690032</v>
      </c>
      <c r="F448" s="3">
        <f t="shared" si="3"/>
        <v>0.0002122383939</v>
      </c>
      <c r="G448" s="3">
        <f t="shared" si="4"/>
        <v>0</v>
      </c>
      <c r="H448" s="2">
        <f t="shared" si="5"/>
        <v>0</v>
      </c>
      <c r="I448" s="3">
        <f t="shared" si="6"/>
        <v>0</v>
      </c>
      <c r="J448" s="3">
        <f t="shared" si="7"/>
        <v>0</v>
      </c>
      <c r="K448" s="3"/>
      <c r="L448" s="3">
        <f t="shared" si="8"/>
        <v>420.2134097</v>
      </c>
      <c r="M448" s="31">
        <f t="shared" si="9"/>
        <v>421.1144428</v>
      </c>
      <c r="N448" s="14">
        <f t="shared" si="10"/>
        <v>-0.9010331034</v>
      </c>
      <c r="O448" s="3"/>
      <c r="P448" s="3"/>
      <c r="Q448" s="3"/>
      <c r="R448" s="2"/>
      <c r="S448" s="14">
        <f t="shared" si="13"/>
        <v>-0.8274152144</v>
      </c>
    </row>
    <row r="449">
      <c r="A449" s="11">
        <v>437.0</v>
      </c>
      <c r="B449" s="11">
        <v>1.42129565217391E9</v>
      </c>
      <c r="C449" s="2">
        <v>-102.5861282</v>
      </c>
      <c r="D449" s="3">
        <f t="shared" si="1"/>
        <v>895652.1739</v>
      </c>
      <c r="E449" s="4">
        <f t="shared" si="2"/>
        <v>-190.0872994</v>
      </c>
      <c r="F449" s="3">
        <f t="shared" si="3"/>
        <v>0.0002122333925</v>
      </c>
      <c r="G449" s="3">
        <f t="shared" si="4"/>
        <v>0</v>
      </c>
      <c r="H449" s="2">
        <f t="shared" si="5"/>
        <v>0</v>
      </c>
      <c r="I449" s="3">
        <f t="shared" si="6"/>
        <v>0</v>
      </c>
      <c r="J449" s="3">
        <f t="shared" si="7"/>
        <v>0</v>
      </c>
      <c r="K449" s="3"/>
      <c r="L449" s="3">
        <f t="shared" si="8"/>
        <v>419.2695742</v>
      </c>
      <c r="M449" s="31">
        <f t="shared" si="9"/>
        <v>421.0140193</v>
      </c>
      <c r="N449" s="14">
        <f t="shared" si="10"/>
        <v>-1.744445161</v>
      </c>
      <c r="O449" s="3"/>
      <c r="P449" s="3"/>
      <c r="Q449" s="3"/>
      <c r="R449" s="2"/>
      <c r="S449" s="14">
        <f t="shared" si="13"/>
        <v>-1.601917241</v>
      </c>
    </row>
    <row r="450">
      <c r="A450" s="11">
        <v>438.0</v>
      </c>
      <c r="B450" s="11">
        <v>1.4213E9</v>
      </c>
      <c r="C450" s="2">
        <v>-102.5898056</v>
      </c>
      <c r="D450" s="3">
        <f t="shared" si="1"/>
        <v>900000</v>
      </c>
      <c r="E450" s="4">
        <f t="shared" si="2"/>
        <v>-191.0055955</v>
      </c>
      <c r="F450" s="3">
        <f t="shared" si="3"/>
        <v>0.0002122284394</v>
      </c>
      <c r="G450" s="3">
        <f t="shared" si="4"/>
        <v>0</v>
      </c>
      <c r="H450" s="2">
        <f t="shared" si="5"/>
        <v>0</v>
      </c>
      <c r="I450" s="3">
        <f t="shared" si="6"/>
        <v>0</v>
      </c>
      <c r="J450" s="3">
        <f t="shared" si="7"/>
        <v>0</v>
      </c>
      <c r="K450" s="3"/>
      <c r="L450" s="3">
        <f t="shared" si="8"/>
        <v>418.9147068</v>
      </c>
      <c r="M450" s="31">
        <f t="shared" si="9"/>
        <v>420.9131863</v>
      </c>
      <c r="N450" s="14">
        <f t="shared" si="10"/>
        <v>-1.998479463</v>
      </c>
      <c r="O450" s="3"/>
      <c r="P450" s="3"/>
      <c r="Q450" s="3"/>
      <c r="R450" s="2"/>
      <c r="S450" s="14">
        <f t="shared" si="13"/>
        <v>-1.835195962</v>
      </c>
    </row>
    <row r="451">
      <c r="A451" s="11">
        <v>439.0</v>
      </c>
      <c r="B451" s="11">
        <v>1.42130434782608E9</v>
      </c>
      <c r="C451" s="2">
        <v>-102.5611343</v>
      </c>
      <c r="D451" s="3">
        <f t="shared" si="1"/>
        <v>904347.8261</v>
      </c>
      <c r="E451" s="4">
        <f t="shared" si="2"/>
        <v>-191.9238916</v>
      </c>
      <c r="F451" s="3">
        <f t="shared" si="3"/>
        <v>0.000212223534</v>
      </c>
      <c r="G451" s="3">
        <f t="shared" si="4"/>
        <v>0</v>
      </c>
      <c r="H451" s="2">
        <f t="shared" si="5"/>
        <v>0</v>
      </c>
      <c r="I451" s="3">
        <f t="shared" si="6"/>
        <v>0</v>
      </c>
      <c r="J451" s="3">
        <f t="shared" si="7"/>
        <v>0</v>
      </c>
      <c r="K451" s="3"/>
      <c r="L451" s="3">
        <f t="shared" si="8"/>
        <v>421.6894515</v>
      </c>
      <c r="M451" s="31">
        <f t="shared" si="9"/>
        <v>420.8119404</v>
      </c>
      <c r="N451" s="14">
        <f t="shared" si="10"/>
        <v>0.877511144</v>
      </c>
      <c r="O451" s="3"/>
      <c r="P451" s="3"/>
      <c r="Q451" s="3"/>
      <c r="R451" s="2"/>
      <c r="S451" s="14">
        <f t="shared" si="13"/>
        <v>0.8058150901</v>
      </c>
    </row>
    <row r="452">
      <c r="A452" s="11">
        <v>440.0</v>
      </c>
      <c r="B452" s="11">
        <v>1.42130869565217E9</v>
      </c>
      <c r="C452" s="2">
        <v>-102.6093597</v>
      </c>
      <c r="D452" s="3">
        <f t="shared" si="1"/>
        <v>908695.6522</v>
      </c>
      <c r="E452" s="4">
        <f t="shared" si="2"/>
        <v>-192.8421877</v>
      </c>
      <c r="F452" s="3">
        <f t="shared" si="3"/>
        <v>0.0002122186755</v>
      </c>
      <c r="G452" s="3">
        <f t="shared" si="4"/>
        <v>0</v>
      </c>
      <c r="H452" s="2">
        <f t="shared" si="5"/>
        <v>0</v>
      </c>
      <c r="I452" s="3">
        <f t="shared" si="6"/>
        <v>0</v>
      </c>
      <c r="J452" s="3">
        <f t="shared" si="7"/>
        <v>0</v>
      </c>
      <c r="K452" s="3"/>
      <c r="L452" s="3">
        <f t="shared" si="8"/>
        <v>417.0327841</v>
      </c>
      <c r="M452" s="31">
        <f t="shared" si="9"/>
        <v>420.7102784</v>
      </c>
      <c r="N452" s="14">
        <f t="shared" si="10"/>
        <v>-3.677494334</v>
      </c>
      <c r="O452" s="3"/>
      <c r="P452" s="3"/>
      <c r="Q452" s="3"/>
      <c r="R452" s="2"/>
      <c r="S452" s="14">
        <f t="shared" si="13"/>
        <v>-3.377028817</v>
      </c>
    </row>
    <row r="453">
      <c r="A453" s="11">
        <v>441.0</v>
      </c>
      <c r="B453" s="11">
        <v>1.42131304347826E9</v>
      </c>
      <c r="C453" s="2">
        <v>-102.5884781</v>
      </c>
      <c r="D453" s="3">
        <f t="shared" si="1"/>
        <v>913043.4783</v>
      </c>
      <c r="E453" s="4">
        <f t="shared" si="2"/>
        <v>-193.7604839</v>
      </c>
      <c r="F453" s="3">
        <f t="shared" si="3"/>
        <v>0.0002122138633</v>
      </c>
      <c r="G453" s="3">
        <f t="shared" si="4"/>
        <v>0</v>
      </c>
      <c r="H453" s="2">
        <f t="shared" si="5"/>
        <v>0</v>
      </c>
      <c r="I453" s="3">
        <f t="shared" si="6"/>
        <v>0</v>
      </c>
      <c r="J453" s="3">
        <f t="shared" si="7"/>
        <v>0</v>
      </c>
      <c r="K453" s="3"/>
      <c r="L453" s="3">
        <f t="shared" si="8"/>
        <v>419.0427753</v>
      </c>
      <c r="M453" s="31">
        <f t="shared" si="9"/>
        <v>420.608197</v>
      </c>
      <c r="N453" s="14">
        <f t="shared" si="10"/>
        <v>-1.565421753</v>
      </c>
      <c r="O453" s="3"/>
      <c r="P453" s="3"/>
      <c r="Q453" s="3"/>
      <c r="R453" s="2"/>
      <c r="S453" s="14">
        <f t="shared" si="13"/>
        <v>-1.437520742</v>
      </c>
    </row>
    <row r="454">
      <c r="A454" s="11">
        <v>442.0</v>
      </c>
      <c r="B454" s="11">
        <v>1.42131739130434E9</v>
      </c>
      <c r="C454" s="2">
        <v>-102.6078033</v>
      </c>
      <c r="D454" s="3">
        <f t="shared" si="1"/>
        <v>917391.3043</v>
      </c>
      <c r="E454" s="4">
        <f t="shared" si="2"/>
        <v>-194.67878</v>
      </c>
      <c r="F454" s="3">
        <f t="shared" si="3"/>
        <v>0.0002122090967</v>
      </c>
      <c r="G454" s="3">
        <f t="shared" si="4"/>
        <v>0</v>
      </c>
      <c r="H454" s="2">
        <f t="shared" si="5"/>
        <v>0</v>
      </c>
      <c r="I454" s="3">
        <f t="shared" si="6"/>
        <v>0</v>
      </c>
      <c r="J454" s="3">
        <f t="shared" si="7"/>
        <v>0</v>
      </c>
      <c r="K454" s="3"/>
      <c r="L454" s="3">
        <f t="shared" si="8"/>
        <v>417.1822647</v>
      </c>
      <c r="M454" s="31">
        <f t="shared" si="9"/>
        <v>420.505693</v>
      </c>
      <c r="N454" s="14">
        <f t="shared" si="10"/>
        <v>-3.323428275</v>
      </c>
      <c r="O454" s="3"/>
      <c r="P454" s="3"/>
      <c r="Q454" s="3"/>
      <c r="R454" s="2"/>
      <c r="S454" s="14">
        <f t="shared" si="13"/>
        <v>-3.051891332</v>
      </c>
    </row>
    <row r="455">
      <c r="A455" s="11">
        <v>443.0</v>
      </c>
      <c r="B455" s="11">
        <v>1.42132173913043E9</v>
      </c>
      <c r="C455" s="2">
        <v>-102.5545273</v>
      </c>
      <c r="D455" s="3">
        <f t="shared" si="1"/>
        <v>921739.1304</v>
      </c>
      <c r="E455" s="4">
        <f t="shared" si="2"/>
        <v>-195.5970761</v>
      </c>
      <c r="F455" s="3">
        <f t="shared" si="3"/>
        <v>0.0002122043751</v>
      </c>
      <c r="G455" s="3">
        <f t="shared" si="4"/>
        <v>0</v>
      </c>
      <c r="H455" s="2">
        <f t="shared" si="5"/>
        <v>0</v>
      </c>
      <c r="I455" s="3">
        <f t="shared" si="6"/>
        <v>0</v>
      </c>
      <c r="J455" s="3">
        <f t="shared" si="7"/>
        <v>0</v>
      </c>
      <c r="K455" s="3"/>
      <c r="L455" s="3">
        <f t="shared" si="8"/>
        <v>422.3314635</v>
      </c>
      <c r="M455" s="31">
        <f t="shared" si="9"/>
        <v>420.402763</v>
      </c>
      <c r="N455" s="14">
        <f t="shared" si="10"/>
        <v>1.928700527</v>
      </c>
      <c r="O455" s="3"/>
      <c r="P455" s="3"/>
      <c r="Q455" s="3"/>
      <c r="R455" s="2"/>
      <c r="S455" s="14">
        <f t="shared" si="13"/>
        <v>1.771118231</v>
      </c>
    </row>
    <row r="456">
      <c r="A456" s="11">
        <v>444.0</v>
      </c>
      <c r="B456" s="11">
        <v>1.42132608695652E9</v>
      </c>
      <c r="C456" s="2">
        <v>-102.5541611</v>
      </c>
      <c r="D456" s="3">
        <f t="shared" si="1"/>
        <v>926086.9565</v>
      </c>
      <c r="E456" s="4">
        <f t="shared" si="2"/>
        <v>-196.5153723</v>
      </c>
      <c r="F456" s="3">
        <f t="shared" si="3"/>
        <v>0.0002121996978</v>
      </c>
      <c r="G456" s="3">
        <f t="shared" si="4"/>
        <v>0</v>
      </c>
      <c r="H456" s="2">
        <f t="shared" si="5"/>
        <v>0</v>
      </c>
      <c r="I456" s="3">
        <f t="shared" si="6"/>
        <v>0</v>
      </c>
      <c r="J456" s="3">
        <f t="shared" si="7"/>
        <v>0</v>
      </c>
      <c r="K456" s="3"/>
      <c r="L456" s="3">
        <f t="shared" si="8"/>
        <v>422.3670763</v>
      </c>
      <c r="M456" s="31">
        <f t="shared" si="9"/>
        <v>420.2994037</v>
      </c>
      <c r="N456" s="14">
        <f t="shared" si="10"/>
        <v>2.067672533</v>
      </c>
      <c r="O456" s="3"/>
      <c r="P456" s="3"/>
      <c r="Q456" s="3"/>
      <c r="R456" s="2"/>
      <c r="S456" s="14">
        <f t="shared" si="13"/>
        <v>1.898735691</v>
      </c>
    </row>
    <row r="457">
      <c r="A457" s="11">
        <v>445.0</v>
      </c>
      <c r="B457" s="11">
        <v>1.4213304347826E9</v>
      </c>
      <c r="C457" s="2">
        <v>-102.5899353</v>
      </c>
      <c r="D457" s="3">
        <f t="shared" si="1"/>
        <v>930434.7826</v>
      </c>
      <c r="E457" s="4">
        <f t="shared" si="2"/>
        <v>-197.4336684</v>
      </c>
      <c r="F457" s="3">
        <f t="shared" si="3"/>
        <v>0.0002121950642</v>
      </c>
      <c r="G457" s="3">
        <f t="shared" si="4"/>
        <v>0</v>
      </c>
      <c r="H457" s="2">
        <f t="shared" si="5"/>
        <v>0</v>
      </c>
      <c r="I457" s="3">
        <f t="shared" si="6"/>
        <v>0</v>
      </c>
      <c r="J457" s="3">
        <f t="shared" si="7"/>
        <v>0</v>
      </c>
      <c r="K457" s="3"/>
      <c r="L457" s="3">
        <f t="shared" si="8"/>
        <v>418.9021963</v>
      </c>
      <c r="M457" s="31">
        <f t="shared" si="9"/>
        <v>420.195612</v>
      </c>
      <c r="N457" s="14">
        <f t="shared" si="10"/>
        <v>-1.293415687</v>
      </c>
      <c r="O457" s="3"/>
      <c r="P457" s="3"/>
      <c r="Q457" s="3"/>
      <c r="R457" s="2"/>
      <c r="S457" s="14">
        <f t="shared" si="13"/>
        <v>-1.187738624</v>
      </c>
    </row>
    <row r="458">
      <c r="A458" s="11">
        <v>446.0</v>
      </c>
      <c r="B458" s="11">
        <v>1.42133478260869E9</v>
      </c>
      <c r="C458" s="2">
        <v>-102.5512161</v>
      </c>
      <c r="D458" s="3">
        <f t="shared" si="1"/>
        <v>934782.6087</v>
      </c>
      <c r="E458" s="4">
        <f t="shared" si="2"/>
        <v>-198.3519645</v>
      </c>
      <c r="F458" s="3">
        <f t="shared" si="3"/>
        <v>0.0002121904737</v>
      </c>
      <c r="G458" s="3">
        <f t="shared" si="4"/>
        <v>0</v>
      </c>
      <c r="H458" s="2">
        <f t="shared" si="5"/>
        <v>0</v>
      </c>
      <c r="I458" s="3">
        <f t="shared" si="6"/>
        <v>0</v>
      </c>
      <c r="J458" s="3">
        <f t="shared" si="7"/>
        <v>0</v>
      </c>
      <c r="K458" s="3"/>
      <c r="L458" s="3">
        <f t="shared" si="8"/>
        <v>422.6535853</v>
      </c>
      <c r="M458" s="31">
        <f t="shared" si="9"/>
        <v>420.0913844</v>
      </c>
      <c r="N458" s="14">
        <f t="shared" si="10"/>
        <v>2.562200855</v>
      </c>
      <c r="O458" s="3"/>
      <c r="P458" s="3"/>
      <c r="Q458" s="3"/>
      <c r="R458" s="2"/>
      <c r="S458" s="14">
        <f t="shared" si="13"/>
        <v>2.352859137</v>
      </c>
    </row>
    <row r="459">
      <c r="A459" s="11">
        <v>447.0</v>
      </c>
      <c r="B459" s="11">
        <v>1.42133913043478E9</v>
      </c>
      <c r="C459" s="2">
        <v>-102.5474014</v>
      </c>
      <c r="D459" s="3">
        <f t="shared" si="1"/>
        <v>939130.4348</v>
      </c>
      <c r="E459" s="4">
        <f t="shared" si="2"/>
        <v>-199.2702607</v>
      </c>
      <c r="F459" s="3">
        <f t="shared" si="3"/>
        <v>0.0002121859257</v>
      </c>
      <c r="G459" s="3">
        <f t="shared" si="4"/>
        <v>0</v>
      </c>
      <c r="H459" s="2">
        <f t="shared" si="5"/>
        <v>0</v>
      </c>
      <c r="I459" s="3">
        <f t="shared" si="6"/>
        <v>0</v>
      </c>
      <c r="J459" s="3">
        <f t="shared" si="7"/>
        <v>0</v>
      </c>
      <c r="K459" s="3"/>
      <c r="L459" s="3">
        <f t="shared" si="8"/>
        <v>423.0249934</v>
      </c>
      <c r="M459" s="31">
        <f t="shared" si="9"/>
        <v>419.9867178</v>
      </c>
      <c r="N459" s="14">
        <f t="shared" si="10"/>
        <v>3.038275594</v>
      </c>
      <c r="O459" s="3"/>
      <c r="P459" s="3"/>
      <c r="Q459" s="3"/>
      <c r="R459" s="2"/>
      <c r="S459" s="14">
        <f t="shared" si="13"/>
        <v>2.790036721</v>
      </c>
    </row>
    <row r="460">
      <c r="A460" s="11">
        <v>448.0</v>
      </c>
      <c r="B460" s="11">
        <v>1.42134347826087E9</v>
      </c>
      <c r="C460" s="2">
        <v>-102.6189041</v>
      </c>
      <c r="D460" s="3">
        <f t="shared" si="1"/>
        <v>943478.2609</v>
      </c>
      <c r="E460" s="4">
        <f t="shared" si="2"/>
        <v>-200.1885568</v>
      </c>
      <c r="F460" s="3">
        <f t="shared" si="3"/>
        <v>0.0002121814197</v>
      </c>
      <c r="G460" s="3">
        <f t="shared" si="4"/>
        <v>0</v>
      </c>
      <c r="H460" s="2">
        <f t="shared" si="5"/>
        <v>0</v>
      </c>
      <c r="I460" s="3">
        <f t="shared" si="6"/>
        <v>0</v>
      </c>
      <c r="J460" s="3">
        <f t="shared" si="7"/>
        <v>0</v>
      </c>
      <c r="K460" s="3"/>
      <c r="L460" s="3">
        <f t="shared" si="8"/>
        <v>416.1172861</v>
      </c>
      <c r="M460" s="31">
        <f t="shared" si="9"/>
        <v>419.8816088</v>
      </c>
      <c r="N460" s="14">
        <f t="shared" si="10"/>
        <v>-3.764322729</v>
      </c>
      <c r="O460" s="3"/>
      <c r="P460" s="3"/>
      <c r="Q460" s="3"/>
      <c r="R460" s="2"/>
      <c r="S460" s="14">
        <f t="shared" si="13"/>
        <v>-3.456763005</v>
      </c>
    </row>
    <row r="461">
      <c r="A461" s="11">
        <v>449.0</v>
      </c>
      <c r="B461" s="11">
        <v>1.42134782608695E9</v>
      </c>
      <c r="C461" s="2">
        <v>-102.5492096</v>
      </c>
      <c r="D461" s="3">
        <f t="shared" si="1"/>
        <v>947826.087</v>
      </c>
      <c r="E461" s="4">
        <f t="shared" si="2"/>
        <v>-201.1068529</v>
      </c>
      <c r="F461" s="3">
        <f t="shared" si="3"/>
        <v>0.0002121769549</v>
      </c>
      <c r="G461" s="3">
        <f t="shared" si="4"/>
        <v>0</v>
      </c>
      <c r="H461" s="2">
        <f t="shared" si="5"/>
        <v>0</v>
      </c>
      <c r="I461" s="3">
        <f t="shared" si="6"/>
        <v>0</v>
      </c>
      <c r="J461" s="3">
        <f t="shared" si="7"/>
        <v>0</v>
      </c>
      <c r="K461" s="3"/>
      <c r="L461" s="3">
        <f t="shared" si="8"/>
        <v>422.8489022</v>
      </c>
      <c r="M461" s="31">
        <f t="shared" si="9"/>
        <v>419.7760542</v>
      </c>
      <c r="N461" s="14">
        <f t="shared" si="10"/>
        <v>3.072847962</v>
      </c>
      <c r="O461" s="3"/>
      <c r="P461" s="3"/>
      <c r="Q461" s="3"/>
      <c r="R461" s="2"/>
      <c r="S461" s="14">
        <f t="shared" si="13"/>
        <v>2.8217844</v>
      </c>
    </row>
    <row r="462">
      <c r="A462" s="11">
        <v>450.0</v>
      </c>
      <c r="B462" s="11">
        <v>1.42135217391304E9</v>
      </c>
      <c r="C462" s="2">
        <v>-102.6011276</v>
      </c>
      <c r="D462" s="3">
        <f t="shared" si="1"/>
        <v>952173.913</v>
      </c>
      <c r="E462" s="4">
        <f t="shared" si="2"/>
        <v>-202.0251491</v>
      </c>
      <c r="F462" s="3">
        <f t="shared" si="3"/>
        <v>0.000212172531</v>
      </c>
      <c r="G462" s="3">
        <f t="shared" si="4"/>
        <v>0</v>
      </c>
      <c r="H462" s="2">
        <f t="shared" si="5"/>
        <v>0</v>
      </c>
      <c r="I462" s="3">
        <f t="shared" si="6"/>
        <v>0</v>
      </c>
      <c r="J462" s="3">
        <f t="shared" si="7"/>
        <v>0</v>
      </c>
      <c r="K462" s="3"/>
      <c r="L462" s="3">
        <f t="shared" si="8"/>
        <v>417.824024</v>
      </c>
      <c r="M462" s="31">
        <f t="shared" si="9"/>
        <v>419.6700507</v>
      </c>
      <c r="N462" s="14">
        <f t="shared" si="10"/>
        <v>-1.84602665</v>
      </c>
      <c r="O462" s="3"/>
      <c r="P462" s="3"/>
      <c r="Q462" s="3"/>
      <c r="R462" s="2"/>
      <c r="S462" s="14">
        <f t="shared" si="13"/>
        <v>-1.69519913</v>
      </c>
    </row>
    <row r="463">
      <c r="A463" s="11">
        <v>451.0</v>
      </c>
      <c r="B463" s="11">
        <v>1.42135652173913E9</v>
      </c>
      <c r="C463" s="2">
        <v>-102.5713806</v>
      </c>
      <c r="D463" s="3">
        <f t="shared" si="1"/>
        <v>956521.7391</v>
      </c>
      <c r="E463" s="4">
        <f t="shared" si="2"/>
        <v>-202.9434452</v>
      </c>
      <c r="F463" s="3">
        <f t="shared" si="3"/>
        <v>0.0002121681473</v>
      </c>
      <c r="G463" s="3">
        <f t="shared" si="4"/>
        <v>0</v>
      </c>
      <c r="H463" s="2">
        <f t="shared" si="5"/>
        <v>0</v>
      </c>
      <c r="I463" s="3">
        <f t="shared" si="6"/>
        <v>0</v>
      </c>
      <c r="J463" s="3">
        <f t="shared" si="7"/>
        <v>0</v>
      </c>
      <c r="K463" s="3"/>
      <c r="L463" s="3">
        <f t="shared" si="8"/>
        <v>420.6957333</v>
      </c>
      <c r="M463" s="31">
        <f t="shared" si="9"/>
        <v>419.5635949</v>
      </c>
      <c r="N463" s="14">
        <f t="shared" si="10"/>
        <v>1.132138369</v>
      </c>
      <c r="O463" s="3"/>
      <c r="P463" s="3"/>
      <c r="Q463" s="3"/>
      <c r="R463" s="2"/>
      <c r="S463" s="14">
        <f t="shared" si="13"/>
        <v>1.039638286</v>
      </c>
    </row>
    <row r="464">
      <c r="A464" s="11">
        <v>452.0</v>
      </c>
      <c r="B464" s="11">
        <v>1.42136086956521E9</v>
      </c>
      <c r="C464" s="2">
        <v>-102.5869141</v>
      </c>
      <c r="D464" s="3">
        <f t="shared" si="1"/>
        <v>960869.5652</v>
      </c>
      <c r="E464" s="4">
        <f t="shared" si="2"/>
        <v>-203.8617413</v>
      </c>
      <c r="F464" s="3">
        <f t="shared" si="3"/>
        <v>0.0002121638032</v>
      </c>
      <c r="G464" s="3">
        <f t="shared" si="4"/>
        <v>0</v>
      </c>
      <c r="H464" s="2">
        <f t="shared" si="5"/>
        <v>0</v>
      </c>
      <c r="I464" s="3">
        <f t="shared" si="6"/>
        <v>0</v>
      </c>
      <c r="J464" s="3">
        <f t="shared" si="7"/>
        <v>0</v>
      </c>
      <c r="K464" s="3"/>
      <c r="L464" s="3">
        <f t="shared" si="8"/>
        <v>419.1937099</v>
      </c>
      <c r="M464" s="31">
        <f t="shared" si="9"/>
        <v>419.4566836</v>
      </c>
      <c r="N464" s="14">
        <f t="shared" si="10"/>
        <v>-0.2629737006</v>
      </c>
      <c r="O464" s="3"/>
      <c r="P464" s="3"/>
      <c r="Q464" s="3"/>
      <c r="R464" s="2"/>
      <c r="S464" s="14">
        <f t="shared" si="13"/>
        <v>-0.2414877323</v>
      </c>
    </row>
    <row r="465">
      <c r="A465" s="11">
        <v>453.0</v>
      </c>
      <c r="B465" s="11">
        <v>1.4213652173913E9</v>
      </c>
      <c r="C465" s="2">
        <v>-102.5905457</v>
      </c>
      <c r="D465" s="3">
        <f t="shared" si="1"/>
        <v>965217.3913</v>
      </c>
      <c r="E465" s="4">
        <f t="shared" si="2"/>
        <v>-204.7800375</v>
      </c>
      <c r="F465" s="3">
        <f t="shared" si="3"/>
        <v>0.0002121594983</v>
      </c>
      <c r="G465" s="3">
        <f t="shared" si="4"/>
        <v>0</v>
      </c>
      <c r="H465" s="2">
        <f t="shared" si="5"/>
        <v>0</v>
      </c>
      <c r="I465" s="3">
        <f t="shared" si="6"/>
        <v>0</v>
      </c>
      <c r="J465" s="3">
        <f t="shared" si="7"/>
        <v>0</v>
      </c>
      <c r="K465" s="3"/>
      <c r="L465" s="3">
        <f t="shared" si="8"/>
        <v>418.8433238</v>
      </c>
      <c r="M465" s="31">
        <f t="shared" si="9"/>
        <v>419.3493136</v>
      </c>
      <c r="N465" s="14">
        <f t="shared" si="10"/>
        <v>-0.5059897989</v>
      </c>
      <c r="O465" s="3"/>
      <c r="P465" s="3"/>
      <c r="Q465" s="3"/>
      <c r="R465" s="2"/>
      <c r="S465" s="14">
        <f t="shared" si="13"/>
        <v>-0.4646484745</v>
      </c>
    </row>
    <row r="466">
      <c r="A466" s="11">
        <v>454.0</v>
      </c>
      <c r="B466" s="11">
        <v>1.42136956521739E9</v>
      </c>
      <c r="C466" s="2">
        <v>-102.5960312</v>
      </c>
      <c r="D466" s="3">
        <f t="shared" si="1"/>
        <v>969565.2174</v>
      </c>
      <c r="E466" s="4">
        <f t="shared" si="2"/>
        <v>-205.6983336</v>
      </c>
      <c r="F466" s="3">
        <f t="shared" si="3"/>
        <v>0.000212155232</v>
      </c>
      <c r="G466" s="3">
        <f t="shared" si="4"/>
        <v>0</v>
      </c>
      <c r="H466" s="2">
        <f t="shared" si="5"/>
        <v>0</v>
      </c>
      <c r="I466" s="3">
        <f t="shared" si="6"/>
        <v>0</v>
      </c>
      <c r="J466" s="3">
        <f t="shared" si="7"/>
        <v>0</v>
      </c>
      <c r="K466" s="3"/>
      <c r="L466" s="3">
        <f t="shared" si="8"/>
        <v>418.3146239</v>
      </c>
      <c r="M466" s="31">
        <f t="shared" si="9"/>
        <v>419.2414816</v>
      </c>
      <c r="N466" s="14">
        <f t="shared" si="10"/>
        <v>-0.9268576711</v>
      </c>
      <c r="O466" s="3"/>
      <c r="P466" s="3"/>
      <c r="Q466" s="3"/>
      <c r="R466" s="2"/>
      <c r="S466" s="14">
        <f t="shared" si="13"/>
        <v>-0.851129815</v>
      </c>
    </row>
    <row r="467">
      <c r="A467" s="11">
        <v>455.0</v>
      </c>
      <c r="B467" s="11">
        <v>1.42137391304347E9</v>
      </c>
      <c r="C467" s="2">
        <v>-102.581665</v>
      </c>
      <c r="D467" s="3">
        <f t="shared" si="1"/>
        <v>973913.0435</v>
      </c>
      <c r="E467" s="4">
        <f t="shared" si="2"/>
        <v>-206.6166297</v>
      </c>
      <c r="F467" s="3">
        <f t="shared" si="3"/>
        <v>0.0002121510037</v>
      </c>
      <c r="G467" s="3">
        <f t="shared" si="4"/>
        <v>0</v>
      </c>
      <c r="H467" s="2">
        <f t="shared" si="5"/>
        <v>0</v>
      </c>
      <c r="I467" s="3">
        <f t="shared" si="6"/>
        <v>0</v>
      </c>
      <c r="J467" s="3">
        <f t="shared" si="7"/>
        <v>0</v>
      </c>
      <c r="K467" s="3"/>
      <c r="L467" s="3">
        <f t="shared" si="8"/>
        <v>419.7006747</v>
      </c>
      <c r="M467" s="31">
        <f t="shared" si="9"/>
        <v>419.1331842</v>
      </c>
      <c r="N467" s="14">
        <f t="shared" si="10"/>
        <v>0.567490541</v>
      </c>
      <c r="O467" s="3"/>
      <c r="P467" s="3"/>
      <c r="Q467" s="3"/>
      <c r="R467" s="2"/>
      <c r="S467" s="14">
        <f t="shared" si="13"/>
        <v>0.5211243692</v>
      </c>
    </row>
    <row r="468">
      <c r="A468" s="11">
        <v>456.0</v>
      </c>
      <c r="B468" s="11">
        <v>1.42137826086956E9</v>
      </c>
      <c r="C468" s="2">
        <v>-102.6210251</v>
      </c>
      <c r="D468" s="3">
        <f t="shared" si="1"/>
        <v>978260.8696</v>
      </c>
      <c r="E468" s="4">
        <f t="shared" si="2"/>
        <v>-207.5349259</v>
      </c>
      <c r="F468" s="3">
        <f t="shared" si="3"/>
        <v>0.0002121468131</v>
      </c>
      <c r="G468" s="3">
        <f t="shared" si="4"/>
        <v>0</v>
      </c>
      <c r="H468" s="2">
        <f t="shared" si="5"/>
        <v>0</v>
      </c>
      <c r="I468" s="3">
        <f t="shared" si="6"/>
        <v>0</v>
      </c>
      <c r="J468" s="3">
        <f t="shared" si="7"/>
        <v>0</v>
      </c>
      <c r="K468" s="3"/>
      <c r="L468" s="3">
        <f t="shared" si="8"/>
        <v>415.9141131</v>
      </c>
      <c r="M468" s="31">
        <f t="shared" si="9"/>
        <v>419.0244182</v>
      </c>
      <c r="N468" s="14">
        <f t="shared" si="10"/>
        <v>-3.110305084</v>
      </c>
      <c r="O468" s="3"/>
      <c r="P468" s="3"/>
      <c r="Q468" s="3"/>
      <c r="R468" s="2"/>
      <c r="S468" s="14">
        <f t="shared" si="13"/>
        <v>-2.856181124</v>
      </c>
    </row>
    <row r="469">
      <c r="A469" s="11">
        <v>457.0</v>
      </c>
      <c r="B469" s="11">
        <v>1.42138260869565E9</v>
      </c>
      <c r="C469" s="2">
        <v>-102.5445175</v>
      </c>
      <c r="D469" s="3">
        <f t="shared" si="1"/>
        <v>982608.6957</v>
      </c>
      <c r="E469" s="4">
        <f t="shared" si="2"/>
        <v>-208.453222</v>
      </c>
      <c r="F469" s="3">
        <f t="shared" si="3"/>
        <v>0.0002121426596</v>
      </c>
      <c r="G469" s="3">
        <f t="shared" si="4"/>
        <v>0</v>
      </c>
      <c r="H469" s="2">
        <f t="shared" si="5"/>
        <v>0</v>
      </c>
      <c r="I469" s="3">
        <f t="shared" si="6"/>
        <v>0</v>
      </c>
      <c r="J469" s="3">
        <f t="shared" si="7"/>
        <v>0</v>
      </c>
      <c r="K469" s="3"/>
      <c r="L469" s="3">
        <f t="shared" si="8"/>
        <v>423.3059933</v>
      </c>
      <c r="M469" s="31">
        <f t="shared" si="9"/>
        <v>418.9151802</v>
      </c>
      <c r="N469" s="14">
        <f t="shared" si="10"/>
        <v>4.390813036</v>
      </c>
      <c r="O469" s="3"/>
      <c r="P469" s="3"/>
      <c r="Q469" s="3"/>
      <c r="R469" s="2"/>
      <c r="S469" s="14">
        <f t="shared" si="13"/>
        <v>4.032066631</v>
      </c>
    </row>
    <row r="470">
      <c r="A470" s="11">
        <v>458.0</v>
      </c>
      <c r="B470" s="11">
        <v>1.42138695652173E9</v>
      </c>
      <c r="C470" s="2">
        <v>-102.6494751</v>
      </c>
      <c r="D470" s="3">
        <f t="shared" si="1"/>
        <v>986956.5217</v>
      </c>
      <c r="E470" s="4">
        <f t="shared" si="2"/>
        <v>-209.3715181</v>
      </c>
      <c r="F470" s="3">
        <f t="shared" si="3"/>
        <v>0.0002121385426</v>
      </c>
      <c r="G470" s="3">
        <f t="shared" si="4"/>
        <v>0</v>
      </c>
      <c r="H470" s="2">
        <f t="shared" si="5"/>
        <v>0</v>
      </c>
      <c r="I470" s="3">
        <f t="shared" si="6"/>
        <v>0</v>
      </c>
      <c r="J470" s="3">
        <f t="shared" si="7"/>
        <v>0</v>
      </c>
      <c r="K470" s="3"/>
      <c r="L470" s="3">
        <f t="shared" si="8"/>
        <v>413.1984249</v>
      </c>
      <c r="M470" s="31">
        <f t="shared" si="9"/>
        <v>418.8054672</v>
      </c>
      <c r="N470" s="14">
        <f t="shared" si="10"/>
        <v>-5.60704222</v>
      </c>
      <c r="O470" s="3"/>
      <c r="P470" s="3"/>
      <c r="Q470" s="3"/>
      <c r="R470" s="2"/>
      <c r="S470" s="14">
        <f t="shared" si="13"/>
        <v>-5.148925187</v>
      </c>
    </row>
    <row r="471">
      <c r="A471" s="11">
        <v>459.0</v>
      </c>
      <c r="B471" s="11">
        <v>1.42139130434782E9</v>
      </c>
      <c r="C471" s="2">
        <v>-102.6635361</v>
      </c>
      <c r="D471" s="3">
        <f t="shared" si="1"/>
        <v>991304.3478</v>
      </c>
      <c r="E471" s="4">
        <f t="shared" si="2"/>
        <v>-210.2898143</v>
      </c>
      <c r="F471" s="3">
        <f t="shared" si="3"/>
        <v>0.0002121344618</v>
      </c>
      <c r="G471" s="3">
        <f t="shared" si="4"/>
        <v>0</v>
      </c>
      <c r="H471" s="2">
        <f t="shared" si="5"/>
        <v>0</v>
      </c>
      <c r="I471" s="3">
        <f t="shared" si="6"/>
        <v>0</v>
      </c>
      <c r="J471" s="3">
        <f t="shared" si="7"/>
        <v>0</v>
      </c>
      <c r="K471" s="3"/>
      <c r="L471" s="3">
        <f t="shared" si="8"/>
        <v>411.8627902</v>
      </c>
      <c r="M471" s="31">
        <f t="shared" si="9"/>
        <v>418.6952756</v>
      </c>
      <c r="N471" s="14">
        <f t="shared" si="10"/>
        <v>-6.832485379</v>
      </c>
      <c r="O471" s="3"/>
      <c r="P471" s="3"/>
      <c r="Q471" s="3"/>
      <c r="R471" s="2"/>
      <c r="S471" s="14">
        <f t="shared" si="13"/>
        <v>-6.274244901</v>
      </c>
    </row>
    <row r="472">
      <c r="A472" s="11">
        <v>460.0</v>
      </c>
      <c r="B472" s="11">
        <v>1.42139565217391E9</v>
      </c>
      <c r="C472" s="2">
        <v>-102.5630341</v>
      </c>
      <c r="D472" s="3">
        <f t="shared" si="1"/>
        <v>995652.1739</v>
      </c>
      <c r="E472" s="4">
        <f t="shared" si="2"/>
        <v>-211.2081104</v>
      </c>
      <c r="F472" s="3">
        <f t="shared" si="3"/>
        <v>0.0002121304166</v>
      </c>
      <c r="G472" s="3">
        <f t="shared" si="4"/>
        <v>0</v>
      </c>
      <c r="H472" s="2">
        <f t="shared" si="5"/>
        <v>0</v>
      </c>
      <c r="I472" s="3">
        <f t="shared" si="6"/>
        <v>0</v>
      </c>
      <c r="J472" s="3">
        <f t="shared" si="7"/>
        <v>0</v>
      </c>
      <c r="K472" s="3"/>
      <c r="L472" s="3">
        <f t="shared" si="8"/>
        <v>421.5050259</v>
      </c>
      <c r="M472" s="31">
        <f t="shared" si="9"/>
        <v>418.5846023</v>
      </c>
      <c r="N472" s="14">
        <f t="shared" si="10"/>
        <v>2.920423551</v>
      </c>
      <c r="O472" s="3"/>
      <c r="P472" s="3"/>
      <c r="Q472" s="3"/>
      <c r="R472" s="2"/>
      <c r="S472" s="14">
        <f t="shared" si="13"/>
        <v>2.312653063</v>
      </c>
    </row>
    <row r="473">
      <c r="A473" s="11">
        <v>461.0</v>
      </c>
      <c r="B473" s="11">
        <v>1.4214E9</v>
      </c>
      <c r="C473" s="2">
        <v>-102.586792</v>
      </c>
      <c r="D473" s="3">
        <f t="shared" si="1"/>
        <v>1000000</v>
      </c>
      <c r="E473" s="29">
        <f>-0.000212*D473</f>
        <v>-212</v>
      </c>
      <c r="F473" s="3">
        <f t="shared" si="3"/>
        <v>0.000212</v>
      </c>
      <c r="G473" s="3">
        <f t="shared" si="4"/>
        <v>0</v>
      </c>
      <c r="H473" s="2">
        <f t="shared" si="5"/>
        <v>0</v>
      </c>
      <c r="I473" s="3">
        <f t="shared" si="6"/>
        <v>0</v>
      </c>
      <c r="J473" s="3">
        <f t="shared" si="7"/>
        <v>0</v>
      </c>
      <c r="K473" s="3"/>
      <c r="L473" s="3">
        <f t="shared" si="8"/>
        <v>419.2054956</v>
      </c>
      <c r="M473" s="31">
        <f t="shared" si="9"/>
        <v>418.4887743</v>
      </c>
      <c r="N473" s="14">
        <f t="shared" si="10"/>
        <v>0.7167213038</v>
      </c>
      <c r="O473" s="3"/>
      <c r="P473" s="3"/>
      <c r="Q473" s="3"/>
      <c r="R473" s="2"/>
      <c r="S473" s="14"/>
    </row>
    <row r="474">
      <c r="A474" s="11" t="s">
        <v>40</v>
      </c>
      <c r="D474" s="3"/>
      <c r="E474" s="4"/>
      <c r="F474" s="3"/>
      <c r="G474" s="3"/>
      <c r="H474" s="3"/>
      <c r="I474" s="3"/>
      <c r="J474" s="3"/>
      <c r="K474" s="3"/>
      <c r="L474" s="3"/>
      <c r="M474" s="5"/>
      <c r="N474" s="3"/>
      <c r="O474" s="3"/>
      <c r="P474" s="3"/>
      <c r="Q474" s="3"/>
      <c r="R474" s="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0</v>
      </c>
      <c r="B1" s="11" t="s">
        <v>1</v>
      </c>
    </row>
    <row r="2">
      <c r="A2" s="11" t="s">
        <v>2</v>
      </c>
      <c r="B2" s="11" t="s">
        <v>3</v>
      </c>
    </row>
    <row r="3">
      <c r="A3" s="11" t="s">
        <v>5</v>
      </c>
      <c r="B3" s="11" t="s">
        <v>6</v>
      </c>
    </row>
    <row r="4">
      <c r="A4" s="11" t="s">
        <v>7</v>
      </c>
      <c r="B4" s="11">
        <v>1.4204E9</v>
      </c>
      <c r="C4" s="11" t="s">
        <v>8</v>
      </c>
    </row>
    <row r="5">
      <c r="A5" s="11" t="s">
        <v>9</v>
      </c>
      <c r="B5" s="11">
        <v>2000000.0</v>
      </c>
      <c r="C5" s="11" t="s">
        <v>8</v>
      </c>
    </row>
    <row r="6">
      <c r="A6" s="11" t="s">
        <v>10</v>
      </c>
      <c r="B6" s="11">
        <v>30000.0</v>
      </c>
      <c r="C6" s="11" t="s">
        <v>8</v>
      </c>
    </row>
    <row r="7">
      <c r="A7" s="11" t="s">
        <v>11</v>
      </c>
      <c r="B7" s="11">
        <v>30000.0</v>
      </c>
      <c r="C7" s="11" t="s">
        <v>8</v>
      </c>
    </row>
    <row r="8">
      <c r="A8" s="11" t="s">
        <v>12</v>
      </c>
      <c r="B8" s="11">
        <v>-97.0</v>
      </c>
      <c r="C8" s="11" t="s">
        <v>13</v>
      </c>
    </row>
    <row r="9">
      <c r="A9" s="11" t="s">
        <v>14</v>
      </c>
      <c r="B9" s="11">
        <v>1.0</v>
      </c>
      <c r="C9" s="11" t="s">
        <v>15</v>
      </c>
    </row>
    <row r="10">
      <c r="A10" s="11" t="s">
        <v>16</v>
      </c>
      <c r="B10" s="11">
        <v>461.0</v>
      </c>
    </row>
    <row r="11">
      <c r="A11" s="11" t="s">
        <v>17</v>
      </c>
      <c r="B11" s="11" t="s">
        <v>8</v>
      </c>
      <c r="C11" s="11" t="s">
        <v>13</v>
      </c>
      <c r="D11" s="2" t="s">
        <v>18</v>
      </c>
      <c r="E11" s="1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26</v>
      </c>
      <c r="M11" s="6" t="s">
        <v>27</v>
      </c>
      <c r="N11" s="2" t="s">
        <v>28</v>
      </c>
      <c r="O11" s="3"/>
      <c r="P11" s="2" t="s">
        <v>29</v>
      </c>
      <c r="Q11" s="2" t="s">
        <v>30</v>
      </c>
      <c r="R11" s="2"/>
      <c r="S11" s="2" t="s">
        <v>31</v>
      </c>
      <c r="V11" s="13" t="s">
        <v>32</v>
      </c>
    </row>
    <row r="12">
      <c r="A12" s="11" t="s">
        <v>33</v>
      </c>
      <c r="B12" s="11" t="s">
        <v>34</v>
      </c>
      <c r="C12" s="11" t="s">
        <v>35</v>
      </c>
      <c r="D12" s="3"/>
      <c r="E12" s="4"/>
      <c r="F12" s="3"/>
      <c r="G12" s="2" t="s">
        <v>36</v>
      </c>
      <c r="H12" s="2" t="s">
        <v>37</v>
      </c>
      <c r="I12" s="3"/>
      <c r="J12" s="3"/>
      <c r="K12" s="3"/>
      <c r="L12" s="3"/>
      <c r="M12" s="5"/>
      <c r="N12" s="3"/>
      <c r="O12" s="3"/>
      <c r="P12" s="3"/>
      <c r="Q12" s="3"/>
      <c r="R12" s="3"/>
      <c r="S12" s="3"/>
    </row>
    <row r="13">
      <c r="A13" s="11">
        <v>1.0</v>
      </c>
      <c r="B13" s="11">
        <v>1.4194E9</v>
      </c>
      <c r="C13" s="2">
        <v>-102.2952118</v>
      </c>
      <c r="D13" s="3">
        <f t="shared" ref="D13:D473" si="1">B13-$B$4</f>
        <v>-1000000</v>
      </c>
      <c r="E13" s="4">
        <f t="shared" ref="E13:E472" si="2">-((B14-$B$4)/$B$4)*(3*10^5)</f>
        <v>210.2898143</v>
      </c>
      <c r="F13" s="3">
        <f t="shared" ref="F13:F473" si="3">-E13/D13</f>
        <v>0.0002102898143</v>
      </c>
      <c r="G13" s="3">
        <f t="shared" ref="G13:G473" si="4">(10^(C13/10))/1000</f>
        <v>0</v>
      </c>
      <c r="H13" s="2">
        <f t="shared" ref="H13:H473" si="5">G13/30000</f>
        <v>0</v>
      </c>
      <c r="I13" s="3">
        <f t="shared" ref="I13:I473" si="6">0.0063*H13</f>
        <v>0</v>
      </c>
      <c r="J13" s="3">
        <f t="shared" ref="J13:J473" si="7">(1/F13^2)*I13</f>
        <v>0</v>
      </c>
      <c r="K13" s="22">
        <f>1.38064852E-23</f>
        <v>0</v>
      </c>
      <c r="L13" s="3">
        <f t="shared" ref="L13:L473" si="8">(1/(2*$K$13))*(I13)</f>
        <v>448.3167728</v>
      </c>
      <c r="M13" s="14">
        <f t="shared" ref="M13:M473" si="9"> 0.0000001695*E13^3 - 0.0000757311*E13^2 + 0.0864064916*E13 + 433.5822949608
</f>
        <v>449.9799815</v>
      </c>
      <c r="N13" s="14">
        <f t="shared" ref="N13:N473" si="10">L13-(M13)</f>
        <v>-1.66320871</v>
      </c>
      <c r="O13" s="3"/>
      <c r="P13" s="23">
        <f t="shared" ref="P13:P67" si="11">-((B14-$B$4)/$B$4)*(3*10^5)</f>
        <v>210.2898143</v>
      </c>
      <c r="Q13" s="14">
        <f t="shared" ref="Q13:Q67" si="12">(1/(2*$K$13))*(I13)</f>
        <v>448.3167728</v>
      </c>
      <c r="R13" s="2"/>
      <c r="S13" s="14">
        <f t="shared" ref="S13:S472" si="13">(N13 * ABS(E14-E13))</f>
        <v>-1.527318126</v>
      </c>
      <c r="V13" s="3">
        <f>1822400000000000000 * SUM(S13:S473)</f>
        <v>2.63563E+22</v>
      </c>
    </row>
    <row r="14">
      <c r="A14" s="11">
        <v>2.0</v>
      </c>
      <c r="B14" s="11">
        <v>1.41940434782608E9</v>
      </c>
      <c r="C14" s="2">
        <v>-102.2540588</v>
      </c>
      <c r="D14" s="3">
        <f t="shared" si="1"/>
        <v>-995652.1739</v>
      </c>
      <c r="E14" s="4">
        <f t="shared" si="2"/>
        <v>209.3715181</v>
      </c>
      <c r="F14" s="3">
        <f t="shared" si="3"/>
        <v>0.0002102858042</v>
      </c>
      <c r="G14" s="3">
        <f t="shared" si="4"/>
        <v>0</v>
      </c>
      <c r="H14" s="2">
        <f t="shared" si="5"/>
        <v>0</v>
      </c>
      <c r="I14" s="3">
        <f t="shared" si="6"/>
        <v>0</v>
      </c>
      <c r="J14" s="3">
        <f t="shared" si="7"/>
        <v>0</v>
      </c>
      <c r="K14" s="3"/>
      <c r="L14" s="3">
        <f t="shared" si="8"/>
        <v>452.5851369</v>
      </c>
      <c r="M14" s="14">
        <f t="shared" si="9"/>
        <v>449.90926</v>
      </c>
      <c r="N14" s="14">
        <f t="shared" si="10"/>
        <v>2.675876804</v>
      </c>
      <c r="O14" s="3"/>
      <c r="P14" s="23">
        <f t="shared" si="11"/>
        <v>209.3715181</v>
      </c>
      <c r="Q14" s="14">
        <f t="shared" si="12"/>
        <v>452.5851369</v>
      </c>
      <c r="R14" s="2"/>
      <c r="S14" s="14">
        <f t="shared" si="13"/>
        <v>2.457247321</v>
      </c>
    </row>
    <row r="15">
      <c r="A15" s="11">
        <v>3.0</v>
      </c>
      <c r="B15" s="11">
        <v>1.41940869565217E9</v>
      </c>
      <c r="C15" s="2">
        <v>-102.3140793</v>
      </c>
      <c r="D15" s="3">
        <f t="shared" si="1"/>
        <v>-991304.3478</v>
      </c>
      <c r="E15" s="4">
        <f t="shared" si="2"/>
        <v>208.453222</v>
      </c>
      <c r="F15" s="3">
        <f t="shared" si="3"/>
        <v>0.000210281759</v>
      </c>
      <c r="G15" s="3">
        <f t="shared" si="4"/>
        <v>0</v>
      </c>
      <c r="H15" s="2">
        <f t="shared" si="5"/>
        <v>0</v>
      </c>
      <c r="I15" s="3">
        <f t="shared" si="6"/>
        <v>0</v>
      </c>
      <c r="J15" s="3">
        <f t="shared" si="7"/>
        <v>0</v>
      </c>
      <c r="K15" s="3"/>
      <c r="L15" s="3">
        <f t="shared" si="8"/>
        <v>446.373329</v>
      </c>
      <c r="M15" s="14">
        <f t="shared" si="9"/>
        <v>449.8385904</v>
      </c>
      <c r="N15" s="14">
        <f t="shared" si="10"/>
        <v>-3.465261438</v>
      </c>
      <c r="O15" s="3"/>
      <c r="P15" s="23">
        <f t="shared" si="11"/>
        <v>208.453222</v>
      </c>
      <c r="Q15" s="14">
        <f t="shared" si="12"/>
        <v>446.373329</v>
      </c>
      <c r="R15" s="2"/>
      <c r="S15" s="14">
        <f t="shared" si="13"/>
        <v>-3.18213617</v>
      </c>
    </row>
    <row r="16">
      <c r="A16" s="11">
        <v>4.0</v>
      </c>
      <c r="B16" s="11">
        <v>1.41941304347826E9</v>
      </c>
      <c r="C16" s="2">
        <v>-102.2745361</v>
      </c>
      <c r="D16" s="3">
        <f t="shared" si="1"/>
        <v>-986956.5217</v>
      </c>
      <c r="E16" s="4">
        <f t="shared" si="2"/>
        <v>207.5349259</v>
      </c>
      <c r="F16" s="3">
        <f t="shared" si="3"/>
        <v>0.0002102776782</v>
      </c>
      <c r="G16" s="3">
        <f t="shared" si="4"/>
        <v>0</v>
      </c>
      <c r="H16" s="2">
        <f t="shared" si="5"/>
        <v>0</v>
      </c>
      <c r="I16" s="3">
        <f t="shared" si="6"/>
        <v>0</v>
      </c>
      <c r="J16" s="3">
        <f t="shared" si="7"/>
        <v>0</v>
      </c>
      <c r="K16" s="3"/>
      <c r="L16" s="3">
        <f t="shared" si="8"/>
        <v>450.4561881</v>
      </c>
      <c r="M16" s="14">
        <f t="shared" si="9"/>
        <v>449.7679718</v>
      </c>
      <c r="N16" s="14">
        <f t="shared" si="10"/>
        <v>0.6882163139</v>
      </c>
      <c r="O16" s="3"/>
      <c r="P16" s="23">
        <f t="shared" si="11"/>
        <v>207.5349259</v>
      </c>
      <c r="Q16" s="14">
        <f t="shared" si="12"/>
        <v>450.4561881</v>
      </c>
      <c r="R16" s="2"/>
      <c r="S16" s="14">
        <f t="shared" si="13"/>
        <v>0.6319863796</v>
      </c>
    </row>
    <row r="17">
      <c r="A17" s="11">
        <v>5.0</v>
      </c>
      <c r="B17" s="11">
        <v>1.41941739130434E9</v>
      </c>
      <c r="C17" s="2">
        <v>-102.3092422</v>
      </c>
      <c r="D17" s="3">
        <f t="shared" si="1"/>
        <v>-982608.6957</v>
      </c>
      <c r="E17" s="4">
        <f t="shared" si="2"/>
        <v>206.6166297</v>
      </c>
      <c r="F17" s="3">
        <f t="shared" si="3"/>
        <v>0.0002102735612</v>
      </c>
      <c r="G17" s="3">
        <f t="shared" si="4"/>
        <v>0</v>
      </c>
      <c r="H17" s="2">
        <f t="shared" si="5"/>
        <v>0</v>
      </c>
      <c r="I17" s="3">
        <f t="shared" si="6"/>
        <v>0</v>
      </c>
      <c r="J17" s="3">
        <f t="shared" si="7"/>
        <v>0</v>
      </c>
      <c r="K17" s="3"/>
      <c r="L17" s="3">
        <f t="shared" si="8"/>
        <v>446.8707691</v>
      </c>
      <c r="M17" s="14">
        <f t="shared" si="9"/>
        <v>449.6974034</v>
      </c>
      <c r="N17" s="14">
        <f t="shared" si="10"/>
        <v>-2.826634298</v>
      </c>
      <c r="O17" s="3"/>
      <c r="P17" s="23">
        <f t="shared" si="11"/>
        <v>206.6166297</v>
      </c>
      <c r="Q17" s="14">
        <f t="shared" si="12"/>
        <v>446.8707691</v>
      </c>
      <c r="R17" s="2"/>
      <c r="S17" s="14">
        <f t="shared" si="13"/>
        <v>-2.595687345</v>
      </c>
    </row>
    <row r="18">
      <c r="A18" s="11">
        <v>6.0</v>
      </c>
      <c r="B18" s="11">
        <v>1.41942173913043E9</v>
      </c>
      <c r="C18" s="2">
        <v>-102.2642517</v>
      </c>
      <c r="D18" s="3">
        <f t="shared" si="1"/>
        <v>-978260.8696</v>
      </c>
      <c r="E18" s="4">
        <f t="shared" si="2"/>
        <v>205.6983336</v>
      </c>
      <c r="F18" s="3">
        <f t="shared" si="3"/>
        <v>0.0002102694077</v>
      </c>
      <c r="G18" s="3">
        <f t="shared" si="4"/>
        <v>0</v>
      </c>
      <c r="H18" s="2">
        <f t="shared" si="5"/>
        <v>0</v>
      </c>
      <c r="I18" s="3">
        <f t="shared" si="6"/>
        <v>0</v>
      </c>
      <c r="J18" s="3">
        <f t="shared" si="7"/>
        <v>0</v>
      </c>
      <c r="K18" s="3"/>
      <c r="L18" s="3">
        <f t="shared" si="8"/>
        <v>451.5241642</v>
      </c>
      <c r="M18" s="14">
        <f t="shared" si="9"/>
        <v>449.6268846</v>
      </c>
      <c r="N18" s="14">
        <f t="shared" si="10"/>
        <v>1.897279617</v>
      </c>
      <c r="O18" s="3"/>
      <c r="P18" s="23">
        <f t="shared" si="11"/>
        <v>205.6983336</v>
      </c>
      <c r="Q18" s="14">
        <f t="shared" si="12"/>
        <v>451.5241642</v>
      </c>
      <c r="R18" s="2"/>
      <c r="S18" s="14">
        <f t="shared" si="13"/>
        <v>1.742264531</v>
      </c>
    </row>
    <row r="19">
      <c r="A19" s="11">
        <v>7.0</v>
      </c>
      <c r="B19" s="11">
        <v>1.41942608695652E9</v>
      </c>
      <c r="C19" s="2">
        <v>-102.323555</v>
      </c>
      <c r="D19" s="3">
        <f t="shared" si="1"/>
        <v>-973913.0435</v>
      </c>
      <c r="E19" s="4">
        <f t="shared" si="2"/>
        <v>204.7800375</v>
      </c>
      <c r="F19" s="3">
        <f t="shared" si="3"/>
        <v>0.000210265217</v>
      </c>
      <c r="G19" s="3">
        <f t="shared" si="4"/>
        <v>0</v>
      </c>
      <c r="H19" s="2">
        <f t="shared" si="5"/>
        <v>0</v>
      </c>
      <c r="I19" s="3">
        <f t="shared" si="6"/>
        <v>0</v>
      </c>
      <c r="J19" s="3">
        <f t="shared" si="7"/>
        <v>0</v>
      </c>
      <c r="K19" s="3"/>
      <c r="L19" s="3">
        <f t="shared" si="8"/>
        <v>445.4004663</v>
      </c>
      <c r="M19" s="14">
        <f t="shared" si="9"/>
        <v>449.5564144</v>
      </c>
      <c r="N19" s="14">
        <f t="shared" si="10"/>
        <v>-4.155948073</v>
      </c>
      <c r="O19" s="3"/>
      <c r="P19" s="23">
        <f t="shared" si="11"/>
        <v>204.7800375</v>
      </c>
      <c r="Q19" s="14">
        <f t="shared" si="12"/>
        <v>445.4004663</v>
      </c>
      <c r="R19" s="2"/>
      <c r="S19" s="14">
        <f t="shared" si="13"/>
        <v>-3.816391043</v>
      </c>
    </row>
    <row r="20">
      <c r="A20" s="11">
        <v>8.0</v>
      </c>
      <c r="B20" s="11">
        <v>1.4194304347826E9</v>
      </c>
      <c r="C20" s="2">
        <v>-102.2679443</v>
      </c>
      <c r="D20" s="3">
        <f t="shared" si="1"/>
        <v>-969565.2174</v>
      </c>
      <c r="E20" s="4">
        <f t="shared" si="2"/>
        <v>203.8617413</v>
      </c>
      <c r="F20" s="3">
        <f t="shared" si="3"/>
        <v>0.0002102609888</v>
      </c>
      <c r="G20" s="3">
        <f t="shared" si="4"/>
        <v>0</v>
      </c>
      <c r="H20" s="2">
        <f t="shared" si="5"/>
        <v>0</v>
      </c>
      <c r="I20" s="3">
        <f t="shared" si="6"/>
        <v>0</v>
      </c>
      <c r="J20" s="3">
        <f t="shared" si="7"/>
        <v>0</v>
      </c>
      <c r="K20" s="3"/>
      <c r="L20" s="3">
        <f t="shared" si="8"/>
        <v>451.1404178</v>
      </c>
      <c r="M20" s="14">
        <f t="shared" si="9"/>
        <v>449.4859921</v>
      </c>
      <c r="N20" s="14">
        <f t="shared" si="10"/>
        <v>1.654425681</v>
      </c>
      <c r="O20" s="3"/>
      <c r="P20" s="23">
        <f t="shared" si="11"/>
        <v>203.8617413</v>
      </c>
      <c r="Q20" s="14">
        <f t="shared" si="12"/>
        <v>451.1404178</v>
      </c>
      <c r="R20" s="2"/>
      <c r="S20" s="14">
        <f t="shared" si="13"/>
        <v>1.519252705</v>
      </c>
    </row>
    <row r="21">
      <c r="A21" s="11">
        <v>9.0</v>
      </c>
      <c r="B21" s="11">
        <v>1.41943478260869E9</v>
      </c>
      <c r="C21" s="2">
        <v>-102.3456192</v>
      </c>
      <c r="D21" s="3">
        <f t="shared" si="1"/>
        <v>-965217.3913</v>
      </c>
      <c r="E21" s="4">
        <f t="shared" si="2"/>
        <v>202.9434452</v>
      </c>
      <c r="F21" s="3">
        <f t="shared" si="3"/>
        <v>0.0002102567225</v>
      </c>
      <c r="G21" s="3">
        <f t="shared" si="4"/>
        <v>0</v>
      </c>
      <c r="H21" s="2">
        <f t="shared" si="5"/>
        <v>0</v>
      </c>
      <c r="I21" s="3">
        <f t="shared" si="6"/>
        <v>0</v>
      </c>
      <c r="J21" s="3">
        <f t="shared" si="7"/>
        <v>0</v>
      </c>
      <c r="K21" s="3"/>
      <c r="L21" s="3">
        <f t="shared" si="8"/>
        <v>443.1433611</v>
      </c>
      <c r="M21" s="14">
        <f t="shared" si="9"/>
        <v>449.4156169</v>
      </c>
      <c r="N21" s="14">
        <f t="shared" si="10"/>
        <v>-6.272255783</v>
      </c>
      <c r="O21" s="3"/>
      <c r="P21" s="23">
        <f t="shared" si="11"/>
        <v>202.9434452</v>
      </c>
      <c r="Q21" s="14">
        <f t="shared" si="12"/>
        <v>443.1433611</v>
      </c>
      <c r="R21" s="2"/>
      <c r="S21" s="14">
        <f t="shared" si="13"/>
        <v>-5.75978823</v>
      </c>
    </row>
    <row r="22">
      <c r="A22" s="11">
        <v>10.0</v>
      </c>
      <c r="B22" s="11">
        <v>1.41943913043478E9</v>
      </c>
      <c r="C22" s="2">
        <v>-102.3102036</v>
      </c>
      <c r="D22" s="3">
        <f t="shared" si="1"/>
        <v>-960869.5652</v>
      </c>
      <c r="E22" s="4">
        <f t="shared" si="2"/>
        <v>202.0251491</v>
      </c>
      <c r="F22" s="3">
        <f t="shared" si="3"/>
        <v>0.0002102524176</v>
      </c>
      <c r="G22" s="3">
        <f t="shared" si="4"/>
        <v>0</v>
      </c>
      <c r="H22" s="2">
        <f t="shared" si="5"/>
        <v>0</v>
      </c>
      <c r="I22" s="3">
        <f t="shared" si="6"/>
        <v>0</v>
      </c>
      <c r="J22" s="3">
        <f t="shared" si="7"/>
        <v>0</v>
      </c>
      <c r="K22" s="3"/>
      <c r="L22" s="3">
        <f t="shared" si="8"/>
        <v>446.7718561</v>
      </c>
      <c r="M22" s="14">
        <f t="shared" si="9"/>
        <v>449.345288</v>
      </c>
      <c r="N22" s="14">
        <f t="shared" si="10"/>
        <v>-2.573431969</v>
      </c>
      <c r="O22" s="3"/>
      <c r="P22" s="23">
        <f t="shared" si="11"/>
        <v>202.0251491</v>
      </c>
      <c r="Q22" s="14">
        <f t="shared" si="12"/>
        <v>446.7718561</v>
      </c>
      <c r="R22" s="2"/>
      <c r="S22" s="14">
        <f t="shared" si="13"/>
        <v>-2.36317262</v>
      </c>
      <c r="U22" s="11">
        <v>1.0</v>
      </c>
    </row>
    <row r="23">
      <c r="A23" s="11">
        <v>11.0</v>
      </c>
      <c r="B23" s="11">
        <v>1.41944347826087E9</v>
      </c>
      <c r="C23" s="2">
        <v>-102.2480621</v>
      </c>
      <c r="D23" s="3">
        <f t="shared" si="1"/>
        <v>-956521.7391</v>
      </c>
      <c r="E23" s="4">
        <f t="shared" si="2"/>
        <v>201.1068529</v>
      </c>
      <c r="F23" s="3">
        <f t="shared" si="3"/>
        <v>0.0002102480735</v>
      </c>
      <c r="G23" s="3">
        <f t="shared" si="4"/>
        <v>0</v>
      </c>
      <c r="H23" s="2">
        <f t="shared" si="5"/>
        <v>0</v>
      </c>
      <c r="I23" s="3">
        <f t="shared" si="6"/>
        <v>0</v>
      </c>
      <c r="J23" s="3">
        <f t="shared" si="7"/>
        <v>0</v>
      </c>
      <c r="K23" s="3"/>
      <c r="L23" s="3">
        <f t="shared" si="8"/>
        <v>453.2104941</v>
      </c>
      <c r="M23" s="14">
        <f t="shared" si="9"/>
        <v>449.2750047</v>
      </c>
      <c r="N23" s="14">
        <f t="shared" si="10"/>
        <v>3.935489354</v>
      </c>
      <c r="O23" s="3"/>
      <c r="P23" s="23">
        <f t="shared" si="11"/>
        <v>201.1068529</v>
      </c>
      <c r="Q23" s="14">
        <f t="shared" si="12"/>
        <v>453.2104941</v>
      </c>
      <c r="R23" s="2"/>
      <c r="S23" s="14">
        <f t="shared" si="13"/>
        <v>3.613944654</v>
      </c>
    </row>
    <row r="24">
      <c r="A24" s="11">
        <v>12.0</v>
      </c>
      <c r="B24" s="11">
        <v>1.41944782608695E9</v>
      </c>
      <c r="C24" s="2">
        <v>-102.2725754</v>
      </c>
      <c r="D24" s="3">
        <f t="shared" si="1"/>
        <v>-952173.913</v>
      </c>
      <c r="E24" s="4">
        <f t="shared" si="2"/>
        <v>200.1885568</v>
      </c>
      <c r="F24" s="3">
        <f t="shared" si="3"/>
        <v>0.0002102436898</v>
      </c>
      <c r="G24" s="3">
        <f t="shared" si="4"/>
        <v>0</v>
      </c>
      <c r="H24" s="2">
        <f t="shared" si="5"/>
        <v>0</v>
      </c>
      <c r="I24" s="3">
        <f t="shared" si="6"/>
        <v>0</v>
      </c>
      <c r="J24" s="3">
        <f t="shared" si="7"/>
        <v>0</v>
      </c>
      <c r="K24" s="3"/>
      <c r="L24" s="3">
        <f t="shared" si="8"/>
        <v>450.6596005</v>
      </c>
      <c r="M24" s="14">
        <f t="shared" si="9"/>
        <v>449.2047661</v>
      </c>
      <c r="N24" s="14">
        <f t="shared" si="10"/>
        <v>1.454834372</v>
      </c>
      <c r="O24" s="3"/>
      <c r="P24" s="23">
        <f t="shared" si="11"/>
        <v>200.1885568</v>
      </c>
      <c r="Q24" s="14">
        <f t="shared" si="12"/>
        <v>450.6596005</v>
      </c>
      <c r="R24" s="2"/>
      <c r="S24" s="14">
        <f t="shared" si="13"/>
        <v>1.335968777</v>
      </c>
    </row>
    <row r="25">
      <c r="A25" s="11">
        <v>13.0</v>
      </c>
      <c r="B25" s="11">
        <v>1.41945217391304E9</v>
      </c>
      <c r="C25" s="2">
        <v>-102.3341293</v>
      </c>
      <c r="D25" s="3">
        <f t="shared" si="1"/>
        <v>-947826.087</v>
      </c>
      <c r="E25" s="4">
        <f t="shared" si="2"/>
        <v>199.2702607</v>
      </c>
      <c r="F25" s="3">
        <f t="shared" si="3"/>
        <v>0.0002102392658</v>
      </c>
      <c r="G25" s="3">
        <f t="shared" si="4"/>
        <v>0</v>
      </c>
      <c r="H25" s="2">
        <f t="shared" si="5"/>
        <v>0</v>
      </c>
      <c r="I25" s="3">
        <f t="shared" si="6"/>
        <v>0</v>
      </c>
      <c r="J25" s="3">
        <f t="shared" si="7"/>
        <v>0</v>
      </c>
      <c r="K25" s="3"/>
      <c r="L25" s="3">
        <f t="shared" si="8"/>
        <v>444.3173144</v>
      </c>
      <c r="M25" s="14">
        <f t="shared" si="9"/>
        <v>449.1345715</v>
      </c>
      <c r="N25" s="14">
        <f t="shared" si="10"/>
        <v>-4.817257132</v>
      </c>
      <c r="O25" s="3"/>
      <c r="P25" s="23">
        <f t="shared" si="11"/>
        <v>199.2702607</v>
      </c>
      <c r="Q25" s="14">
        <f t="shared" si="12"/>
        <v>444.3173144</v>
      </c>
      <c r="R25" s="2"/>
      <c r="S25" s="14">
        <f t="shared" si="13"/>
        <v>-4.423668585</v>
      </c>
    </row>
    <row r="26">
      <c r="A26" s="11">
        <v>14.0</v>
      </c>
      <c r="B26" s="11">
        <v>1.41945652173913E9</v>
      </c>
      <c r="C26" s="2">
        <v>-102.2852249</v>
      </c>
      <c r="D26" s="3">
        <f t="shared" si="1"/>
        <v>-943478.2609</v>
      </c>
      <c r="E26" s="4">
        <f t="shared" si="2"/>
        <v>198.3519645</v>
      </c>
      <c r="F26" s="3">
        <f t="shared" si="3"/>
        <v>0.0002102348011</v>
      </c>
      <c r="G26" s="3">
        <f t="shared" si="4"/>
        <v>0</v>
      </c>
      <c r="H26" s="2">
        <f t="shared" si="5"/>
        <v>0</v>
      </c>
      <c r="I26" s="3">
        <f t="shared" si="6"/>
        <v>0</v>
      </c>
      <c r="J26" s="3">
        <f t="shared" si="7"/>
        <v>0</v>
      </c>
      <c r="K26" s="3"/>
      <c r="L26" s="3">
        <f t="shared" si="8"/>
        <v>449.3488943</v>
      </c>
      <c r="M26" s="14">
        <f t="shared" si="9"/>
        <v>449.0644201</v>
      </c>
      <c r="N26" s="14">
        <f t="shared" si="10"/>
        <v>0.2844742417</v>
      </c>
      <c r="O26" s="3"/>
      <c r="P26" s="23">
        <f t="shared" si="11"/>
        <v>198.3519645</v>
      </c>
      <c r="Q26" s="14">
        <f t="shared" si="12"/>
        <v>449.3488943</v>
      </c>
      <c r="R26" s="2"/>
      <c r="S26" s="14">
        <f t="shared" si="13"/>
        <v>0.261231596</v>
      </c>
    </row>
    <row r="27">
      <c r="A27" s="11">
        <v>15.0</v>
      </c>
      <c r="B27" s="11">
        <v>1.41946086956521E9</v>
      </c>
      <c r="C27" s="2">
        <v>-102.2056885</v>
      </c>
      <c r="D27" s="3">
        <f t="shared" si="1"/>
        <v>-939130.4348</v>
      </c>
      <c r="E27" s="4">
        <f t="shared" si="2"/>
        <v>197.4336684</v>
      </c>
      <c r="F27" s="3">
        <f t="shared" si="3"/>
        <v>0.0002102302951</v>
      </c>
      <c r="G27" s="3">
        <f t="shared" si="4"/>
        <v>0</v>
      </c>
      <c r="H27" s="2">
        <f t="shared" si="5"/>
        <v>0</v>
      </c>
      <c r="I27" s="3">
        <f t="shared" si="6"/>
        <v>0</v>
      </c>
      <c r="J27" s="3">
        <f t="shared" si="7"/>
        <v>0</v>
      </c>
      <c r="K27" s="3"/>
      <c r="L27" s="3">
        <f t="shared" si="8"/>
        <v>457.6540578</v>
      </c>
      <c r="M27" s="14">
        <f t="shared" si="9"/>
        <v>448.994311</v>
      </c>
      <c r="N27" s="14">
        <f t="shared" si="10"/>
        <v>8.659746781</v>
      </c>
      <c r="O27" s="3"/>
      <c r="P27" s="23">
        <f t="shared" si="11"/>
        <v>197.4336684</v>
      </c>
      <c r="Q27" s="14">
        <f t="shared" si="12"/>
        <v>457.6540578</v>
      </c>
      <c r="R27" s="2"/>
      <c r="S27" s="14">
        <f t="shared" si="13"/>
        <v>7.95221198</v>
      </c>
    </row>
    <row r="28">
      <c r="A28" s="11">
        <v>16.0</v>
      </c>
      <c r="B28" s="11">
        <v>1.4194652173913E9</v>
      </c>
      <c r="C28" s="2">
        <v>-102.3096085</v>
      </c>
      <c r="D28" s="3">
        <f t="shared" si="1"/>
        <v>-934782.6087</v>
      </c>
      <c r="E28" s="4">
        <f t="shared" si="2"/>
        <v>196.5153723</v>
      </c>
      <c r="F28" s="3">
        <f t="shared" si="3"/>
        <v>0.0002102257471</v>
      </c>
      <c r="G28" s="3">
        <f t="shared" si="4"/>
        <v>0</v>
      </c>
      <c r="H28" s="2">
        <f t="shared" si="5"/>
        <v>0</v>
      </c>
      <c r="I28" s="3">
        <f t="shared" si="6"/>
        <v>0</v>
      </c>
      <c r="J28" s="3">
        <f t="shared" si="7"/>
        <v>0</v>
      </c>
      <c r="K28" s="3"/>
      <c r="L28" s="3">
        <f t="shared" si="8"/>
        <v>446.83308</v>
      </c>
      <c r="M28" s="14">
        <f t="shared" si="9"/>
        <v>448.9242435</v>
      </c>
      <c r="N28" s="14">
        <f t="shared" si="10"/>
        <v>-2.091163527</v>
      </c>
      <c r="O28" s="3"/>
      <c r="P28" s="23">
        <f t="shared" si="11"/>
        <v>196.5153723</v>
      </c>
      <c r="Q28" s="14">
        <f t="shared" si="12"/>
        <v>446.83308</v>
      </c>
      <c r="R28" s="2"/>
      <c r="S28" s="14">
        <f t="shared" si="13"/>
        <v>-1.920307375</v>
      </c>
    </row>
    <row r="29">
      <c r="A29" s="11">
        <v>17.0</v>
      </c>
      <c r="B29" s="11">
        <v>1.41946956521739E9</v>
      </c>
      <c r="C29" s="2">
        <v>-102.2891388</v>
      </c>
      <c r="D29" s="3">
        <f t="shared" si="1"/>
        <v>-930434.7826</v>
      </c>
      <c r="E29" s="4">
        <f t="shared" si="2"/>
        <v>195.5970761</v>
      </c>
      <c r="F29" s="3">
        <f t="shared" si="3"/>
        <v>0.0002102211566</v>
      </c>
      <c r="G29" s="3">
        <f t="shared" si="4"/>
        <v>0</v>
      </c>
      <c r="H29" s="2">
        <f t="shared" si="5"/>
        <v>0</v>
      </c>
      <c r="I29" s="3">
        <f t="shared" si="6"/>
        <v>0</v>
      </c>
      <c r="J29" s="3">
        <f t="shared" si="7"/>
        <v>0</v>
      </c>
      <c r="K29" s="3"/>
      <c r="L29" s="3">
        <f t="shared" si="8"/>
        <v>448.9441196</v>
      </c>
      <c r="M29" s="14">
        <f t="shared" si="9"/>
        <v>448.8542169</v>
      </c>
      <c r="N29" s="14">
        <f t="shared" si="10"/>
        <v>0.08990268789</v>
      </c>
      <c r="O29" s="3"/>
      <c r="P29" s="23">
        <f t="shared" si="11"/>
        <v>195.5970761</v>
      </c>
      <c r="Q29" s="14">
        <f t="shared" si="12"/>
        <v>448.9441196</v>
      </c>
      <c r="R29" s="2"/>
      <c r="S29" s="14">
        <f t="shared" si="13"/>
        <v>0.08255729062</v>
      </c>
    </row>
    <row r="30">
      <c r="A30" s="11">
        <v>18.0</v>
      </c>
      <c r="B30" s="11">
        <v>1.41947391304347E9</v>
      </c>
      <c r="C30" s="2">
        <v>-102.2445831</v>
      </c>
      <c r="D30" s="3">
        <f t="shared" si="1"/>
        <v>-926086.9565</v>
      </c>
      <c r="E30" s="4">
        <f t="shared" si="2"/>
        <v>194.67878</v>
      </c>
      <c r="F30" s="3">
        <f t="shared" si="3"/>
        <v>0.000210216523</v>
      </c>
      <c r="G30" s="3">
        <f t="shared" si="4"/>
        <v>0</v>
      </c>
      <c r="H30" s="2">
        <f t="shared" si="5"/>
        <v>0</v>
      </c>
      <c r="I30" s="3">
        <f t="shared" si="6"/>
        <v>0</v>
      </c>
      <c r="J30" s="3">
        <f t="shared" si="7"/>
        <v>0</v>
      </c>
      <c r="K30" s="3"/>
      <c r="L30" s="3">
        <f t="shared" si="8"/>
        <v>453.5736926</v>
      </c>
      <c r="M30" s="14">
        <f t="shared" si="9"/>
        <v>448.7842302</v>
      </c>
      <c r="N30" s="14">
        <f t="shared" si="10"/>
        <v>4.789462329</v>
      </c>
      <c r="O30" s="3"/>
      <c r="P30" s="23">
        <f t="shared" si="11"/>
        <v>194.67878</v>
      </c>
      <c r="Q30" s="14">
        <f t="shared" si="12"/>
        <v>453.5736926</v>
      </c>
      <c r="R30" s="2"/>
      <c r="S30" s="14">
        <f t="shared" si="13"/>
        <v>4.398144735</v>
      </c>
    </row>
    <row r="31">
      <c r="A31" s="11">
        <v>19.0</v>
      </c>
      <c r="B31" s="11">
        <v>1.41947826086956E9</v>
      </c>
      <c r="C31" s="2">
        <v>-102.3037262</v>
      </c>
      <c r="D31" s="3">
        <f t="shared" si="1"/>
        <v>-921739.1304</v>
      </c>
      <c r="E31" s="4">
        <f t="shared" si="2"/>
        <v>193.7604839</v>
      </c>
      <c r="F31" s="3">
        <f t="shared" si="3"/>
        <v>0.0002102118457</v>
      </c>
      <c r="G31" s="3">
        <f t="shared" si="4"/>
        <v>0</v>
      </c>
      <c r="H31" s="2">
        <f t="shared" si="5"/>
        <v>0</v>
      </c>
      <c r="I31" s="3">
        <f t="shared" si="6"/>
        <v>0</v>
      </c>
      <c r="J31" s="3">
        <f t="shared" si="7"/>
        <v>0</v>
      </c>
      <c r="K31" s="3"/>
      <c r="L31" s="3">
        <f t="shared" si="8"/>
        <v>447.438703</v>
      </c>
      <c r="M31" s="14">
        <f t="shared" si="9"/>
        <v>448.7142828</v>
      </c>
      <c r="N31" s="14">
        <f t="shared" si="10"/>
        <v>-1.275579874</v>
      </c>
      <c r="O31" s="3"/>
      <c r="P31" s="23">
        <f t="shared" si="11"/>
        <v>193.7604839</v>
      </c>
      <c r="Q31" s="14">
        <f t="shared" si="12"/>
        <v>447.438703</v>
      </c>
      <c r="R31" s="2"/>
      <c r="S31" s="14">
        <f t="shared" si="13"/>
        <v>-1.171360063</v>
      </c>
    </row>
    <row r="32">
      <c r="A32" s="11">
        <v>20.0</v>
      </c>
      <c r="B32" s="11">
        <v>1.41948260869565E9</v>
      </c>
      <c r="C32" s="2">
        <v>-102.2071228</v>
      </c>
      <c r="D32" s="3">
        <f t="shared" si="1"/>
        <v>-917391.3043</v>
      </c>
      <c r="E32" s="4">
        <f t="shared" si="2"/>
        <v>192.8421878</v>
      </c>
      <c r="F32" s="3">
        <f t="shared" si="3"/>
        <v>0.0002102071241</v>
      </c>
      <c r="G32" s="3">
        <f t="shared" si="4"/>
        <v>0</v>
      </c>
      <c r="H32" s="2">
        <f t="shared" si="5"/>
        <v>0</v>
      </c>
      <c r="I32" s="3">
        <f t="shared" si="6"/>
        <v>0</v>
      </c>
      <c r="J32" s="3">
        <f t="shared" si="7"/>
        <v>0</v>
      </c>
      <c r="K32" s="3"/>
      <c r="L32" s="3">
        <f t="shared" si="8"/>
        <v>457.502938</v>
      </c>
      <c r="M32" s="14">
        <f t="shared" si="9"/>
        <v>448.6443739</v>
      </c>
      <c r="N32" s="14">
        <f t="shared" si="10"/>
        <v>8.858564138</v>
      </c>
      <c r="O32" s="3"/>
      <c r="P32" s="23">
        <f t="shared" si="11"/>
        <v>192.8421878</v>
      </c>
      <c r="Q32" s="14">
        <f t="shared" si="12"/>
        <v>457.502938</v>
      </c>
      <c r="R32" s="2"/>
      <c r="S32" s="14">
        <f t="shared" si="13"/>
        <v>8.13478519</v>
      </c>
    </row>
    <row r="33">
      <c r="A33" s="11">
        <v>21.0</v>
      </c>
      <c r="B33" s="11">
        <v>1.41948695652173E9</v>
      </c>
      <c r="C33" s="2">
        <v>-102.2887497</v>
      </c>
      <c r="D33" s="3">
        <f t="shared" si="1"/>
        <v>-913043.4783</v>
      </c>
      <c r="E33" s="4">
        <f t="shared" si="2"/>
        <v>191.9238916</v>
      </c>
      <c r="F33" s="3">
        <f t="shared" si="3"/>
        <v>0.0002102023575</v>
      </c>
      <c r="G33" s="3">
        <f t="shared" si="4"/>
        <v>0</v>
      </c>
      <c r="H33" s="2">
        <f t="shared" si="5"/>
        <v>0</v>
      </c>
      <c r="I33" s="3">
        <f t="shared" si="6"/>
        <v>0</v>
      </c>
      <c r="J33" s="3">
        <f t="shared" si="7"/>
        <v>0</v>
      </c>
      <c r="K33" s="3"/>
      <c r="L33" s="3">
        <f t="shared" si="8"/>
        <v>448.9843439</v>
      </c>
      <c r="M33" s="14">
        <f t="shared" si="9"/>
        <v>448.5745026</v>
      </c>
      <c r="N33" s="14">
        <f t="shared" si="10"/>
        <v>0.409841303</v>
      </c>
      <c r="O33" s="3"/>
      <c r="P33" s="23">
        <f t="shared" si="11"/>
        <v>191.9238916</v>
      </c>
      <c r="Q33" s="14">
        <f t="shared" si="12"/>
        <v>448.9843439</v>
      </c>
      <c r="R33" s="2"/>
      <c r="S33" s="14">
        <f t="shared" si="13"/>
        <v>0.3763556835</v>
      </c>
    </row>
    <row r="34">
      <c r="A34" s="11">
        <v>22.0</v>
      </c>
      <c r="B34" s="11">
        <v>1.41949130434782E9</v>
      </c>
      <c r="C34" s="2">
        <v>-102.260437</v>
      </c>
      <c r="D34" s="3">
        <f t="shared" si="1"/>
        <v>-908695.6522</v>
      </c>
      <c r="E34" s="4">
        <f t="shared" si="2"/>
        <v>191.0055955</v>
      </c>
      <c r="F34" s="3">
        <f t="shared" si="3"/>
        <v>0.0002101975453</v>
      </c>
      <c r="G34" s="3">
        <f t="shared" si="4"/>
        <v>0</v>
      </c>
      <c r="H34" s="2">
        <f t="shared" si="5"/>
        <v>0</v>
      </c>
      <c r="I34" s="3">
        <f t="shared" si="6"/>
        <v>0</v>
      </c>
      <c r="J34" s="3">
        <f t="shared" si="7"/>
        <v>0</v>
      </c>
      <c r="K34" s="3"/>
      <c r="L34" s="3">
        <f t="shared" si="8"/>
        <v>451.9209424</v>
      </c>
      <c r="M34" s="14">
        <f t="shared" si="9"/>
        <v>448.5046681</v>
      </c>
      <c r="N34" s="14">
        <f t="shared" si="10"/>
        <v>3.416274263</v>
      </c>
      <c r="O34" s="3"/>
      <c r="P34" s="23">
        <f t="shared" si="11"/>
        <v>191.0055955</v>
      </c>
      <c r="Q34" s="14">
        <f t="shared" si="12"/>
        <v>451.9209424</v>
      </c>
      <c r="R34" s="2"/>
      <c r="S34" s="14">
        <f t="shared" si="13"/>
        <v>3.137151444</v>
      </c>
    </row>
    <row r="35">
      <c r="A35" s="11">
        <v>23.0</v>
      </c>
      <c r="B35" s="11">
        <v>1.41949565217391E9</v>
      </c>
      <c r="C35" s="2">
        <v>-102.2915726</v>
      </c>
      <c r="D35" s="3">
        <f t="shared" si="1"/>
        <v>-904347.8261</v>
      </c>
      <c r="E35" s="4">
        <f t="shared" si="2"/>
        <v>190.0872994</v>
      </c>
      <c r="F35" s="3">
        <f t="shared" si="3"/>
        <v>0.0002101926868</v>
      </c>
      <c r="G35" s="3">
        <f t="shared" si="4"/>
        <v>0</v>
      </c>
      <c r="H35" s="2">
        <f t="shared" si="5"/>
        <v>0</v>
      </c>
      <c r="I35" s="3">
        <f t="shared" si="6"/>
        <v>0</v>
      </c>
      <c r="J35" s="3">
        <f t="shared" si="7"/>
        <v>0</v>
      </c>
      <c r="K35" s="3"/>
      <c r="L35" s="3">
        <f t="shared" si="8"/>
        <v>448.6926003</v>
      </c>
      <c r="M35" s="14">
        <f t="shared" si="9"/>
        <v>448.4348698</v>
      </c>
      <c r="N35" s="14">
        <f t="shared" si="10"/>
        <v>0.2577305384</v>
      </c>
      <c r="O35" s="3"/>
      <c r="P35" s="23">
        <f t="shared" si="11"/>
        <v>190.0872994</v>
      </c>
      <c r="Q35" s="14">
        <f t="shared" si="12"/>
        <v>448.6926003</v>
      </c>
      <c r="R35" s="2"/>
      <c r="S35" s="14">
        <f t="shared" si="13"/>
        <v>0.2366729562</v>
      </c>
    </row>
    <row r="36">
      <c r="A36" s="11">
        <v>24.0</v>
      </c>
      <c r="B36" s="11">
        <v>1.4195E9</v>
      </c>
      <c r="C36" s="2">
        <v>-102.2935715</v>
      </c>
      <c r="D36" s="3">
        <f t="shared" si="1"/>
        <v>-900000</v>
      </c>
      <c r="E36" s="4">
        <f t="shared" si="2"/>
        <v>189.1690032</v>
      </c>
      <c r="F36" s="3">
        <f t="shared" si="3"/>
        <v>0.0002101877814</v>
      </c>
      <c r="G36" s="3">
        <f t="shared" si="4"/>
        <v>0</v>
      </c>
      <c r="H36" s="2">
        <f t="shared" si="5"/>
        <v>0</v>
      </c>
      <c r="I36" s="3">
        <f t="shared" si="6"/>
        <v>0</v>
      </c>
      <c r="J36" s="3">
        <f t="shared" si="7"/>
        <v>0</v>
      </c>
      <c r="K36" s="3"/>
      <c r="L36" s="3">
        <f t="shared" si="8"/>
        <v>448.4861309</v>
      </c>
      <c r="M36" s="14">
        <f t="shared" si="9"/>
        <v>448.3651068</v>
      </c>
      <c r="N36" s="14">
        <f t="shared" si="10"/>
        <v>0.1210241728</v>
      </c>
      <c r="O36" s="3"/>
      <c r="P36" s="23">
        <f t="shared" si="11"/>
        <v>189.1690032</v>
      </c>
      <c r="Q36" s="14">
        <f t="shared" si="12"/>
        <v>448.4861309</v>
      </c>
      <c r="R36" s="2"/>
      <c r="S36" s="14">
        <f t="shared" si="13"/>
        <v>0.1111360299</v>
      </c>
    </row>
    <row r="37">
      <c r="A37" s="11">
        <v>25.0</v>
      </c>
      <c r="B37" s="11">
        <v>1.41950434782608E9</v>
      </c>
      <c r="C37" s="2">
        <v>-102.3434067</v>
      </c>
      <c r="D37" s="3">
        <f t="shared" si="1"/>
        <v>-895652.1739</v>
      </c>
      <c r="E37" s="4">
        <f t="shared" si="2"/>
        <v>188.2507071</v>
      </c>
      <c r="F37" s="3">
        <f t="shared" si="3"/>
        <v>0.0002101828283</v>
      </c>
      <c r="G37" s="3">
        <f t="shared" si="4"/>
        <v>0</v>
      </c>
      <c r="H37" s="2">
        <f t="shared" si="5"/>
        <v>0</v>
      </c>
      <c r="I37" s="3">
        <f t="shared" si="6"/>
        <v>0</v>
      </c>
      <c r="J37" s="3">
        <f t="shared" si="7"/>
        <v>0</v>
      </c>
      <c r="K37" s="3"/>
      <c r="L37" s="3">
        <f t="shared" si="8"/>
        <v>443.3691767</v>
      </c>
      <c r="M37" s="14">
        <f t="shared" si="9"/>
        <v>448.2953782</v>
      </c>
      <c r="N37" s="14">
        <f t="shared" si="10"/>
        <v>-4.926201542</v>
      </c>
      <c r="O37" s="3"/>
      <c r="P37" s="23">
        <f t="shared" si="11"/>
        <v>188.2507071</v>
      </c>
      <c r="Q37" s="14">
        <f t="shared" si="12"/>
        <v>443.3691767</v>
      </c>
      <c r="R37" s="2"/>
      <c r="S37" s="14">
        <f t="shared" si="13"/>
        <v>-4.523711826</v>
      </c>
    </row>
    <row r="38">
      <c r="A38" s="11">
        <v>26.0</v>
      </c>
      <c r="B38" s="11">
        <v>1.41950869565217E9</v>
      </c>
      <c r="C38" s="2">
        <v>-102.2898788</v>
      </c>
      <c r="D38" s="3">
        <f t="shared" si="1"/>
        <v>-891304.3478</v>
      </c>
      <c r="E38" s="4">
        <f t="shared" si="2"/>
        <v>187.332411</v>
      </c>
      <c r="F38" s="3">
        <f t="shared" si="3"/>
        <v>0.0002101778269</v>
      </c>
      <c r="G38" s="3">
        <f t="shared" si="4"/>
        <v>0</v>
      </c>
      <c r="H38" s="2">
        <f t="shared" si="5"/>
        <v>0</v>
      </c>
      <c r="I38" s="3">
        <f t="shared" si="6"/>
        <v>0</v>
      </c>
      <c r="J38" s="3">
        <f t="shared" si="7"/>
        <v>0</v>
      </c>
      <c r="K38" s="3"/>
      <c r="L38" s="3">
        <f t="shared" si="8"/>
        <v>448.8676299</v>
      </c>
      <c r="M38" s="14">
        <f t="shared" si="9"/>
        <v>448.2256834</v>
      </c>
      <c r="N38" s="14">
        <f t="shared" si="10"/>
        <v>0.6419465086</v>
      </c>
      <c r="O38" s="3"/>
      <c r="P38" s="23">
        <f t="shared" si="11"/>
        <v>187.332411</v>
      </c>
      <c r="Q38" s="14">
        <f t="shared" si="12"/>
        <v>448.8676299</v>
      </c>
      <c r="R38" s="2"/>
      <c r="S38" s="14">
        <f t="shared" si="13"/>
        <v>0.5894969949</v>
      </c>
    </row>
    <row r="39">
      <c r="A39" s="11">
        <v>27.0</v>
      </c>
      <c r="B39" s="11">
        <v>1.41951304347826E9</v>
      </c>
      <c r="C39" s="2">
        <v>-102.2673798</v>
      </c>
      <c r="D39" s="3">
        <f t="shared" si="1"/>
        <v>-886956.5217</v>
      </c>
      <c r="E39" s="4">
        <f t="shared" si="2"/>
        <v>186.4141148</v>
      </c>
      <c r="F39" s="3">
        <f t="shared" si="3"/>
        <v>0.0002101727765</v>
      </c>
      <c r="G39" s="3">
        <f t="shared" si="4"/>
        <v>0</v>
      </c>
      <c r="H39" s="2">
        <f t="shared" si="5"/>
        <v>0</v>
      </c>
      <c r="I39" s="3">
        <f t="shared" si="6"/>
        <v>0</v>
      </c>
      <c r="J39" s="3">
        <f t="shared" si="7"/>
        <v>0</v>
      </c>
      <c r="K39" s="3"/>
      <c r="L39" s="3">
        <f t="shared" si="8"/>
        <v>451.1990612</v>
      </c>
      <c r="M39" s="14">
        <f t="shared" si="9"/>
        <v>448.1560215</v>
      </c>
      <c r="N39" s="14">
        <f t="shared" si="10"/>
        <v>3.043039718</v>
      </c>
      <c r="O39" s="3"/>
      <c r="P39" s="23">
        <f t="shared" si="11"/>
        <v>186.4141148</v>
      </c>
      <c r="Q39" s="14">
        <f t="shared" si="12"/>
        <v>451.1990612</v>
      </c>
      <c r="R39" s="2"/>
      <c r="S39" s="14">
        <f t="shared" si="13"/>
        <v>2.794411605</v>
      </c>
    </row>
    <row r="40">
      <c r="A40" s="11">
        <v>28.0</v>
      </c>
      <c r="B40" s="11">
        <v>1.41951739130434E9</v>
      </c>
      <c r="C40" s="2">
        <v>-102.2942276</v>
      </c>
      <c r="D40" s="3">
        <f t="shared" si="1"/>
        <v>-882608.6957</v>
      </c>
      <c r="E40" s="4">
        <f t="shared" si="2"/>
        <v>185.4958187</v>
      </c>
      <c r="F40" s="3">
        <f t="shared" si="3"/>
        <v>0.0002101676763</v>
      </c>
      <c r="G40" s="3">
        <f t="shared" si="4"/>
        <v>0</v>
      </c>
      <c r="H40" s="2">
        <f t="shared" si="5"/>
        <v>0</v>
      </c>
      <c r="I40" s="3">
        <f t="shared" si="6"/>
        <v>0</v>
      </c>
      <c r="J40" s="3">
        <f t="shared" si="7"/>
        <v>0</v>
      </c>
      <c r="K40" s="3"/>
      <c r="L40" s="3">
        <f t="shared" si="8"/>
        <v>448.4183821</v>
      </c>
      <c r="M40" s="14">
        <f t="shared" si="9"/>
        <v>448.0863918</v>
      </c>
      <c r="N40" s="14">
        <f t="shared" si="10"/>
        <v>0.3319902985</v>
      </c>
      <c r="O40" s="3"/>
      <c r="P40" s="23">
        <f t="shared" si="11"/>
        <v>185.4958187</v>
      </c>
      <c r="Q40" s="14">
        <f t="shared" si="12"/>
        <v>448.4183821</v>
      </c>
      <c r="R40" s="2"/>
      <c r="S40" s="14">
        <f t="shared" si="13"/>
        <v>0.3048654073</v>
      </c>
    </row>
    <row r="41">
      <c r="A41" s="11">
        <v>29.0</v>
      </c>
      <c r="B41" s="11">
        <v>1.41952173913043E9</v>
      </c>
      <c r="C41" s="2">
        <v>-102.2927322</v>
      </c>
      <c r="D41" s="3">
        <f t="shared" si="1"/>
        <v>-878260.8696</v>
      </c>
      <c r="E41" s="4">
        <f t="shared" si="2"/>
        <v>184.5775226</v>
      </c>
      <c r="F41" s="3">
        <f t="shared" si="3"/>
        <v>0.0002101625257</v>
      </c>
      <c r="G41" s="3">
        <f t="shared" si="4"/>
        <v>0</v>
      </c>
      <c r="H41" s="2">
        <f t="shared" si="5"/>
        <v>0</v>
      </c>
      <c r="I41" s="3">
        <f t="shared" si="6"/>
        <v>0</v>
      </c>
      <c r="J41" s="3">
        <f t="shared" si="7"/>
        <v>0</v>
      </c>
      <c r="K41" s="3"/>
      <c r="L41" s="3">
        <f t="shared" si="8"/>
        <v>448.5728119</v>
      </c>
      <c r="M41" s="14">
        <f t="shared" si="9"/>
        <v>448.0167934</v>
      </c>
      <c r="N41" s="14">
        <f t="shared" si="10"/>
        <v>0.5560185257</v>
      </c>
      <c r="O41" s="3"/>
      <c r="P41" s="23">
        <f t="shared" si="11"/>
        <v>184.5775226</v>
      </c>
      <c r="Q41" s="14">
        <f t="shared" si="12"/>
        <v>448.5728119</v>
      </c>
      <c r="R41" s="2"/>
      <c r="S41" s="14">
        <f t="shared" si="13"/>
        <v>0.5105896607</v>
      </c>
    </row>
    <row r="42">
      <c r="A42" s="11">
        <v>30.0</v>
      </c>
      <c r="B42" s="11">
        <v>1.41952608695652E9</v>
      </c>
      <c r="C42" s="2">
        <v>-102.2947998</v>
      </c>
      <c r="D42" s="3">
        <f t="shared" si="1"/>
        <v>-873913.0435</v>
      </c>
      <c r="E42" s="4">
        <f t="shared" si="2"/>
        <v>183.6592264</v>
      </c>
      <c r="F42" s="3">
        <f t="shared" si="3"/>
        <v>0.0002101573238</v>
      </c>
      <c r="G42" s="3">
        <f t="shared" si="4"/>
        <v>0</v>
      </c>
      <c r="H42" s="2">
        <f t="shared" si="5"/>
        <v>0</v>
      </c>
      <c r="I42" s="3">
        <f t="shared" si="6"/>
        <v>0</v>
      </c>
      <c r="J42" s="3">
        <f t="shared" si="7"/>
        <v>0</v>
      </c>
      <c r="K42" s="3"/>
      <c r="L42" s="3">
        <f t="shared" si="8"/>
        <v>448.3593051</v>
      </c>
      <c r="M42" s="14">
        <f t="shared" si="9"/>
        <v>447.9472256</v>
      </c>
      <c r="N42" s="14">
        <f t="shared" si="10"/>
        <v>0.4120794979</v>
      </c>
      <c r="O42" s="3"/>
      <c r="P42" s="23">
        <f t="shared" si="11"/>
        <v>183.6592264</v>
      </c>
      <c r="Q42" s="14">
        <f t="shared" si="12"/>
        <v>448.3593051</v>
      </c>
      <c r="R42" s="2"/>
      <c r="S42" s="14">
        <f t="shared" si="13"/>
        <v>0.3784110093</v>
      </c>
    </row>
    <row r="43">
      <c r="A43" s="11">
        <v>31.0</v>
      </c>
      <c r="B43" s="11">
        <v>1.4195304347826E9</v>
      </c>
      <c r="C43" s="2">
        <v>-102.3309326</v>
      </c>
      <c r="D43" s="3">
        <f t="shared" si="1"/>
        <v>-869565.2174</v>
      </c>
      <c r="E43" s="4">
        <f t="shared" si="2"/>
        <v>182.7409303</v>
      </c>
      <c r="F43" s="3">
        <f t="shared" si="3"/>
        <v>0.0002101520698</v>
      </c>
      <c r="G43" s="3">
        <f t="shared" si="4"/>
        <v>0</v>
      </c>
      <c r="H43" s="2">
        <f t="shared" si="5"/>
        <v>0</v>
      </c>
      <c r="I43" s="3">
        <f t="shared" si="6"/>
        <v>0</v>
      </c>
      <c r="J43" s="3">
        <f t="shared" si="7"/>
        <v>0</v>
      </c>
      <c r="K43" s="3"/>
      <c r="L43" s="3">
        <f t="shared" si="8"/>
        <v>444.6444823</v>
      </c>
      <c r="M43" s="14">
        <f t="shared" si="9"/>
        <v>447.8776876</v>
      </c>
      <c r="N43" s="14">
        <f t="shared" si="10"/>
        <v>-3.233205307</v>
      </c>
      <c r="O43" s="3"/>
      <c r="P43" s="23">
        <f t="shared" si="11"/>
        <v>182.7409303</v>
      </c>
      <c r="Q43" s="14">
        <f t="shared" si="12"/>
        <v>444.6444823</v>
      </c>
      <c r="R43" s="2"/>
      <c r="S43" s="14">
        <f t="shared" si="13"/>
        <v>-2.96903993</v>
      </c>
    </row>
    <row r="44">
      <c r="A44" s="11">
        <v>32.0</v>
      </c>
      <c r="B44" s="11">
        <v>1.41953478260869E9</v>
      </c>
      <c r="C44" s="2">
        <v>-102.34729</v>
      </c>
      <c r="D44" s="3">
        <f t="shared" si="1"/>
        <v>-865217.3913</v>
      </c>
      <c r="E44" s="4">
        <f t="shared" si="2"/>
        <v>181.8226342</v>
      </c>
      <c r="F44" s="3">
        <f t="shared" si="3"/>
        <v>0.0002101467631</v>
      </c>
      <c r="G44" s="3">
        <f t="shared" si="4"/>
        <v>0</v>
      </c>
      <c r="H44" s="2">
        <f t="shared" si="5"/>
        <v>0</v>
      </c>
      <c r="I44" s="3">
        <f t="shared" si="6"/>
        <v>0</v>
      </c>
      <c r="J44" s="3">
        <f t="shared" si="7"/>
        <v>0</v>
      </c>
      <c r="K44" s="3"/>
      <c r="L44" s="3">
        <f t="shared" si="8"/>
        <v>442.9729096</v>
      </c>
      <c r="M44" s="14">
        <f t="shared" si="9"/>
        <v>447.8081785</v>
      </c>
      <c r="N44" s="14">
        <f t="shared" si="10"/>
        <v>-4.835268929</v>
      </c>
      <c r="O44" s="3"/>
      <c r="P44" s="23">
        <f t="shared" si="11"/>
        <v>181.8226342</v>
      </c>
      <c r="Q44" s="14">
        <f t="shared" si="12"/>
        <v>442.9729096</v>
      </c>
      <c r="R44" s="2"/>
      <c r="S44" s="14">
        <f t="shared" si="13"/>
        <v>-4.440208759</v>
      </c>
    </row>
    <row r="45">
      <c r="A45" s="11">
        <v>33.0</v>
      </c>
      <c r="B45" s="11">
        <v>1.41953913043478E9</v>
      </c>
      <c r="C45" s="2">
        <v>-102.2720261</v>
      </c>
      <c r="D45" s="3">
        <f t="shared" si="1"/>
        <v>-860869.5652</v>
      </c>
      <c r="E45" s="4">
        <f t="shared" si="2"/>
        <v>180.904338</v>
      </c>
      <c r="F45" s="3">
        <f t="shared" si="3"/>
        <v>0.0002101414028</v>
      </c>
      <c r="G45" s="3">
        <f t="shared" si="4"/>
        <v>0</v>
      </c>
      <c r="H45" s="2">
        <f t="shared" si="5"/>
        <v>0</v>
      </c>
      <c r="I45" s="3">
        <f t="shared" si="6"/>
        <v>0</v>
      </c>
      <c r="J45" s="3">
        <f t="shared" si="7"/>
        <v>0</v>
      </c>
      <c r="K45" s="3"/>
      <c r="L45" s="3">
        <f t="shared" si="8"/>
        <v>450.716604</v>
      </c>
      <c r="M45" s="14">
        <f t="shared" si="9"/>
        <v>447.7386977</v>
      </c>
      <c r="N45" s="14">
        <f t="shared" si="10"/>
        <v>2.977906273</v>
      </c>
      <c r="O45" s="3"/>
      <c r="P45" s="23">
        <f t="shared" si="11"/>
        <v>180.904338</v>
      </c>
      <c r="Q45" s="14">
        <f t="shared" si="12"/>
        <v>450.716604</v>
      </c>
      <c r="R45" s="2"/>
      <c r="S45" s="14">
        <f t="shared" si="13"/>
        <v>2.734599808</v>
      </c>
    </row>
    <row r="46">
      <c r="A46" s="11">
        <v>34.0</v>
      </c>
      <c r="B46" s="11">
        <v>1.41954347826087E9</v>
      </c>
      <c r="C46" s="2">
        <v>-102.3220749</v>
      </c>
      <c r="D46" s="3">
        <f t="shared" si="1"/>
        <v>-856521.7391</v>
      </c>
      <c r="E46" s="4">
        <f t="shared" si="2"/>
        <v>179.9860419</v>
      </c>
      <c r="F46" s="3">
        <f t="shared" si="3"/>
        <v>0.000210135988</v>
      </c>
      <c r="G46" s="3">
        <f t="shared" si="4"/>
        <v>0</v>
      </c>
      <c r="H46" s="2">
        <f t="shared" si="5"/>
        <v>0</v>
      </c>
      <c r="I46" s="3">
        <f t="shared" si="6"/>
        <v>0</v>
      </c>
      <c r="J46" s="3">
        <f t="shared" si="7"/>
        <v>0</v>
      </c>
      <c r="K46" s="3"/>
      <c r="L46" s="3">
        <f t="shared" si="8"/>
        <v>445.5522872</v>
      </c>
      <c r="M46" s="14">
        <f t="shared" si="9"/>
        <v>447.6692443</v>
      </c>
      <c r="N46" s="14">
        <f t="shared" si="10"/>
        <v>-2.116957159</v>
      </c>
      <c r="O46" s="3"/>
      <c r="P46" s="23">
        <f t="shared" si="11"/>
        <v>179.9860419</v>
      </c>
      <c r="Q46" s="14">
        <f t="shared" si="12"/>
        <v>445.5522872</v>
      </c>
      <c r="R46" s="2"/>
      <c r="S46" s="14">
        <f t="shared" si="13"/>
        <v>-1.943993572</v>
      </c>
    </row>
    <row r="47">
      <c r="A47" s="11">
        <v>35.0</v>
      </c>
      <c r="B47" s="11">
        <v>1.41954782608695E9</v>
      </c>
      <c r="C47" s="2">
        <v>-102.2826233</v>
      </c>
      <c r="D47" s="3">
        <f t="shared" si="1"/>
        <v>-852173.913</v>
      </c>
      <c r="E47" s="4">
        <f t="shared" si="2"/>
        <v>179.0677458</v>
      </c>
      <c r="F47" s="3">
        <f t="shared" si="3"/>
        <v>0.000210130518</v>
      </c>
      <c r="G47" s="3">
        <f t="shared" si="4"/>
        <v>0</v>
      </c>
      <c r="H47" s="2">
        <f t="shared" si="5"/>
        <v>0</v>
      </c>
      <c r="I47" s="3">
        <f t="shared" si="6"/>
        <v>0</v>
      </c>
      <c r="J47" s="3">
        <f t="shared" si="7"/>
        <v>0</v>
      </c>
      <c r="K47" s="3"/>
      <c r="L47" s="3">
        <f t="shared" si="8"/>
        <v>449.6181532</v>
      </c>
      <c r="M47" s="14">
        <f t="shared" si="9"/>
        <v>447.5998176</v>
      </c>
      <c r="N47" s="14">
        <f t="shared" si="10"/>
        <v>2.018335599</v>
      </c>
      <c r="O47" s="3"/>
      <c r="P47" s="23">
        <f t="shared" si="11"/>
        <v>179.0677458</v>
      </c>
      <c r="Q47" s="14">
        <f t="shared" si="12"/>
        <v>449.6181532</v>
      </c>
      <c r="R47" s="2"/>
      <c r="S47" s="14">
        <f t="shared" si="13"/>
        <v>1.853429775</v>
      </c>
    </row>
    <row r="48">
      <c r="A48" s="11">
        <v>36.0</v>
      </c>
      <c r="B48" s="11">
        <v>1.41955217391304E9</v>
      </c>
      <c r="C48" s="2">
        <v>-102.3580704</v>
      </c>
      <c r="D48" s="3">
        <f t="shared" si="1"/>
        <v>-847826.087</v>
      </c>
      <c r="E48" s="4">
        <f t="shared" si="2"/>
        <v>178.1494496</v>
      </c>
      <c r="F48" s="3">
        <f t="shared" si="3"/>
        <v>0.0002101249919</v>
      </c>
      <c r="G48" s="3">
        <f t="shared" si="4"/>
        <v>0</v>
      </c>
      <c r="H48" s="2">
        <f t="shared" si="5"/>
        <v>0</v>
      </c>
      <c r="I48" s="3">
        <f t="shared" si="6"/>
        <v>0</v>
      </c>
      <c r="J48" s="3">
        <f t="shared" si="7"/>
        <v>0</v>
      </c>
      <c r="K48" s="3"/>
      <c r="L48" s="3">
        <f t="shared" si="8"/>
        <v>441.8746909</v>
      </c>
      <c r="M48" s="14">
        <f t="shared" si="9"/>
        <v>447.5304166</v>
      </c>
      <c r="N48" s="14">
        <f t="shared" si="10"/>
        <v>-5.655725697</v>
      </c>
      <c r="O48" s="3"/>
      <c r="P48" s="23">
        <f t="shared" si="11"/>
        <v>178.1494496</v>
      </c>
      <c r="Q48" s="14">
        <f t="shared" si="12"/>
        <v>441.8746909</v>
      </c>
      <c r="R48" s="2"/>
      <c r="S48" s="14">
        <f t="shared" si="13"/>
        <v>-5.193631024</v>
      </c>
    </row>
    <row r="49">
      <c r="A49" s="11">
        <v>37.0</v>
      </c>
      <c r="B49" s="11">
        <v>1.41955652173913E9</v>
      </c>
      <c r="C49" s="2">
        <v>-102.291893</v>
      </c>
      <c r="D49" s="3">
        <f t="shared" si="1"/>
        <v>-843478.2609</v>
      </c>
      <c r="E49" s="4">
        <f t="shared" si="2"/>
        <v>177.2311535</v>
      </c>
      <c r="F49" s="3">
        <f t="shared" si="3"/>
        <v>0.0002101194088</v>
      </c>
      <c r="G49" s="3">
        <f t="shared" si="4"/>
        <v>0</v>
      </c>
      <c r="H49" s="2">
        <f t="shared" si="5"/>
        <v>0</v>
      </c>
      <c r="I49" s="3">
        <f t="shared" si="6"/>
        <v>0</v>
      </c>
      <c r="J49" s="3">
        <f t="shared" si="7"/>
        <v>0</v>
      </c>
      <c r="K49" s="3"/>
      <c r="L49" s="3">
        <f t="shared" si="8"/>
        <v>448.6594993</v>
      </c>
      <c r="M49" s="14">
        <f t="shared" si="9"/>
        <v>447.4610408</v>
      </c>
      <c r="N49" s="14">
        <f t="shared" si="10"/>
        <v>1.198458569</v>
      </c>
      <c r="O49" s="3"/>
      <c r="P49" s="23">
        <f t="shared" si="11"/>
        <v>177.2311535</v>
      </c>
      <c r="Q49" s="14">
        <f t="shared" si="12"/>
        <v>448.6594993</v>
      </c>
      <c r="R49" s="2"/>
      <c r="S49" s="14">
        <f t="shared" si="13"/>
        <v>1.100539869</v>
      </c>
    </row>
    <row r="50">
      <c r="A50" s="11">
        <v>38.0</v>
      </c>
      <c r="B50" s="11">
        <v>1.41956086956521E9</v>
      </c>
      <c r="C50" s="2">
        <v>-102.2624359</v>
      </c>
      <c r="D50" s="3">
        <f t="shared" si="1"/>
        <v>-839130.4348</v>
      </c>
      <c r="E50" s="4">
        <f t="shared" si="2"/>
        <v>176.3128574</v>
      </c>
      <c r="F50" s="3">
        <f t="shared" si="3"/>
        <v>0.0002101137678</v>
      </c>
      <c r="G50" s="3">
        <f t="shared" si="4"/>
        <v>0</v>
      </c>
      <c r="H50" s="2">
        <f t="shared" si="5"/>
        <v>0</v>
      </c>
      <c r="I50" s="3">
        <f t="shared" si="6"/>
        <v>0</v>
      </c>
      <c r="J50" s="3">
        <f t="shared" si="7"/>
        <v>0</v>
      </c>
      <c r="K50" s="3"/>
      <c r="L50" s="3">
        <f t="shared" si="8"/>
        <v>451.7129874</v>
      </c>
      <c r="M50" s="14">
        <f t="shared" si="9"/>
        <v>447.3916892</v>
      </c>
      <c r="N50" s="14">
        <f t="shared" si="10"/>
        <v>4.321298265</v>
      </c>
      <c r="O50" s="3"/>
      <c r="P50" s="23">
        <f t="shared" si="11"/>
        <v>176.3128574</v>
      </c>
      <c r="Q50" s="14">
        <f t="shared" si="12"/>
        <v>451.7129874</v>
      </c>
      <c r="R50" s="2"/>
      <c r="S50" s="14">
        <f t="shared" si="13"/>
        <v>3.968231486</v>
      </c>
    </row>
    <row r="51">
      <c r="A51" s="11">
        <v>39.0</v>
      </c>
      <c r="B51" s="11">
        <v>1.4195652173913E9</v>
      </c>
      <c r="C51" s="2">
        <v>-102.3258438</v>
      </c>
      <c r="D51" s="3">
        <f t="shared" si="1"/>
        <v>-834782.6087</v>
      </c>
      <c r="E51" s="4">
        <f t="shared" si="2"/>
        <v>175.3945612</v>
      </c>
      <c r="F51" s="3">
        <f t="shared" si="3"/>
        <v>0.0002101080681</v>
      </c>
      <c r="G51" s="3">
        <f t="shared" si="4"/>
        <v>0</v>
      </c>
      <c r="H51" s="2">
        <f t="shared" si="5"/>
        <v>0</v>
      </c>
      <c r="I51" s="3">
        <f t="shared" si="6"/>
        <v>0</v>
      </c>
      <c r="J51" s="3">
        <f t="shared" si="7"/>
        <v>0</v>
      </c>
      <c r="K51" s="3"/>
      <c r="L51" s="3">
        <f t="shared" si="8"/>
        <v>445.1657951</v>
      </c>
      <c r="M51" s="14">
        <f t="shared" si="9"/>
        <v>447.3223611</v>
      </c>
      <c r="N51" s="14">
        <f t="shared" si="10"/>
        <v>-2.156565952</v>
      </c>
      <c r="O51" s="3"/>
      <c r="P51" s="23">
        <f t="shared" si="11"/>
        <v>175.3945612</v>
      </c>
      <c r="Q51" s="14">
        <f t="shared" si="12"/>
        <v>445.1657951</v>
      </c>
      <c r="R51" s="2"/>
      <c r="S51" s="14">
        <f t="shared" si="13"/>
        <v>-1.980366169</v>
      </c>
    </row>
    <row r="52">
      <c r="A52" s="11">
        <v>40.0</v>
      </c>
      <c r="B52" s="11">
        <v>1.41956956521739E9</v>
      </c>
      <c r="C52" s="2">
        <v>-102.3111267</v>
      </c>
      <c r="D52" s="3">
        <f t="shared" si="1"/>
        <v>-830434.7826</v>
      </c>
      <c r="E52" s="4">
        <f t="shared" si="2"/>
        <v>174.4762651</v>
      </c>
      <c r="F52" s="3">
        <f t="shared" si="3"/>
        <v>0.0002101023088</v>
      </c>
      <c r="G52" s="3">
        <f t="shared" si="4"/>
        <v>0</v>
      </c>
      <c r="H52" s="2">
        <f t="shared" si="5"/>
        <v>0</v>
      </c>
      <c r="I52" s="3">
        <f t="shared" si="6"/>
        <v>0</v>
      </c>
      <c r="J52" s="3">
        <f t="shared" si="7"/>
        <v>0</v>
      </c>
      <c r="K52" s="3"/>
      <c r="L52" s="3">
        <f t="shared" si="8"/>
        <v>446.6769041</v>
      </c>
      <c r="M52" s="14">
        <f t="shared" si="9"/>
        <v>447.2530557</v>
      </c>
      <c r="N52" s="14">
        <f t="shared" si="10"/>
        <v>-0.5761515841</v>
      </c>
      <c r="O52" s="3"/>
      <c r="P52" s="23">
        <f t="shared" si="11"/>
        <v>174.4762651</v>
      </c>
      <c r="Q52" s="14">
        <f t="shared" si="12"/>
        <v>446.6769041</v>
      </c>
      <c r="R52" s="2"/>
      <c r="S52" s="14">
        <f t="shared" si="13"/>
        <v>-0.5290777715</v>
      </c>
    </row>
    <row r="53">
      <c r="A53" s="11">
        <v>41.0</v>
      </c>
      <c r="B53" s="11">
        <v>1.41957391304347E9</v>
      </c>
      <c r="C53" s="2">
        <v>-102.2972946</v>
      </c>
      <c r="D53" s="3">
        <f t="shared" si="1"/>
        <v>-826086.9565</v>
      </c>
      <c r="E53" s="4">
        <f t="shared" si="2"/>
        <v>173.557969</v>
      </c>
      <c r="F53" s="3">
        <f t="shared" si="3"/>
        <v>0.0002100964888</v>
      </c>
      <c r="G53" s="3">
        <f t="shared" si="4"/>
        <v>0</v>
      </c>
      <c r="H53" s="2">
        <f t="shared" si="5"/>
        <v>0</v>
      </c>
      <c r="I53" s="3">
        <f t="shared" si="6"/>
        <v>0</v>
      </c>
      <c r="J53" s="3">
        <f t="shared" si="7"/>
        <v>0</v>
      </c>
      <c r="K53" s="3"/>
      <c r="L53" s="3">
        <f t="shared" si="8"/>
        <v>448.1018195</v>
      </c>
      <c r="M53" s="14">
        <f t="shared" si="9"/>
        <v>447.1837722</v>
      </c>
      <c r="N53" s="14">
        <f t="shared" si="10"/>
        <v>0.9180473664</v>
      </c>
      <c r="O53" s="3"/>
      <c r="P53" s="23">
        <f t="shared" si="11"/>
        <v>173.557969</v>
      </c>
      <c r="Q53" s="14">
        <f t="shared" si="12"/>
        <v>448.1018195</v>
      </c>
      <c r="R53" s="2"/>
      <c r="S53" s="14">
        <f t="shared" si="13"/>
        <v>0.8430393463</v>
      </c>
    </row>
    <row r="54">
      <c r="A54" s="11">
        <v>42.0</v>
      </c>
      <c r="B54" s="11">
        <v>1.41957826086956E9</v>
      </c>
      <c r="C54" s="2">
        <v>-102.3266296</v>
      </c>
      <c r="D54" s="3">
        <f t="shared" si="1"/>
        <v>-821739.1304</v>
      </c>
      <c r="E54" s="4">
        <f t="shared" si="2"/>
        <v>172.6396728</v>
      </c>
      <c r="F54" s="3">
        <f t="shared" si="3"/>
        <v>0.0002100906072</v>
      </c>
      <c r="G54" s="3">
        <f t="shared" si="4"/>
        <v>0</v>
      </c>
      <c r="H54" s="2">
        <f t="shared" si="5"/>
        <v>0</v>
      </c>
      <c r="I54" s="3">
        <f t="shared" si="6"/>
        <v>0</v>
      </c>
      <c r="J54" s="3">
        <f t="shared" si="7"/>
        <v>0</v>
      </c>
      <c r="K54" s="3"/>
      <c r="L54" s="3">
        <f t="shared" si="8"/>
        <v>445.0852554</v>
      </c>
      <c r="M54" s="14">
        <f t="shared" si="9"/>
        <v>447.1145098</v>
      </c>
      <c r="N54" s="14">
        <f t="shared" si="10"/>
        <v>-2.029254393</v>
      </c>
      <c r="O54" s="3"/>
      <c r="P54" s="23">
        <f t="shared" si="11"/>
        <v>172.6396728</v>
      </c>
      <c r="Q54" s="14">
        <f t="shared" si="12"/>
        <v>445.0852554</v>
      </c>
      <c r="R54" s="2"/>
      <c r="S54" s="14">
        <f t="shared" si="13"/>
        <v>-1.863456457</v>
      </c>
    </row>
    <row r="55">
      <c r="A55" s="11">
        <v>43.0</v>
      </c>
      <c r="B55" s="11">
        <v>1.41958260869565E9</v>
      </c>
      <c r="C55" s="2">
        <v>-102.3448944</v>
      </c>
      <c r="D55" s="3">
        <f t="shared" si="1"/>
        <v>-817391.3043</v>
      </c>
      <c r="E55" s="4">
        <f t="shared" si="2"/>
        <v>171.7213767</v>
      </c>
      <c r="F55" s="3">
        <f t="shared" si="3"/>
        <v>0.000210084663</v>
      </c>
      <c r="G55" s="3">
        <f t="shared" si="4"/>
        <v>0</v>
      </c>
      <c r="H55" s="2">
        <f t="shared" si="5"/>
        <v>0</v>
      </c>
      <c r="I55" s="3">
        <f t="shared" si="6"/>
        <v>0</v>
      </c>
      <c r="J55" s="3">
        <f t="shared" si="7"/>
        <v>0</v>
      </c>
      <c r="K55" s="3"/>
      <c r="L55" s="3">
        <f t="shared" si="8"/>
        <v>443.2173241</v>
      </c>
      <c r="M55" s="14">
        <f t="shared" si="9"/>
        <v>447.0452677</v>
      </c>
      <c r="N55" s="14">
        <f t="shared" si="10"/>
        <v>-3.827943635</v>
      </c>
      <c r="O55" s="3"/>
      <c r="P55" s="23">
        <f t="shared" si="11"/>
        <v>171.7213767</v>
      </c>
      <c r="Q55" s="14">
        <f t="shared" si="12"/>
        <v>443.2173241</v>
      </c>
      <c r="R55" s="2"/>
      <c r="S55" s="14">
        <f t="shared" si="13"/>
        <v>-3.515185836</v>
      </c>
    </row>
    <row r="56">
      <c r="A56" s="11">
        <v>44.0</v>
      </c>
      <c r="B56" s="11">
        <v>1.41958695652173E9</v>
      </c>
      <c r="C56" s="2">
        <v>-102.2724609</v>
      </c>
      <c r="D56" s="3">
        <f t="shared" si="1"/>
        <v>-813043.4783</v>
      </c>
      <c r="E56" s="4">
        <f t="shared" si="2"/>
        <v>170.8030806</v>
      </c>
      <c r="F56" s="3">
        <f t="shared" si="3"/>
        <v>0.0002100786553</v>
      </c>
      <c r="G56" s="3">
        <f t="shared" si="4"/>
        <v>0</v>
      </c>
      <c r="H56" s="2">
        <f t="shared" si="5"/>
        <v>0</v>
      </c>
      <c r="I56" s="3">
        <f t="shared" si="6"/>
        <v>0</v>
      </c>
      <c r="J56" s="3">
        <f t="shared" si="7"/>
        <v>0</v>
      </c>
      <c r="K56" s="3"/>
      <c r="L56" s="3">
        <f t="shared" si="8"/>
        <v>450.6714821</v>
      </c>
      <c r="M56" s="14">
        <f t="shared" si="9"/>
        <v>446.9760452</v>
      </c>
      <c r="N56" s="14">
        <f t="shared" si="10"/>
        <v>3.695436898</v>
      </c>
      <c r="O56" s="3"/>
      <c r="P56" s="23">
        <f t="shared" si="11"/>
        <v>170.8030806</v>
      </c>
      <c r="Q56" s="14">
        <f t="shared" si="12"/>
        <v>450.6714821</v>
      </c>
      <c r="R56" s="2"/>
      <c r="S56" s="14">
        <f t="shared" si="13"/>
        <v>3.393505412</v>
      </c>
    </row>
    <row r="57">
      <c r="A57" s="11">
        <v>45.0</v>
      </c>
      <c r="B57" s="11">
        <v>1.41959130434782E9</v>
      </c>
      <c r="C57" s="2">
        <v>-102.2953873</v>
      </c>
      <c r="D57" s="3">
        <f t="shared" si="1"/>
        <v>-808695.6522</v>
      </c>
      <c r="E57" s="4">
        <f t="shared" si="2"/>
        <v>169.8847844</v>
      </c>
      <c r="F57" s="3">
        <f t="shared" si="3"/>
        <v>0.0002100725829</v>
      </c>
      <c r="G57" s="3">
        <f t="shared" si="4"/>
        <v>0</v>
      </c>
      <c r="H57" s="2">
        <f t="shared" si="5"/>
        <v>0</v>
      </c>
      <c r="I57" s="3">
        <f t="shared" si="6"/>
        <v>0</v>
      </c>
      <c r="J57" s="3">
        <f t="shared" si="7"/>
        <v>0</v>
      </c>
      <c r="K57" s="3"/>
      <c r="L57" s="3">
        <f t="shared" si="8"/>
        <v>448.2986565</v>
      </c>
      <c r="M57" s="14">
        <f t="shared" si="9"/>
        <v>446.9068415</v>
      </c>
      <c r="N57" s="14">
        <f t="shared" si="10"/>
        <v>1.391815063</v>
      </c>
      <c r="O57" s="3"/>
      <c r="P57" s="23">
        <f t="shared" si="11"/>
        <v>169.8847844</v>
      </c>
      <c r="Q57" s="14">
        <f t="shared" si="12"/>
        <v>448.2986565</v>
      </c>
      <c r="R57" s="2"/>
      <c r="S57" s="14">
        <f t="shared" si="13"/>
        <v>1.27809839</v>
      </c>
    </row>
    <row r="58">
      <c r="A58" s="11">
        <v>46.0</v>
      </c>
      <c r="B58" s="11">
        <v>1.41959565217391E9</v>
      </c>
      <c r="C58" s="2">
        <v>-102.3603516</v>
      </c>
      <c r="D58" s="3">
        <f t="shared" si="1"/>
        <v>-804347.8261</v>
      </c>
      <c r="E58" s="4">
        <f t="shared" si="2"/>
        <v>168.9664883</v>
      </c>
      <c r="F58" s="3">
        <f t="shared" si="3"/>
        <v>0.0002100664449</v>
      </c>
      <c r="G58" s="3">
        <f t="shared" si="4"/>
        <v>0</v>
      </c>
      <c r="H58" s="2">
        <f t="shared" si="5"/>
        <v>0</v>
      </c>
      <c r="I58" s="3">
        <f t="shared" si="6"/>
        <v>0</v>
      </c>
      <c r="J58" s="3">
        <f t="shared" si="7"/>
        <v>0</v>
      </c>
      <c r="K58" s="3"/>
      <c r="L58" s="3">
        <f t="shared" si="8"/>
        <v>441.6426503</v>
      </c>
      <c r="M58" s="14">
        <f t="shared" si="9"/>
        <v>446.8376557</v>
      </c>
      <c r="N58" s="14">
        <f t="shared" si="10"/>
        <v>-5.195005447</v>
      </c>
      <c r="O58" s="3"/>
      <c r="P58" s="23">
        <f t="shared" si="11"/>
        <v>168.9664883</v>
      </c>
      <c r="Q58" s="14">
        <f t="shared" si="12"/>
        <v>441.6426503</v>
      </c>
      <c r="R58" s="2"/>
      <c r="S58" s="14">
        <f t="shared" si="13"/>
        <v>-4.770553401</v>
      </c>
    </row>
    <row r="59">
      <c r="A59" s="11">
        <v>47.0</v>
      </c>
      <c r="B59" s="11">
        <v>1.4196E9</v>
      </c>
      <c r="C59" s="2">
        <v>-102.3167343</v>
      </c>
      <c r="D59" s="3">
        <f t="shared" si="1"/>
        <v>-800000</v>
      </c>
      <c r="E59" s="4">
        <f t="shared" si="2"/>
        <v>168.0481922</v>
      </c>
      <c r="F59" s="3">
        <f t="shared" si="3"/>
        <v>0.0002100602402</v>
      </c>
      <c r="G59" s="3">
        <f t="shared" si="4"/>
        <v>0</v>
      </c>
      <c r="H59" s="2">
        <f t="shared" si="5"/>
        <v>0</v>
      </c>
      <c r="I59" s="3">
        <f t="shared" si="6"/>
        <v>0</v>
      </c>
      <c r="J59" s="3">
        <f t="shared" si="7"/>
        <v>0</v>
      </c>
      <c r="K59" s="3"/>
      <c r="L59" s="3">
        <f t="shared" si="8"/>
        <v>446.1005281</v>
      </c>
      <c r="M59" s="14">
        <f t="shared" si="9"/>
        <v>446.7684871</v>
      </c>
      <c r="N59" s="14">
        <f t="shared" si="10"/>
        <v>-0.667959001</v>
      </c>
      <c r="O59" s="3"/>
      <c r="P59" s="23">
        <f t="shared" si="11"/>
        <v>168.0481922</v>
      </c>
      <c r="Q59" s="14">
        <f t="shared" si="12"/>
        <v>446.1005281</v>
      </c>
      <c r="R59" s="2"/>
      <c r="S59" s="14">
        <f t="shared" si="13"/>
        <v>-0.6133841675</v>
      </c>
    </row>
    <row r="60">
      <c r="A60" s="11">
        <v>48.0</v>
      </c>
      <c r="B60" s="11">
        <v>1.41960434782608E9</v>
      </c>
      <c r="C60" s="2">
        <v>-102.3377991</v>
      </c>
      <c r="D60" s="3">
        <f t="shared" si="1"/>
        <v>-795652.1739</v>
      </c>
      <c r="E60" s="4">
        <f t="shared" si="2"/>
        <v>167.129896</v>
      </c>
      <c r="F60" s="3">
        <f t="shared" si="3"/>
        <v>0.0002100539677</v>
      </c>
      <c r="G60" s="3">
        <f t="shared" si="4"/>
        <v>0</v>
      </c>
      <c r="H60" s="2">
        <f t="shared" si="5"/>
        <v>0</v>
      </c>
      <c r="I60" s="3">
        <f t="shared" si="6"/>
        <v>0</v>
      </c>
      <c r="J60" s="3">
        <f t="shared" si="7"/>
        <v>0</v>
      </c>
      <c r="K60" s="3"/>
      <c r="L60" s="3">
        <f t="shared" si="8"/>
        <v>443.9420236</v>
      </c>
      <c r="M60" s="14">
        <f t="shared" si="9"/>
        <v>446.6993349</v>
      </c>
      <c r="N60" s="14">
        <f t="shared" si="10"/>
        <v>-2.757311272</v>
      </c>
      <c r="O60" s="3"/>
      <c r="P60" s="23">
        <f t="shared" si="11"/>
        <v>167.129896</v>
      </c>
      <c r="Q60" s="14">
        <f t="shared" si="12"/>
        <v>443.9420236</v>
      </c>
      <c r="R60" s="2"/>
      <c r="S60" s="14">
        <f t="shared" si="13"/>
        <v>-2.532028278</v>
      </c>
    </row>
    <row r="61">
      <c r="A61" s="11">
        <v>49.0</v>
      </c>
      <c r="B61" s="11">
        <v>1.41960869565217E9</v>
      </c>
      <c r="C61" s="2">
        <v>-102.3039322</v>
      </c>
      <c r="D61" s="3">
        <f t="shared" si="1"/>
        <v>-791304.3478</v>
      </c>
      <c r="E61" s="4">
        <f t="shared" si="2"/>
        <v>166.2115999</v>
      </c>
      <c r="F61" s="3">
        <f t="shared" si="3"/>
        <v>0.0002100476263</v>
      </c>
      <c r="G61" s="3">
        <f t="shared" si="4"/>
        <v>0</v>
      </c>
      <c r="H61" s="2">
        <f t="shared" si="5"/>
        <v>0</v>
      </c>
      <c r="I61" s="3">
        <f t="shared" si="6"/>
        <v>0</v>
      </c>
      <c r="J61" s="3">
        <f t="shared" si="7"/>
        <v>0</v>
      </c>
      <c r="K61" s="3"/>
      <c r="L61" s="3">
        <f t="shared" si="8"/>
        <v>447.41748</v>
      </c>
      <c r="M61" s="14">
        <f t="shared" si="9"/>
        <v>446.6301983</v>
      </c>
      <c r="N61" s="14">
        <f t="shared" si="10"/>
        <v>0.7872816543</v>
      </c>
      <c r="O61" s="3"/>
      <c r="P61" s="23">
        <f t="shared" si="11"/>
        <v>166.2115999</v>
      </c>
      <c r="Q61" s="14">
        <f t="shared" si="12"/>
        <v>447.41748</v>
      </c>
      <c r="R61" s="2"/>
      <c r="S61" s="14">
        <f t="shared" si="13"/>
        <v>0.7229576969</v>
      </c>
    </row>
    <row r="62">
      <c r="A62" s="11">
        <v>50.0</v>
      </c>
      <c r="B62" s="11">
        <v>1.41961304347826E9</v>
      </c>
      <c r="C62" s="2">
        <v>-102.2413712</v>
      </c>
      <c r="D62" s="3">
        <f t="shared" si="1"/>
        <v>-786956.5217</v>
      </c>
      <c r="E62" s="4">
        <f t="shared" si="2"/>
        <v>165.2933038</v>
      </c>
      <c r="F62" s="3">
        <f t="shared" si="3"/>
        <v>0.0002100412148</v>
      </c>
      <c r="G62" s="3">
        <f t="shared" si="4"/>
        <v>0</v>
      </c>
      <c r="H62" s="2">
        <f t="shared" si="5"/>
        <v>0</v>
      </c>
      <c r="I62" s="3">
        <f t="shared" si="6"/>
        <v>0</v>
      </c>
      <c r="J62" s="3">
        <f t="shared" si="7"/>
        <v>0</v>
      </c>
      <c r="K62" s="3"/>
      <c r="L62" s="3">
        <f t="shared" si="8"/>
        <v>453.9092649</v>
      </c>
      <c r="M62" s="14">
        <f t="shared" si="9"/>
        <v>446.5610766</v>
      </c>
      <c r="N62" s="14">
        <f t="shared" si="10"/>
        <v>7.348188348</v>
      </c>
      <c r="O62" s="3"/>
      <c r="P62" s="23">
        <f t="shared" si="11"/>
        <v>165.2933038</v>
      </c>
      <c r="Q62" s="14">
        <f t="shared" si="12"/>
        <v>453.9092649</v>
      </c>
      <c r="R62" s="2"/>
      <c r="S62" s="14">
        <f t="shared" si="13"/>
        <v>6.747812943</v>
      </c>
    </row>
    <row r="63">
      <c r="A63" s="11">
        <v>51.0</v>
      </c>
      <c r="B63" s="11">
        <v>1.41961739130434E9</v>
      </c>
      <c r="C63" s="2">
        <v>-102.2828293</v>
      </c>
      <c r="D63" s="3">
        <f t="shared" si="1"/>
        <v>-782608.6957</v>
      </c>
      <c r="E63" s="4">
        <f t="shared" si="2"/>
        <v>164.3750077</v>
      </c>
      <c r="F63" s="3">
        <f t="shared" si="3"/>
        <v>0.000210034732</v>
      </c>
      <c r="G63" s="3">
        <f t="shared" si="4"/>
        <v>0</v>
      </c>
      <c r="H63" s="2">
        <f t="shared" si="5"/>
        <v>0</v>
      </c>
      <c r="I63" s="3">
        <f t="shared" si="6"/>
        <v>0</v>
      </c>
      <c r="J63" s="3">
        <f t="shared" si="7"/>
        <v>0</v>
      </c>
      <c r="K63" s="3"/>
      <c r="L63" s="3">
        <f t="shared" si="8"/>
        <v>449.5968268</v>
      </c>
      <c r="M63" s="14">
        <f t="shared" si="9"/>
        <v>446.4919688</v>
      </c>
      <c r="N63" s="14">
        <f t="shared" si="10"/>
        <v>3.104857978</v>
      </c>
      <c r="O63" s="3"/>
      <c r="P63" s="23">
        <f t="shared" si="11"/>
        <v>164.3750077</v>
      </c>
      <c r="Q63" s="14">
        <f t="shared" si="12"/>
        <v>449.5968268</v>
      </c>
      <c r="R63" s="2"/>
      <c r="S63" s="14">
        <f t="shared" si="13"/>
        <v>2.851179074</v>
      </c>
    </row>
    <row r="64">
      <c r="A64" s="11">
        <v>52.0</v>
      </c>
      <c r="B64" s="11">
        <v>1.41962173913043E9</v>
      </c>
      <c r="C64" s="2">
        <v>-102.3255539</v>
      </c>
      <c r="D64" s="3">
        <f t="shared" si="1"/>
        <v>-778260.8696</v>
      </c>
      <c r="E64" s="4">
        <f t="shared" si="2"/>
        <v>163.4567115</v>
      </c>
      <c r="F64" s="3">
        <f t="shared" si="3"/>
        <v>0.0002100281768</v>
      </c>
      <c r="G64" s="3">
        <f t="shared" si="4"/>
        <v>0</v>
      </c>
      <c r="H64" s="2">
        <f t="shared" si="5"/>
        <v>0</v>
      </c>
      <c r="I64" s="3">
        <f t="shared" si="6"/>
        <v>0</v>
      </c>
      <c r="J64" s="3">
        <f t="shared" si="7"/>
        <v>0</v>
      </c>
      <c r="K64" s="3"/>
      <c r="L64" s="3">
        <f t="shared" si="8"/>
        <v>445.1955118</v>
      </c>
      <c r="M64" s="14">
        <f t="shared" si="9"/>
        <v>446.4228743</v>
      </c>
      <c r="N64" s="14">
        <f t="shared" si="10"/>
        <v>-1.227362541</v>
      </c>
      <c r="O64" s="3"/>
      <c r="P64" s="23">
        <f t="shared" si="11"/>
        <v>163.4567115</v>
      </c>
      <c r="Q64" s="14">
        <f t="shared" si="12"/>
        <v>445.1955118</v>
      </c>
      <c r="R64" s="2"/>
      <c r="S64" s="14">
        <f t="shared" si="13"/>
        <v>-1.127082273</v>
      </c>
    </row>
    <row r="65">
      <c r="A65" s="11">
        <v>53.0</v>
      </c>
      <c r="B65" s="11">
        <v>1.41962608695652E9</v>
      </c>
      <c r="C65" s="2">
        <v>-102.334259</v>
      </c>
      <c r="D65" s="3">
        <f t="shared" si="1"/>
        <v>-773913.0435</v>
      </c>
      <c r="E65" s="4">
        <f t="shared" si="2"/>
        <v>162.5384154</v>
      </c>
      <c r="F65" s="3">
        <f t="shared" si="3"/>
        <v>0.000210021548</v>
      </c>
      <c r="G65" s="3">
        <f t="shared" si="4"/>
        <v>0</v>
      </c>
      <c r="H65" s="2">
        <f t="shared" si="5"/>
        <v>0</v>
      </c>
      <c r="I65" s="3">
        <f t="shared" si="6"/>
        <v>0</v>
      </c>
      <c r="J65" s="3">
        <f t="shared" si="7"/>
        <v>0</v>
      </c>
      <c r="K65" s="3"/>
      <c r="L65" s="3">
        <f t="shared" si="8"/>
        <v>444.3040453</v>
      </c>
      <c r="M65" s="14">
        <f t="shared" si="9"/>
        <v>446.3537923</v>
      </c>
      <c r="N65" s="14">
        <f t="shared" si="10"/>
        <v>-2.049747052</v>
      </c>
      <c r="O65" s="3"/>
      <c r="P65" s="23">
        <f t="shared" si="11"/>
        <v>162.5384154</v>
      </c>
      <c r="Q65" s="14">
        <f t="shared" si="12"/>
        <v>444.3040453</v>
      </c>
      <c r="R65" s="2"/>
      <c r="S65" s="14">
        <f t="shared" si="13"/>
        <v>-1.882274791</v>
      </c>
    </row>
    <row r="66">
      <c r="A66" s="11">
        <v>54.0</v>
      </c>
      <c r="B66" s="11">
        <v>1.4196304347826E9</v>
      </c>
      <c r="C66" s="2">
        <v>-102.3067856</v>
      </c>
      <c r="D66" s="3">
        <f t="shared" si="1"/>
        <v>-769565.2174</v>
      </c>
      <c r="E66" s="4">
        <f t="shared" si="2"/>
        <v>161.6201193</v>
      </c>
      <c r="F66" s="3">
        <f t="shared" si="3"/>
        <v>0.0002100148442</v>
      </c>
      <c r="G66" s="3">
        <f t="shared" si="4"/>
        <v>0</v>
      </c>
      <c r="H66" s="2">
        <f t="shared" si="5"/>
        <v>0</v>
      </c>
      <c r="I66" s="3">
        <f t="shared" si="6"/>
        <v>0</v>
      </c>
      <c r="J66" s="3">
        <f t="shared" si="7"/>
        <v>0</v>
      </c>
      <c r="K66" s="3"/>
      <c r="L66" s="3">
        <f t="shared" si="8"/>
        <v>447.1236145</v>
      </c>
      <c r="M66" s="14">
        <f t="shared" si="9"/>
        <v>446.2847219</v>
      </c>
      <c r="N66" s="14">
        <f t="shared" si="10"/>
        <v>0.8388925206</v>
      </c>
      <c r="O66" s="3"/>
      <c r="P66" s="23">
        <f t="shared" si="11"/>
        <v>161.6201193</v>
      </c>
      <c r="Q66" s="14">
        <f t="shared" si="12"/>
        <v>447.1236145</v>
      </c>
      <c r="R66" s="2"/>
      <c r="S66" s="14">
        <f t="shared" si="13"/>
        <v>0.7703517575</v>
      </c>
    </row>
    <row r="67">
      <c r="A67" s="11">
        <v>55.0</v>
      </c>
      <c r="B67" s="11">
        <v>1.41963478260869E9</v>
      </c>
      <c r="C67" s="2">
        <v>-102.3454971</v>
      </c>
      <c r="D67" s="3">
        <f t="shared" si="1"/>
        <v>-765217.3913</v>
      </c>
      <c r="E67" s="4">
        <f t="shared" si="2"/>
        <v>160.7018231</v>
      </c>
      <c r="F67" s="3">
        <f t="shared" si="3"/>
        <v>0.0002100080643</v>
      </c>
      <c r="G67" s="3">
        <f t="shared" si="4"/>
        <v>0</v>
      </c>
      <c r="H67" s="2">
        <f t="shared" si="5"/>
        <v>0</v>
      </c>
      <c r="I67" s="3">
        <f t="shared" si="6"/>
        <v>0</v>
      </c>
      <c r="J67" s="3">
        <f t="shared" si="7"/>
        <v>0</v>
      </c>
      <c r="K67" s="3"/>
      <c r="L67" s="3">
        <f t="shared" si="8"/>
        <v>443.1558201</v>
      </c>
      <c r="M67" s="14">
        <f t="shared" si="9"/>
        <v>446.2156625</v>
      </c>
      <c r="N67" s="14">
        <f t="shared" si="10"/>
        <v>-3.059842387</v>
      </c>
      <c r="O67" s="3"/>
      <c r="P67" s="23">
        <f t="shared" si="11"/>
        <v>160.7018231</v>
      </c>
      <c r="Q67" s="14">
        <f t="shared" si="12"/>
        <v>443.1558201</v>
      </c>
      <c r="R67" s="2"/>
      <c r="S67" s="14">
        <f t="shared" si="13"/>
        <v>-2.809841431</v>
      </c>
    </row>
    <row r="68">
      <c r="A68" s="11">
        <v>56.0</v>
      </c>
      <c r="B68" s="11">
        <v>1.41963913043478E9</v>
      </c>
      <c r="C68" s="2">
        <v>-102.3558655</v>
      </c>
      <c r="D68" s="24">
        <f t="shared" si="1"/>
        <v>-760869.5652</v>
      </c>
      <c r="E68" s="25">
        <f t="shared" si="2"/>
        <v>159.783527</v>
      </c>
      <c r="F68" s="24">
        <f t="shared" si="3"/>
        <v>0.0002100012069</v>
      </c>
      <c r="G68" s="24">
        <f t="shared" si="4"/>
        <v>0</v>
      </c>
      <c r="H68" s="26">
        <f t="shared" si="5"/>
        <v>0</v>
      </c>
      <c r="I68" s="24">
        <f t="shared" si="6"/>
        <v>0</v>
      </c>
      <c r="J68" s="24">
        <f t="shared" si="7"/>
        <v>0</v>
      </c>
      <c r="K68" s="24"/>
      <c r="L68" s="24">
        <f t="shared" si="8"/>
        <v>442.0990863</v>
      </c>
      <c r="M68" s="14">
        <f t="shared" si="9"/>
        <v>446.1466131</v>
      </c>
      <c r="N68" s="27">
        <f t="shared" si="10"/>
        <v>-4.04752674</v>
      </c>
      <c r="O68" s="24"/>
      <c r="P68" s="28">
        <f t="shared" ref="P68:P123" si="14">-((B418-$B$4)/$B$4)*(3*10^5)</f>
        <v>-160.7018231</v>
      </c>
      <c r="Q68" s="27">
        <f t="shared" ref="Q68:Q123" si="15">(1/(2*$K$13))*(I417)</f>
        <v>416.6922541</v>
      </c>
      <c r="R68" s="26"/>
      <c r="S68" s="14">
        <f t="shared" si="13"/>
        <v>-3.716828144</v>
      </c>
    </row>
    <row r="69">
      <c r="A69" s="11">
        <v>57.0</v>
      </c>
      <c r="B69" s="11">
        <v>1.41964347826087E9</v>
      </c>
      <c r="C69" s="2">
        <v>-102.3466873</v>
      </c>
      <c r="D69" s="24">
        <f t="shared" si="1"/>
        <v>-756521.7391</v>
      </c>
      <c r="E69" s="25">
        <f t="shared" si="2"/>
        <v>158.8652309</v>
      </c>
      <c r="F69" s="24">
        <f t="shared" si="3"/>
        <v>0.0002099942707</v>
      </c>
      <c r="G69" s="24">
        <f t="shared" si="4"/>
        <v>0</v>
      </c>
      <c r="H69" s="26">
        <f t="shared" si="5"/>
        <v>0</v>
      </c>
      <c r="I69" s="24">
        <f t="shared" si="6"/>
        <v>0</v>
      </c>
      <c r="J69" s="24">
        <f t="shared" si="7"/>
        <v>0</v>
      </c>
      <c r="K69" s="24"/>
      <c r="L69" s="24">
        <f t="shared" si="8"/>
        <v>443.0343882</v>
      </c>
      <c r="M69" s="14">
        <f t="shared" si="9"/>
        <v>446.077573</v>
      </c>
      <c r="N69" s="27">
        <f t="shared" si="10"/>
        <v>-3.043184769</v>
      </c>
      <c r="O69" s="24"/>
      <c r="P69" s="28">
        <f t="shared" si="14"/>
        <v>-161.6201193</v>
      </c>
      <c r="Q69" s="27">
        <f t="shared" si="15"/>
        <v>414.4393629</v>
      </c>
      <c r="R69" s="26"/>
      <c r="S69" s="14">
        <f t="shared" si="13"/>
        <v>-2.794544805</v>
      </c>
    </row>
    <row r="70">
      <c r="A70" s="11">
        <v>58.0</v>
      </c>
      <c r="B70" s="11">
        <v>1.41964782608695E9</v>
      </c>
      <c r="C70" s="2">
        <v>-102.3380661</v>
      </c>
      <c r="D70" s="24">
        <f t="shared" si="1"/>
        <v>-752173.913</v>
      </c>
      <c r="E70" s="25">
        <f t="shared" si="2"/>
        <v>157.9469347</v>
      </c>
      <c r="F70" s="24">
        <f t="shared" si="3"/>
        <v>0.0002099872543</v>
      </c>
      <c r="G70" s="24">
        <f t="shared" si="4"/>
        <v>0</v>
      </c>
      <c r="H70" s="26">
        <f t="shared" si="5"/>
        <v>0</v>
      </c>
      <c r="I70" s="24">
        <f t="shared" si="6"/>
        <v>0</v>
      </c>
      <c r="J70" s="24">
        <f t="shared" si="7"/>
        <v>0</v>
      </c>
      <c r="K70" s="24"/>
      <c r="L70" s="24">
        <f t="shared" si="8"/>
        <v>443.9147314</v>
      </c>
      <c r="M70" s="14">
        <f t="shared" si="9"/>
        <v>446.0085415</v>
      </c>
      <c r="N70" s="27">
        <f t="shared" si="10"/>
        <v>-2.093810088</v>
      </c>
      <c r="O70" s="24"/>
      <c r="P70" s="28">
        <f t="shared" si="14"/>
        <v>-162.5384154</v>
      </c>
      <c r="Q70" s="27">
        <f t="shared" si="15"/>
        <v>420.8968034</v>
      </c>
      <c r="R70" s="26"/>
      <c r="S70" s="14">
        <f t="shared" si="13"/>
        <v>-1.922737706</v>
      </c>
    </row>
    <row r="71">
      <c r="A71" s="11">
        <v>59.0</v>
      </c>
      <c r="B71" s="11">
        <v>1.41965217391304E9</v>
      </c>
      <c r="C71" s="2">
        <v>-102.2978745</v>
      </c>
      <c r="D71" s="24">
        <f t="shared" si="1"/>
        <v>-747826.087</v>
      </c>
      <c r="E71" s="25">
        <f t="shared" si="2"/>
        <v>157.0286386</v>
      </c>
      <c r="F71" s="24">
        <f t="shared" si="3"/>
        <v>0.0002099801563</v>
      </c>
      <c r="G71" s="24">
        <f t="shared" si="4"/>
        <v>0</v>
      </c>
      <c r="H71" s="26">
        <f t="shared" si="5"/>
        <v>0</v>
      </c>
      <c r="I71" s="24">
        <f t="shared" si="6"/>
        <v>0</v>
      </c>
      <c r="J71" s="24">
        <f t="shared" si="7"/>
        <v>0</v>
      </c>
      <c r="K71" s="24"/>
      <c r="L71" s="24">
        <f t="shared" si="8"/>
        <v>448.0419899</v>
      </c>
      <c r="M71" s="14">
        <f t="shared" si="9"/>
        <v>445.9395176</v>
      </c>
      <c r="N71" s="27">
        <f t="shared" si="10"/>
        <v>2.102472243</v>
      </c>
      <c r="O71" s="24"/>
      <c r="P71" s="28">
        <f t="shared" si="14"/>
        <v>-163.4567115</v>
      </c>
      <c r="Q71" s="27">
        <f t="shared" si="15"/>
        <v>419.7264783</v>
      </c>
      <c r="R71" s="26"/>
      <c r="S71" s="14">
        <f t="shared" si="13"/>
        <v>1.930692125</v>
      </c>
    </row>
    <row r="72">
      <c r="A72" s="11">
        <v>60.0</v>
      </c>
      <c r="B72" s="11">
        <v>1.41965652173913E9</v>
      </c>
      <c r="C72" s="2">
        <v>-102.364563</v>
      </c>
      <c r="D72" s="24">
        <f t="shared" si="1"/>
        <v>-743478.2609</v>
      </c>
      <c r="E72" s="25">
        <f t="shared" si="2"/>
        <v>156.1103425</v>
      </c>
      <c r="F72" s="24">
        <f t="shared" si="3"/>
        <v>0.0002099729752</v>
      </c>
      <c r="G72" s="24">
        <f t="shared" si="4"/>
        <v>0</v>
      </c>
      <c r="H72" s="26">
        <f t="shared" si="5"/>
        <v>0</v>
      </c>
      <c r="I72" s="24">
        <f t="shared" si="6"/>
        <v>0</v>
      </c>
      <c r="J72" s="24">
        <f t="shared" si="7"/>
        <v>0</v>
      </c>
      <c r="K72" s="24"/>
      <c r="L72" s="24">
        <f t="shared" si="8"/>
        <v>441.2145922</v>
      </c>
      <c r="M72" s="14">
        <f t="shared" si="9"/>
        <v>445.8705008</v>
      </c>
      <c r="N72" s="27">
        <f t="shared" si="10"/>
        <v>-4.655908509</v>
      </c>
      <c r="O72" s="24"/>
      <c r="P72" s="28">
        <f t="shared" si="14"/>
        <v>-164.3750077</v>
      </c>
      <c r="Q72" s="27">
        <f t="shared" si="15"/>
        <v>417.3618583</v>
      </c>
      <c r="R72" s="26"/>
      <c r="S72" s="14">
        <f t="shared" si="13"/>
        <v>-4.275502778</v>
      </c>
    </row>
    <row r="73">
      <c r="A73" s="11">
        <v>61.0</v>
      </c>
      <c r="B73" s="11">
        <v>1.41966086956521E9</v>
      </c>
      <c r="C73" s="2">
        <v>-102.3552094</v>
      </c>
      <c r="D73" s="24">
        <f t="shared" si="1"/>
        <v>-739130.4348</v>
      </c>
      <c r="E73" s="25">
        <f t="shared" si="2"/>
        <v>155.1920463</v>
      </c>
      <c r="F73" s="24">
        <f t="shared" si="3"/>
        <v>0.0002099657097</v>
      </c>
      <c r="G73" s="24">
        <f t="shared" si="4"/>
        <v>0</v>
      </c>
      <c r="H73" s="26">
        <f t="shared" si="5"/>
        <v>0</v>
      </c>
      <c r="I73" s="24">
        <f t="shared" si="6"/>
        <v>0</v>
      </c>
      <c r="J73" s="24">
        <f t="shared" si="7"/>
        <v>0</v>
      </c>
      <c r="K73" s="24"/>
      <c r="L73" s="24">
        <f t="shared" si="8"/>
        <v>442.1658805</v>
      </c>
      <c r="M73" s="14">
        <f t="shared" si="9"/>
        <v>445.80149</v>
      </c>
      <c r="N73" s="27">
        <f t="shared" si="10"/>
        <v>-3.63560958</v>
      </c>
      <c r="O73" s="24"/>
      <c r="P73" s="28">
        <f t="shared" si="14"/>
        <v>-165.2933038</v>
      </c>
      <c r="Q73" s="27">
        <f t="shared" si="15"/>
        <v>415.4452974</v>
      </c>
      <c r="R73" s="26"/>
      <c r="S73" s="14">
        <f t="shared" si="13"/>
        <v>-3.338566218</v>
      </c>
    </row>
    <row r="74">
      <c r="A74" s="11">
        <v>62.0</v>
      </c>
      <c r="B74" s="11">
        <v>1.4196652173913E9</v>
      </c>
      <c r="C74" s="2">
        <v>-102.3335724</v>
      </c>
      <c r="D74" s="24">
        <f t="shared" si="1"/>
        <v>-734782.6087</v>
      </c>
      <c r="E74" s="25">
        <f t="shared" si="2"/>
        <v>154.2737502</v>
      </c>
      <c r="F74" s="24">
        <f t="shared" si="3"/>
        <v>0.0002099583583</v>
      </c>
      <c r="G74" s="24">
        <f t="shared" si="4"/>
        <v>0</v>
      </c>
      <c r="H74" s="26">
        <f t="shared" si="5"/>
        <v>0</v>
      </c>
      <c r="I74" s="24">
        <f t="shared" si="6"/>
        <v>0</v>
      </c>
      <c r="J74" s="24">
        <f t="shared" si="7"/>
        <v>0</v>
      </c>
      <c r="K74" s="24"/>
      <c r="L74" s="24">
        <f t="shared" si="8"/>
        <v>444.3742933</v>
      </c>
      <c r="M74" s="14">
        <f t="shared" si="9"/>
        <v>445.7324847</v>
      </c>
      <c r="N74" s="27">
        <f t="shared" si="10"/>
        <v>-1.358191406</v>
      </c>
      <c r="O74" s="24"/>
      <c r="P74" s="28">
        <f t="shared" si="14"/>
        <v>-166.2115999</v>
      </c>
      <c r="Q74" s="27">
        <f t="shared" si="15"/>
        <v>410.6670868</v>
      </c>
      <c r="R74" s="26"/>
      <c r="S74" s="14">
        <f t="shared" si="13"/>
        <v>-1.247221913</v>
      </c>
    </row>
    <row r="75">
      <c r="A75" s="11">
        <v>63.0</v>
      </c>
      <c r="B75" s="11">
        <v>1.41966956521739E9</v>
      </c>
      <c r="C75" s="2">
        <v>-102.3650513</v>
      </c>
      <c r="D75" s="24">
        <f t="shared" si="1"/>
        <v>-730434.7826</v>
      </c>
      <c r="E75" s="25">
        <f t="shared" si="2"/>
        <v>153.3554541</v>
      </c>
      <c r="F75" s="24">
        <f t="shared" si="3"/>
        <v>0.0002099509193</v>
      </c>
      <c r="G75" s="24">
        <f t="shared" si="4"/>
        <v>0</v>
      </c>
      <c r="H75" s="26">
        <f t="shared" si="5"/>
        <v>0</v>
      </c>
      <c r="I75" s="24">
        <f t="shared" si="6"/>
        <v>0</v>
      </c>
      <c r="J75" s="24">
        <f t="shared" si="7"/>
        <v>0</v>
      </c>
      <c r="K75" s="24"/>
      <c r="L75" s="24">
        <f t="shared" si="8"/>
        <v>441.164987</v>
      </c>
      <c r="M75" s="14">
        <f t="shared" si="9"/>
        <v>445.6634839</v>
      </c>
      <c r="N75" s="27">
        <f t="shared" si="10"/>
        <v>-4.498496946</v>
      </c>
      <c r="O75" s="24"/>
      <c r="P75" s="28">
        <f t="shared" si="14"/>
        <v>-167.129896</v>
      </c>
      <c r="Q75" s="27">
        <f t="shared" si="15"/>
        <v>411.1586746</v>
      </c>
      <c r="R75" s="26"/>
      <c r="S75" s="14">
        <f t="shared" si="13"/>
        <v>-4.130952349</v>
      </c>
    </row>
    <row r="76">
      <c r="A76" s="11">
        <v>64.0</v>
      </c>
      <c r="B76" s="11">
        <v>1.41967391304347E9</v>
      </c>
      <c r="C76" s="2">
        <v>-102.3200455</v>
      </c>
      <c r="D76" s="24">
        <f t="shared" si="1"/>
        <v>-726086.9565</v>
      </c>
      <c r="E76" s="25">
        <f t="shared" si="2"/>
        <v>152.4371579</v>
      </c>
      <c r="F76" s="24">
        <f t="shared" si="3"/>
        <v>0.0002099433912</v>
      </c>
      <c r="G76" s="24">
        <f t="shared" si="4"/>
        <v>0</v>
      </c>
      <c r="H76" s="26">
        <f t="shared" si="5"/>
        <v>0</v>
      </c>
      <c r="I76" s="24">
        <f t="shared" si="6"/>
        <v>0</v>
      </c>
      <c r="J76" s="24">
        <f t="shared" si="7"/>
        <v>0</v>
      </c>
      <c r="K76" s="24"/>
      <c r="L76" s="24">
        <f t="shared" si="8"/>
        <v>445.7605364</v>
      </c>
      <c r="M76" s="14">
        <f t="shared" si="9"/>
        <v>445.5944869</v>
      </c>
      <c r="N76" s="27">
        <f t="shared" si="10"/>
        <v>0.1660494942</v>
      </c>
      <c r="O76" s="24"/>
      <c r="P76" s="28">
        <f t="shared" si="14"/>
        <v>-168.0481922</v>
      </c>
      <c r="Q76" s="27">
        <f t="shared" si="15"/>
        <v>415.695705</v>
      </c>
      <c r="R76" s="26"/>
      <c r="S76" s="14">
        <f t="shared" si="13"/>
        <v>0.1524826084</v>
      </c>
    </row>
    <row r="77">
      <c r="A77" s="11">
        <v>65.0</v>
      </c>
      <c r="B77" s="11">
        <v>1.41967826086956E9</v>
      </c>
      <c r="C77" s="2">
        <v>-102.3124695</v>
      </c>
      <c r="D77" s="24">
        <f t="shared" si="1"/>
        <v>-721739.1304</v>
      </c>
      <c r="E77" s="25">
        <f t="shared" si="2"/>
        <v>151.5188618</v>
      </c>
      <c r="F77" s="24">
        <f t="shared" si="3"/>
        <v>0.0002099357724</v>
      </c>
      <c r="G77" s="24">
        <f t="shared" si="4"/>
        <v>0</v>
      </c>
      <c r="H77" s="26">
        <f t="shared" si="5"/>
        <v>0</v>
      </c>
      <c r="I77" s="24">
        <f t="shared" si="6"/>
        <v>0</v>
      </c>
      <c r="J77" s="24">
        <f t="shared" si="7"/>
        <v>0</v>
      </c>
      <c r="K77" s="24"/>
      <c r="L77" s="24">
        <f t="shared" si="8"/>
        <v>446.5388169</v>
      </c>
      <c r="M77" s="14">
        <f t="shared" si="9"/>
        <v>445.525493</v>
      </c>
      <c r="N77" s="27">
        <f t="shared" si="10"/>
        <v>1.01332392</v>
      </c>
      <c r="O77" s="24"/>
      <c r="P77" s="28">
        <f t="shared" si="14"/>
        <v>-168.9664883</v>
      </c>
      <c r="Q77" s="27">
        <f t="shared" si="15"/>
        <v>415.7607023</v>
      </c>
      <c r="R77" s="26"/>
      <c r="S77" s="14">
        <f t="shared" si="13"/>
        <v>0.9305314349</v>
      </c>
    </row>
    <row r="78">
      <c r="A78" s="11">
        <v>66.0</v>
      </c>
      <c r="B78" s="11">
        <v>1.41968260869565E9</v>
      </c>
      <c r="C78" s="2">
        <v>-102.3637085</v>
      </c>
      <c r="D78" s="24">
        <f t="shared" si="1"/>
        <v>-717391.3043</v>
      </c>
      <c r="E78" s="25">
        <f t="shared" si="2"/>
        <v>150.6005657</v>
      </c>
      <c r="F78" s="24">
        <f t="shared" si="3"/>
        <v>0.0002099280612</v>
      </c>
      <c r="G78" s="24">
        <f t="shared" si="4"/>
        <v>0</v>
      </c>
      <c r="H78" s="26">
        <f t="shared" si="5"/>
        <v>0</v>
      </c>
      <c r="I78" s="24">
        <f t="shared" si="6"/>
        <v>0</v>
      </c>
      <c r="J78" s="24">
        <f t="shared" si="7"/>
        <v>0</v>
      </c>
      <c r="K78" s="24"/>
      <c r="L78" s="24">
        <f t="shared" si="8"/>
        <v>441.3014124</v>
      </c>
      <c r="M78" s="14">
        <f t="shared" si="9"/>
        <v>445.4565012</v>
      </c>
      <c r="N78" s="27">
        <f t="shared" si="10"/>
        <v>-4.155088873</v>
      </c>
      <c r="O78" s="24"/>
      <c r="P78" s="28">
        <f t="shared" si="14"/>
        <v>-169.8847844</v>
      </c>
      <c r="Q78" s="27">
        <f t="shared" si="15"/>
        <v>410.5019055</v>
      </c>
      <c r="R78" s="26"/>
      <c r="S78" s="14">
        <f t="shared" si="13"/>
        <v>-3.815602044</v>
      </c>
    </row>
    <row r="79">
      <c r="A79" s="11">
        <v>67.0</v>
      </c>
      <c r="B79" s="11">
        <v>1.41968695652173E9</v>
      </c>
      <c r="C79" s="2">
        <v>-102.3525238</v>
      </c>
      <c r="D79" s="24">
        <f t="shared" si="1"/>
        <v>-713043.4783</v>
      </c>
      <c r="E79" s="25">
        <f t="shared" si="2"/>
        <v>149.6822695</v>
      </c>
      <c r="F79" s="24">
        <f t="shared" si="3"/>
        <v>0.0002099202561</v>
      </c>
      <c r="G79" s="24">
        <f t="shared" si="4"/>
        <v>0</v>
      </c>
      <c r="H79" s="26">
        <f t="shared" si="5"/>
        <v>0</v>
      </c>
      <c r="I79" s="24">
        <f t="shared" si="6"/>
        <v>0</v>
      </c>
      <c r="J79" s="24">
        <f t="shared" si="7"/>
        <v>0</v>
      </c>
      <c r="K79" s="24"/>
      <c r="L79" s="24">
        <f t="shared" si="8"/>
        <v>442.4393925</v>
      </c>
      <c r="M79" s="14">
        <f t="shared" si="9"/>
        <v>445.3875109</v>
      </c>
      <c r="N79" s="27">
        <f t="shared" si="10"/>
        <v>-2.948118373</v>
      </c>
      <c r="O79" s="24"/>
      <c r="P79" s="28">
        <f t="shared" si="14"/>
        <v>-170.8030806</v>
      </c>
      <c r="Q79" s="27">
        <f t="shared" si="15"/>
        <v>415.3876472</v>
      </c>
      <c r="R79" s="26"/>
      <c r="S79" s="14">
        <f t="shared" si="13"/>
        <v>-2.707245701</v>
      </c>
    </row>
    <row r="80">
      <c r="A80" s="11">
        <v>68.0</v>
      </c>
      <c r="B80" s="11">
        <v>1.41969130434782E9</v>
      </c>
      <c r="C80" s="2">
        <v>-102.3047562</v>
      </c>
      <c r="D80" s="24">
        <f t="shared" si="1"/>
        <v>-708695.6522</v>
      </c>
      <c r="E80" s="25">
        <f t="shared" si="2"/>
        <v>148.7639734</v>
      </c>
      <c r="F80" s="24">
        <f t="shared" si="3"/>
        <v>0.0002099123551</v>
      </c>
      <c r="G80" s="24">
        <f t="shared" si="4"/>
        <v>0</v>
      </c>
      <c r="H80" s="26">
        <f t="shared" si="5"/>
        <v>0</v>
      </c>
      <c r="I80" s="24">
        <f t="shared" si="6"/>
        <v>0</v>
      </c>
      <c r="J80" s="24">
        <f t="shared" si="7"/>
        <v>0</v>
      </c>
      <c r="K80" s="24"/>
      <c r="L80" s="24">
        <f t="shared" si="8"/>
        <v>447.3325982</v>
      </c>
      <c r="M80" s="14">
        <f t="shared" si="9"/>
        <v>445.3185212</v>
      </c>
      <c r="N80" s="27">
        <f t="shared" si="10"/>
        <v>2.014076925</v>
      </c>
      <c r="O80" s="24"/>
      <c r="P80" s="28">
        <f t="shared" si="14"/>
        <v>-171.7213767</v>
      </c>
      <c r="Q80" s="27">
        <f t="shared" si="15"/>
        <v>418.4234031</v>
      </c>
      <c r="R80" s="26"/>
      <c r="S80" s="14">
        <f t="shared" si="13"/>
        <v>1.849519051</v>
      </c>
    </row>
    <row r="81">
      <c r="A81" s="11">
        <v>69.0</v>
      </c>
      <c r="B81" s="11">
        <v>1.41969565217391E9</v>
      </c>
      <c r="C81" s="2">
        <v>-102.3128586</v>
      </c>
      <c r="D81" s="24">
        <f t="shared" si="1"/>
        <v>-704347.8261</v>
      </c>
      <c r="E81" s="25">
        <f t="shared" si="2"/>
        <v>147.8456773</v>
      </c>
      <c r="F81" s="24">
        <f t="shared" si="3"/>
        <v>0.0002099043566</v>
      </c>
      <c r="G81" s="24">
        <f t="shared" si="4"/>
        <v>0</v>
      </c>
      <c r="H81" s="26">
        <f t="shared" si="5"/>
        <v>0</v>
      </c>
      <c r="I81" s="24">
        <f t="shared" si="6"/>
        <v>0</v>
      </c>
      <c r="J81" s="24">
        <f t="shared" si="7"/>
        <v>0</v>
      </c>
      <c r="K81" s="24"/>
      <c r="L81" s="24">
        <f t="shared" si="8"/>
        <v>446.4988117</v>
      </c>
      <c r="M81" s="14">
        <f t="shared" si="9"/>
        <v>445.2495314</v>
      </c>
      <c r="N81" s="27">
        <f t="shared" si="10"/>
        <v>1.249280237</v>
      </c>
      <c r="O81" s="24"/>
      <c r="P81" s="28">
        <f t="shared" si="14"/>
        <v>-172.6396728</v>
      </c>
      <c r="Q81" s="27">
        <f t="shared" si="15"/>
        <v>416.5509961</v>
      </c>
      <c r="R81" s="26"/>
      <c r="S81" s="14">
        <f t="shared" si="13"/>
        <v>1.147209207</v>
      </c>
    </row>
    <row r="82">
      <c r="A82" s="11">
        <v>70.0</v>
      </c>
      <c r="B82" s="11">
        <v>1.4197E9</v>
      </c>
      <c r="C82" s="2">
        <v>-102.369545</v>
      </c>
      <c r="D82" s="24">
        <f t="shared" si="1"/>
        <v>-700000</v>
      </c>
      <c r="E82" s="25">
        <f t="shared" si="2"/>
        <v>146.9273811</v>
      </c>
      <c r="F82" s="24">
        <f t="shared" si="3"/>
        <v>0.0002098962588</v>
      </c>
      <c r="G82" s="24">
        <f t="shared" si="4"/>
        <v>0</v>
      </c>
      <c r="H82" s="26">
        <f t="shared" si="5"/>
        <v>0</v>
      </c>
      <c r="I82" s="24">
        <f t="shared" si="6"/>
        <v>0</v>
      </c>
      <c r="J82" s="24">
        <f t="shared" si="7"/>
        <v>0</v>
      </c>
      <c r="K82" s="24"/>
      <c r="L82" s="24">
        <f t="shared" si="8"/>
        <v>440.708744</v>
      </c>
      <c r="M82" s="14">
        <f t="shared" si="9"/>
        <v>445.1805407</v>
      </c>
      <c r="N82" s="27">
        <f t="shared" si="10"/>
        <v>-4.471796646</v>
      </c>
      <c r="O82" s="24"/>
      <c r="P82" s="28">
        <f t="shared" si="14"/>
        <v>-173.557969</v>
      </c>
      <c r="Q82" s="27">
        <f t="shared" si="15"/>
        <v>413.2013268</v>
      </c>
      <c r="R82" s="26"/>
      <c r="S82" s="14">
        <f t="shared" si="13"/>
        <v>-4.106433566</v>
      </c>
    </row>
    <row r="83">
      <c r="A83" s="11">
        <v>71.0</v>
      </c>
      <c r="B83" s="11">
        <v>1.41970434782608E9</v>
      </c>
      <c r="C83" s="2">
        <v>-102.3980331</v>
      </c>
      <c r="D83" s="24">
        <f t="shared" si="1"/>
        <v>-695652.1739</v>
      </c>
      <c r="E83" s="25">
        <f t="shared" si="2"/>
        <v>146.009085</v>
      </c>
      <c r="F83" s="24">
        <f t="shared" si="3"/>
        <v>0.0002098880597</v>
      </c>
      <c r="G83" s="24">
        <f t="shared" si="4"/>
        <v>0</v>
      </c>
      <c r="H83" s="26">
        <f t="shared" si="5"/>
        <v>0</v>
      </c>
      <c r="I83" s="24">
        <f t="shared" si="6"/>
        <v>0</v>
      </c>
      <c r="J83" s="24">
        <f t="shared" si="7"/>
        <v>0</v>
      </c>
      <c r="K83" s="24"/>
      <c r="L83" s="24">
        <f t="shared" si="8"/>
        <v>437.8273197</v>
      </c>
      <c r="M83" s="14">
        <f t="shared" si="9"/>
        <v>445.1115482</v>
      </c>
      <c r="N83" s="27">
        <f t="shared" si="10"/>
        <v>-7.28422849</v>
      </c>
      <c r="O83" s="24"/>
      <c r="P83" s="28">
        <f t="shared" si="14"/>
        <v>-174.4762651</v>
      </c>
      <c r="Q83" s="27">
        <f t="shared" si="15"/>
        <v>413.5680664</v>
      </c>
      <c r="R83" s="26"/>
      <c r="S83" s="14">
        <f t="shared" si="13"/>
        <v>-6.689078852</v>
      </c>
    </row>
    <row r="84">
      <c r="A84" s="11">
        <v>72.0</v>
      </c>
      <c r="B84" s="11">
        <v>1.41970869565217E9</v>
      </c>
      <c r="C84" s="2">
        <v>-102.3694</v>
      </c>
      <c r="D84" s="24">
        <f t="shared" si="1"/>
        <v>-691304.3478</v>
      </c>
      <c r="E84" s="25">
        <f t="shared" si="2"/>
        <v>145.0907889</v>
      </c>
      <c r="F84" s="24">
        <f t="shared" si="3"/>
        <v>0.0002098797575</v>
      </c>
      <c r="G84" s="24">
        <f t="shared" si="4"/>
        <v>0</v>
      </c>
      <c r="H84" s="26">
        <f t="shared" si="5"/>
        <v>0</v>
      </c>
      <c r="I84" s="24">
        <f t="shared" si="6"/>
        <v>0</v>
      </c>
      <c r="J84" s="24">
        <f t="shared" si="7"/>
        <v>0</v>
      </c>
      <c r="K84" s="24"/>
      <c r="L84" s="24">
        <f t="shared" si="8"/>
        <v>440.7234585</v>
      </c>
      <c r="M84" s="14">
        <f t="shared" si="9"/>
        <v>445.0425533</v>
      </c>
      <c r="N84" s="27">
        <f t="shared" si="10"/>
        <v>-4.31909482</v>
      </c>
      <c r="O84" s="24"/>
      <c r="P84" s="28">
        <f t="shared" si="14"/>
        <v>-175.3945612</v>
      </c>
      <c r="Q84" s="27">
        <f t="shared" si="15"/>
        <v>415.3715981</v>
      </c>
      <c r="R84" s="26"/>
      <c r="S84" s="14">
        <f t="shared" si="13"/>
        <v>-3.966208061</v>
      </c>
    </row>
    <row r="85">
      <c r="A85" s="11">
        <v>73.0</v>
      </c>
      <c r="B85" s="11">
        <v>1.41971304347826E9</v>
      </c>
      <c r="C85" s="2">
        <v>-102.3434296</v>
      </c>
      <c r="D85" s="24">
        <f t="shared" si="1"/>
        <v>-686956.5217</v>
      </c>
      <c r="E85" s="25">
        <f t="shared" si="2"/>
        <v>144.1724927</v>
      </c>
      <c r="F85" s="24">
        <f t="shared" si="3"/>
        <v>0.0002098713502</v>
      </c>
      <c r="G85" s="24">
        <f t="shared" si="4"/>
        <v>0</v>
      </c>
      <c r="H85" s="26">
        <f t="shared" si="5"/>
        <v>0</v>
      </c>
      <c r="I85" s="24">
        <f t="shared" si="6"/>
        <v>0</v>
      </c>
      <c r="J85" s="24">
        <f t="shared" si="7"/>
        <v>0</v>
      </c>
      <c r="K85" s="24"/>
      <c r="L85" s="24">
        <f t="shared" si="8"/>
        <v>443.3668388</v>
      </c>
      <c r="M85" s="14">
        <f t="shared" si="9"/>
        <v>444.973555</v>
      </c>
      <c r="N85" s="27">
        <f t="shared" si="10"/>
        <v>-1.606716185</v>
      </c>
      <c r="O85" s="24"/>
      <c r="P85" s="28">
        <f t="shared" si="14"/>
        <v>-176.3128574</v>
      </c>
      <c r="Q85" s="27">
        <f t="shared" si="15"/>
        <v>419.4662731</v>
      </c>
      <c r="R85" s="26"/>
      <c r="S85" s="14">
        <f t="shared" si="13"/>
        <v>-1.475441259</v>
      </c>
    </row>
    <row r="86">
      <c r="A86" s="11">
        <v>74.0</v>
      </c>
      <c r="B86" s="11">
        <v>1.41971739130434E9</v>
      </c>
      <c r="C86" s="2">
        <v>-102.3551025</v>
      </c>
      <c r="D86" s="24">
        <f t="shared" si="1"/>
        <v>-682608.6957</v>
      </c>
      <c r="E86" s="25">
        <f t="shared" si="2"/>
        <v>143.2541966</v>
      </c>
      <c r="F86" s="24">
        <f t="shared" si="3"/>
        <v>0.0002098628358</v>
      </c>
      <c r="G86" s="24">
        <f t="shared" si="4"/>
        <v>0</v>
      </c>
      <c r="H86" s="26">
        <f t="shared" si="5"/>
        <v>0</v>
      </c>
      <c r="I86" s="24">
        <f t="shared" si="6"/>
        <v>0</v>
      </c>
      <c r="J86" s="24">
        <f t="shared" si="7"/>
        <v>0</v>
      </c>
      <c r="K86" s="24"/>
      <c r="L86" s="24">
        <f t="shared" si="8"/>
        <v>442.1767643</v>
      </c>
      <c r="M86" s="14">
        <f t="shared" si="9"/>
        <v>444.9045527</v>
      </c>
      <c r="N86" s="27">
        <f t="shared" si="10"/>
        <v>-2.72778834</v>
      </c>
      <c r="O86" s="24"/>
      <c r="P86" s="28">
        <f t="shared" si="14"/>
        <v>-177.2311535</v>
      </c>
      <c r="Q86" s="27">
        <f t="shared" si="15"/>
        <v>415.6307179</v>
      </c>
      <c r="R86" s="26"/>
      <c r="S86" s="14">
        <f t="shared" si="13"/>
        <v>-2.504917483</v>
      </c>
    </row>
    <row r="87">
      <c r="A87" s="11">
        <v>75.0</v>
      </c>
      <c r="B87" s="11">
        <v>1.41972173913043E9</v>
      </c>
      <c r="C87" s="2">
        <v>-102.3263168</v>
      </c>
      <c r="D87" s="24">
        <f t="shared" si="1"/>
        <v>-678260.8696</v>
      </c>
      <c r="E87" s="25">
        <f t="shared" si="2"/>
        <v>142.3359005</v>
      </c>
      <c r="F87" s="24">
        <f t="shared" si="3"/>
        <v>0.0002098542122</v>
      </c>
      <c r="G87" s="24">
        <f t="shared" si="4"/>
        <v>0</v>
      </c>
      <c r="H87" s="26">
        <f t="shared" si="5"/>
        <v>0</v>
      </c>
      <c r="I87" s="24">
        <f t="shared" si="6"/>
        <v>0</v>
      </c>
      <c r="J87" s="24">
        <f t="shared" si="7"/>
        <v>0</v>
      </c>
      <c r="K87" s="24"/>
      <c r="L87" s="24">
        <f t="shared" si="8"/>
        <v>445.1173137</v>
      </c>
      <c r="M87" s="14">
        <f t="shared" si="9"/>
        <v>444.8355455</v>
      </c>
      <c r="N87" s="27">
        <f t="shared" si="10"/>
        <v>0.2817682743</v>
      </c>
      <c r="O87" s="24"/>
      <c r="P87" s="28">
        <f t="shared" si="14"/>
        <v>-178.1494496</v>
      </c>
      <c r="Q87" s="27">
        <f t="shared" si="15"/>
        <v>416.7881545</v>
      </c>
      <c r="R87" s="26"/>
      <c r="S87" s="14">
        <f t="shared" si="13"/>
        <v>0.258746716</v>
      </c>
    </row>
    <row r="88">
      <c r="A88" s="11">
        <v>76.0</v>
      </c>
      <c r="B88" s="11">
        <v>1.41972608695652E9</v>
      </c>
      <c r="C88" s="2">
        <v>-102.3240891</v>
      </c>
      <c r="D88" s="24">
        <f t="shared" si="1"/>
        <v>-673913.0435</v>
      </c>
      <c r="E88" s="25">
        <f t="shared" si="2"/>
        <v>141.4176044</v>
      </c>
      <c r="F88" s="24">
        <f t="shared" si="3"/>
        <v>0.0002098454774</v>
      </c>
      <c r="G88" s="24">
        <f t="shared" si="4"/>
        <v>0</v>
      </c>
      <c r="H88" s="26">
        <f t="shared" si="5"/>
        <v>0</v>
      </c>
      <c r="I88" s="24">
        <f t="shared" si="6"/>
        <v>0</v>
      </c>
      <c r="J88" s="24">
        <f t="shared" si="7"/>
        <v>0</v>
      </c>
      <c r="K88" s="24"/>
      <c r="L88" s="24">
        <f t="shared" si="8"/>
        <v>445.3456939</v>
      </c>
      <c r="M88" s="14">
        <f t="shared" si="9"/>
        <v>444.7665326</v>
      </c>
      <c r="N88" s="27">
        <f t="shared" si="10"/>
        <v>0.5791612414</v>
      </c>
      <c r="O88" s="24"/>
      <c r="P88" s="28">
        <f t="shared" si="14"/>
        <v>-179.0677458</v>
      </c>
      <c r="Q88" s="27">
        <f t="shared" si="15"/>
        <v>416.4727086</v>
      </c>
      <c r="R88" s="26"/>
      <c r="S88" s="14">
        <f t="shared" si="13"/>
        <v>0.5318415283</v>
      </c>
    </row>
    <row r="89">
      <c r="A89" s="11">
        <v>77.0</v>
      </c>
      <c r="B89" s="11">
        <v>1.4197304347826E9</v>
      </c>
      <c r="C89" s="2">
        <v>-102.3287811</v>
      </c>
      <c r="D89" s="24">
        <f t="shared" si="1"/>
        <v>-669565.2174</v>
      </c>
      <c r="E89" s="25">
        <f t="shared" si="2"/>
        <v>140.4993082</v>
      </c>
      <c r="F89" s="24">
        <f t="shared" si="3"/>
        <v>0.0002098366292</v>
      </c>
      <c r="G89" s="24">
        <f t="shared" si="4"/>
        <v>0</v>
      </c>
      <c r="H89" s="26">
        <f t="shared" si="5"/>
        <v>0</v>
      </c>
      <c r="I89" s="24">
        <f t="shared" si="6"/>
        <v>0</v>
      </c>
      <c r="J89" s="24">
        <f t="shared" si="7"/>
        <v>0</v>
      </c>
      <c r="K89" s="24"/>
      <c r="L89" s="24">
        <f t="shared" si="8"/>
        <v>444.8648142</v>
      </c>
      <c r="M89" s="14">
        <f t="shared" si="9"/>
        <v>444.6975133</v>
      </c>
      <c r="N89" s="27">
        <f t="shared" si="10"/>
        <v>0.1673009268</v>
      </c>
      <c r="O89" s="24"/>
      <c r="P89" s="28">
        <f t="shared" si="14"/>
        <v>-179.9860419</v>
      </c>
      <c r="Q89" s="27">
        <f t="shared" si="15"/>
        <v>419.1642618</v>
      </c>
      <c r="R89" s="26"/>
      <c r="S89" s="14">
        <f t="shared" si="13"/>
        <v>0.1536317941</v>
      </c>
    </row>
    <row r="90">
      <c r="A90" s="11">
        <v>78.0</v>
      </c>
      <c r="B90" s="11">
        <v>1.41973478260869E9</v>
      </c>
      <c r="C90" s="2">
        <v>-102.3443832</v>
      </c>
      <c r="D90" s="24">
        <f t="shared" si="1"/>
        <v>-665217.3913</v>
      </c>
      <c r="E90" s="25">
        <f t="shared" si="2"/>
        <v>139.5810121</v>
      </c>
      <c r="F90" s="24">
        <f t="shared" si="3"/>
        <v>0.0002098276652</v>
      </c>
      <c r="G90" s="24">
        <f t="shared" si="4"/>
        <v>0</v>
      </c>
      <c r="H90" s="26">
        <f t="shared" si="5"/>
        <v>0</v>
      </c>
      <c r="I90" s="24">
        <f t="shared" si="6"/>
        <v>0</v>
      </c>
      <c r="J90" s="24">
        <f t="shared" si="7"/>
        <v>0</v>
      </c>
      <c r="K90" s="24"/>
      <c r="L90" s="24">
        <f t="shared" si="8"/>
        <v>443.2694975</v>
      </c>
      <c r="M90" s="14">
        <f t="shared" si="9"/>
        <v>444.6284868</v>
      </c>
      <c r="N90" s="27">
        <f t="shared" si="10"/>
        <v>-1.358989313</v>
      </c>
      <c r="O90" s="24"/>
      <c r="P90" s="28">
        <f t="shared" si="14"/>
        <v>-180.904338</v>
      </c>
      <c r="Q90" s="27">
        <f t="shared" si="15"/>
        <v>410.6952192</v>
      </c>
      <c r="R90" s="26"/>
      <c r="S90" s="14">
        <f t="shared" si="13"/>
        <v>-1.247954631</v>
      </c>
    </row>
    <row r="91">
      <c r="A91" s="11">
        <v>79.0</v>
      </c>
      <c r="B91" s="11">
        <v>1.41973913043478E9</v>
      </c>
      <c r="C91" s="2">
        <v>-102.3253098</v>
      </c>
      <c r="D91" s="24">
        <f t="shared" si="1"/>
        <v>-660869.5652</v>
      </c>
      <c r="E91" s="25">
        <f t="shared" si="2"/>
        <v>138.662716</v>
      </c>
      <c r="F91" s="24">
        <f t="shared" si="3"/>
        <v>0.0002098185833</v>
      </c>
      <c r="G91" s="24">
        <f t="shared" si="4"/>
        <v>0</v>
      </c>
      <c r="H91" s="26">
        <f t="shared" si="5"/>
        <v>0</v>
      </c>
      <c r="I91" s="24">
        <f t="shared" si="6"/>
        <v>0</v>
      </c>
      <c r="J91" s="24">
        <f t="shared" si="7"/>
        <v>0</v>
      </c>
      <c r="K91" s="24"/>
      <c r="L91" s="24">
        <f t="shared" si="8"/>
        <v>445.2205352</v>
      </c>
      <c r="M91" s="14">
        <f t="shared" si="9"/>
        <v>444.5594522</v>
      </c>
      <c r="N91" s="27">
        <f t="shared" si="10"/>
        <v>0.6610829865</v>
      </c>
      <c r="O91" s="24"/>
      <c r="P91" s="28">
        <f t="shared" si="14"/>
        <v>-181.8226342</v>
      </c>
      <c r="Q91" s="27">
        <f t="shared" si="15"/>
        <v>419.9794664</v>
      </c>
      <c r="R91" s="26"/>
      <c r="S91" s="14">
        <f t="shared" si="13"/>
        <v>0.6070699486</v>
      </c>
    </row>
    <row r="92">
      <c r="A92" s="11">
        <v>80.0</v>
      </c>
      <c r="B92" s="11">
        <v>1.41974347826087E9</v>
      </c>
      <c r="C92" s="2">
        <v>-102.3167877</v>
      </c>
      <c r="D92" s="24">
        <f t="shared" si="1"/>
        <v>-656521.7391</v>
      </c>
      <c r="E92" s="25">
        <f t="shared" si="2"/>
        <v>137.7444198</v>
      </c>
      <c r="F92" s="24">
        <f t="shared" si="3"/>
        <v>0.0002098093812</v>
      </c>
      <c r="G92" s="24">
        <f t="shared" si="4"/>
        <v>0</v>
      </c>
      <c r="H92" s="26">
        <f t="shared" si="5"/>
        <v>0</v>
      </c>
      <c r="I92" s="24">
        <f t="shared" si="6"/>
        <v>0</v>
      </c>
      <c r="J92" s="24">
        <f t="shared" si="7"/>
        <v>0</v>
      </c>
      <c r="K92" s="24"/>
      <c r="L92" s="24">
        <f t="shared" si="8"/>
        <v>446.095043</v>
      </c>
      <c r="M92" s="14">
        <f t="shared" si="9"/>
        <v>444.4904089</v>
      </c>
      <c r="N92" s="27">
        <f t="shared" si="10"/>
        <v>1.604634123</v>
      </c>
      <c r="O92" s="24"/>
      <c r="P92" s="28">
        <f t="shared" si="14"/>
        <v>-182.7409303</v>
      </c>
      <c r="Q92" s="27">
        <f t="shared" si="15"/>
        <v>413.7708175</v>
      </c>
      <c r="R92" s="26"/>
      <c r="S92" s="14">
        <f t="shared" si="13"/>
        <v>1.47352931</v>
      </c>
    </row>
    <row r="93">
      <c r="A93" s="11">
        <v>81.0</v>
      </c>
      <c r="B93" s="11">
        <v>1.41974782608695E9</v>
      </c>
      <c r="C93" s="2">
        <v>-102.3340454</v>
      </c>
      <c r="D93" s="24">
        <f t="shared" si="1"/>
        <v>-652173.913</v>
      </c>
      <c r="E93" s="25">
        <f t="shared" si="2"/>
        <v>136.8261237</v>
      </c>
      <c r="F93" s="24">
        <f t="shared" si="3"/>
        <v>0.0002098000563</v>
      </c>
      <c r="G93" s="24">
        <f t="shared" si="4"/>
        <v>0</v>
      </c>
      <c r="H93" s="26">
        <f t="shared" si="5"/>
        <v>0</v>
      </c>
      <c r="I93" s="24">
        <f t="shared" si="6"/>
        <v>0</v>
      </c>
      <c r="J93" s="24">
        <f t="shared" si="7"/>
        <v>0</v>
      </c>
      <c r="K93" s="24"/>
      <c r="L93" s="24">
        <f t="shared" si="8"/>
        <v>444.3258981</v>
      </c>
      <c r="M93" s="14">
        <f t="shared" si="9"/>
        <v>444.4213559</v>
      </c>
      <c r="N93" s="27">
        <f t="shared" si="10"/>
        <v>-0.09545781398</v>
      </c>
      <c r="O93" s="24"/>
      <c r="P93" s="28">
        <f t="shared" si="14"/>
        <v>-183.6592264</v>
      </c>
      <c r="Q93" s="27">
        <f t="shared" si="15"/>
        <v>410.6555412</v>
      </c>
      <c r="R93" s="26"/>
      <c r="S93" s="14">
        <f t="shared" si="13"/>
        <v>-0.08765854143</v>
      </c>
    </row>
    <row r="94">
      <c r="A94" s="11">
        <v>82.0</v>
      </c>
      <c r="B94" s="11">
        <v>1.41975217391304E9</v>
      </c>
      <c r="C94" s="2">
        <v>-102.3403931</v>
      </c>
      <c r="D94" s="24">
        <f t="shared" si="1"/>
        <v>-647826.087</v>
      </c>
      <c r="E94" s="25">
        <f t="shared" si="2"/>
        <v>135.9078276</v>
      </c>
      <c r="F94" s="24">
        <f t="shared" si="3"/>
        <v>0.0002097906063</v>
      </c>
      <c r="G94" s="24">
        <f t="shared" si="4"/>
        <v>0</v>
      </c>
      <c r="H94" s="26">
        <f t="shared" si="5"/>
        <v>0</v>
      </c>
      <c r="I94" s="24">
        <f t="shared" si="6"/>
        <v>0</v>
      </c>
      <c r="J94" s="24">
        <f t="shared" si="7"/>
        <v>0</v>
      </c>
      <c r="K94" s="24"/>
      <c r="L94" s="24">
        <f t="shared" si="8"/>
        <v>443.6769404</v>
      </c>
      <c r="M94" s="14">
        <f t="shared" si="9"/>
        <v>444.3522926</v>
      </c>
      <c r="N94" s="27">
        <f t="shared" si="10"/>
        <v>-0.675352142</v>
      </c>
      <c r="O94" s="24"/>
      <c r="P94" s="28">
        <f t="shared" si="14"/>
        <v>-184.5775226</v>
      </c>
      <c r="Q94" s="27">
        <f t="shared" si="15"/>
        <v>417.4674483</v>
      </c>
      <c r="R94" s="26"/>
      <c r="S94" s="14">
        <f t="shared" si="13"/>
        <v>-0.6201732588</v>
      </c>
    </row>
    <row r="95">
      <c r="A95" s="11">
        <v>83.0</v>
      </c>
      <c r="B95" s="11">
        <v>1.41975652173913E9</v>
      </c>
      <c r="C95" s="2">
        <v>-102.28022</v>
      </c>
      <c r="D95" s="24">
        <f t="shared" si="1"/>
        <v>-643478.2609</v>
      </c>
      <c r="E95" s="25">
        <f t="shared" si="2"/>
        <v>134.9895314</v>
      </c>
      <c r="F95" s="24">
        <f t="shared" si="3"/>
        <v>0.0002097810286</v>
      </c>
      <c r="G95" s="24">
        <f t="shared" si="4"/>
        <v>0</v>
      </c>
      <c r="H95" s="26">
        <f t="shared" si="5"/>
        <v>0</v>
      </c>
      <c r="I95" s="24">
        <f t="shared" si="6"/>
        <v>0</v>
      </c>
      <c r="J95" s="24">
        <f t="shared" si="7"/>
        <v>0</v>
      </c>
      <c r="K95" s="24"/>
      <c r="L95" s="24">
        <f t="shared" si="8"/>
        <v>449.8670318</v>
      </c>
      <c r="M95" s="14">
        <f t="shared" si="9"/>
        <v>444.2832181</v>
      </c>
      <c r="N95" s="27">
        <f t="shared" si="10"/>
        <v>5.583813748</v>
      </c>
      <c r="O95" s="24"/>
      <c r="P95" s="28">
        <f t="shared" si="14"/>
        <v>-185.4958187</v>
      </c>
      <c r="Q95" s="27">
        <f t="shared" si="15"/>
        <v>412.9001944</v>
      </c>
      <c r="R95" s="26"/>
      <c r="S95" s="14">
        <f t="shared" si="13"/>
        <v>5.127594571</v>
      </c>
    </row>
    <row r="96">
      <c r="A96" s="11">
        <v>84.0</v>
      </c>
      <c r="B96" s="11">
        <v>1.41976086956521E9</v>
      </c>
      <c r="C96" s="2">
        <v>-102.3636093</v>
      </c>
      <c r="D96" s="24">
        <f t="shared" si="1"/>
        <v>-639130.4348</v>
      </c>
      <c r="E96" s="25">
        <f t="shared" si="2"/>
        <v>134.0712353</v>
      </c>
      <c r="F96" s="24">
        <f t="shared" si="3"/>
        <v>0.0002097713205</v>
      </c>
      <c r="G96" s="24">
        <f t="shared" si="4"/>
        <v>0</v>
      </c>
      <c r="H96" s="26">
        <f t="shared" si="5"/>
        <v>0</v>
      </c>
      <c r="I96" s="24">
        <f t="shared" si="6"/>
        <v>0</v>
      </c>
      <c r="J96" s="24">
        <f t="shared" si="7"/>
        <v>0</v>
      </c>
      <c r="K96" s="24"/>
      <c r="L96" s="24">
        <f t="shared" si="8"/>
        <v>441.3114925</v>
      </c>
      <c r="M96" s="14">
        <f t="shared" si="9"/>
        <v>444.2141316</v>
      </c>
      <c r="N96" s="27">
        <f t="shared" si="10"/>
        <v>-2.9026391</v>
      </c>
      <c r="O96" s="24"/>
      <c r="P96" s="28">
        <f t="shared" si="14"/>
        <v>-186.4141148</v>
      </c>
      <c r="Q96" s="27">
        <f t="shared" si="15"/>
        <v>415.200882</v>
      </c>
      <c r="R96" s="26"/>
      <c r="S96" s="14">
        <f t="shared" si="13"/>
        <v>-2.665482261</v>
      </c>
    </row>
    <row r="97">
      <c r="A97" s="11">
        <v>85.0</v>
      </c>
      <c r="B97" s="11">
        <v>1.4197652173913E9</v>
      </c>
      <c r="C97" s="2">
        <v>-102.3600998</v>
      </c>
      <c r="D97" s="24">
        <f t="shared" si="1"/>
        <v>-634782.6087</v>
      </c>
      <c r="E97" s="25">
        <f t="shared" si="2"/>
        <v>133.1529392</v>
      </c>
      <c r="F97" s="24">
        <f t="shared" si="3"/>
        <v>0.0002097614795</v>
      </c>
      <c r="G97" s="24">
        <f t="shared" si="4"/>
        <v>0</v>
      </c>
      <c r="H97" s="26">
        <f t="shared" si="5"/>
        <v>0</v>
      </c>
      <c r="I97" s="24">
        <f t="shared" si="6"/>
        <v>0</v>
      </c>
      <c r="J97" s="24">
        <f t="shared" si="7"/>
        <v>0</v>
      </c>
      <c r="K97" s="24"/>
      <c r="L97" s="24">
        <f t="shared" si="8"/>
        <v>441.668257</v>
      </c>
      <c r="M97" s="14">
        <f t="shared" si="9"/>
        <v>444.1450324</v>
      </c>
      <c r="N97" s="27">
        <f t="shared" si="10"/>
        <v>-2.47677538</v>
      </c>
      <c r="O97" s="24"/>
      <c r="P97" s="28">
        <f t="shared" si="14"/>
        <v>-187.332411</v>
      </c>
      <c r="Q97" s="27">
        <f t="shared" si="15"/>
        <v>411.8541129</v>
      </c>
      <c r="R97" s="26"/>
      <c r="S97" s="14">
        <f t="shared" si="13"/>
        <v>-2.274413247</v>
      </c>
    </row>
    <row r="98">
      <c r="A98" s="11">
        <v>86.0</v>
      </c>
      <c r="B98" s="11">
        <v>1.41976956521739E9</v>
      </c>
      <c r="C98" s="2">
        <v>-102.3426056</v>
      </c>
      <c r="D98" s="24">
        <f t="shared" si="1"/>
        <v>-630434.7826</v>
      </c>
      <c r="E98" s="25">
        <f t="shared" si="2"/>
        <v>132.234643</v>
      </c>
      <c r="F98" s="24">
        <f t="shared" si="3"/>
        <v>0.0002097515027</v>
      </c>
      <c r="G98" s="24">
        <f t="shared" si="4"/>
        <v>0</v>
      </c>
      <c r="H98" s="26">
        <f t="shared" si="5"/>
        <v>0</v>
      </c>
      <c r="I98" s="24">
        <f t="shared" si="6"/>
        <v>0</v>
      </c>
      <c r="J98" s="24">
        <f t="shared" si="7"/>
        <v>0</v>
      </c>
      <c r="K98" s="24"/>
      <c r="L98" s="24">
        <f t="shared" si="8"/>
        <v>443.4509681</v>
      </c>
      <c r="M98" s="14">
        <f t="shared" si="9"/>
        <v>444.0759197</v>
      </c>
      <c r="N98" s="27">
        <f t="shared" si="10"/>
        <v>-0.6249515566</v>
      </c>
      <c r="O98" s="24"/>
      <c r="P98" s="28">
        <f t="shared" si="14"/>
        <v>-188.2507071</v>
      </c>
      <c r="Q98" s="27">
        <f t="shared" si="15"/>
        <v>416.6812683</v>
      </c>
      <c r="R98" s="26"/>
      <c r="S98" s="14">
        <f t="shared" si="13"/>
        <v>-0.5738905977</v>
      </c>
    </row>
    <row r="99">
      <c r="A99" s="11">
        <v>87.0</v>
      </c>
      <c r="B99" s="11">
        <v>1.41977391304347E9</v>
      </c>
      <c r="C99" s="2">
        <v>-102.3501282</v>
      </c>
      <c r="D99" s="24">
        <f t="shared" si="1"/>
        <v>-626086.9565</v>
      </c>
      <c r="E99" s="25">
        <f t="shared" si="2"/>
        <v>131.3163469</v>
      </c>
      <c r="F99" s="24">
        <f t="shared" si="3"/>
        <v>0.0002097413874</v>
      </c>
      <c r="G99" s="24">
        <f t="shared" si="4"/>
        <v>0</v>
      </c>
      <c r="H99" s="26">
        <f t="shared" si="5"/>
        <v>0</v>
      </c>
      <c r="I99" s="24">
        <f t="shared" si="6"/>
        <v>0</v>
      </c>
      <c r="J99" s="24">
        <f t="shared" si="7"/>
        <v>0</v>
      </c>
      <c r="K99" s="24"/>
      <c r="L99" s="24">
        <f t="shared" si="8"/>
        <v>442.6835127</v>
      </c>
      <c r="M99" s="14">
        <f t="shared" si="9"/>
        <v>444.0067926</v>
      </c>
      <c r="N99" s="27">
        <f t="shared" si="10"/>
        <v>-1.323279986</v>
      </c>
      <c r="O99" s="24"/>
      <c r="P99" s="28">
        <f t="shared" si="14"/>
        <v>-189.1690032</v>
      </c>
      <c r="Q99" s="27">
        <f t="shared" si="15"/>
        <v>414.8654969</v>
      </c>
      <c r="R99" s="26"/>
      <c r="S99" s="14">
        <f t="shared" si="13"/>
        <v>-1.215162894</v>
      </c>
    </row>
    <row r="100">
      <c r="A100" s="11">
        <v>88.0</v>
      </c>
      <c r="B100" s="11">
        <v>1.41977826086956E9</v>
      </c>
      <c r="C100" s="2">
        <v>-102.3336182</v>
      </c>
      <c r="D100" s="24">
        <f t="shared" si="1"/>
        <v>-621739.1304</v>
      </c>
      <c r="E100" s="25">
        <f t="shared" si="2"/>
        <v>130.3980508</v>
      </c>
      <c r="F100" s="24">
        <f t="shared" si="3"/>
        <v>0.0002097311306</v>
      </c>
      <c r="G100" s="24">
        <f t="shared" si="4"/>
        <v>0</v>
      </c>
      <c r="H100" s="26">
        <f t="shared" si="5"/>
        <v>0</v>
      </c>
      <c r="I100" s="24">
        <f t="shared" si="6"/>
        <v>0</v>
      </c>
      <c r="J100" s="24">
        <f t="shared" si="7"/>
        <v>0</v>
      </c>
      <c r="K100" s="24"/>
      <c r="L100" s="24">
        <f t="shared" si="8"/>
        <v>444.369607</v>
      </c>
      <c r="M100" s="14">
        <f t="shared" si="9"/>
        <v>443.9376505</v>
      </c>
      <c r="N100" s="27">
        <f t="shared" si="10"/>
        <v>0.4319565097</v>
      </c>
      <c r="O100" s="24"/>
      <c r="P100" s="28">
        <f t="shared" si="14"/>
        <v>-190.0872994</v>
      </c>
      <c r="Q100" s="27">
        <f t="shared" si="15"/>
        <v>414.8552948</v>
      </c>
      <c r="R100" s="26"/>
      <c r="S100" s="14">
        <f t="shared" si="13"/>
        <v>0.3966639915</v>
      </c>
    </row>
    <row r="101">
      <c r="A101" s="11">
        <v>89.0</v>
      </c>
      <c r="B101" s="11">
        <v>1.41978260869565E9</v>
      </c>
      <c r="C101" s="2">
        <v>-102.2774963</v>
      </c>
      <c r="D101" s="24">
        <f t="shared" si="1"/>
        <v>-617391.3043</v>
      </c>
      <c r="E101" s="25">
        <f t="shared" si="2"/>
        <v>129.4797546</v>
      </c>
      <c r="F101" s="24">
        <f t="shared" si="3"/>
        <v>0.0002097207293</v>
      </c>
      <c r="G101" s="24">
        <f t="shared" si="4"/>
        <v>0</v>
      </c>
      <c r="H101" s="26">
        <f t="shared" si="5"/>
        <v>0</v>
      </c>
      <c r="I101" s="24">
        <f t="shared" si="6"/>
        <v>0</v>
      </c>
      <c r="J101" s="24">
        <f t="shared" si="7"/>
        <v>0</v>
      </c>
      <c r="K101" s="24"/>
      <c r="L101" s="24">
        <f t="shared" si="8"/>
        <v>450.1492567</v>
      </c>
      <c r="M101" s="14">
        <f t="shared" si="9"/>
        <v>443.8684924</v>
      </c>
      <c r="N101" s="27">
        <f t="shared" si="10"/>
        <v>6.280764277</v>
      </c>
      <c r="O101" s="24"/>
      <c r="P101" s="28">
        <f t="shared" si="14"/>
        <v>-191.0055955</v>
      </c>
      <c r="Q101" s="27">
        <f t="shared" si="15"/>
        <v>415.2110926</v>
      </c>
      <c r="R101" s="26"/>
      <c r="S101" s="14">
        <f t="shared" si="13"/>
        <v>5.767601547</v>
      </c>
    </row>
    <row r="102">
      <c r="A102" s="11">
        <v>90.0</v>
      </c>
      <c r="B102" s="11">
        <v>1.41978695652173E9</v>
      </c>
      <c r="C102" s="2">
        <v>-102.2809219</v>
      </c>
      <c r="D102" s="24">
        <f t="shared" si="1"/>
        <v>-613043.4783</v>
      </c>
      <c r="E102" s="25">
        <f t="shared" si="2"/>
        <v>128.5614585</v>
      </c>
      <c r="F102" s="24">
        <f t="shared" si="3"/>
        <v>0.0002097101805</v>
      </c>
      <c r="G102" s="24">
        <f t="shared" si="4"/>
        <v>0</v>
      </c>
      <c r="H102" s="26">
        <f t="shared" si="5"/>
        <v>0</v>
      </c>
      <c r="I102" s="24">
        <f t="shared" si="6"/>
        <v>0</v>
      </c>
      <c r="J102" s="24">
        <f t="shared" si="7"/>
        <v>0</v>
      </c>
      <c r="K102" s="24"/>
      <c r="L102" s="24">
        <f t="shared" si="8"/>
        <v>449.7943309</v>
      </c>
      <c r="M102" s="14">
        <f t="shared" si="9"/>
        <v>443.7993177</v>
      </c>
      <c r="N102" s="27">
        <f t="shared" si="10"/>
        <v>5.995013175</v>
      </c>
      <c r="O102" s="24"/>
      <c r="P102" s="28">
        <f t="shared" si="14"/>
        <v>-191.9238916</v>
      </c>
      <c r="Q102" s="27">
        <f t="shared" si="15"/>
        <v>406.9620266</v>
      </c>
      <c r="R102" s="26"/>
      <c r="S102" s="14">
        <f t="shared" si="13"/>
        <v>5.505197415</v>
      </c>
    </row>
    <row r="103">
      <c r="A103" s="11">
        <v>91.0</v>
      </c>
      <c r="B103" s="11">
        <v>1.41979130434782E9</v>
      </c>
      <c r="C103" s="2">
        <v>-102.3220367</v>
      </c>
      <c r="D103" s="24">
        <f t="shared" si="1"/>
        <v>-608695.6522</v>
      </c>
      <c r="E103" s="25">
        <f t="shared" si="2"/>
        <v>127.6431624</v>
      </c>
      <c r="F103" s="24">
        <f t="shared" si="3"/>
        <v>0.000209699481</v>
      </c>
      <c r="G103" s="24">
        <f t="shared" si="4"/>
        <v>0</v>
      </c>
      <c r="H103" s="26">
        <f t="shared" si="5"/>
        <v>0</v>
      </c>
      <c r="I103" s="24">
        <f t="shared" si="6"/>
        <v>0</v>
      </c>
      <c r="J103" s="24">
        <f t="shared" si="7"/>
        <v>0</v>
      </c>
      <c r="K103" s="24"/>
      <c r="L103" s="24">
        <f t="shared" si="8"/>
        <v>445.5562062</v>
      </c>
      <c r="M103" s="14">
        <f t="shared" si="9"/>
        <v>443.7301255</v>
      </c>
      <c r="N103" s="27">
        <f t="shared" si="10"/>
        <v>1.826080683</v>
      </c>
      <c r="O103" s="24"/>
      <c r="P103" s="28">
        <f t="shared" si="14"/>
        <v>-192.8421877</v>
      </c>
      <c r="Q103" s="27">
        <f t="shared" si="15"/>
        <v>414.8815265</v>
      </c>
      <c r="R103" s="26"/>
      <c r="S103" s="14">
        <f t="shared" si="13"/>
        <v>1.676882829</v>
      </c>
    </row>
    <row r="104">
      <c r="A104" s="11">
        <v>92.0</v>
      </c>
      <c r="B104" s="11">
        <v>1.41979565217391E9</v>
      </c>
      <c r="C104" s="2">
        <v>-102.3451691</v>
      </c>
      <c r="D104" s="24">
        <f t="shared" si="1"/>
        <v>-604347.8261</v>
      </c>
      <c r="E104" s="25">
        <f t="shared" si="2"/>
        <v>126.7248662</v>
      </c>
      <c r="F104" s="24">
        <f t="shared" si="3"/>
        <v>0.0002096886276</v>
      </c>
      <c r="G104" s="24">
        <f t="shared" si="4"/>
        <v>0</v>
      </c>
      <c r="H104" s="26">
        <f t="shared" si="5"/>
        <v>0</v>
      </c>
      <c r="I104" s="24">
        <f t="shared" si="6"/>
        <v>0</v>
      </c>
      <c r="J104" s="24">
        <f t="shared" si="7"/>
        <v>0</v>
      </c>
      <c r="K104" s="24"/>
      <c r="L104" s="24">
        <f t="shared" si="8"/>
        <v>443.1892906</v>
      </c>
      <c r="M104" s="14">
        <f t="shared" si="9"/>
        <v>443.6609151</v>
      </c>
      <c r="N104" s="27">
        <f t="shared" si="10"/>
        <v>-0.4716244691</v>
      </c>
      <c r="O104" s="24"/>
      <c r="P104" s="28">
        <f t="shared" si="14"/>
        <v>-193.7604839</v>
      </c>
      <c r="Q104" s="27">
        <f t="shared" si="15"/>
        <v>418.0530896</v>
      </c>
      <c r="R104" s="26"/>
      <c r="S104" s="14">
        <f t="shared" si="13"/>
        <v>-0.4330909251</v>
      </c>
    </row>
    <row r="105">
      <c r="A105" s="11">
        <v>93.0</v>
      </c>
      <c r="B105" s="11">
        <v>1.4198E9</v>
      </c>
      <c r="C105" s="2">
        <v>-102.3840408</v>
      </c>
      <c r="D105" s="24">
        <f t="shared" si="1"/>
        <v>-600000</v>
      </c>
      <c r="E105" s="25">
        <f t="shared" si="2"/>
        <v>125.8065701</v>
      </c>
      <c r="F105" s="24">
        <f t="shared" si="3"/>
        <v>0.0002096776168</v>
      </c>
      <c r="G105" s="24">
        <f t="shared" si="4"/>
        <v>0</v>
      </c>
      <c r="H105" s="26">
        <f t="shared" si="5"/>
        <v>0</v>
      </c>
      <c r="I105" s="24">
        <f t="shared" si="6"/>
        <v>0</v>
      </c>
      <c r="J105" s="24">
        <f t="shared" si="7"/>
        <v>0</v>
      </c>
      <c r="K105" s="24"/>
      <c r="L105" s="24">
        <f t="shared" si="8"/>
        <v>439.2402068</v>
      </c>
      <c r="M105" s="14">
        <f t="shared" si="9"/>
        <v>443.5916856</v>
      </c>
      <c r="N105" s="27">
        <f t="shared" si="10"/>
        <v>-4.351478732</v>
      </c>
      <c r="O105" s="24"/>
      <c r="P105" s="28">
        <f t="shared" si="14"/>
        <v>-194.67878</v>
      </c>
      <c r="Q105" s="27">
        <f t="shared" si="15"/>
        <v>407.2402331</v>
      </c>
      <c r="R105" s="26"/>
      <c r="S105" s="14">
        <f t="shared" si="13"/>
        <v>-3.995946091</v>
      </c>
    </row>
    <row r="106">
      <c r="A106" s="11">
        <v>94.0</v>
      </c>
      <c r="B106" s="11">
        <v>1.41980434782608E9</v>
      </c>
      <c r="C106" s="2">
        <v>-102.4136734</v>
      </c>
      <c r="D106" s="24">
        <f t="shared" si="1"/>
        <v>-595652.1739</v>
      </c>
      <c r="E106" s="25">
        <f t="shared" si="2"/>
        <v>124.888274</v>
      </c>
      <c r="F106" s="24">
        <f t="shared" si="3"/>
        <v>0.0002096664454</v>
      </c>
      <c r="G106" s="24">
        <f t="shared" si="4"/>
        <v>0</v>
      </c>
      <c r="H106" s="26">
        <f t="shared" si="5"/>
        <v>0</v>
      </c>
      <c r="I106" s="24">
        <f t="shared" si="6"/>
        <v>0</v>
      </c>
      <c r="J106" s="24">
        <f t="shared" si="7"/>
        <v>0</v>
      </c>
      <c r="K106" s="24"/>
      <c r="L106" s="24">
        <f t="shared" si="8"/>
        <v>436.2534027</v>
      </c>
      <c r="M106" s="14">
        <f t="shared" si="9"/>
        <v>443.5224362</v>
      </c>
      <c r="N106" s="27">
        <f t="shared" si="10"/>
        <v>-7.269033562</v>
      </c>
      <c r="O106" s="24"/>
      <c r="P106" s="28">
        <f t="shared" si="14"/>
        <v>-195.5970761</v>
      </c>
      <c r="Q106" s="27">
        <f t="shared" si="15"/>
        <v>407.7735644</v>
      </c>
      <c r="R106" s="26"/>
      <c r="S106" s="14">
        <f t="shared" si="13"/>
        <v>-6.675125409</v>
      </c>
    </row>
    <row r="107">
      <c r="A107" s="11">
        <v>95.0</v>
      </c>
      <c r="B107" s="11">
        <v>1.41980869565217E9</v>
      </c>
      <c r="C107" s="2">
        <v>-102.3425064</v>
      </c>
      <c r="D107" s="24">
        <f t="shared" si="1"/>
        <v>-591304.3478</v>
      </c>
      <c r="E107" s="25">
        <f t="shared" si="2"/>
        <v>123.9699778</v>
      </c>
      <c r="F107" s="24">
        <f t="shared" si="3"/>
        <v>0.0002096551096</v>
      </c>
      <c r="G107" s="24">
        <f t="shared" si="4"/>
        <v>0</v>
      </c>
      <c r="H107" s="26">
        <f t="shared" si="5"/>
        <v>0</v>
      </c>
      <c r="I107" s="24">
        <f t="shared" si="6"/>
        <v>0</v>
      </c>
      <c r="J107" s="24">
        <f t="shared" si="7"/>
        <v>0</v>
      </c>
      <c r="K107" s="24"/>
      <c r="L107" s="24">
        <f t="shared" si="8"/>
        <v>443.4610974</v>
      </c>
      <c r="M107" s="14">
        <f t="shared" si="9"/>
        <v>443.4531663</v>
      </c>
      <c r="N107" s="27">
        <f t="shared" si="10"/>
        <v>0.007931106116</v>
      </c>
      <c r="O107" s="24"/>
      <c r="P107" s="28">
        <f t="shared" si="14"/>
        <v>-196.5153723</v>
      </c>
      <c r="Q107" s="27">
        <f t="shared" si="15"/>
        <v>412.8864185</v>
      </c>
      <c r="R107" s="26"/>
      <c r="S107" s="14">
        <f t="shared" si="13"/>
        <v>0.007283104058</v>
      </c>
    </row>
    <row r="108">
      <c r="A108" s="11">
        <v>96.0</v>
      </c>
      <c r="B108" s="11">
        <v>1.41981304347826E9</v>
      </c>
      <c r="C108" s="2">
        <v>-102.3386536</v>
      </c>
      <c r="D108" s="24">
        <f t="shared" si="1"/>
        <v>-586956.5217</v>
      </c>
      <c r="E108" s="25">
        <f t="shared" si="2"/>
        <v>123.0516817</v>
      </c>
      <c r="F108" s="24">
        <f t="shared" si="3"/>
        <v>0.0002096436059</v>
      </c>
      <c r="G108" s="24">
        <f t="shared" si="4"/>
        <v>0</v>
      </c>
      <c r="H108" s="26">
        <f t="shared" si="5"/>
        <v>0</v>
      </c>
      <c r="I108" s="24">
        <f t="shared" si="6"/>
        <v>0</v>
      </c>
      <c r="J108" s="24">
        <f t="shared" si="7"/>
        <v>0</v>
      </c>
      <c r="K108" s="24"/>
      <c r="L108" s="24">
        <f t="shared" si="8"/>
        <v>443.854684</v>
      </c>
      <c r="M108" s="14">
        <f t="shared" si="9"/>
        <v>443.3838749</v>
      </c>
      <c r="N108" s="27">
        <f t="shared" si="10"/>
        <v>0.4708090867</v>
      </c>
      <c r="O108" s="24"/>
      <c r="P108" s="28">
        <f t="shared" si="14"/>
        <v>-197.4336684</v>
      </c>
      <c r="Q108" s="27">
        <f t="shared" si="15"/>
        <v>415.5161013</v>
      </c>
      <c r="R108" s="26"/>
      <c r="S108" s="14">
        <f t="shared" si="13"/>
        <v>0.4323421636</v>
      </c>
    </row>
    <row r="109">
      <c r="A109" s="11">
        <v>97.0</v>
      </c>
      <c r="B109" s="11">
        <v>1.41981739130434E9</v>
      </c>
      <c r="C109" s="2">
        <v>-102.3353424</v>
      </c>
      <c r="D109" s="24">
        <f t="shared" si="1"/>
        <v>-582608.6957</v>
      </c>
      <c r="E109" s="25">
        <f t="shared" si="2"/>
        <v>122.1333856</v>
      </c>
      <c r="F109" s="24">
        <f t="shared" si="3"/>
        <v>0.0002096319305</v>
      </c>
      <c r="G109" s="24">
        <f t="shared" si="4"/>
        <v>0</v>
      </c>
      <c r="H109" s="26">
        <f t="shared" si="5"/>
        <v>0</v>
      </c>
      <c r="I109" s="24">
        <f t="shared" si="6"/>
        <v>0</v>
      </c>
      <c r="J109" s="24">
        <f t="shared" si="7"/>
        <v>0</v>
      </c>
      <c r="K109" s="24"/>
      <c r="L109" s="24">
        <f t="shared" si="8"/>
        <v>444.1932221</v>
      </c>
      <c r="M109" s="14">
        <f t="shared" si="9"/>
        <v>443.3145614</v>
      </c>
      <c r="N109" s="27">
        <f t="shared" si="10"/>
        <v>0.8786606761</v>
      </c>
      <c r="O109" s="24"/>
      <c r="P109" s="28">
        <f t="shared" si="14"/>
        <v>-198.3519645</v>
      </c>
      <c r="Q109" s="27">
        <f t="shared" si="15"/>
        <v>410.040635</v>
      </c>
      <c r="R109" s="26"/>
      <c r="S109" s="14">
        <f t="shared" si="13"/>
        <v>0.8068707009</v>
      </c>
    </row>
    <row r="110">
      <c r="A110" s="11">
        <v>98.0</v>
      </c>
      <c r="B110" s="11">
        <v>1.41982173913043E9</v>
      </c>
      <c r="C110" s="2">
        <v>-102.317215</v>
      </c>
      <c r="D110" s="24">
        <f t="shared" si="1"/>
        <v>-578260.8696</v>
      </c>
      <c r="E110" s="25">
        <f t="shared" si="2"/>
        <v>121.2150894</v>
      </c>
      <c r="F110" s="24">
        <f t="shared" si="3"/>
        <v>0.0002096200795</v>
      </c>
      <c r="G110" s="24">
        <f t="shared" si="4"/>
        <v>0</v>
      </c>
      <c r="H110" s="26">
        <f t="shared" si="5"/>
        <v>0</v>
      </c>
      <c r="I110" s="24">
        <f t="shared" si="6"/>
        <v>0</v>
      </c>
      <c r="J110" s="24">
        <f t="shared" si="7"/>
        <v>0</v>
      </c>
      <c r="K110" s="24"/>
      <c r="L110" s="24">
        <f t="shared" si="8"/>
        <v>446.0511541</v>
      </c>
      <c r="M110" s="14">
        <f t="shared" si="9"/>
        <v>443.2452249</v>
      </c>
      <c r="N110" s="27">
        <f t="shared" si="10"/>
        <v>2.805929222</v>
      </c>
      <c r="O110" s="24"/>
      <c r="P110" s="28">
        <f t="shared" si="14"/>
        <v>-199.2702607</v>
      </c>
      <c r="Q110" s="27">
        <f t="shared" si="15"/>
        <v>411.8302347</v>
      </c>
      <c r="R110" s="26"/>
      <c r="S110" s="14">
        <f t="shared" si="13"/>
        <v>2.576673948</v>
      </c>
    </row>
    <row r="111">
      <c r="A111" s="11">
        <v>99.0</v>
      </c>
      <c r="B111" s="11">
        <v>1.41982608695652E9</v>
      </c>
      <c r="C111" s="2">
        <v>-102.3712616</v>
      </c>
      <c r="D111" s="24">
        <f t="shared" si="1"/>
        <v>-573913.0435</v>
      </c>
      <c r="E111" s="25">
        <f t="shared" si="2"/>
        <v>120.2967933</v>
      </c>
      <c r="F111" s="24">
        <f t="shared" si="3"/>
        <v>0.000209608049</v>
      </c>
      <c r="G111" s="24">
        <f t="shared" si="4"/>
        <v>0</v>
      </c>
      <c r="H111" s="26">
        <f t="shared" si="5"/>
        <v>0</v>
      </c>
      <c r="I111" s="24">
        <f t="shared" si="6"/>
        <v>0</v>
      </c>
      <c r="J111" s="24">
        <f t="shared" si="7"/>
        <v>0</v>
      </c>
      <c r="K111" s="24"/>
      <c r="L111" s="24">
        <f t="shared" si="8"/>
        <v>440.5345832</v>
      </c>
      <c r="M111" s="14">
        <f t="shared" si="9"/>
        <v>443.1758646</v>
      </c>
      <c r="N111" s="27">
        <f t="shared" si="10"/>
        <v>-2.641281415</v>
      </c>
      <c r="O111" s="24"/>
      <c r="P111" s="28">
        <f t="shared" si="14"/>
        <v>-200.1885568</v>
      </c>
      <c r="Q111" s="27">
        <f t="shared" si="15"/>
        <v>408.886138</v>
      </c>
      <c r="R111" s="26"/>
      <c r="S111" s="14">
        <f t="shared" si="13"/>
        <v>-2.425478509</v>
      </c>
    </row>
    <row r="112">
      <c r="A112" s="11">
        <v>100.0</v>
      </c>
      <c r="B112" s="11">
        <v>1.4198304347826E9</v>
      </c>
      <c r="C112" s="2">
        <v>-102.3014908</v>
      </c>
      <c r="D112" s="24">
        <f t="shared" si="1"/>
        <v>-569565.2174</v>
      </c>
      <c r="E112" s="25">
        <f t="shared" si="2"/>
        <v>119.3784972</v>
      </c>
      <c r="F112" s="24">
        <f t="shared" si="3"/>
        <v>0.0002095958347</v>
      </c>
      <c r="G112" s="24">
        <f t="shared" si="4"/>
        <v>0</v>
      </c>
      <c r="H112" s="26">
        <f t="shared" si="5"/>
        <v>0</v>
      </c>
      <c r="I112" s="24">
        <f t="shared" si="6"/>
        <v>0</v>
      </c>
      <c r="J112" s="24">
        <f t="shared" si="7"/>
        <v>0</v>
      </c>
      <c r="K112" s="24"/>
      <c r="L112" s="24">
        <f t="shared" si="8"/>
        <v>447.6690678</v>
      </c>
      <c r="M112" s="14">
        <f t="shared" si="9"/>
        <v>443.1064797</v>
      </c>
      <c r="N112" s="27">
        <f t="shared" si="10"/>
        <v>4.562588107</v>
      </c>
      <c r="O112" s="24"/>
      <c r="P112" s="28">
        <f t="shared" si="14"/>
        <v>-201.1068529</v>
      </c>
      <c r="Q112" s="27">
        <f t="shared" si="15"/>
        <v>412.8682794</v>
      </c>
      <c r="R112" s="26"/>
      <c r="S112" s="14">
        <f t="shared" si="13"/>
        <v>4.189807014</v>
      </c>
      <c r="U112" s="21"/>
      <c r="V112" s="21"/>
    </row>
    <row r="113">
      <c r="A113" s="11">
        <v>101.0</v>
      </c>
      <c r="B113" s="11">
        <v>1.41983478260869E9</v>
      </c>
      <c r="C113" s="2">
        <v>-102.3616028</v>
      </c>
      <c r="D113" s="24">
        <f t="shared" si="1"/>
        <v>-565217.3913</v>
      </c>
      <c r="E113" s="25">
        <f t="shared" si="2"/>
        <v>118.460201</v>
      </c>
      <c r="F113" s="24">
        <f t="shared" si="3"/>
        <v>0.0002095834326</v>
      </c>
      <c r="G113" s="24">
        <f t="shared" si="4"/>
        <v>0</v>
      </c>
      <c r="H113" s="26">
        <f t="shared" si="5"/>
        <v>0</v>
      </c>
      <c r="I113" s="24">
        <f t="shared" si="6"/>
        <v>0</v>
      </c>
      <c r="J113" s="24">
        <f t="shared" si="7"/>
        <v>0</v>
      </c>
      <c r="K113" s="24"/>
      <c r="L113" s="24">
        <f t="shared" si="8"/>
        <v>441.5154316</v>
      </c>
      <c r="M113" s="14">
        <f t="shared" si="9"/>
        <v>443.0370695</v>
      </c>
      <c r="N113" s="27">
        <f t="shared" si="10"/>
        <v>-1.521637942</v>
      </c>
      <c r="O113" s="24"/>
      <c r="P113" s="28">
        <f t="shared" si="14"/>
        <v>-202.0251491</v>
      </c>
      <c r="Q113" s="27">
        <f t="shared" si="15"/>
        <v>410.1342963</v>
      </c>
      <c r="R113" s="26"/>
      <c r="S113" s="14">
        <f t="shared" si="13"/>
        <v>-1.397314238</v>
      </c>
      <c r="U113" s="21"/>
      <c r="V113" s="21"/>
    </row>
    <row r="114">
      <c r="A114" s="11">
        <v>102.0</v>
      </c>
      <c r="B114" s="11">
        <v>1.41983913043478E9</v>
      </c>
      <c r="C114" s="2">
        <v>-102.3521652</v>
      </c>
      <c r="D114" s="24">
        <f t="shared" si="1"/>
        <v>-560869.5652</v>
      </c>
      <c r="E114" s="25">
        <f t="shared" si="2"/>
        <v>117.5419049</v>
      </c>
      <c r="F114" s="24">
        <f t="shared" si="3"/>
        <v>0.0002095708382</v>
      </c>
      <c r="G114" s="24">
        <f t="shared" si="4"/>
        <v>0</v>
      </c>
      <c r="H114" s="26">
        <f t="shared" si="5"/>
        <v>0</v>
      </c>
      <c r="I114" s="24">
        <f t="shared" si="6"/>
        <v>0</v>
      </c>
      <c r="J114" s="24">
        <f t="shared" si="7"/>
        <v>0</v>
      </c>
      <c r="K114" s="24"/>
      <c r="L114" s="24">
        <f t="shared" si="8"/>
        <v>442.4759266</v>
      </c>
      <c r="M114" s="14">
        <f t="shared" si="9"/>
        <v>442.9676332</v>
      </c>
      <c r="N114" s="27">
        <f t="shared" si="10"/>
        <v>-0.4917066162</v>
      </c>
      <c r="O114" s="24"/>
      <c r="P114" s="28">
        <f t="shared" si="14"/>
        <v>-202.9434452</v>
      </c>
      <c r="Q114" s="27">
        <f t="shared" si="15"/>
        <v>414.2792176</v>
      </c>
      <c r="R114" s="26"/>
      <c r="S114" s="14">
        <f t="shared" si="13"/>
        <v>-0.4515322831</v>
      </c>
      <c r="U114" s="21"/>
      <c r="V114" s="21"/>
    </row>
    <row r="115">
      <c r="A115" s="11">
        <v>103.0</v>
      </c>
      <c r="B115" s="11">
        <v>1.41984347826087E9</v>
      </c>
      <c r="C115" s="2">
        <v>-102.325882</v>
      </c>
      <c r="D115" s="24">
        <f t="shared" si="1"/>
        <v>-556521.7391</v>
      </c>
      <c r="E115" s="25">
        <f t="shared" si="2"/>
        <v>116.6236088</v>
      </c>
      <c r="F115" s="24">
        <f t="shared" si="3"/>
        <v>0.000209558047</v>
      </c>
      <c r="G115" s="24">
        <f t="shared" si="4"/>
        <v>0</v>
      </c>
      <c r="H115" s="26">
        <f t="shared" si="5"/>
        <v>0</v>
      </c>
      <c r="I115" s="24">
        <f t="shared" si="6"/>
        <v>0</v>
      </c>
      <c r="J115" s="24">
        <f t="shared" si="7"/>
        <v>0</v>
      </c>
      <c r="K115" s="24"/>
      <c r="L115" s="24">
        <f t="shared" si="8"/>
        <v>445.1618795</v>
      </c>
      <c r="M115" s="14">
        <f t="shared" si="9"/>
        <v>442.89817</v>
      </c>
      <c r="N115" s="27">
        <f t="shared" si="10"/>
        <v>2.263709566</v>
      </c>
      <c r="O115" s="24"/>
      <c r="P115" s="28">
        <f t="shared" si="14"/>
        <v>-203.8617413</v>
      </c>
      <c r="Q115" s="27">
        <f t="shared" si="15"/>
        <v>406.8626631</v>
      </c>
      <c r="R115" s="26"/>
      <c r="S115" s="14">
        <f t="shared" si="13"/>
        <v>2.07875574</v>
      </c>
      <c r="U115" s="21"/>
      <c r="V115" s="21"/>
    </row>
    <row r="116">
      <c r="A116" s="11">
        <v>104.0</v>
      </c>
      <c r="B116" s="11">
        <v>1.41984782608695E9</v>
      </c>
      <c r="C116" s="2">
        <v>-102.342041</v>
      </c>
      <c r="D116" s="24">
        <f t="shared" si="1"/>
        <v>-552173.913</v>
      </c>
      <c r="E116" s="25">
        <f t="shared" si="2"/>
        <v>115.7053126</v>
      </c>
      <c r="F116" s="24">
        <f t="shared" si="3"/>
        <v>0.0002095450544</v>
      </c>
      <c r="G116" s="24">
        <f t="shared" si="4"/>
        <v>0</v>
      </c>
      <c r="H116" s="26">
        <f t="shared" si="5"/>
        <v>0</v>
      </c>
      <c r="I116" s="24">
        <f t="shared" si="6"/>
        <v>0</v>
      </c>
      <c r="J116" s="24">
        <f t="shared" si="7"/>
        <v>0</v>
      </c>
      <c r="K116" s="24"/>
      <c r="L116" s="24">
        <f t="shared" si="8"/>
        <v>443.5086223</v>
      </c>
      <c r="M116" s="14">
        <f t="shared" si="9"/>
        <v>442.828679</v>
      </c>
      <c r="N116" s="27">
        <f t="shared" si="10"/>
        <v>0.6799432622</v>
      </c>
      <c r="O116" s="24"/>
      <c r="P116" s="28">
        <f t="shared" si="14"/>
        <v>-204.7800375</v>
      </c>
      <c r="Q116" s="27">
        <f t="shared" si="15"/>
        <v>410.5033517</v>
      </c>
      <c r="R116" s="26"/>
      <c r="S116" s="14">
        <f t="shared" si="13"/>
        <v>0.6243892682</v>
      </c>
      <c r="U116" s="21"/>
      <c r="V116" s="21"/>
    </row>
    <row r="117">
      <c r="A117" s="11">
        <v>105.0</v>
      </c>
      <c r="B117" s="11">
        <v>1.41985217391304E9</v>
      </c>
      <c r="C117" s="2">
        <v>-102.3144989</v>
      </c>
      <c r="D117" s="24">
        <f t="shared" si="1"/>
        <v>-547826.087</v>
      </c>
      <c r="E117" s="25">
        <f t="shared" si="2"/>
        <v>114.7870165</v>
      </c>
      <c r="F117" s="24">
        <f t="shared" si="3"/>
        <v>0.0002095318555</v>
      </c>
      <c r="G117" s="24">
        <f t="shared" si="4"/>
        <v>0</v>
      </c>
      <c r="H117" s="26">
        <f t="shared" si="5"/>
        <v>0</v>
      </c>
      <c r="I117" s="24">
        <f t="shared" si="6"/>
        <v>0</v>
      </c>
      <c r="J117" s="24">
        <f t="shared" si="7"/>
        <v>0</v>
      </c>
      <c r="K117" s="24"/>
      <c r="L117" s="24">
        <f t="shared" si="8"/>
        <v>446.330204</v>
      </c>
      <c r="M117" s="14">
        <f t="shared" si="9"/>
        <v>442.7591596</v>
      </c>
      <c r="N117" s="27">
        <f t="shared" si="10"/>
        <v>3.571044472</v>
      </c>
      <c r="O117" s="24"/>
      <c r="P117" s="28">
        <f t="shared" si="14"/>
        <v>-205.6983336</v>
      </c>
      <c r="Q117" s="27">
        <f t="shared" si="15"/>
        <v>419.8732313</v>
      </c>
      <c r="R117" s="26"/>
      <c r="S117" s="14">
        <f t="shared" si="13"/>
        <v>3.279276321</v>
      </c>
      <c r="U117" s="21"/>
      <c r="V117" s="21"/>
    </row>
    <row r="118">
      <c r="A118" s="11">
        <v>106.0</v>
      </c>
      <c r="B118" s="11">
        <v>1.41985652173913E9</v>
      </c>
      <c r="C118" s="2">
        <v>-102.3347321</v>
      </c>
      <c r="D118" s="24">
        <f t="shared" si="1"/>
        <v>-543478.2609</v>
      </c>
      <c r="E118" s="25">
        <f t="shared" si="2"/>
        <v>113.8687204</v>
      </c>
      <c r="F118" s="24">
        <f t="shared" si="3"/>
        <v>0.0002095184455</v>
      </c>
      <c r="G118" s="24">
        <f t="shared" si="4"/>
        <v>0</v>
      </c>
      <c r="H118" s="26">
        <f t="shared" si="5"/>
        <v>0</v>
      </c>
      <c r="I118" s="24">
        <f t="shared" si="6"/>
        <v>0</v>
      </c>
      <c r="J118" s="24">
        <f t="shared" si="7"/>
        <v>0</v>
      </c>
      <c r="K118" s="24"/>
      <c r="L118" s="24">
        <f t="shared" si="8"/>
        <v>444.2556475</v>
      </c>
      <c r="M118" s="14">
        <f t="shared" si="9"/>
        <v>442.6896108</v>
      </c>
      <c r="N118" s="27">
        <f t="shared" si="10"/>
        <v>1.56603667</v>
      </c>
      <c r="O118" s="24"/>
      <c r="P118" s="28">
        <f t="shared" si="14"/>
        <v>-206.6166297</v>
      </c>
      <c r="Q118" s="27">
        <f t="shared" si="15"/>
        <v>413.7039499</v>
      </c>
      <c r="R118" s="26"/>
      <c r="S118" s="14">
        <f t="shared" si="13"/>
        <v>1.438085418</v>
      </c>
      <c r="U118" s="21"/>
      <c r="V118" s="21"/>
    </row>
    <row r="119">
      <c r="A119" s="11">
        <v>107.0</v>
      </c>
      <c r="B119" s="11">
        <v>1.41986086956521E9</v>
      </c>
      <c r="C119" s="2">
        <v>-102.314743</v>
      </c>
      <c r="D119" s="24">
        <f t="shared" si="1"/>
        <v>-539130.4348</v>
      </c>
      <c r="E119" s="25">
        <f t="shared" si="2"/>
        <v>112.9504243</v>
      </c>
      <c r="F119" s="24">
        <f t="shared" si="3"/>
        <v>0.0002095048192</v>
      </c>
      <c r="G119" s="24">
        <f t="shared" si="4"/>
        <v>0</v>
      </c>
      <c r="H119" s="26">
        <f t="shared" si="5"/>
        <v>0</v>
      </c>
      <c r="I119" s="24">
        <f t="shared" si="6"/>
        <v>0</v>
      </c>
      <c r="J119" s="24">
        <f t="shared" si="7"/>
        <v>0</v>
      </c>
      <c r="K119" s="24"/>
      <c r="L119" s="24">
        <f t="shared" si="8"/>
        <v>446.3051182</v>
      </c>
      <c r="M119" s="14">
        <f t="shared" si="9"/>
        <v>442.620032</v>
      </c>
      <c r="N119" s="27">
        <f t="shared" si="10"/>
        <v>3.68508622</v>
      </c>
      <c r="O119" s="24"/>
      <c r="P119" s="28">
        <f t="shared" si="14"/>
        <v>-207.5349259</v>
      </c>
      <c r="Q119" s="27">
        <f t="shared" si="15"/>
        <v>411.6096304</v>
      </c>
      <c r="R119" s="26"/>
      <c r="S119" s="14">
        <f t="shared" si="13"/>
        <v>3.384000425</v>
      </c>
      <c r="U119" s="21"/>
      <c r="V119" s="21"/>
    </row>
    <row r="120">
      <c r="A120" s="11">
        <v>108.0</v>
      </c>
      <c r="B120" s="11">
        <v>1.4198652173913E9</v>
      </c>
      <c r="C120" s="2">
        <v>-102.3358536</v>
      </c>
      <c r="D120" s="24">
        <f t="shared" si="1"/>
        <v>-534782.6087</v>
      </c>
      <c r="E120" s="25">
        <f t="shared" si="2"/>
        <v>112.0321281</v>
      </c>
      <c r="F120" s="24">
        <f t="shared" si="3"/>
        <v>0.0002094909713</v>
      </c>
      <c r="G120" s="24">
        <f t="shared" si="4"/>
        <v>0</v>
      </c>
      <c r="H120" s="26">
        <f t="shared" si="5"/>
        <v>0</v>
      </c>
      <c r="I120" s="24">
        <f t="shared" si="6"/>
        <v>0</v>
      </c>
      <c r="J120" s="24">
        <f t="shared" si="7"/>
        <v>0</v>
      </c>
      <c r="K120" s="24"/>
      <c r="L120" s="24">
        <f t="shared" si="8"/>
        <v>444.14094</v>
      </c>
      <c r="M120" s="14">
        <f t="shared" si="9"/>
        <v>442.5504224</v>
      </c>
      <c r="N120" s="27">
        <f t="shared" si="10"/>
        <v>1.590517611</v>
      </c>
      <c r="O120" s="24"/>
      <c r="P120" s="28">
        <f t="shared" si="14"/>
        <v>-208.453222</v>
      </c>
      <c r="Q120" s="27">
        <f t="shared" si="15"/>
        <v>407.0571217</v>
      </c>
      <c r="R120" s="26"/>
      <c r="S120" s="14">
        <f t="shared" si="13"/>
        <v>1.460566168</v>
      </c>
      <c r="U120" s="21"/>
      <c r="V120" s="21"/>
    </row>
    <row r="121">
      <c r="A121" s="11">
        <v>109.0</v>
      </c>
      <c r="B121" s="11">
        <v>1.41986956521739E9</v>
      </c>
      <c r="C121" s="2">
        <v>-102.3527451</v>
      </c>
      <c r="D121" s="24">
        <f t="shared" si="1"/>
        <v>-530434.7826</v>
      </c>
      <c r="E121" s="25">
        <f t="shared" si="2"/>
        <v>111.113832</v>
      </c>
      <c r="F121" s="24">
        <f t="shared" si="3"/>
        <v>0.0002094768964</v>
      </c>
      <c r="G121" s="24">
        <f t="shared" si="4"/>
        <v>0</v>
      </c>
      <c r="H121" s="26">
        <f t="shared" si="5"/>
        <v>0</v>
      </c>
      <c r="I121" s="24">
        <f t="shared" si="6"/>
        <v>0</v>
      </c>
      <c r="J121" s="24">
        <f t="shared" si="7"/>
        <v>0</v>
      </c>
      <c r="K121" s="24"/>
      <c r="L121" s="24">
        <f t="shared" si="8"/>
        <v>442.4168481</v>
      </c>
      <c r="M121" s="14">
        <f t="shared" si="9"/>
        <v>442.4807811</v>
      </c>
      <c r="N121" s="27">
        <f t="shared" si="10"/>
        <v>-0.06393299501</v>
      </c>
      <c r="O121" s="24"/>
      <c r="P121" s="28">
        <f t="shared" si="14"/>
        <v>-209.3715181</v>
      </c>
      <c r="Q121" s="27">
        <f t="shared" si="15"/>
        <v>409.4820392</v>
      </c>
      <c r="R121" s="26"/>
      <c r="S121" s="14">
        <f t="shared" si="13"/>
        <v>-0.05870942207</v>
      </c>
      <c r="U121" s="21"/>
      <c r="V121" s="21"/>
    </row>
    <row r="122">
      <c r="A122" s="11">
        <v>110.0</v>
      </c>
      <c r="B122" s="11">
        <v>1.41987391304347E9</v>
      </c>
      <c r="C122" s="2">
        <v>-102.3428574</v>
      </c>
      <c r="D122" s="24">
        <f t="shared" si="1"/>
        <v>-526086.9565</v>
      </c>
      <c r="E122" s="25">
        <f t="shared" si="2"/>
        <v>110.1955359</v>
      </c>
      <c r="F122" s="24">
        <f t="shared" si="3"/>
        <v>0.0002094625888</v>
      </c>
      <c r="G122" s="24">
        <f t="shared" si="4"/>
        <v>0</v>
      </c>
      <c r="H122" s="26">
        <f t="shared" si="5"/>
        <v>0</v>
      </c>
      <c r="I122" s="24">
        <f t="shared" si="6"/>
        <v>0</v>
      </c>
      <c r="J122" s="24">
        <f t="shared" si="7"/>
        <v>0</v>
      </c>
      <c r="K122" s="24"/>
      <c r="L122" s="24">
        <f t="shared" si="8"/>
        <v>443.425258</v>
      </c>
      <c r="M122" s="14">
        <f t="shared" si="9"/>
        <v>442.4111073</v>
      </c>
      <c r="N122" s="27">
        <f t="shared" si="10"/>
        <v>1.014150646</v>
      </c>
      <c r="O122" s="24"/>
      <c r="P122" s="28">
        <f t="shared" si="14"/>
        <v>-210.2898143</v>
      </c>
      <c r="Q122" s="27">
        <f t="shared" si="15"/>
        <v>410.0932277</v>
      </c>
      <c r="R122" s="26"/>
      <c r="S122" s="14">
        <f t="shared" si="13"/>
        <v>0.9312906167</v>
      </c>
      <c r="U122" s="21"/>
      <c r="V122" s="21"/>
    </row>
    <row r="123">
      <c r="A123" s="11">
        <v>111.0</v>
      </c>
      <c r="B123" s="11">
        <v>1.41987826086956E9</v>
      </c>
      <c r="C123" s="2">
        <v>-102.3099213</v>
      </c>
      <c r="D123" s="24">
        <f t="shared" si="1"/>
        <v>-521739.1304</v>
      </c>
      <c r="E123" s="25">
        <f t="shared" si="2"/>
        <v>109.2772397</v>
      </c>
      <c r="F123" s="24">
        <f t="shared" si="3"/>
        <v>0.0002094480428</v>
      </c>
      <c r="G123" s="24">
        <f t="shared" si="4"/>
        <v>0</v>
      </c>
      <c r="H123" s="26">
        <f t="shared" si="5"/>
        <v>0</v>
      </c>
      <c r="I123" s="24">
        <f t="shared" si="6"/>
        <v>0</v>
      </c>
      <c r="J123" s="24">
        <f t="shared" si="7"/>
        <v>0</v>
      </c>
      <c r="K123" s="24"/>
      <c r="L123" s="24">
        <f t="shared" si="8"/>
        <v>446.8008981</v>
      </c>
      <c r="M123" s="14">
        <f t="shared" si="9"/>
        <v>442.3414004</v>
      </c>
      <c r="N123" s="27">
        <f t="shared" si="10"/>
        <v>4.459497672</v>
      </c>
      <c r="O123" s="24"/>
      <c r="P123" s="28">
        <f t="shared" si="14"/>
        <v>-211.2081104</v>
      </c>
      <c r="Q123" s="27">
        <f t="shared" si="15"/>
        <v>406.1035981</v>
      </c>
      <c r="R123" s="26"/>
      <c r="S123" s="14">
        <f t="shared" si="13"/>
        <v>4.095139457</v>
      </c>
      <c r="U123" s="21"/>
      <c r="V123" s="21"/>
    </row>
    <row r="124">
      <c r="A124" s="11">
        <v>112.0</v>
      </c>
      <c r="B124" s="11">
        <v>1.41988260869565E9</v>
      </c>
      <c r="C124" s="2">
        <v>-102.3397903</v>
      </c>
      <c r="D124" s="24">
        <f t="shared" si="1"/>
        <v>-517391.3043</v>
      </c>
      <c r="E124" s="25">
        <f t="shared" si="2"/>
        <v>108.3589436</v>
      </c>
      <c r="F124" s="24">
        <f t="shared" si="3"/>
        <v>0.0002094332523</v>
      </c>
      <c r="G124" s="24">
        <f t="shared" si="4"/>
        <v>0</v>
      </c>
      <c r="H124" s="26">
        <f t="shared" si="5"/>
        <v>0</v>
      </c>
      <c r="I124" s="24">
        <f t="shared" si="6"/>
        <v>0</v>
      </c>
      <c r="J124" s="24">
        <f t="shared" si="7"/>
        <v>0</v>
      </c>
      <c r="K124" s="24"/>
      <c r="L124" s="24">
        <f t="shared" si="8"/>
        <v>443.738527</v>
      </c>
      <c r="M124" s="14">
        <f t="shared" si="9"/>
        <v>442.2716594</v>
      </c>
      <c r="N124" s="27">
        <f t="shared" si="10"/>
        <v>1.466867546</v>
      </c>
      <c r="O124" s="24"/>
      <c r="P124" s="28"/>
      <c r="Q124" s="27"/>
      <c r="R124" s="26"/>
      <c r="S124" s="14">
        <f t="shared" si="13"/>
        <v>1.347018795</v>
      </c>
      <c r="U124" s="21"/>
      <c r="V124" s="21"/>
    </row>
    <row r="125">
      <c r="A125" s="11">
        <v>113.0</v>
      </c>
      <c r="B125" s="11">
        <v>1.41988695652173E9</v>
      </c>
      <c r="C125" s="2">
        <v>-102.3408127</v>
      </c>
      <c r="D125" s="24">
        <f t="shared" si="1"/>
        <v>-513043.4783</v>
      </c>
      <c r="E125" s="25">
        <f t="shared" si="2"/>
        <v>107.4406475</v>
      </c>
      <c r="F125" s="24">
        <f t="shared" si="3"/>
        <v>0.0002094182111</v>
      </c>
      <c r="G125" s="24">
        <f t="shared" si="4"/>
        <v>0</v>
      </c>
      <c r="H125" s="26">
        <f t="shared" si="5"/>
        <v>0</v>
      </c>
      <c r="I125" s="24">
        <f t="shared" si="6"/>
        <v>0</v>
      </c>
      <c r="J125" s="24">
        <f t="shared" si="7"/>
        <v>0</v>
      </c>
      <c r="K125" s="24"/>
      <c r="L125" s="24">
        <f t="shared" si="8"/>
        <v>443.634076</v>
      </c>
      <c r="M125" s="14">
        <f t="shared" si="9"/>
        <v>442.2018837</v>
      </c>
      <c r="N125" s="27">
        <f t="shared" si="10"/>
        <v>1.432192308</v>
      </c>
      <c r="O125" s="24"/>
      <c r="P125" s="24"/>
      <c r="Q125" s="24"/>
      <c r="R125" s="26"/>
      <c r="S125" s="14">
        <f t="shared" si="13"/>
        <v>1.315176658</v>
      </c>
      <c r="U125" s="21"/>
      <c r="V125" s="21"/>
    </row>
    <row r="126">
      <c r="A126" s="11">
        <v>114.0</v>
      </c>
      <c r="B126" s="11">
        <v>1.41989130434782E9</v>
      </c>
      <c r="C126" s="2">
        <v>-102.4159241</v>
      </c>
      <c r="D126" s="24">
        <f t="shared" si="1"/>
        <v>-508695.6522</v>
      </c>
      <c r="E126" s="25">
        <f t="shared" si="2"/>
        <v>106.5223513</v>
      </c>
      <c r="F126" s="24">
        <f t="shared" si="3"/>
        <v>0.0002094029129</v>
      </c>
      <c r="G126" s="24">
        <f t="shared" si="4"/>
        <v>0</v>
      </c>
      <c r="H126" s="26">
        <f t="shared" si="5"/>
        <v>0</v>
      </c>
      <c r="I126" s="24">
        <f t="shared" si="6"/>
        <v>0</v>
      </c>
      <c r="J126" s="24">
        <f t="shared" si="7"/>
        <v>0</v>
      </c>
      <c r="K126" s="24"/>
      <c r="L126" s="24">
        <f t="shared" si="8"/>
        <v>436.0273761</v>
      </c>
      <c r="M126" s="14">
        <f t="shared" si="9"/>
        <v>442.1320724</v>
      </c>
      <c r="N126" s="27">
        <f t="shared" si="10"/>
        <v>-6.104696312</v>
      </c>
      <c r="O126" s="24"/>
      <c r="P126" s="24"/>
      <c r="Q126" s="24"/>
      <c r="R126" s="26"/>
      <c r="S126" s="14">
        <f t="shared" si="13"/>
        <v>-5.605919015</v>
      </c>
      <c r="U126" s="21"/>
      <c r="V126" s="21"/>
    </row>
    <row r="127">
      <c r="A127" s="11">
        <v>115.0</v>
      </c>
      <c r="B127" s="11">
        <v>1.41989565217391E9</v>
      </c>
      <c r="C127" s="2">
        <v>-102.3746796</v>
      </c>
      <c r="D127" s="24">
        <f t="shared" si="1"/>
        <v>-504347.8261</v>
      </c>
      <c r="E127" s="25">
        <f t="shared" si="2"/>
        <v>105.6040552</v>
      </c>
      <c r="F127" s="24">
        <f t="shared" si="3"/>
        <v>0.0002093873508</v>
      </c>
      <c r="G127" s="24">
        <f t="shared" si="4"/>
        <v>0</v>
      </c>
      <c r="H127" s="26">
        <f t="shared" si="5"/>
        <v>0</v>
      </c>
      <c r="I127" s="24">
        <f t="shared" si="6"/>
        <v>0</v>
      </c>
      <c r="J127" s="24">
        <f t="shared" si="7"/>
        <v>0</v>
      </c>
      <c r="K127" s="24"/>
      <c r="L127" s="24">
        <f t="shared" si="8"/>
        <v>440.1880085</v>
      </c>
      <c r="M127" s="14">
        <f t="shared" si="9"/>
        <v>442.0622247</v>
      </c>
      <c r="N127" s="27">
        <f t="shared" si="10"/>
        <v>-1.874216216</v>
      </c>
      <c r="O127" s="24"/>
      <c r="P127" s="24"/>
      <c r="Q127" s="24"/>
      <c r="R127" s="26"/>
      <c r="S127" s="14">
        <f t="shared" si="13"/>
        <v>-1.721085499</v>
      </c>
      <c r="U127" s="21"/>
      <c r="V127" s="21"/>
    </row>
    <row r="128">
      <c r="A128" s="11">
        <v>116.0</v>
      </c>
      <c r="B128" s="11">
        <v>1.4199E9</v>
      </c>
      <c r="C128" s="2">
        <v>-102.3703995</v>
      </c>
      <c r="D128" s="24">
        <f t="shared" si="1"/>
        <v>-500000</v>
      </c>
      <c r="E128" s="25">
        <f t="shared" si="2"/>
        <v>104.6857591</v>
      </c>
      <c r="F128" s="24">
        <f t="shared" si="3"/>
        <v>0.0002093715181</v>
      </c>
      <c r="G128" s="24">
        <f t="shared" si="4"/>
        <v>0</v>
      </c>
      <c r="H128" s="26">
        <f t="shared" si="5"/>
        <v>0</v>
      </c>
      <c r="I128" s="24">
        <f t="shared" si="6"/>
        <v>0</v>
      </c>
      <c r="J128" s="24">
        <f t="shared" si="7"/>
        <v>0</v>
      </c>
      <c r="K128" s="24"/>
      <c r="L128" s="24">
        <f t="shared" si="8"/>
        <v>440.6220405</v>
      </c>
      <c r="M128" s="14">
        <f t="shared" si="9"/>
        <v>441.9923398</v>
      </c>
      <c r="N128" s="27">
        <f t="shared" si="10"/>
        <v>-1.370299275</v>
      </c>
      <c r="O128" s="24"/>
      <c r="P128" s="24"/>
      <c r="Q128" s="24"/>
      <c r="R128" s="26"/>
      <c r="S128" s="14">
        <f t="shared" si="13"/>
        <v>-1.258340525</v>
      </c>
      <c r="U128" s="21"/>
      <c r="V128" s="21"/>
    </row>
    <row r="129">
      <c r="A129" s="11">
        <v>117.0</v>
      </c>
      <c r="B129" s="11">
        <v>1.41990434782608E9</v>
      </c>
      <c r="C129" s="2">
        <v>-102.3449326</v>
      </c>
      <c r="D129" s="24">
        <f t="shared" si="1"/>
        <v>-495652.1739</v>
      </c>
      <c r="E129" s="25">
        <f t="shared" si="2"/>
        <v>103.7674629</v>
      </c>
      <c r="F129" s="24">
        <f t="shared" si="3"/>
        <v>0.0002093554077</v>
      </c>
      <c r="G129" s="24">
        <f t="shared" si="4"/>
        <v>0</v>
      </c>
      <c r="H129" s="26">
        <f t="shared" si="5"/>
        <v>0</v>
      </c>
      <c r="I129" s="24">
        <f t="shared" si="6"/>
        <v>0</v>
      </c>
      <c r="J129" s="24">
        <f t="shared" si="7"/>
        <v>0</v>
      </c>
      <c r="K129" s="24"/>
      <c r="L129" s="24">
        <f t="shared" si="8"/>
        <v>443.2134256</v>
      </c>
      <c r="M129" s="14">
        <f t="shared" si="9"/>
        <v>441.922417</v>
      </c>
      <c r="N129" s="27">
        <f t="shared" si="10"/>
        <v>1.29100862</v>
      </c>
      <c r="O129" s="24"/>
      <c r="P129" s="24"/>
      <c r="Q129" s="24"/>
      <c r="R129" s="26"/>
      <c r="S129" s="14">
        <f t="shared" si="13"/>
        <v>1.185528223</v>
      </c>
      <c r="U129" s="21"/>
      <c r="V129" s="21"/>
    </row>
    <row r="130">
      <c r="A130" s="11">
        <v>118.0</v>
      </c>
      <c r="B130" s="11">
        <v>1.41990869565217E9</v>
      </c>
      <c r="C130" s="2">
        <v>-102.323349</v>
      </c>
      <c r="D130" s="24">
        <f t="shared" si="1"/>
        <v>-491304.3478</v>
      </c>
      <c r="E130" s="25">
        <f t="shared" si="2"/>
        <v>102.8491668</v>
      </c>
      <c r="F130" s="24">
        <f t="shared" si="3"/>
        <v>0.0002093390121</v>
      </c>
      <c r="G130" s="24">
        <f t="shared" si="4"/>
        <v>0</v>
      </c>
      <c r="H130" s="26">
        <f t="shared" si="5"/>
        <v>0</v>
      </c>
      <c r="I130" s="24">
        <f t="shared" si="6"/>
        <v>0</v>
      </c>
      <c r="J130" s="24">
        <f t="shared" si="7"/>
        <v>0</v>
      </c>
      <c r="K130" s="24"/>
      <c r="L130" s="24">
        <f t="shared" si="8"/>
        <v>445.4215936</v>
      </c>
      <c r="M130" s="14">
        <f t="shared" si="9"/>
        <v>441.8524555</v>
      </c>
      <c r="N130" s="27">
        <f t="shared" si="10"/>
        <v>3.569138127</v>
      </c>
      <c r="O130" s="24"/>
      <c r="P130" s="24"/>
      <c r="Q130" s="24"/>
      <c r="R130" s="26"/>
      <c r="S130" s="14">
        <f t="shared" si="13"/>
        <v>3.277525732</v>
      </c>
      <c r="U130" s="21"/>
      <c r="V130" s="21"/>
    </row>
    <row r="131">
      <c r="A131" s="11">
        <v>119.0</v>
      </c>
      <c r="B131" s="11">
        <v>1.41991304347826E9</v>
      </c>
      <c r="C131" s="2">
        <v>-102.3211365</v>
      </c>
      <c r="D131" s="24">
        <f t="shared" si="1"/>
        <v>-486956.5217</v>
      </c>
      <c r="E131" s="25">
        <f t="shared" si="2"/>
        <v>101.9308707</v>
      </c>
      <c r="F131" s="24">
        <f t="shared" si="3"/>
        <v>0.0002093223237</v>
      </c>
      <c r="G131" s="24">
        <f t="shared" si="4"/>
        <v>0</v>
      </c>
      <c r="H131" s="26">
        <f t="shared" si="5"/>
        <v>0</v>
      </c>
      <c r="I131" s="24">
        <f t="shared" si="6"/>
        <v>0</v>
      </c>
      <c r="J131" s="24">
        <f t="shared" si="7"/>
        <v>0</v>
      </c>
      <c r="K131" s="24"/>
      <c r="L131" s="24">
        <f t="shared" si="8"/>
        <v>445.6485701</v>
      </c>
      <c r="M131" s="14">
        <f t="shared" si="9"/>
        <v>441.7824544</v>
      </c>
      <c r="N131" s="27">
        <f t="shared" si="10"/>
        <v>3.866115664</v>
      </c>
      <c r="O131" s="24"/>
      <c r="P131" s="24"/>
      <c r="Q131" s="24"/>
      <c r="R131" s="26"/>
      <c r="S131" s="14">
        <f t="shared" si="13"/>
        <v>3.550239063</v>
      </c>
      <c r="U131" s="21"/>
      <c r="V131" s="21"/>
    </row>
    <row r="132">
      <c r="A132" s="11">
        <v>120.0</v>
      </c>
      <c r="B132" s="11">
        <v>1.41991739130434E9</v>
      </c>
      <c r="C132" s="2">
        <v>-102.3317032</v>
      </c>
      <c r="D132" s="24">
        <f t="shared" si="1"/>
        <v>-482608.6957</v>
      </c>
      <c r="E132" s="25">
        <f t="shared" si="2"/>
        <v>101.0125745</v>
      </c>
      <c r="F132" s="24">
        <f t="shared" si="3"/>
        <v>0.0002093053346</v>
      </c>
      <c r="G132" s="24">
        <f t="shared" si="4"/>
        <v>0</v>
      </c>
      <c r="H132" s="26">
        <f t="shared" si="5"/>
        <v>0</v>
      </c>
      <c r="I132" s="24">
        <f t="shared" si="6"/>
        <v>0</v>
      </c>
      <c r="J132" s="24">
        <f t="shared" si="7"/>
        <v>0</v>
      </c>
      <c r="K132" s="24"/>
      <c r="L132" s="24">
        <f t="shared" si="8"/>
        <v>444.5655928</v>
      </c>
      <c r="M132" s="14">
        <f t="shared" si="9"/>
        <v>441.7124131</v>
      </c>
      <c r="N132" s="27">
        <f t="shared" si="10"/>
        <v>2.853179718</v>
      </c>
      <c r="O132" s="24"/>
      <c r="P132" s="24"/>
      <c r="Q132" s="24"/>
      <c r="R132" s="26"/>
      <c r="S132" s="14">
        <f t="shared" si="13"/>
        <v>2.620063901</v>
      </c>
      <c r="U132" s="21"/>
      <c r="V132" s="21"/>
    </row>
    <row r="133">
      <c r="A133" s="11">
        <v>121.0</v>
      </c>
      <c r="B133" s="11">
        <v>1.41992173913043E9</v>
      </c>
      <c r="C133" s="2">
        <v>-102.3619003</v>
      </c>
      <c r="D133" s="24">
        <f t="shared" si="1"/>
        <v>-478260.8696</v>
      </c>
      <c r="E133" s="25">
        <f t="shared" si="2"/>
        <v>100.0942784</v>
      </c>
      <c r="F133" s="24">
        <f t="shared" si="3"/>
        <v>0.0002092880367</v>
      </c>
      <c r="G133" s="24">
        <f t="shared" si="4"/>
        <v>0</v>
      </c>
      <c r="H133" s="26">
        <f t="shared" si="5"/>
        <v>0</v>
      </c>
      <c r="I133" s="24">
        <f t="shared" si="6"/>
        <v>0</v>
      </c>
      <c r="J133" s="24">
        <f t="shared" si="7"/>
        <v>0</v>
      </c>
      <c r="K133" s="24"/>
      <c r="L133" s="24">
        <f t="shared" si="8"/>
        <v>441.485188</v>
      </c>
      <c r="M133" s="14">
        <f t="shared" si="9"/>
        <v>441.6423306</v>
      </c>
      <c r="N133" s="27">
        <f t="shared" si="10"/>
        <v>-0.1571426399</v>
      </c>
      <c r="O133" s="24"/>
      <c r="P133" s="24"/>
      <c r="Q133" s="24"/>
      <c r="R133" s="26"/>
      <c r="S133" s="14">
        <f t="shared" si="13"/>
        <v>-0.1443034782</v>
      </c>
      <c r="U133" s="21"/>
      <c r="V133" s="21"/>
    </row>
    <row r="134">
      <c r="A134" s="11">
        <v>122.0</v>
      </c>
      <c r="B134" s="11">
        <v>1.41992608695652E9</v>
      </c>
      <c r="C134" s="2">
        <v>-102.3088684</v>
      </c>
      <c r="D134" s="24">
        <f t="shared" si="1"/>
        <v>-473913.0435</v>
      </c>
      <c r="E134" s="25">
        <f t="shared" si="2"/>
        <v>99.17598227</v>
      </c>
      <c r="F134" s="24">
        <f t="shared" si="3"/>
        <v>0.0002092704213</v>
      </c>
      <c r="G134" s="24">
        <f t="shared" si="4"/>
        <v>0</v>
      </c>
      <c r="H134" s="26">
        <f t="shared" si="5"/>
        <v>0</v>
      </c>
      <c r="I134" s="24">
        <f t="shared" si="6"/>
        <v>0</v>
      </c>
      <c r="J134" s="24">
        <f t="shared" si="7"/>
        <v>0</v>
      </c>
      <c r="K134" s="24"/>
      <c r="L134" s="24">
        <f t="shared" si="8"/>
        <v>446.9092333</v>
      </c>
      <c r="M134" s="14">
        <f t="shared" si="9"/>
        <v>441.5722063</v>
      </c>
      <c r="N134" s="27">
        <f t="shared" si="10"/>
        <v>5.337026976</v>
      </c>
      <c r="O134" s="24"/>
      <c r="P134" s="24"/>
      <c r="Q134" s="24"/>
      <c r="R134" s="26"/>
      <c r="S134" s="14">
        <f t="shared" si="13"/>
        <v>4.900971233</v>
      </c>
      <c r="U134" s="21"/>
      <c r="V134" s="21"/>
    </row>
    <row r="135">
      <c r="A135" s="11">
        <v>123.0</v>
      </c>
      <c r="B135" s="11">
        <v>1.4199304347826E9</v>
      </c>
      <c r="C135" s="2">
        <v>-102.3153915</v>
      </c>
      <c r="D135" s="24">
        <f t="shared" si="1"/>
        <v>-469565.2174</v>
      </c>
      <c r="E135" s="25">
        <f t="shared" si="2"/>
        <v>98.25768614</v>
      </c>
      <c r="F135" s="24">
        <f t="shared" si="3"/>
        <v>0.0002092524797</v>
      </c>
      <c r="G135" s="24">
        <f t="shared" si="4"/>
        <v>0</v>
      </c>
      <c r="H135" s="26">
        <f t="shared" si="5"/>
        <v>0</v>
      </c>
      <c r="I135" s="24">
        <f t="shared" si="6"/>
        <v>0</v>
      </c>
      <c r="J135" s="24">
        <f t="shared" si="7"/>
        <v>0</v>
      </c>
      <c r="K135" s="24"/>
      <c r="L135" s="24">
        <f t="shared" si="8"/>
        <v>446.2384798</v>
      </c>
      <c r="M135" s="14">
        <f t="shared" si="9"/>
        <v>441.5020393</v>
      </c>
      <c r="N135" s="27">
        <f t="shared" si="10"/>
        <v>4.736440496</v>
      </c>
      <c r="O135" s="24"/>
      <c r="P135" s="24"/>
      <c r="Q135" s="24"/>
      <c r="R135" s="26"/>
      <c r="S135" s="14">
        <f t="shared" si="13"/>
        <v>4.34945499</v>
      </c>
      <c r="U135" s="21"/>
      <c r="V135" s="21"/>
    </row>
    <row r="136">
      <c r="A136" s="11">
        <v>124.0</v>
      </c>
      <c r="B136" s="11">
        <v>1.41993478260869E9</v>
      </c>
      <c r="C136" s="2">
        <v>-102.3232727</v>
      </c>
      <c r="D136" s="24">
        <f t="shared" si="1"/>
        <v>-465217.3913</v>
      </c>
      <c r="E136" s="25">
        <f t="shared" si="2"/>
        <v>97.33939001</v>
      </c>
      <c r="F136" s="24">
        <f t="shared" si="3"/>
        <v>0.0002092342028</v>
      </c>
      <c r="G136" s="24">
        <f t="shared" si="4"/>
        <v>0</v>
      </c>
      <c r="H136" s="26">
        <f t="shared" si="5"/>
        <v>0</v>
      </c>
      <c r="I136" s="24">
        <f t="shared" si="6"/>
        <v>0</v>
      </c>
      <c r="J136" s="24">
        <f t="shared" si="7"/>
        <v>0</v>
      </c>
      <c r="K136" s="24"/>
      <c r="L136" s="24">
        <f t="shared" si="8"/>
        <v>445.4294192</v>
      </c>
      <c r="M136" s="14">
        <f t="shared" si="9"/>
        <v>441.4318288</v>
      </c>
      <c r="N136" s="27">
        <f t="shared" si="10"/>
        <v>3.997590354</v>
      </c>
      <c r="O136" s="24"/>
      <c r="P136" s="24"/>
      <c r="Q136" s="24"/>
      <c r="R136" s="26"/>
      <c r="S136" s="14">
        <f t="shared" si="13"/>
        <v>3.670971763</v>
      </c>
      <c r="U136" s="21"/>
      <c r="V136" s="21"/>
    </row>
    <row r="137">
      <c r="A137" s="11">
        <v>125.0</v>
      </c>
      <c r="B137" s="11">
        <v>1.41993913043478E9</v>
      </c>
      <c r="C137" s="2">
        <v>-102.3224792</v>
      </c>
      <c r="D137" s="24">
        <f t="shared" si="1"/>
        <v>-460869.5652</v>
      </c>
      <c r="E137" s="25">
        <f t="shared" si="2"/>
        <v>96.42109387</v>
      </c>
      <c r="F137" s="24">
        <f t="shared" si="3"/>
        <v>0.000209215581</v>
      </c>
      <c r="G137" s="24">
        <f t="shared" si="4"/>
        <v>0</v>
      </c>
      <c r="H137" s="26">
        <f t="shared" si="5"/>
        <v>0</v>
      </c>
      <c r="I137" s="24">
        <f t="shared" si="6"/>
        <v>0</v>
      </c>
      <c r="J137" s="24">
        <f t="shared" si="7"/>
        <v>0</v>
      </c>
      <c r="K137" s="24"/>
      <c r="L137" s="24">
        <f t="shared" si="8"/>
        <v>445.5108111</v>
      </c>
      <c r="M137" s="14">
        <f t="shared" si="9"/>
        <v>441.3615741</v>
      </c>
      <c r="N137" s="27">
        <f t="shared" si="10"/>
        <v>4.149236962</v>
      </c>
      <c r="O137" s="24"/>
      <c r="P137" s="24"/>
      <c r="Q137" s="24"/>
      <c r="R137" s="26"/>
      <c r="S137" s="14">
        <f t="shared" si="13"/>
        <v>3.810228248</v>
      </c>
      <c r="U137" s="21"/>
      <c r="V137" s="21"/>
    </row>
    <row r="138">
      <c r="A138" s="11">
        <v>126.0</v>
      </c>
      <c r="B138" s="11">
        <v>1.41994347826087E9</v>
      </c>
      <c r="C138" s="2">
        <v>-102.2995071</v>
      </c>
      <c r="D138" s="24">
        <f t="shared" si="1"/>
        <v>-456521.7391</v>
      </c>
      <c r="E138" s="25">
        <f t="shared" si="2"/>
        <v>95.50279774</v>
      </c>
      <c r="F138" s="24">
        <f t="shared" si="3"/>
        <v>0.0002091966046</v>
      </c>
      <c r="G138" s="24">
        <f t="shared" si="4"/>
        <v>0</v>
      </c>
      <c r="H138" s="26">
        <f t="shared" si="5"/>
        <v>0</v>
      </c>
      <c r="I138" s="24">
        <f t="shared" si="6"/>
        <v>0</v>
      </c>
      <c r="J138" s="24">
        <f t="shared" si="7"/>
        <v>0</v>
      </c>
      <c r="K138" s="24"/>
      <c r="L138" s="24">
        <f t="shared" si="8"/>
        <v>447.8735936</v>
      </c>
      <c r="M138" s="14">
        <f t="shared" si="9"/>
        <v>441.2912744</v>
      </c>
      <c r="N138" s="27">
        <f t="shared" si="10"/>
        <v>6.582319201</v>
      </c>
      <c r="O138" s="24"/>
      <c r="P138" s="24"/>
      <c r="Q138" s="24"/>
      <c r="R138" s="26"/>
      <c r="S138" s="14">
        <f t="shared" si="13"/>
        <v>6.044518267</v>
      </c>
      <c r="U138" s="21"/>
      <c r="V138" s="21"/>
    </row>
    <row r="139">
      <c r="A139" s="11">
        <v>127.0</v>
      </c>
      <c r="B139" s="11">
        <v>1.41994782608695E9</v>
      </c>
      <c r="C139" s="2">
        <v>-102.2964706</v>
      </c>
      <c r="D139" s="24">
        <f t="shared" si="1"/>
        <v>-452173.913</v>
      </c>
      <c r="E139" s="25">
        <f t="shared" si="2"/>
        <v>94.58450161</v>
      </c>
      <c r="F139" s="24">
        <f t="shared" si="3"/>
        <v>0.0002091772632</v>
      </c>
      <c r="G139" s="24">
        <f t="shared" si="4"/>
        <v>0</v>
      </c>
      <c r="H139" s="26">
        <f t="shared" si="5"/>
        <v>0</v>
      </c>
      <c r="I139" s="24">
        <f t="shared" si="6"/>
        <v>0</v>
      </c>
      <c r="J139" s="24">
        <f t="shared" si="7"/>
        <v>0</v>
      </c>
      <c r="K139" s="24"/>
      <c r="L139" s="24">
        <f t="shared" si="8"/>
        <v>448.1868473</v>
      </c>
      <c r="M139" s="14">
        <f t="shared" si="9"/>
        <v>441.2209288</v>
      </c>
      <c r="N139" s="27">
        <f t="shared" si="10"/>
        <v>6.965918501</v>
      </c>
      <c r="O139" s="24"/>
      <c r="P139" s="24"/>
      <c r="Q139" s="24"/>
      <c r="R139" s="26"/>
      <c r="S139" s="14">
        <f t="shared" si="13"/>
        <v>6.39677602</v>
      </c>
      <c r="U139" s="21"/>
      <c r="V139" s="21"/>
    </row>
    <row r="140">
      <c r="A140" s="11">
        <v>128.0</v>
      </c>
      <c r="B140" s="11">
        <v>1.41995217391304E9</v>
      </c>
      <c r="C140" s="2">
        <v>-102.2598038</v>
      </c>
      <c r="D140" s="24">
        <f t="shared" si="1"/>
        <v>-447826.087</v>
      </c>
      <c r="E140" s="25">
        <f t="shared" si="2"/>
        <v>93.66620548</v>
      </c>
      <c r="F140" s="24">
        <f t="shared" si="3"/>
        <v>0.0002091575462</v>
      </c>
      <c r="G140" s="24">
        <f t="shared" si="4"/>
        <v>0</v>
      </c>
      <c r="H140" s="26">
        <f t="shared" si="5"/>
        <v>0</v>
      </c>
      <c r="I140" s="24">
        <f t="shared" si="6"/>
        <v>0</v>
      </c>
      <c r="J140" s="24">
        <f t="shared" si="7"/>
        <v>0</v>
      </c>
      <c r="K140" s="24"/>
      <c r="L140" s="24">
        <f t="shared" si="8"/>
        <v>451.9868371</v>
      </c>
      <c r="M140" s="14">
        <f t="shared" si="9"/>
        <v>441.1505366</v>
      </c>
      <c r="N140" s="27">
        <f t="shared" si="10"/>
        <v>10.83630051</v>
      </c>
      <c r="O140" s="24"/>
      <c r="P140" s="24"/>
      <c r="Q140" s="24"/>
      <c r="R140" s="26"/>
      <c r="S140" s="14">
        <f t="shared" si="13"/>
        <v>9.950932828</v>
      </c>
      <c r="U140" s="21"/>
      <c r="V140" s="21"/>
    </row>
    <row r="141">
      <c r="A141" s="11">
        <v>129.0</v>
      </c>
      <c r="B141" s="11">
        <v>1.41995652173913E9</v>
      </c>
      <c r="C141" s="2">
        <v>-102.2990341</v>
      </c>
      <c r="D141" s="24">
        <f t="shared" si="1"/>
        <v>-443478.2609</v>
      </c>
      <c r="E141" s="25">
        <f t="shared" si="2"/>
        <v>92.74790935</v>
      </c>
      <c r="F141" s="24">
        <f t="shared" si="3"/>
        <v>0.0002091374426</v>
      </c>
      <c r="G141" s="24">
        <f t="shared" si="4"/>
        <v>0</v>
      </c>
      <c r="H141" s="26">
        <f t="shared" si="5"/>
        <v>0</v>
      </c>
      <c r="I141" s="24">
        <f t="shared" si="6"/>
        <v>0</v>
      </c>
      <c r="J141" s="24">
        <f t="shared" si="7"/>
        <v>0</v>
      </c>
      <c r="K141" s="24"/>
      <c r="L141" s="24">
        <f t="shared" si="8"/>
        <v>447.9223751</v>
      </c>
      <c r="M141" s="14">
        <f t="shared" si="9"/>
        <v>441.0800971</v>
      </c>
      <c r="N141" s="27">
        <f t="shared" si="10"/>
        <v>6.842278075</v>
      </c>
      <c r="O141" s="24"/>
      <c r="P141" s="24"/>
      <c r="Q141" s="24"/>
      <c r="R141" s="26"/>
      <c r="S141" s="14">
        <f t="shared" si="13"/>
        <v>6.283237496</v>
      </c>
      <c r="U141" s="21"/>
      <c r="V141" s="21"/>
    </row>
    <row r="142">
      <c r="A142" s="11">
        <v>130.0</v>
      </c>
      <c r="B142" s="11">
        <v>1.41996086956521E9</v>
      </c>
      <c r="C142" s="2">
        <v>-102.2764893</v>
      </c>
      <c r="D142" s="24">
        <f t="shared" si="1"/>
        <v>-439130.4348</v>
      </c>
      <c r="E142" s="25">
        <f t="shared" si="2"/>
        <v>91.82961321</v>
      </c>
      <c r="F142" s="24">
        <f t="shared" si="3"/>
        <v>0.000209116941</v>
      </c>
      <c r="G142" s="24">
        <f t="shared" si="4"/>
        <v>0</v>
      </c>
      <c r="H142" s="26">
        <f t="shared" si="5"/>
        <v>0</v>
      </c>
      <c r="I142" s="24">
        <f t="shared" si="6"/>
        <v>0</v>
      </c>
      <c r="J142" s="24">
        <f t="shared" si="7"/>
        <v>0</v>
      </c>
      <c r="K142" s="24"/>
      <c r="L142" s="24">
        <f t="shared" si="8"/>
        <v>450.2536451</v>
      </c>
      <c r="M142" s="14">
        <f t="shared" si="9"/>
        <v>441.0096093</v>
      </c>
      <c r="N142" s="27">
        <f t="shared" si="10"/>
        <v>9.244035742</v>
      </c>
      <c r="O142" s="24"/>
      <c r="P142" s="24"/>
      <c r="Q142" s="24"/>
      <c r="R142" s="26"/>
      <c r="S142" s="14">
        <f t="shared" si="13"/>
        <v>8.488762273</v>
      </c>
      <c r="U142" s="21"/>
      <c r="V142" s="21"/>
    </row>
    <row r="143">
      <c r="A143" s="11">
        <v>131.0</v>
      </c>
      <c r="B143" s="11">
        <v>1.4199652173913E9</v>
      </c>
      <c r="C143" s="2">
        <v>-102.2792664</v>
      </c>
      <c r="D143" s="24">
        <f t="shared" si="1"/>
        <v>-434782.6087</v>
      </c>
      <c r="E143" s="25">
        <f t="shared" si="2"/>
        <v>90.91131708</v>
      </c>
      <c r="F143" s="24">
        <f t="shared" si="3"/>
        <v>0.0002090960293</v>
      </c>
      <c r="G143" s="24">
        <f t="shared" si="4"/>
        <v>0</v>
      </c>
      <c r="H143" s="26">
        <f t="shared" si="5"/>
        <v>0</v>
      </c>
      <c r="I143" s="24">
        <f t="shared" si="6"/>
        <v>0</v>
      </c>
      <c r="J143" s="24">
        <f t="shared" si="7"/>
        <v>0</v>
      </c>
      <c r="K143" s="24"/>
      <c r="L143" s="24">
        <f t="shared" si="8"/>
        <v>449.965822</v>
      </c>
      <c r="M143" s="14">
        <f t="shared" si="9"/>
        <v>440.9390726</v>
      </c>
      <c r="N143" s="27">
        <f t="shared" si="10"/>
        <v>9.026749387</v>
      </c>
      <c r="O143" s="24"/>
      <c r="P143" s="24"/>
      <c r="Q143" s="24"/>
      <c r="R143" s="26"/>
      <c r="S143" s="14">
        <f t="shared" si="13"/>
        <v>8.289229035</v>
      </c>
      <c r="U143" s="21"/>
      <c r="V143" s="21"/>
    </row>
    <row r="144">
      <c r="A144" s="11">
        <v>132.0</v>
      </c>
      <c r="B144" s="11">
        <v>1.41996956521739E9</v>
      </c>
      <c r="C144" s="2">
        <v>-102.2922363</v>
      </c>
      <c r="D144" s="24">
        <f t="shared" si="1"/>
        <v>-430434.7826</v>
      </c>
      <c r="E144" s="25">
        <f t="shared" si="2"/>
        <v>89.99302095</v>
      </c>
      <c r="F144" s="24">
        <f t="shared" si="3"/>
        <v>0.0002090746951</v>
      </c>
      <c r="G144" s="24">
        <f t="shared" si="4"/>
        <v>0</v>
      </c>
      <c r="H144" s="26">
        <f t="shared" si="5"/>
        <v>0</v>
      </c>
      <c r="I144" s="24">
        <f t="shared" si="6"/>
        <v>0</v>
      </c>
      <c r="J144" s="24">
        <f t="shared" si="7"/>
        <v>0</v>
      </c>
      <c r="K144" s="24"/>
      <c r="L144" s="24">
        <f t="shared" si="8"/>
        <v>448.6240352</v>
      </c>
      <c r="M144" s="14">
        <f t="shared" si="9"/>
        <v>440.8684861</v>
      </c>
      <c r="N144" s="27">
        <f t="shared" si="10"/>
        <v>7.755549073</v>
      </c>
      <c r="O144" s="24"/>
      <c r="P144" s="24"/>
      <c r="Q144" s="24"/>
      <c r="R144" s="26"/>
      <c r="S144" s="14">
        <f t="shared" si="13"/>
        <v>7.121890722</v>
      </c>
      <c r="U144" s="21"/>
      <c r="V144" s="21"/>
    </row>
    <row r="145">
      <c r="A145" s="11">
        <v>133.0</v>
      </c>
      <c r="B145" s="11">
        <v>1.41997391304347E9</v>
      </c>
      <c r="C145" s="2">
        <v>-102.2561951</v>
      </c>
      <c r="D145" s="24">
        <f t="shared" si="1"/>
        <v>-426086.9565</v>
      </c>
      <c r="E145" s="25">
        <f t="shared" si="2"/>
        <v>89.07472482</v>
      </c>
      <c r="F145" s="24">
        <f t="shared" si="3"/>
        <v>0.0002090529256</v>
      </c>
      <c r="G145" s="24">
        <f t="shared" si="4"/>
        <v>0</v>
      </c>
      <c r="H145" s="26">
        <f t="shared" si="5"/>
        <v>0</v>
      </c>
      <c r="I145" s="24">
        <f t="shared" si="6"/>
        <v>0</v>
      </c>
      <c r="J145" s="24">
        <f t="shared" si="7"/>
        <v>0</v>
      </c>
      <c r="K145" s="24"/>
      <c r="L145" s="24">
        <f t="shared" si="8"/>
        <v>452.3625644</v>
      </c>
      <c r="M145" s="14">
        <f t="shared" si="9"/>
        <v>440.7978491</v>
      </c>
      <c r="N145" s="27">
        <f t="shared" si="10"/>
        <v>11.56471527</v>
      </c>
      <c r="O145" s="24"/>
      <c r="P145" s="24"/>
      <c r="Q145" s="24"/>
      <c r="R145" s="26"/>
      <c r="S145" s="14">
        <f t="shared" si="13"/>
        <v>10.61983331</v>
      </c>
      <c r="U145" s="21"/>
      <c r="V145" s="21"/>
    </row>
    <row r="146">
      <c r="A146" s="11">
        <v>134.0</v>
      </c>
      <c r="B146" s="11">
        <v>1.41997826086956E9</v>
      </c>
      <c r="C146" s="2">
        <v>-102.2064896</v>
      </c>
      <c r="D146" s="24">
        <f t="shared" si="1"/>
        <v>-421739.1304</v>
      </c>
      <c r="E146" s="25">
        <f t="shared" si="2"/>
        <v>88.15642869</v>
      </c>
      <c r="F146" s="24">
        <f t="shared" si="3"/>
        <v>0.0002090307072</v>
      </c>
      <c r="G146" s="24">
        <f t="shared" si="4"/>
        <v>0</v>
      </c>
      <c r="H146" s="26">
        <f t="shared" si="5"/>
        <v>0</v>
      </c>
      <c r="I146" s="24">
        <f t="shared" si="6"/>
        <v>0</v>
      </c>
      <c r="J146" s="24">
        <f t="shared" si="7"/>
        <v>0</v>
      </c>
      <c r="K146" s="24"/>
      <c r="L146" s="24">
        <f t="shared" si="8"/>
        <v>457.5696467</v>
      </c>
      <c r="M146" s="14">
        <f t="shared" si="9"/>
        <v>440.7271608</v>
      </c>
      <c r="N146" s="27">
        <f t="shared" si="10"/>
        <v>16.84248587</v>
      </c>
      <c r="O146" s="24"/>
      <c r="P146" s="24"/>
      <c r="Q146" s="24"/>
      <c r="R146" s="26"/>
      <c r="S146" s="14">
        <f t="shared" si="13"/>
        <v>15.46638961</v>
      </c>
      <c r="U146" s="21"/>
      <c r="V146" s="21"/>
    </row>
    <row r="147">
      <c r="A147" s="11">
        <v>135.0</v>
      </c>
      <c r="B147" s="11">
        <v>1.41998260869565E9</v>
      </c>
      <c r="C147" s="2">
        <v>-102.1891556</v>
      </c>
      <c r="D147" s="24">
        <f t="shared" si="1"/>
        <v>-417391.3043</v>
      </c>
      <c r="E147" s="25">
        <f t="shared" si="2"/>
        <v>87.23813255</v>
      </c>
      <c r="F147" s="24">
        <f t="shared" si="3"/>
        <v>0.0002090080259</v>
      </c>
      <c r="G147" s="24">
        <f t="shared" si="4"/>
        <v>0</v>
      </c>
      <c r="H147" s="26">
        <f t="shared" si="5"/>
        <v>0</v>
      </c>
      <c r="I147" s="24">
        <f t="shared" si="6"/>
        <v>0</v>
      </c>
      <c r="J147" s="24">
        <f t="shared" si="7"/>
        <v>0</v>
      </c>
      <c r="K147" s="24"/>
      <c r="L147" s="24">
        <f t="shared" si="8"/>
        <v>459.3995944</v>
      </c>
      <c r="M147" s="14">
        <f t="shared" si="9"/>
        <v>440.6564203</v>
      </c>
      <c r="N147" s="27">
        <f t="shared" si="10"/>
        <v>18.74317403</v>
      </c>
      <c r="O147" s="24"/>
      <c r="P147" s="24"/>
      <c r="Q147" s="24"/>
      <c r="R147" s="26"/>
      <c r="S147" s="14">
        <f t="shared" si="13"/>
        <v>17.21178423</v>
      </c>
      <c r="U147" s="21"/>
      <c r="V147" s="21"/>
    </row>
    <row r="148">
      <c r="A148" s="11">
        <v>136.0</v>
      </c>
      <c r="B148" s="11">
        <v>1.41998695652173E9</v>
      </c>
      <c r="C148" s="2">
        <v>-102.1485596</v>
      </c>
      <c r="D148" s="24">
        <f t="shared" si="1"/>
        <v>-413043.4783</v>
      </c>
      <c r="E148" s="25">
        <f t="shared" si="2"/>
        <v>86.31983642</v>
      </c>
      <c r="F148" s="24">
        <f t="shared" si="3"/>
        <v>0.0002089848671</v>
      </c>
      <c r="G148" s="24">
        <f t="shared" si="4"/>
        <v>0</v>
      </c>
      <c r="H148" s="26">
        <f t="shared" si="5"/>
        <v>0</v>
      </c>
      <c r="I148" s="24">
        <f t="shared" si="6"/>
        <v>0</v>
      </c>
      <c r="J148" s="24">
        <f t="shared" si="7"/>
        <v>0</v>
      </c>
      <c r="K148" s="24"/>
      <c r="L148" s="24">
        <f t="shared" si="8"/>
        <v>463.7139995</v>
      </c>
      <c r="M148" s="14">
        <f t="shared" si="9"/>
        <v>440.5856269</v>
      </c>
      <c r="N148" s="27">
        <f t="shared" si="10"/>
        <v>23.12837251</v>
      </c>
      <c r="O148" s="24"/>
      <c r="P148" s="24"/>
      <c r="Q148" s="24"/>
      <c r="R148" s="26"/>
      <c r="S148" s="14">
        <f t="shared" si="13"/>
        <v>21.23869504</v>
      </c>
      <c r="U148" s="21"/>
      <c r="V148" s="21"/>
    </row>
    <row r="149">
      <c r="A149" s="11">
        <v>137.0</v>
      </c>
      <c r="B149" s="11">
        <v>1.41999130434782E9</v>
      </c>
      <c r="C149" s="2">
        <v>-102.0686569</v>
      </c>
      <c r="D149" s="24">
        <f t="shared" si="1"/>
        <v>-408695.6522</v>
      </c>
      <c r="E149" s="25">
        <f t="shared" si="2"/>
        <v>85.40154029</v>
      </c>
      <c r="F149" s="24">
        <f t="shared" si="3"/>
        <v>0.0002089612156</v>
      </c>
      <c r="G149" s="24">
        <f t="shared" si="4"/>
        <v>0</v>
      </c>
      <c r="H149" s="26">
        <f t="shared" si="5"/>
        <v>0</v>
      </c>
      <c r="I149" s="24">
        <f t="shared" si="6"/>
        <v>0</v>
      </c>
      <c r="J149" s="24">
        <f t="shared" si="7"/>
        <v>0</v>
      </c>
      <c r="K149" s="24"/>
      <c r="L149" s="24">
        <f t="shared" si="8"/>
        <v>472.3245042</v>
      </c>
      <c r="M149" s="14">
        <f t="shared" si="9"/>
        <v>440.5147799</v>
      </c>
      <c r="N149" s="27">
        <f t="shared" si="10"/>
        <v>31.80972435</v>
      </c>
      <c r="O149" s="24"/>
      <c r="P149" s="24"/>
      <c r="Q149" s="24"/>
      <c r="R149" s="26"/>
      <c r="S149" s="14">
        <f t="shared" si="13"/>
        <v>29.21074685</v>
      </c>
      <c r="U149" s="21"/>
      <c r="V149" s="21"/>
    </row>
    <row r="150">
      <c r="A150" s="11">
        <v>138.0</v>
      </c>
      <c r="B150" s="11">
        <v>1.41999565217391E9</v>
      </c>
      <c r="C150" s="2">
        <v>-102.1442795</v>
      </c>
      <c r="D150" s="24">
        <f t="shared" si="1"/>
        <v>-404347.8261</v>
      </c>
      <c r="E150" s="25">
        <f t="shared" si="2"/>
        <v>84.48324416</v>
      </c>
      <c r="F150" s="24">
        <f t="shared" si="3"/>
        <v>0.0002089370554</v>
      </c>
      <c r="G150" s="24">
        <f t="shared" si="4"/>
        <v>0</v>
      </c>
      <c r="H150" s="26">
        <f t="shared" si="5"/>
        <v>0</v>
      </c>
      <c r="I150" s="24">
        <f t="shared" si="6"/>
        <v>0</v>
      </c>
      <c r="J150" s="24">
        <f t="shared" si="7"/>
        <v>0</v>
      </c>
      <c r="K150" s="24"/>
      <c r="L150" s="24">
        <f t="shared" si="8"/>
        <v>464.1712285</v>
      </c>
      <c r="M150" s="14">
        <f t="shared" si="9"/>
        <v>440.4438783</v>
      </c>
      <c r="N150" s="27">
        <f t="shared" si="10"/>
        <v>23.72735021</v>
      </c>
      <c r="O150" s="24"/>
      <c r="P150" s="24"/>
      <c r="Q150" s="24"/>
      <c r="R150" s="26"/>
      <c r="S150" s="14">
        <f t="shared" si="13"/>
        <v>21.78873389</v>
      </c>
      <c r="U150" s="21"/>
      <c r="V150" s="21"/>
    </row>
    <row r="151">
      <c r="A151" s="11">
        <v>139.0</v>
      </c>
      <c r="B151" s="11">
        <v>1.42E9</v>
      </c>
      <c r="C151" s="2">
        <v>-102.0940933</v>
      </c>
      <c r="D151" s="24">
        <f t="shared" si="1"/>
        <v>-400000</v>
      </c>
      <c r="E151" s="25">
        <f t="shared" si="2"/>
        <v>83.56494803</v>
      </c>
      <c r="F151" s="24">
        <f t="shared" si="3"/>
        <v>0.0002089123701</v>
      </c>
      <c r="G151" s="24">
        <f t="shared" si="4"/>
        <v>0</v>
      </c>
      <c r="H151" s="26">
        <f t="shared" si="5"/>
        <v>0</v>
      </c>
      <c r="I151" s="24">
        <f t="shared" si="6"/>
        <v>0</v>
      </c>
      <c r="J151" s="24">
        <f t="shared" si="7"/>
        <v>0</v>
      </c>
      <c r="K151" s="24"/>
      <c r="L151" s="24">
        <f t="shared" si="8"/>
        <v>469.5662098</v>
      </c>
      <c r="M151" s="14">
        <f t="shared" si="9"/>
        <v>440.3729215</v>
      </c>
      <c r="N151" s="27">
        <f t="shared" si="10"/>
        <v>29.19328835</v>
      </c>
      <c r="O151" s="24"/>
      <c r="P151" s="24"/>
      <c r="Q151" s="24"/>
      <c r="R151" s="26"/>
      <c r="S151" s="14">
        <f t="shared" si="13"/>
        <v>26.8080838</v>
      </c>
      <c r="U151" s="21"/>
      <c r="V151" s="21"/>
    </row>
    <row r="152">
      <c r="A152" s="11">
        <v>140.0</v>
      </c>
      <c r="B152" s="11">
        <v>1.42000434782608E9</v>
      </c>
      <c r="C152" s="2">
        <v>-102.1005859</v>
      </c>
      <c r="D152" s="24">
        <f t="shared" si="1"/>
        <v>-395652.1739</v>
      </c>
      <c r="E152" s="25">
        <f t="shared" si="2"/>
        <v>82.64665189</v>
      </c>
      <c r="F152" s="24">
        <f t="shared" si="3"/>
        <v>0.0002088871421</v>
      </c>
      <c r="G152" s="24">
        <f t="shared" si="4"/>
        <v>0</v>
      </c>
      <c r="H152" s="26">
        <f t="shared" si="5"/>
        <v>0</v>
      </c>
      <c r="I152" s="24">
        <f t="shared" si="6"/>
        <v>0</v>
      </c>
      <c r="J152" s="24">
        <f t="shared" si="7"/>
        <v>0</v>
      </c>
      <c r="K152" s="24"/>
      <c r="L152" s="24">
        <f t="shared" si="8"/>
        <v>468.8647439</v>
      </c>
      <c r="M152" s="14">
        <f t="shared" si="9"/>
        <v>440.3019086</v>
      </c>
      <c r="N152" s="27">
        <f t="shared" si="10"/>
        <v>28.5628353</v>
      </c>
      <c r="O152" s="24"/>
      <c r="P152" s="24"/>
      <c r="Q152" s="24"/>
      <c r="R152" s="26"/>
      <c r="S152" s="14">
        <f t="shared" si="13"/>
        <v>26.2291412</v>
      </c>
      <c r="U152" s="21"/>
      <c r="V152" s="21"/>
    </row>
    <row r="153">
      <c r="A153" s="11">
        <v>141.0</v>
      </c>
      <c r="B153" s="11">
        <v>1.42000869565217E9</v>
      </c>
      <c r="C153" s="2">
        <v>-102.0666351</v>
      </c>
      <c r="D153" s="24">
        <f t="shared" si="1"/>
        <v>-391304.3478</v>
      </c>
      <c r="E153" s="25">
        <f t="shared" si="2"/>
        <v>81.72835576</v>
      </c>
      <c r="F153" s="24">
        <f t="shared" si="3"/>
        <v>0.0002088613536</v>
      </c>
      <c r="G153" s="24">
        <f t="shared" si="4"/>
        <v>0</v>
      </c>
      <c r="H153" s="26">
        <f t="shared" si="5"/>
        <v>0</v>
      </c>
      <c r="I153" s="24">
        <f t="shared" si="6"/>
        <v>0</v>
      </c>
      <c r="J153" s="24">
        <f t="shared" si="7"/>
        <v>0</v>
      </c>
      <c r="K153" s="24"/>
      <c r="L153" s="24">
        <f t="shared" si="8"/>
        <v>472.5444398</v>
      </c>
      <c r="M153" s="14">
        <f t="shared" si="9"/>
        <v>440.2308389</v>
      </c>
      <c r="N153" s="27">
        <f t="shared" si="10"/>
        <v>32.31360089</v>
      </c>
      <c r="O153" s="24"/>
      <c r="P153" s="24"/>
      <c r="Q153" s="24"/>
      <c r="R153" s="26"/>
      <c r="S153" s="14">
        <f t="shared" si="13"/>
        <v>29.67345466</v>
      </c>
      <c r="U153" s="21"/>
      <c r="V153" s="21"/>
    </row>
    <row r="154">
      <c r="A154" s="11">
        <v>142.0</v>
      </c>
      <c r="B154" s="11">
        <v>1.42001304347826E9</v>
      </c>
      <c r="C154" s="2">
        <v>-101.9618683</v>
      </c>
      <c r="D154" s="24">
        <f t="shared" si="1"/>
        <v>-386956.5217</v>
      </c>
      <c r="E154" s="25">
        <f t="shared" si="2"/>
        <v>80.81005963</v>
      </c>
      <c r="F154" s="24">
        <f t="shared" si="3"/>
        <v>0.0002088349856</v>
      </c>
      <c r="G154" s="24">
        <f t="shared" si="4"/>
        <v>0</v>
      </c>
      <c r="H154" s="26">
        <f t="shared" si="5"/>
        <v>0</v>
      </c>
      <c r="I154" s="24">
        <f t="shared" si="6"/>
        <v>0</v>
      </c>
      <c r="J154" s="24">
        <f t="shared" si="7"/>
        <v>0</v>
      </c>
      <c r="K154" s="24"/>
      <c r="L154" s="24">
        <f t="shared" si="8"/>
        <v>484.0824494</v>
      </c>
      <c r="M154" s="14">
        <f t="shared" si="9"/>
        <v>440.1597115</v>
      </c>
      <c r="N154" s="27">
        <f t="shared" si="10"/>
        <v>43.92273783</v>
      </c>
      <c r="O154" s="24"/>
      <c r="P154" s="24"/>
      <c r="Q154" s="24"/>
      <c r="R154" s="26"/>
      <c r="S154" s="14">
        <f t="shared" si="13"/>
        <v>40.33408029</v>
      </c>
      <c r="U154" s="21"/>
      <c r="V154" s="21"/>
    </row>
    <row r="155">
      <c r="A155" s="11">
        <v>143.0</v>
      </c>
      <c r="B155" s="11">
        <v>1.42001739130434E9</v>
      </c>
      <c r="C155" s="2">
        <v>-101.9899597</v>
      </c>
      <c r="D155" s="24">
        <f t="shared" si="1"/>
        <v>-382608.6957</v>
      </c>
      <c r="E155" s="25">
        <f t="shared" si="2"/>
        <v>79.8917635</v>
      </c>
      <c r="F155" s="24">
        <f t="shared" si="3"/>
        <v>0.0002088080182</v>
      </c>
      <c r="G155" s="24">
        <f t="shared" si="4"/>
        <v>0</v>
      </c>
      <c r="H155" s="26">
        <f t="shared" si="5"/>
        <v>0</v>
      </c>
      <c r="I155" s="24">
        <f t="shared" si="6"/>
        <v>0</v>
      </c>
      <c r="J155" s="24">
        <f t="shared" si="7"/>
        <v>0</v>
      </c>
      <c r="K155" s="24"/>
      <c r="L155" s="24">
        <f t="shared" si="8"/>
        <v>480.9613716</v>
      </c>
      <c r="M155" s="14">
        <f t="shared" si="9"/>
        <v>440.0885258</v>
      </c>
      <c r="N155" s="27">
        <f t="shared" si="10"/>
        <v>40.87284579</v>
      </c>
      <c r="O155" s="24"/>
      <c r="P155" s="24"/>
      <c r="Q155" s="24"/>
      <c r="R155" s="26"/>
      <c r="S155" s="14">
        <f t="shared" si="13"/>
        <v>37.53337623</v>
      </c>
      <c r="U155" s="21"/>
      <c r="V155" s="21"/>
    </row>
    <row r="156">
      <c r="A156" s="11">
        <v>144.0</v>
      </c>
      <c r="B156" s="11">
        <v>1.42002173913043E9</v>
      </c>
      <c r="C156" s="2">
        <v>-101.9552231</v>
      </c>
      <c r="D156" s="24">
        <f t="shared" si="1"/>
        <v>-378260.8696</v>
      </c>
      <c r="E156" s="25">
        <f t="shared" si="2"/>
        <v>78.97346736</v>
      </c>
      <c r="F156" s="24">
        <f t="shared" si="3"/>
        <v>0.000208780431</v>
      </c>
      <c r="G156" s="24">
        <f t="shared" si="4"/>
        <v>0</v>
      </c>
      <c r="H156" s="26">
        <f t="shared" si="5"/>
        <v>0</v>
      </c>
      <c r="I156" s="24">
        <f t="shared" si="6"/>
        <v>0</v>
      </c>
      <c r="J156" s="24">
        <f t="shared" si="7"/>
        <v>0</v>
      </c>
      <c r="K156" s="24"/>
      <c r="L156" s="24">
        <f t="shared" si="8"/>
        <v>484.8237176</v>
      </c>
      <c r="M156" s="14">
        <f t="shared" si="9"/>
        <v>440.0172808</v>
      </c>
      <c r="N156" s="27">
        <f t="shared" si="10"/>
        <v>44.80643682</v>
      </c>
      <c r="O156" s="24"/>
      <c r="P156" s="24"/>
      <c r="Q156" s="24"/>
      <c r="R156" s="26"/>
      <c r="S156" s="14">
        <f t="shared" si="13"/>
        <v>41.14557756</v>
      </c>
      <c r="U156" s="21"/>
      <c r="V156" s="21"/>
    </row>
    <row r="157">
      <c r="A157" s="11">
        <v>145.0</v>
      </c>
      <c r="B157" s="11">
        <v>1.42002608695652E9</v>
      </c>
      <c r="C157" s="2">
        <v>-101.8988953</v>
      </c>
      <c r="D157" s="24">
        <f t="shared" si="1"/>
        <v>-373913.0435</v>
      </c>
      <c r="E157" s="25">
        <f t="shared" si="2"/>
        <v>78.05517123</v>
      </c>
      <c r="F157" s="24">
        <f t="shared" si="3"/>
        <v>0.0002087522021</v>
      </c>
      <c r="G157" s="24">
        <f t="shared" si="4"/>
        <v>0</v>
      </c>
      <c r="H157" s="26">
        <f t="shared" si="5"/>
        <v>0</v>
      </c>
      <c r="I157" s="24">
        <f t="shared" si="6"/>
        <v>0</v>
      </c>
      <c r="J157" s="24">
        <f t="shared" si="7"/>
        <v>0</v>
      </c>
      <c r="K157" s="24"/>
      <c r="L157" s="24">
        <f t="shared" si="8"/>
        <v>491.1528149</v>
      </c>
      <c r="M157" s="14">
        <f t="shared" si="9"/>
        <v>439.9459758</v>
      </c>
      <c r="N157" s="27">
        <f t="shared" si="10"/>
        <v>51.20683906</v>
      </c>
      <c r="O157" s="24"/>
      <c r="P157" s="24"/>
      <c r="Q157" s="24"/>
      <c r="R157" s="26"/>
      <c r="S157" s="14">
        <f t="shared" si="13"/>
        <v>47.02304228</v>
      </c>
      <c r="U157" s="21"/>
      <c r="V157" s="21"/>
    </row>
    <row r="158">
      <c r="A158" s="11">
        <v>146.0</v>
      </c>
      <c r="B158" s="11">
        <v>1.4200304347826E9</v>
      </c>
      <c r="C158" s="2">
        <v>-101.8793488</v>
      </c>
      <c r="D158" s="24">
        <f t="shared" si="1"/>
        <v>-369565.2174</v>
      </c>
      <c r="E158" s="25">
        <f t="shared" si="2"/>
        <v>77.1368751</v>
      </c>
      <c r="F158" s="24">
        <f t="shared" si="3"/>
        <v>0.0002087233091</v>
      </c>
      <c r="G158" s="24">
        <f t="shared" si="4"/>
        <v>0</v>
      </c>
      <c r="H158" s="26">
        <f t="shared" si="5"/>
        <v>0</v>
      </c>
      <c r="I158" s="24">
        <f t="shared" si="6"/>
        <v>0</v>
      </c>
      <c r="J158" s="24">
        <f t="shared" si="7"/>
        <v>0</v>
      </c>
      <c r="K158" s="24"/>
      <c r="L158" s="24">
        <f t="shared" si="8"/>
        <v>493.3683519</v>
      </c>
      <c r="M158" s="14">
        <f t="shared" si="9"/>
        <v>439.87461</v>
      </c>
      <c r="N158" s="27">
        <f t="shared" si="10"/>
        <v>53.4937419</v>
      </c>
      <c r="O158" s="24"/>
      <c r="P158" s="24"/>
      <c r="Q158" s="24"/>
      <c r="R158" s="26"/>
      <c r="S158" s="14">
        <f t="shared" si="13"/>
        <v>49.12309631</v>
      </c>
      <c r="U158" s="21"/>
      <c r="V158" s="21"/>
    </row>
    <row r="159">
      <c r="A159" s="11">
        <v>147.0</v>
      </c>
      <c r="B159" s="11">
        <v>1.42003478260869E9</v>
      </c>
      <c r="C159" s="2">
        <v>-101.908699</v>
      </c>
      <c r="D159" s="24">
        <f t="shared" si="1"/>
        <v>-365217.3913</v>
      </c>
      <c r="E159" s="25">
        <f t="shared" si="2"/>
        <v>76.21857897</v>
      </c>
      <c r="F159" s="24">
        <f t="shared" si="3"/>
        <v>0.0002086937281</v>
      </c>
      <c r="G159" s="24">
        <f t="shared" si="4"/>
        <v>0</v>
      </c>
      <c r="H159" s="26">
        <f t="shared" si="5"/>
        <v>0</v>
      </c>
      <c r="I159" s="24">
        <f t="shared" si="6"/>
        <v>0</v>
      </c>
      <c r="J159" s="24">
        <f t="shared" si="7"/>
        <v>0</v>
      </c>
      <c r="K159" s="24"/>
      <c r="L159" s="24">
        <f t="shared" si="8"/>
        <v>490.0453441</v>
      </c>
      <c r="M159" s="14">
        <f t="shared" si="9"/>
        <v>439.8031827</v>
      </c>
      <c r="N159" s="27">
        <f t="shared" si="10"/>
        <v>50.24216146</v>
      </c>
      <c r="O159" s="24"/>
      <c r="P159" s="24"/>
      <c r="Q159" s="24"/>
      <c r="R159" s="26"/>
      <c r="S159" s="14">
        <f t="shared" si="13"/>
        <v>46.13718257</v>
      </c>
      <c r="U159" s="21"/>
      <c r="V159" s="21"/>
    </row>
    <row r="160">
      <c r="A160" s="11">
        <v>148.0</v>
      </c>
      <c r="B160" s="11">
        <v>1.42003913043478E9</v>
      </c>
      <c r="C160" s="2">
        <v>-101.9073029</v>
      </c>
      <c r="D160" s="24">
        <f t="shared" si="1"/>
        <v>-360869.5652</v>
      </c>
      <c r="E160" s="25">
        <f t="shared" si="2"/>
        <v>75.30028284</v>
      </c>
      <c r="F160" s="24">
        <f t="shared" si="3"/>
        <v>0.0002086634344</v>
      </c>
      <c r="G160" s="24">
        <f t="shared" si="4"/>
        <v>0</v>
      </c>
      <c r="H160" s="26">
        <f t="shared" si="5"/>
        <v>0</v>
      </c>
      <c r="I160" s="24">
        <f t="shared" si="6"/>
        <v>0</v>
      </c>
      <c r="J160" s="24">
        <f t="shared" si="7"/>
        <v>0</v>
      </c>
      <c r="K160" s="24"/>
      <c r="L160" s="24">
        <f t="shared" si="8"/>
        <v>490.2029014</v>
      </c>
      <c r="M160" s="14">
        <f t="shared" si="9"/>
        <v>439.731693</v>
      </c>
      <c r="N160" s="27">
        <f t="shared" si="10"/>
        <v>50.47120836</v>
      </c>
      <c r="O160" s="24"/>
      <c r="P160" s="24"/>
      <c r="Q160" s="24"/>
      <c r="R160" s="26"/>
      <c r="S160" s="14">
        <f t="shared" si="13"/>
        <v>46.34751535</v>
      </c>
      <c r="U160" s="21"/>
      <c r="V160" s="21"/>
    </row>
    <row r="161">
      <c r="A161" s="11">
        <v>149.0</v>
      </c>
      <c r="B161" s="11">
        <v>1.42004347826087E9</v>
      </c>
      <c r="C161" s="2">
        <v>-101.903038</v>
      </c>
      <c r="D161" s="24">
        <f t="shared" si="1"/>
        <v>-356521.7391</v>
      </c>
      <c r="E161" s="25">
        <f t="shared" si="2"/>
        <v>74.3819867</v>
      </c>
      <c r="F161" s="24">
        <f t="shared" si="3"/>
        <v>0.0002086324017</v>
      </c>
      <c r="G161" s="24">
        <f t="shared" si="4"/>
        <v>0</v>
      </c>
      <c r="H161" s="26">
        <f t="shared" si="5"/>
        <v>0</v>
      </c>
      <c r="I161" s="24">
        <f t="shared" si="6"/>
        <v>0</v>
      </c>
      <c r="J161" s="24">
        <f t="shared" si="7"/>
        <v>0</v>
      </c>
      <c r="K161" s="24"/>
      <c r="L161" s="24">
        <f t="shared" si="8"/>
        <v>490.6845315</v>
      </c>
      <c r="M161" s="14">
        <f t="shared" si="9"/>
        <v>439.6601402</v>
      </c>
      <c r="N161" s="27">
        <f t="shared" si="10"/>
        <v>51.02439137</v>
      </c>
      <c r="O161" s="24"/>
      <c r="P161" s="24"/>
      <c r="Q161" s="24"/>
      <c r="R161" s="26"/>
      <c r="S161" s="14">
        <f t="shared" si="13"/>
        <v>46.85550127</v>
      </c>
      <c r="U161" s="21"/>
      <c r="V161" s="21"/>
    </row>
    <row r="162">
      <c r="A162" s="11">
        <v>150.0</v>
      </c>
      <c r="B162" s="11">
        <v>1.42004782608695E9</v>
      </c>
      <c r="C162" s="2">
        <v>-101.8451843</v>
      </c>
      <c r="D162" s="24">
        <f t="shared" si="1"/>
        <v>-352173.913</v>
      </c>
      <c r="E162" s="25">
        <f t="shared" si="2"/>
        <v>73.46369057</v>
      </c>
      <c r="F162" s="24">
        <f t="shared" si="3"/>
        <v>0.0002086006029</v>
      </c>
      <c r="G162" s="24">
        <f t="shared" si="4"/>
        <v>0</v>
      </c>
      <c r="H162" s="26">
        <f t="shared" si="5"/>
        <v>0</v>
      </c>
      <c r="I162" s="24">
        <f t="shared" si="6"/>
        <v>0</v>
      </c>
      <c r="J162" s="24">
        <f t="shared" si="7"/>
        <v>0</v>
      </c>
      <c r="K162" s="24"/>
      <c r="L162" s="24">
        <f t="shared" si="8"/>
        <v>497.2648224</v>
      </c>
      <c r="M162" s="14">
        <f t="shared" si="9"/>
        <v>439.5885234</v>
      </c>
      <c r="N162" s="27">
        <f t="shared" si="10"/>
        <v>57.67629901</v>
      </c>
      <c r="O162" s="24"/>
      <c r="P162" s="24"/>
      <c r="Q162" s="24"/>
      <c r="R162" s="26"/>
      <c r="S162" s="14">
        <f t="shared" si="13"/>
        <v>52.96392234</v>
      </c>
      <c r="U162" s="21"/>
      <c r="V162" s="21"/>
    </row>
    <row r="163">
      <c r="A163" s="11">
        <v>151.0</v>
      </c>
      <c r="B163" s="11">
        <v>1.42005217391304E9</v>
      </c>
      <c r="C163" s="2">
        <v>-101.8645935</v>
      </c>
      <c r="D163" s="24">
        <f t="shared" si="1"/>
        <v>-347826.087</v>
      </c>
      <c r="E163" s="25">
        <f t="shared" si="2"/>
        <v>72.54539444</v>
      </c>
      <c r="F163" s="24">
        <f t="shared" si="3"/>
        <v>0.000208568009</v>
      </c>
      <c r="G163" s="24">
        <f t="shared" si="4"/>
        <v>0</v>
      </c>
      <c r="H163" s="26">
        <f t="shared" si="5"/>
        <v>0</v>
      </c>
      <c r="I163" s="24">
        <f t="shared" si="6"/>
        <v>0</v>
      </c>
      <c r="J163" s="24">
        <f t="shared" si="7"/>
        <v>0</v>
      </c>
      <c r="K163" s="24"/>
      <c r="L163" s="24">
        <f t="shared" si="8"/>
        <v>495.0474381</v>
      </c>
      <c r="M163" s="14">
        <f t="shared" si="9"/>
        <v>439.5168419</v>
      </c>
      <c r="N163" s="27">
        <f t="shared" si="10"/>
        <v>55.53059623</v>
      </c>
      <c r="O163" s="24"/>
      <c r="P163" s="24"/>
      <c r="Q163" s="24"/>
      <c r="R163" s="26"/>
      <c r="S163" s="14">
        <f t="shared" si="13"/>
        <v>50.99353165</v>
      </c>
      <c r="U163" s="21"/>
      <c r="V163" s="21"/>
    </row>
    <row r="164">
      <c r="A164" s="11">
        <v>152.0</v>
      </c>
      <c r="B164" s="11">
        <v>1.42005652173913E9</v>
      </c>
      <c r="C164" s="2">
        <v>-101.8300705</v>
      </c>
      <c r="D164" s="24">
        <f t="shared" si="1"/>
        <v>-343478.2609</v>
      </c>
      <c r="E164" s="25">
        <f t="shared" si="2"/>
        <v>71.62709831</v>
      </c>
      <c r="F164" s="24">
        <f t="shared" si="3"/>
        <v>0.00020853459</v>
      </c>
      <c r="G164" s="24">
        <f t="shared" si="4"/>
        <v>0</v>
      </c>
      <c r="H164" s="26">
        <f t="shared" si="5"/>
        <v>0</v>
      </c>
      <c r="I164" s="24">
        <f t="shared" si="6"/>
        <v>0</v>
      </c>
      <c r="J164" s="24">
        <f t="shared" si="7"/>
        <v>0</v>
      </c>
      <c r="K164" s="24"/>
      <c r="L164" s="24">
        <f t="shared" si="8"/>
        <v>498.998359</v>
      </c>
      <c r="M164" s="14">
        <f t="shared" si="9"/>
        <v>439.4450949</v>
      </c>
      <c r="N164" s="27">
        <f t="shared" si="10"/>
        <v>59.55326407</v>
      </c>
      <c r="O164" s="24"/>
      <c r="P164" s="24"/>
      <c r="Q164" s="24"/>
      <c r="R164" s="26"/>
      <c r="S164" s="14">
        <f t="shared" si="13"/>
        <v>54.68753209</v>
      </c>
      <c r="U164" s="21"/>
      <c r="V164" s="21"/>
    </row>
    <row r="165">
      <c r="A165" s="11">
        <v>153.0</v>
      </c>
      <c r="B165" s="11">
        <v>1.42006086956521E9</v>
      </c>
      <c r="C165" s="2">
        <v>-101.7909317</v>
      </c>
      <c r="D165" s="24">
        <f t="shared" si="1"/>
        <v>-339130.4348</v>
      </c>
      <c r="E165" s="25">
        <f t="shared" si="2"/>
        <v>70.70880218</v>
      </c>
      <c r="F165" s="24">
        <f t="shared" si="3"/>
        <v>0.0002085003141</v>
      </c>
      <c r="G165" s="24">
        <f t="shared" si="4"/>
        <v>0</v>
      </c>
      <c r="H165" s="26">
        <f t="shared" si="5"/>
        <v>0</v>
      </c>
      <c r="I165" s="24">
        <f t="shared" si="6"/>
        <v>0</v>
      </c>
      <c r="J165" s="24">
        <f t="shared" si="7"/>
        <v>0</v>
      </c>
      <c r="K165" s="24"/>
      <c r="L165" s="24">
        <f t="shared" si="8"/>
        <v>503.5156776</v>
      </c>
      <c r="M165" s="14">
        <f t="shared" si="9"/>
        <v>439.3732816</v>
      </c>
      <c r="N165" s="27">
        <f t="shared" si="10"/>
        <v>64.14239596</v>
      </c>
      <c r="O165" s="24"/>
      <c r="P165" s="24"/>
      <c r="Q165" s="24"/>
      <c r="R165" s="26"/>
      <c r="S165" s="14">
        <f t="shared" si="13"/>
        <v>58.90171416</v>
      </c>
      <c r="U165" s="21"/>
      <c r="V165" s="21"/>
    </row>
    <row r="166">
      <c r="A166" s="11">
        <v>154.0</v>
      </c>
      <c r="B166" s="11">
        <v>1.4200652173913E9</v>
      </c>
      <c r="C166" s="2">
        <v>-101.832695</v>
      </c>
      <c r="D166" s="24">
        <f t="shared" si="1"/>
        <v>-334782.6087</v>
      </c>
      <c r="E166" s="25">
        <f t="shared" si="2"/>
        <v>69.79050604</v>
      </c>
      <c r="F166" s="24">
        <f t="shared" si="3"/>
        <v>0.0002084651479</v>
      </c>
      <c r="G166" s="24">
        <f t="shared" si="4"/>
        <v>0</v>
      </c>
      <c r="H166" s="26">
        <f t="shared" si="5"/>
        <v>0</v>
      </c>
      <c r="I166" s="24">
        <f t="shared" si="6"/>
        <v>0</v>
      </c>
      <c r="J166" s="24">
        <f t="shared" si="7"/>
        <v>0</v>
      </c>
      <c r="K166" s="24"/>
      <c r="L166" s="24">
        <f t="shared" si="8"/>
        <v>498.6968986</v>
      </c>
      <c r="M166" s="14">
        <f t="shared" si="9"/>
        <v>439.3014012</v>
      </c>
      <c r="N166" s="27">
        <f t="shared" si="10"/>
        <v>59.39549741</v>
      </c>
      <c r="O166" s="24"/>
      <c r="P166" s="24"/>
      <c r="Q166" s="24"/>
      <c r="R166" s="26"/>
      <c r="S166" s="14">
        <f t="shared" si="13"/>
        <v>54.54265545</v>
      </c>
      <c r="U166" s="21"/>
      <c r="V166" s="21"/>
    </row>
    <row r="167">
      <c r="A167" s="11">
        <v>155.0</v>
      </c>
      <c r="B167" s="11">
        <v>1.42006956521739E9</v>
      </c>
      <c r="C167" s="2">
        <v>-101.8090363</v>
      </c>
      <c r="D167" s="24">
        <f t="shared" si="1"/>
        <v>-330434.7826</v>
      </c>
      <c r="E167" s="25">
        <f t="shared" si="2"/>
        <v>68.87220991</v>
      </c>
      <c r="F167" s="24">
        <f t="shared" si="3"/>
        <v>0.0002084290563</v>
      </c>
      <c r="G167" s="24">
        <f t="shared" si="4"/>
        <v>0</v>
      </c>
      <c r="H167" s="26">
        <f t="shared" si="5"/>
        <v>0</v>
      </c>
      <c r="I167" s="24">
        <f t="shared" si="6"/>
        <v>0</v>
      </c>
      <c r="J167" s="24">
        <f t="shared" si="7"/>
        <v>0</v>
      </c>
      <c r="K167" s="24"/>
      <c r="L167" s="24">
        <f t="shared" si="8"/>
        <v>501.4210216</v>
      </c>
      <c r="M167" s="14">
        <f t="shared" si="9"/>
        <v>439.229453</v>
      </c>
      <c r="N167" s="27">
        <f t="shared" si="10"/>
        <v>62.19156861</v>
      </c>
      <c r="O167" s="24"/>
      <c r="P167" s="24"/>
      <c r="Q167" s="24"/>
      <c r="R167" s="26"/>
      <c r="S167" s="14">
        <f t="shared" si="13"/>
        <v>57.11027695</v>
      </c>
      <c r="U167" s="21"/>
      <c r="V167" s="21"/>
    </row>
    <row r="168">
      <c r="A168" s="11">
        <v>156.0</v>
      </c>
      <c r="B168" s="11">
        <v>1.42007391304347E9</v>
      </c>
      <c r="C168" s="2">
        <v>-101.8379745</v>
      </c>
      <c r="D168" s="24">
        <f t="shared" si="1"/>
        <v>-326086.9565</v>
      </c>
      <c r="E168" s="25">
        <f t="shared" si="2"/>
        <v>67.95391378</v>
      </c>
      <c r="F168" s="24">
        <f t="shared" si="3"/>
        <v>0.0002083920023</v>
      </c>
      <c r="G168" s="24">
        <f t="shared" si="4"/>
        <v>0</v>
      </c>
      <c r="H168" s="26">
        <f t="shared" si="5"/>
        <v>0</v>
      </c>
      <c r="I168" s="24">
        <f t="shared" si="6"/>
        <v>0</v>
      </c>
      <c r="J168" s="24">
        <f t="shared" si="7"/>
        <v>0</v>
      </c>
      <c r="K168" s="24"/>
      <c r="L168" s="24">
        <f t="shared" si="8"/>
        <v>498.0910262</v>
      </c>
      <c r="M168" s="14">
        <f t="shared" si="9"/>
        <v>439.1574361</v>
      </c>
      <c r="N168" s="27">
        <f t="shared" si="10"/>
        <v>58.93359012</v>
      </c>
      <c r="O168" s="24"/>
      <c r="P168" s="24"/>
      <c r="Q168" s="24"/>
      <c r="R168" s="26"/>
      <c r="S168" s="14">
        <f t="shared" si="13"/>
        <v>54.1184879</v>
      </c>
      <c r="U168" s="21"/>
      <c r="V168" s="21"/>
    </row>
    <row r="169">
      <c r="A169" s="11">
        <v>157.0</v>
      </c>
      <c r="B169" s="11">
        <v>1.42007826086956E9</v>
      </c>
      <c r="C169" s="2">
        <v>-101.7899857</v>
      </c>
      <c r="D169" s="24">
        <f t="shared" si="1"/>
        <v>-321739.1304</v>
      </c>
      <c r="E169" s="25">
        <f t="shared" si="2"/>
        <v>67.03561765</v>
      </c>
      <c r="F169" s="24">
        <f t="shared" si="3"/>
        <v>0.0002083539467</v>
      </c>
      <c r="G169" s="24">
        <f t="shared" si="4"/>
        <v>0</v>
      </c>
      <c r="H169" s="26">
        <f t="shared" si="5"/>
        <v>0</v>
      </c>
      <c r="I169" s="24">
        <f t="shared" si="6"/>
        <v>0</v>
      </c>
      <c r="J169" s="24">
        <f t="shared" si="7"/>
        <v>0</v>
      </c>
      <c r="K169" s="24"/>
      <c r="L169" s="24">
        <f t="shared" si="8"/>
        <v>503.6253676</v>
      </c>
      <c r="M169" s="14">
        <f t="shared" si="9"/>
        <v>439.0853497</v>
      </c>
      <c r="N169" s="27">
        <f t="shared" si="10"/>
        <v>64.54001787</v>
      </c>
      <c r="O169" s="24"/>
      <c r="P169" s="24"/>
      <c r="Q169" s="24"/>
      <c r="R169" s="26"/>
      <c r="S169" s="14">
        <f t="shared" si="13"/>
        <v>59.26684868</v>
      </c>
      <c r="U169" s="21"/>
      <c r="V169" s="21"/>
    </row>
    <row r="170">
      <c r="A170" s="11">
        <v>158.0</v>
      </c>
      <c r="B170" s="11">
        <v>1.42008260869565E9</v>
      </c>
      <c r="C170" s="2">
        <v>-101.8231354</v>
      </c>
      <c r="D170" s="24">
        <f t="shared" si="1"/>
        <v>-317391.3043</v>
      </c>
      <c r="E170" s="25">
        <f t="shared" si="2"/>
        <v>66.11732152</v>
      </c>
      <c r="F170" s="24">
        <f t="shared" si="3"/>
        <v>0.0002083148486</v>
      </c>
      <c r="G170" s="24">
        <f t="shared" si="4"/>
        <v>0</v>
      </c>
      <c r="H170" s="26">
        <f t="shared" si="5"/>
        <v>0</v>
      </c>
      <c r="I170" s="24">
        <f t="shared" si="6"/>
        <v>0</v>
      </c>
      <c r="J170" s="24">
        <f t="shared" si="7"/>
        <v>0</v>
      </c>
      <c r="K170" s="24"/>
      <c r="L170" s="24">
        <f t="shared" si="8"/>
        <v>499.7958289</v>
      </c>
      <c r="M170" s="14">
        <f t="shared" si="9"/>
        <v>439.0131931</v>
      </c>
      <c r="N170" s="27">
        <f t="shared" si="10"/>
        <v>60.7826358</v>
      </c>
      <c r="O170" s="24"/>
      <c r="P170" s="24"/>
      <c r="Q170" s="24"/>
      <c r="R170" s="26"/>
      <c r="S170" s="14">
        <f t="shared" si="13"/>
        <v>55.81645939</v>
      </c>
      <c r="U170" s="21"/>
      <c r="V170" s="21"/>
    </row>
    <row r="171">
      <c r="A171" s="11">
        <v>159.0</v>
      </c>
      <c r="B171" s="11">
        <v>1.42008695652173E9</v>
      </c>
      <c r="C171" s="2">
        <v>-101.826828</v>
      </c>
      <c r="D171" s="24">
        <f t="shared" si="1"/>
        <v>-313043.4783</v>
      </c>
      <c r="E171" s="25">
        <f t="shared" si="2"/>
        <v>65.19902538</v>
      </c>
      <c r="F171" s="24">
        <f t="shared" si="3"/>
        <v>0.0002082746644</v>
      </c>
      <c r="G171" s="24">
        <f t="shared" si="4"/>
        <v>0</v>
      </c>
      <c r="H171" s="26">
        <f t="shared" si="5"/>
        <v>0</v>
      </c>
      <c r="I171" s="24">
        <f t="shared" si="6"/>
        <v>0</v>
      </c>
      <c r="J171" s="24">
        <f t="shared" si="7"/>
        <v>0</v>
      </c>
      <c r="K171" s="24"/>
      <c r="L171" s="24">
        <f t="shared" si="8"/>
        <v>499.3710568</v>
      </c>
      <c r="M171" s="14">
        <f t="shared" si="9"/>
        <v>438.9409655</v>
      </c>
      <c r="N171" s="27">
        <f t="shared" si="10"/>
        <v>60.43009132</v>
      </c>
      <c r="O171" s="24"/>
      <c r="P171" s="24"/>
      <c r="Q171" s="24"/>
      <c r="R171" s="26"/>
      <c r="S171" s="14">
        <f t="shared" si="13"/>
        <v>55.49271916</v>
      </c>
      <c r="U171" s="21"/>
      <c r="V171" s="21"/>
    </row>
    <row r="172">
      <c r="A172" s="11">
        <v>160.0</v>
      </c>
      <c r="B172" s="11">
        <v>1.42009130434782E9</v>
      </c>
      <c r="C172" s="2">
        <v>-101.8387833</v>
      </c>
      <c r="D172" s="24">
        <f t="shared" si="1"/>
        <v>-308695.6522</v>
      </c>
      <c r="E172" s="25">
        <f t="shared" si="2"/>
        <v>64.28072925</v>
      </c>
      <c r="F172" s="24">
        <f t="shared" si="3"/>
        <v>0.0002082333483</v>
      </c>
      <c r="G172" s="24">
        <f t="shared" si="4"/>
        <v>0</v>
      </c>
      <c r="H172" s="26">
        <f t="shared" si="5"/>
        <v>0</v>
      </c>
      <c r="I172" s="24">
        <f t="shared" si="6"/>
        <v>0</v>
      </c>
      <c r="J172" s="24">
        <f t="shared" si="7"/>
        <v>0</v>
      </c>
      <c r="K172" s="24"/>
      <c r="L172" s="24">
        <f t="shared" si="8"/>
        <v>497.9982738</v>
      </c>
      <c r="M172" s="14">
        <f t="shared" si="9"/>
        <v>438.8686661</v>
      </c>
      <c r="N172" s="27">
        <f t="shared" si="10"/>
        <v>59.12960769</v>
      </c>
      <c r="O172" s="24"/>
      <c r="P172" s="24"/>
      <c r="Q172" s="24"/>
      <c r="R172" s="26"/>
      <c r="S172" s="14">
        <f t="shared" si="13"/>
        <v>54.29849008</v>
      </c>
      <c r="U172" s="21"/>
      <c r="V172" s="21"/>
    </row>
    <row r="173">
      <c r="A173" s="11">
        <v>161.0</v>
      </c>
      <c r="B173" s="11">
        <v>1.42009565217391E9</v>
      </c>
      <c r="C173" s="2">
        <v>-101.8687515</v>
      </c>
      <c r="D173" s="24">
        <f t="shared" si="1"/>
        <v>-304347.8261</v>
      </c>
      <c r="E173" s="25">
        <f t="shared" si="2"/>
        <v>63.36243312</v>
      </c>
      <c r="F173" s="24">
        <f t="shared" si="3"/>
        <v>0.0002081908517</v>
      </c>
      <c r="G173" s="24">
        <f t="shared" si="4"/>
        <v>0</v>
      </c>
      <c r="H173" s="26">
        <f t="shared" si="5"/>
        <v>0</v>
      </c>
      <c r="I173" s="24">
        <f t="shared" si="6"/>
        <v>0</v>
      </c>
      <c r="J173" s="24">
        <f t="shared" si="7"/>
        <v>0</v>
      </c>
      <c r="K173" s="24"/>
      <c r="L173" s="24">
        <f t="shared" si="8"/>
        <v>494.5736992</v>
      </c>
      <c r="M173" s="14">
        <f t="shared" si="9"/>
        <v>438.7962941</v>
      </c>
      <c r="N173" s="27">
        <f t="shared" si="10"/>
        <v>55.77740506</v>
      </c>
      <c r="O173" s="24"/>
      <c r="P173" s="24"/>
      <c r="Q173" s="24"/>
      <c r="R173" s="26"/>
      <c r="S173" s="14">
        <f t="shared" si="13"/>
        <v>51.22017525</v>
      </c>
      <c r="U173" s="21"/>
      <c r="V173" s="21"/>
    </row>
    <row r="174">
      <c r="A174" s="11">
        <v>162.0</v>
      </c>
      <c r="B174" s="11">
        <v>1.4201E9</v>
      </c>
      <c r="C174" s="2">
        <v>-101.8412781</v>
      </c>
      <c r="D174" s="24">
        <f t="shared" si="1"/>
        <v>-300000</v>
      </c>
      <c r="E174" s="25">
        <f t="shared" si="2"/>
        <v>62.44413699</v>
      </c>
      <c r="F174" s="24">
        <f t="shared" si="3"/>
        <v>0.0002081471233</v>
      </c>
      <c r="G174" s="24">
        <f t="shared" si="4"/>
        <v>0</v>
      </c>
      <c r="H174" s="26">
        <f t="shared" si="5"/>
        <v>0</v>
      </c>
      <c r="I174" s="24">
        <f t="shared" si="6"/>
        <v>0</v>
      </c>
      <c r="J174" s="24">
        <f t="shared" si="7"/>
        <v>0</v>
      </c>
      <c r="K174" s="24"/>
      <c r="L174" s="24">
        <f t="shared" si="8"/>
        <v>497.7122814</v>
      </c>
      <c r="M174" s="14">
        <f t="shared" si="9"/>
        <v>438.7238487</v>
      </c>
      <c r="N174" s="27">
        <f t="shared" si="10"/>
        <v>58.98843267</v>
      </c>
      <c r="O174" s="24"/>
      <c r="P174" s="24"/>
      <c r="Q174" s="24"/>
      <c r="R174" s="26"/>
      <c r="S174" s="14">
        <f t="shared" si="13"/>
        <v>54.1688496</v>
      </c>
      <c r="U174" s="21"/>
      <c r="V174" s="21"/>
    </row>
    <row r="175">
      <c r="A175" s="11">
        <v>163.0</v>
      </c>
      <c r="B175" s="11">
        <v>1.42010434782608E9</v>
      </c>
      <c r="C175" s="2">
        <v>-101.8475189</v>
      </c>
      <c r="D175" s="24">
        <f t="shared" si="1"/>
        <v>-295652.1739</v>
      </c>
      <c r="E175" s="25">
        <f t="shared" si="2"/>
        <v>61.52584085</v>
      </c>
      <c r="F175" s="24">
        <f t="shared" si="3"/>
        <v>0.0002081021088</v>
      </c>
      <c r="G175" s="24">
        <f t="shared" si="4"/>
        <v>0</v>
      </c>
      <c r="H175" s="26">
        <f t="shared" si="5"/>
        <v>0</v>
      </c>
      <c r="I175" s="24">
        <f t="shared" si="6"/>
        <v>0</v>
      </c>
      <c r="J175" s="24">
        <f t="shared" si="7"/>
        <v>0</v>
      </c>
      <c r="K175" s="24"/>
      <c r="L175" s="24">
        <f t="shared" si="8"/>
        <v>496.9975838</v>
      </c>
      <c r="M175" s="14">
        <f t="shared" si="9"/>
        <v>438.6513291</v>
      </c>
      <c r="N175" s="27">
        <f t="shared" si="10"/>
        <v>58.34625466</v>
      </c>
      <c r="O175" s="24"/>
      <c r="P175" s="24"/>
      <c r="Q175" s="24"/>
      <c r="R175" s="26"/>
      <c r="S175" s="14">
        <f t="shared" si="13"/>
        <v>53.57914002</v>
      </c>
      <c r="U175" s="21"/>
      <c r="V175" s="21"/>
    </row>
    <row r="176">
      <c r="A176" s="11">
        <v>164.0</v>
      </c>
      <c r="B176" s="11">
        <v>1.42010869565217E9</v>
      </c>
      <c r="C176" s="2">
        <v>-101.8198242</v>
      </c>
      <c r="D176" s="24">
        <f t="shared" si="1"/>
        <v>-291304.3478</v>
      </c>
      <c r="E176" s="25">
        <f t="shared" si="2"/>
        <v>60.60754472</v>
      </c>
      <c r="F176" s="24">
        <f t="shared" si="3"/>
        <v>0.0002080557505</v>
      </c>
      <c r="G176" s="24">
        <f t="shared" si="4"/>
        <v>0</v>
      </c>
      <c r="H176" s="26">
        <f t="shared" si="5"/>
        <v>0</v>
      </c>
      <c r="I176" s="24">
        <f t="shared" si="6"/>
        <v>0</v>
      </c>
      <c r="J176" s="24">
        <f t="shared" si="7"/>
        <v>0</v>
      </c>
      <c r="K176" s="24"/>
      <c r="L176" s="24">
        <f t="shared" si="8"/>
        <v>500.1770346</v>
      </c>
      <c r="M176" s="14">
        <f t="shared" si="9"/>
        <v>438.5787346</v>
      </c>
      <c r="N176" s="27">
        <f t="shared" si="10"/>
        <v>61.59829994</v>
      </c>
      <c r="O176" s="24"/>
      <c r="P176" s="24"/>
      <c r="Q176" s="24"/>
      <c r="R176" s="26"/>
      <c r="S176" s="14">
        <f t="shared" si="13"/>
        <v>56.56548048</v>
      </c>
      <c r="U176" s="21"/>
      <c r="V176" s="21"/>
    </row>
    <row r="177">
      <c r="A177" s="11">
        <v>165.0</v>
      </c>
      <c r="B177" s="11">
        <v>1.42011304347826E9</v>
      </c>
      <c r="C177" s="2">
        <v>-101.8053589</v>
      </c>
      <c r="D177" s="24">
        <f t="shared" si="1"/>
        <v>-286956.5217</v>
      </c>
      <c r="E177" s="25">
        <f t="shared" si="2"/>
        <v>59.68924859</v>
      </c>
      <c r="F177" s="24">
        <f t="shared" si="3"/>
        <v>0.0002080079875</v>
      </c>
      <c r="G177" s="24">
        <f t="shared" si="4"/>
        <v>0</v>
      </c>
      <c r="H177" s="26">
        <f t="shared" si="5"/>
        <v>0</v>
      </c>
      <c r="I177" s="24">
        <f t="shared" si="6"/>
        <v>0</v>
      </c>
      <c r="J177" s="24">
        <f t="shared" si="7"/>
        <v>0</v>
      </c>
      <c r="K177" s="24"/>
      <c r="L177" s="24">
        <f t="shared" si="8"/>
        <v>501.845781</v>
      </c>
      <c r="M177" s="14">
        <f t="shared" si="9"/>
        <v>438.5060643</v>
      </c>
      <c r="N177" s="27">
        <f t="shared" si="10"/>
        <v>63.33971662</v>
      </c>
      <c r="O177" s="24"/>
      <c r="P177" s="24"/>
      <c r="Q177" s="24"/>
      <c r="R177" s="26"/>
      <c r="S177" s="14">
        <f t="shared" si="13"/>
        <v>58.16461683</v>
      </c>
      <c r="U177" s="21"/>
      <c r="V177" s="21"/>
    </row>
    <row r="178">
      <c r="A178" s="11">
        <v>166.0</v>
      </c>
      <c r="B178" s="11">
        <v>1.42011739130434E9</v>
      </c>
      <c r="C178" s="2">
        <v>-101.8608704</v>
      </c>
      <c r="D178" s="24">
        <f t="shared" si="1"/>
        <v>-282608.6957</v>
      </c>
      <c r="E178" s="25">
        <f t="shared" si="2"/>
        <v>58.77095246</v>
      </c>
      <c r="F178" s="24">
        <f t="shared" si="3"/>
        <v>0.0002079587548</v>
      </c>
      <c r="G178" s="24">
        <f t="shared" si="4"/>
        <v>0</v>
      </c>
      <c r="H178" s="26">
        <f t="shared" si="5"/>
        <v>0</v>
      </c>
      <c r="I178" s="24">
        <f t="shared" si="6"/>
        <v>0</v>
      </c>
      <c r="J178" s="24">
        <f t="shared" si="7"/>
        <v>0</v>
      </c>
      <c r="K178" s="24"/>
      <c r="L178" s="24">
        <f t="shared" si="8"/>
        <v>495.4720121</v>
      </c>
      <c r="M178" s="14">
        <f t="shared" si="9"/>
        <v>438.4333175</v>
      </c>
      <c r="N178" s="27">
        <f t="shared" si="10"/>
        <v>57.03869456</v>
      </c>
      <c r="O178" s="24"/>
      <c r="P178" s="24"/>
      <c r="Q178" s="24"/>
      <c r="R178" s="26"/>
      <c r="S178" s="14">
        <f t="shared" si="13"/>
        <v>52.37841264</v>
      </c>
      <c r="U178" s="21"/>
      <c r="V178" s="21"/>
    </row>
    <row r="179">
      <c r="A179" s="11">
        <v>167.0</v>
      </c>
      <c r="B179" s="11">
        <v>1.42012173913043E9</v>
      </c>
      <c r="C179" s="2">
        <v>-101.8361816</v>
      </c>
      <c r="D179" s="24">
        <f t="shared" si="1"/>
        <v>-278260.8696</v>
      </c>
      <c r="E179" s="25">
        <f t="shared" si="2"/>
        <v>57.85265632</v>
      </c>
      <c r="F179" s="24">
        <f t="shared" si="3"/>
        <v>0.0002079079837</v>
      </c>
      <c r="G179" s="24">
        <f t="shared" si="4"/>
        <v>0</v>
      </c>
      <c r="H179" s="26">
        <f t="shared" si="5"/>
        <v>0</v>
      </c>
      <c r="I179" s="24">
        <f t="shared" si="6"/>
        <v>0</v>
      </c>
      <c r="J179" s="24">
        <f t="shared" si="7"/>
        <v>0</v>
      </c>
      <c r="K179" s="24"/>
      <c r="L179" s="24">
        <f t="shared" si="8"/>
        <v>498.2966958</v>
      </c>
      <c r="M179" s="14">
        <f t="shared" si="9"/>
        <v>438.3604934</v>
      </c>
      <c r="N179" s="27">
        <f t="shared" si="10"/>
        <v>59.93620238</v>
      </c>
      <c r="O179" s="24"/>
      <c r="P179" s="24"/>
      <c r="Q179" s="24"/>
      <c r="R179" s="26"/>
      <c r="S179" s="14">
        <f t="shared" si="13"/>
        <v>55.03918273</v>
      </c>
      <c r="U179" s="21"/>
      <c r="V179" s="21"/>
    </row>
    <row r="180">
      <c r="A180" s="11">
        <v>168.0</v>
      </c>
      <c r="B180" s="11">
        <v>1.42012608695652E9</v>
      </c>
      <c r="C180" s="2">
        <v>-101.7970123</v>
      </c>
      <c r="D180" s="24">
        <f t="shared" si="1"/>
        <v>-273913.0435</v>
      </c>
      <c r="E180" s="25">
        <f t="shared" si="2"/>
        <v>56.93436019</v>
      </c>
      <c r="F180" s="24">
        <f t="shared" si="3"/>
        <v>0.0002078556007</v>
      </c>
      <c r="G180" s="24">
        <f t="shared" si="4"/>
        <v>0</v>
      </c>
      <c r="H180" s="26">
        <f t="shared" si="5"/>
        <v>0</v>
      </c>
      <c r="I180" s="24">
        <f t="shared" si="6"/>
        <v>0</v>
      </c>
      <c r="J180" s="24">
        <f t="shared" si="7"/>
        <v>0</v>
      </c>
      <c r="K180" s="24"/>
      <c r="L180" s="24">
        <f t="shared" si="8"/>
        <v>502.8111936</v>
      </c>
      <c r="M180" s="14">
        <f t="shared" si="9"/>
        <v>438.2875912</v>
      </c>
      <c r="N180" s="27">
        <f t="shared" si="10"/>
        <v>64.52360238</v>
      </c>
      <c r="O180" s="24"/>
      <c r="P180" s="24"/>
      <c r="Q180" s="24"/>
      <c r="R180" s="26"/>
      <c r="S180" s="14">
        <f t="shared" si="13"/>
        <v>59.25177454</v>
      </c>
      <c r="U180" s="21"/>
      <c r="V180" s="21"/>
    </row>
    <row r="181">
      <c r="A181" s="11">
        <v>169.0</v>
      </c>
      <c r="B181" s="11">
        <v>1.4201304347826E9</v>
      </c>
      <c r="C181" s="2">
        <v>-101.8169708</v>
      </c>
      <c r="D181" s="24">
        <f t="shared" si="1"/>
        <v>-269565.2174</v>
      </c>
      <c r="E181" s="25">
        <f t="shared" si="2"/>
        <v>56.01606406</v>
      </c>
      <c r="F181" s="24">
        <f t="shared" si="3"/>
        <v>0.000207801528</v>
      </c>
      <c r="G181" s="24">
        <f t="shared" si="4"/>
        <v>0</v>
      </c>
      <c r="H181" s="26">
        <f t="shared" si="5"/>
        <v>0</v>
      </c>
      <c r="I181" s="24">
        <f t="shared" si="6"/>
        <v>0</v>
      </c>
      <c r="J181" s="24">
        <f t="shared" si="7"/>
        <v>0</v>
      </c>
      <c r="K181" s="24"/>
      <c r="L181" s="24">
        <f t="shared" si="8"/>
        <v>500.5057687</v>
      </c>
      <c r="M181" s="14">
        <f t="shared" si="9"/>
        <v>438.2146101</v>
      </c>
      <c r="N181" s="27">
        <f t="shared" si="10"/>
        <v>62.2911586</v>
      </c>
      <c r="O181" s="24"/>
      <c r="P181" s="24"/>
      <c r="Q181" s="24"/>
      <c r="R181" s="26"/>
      <c r="S181" s="14">
        <f t="shared" si="13"/>
        <v>57.20173005</v>
      </c>
      <c r="U181" s="21"/>
      <c r="V181" s="21"/>
    </row>
    <row r="182">
      <c r="A182" s="11">
        <v>170.0</v>
      </c>
      <c r="B182" s="11">
        <v>1.42013478260869E9</v>
      </c>
      <c r="C182" s="2">
        <v>-101.7738571</v>
      </c>
      <c r="D182" s="24">
        <f t="shared" si="1"/>
        <v>-265217.3913</v>
      </c>
      <c r="E182" s="25">
        <f t="shared" si="2"/>
        <v>55.09776793</v>
      </c>
      <c r="F182" s="24">
        <f t="shared" si="3"/>
        <v>0.0002077456823</v>
      </c>
      <c r="G182" s="24">
        <f t="shared" si="4"/>
        <v>0</v>
      </c>
      <c r="H182" s="26">
        <f t="shared" si="5"/>
        <v>0</v>
      </c>
      <c r="I182" s="24">
        <f t="shared" si="6"/>
        <v>0</v>
      </c>
      <c r="J182" s="24">
        <f t="shared" si="7"/>
        <v>0</v>
      </c>
      <c r="K182" s="24"/>
      <c r="L182" s="24">
        <f t="shared" si="8"/>
        <v>505.4991823</v>
      </c>
      <c r="M182" s="14">
        <f t="shared" si="9"/>
        <v>438.1415493</v>
      </c>
      <c r="N182" s="27">
        <f t="shared" si="10"/>
        <v>67.35763301</v>
      </c>
      <c r="O182" s="24"/>
      <c r="P182" s="24"/>
      <c r="Q182" s="24"/>
      <c r="R182" s="26"/>
      <c r="S182" s="14">
        <f t="shared" si="13"/>
        <v>61.85425391</v>
      </c>
      <c r="U182" s="21"/>
      <c r="V182" s="21"/>
    </row>
    <row r="183">
      <c r="A183" s="11">
        <v>171.0</v>
      </c>
      <c r="B183" s="11">
        <v>1.42013913043478E9</v>
      </c>
      <c r="C183" s="2">
        <v>-101.7714691</v>
      </c>
      <c r="D183" s="24">
        <f t="shared" si="1"/>
        <v>-260869.5652</v>
      </c>
      <c r="E183" s="25">
        <f t="shared" si="2"/>
        <v>54.1794718</v>
      </c>
      <c r="F183" s="24">
        <f t="shared" si="3"/>
        <v>0.0002076879752</v>
      </c>
      <c r="G183" s="24">
        <f t="shared" si="4"/>
        <v>0</v>
      </c>
      <c r="H183" s="26">
        <f t="shared" si="5"/>
        <v>0</v>
      </c>
      <c r="I183" s="24">
        <f t="shared" si="6"/>
        <v>0</v>
      </c>
      <c r="J183" s="24">
        <f t="shared" si="7"/>
        <v>0</v>
      </c>
      <c r="K183" s="24"/>
      <c r="L183" s="24">
        <f t="shared" si="8"/>
        <v>505.7772111</v>
      </c>
      <c r="M183" s="14">
        <f t="shared" si="9"/>
        <v>438.068408</v>
      </c>
      <c r="N183" s="27">
        <f t="shared" si="10"/>
        <v>67.70880315</v>
      </c>
      <c r="O183" s="24"/>
      <c r="P183" s="24"/>
      <c r="Q183" s="24"/>
      <c r="R183" s="26"/>
      <c r="S183" s="14">
        <f t="shared" si="13"/>
        <v>62.17673195</v>
      </c>
      <c r="U183" s="21"/>
      <c r="V183" s="21"/>
    </row>
    <row r="184">
      <c r="A184" s="11">
        <v>172.0</v>
      </c>
      <c r="B184" s="11">
        <v>1.42014347826087E9</v>
      </c>
      <c r="C184" s="2">
        <v>-101.781929</v>
      </c>
      <c r="D184" s="24">
        <f t="shared" si="1"/>
        <v>-256521.7391</v>
      </c>
      <c r="E184" s="25">
        <f t="shared" si="2"/>
        <v>53.26117567</v>
      </c>
      <c r="F184" s="24">
        <f t="shared" si="3"/>
        <v>0.0002076283119</v>
      </c>
      <c r="G184" s="24">
        <f t="shared" si="4"/>
        <v>0</v>
      </c>
      <c r="H184" s="26">
        <f t="shared" si="5"/>
        <v>0</v>
      </c>
      <c r="I184" s="24">
        <f t="shared" si="6"/>
        <v>0</v>
      </c>
      <c r="J184" s="24">
        <f t="shared" si="7"/>
        <v>0</v>
      </c>
      <c r="K184" s="24"/>
      <c r="L184" s="24">
        <f t="shared" si="8"/>
        <v>504.5605221</v>
      </c>
      <c r="M184" s="14">
        <f t="shared" si="9"/>
        <v>437.9951854</v>
      </c>
      <c r="N184" s="27">
        <f t="shared" si="10"/>
        <v>66.56533668</v>
      </c>
      <c r="O184" s="24"/>
      <c r="P184" s="24"/>
      <c r="Q184" s="24"/>
      <c r="R184" s="26"/>
      <c r="S184" s="14">
        <f t="shared" si="13"/>
        <v>61.12669125</v>
      </c>
      <c r="U184" s="21"/>
      <c r="V184" s="21"/>
    </row>
    <row r="185">
      <c r="A185" s="11">
        <v>173.0</v>
      </c>
      <c r="B185" s="11">
        <v>1.42014782608695E9</v>
      </c>
      <c r="C185" s="2">
        <v>-101.806282</v>
      </c>
      <c r="D185" s="24">
        <f t="shared" si="1"/>
        <v>-252173.913</v>
      </c>
      <c r="E185" s="25">
        <f t="shared" si="2"/>
        <v>52.34287953</v>
      </c>
      <c r="F185" s="24">
        <f t="shared" si="3"/>
        <v>0.0002075665912</v>
      </c>
      <c r="G185" s="24">
        <f t="shared" si="4"/>
        <v>0</v>
      </c>
      <c r="H185" s="26">
        <f t="shared" si="5"/>
        <v>0</v>
      </c>
      <c r="I185" s="24">
        <f t="shared" si="6"/>
        <v>0</v>
      </c>
      <c r="J185" s="24">
        <f t="shared" si="7"/>
        <v>0</v>
      </c>
      <c r="K185" s="24"/>
      <c r="L185" s="24">
        <f t="shared" si="8"/>
        <v>501.7391242</v>
      </c>
      <c r="M185" s="14">
        <f t="shared" si="9"/>
        <v>437.9218808</v>
      </c>
      <c r="N185" s="27">
        <f t="shared" si="10"/>
        <v>63.81724333</v>
      </c>
      <c r="O185" s="24"/>
      <c r="P185" s="24"/>
      <c r="Q185" s="24"/>
      <c r="R185" s="26"/>
      <c r="S185" s="14">
        <f t="shared" si="13"/>
        <v>58.60312776</v>
      </c>
      <c r="U185" s="21"/>
      <c r="V185" s="21"/>
    </row>
    <row r="186">
      <c r="A186" s="11">
        <v>174.0</v>
      </c>
      <c r="B186" s="11">
        <v>1.42015217391304E9</v>
      </c>
      <c r="C186" s="2">
        <v>-101.8394623</v>
      </c>
      <c r="D186" s="24">
        <f t="shared" si="1"/>
        <v>-247826.087</v>
      </c>
      <c r="E186" s="25">
        <f t="shared" si="2"/>
        <v>51.4245834</v>
      </c>
      <c r="F186" s="24">
        <f t="shared" si="3"/>
        <v>0.0002075027049</v>
      </c>
      <c r="G186" s="24">
        <f t="shared" si="4"/>
        <v>0</v>
      </c>
      <c r="H186" s="26">
        <f t="shared" si="5"/>
        <v>0</v>
      </c>
      <c r="I186" s="24">
        <f t="shared" si="6"/>
        <v>0</v>
      </c>
      <c r="J186" s="24">
        <f t="shared" si="7"/>
        <v>0</v>
      </c>
      <c r="K186" s="24"/>
      <c r="L186" s="24">
        <f t="shared" si="8"/>
        <v>497.9204201</v>
      </c>
      <c r="M186" s="14">
        <f t="shared" si="9"/>
        <v>437.8484934</v>
      </c>
      <c r="N186" s="27">
        <f t="shared" si="10"/>
        <v>60.07192667</v>
      </c>
      <c r="O186" s="24"/>
      <c r="P186" s="24"/>
      <c r="Q186" s="24"/>
      <c r="R186" s="26"/>
      <c r="S186" s="14">
        <f t="shared" si="13"/>
        <v>55.16381782</v>
      </c>
      <c r="U186" s="21"/>
      <c r="V186" s="21"/>
    </row>
    <row r="187">
      <c r="A187" s="11">
        <v>175.0</v>
      </c>
      <c r="B187" s="11">
        <v>1.42015652173913E9</v>
      </c>
      <c r="C187" s="2">
        <v>-101.8476944</v>
      </c>
      <c r="D187" s="24">
        <f t="shared" si="1"/>
        <v>-243478.2609</v>
      </c>
      <c r="E187" s="25">
        <f t="shared" si="2"/>
        <v>50.50628727</v>
      </c>
      <c r="F187" s="24">
        <f t="shared" si="3"/>
        <v>0.000207436537</v>
      </c>
      <c r="G187" s="24">
        <f t="shared" si="4"/>
        <v>0</v>
      </c>
      <c r="H187" s="26">
        <f t="shared" si="5"/>
        <v>0</v>
      </c>
      <c r="I187" s="24">
        <f t="shared" si="6"/>
        <v>0</v>
      </c>
      <c r="J187" s="24">
        <f t="shared" si="7"/>
        <v>0</v>
      </c>
      <c r="K187" s="24"/>
      <c r="L187" s="24">
        <f t="shared" si="8"/>
        <v>496.9775004</v>
      </c>
      <c r="M187" s="14">
        <f t="shared" si="9"/>
        <v>437.7750224</v>
      </c>
      <c r="N187" s="27">
        <f t="shared" si="10"/>
        <v>59.20247798</v>
      </c>
      <c r="O187" s="24"/>
      <c r="P187" s="24"/>
      <c r="Q187" s="24"/>
      <c r="R187" s="26"/>
      <c r="S187" s="14">
        <f t="shared" si="13"/>
        <v>54.36540658</v>
      </c>
      <c r="U187" s="21"/>
      <c r="V187" s="21"/>
    </row>
    <row r="188">
      <c r="A188" s="11">
        <v>176.0</v>
      </c>
      <c r="B188" s="11">
        <v>1.42016086956521E9</v>
      </c>
      <c r="C188" s="2">
        <v>-101.7944946</v>
      </c>
      <c r="D188" s="24">
        <f t="shared" si="1"/>
        <v>-239130.4348</v>
      </c>
      <c r="E188" s="25">
        <f t="shared" si="2"/>
        <v>49.58799114</v>
      </c>
      <c r="F188" s="24">
        <f t="shared" si="3"/>
        <v>0.0002073679629</v>
      </c>
      <c r="G188" s="24">
        <f t="shared" si="4"/>
        <v>0</v>
      </c>
      <c r="H188" s="26">
        <f t="shared" si="5"/>
        <v>0</v>
      </c>
      <c r="I188" s="24">
        <f t="shared" si="6"/>
        <v>0</v>
      </c>
      <c r="J188" s="24">
        <f t="shared" si="7"/>
        <v>0</v>
      </c>
      <c r="K188" s="24"/>
      <c r="L188" s="24">
        <f t="shared" si="8"/>
        <v>503.1027687</v>
      </c>
      <c r="M188" s="14">
        <f t="shared" si="9"/>
        <v>437.7014669</v>
      </c>
      <c r="N188" s="27">
        <f t="shared" si="10"/>
        <v>65.4013018</v>
      </c>
      <c r="O188" s="24"/>
      <c r="P188" s="24"/>
      <c r="Q188" s="24"/>
      <c r="R188" s="26"/>
      <c r="S188" s="14">
        <f t="shared" si="13"/>
        <v>60.05776252</v>
      </c>
      <c r="U188" s="21"/>
      <c r="V188" s="21"/>
    </row>
    <row r="189">
      <c r="A189" s="11">
        <v>177.0</v>
      </c>
      <c r="B189" s="11">
        <v>1.4201652173913E9</v>
      </c>
      <c r="C189" s="2">
        <v>-101.7957687</v>
      </c>
      <c r="D189" s="24">
        <f t="shared" si="1"/>
        <v>-234782.6087</v>
      </c>
      <c r="E189" s="25">
        <f t="shared" si="2"/>
        <v>48.669695</v>
      </c>
      <c r="F189" s="24">
        <f t="shared" si="3"/>
        <v>0.0002072968491</v>
      </c>
      <c r="G189" s="24">
        <f t="shared" si="4"/>
        <v>0</v>
      </c>
      <c r="H189" s="26">
        <f t="shared" si="5"/>
        <v>0</v>
      </c>
      <c r="I189" s="24">
        <f t="shared" si="6"/>
        <v>0</v>
      </c>
      <c r="J189" s="24">
        <f t="shared" si="7"/>
        <v>0</v>
      </c>
      <c r="K189" s="24"/>
      <c r="L189" s="24">
        <f t="shared" si="8"/>
        <v>502.9551939</v>
      </c>
      <c r="M189" s="14">
        <f t="shared" si="9"/>
        <v>437.6278263</v>
      </c>
      <c r="N189" s="27">
        <f t="shared" si="10"/>
        <v>65.32736764</v>
      </c>
      <c r="O189" s="24"/>
      <c r="P189" s="24"/>
      <c r="Q189" s="24"/>
      <c r="R189" s="26"/>
      <c r="S189" s="14">
        <f t="shared" si="13"/>
        <v>59.98986893</v>
      </c>
      <c r="U189" s="21"/>
      <c r="V189" s="21"/>
    </row>
    <row r="190">
      <c r="A190" s="11">
        <v>178.0</v>
      </c>
      <c r="B190" s="11">
        <v>1.42016956521739E9</v>
      </c>
      <c r="C190" s="2">
        <v>-101.8350372</v>
      </c>
      <c r="D190" s="24">
        <f t="shared" si="1"/>
        <v>-230434.7826</v>
      </c>
      <c r="E190" s="25">
        <f t="shared" si="2"/>
        <v>47.75139887</v>
      </c>
      <c r="F190" s="24">
        <f t="shared" si="3"/>
        <v>0.0002072230517</v>
      </c>
      <c r="G190" s="24">
        <f t="shared" si="4"/>
        <v>0</v>
      </c>
      <c r="H190" s="26">
        <f t="shared" si="5"/>
        <v>0</v>
      </c>
      <c r="I190" s="24">
        <f t="shared" si="6"/>
        <v>0</v>
      </c>
      <c r="J190" s="24">
        <f t="shared" si="7"/>
        <v>0</v>
      </c>
      <c r="K190" s="24"/>
      <c r="L190" s="24">
        <f t="shared" si="8"/>
        <v>498.4280182</v>
      </c>
      <c r="M190" s="14">
        <f t="shared" si="9"/>
        <v>437.5540996</v>
      </c>
      <c r="N190" s="27">
        <f t="shared" si="10"/>
        <v>60.87391855</v>
      </c>
      <c r="O190" s="24"/>
      <c r="P190" s="24"/>
      <c r="Q190" s="24"/>
      <c r="R190" s="26"/>
      <c r="S190" s="14">
        <f t="shared" si="13"/>
        <v>55.90028399</v>
      </c>
      <c r="U190" s="21"/>
      <c r="V190" s="21"/>
    </row>
    <row r="191">
      <c r="A191" s="11">
        <v>179.0</v>
      </c>
      <c r="B191" s="11">
        <v>1.42017391304347E9</v>
      </c>
      <c r="C191" s="2">
        <v>-101.8400269</v>
      </c>
      <c r="D191" s="24">
        <f t="shared" si="1"/>
        <v>-226086.9565</v>
      </c>
      <c r="E191" s="25">
        <f t="shared" si="2"/>
        <v>46.83310274</v>
      </c>
      <c r="F191" s="24">
        <f t="shared" si="3"/>
        <v>0.000207146416</v>
      </c>
      <c r="G191" s="24">
        <f t="shared" si="4"/>
        <v>0</v>
      </c>
      <c r="H191" s="26">
        <f t="shared" si="5"/>
        <v>0</v>
      </c>
      <c r="I191" s="24">
        <f t="shared" si="6"/>
        <v>0</v>
      </c>
      <c r="J191" s="24">
        <f t="shared" si="7"/>
        <v>0</v>
      </c>
      <c r="K191" s="24"/>
      <c r="L191" s="24">
        <f t="shared" si="8"/>
        <v>497.8556927</v>
      </c>
      <c r="M191" s="14">
        <f t="shared" si="9"/>
        <v>437.4802862</v>
      </c>
      <c r="N191" s="27">
        <f t="shared" si="10"/>
        <v>60.37540643</v>
      </c>
      <c r="O191" s="24"/>
      <c r="P191" s="24"/>
      <c r="Q191" s="24"/>
      <c r="R191" s="26"/>
      <c r="S191" s="14">
        <f t="shared" si="13"/>
        <v>55.44250224</v>
      </c>
      <c r="U191" s="21"/>
      <c r="V191" s="21"/>
    </row>
    <row r="192">
      <c r="A192" s="11">
        <v>180.0</v>
      </c>
      <c r="B192" s="11">
        <v>1.42017826086956E9</v>
      </c>
      <c r="C192" s="2">
        <v>-101.8413773</v>
      </c>
      <c r="D192" s="24">
        <f t="shared" si="1"/>
        <v>-221739.1304</v>
      </c>
      <c r="E192" s="25">
        <f t="shared" si="2"/>
        <v>45.91480661</v>
      </c>
      <c r="F192" s="24">
        <f t="shared" si="3"/>
        <v>0.0002070667749</v>
      </c>
      <c r="G192" s="24">
        <f t="shared" si="4"/>
        <v>0</v>
      </c>
      <c r="H192" s="26">
        <f t="shared" si="5"/>
        <v>0</v>
      </c>
      <c r="I192" s="24">
        <f t="shared" si="6"/>
        <v>0</v>
      </c>
      <c r="J192" s="24">
        <f t="shared" si="7"/>
        <v>0</v>
      </c>
      <c r="K192" s="24"/>
      <c r="L192" s="24">
        <f t="shared" si="8"/>
        <v>497.7009129</v>
      </c>
      <c r="M192" s="14">
        <f t="shared" si="9"/>
        <v>437.4063853</v>
      </c>
      <c r="N192" s="27">
        <f t="shared" si="10"/>
        <v>60.29452767</v>
      </c>
      <c r="O192" s="24"/>
      <c r="P192" s="24"/>
      <c r="Q192" s="24"/>
      <c r="R192" s="26"/>
      <c r="S192" s="14">
        <f t="shared" si="13"/>
        <v>55.36823146</v>
      </c>
      <c r="U192" s="21"/>
      <c r="V192" s="21"/>
    </row>
    <row r="193">
      <c r="A193" s="11">
        <v>181.0</v>
      </c>
      <c r="B193" s="11">
        <v>1.42018260869565E9</v>
      </c>
      <c r="C193" s="2">
        <v>-101.7101212</v>
      </c>
      <c r="D193" s="24">
        <f t="shared" si="1"/>
        <v>-217391.3043</v>
      </c>
      <c r="E193" s="25">
        <f t="shared" si="2"/>
        <v>44.99651048</v>
      </c>
      <c r="F193" s="24">
        <f t="shared" si="3"/>
        <v>0.0002069839482</v>
      </c>
      <c r="G193" s="24">
        <f t="shared" si="4"/>
        <v>0</v>
      </c>
      <c r="H193" s="26">
        <f t="shared" si="5"/>
        <v>0</v>
      </c>
      <c r="I193" s="24">
        <f t="shared" si="6"/>
        <v>0</v>
      </c>
      <c r="J193" s="24">
        <f t="shared" si="7"/>
        <v>0</v>
      </c>
      <c r="K193" s="24"/>
      <c r="L193" s="24">
        <f t="shared" si="8"/>
        <v>512.9724572</v>
      </c>
      <c r="M193" s="14">
        <f t="shared" si="9"/>
        <v>437.332396</v>
      </c>
      <c r="N193" s="27">
        <f t="shared" si="10"/>
        <v>75.64006126</v>
      </c>
      <c r="O193" s="24"/>
      <c r="P193" s="24"/>
      <c r="Q193" s="24"/>
      <c r="R193" s="26"/>
      <c r="S193" s="14">
        <f t="shared" si="13"/>
        <v>69.45997574</v>
      </c>
      <c r="U193" s="21"/>
      <c r="V193" s="21"/>
    </row>
    <row r="194">
      <c r="A194" s="11">
        <v>182.0</v>
      </c>
      <c r="B194" s="11">
        <v>1.42018695652173E9</v>
      </c>
      <c r="C194" s="2">
        <v>-101.8126068</v>
      </c>
      <c r="D194" s="24">
        <f t="shared" si="1"/>
        <v>-213043.4783</v>
      </c>
      <c r="E194" s="25">
        <f t="shared" si="2"/>
        <v>44.07821434</v>
      </c>
      <c r="F194" s="24">
        <f t="shared" si="3"/>
        <v>0.0002068977408</v>
      </c>
      <c r="G194" s="24">
        <f t="shared" si="4"/>
        <v>0</v>
      </c>
      <c r="H194" s="26">
        <f t="shared" si="5"/>
        <v>0</v>
      </c>
      <c r="I194" s="24">
        <f t="shared" si="6"/>
        <v>0</v>
      </c>
      <c r="J194" s="24">
        <f t="shared" si="7"/>
        <v>0</v>
      </c>
      <c r="K194" s="24"/>
      <c r="L194" s="24">
        <f t="shared" si="8"/>
        <v>501.0089537</v>
      </c>
      <c r="M194" s="14">
        <f t="shared" si="9"/>
        <v>437.2583175</v>
      </c>
      <c r="N194" s="27">
        <f t="shared" si="10"/>
        <v>63.7506362</v>
      </c>
      <c r="O194" s="24"/>
      <c r="P194" s="24"/>
      <c r="Q194" s="24"/>
      <c r="R194" s="26"/>
      <c r="S194" s="14">
        <f t="shared" si="13"/>
        <v>58.54196268</v>
      </c>
      <c r="U194" s="21"/>
      <c r="V194" s="21"/>
    </row>
    <row r="195">
      <c r="A195" s="11">
        <v>183.0</v>
      </c>
      <c r="B195" s="11">
        <v>1.42019130434782E9</v>
      </c>
      <c r="C195" s="2">
        <v>-101.8150635</v>
      </c>
      <c r="D195" s="24">
        <f t="shared" si="1"/>
        <v>-208695.6522</v>
      </c>
      <c r="E195" s="25">
        <f t="shared" si="2"/>
        <v>43.15991821</v>
      </c>
      <c r="F195" s="24">
        <f t="shared" si="3"/>
        <v>0.0002068079414</v>
      </c>
      <c r="G195" s="24">
        <f t="shared" si="4"/>
        <v>0</v>
      </c>
      <c r="H195" s="26">
        <f t="shared" si="5"/>
        <v>0</v>
      </c>
      <c r="I195" s="24">
        <f t="shared" si="6"/>
        <v>0</v>
      </c>
      <c r="J195" s="24">
        <f t="shared" si="7"/>
        <v>0</v>
      </c>
      <c r="K195" s="24"/>
      <c r="L195" s="24">
        <f t="shared" si="8"/>
        <v>500.7256251</v>
      </c>
      <c r="M195" s="14">
        <f t="shared" si="9"/>
        <v>437.1841492</v>
      </c>
      <c r="N195" s="27">
        <f t="shared" si="10"/>
        <v>63.54147593</v>
      </c>
      <c r="O195" s="24"/>
      <c r="P195" s="24"/>
      <c r="Q195" s="24"/>
      <c r="R195" s="26"/>
      <c r="S195" s="14">
        <f t="shared" si="13"/>
        <v>58.34989162</v>
      </c>
      <c r="U195" s="21"/>
      <c r="V195" s="21"/>
    </row>
    <row r="196">
      <c r="A196" s="11">
        <v>184.0</v>
      </c>
      <c r="B196" s="11">
        <v>1.42019565217391E9</v>
      </c>
      <c r="C196" s="2">
        <v>-101.8329849</v>
      </c>
      <c r="D196" s="24">
        <f t="shared" si="1"/>
        <v>-204347.8261</v>
      </c>
      <c r="E196" s="25">
        <f t="shared" si="2"/>
        <v>42.24162208</v>
      </c>
      <c r="F196" s="24">
        <f t="shared" si="3"/>
        <v>0.0002067143208</v>
      </c>
      <c r="G196" s="24">
        <f t="shared" si="4"/>
        <v>0</v>
      </c>
      <c r="H196" s="26">
        <f t="shared" si="5"/>
        <v>0</v>
      </c>
      <c r="I196" s="24">
        <f t="shared" si="6"/>
        <v>0</v>
      </c>
      <c r="J196" s="24">
        <f t="shared" si="7"/>
        <v>0</v>
      </c>
      <c r="K196" s="24"/>
      <c r="L196" s="24">
        <f t="shared" si="8"/>
        <v>498.6636108</v>
      </c>
      <c r="M196" s="14">
        <f t="shared" si="9"/>
        <v>437.1098901</v>
      </c>
      <c r="N196" s="27">
        <f t="shared" si="10"/>
        <v>61.55372068</v>
      </c>
      <c r="O196" s="24"/>
      <c r="P196" s="24"/>
      <c r="Q196" s="24"/>
      <c r="R196" s="26"/>
      <c r="S196" s="14">
        <f t="shared" si="13"/>
        <v>56.52454353</v>
      </c>
      <c r="U196" s="21"/>
      <c r="V196" s="21"/>
    </row>
    <row r="197">
      <c r="A197" s="11">
        <v>185.0</v>
      </c>
      <c r="B197" s="11">
        <v>1.4202E9</v>
      </c>
      <c r="C197" s="2">
        <v>-101.7965851</v>
      </c>
      <c r="D197" s="24">
        <f t="shared" si="1"/>
        <v>-200000</v>
      </c>
      <c r="E197" s="25">
        <f t="shared" si="2"/>
        <v>41.32332595</v>
      </c>
      <c r="F197" s="24">
        <f t="shared" si="3"/>
        <v>0.0002066166297</v>
      </c>
      <c r="G197" s="24">
        <f t="shared" si="4"/>
        <v>0</v>
      </c>
      <c r="H197" s="26">
        <f t="shared" si="5"/>
        <v>0</v>
      </c>
      <c r="I197" s="24">
        <f t="shared" si="6"/>
        <v>0</v>
      </c>
      <c r="J197" s="24">
        <f t="shared" si="7"/>
        <v>0</v>
      </c>
      <c r="K197" s="24"/>
      <c r="L197" s="24">
        <f t="shared" si="8"/>
        <v>502.8606558</v>
      </c>
      <c r="M197" s="14">
        <f t="shared" si="9"/>
        <v>437.0355395</v>
      </c>
      <c r="N197" s="27">
        <f t="shared" si="10"/>
        <v>65.82511624</v>
      </c>
      <c r="O197" s="24"/>
      <c r="P197" s="24"/>
      <c r="Q197" s="24"/>
      <c r="R197" s="26"/>
      <c r="S197" s="14">
        <f t="shared" si="13"/>
        <v>60.44694968</v>
      </c>
      <c r="U197" s="21"/>
      <c r="V197" s="21"/>
    </row>
    <row r="198">
      <c r="A198" s="11">
        <v>186.0</v>
      </c>
      <c r="B198" s="11">
        <v>1.42020434782608E9</v>
      </c>
      <c r="C198" s="2">
        <v>-101.8110886</v>
      </c>
      <c r="D198" s="24">
        <f t="shared" si="1"/>
        <v>-195652.1739</v>
      </c>
      <c r="E198" s="25">
        <f t="shared" si="2"/>
        <v>40.40502981</v>
      </c>
      <c r="F198" s="24">
        <f t="shared" si="3"/>
        <v>0.0002065145968</v>
      </c>
      <c r="G198" s="24">
        <f t="shared" si="4"/>
        <v>0</v>
      </c>
      <c r="H198" s="26">
        <f t="shared" si="5"/>
        <v>0</v>
      </c>
      <c r="I198" s="24">
        <f t="shared" si="6"/>
        <v>0</v>
      </c>
      <c r="J198" s="24">
        <f t="shared" si="7"/>
        <v>0</v>
      </c>
      <c r="K198" s="24"/>
      <c r="L198" s="24">
        <f t="shared" si="8"/>
        <v>501.1841263</v>
      </c>
      <c r="M198" s="14">
        <f t="shared" si="9"/>
        <v>436.9610967</v>
      </c>
      <c r="N198" s="27">
        <f t="shared" si="10"/>
        <v>64.22302962</v>
      </c>
      <c r="O198" s="24"/>
      <c r="P198" s="24"/>
      <c r="Q198" s="24"/>
      <c r="R198" s="26"/>
      <c r="S198" s="14">
        <f t="shared" si="13"/>
        <v>58.97575974</v>
      </c>
      <c r="U198" s="21"/>
      <c r="V198" s="21"/>
    </row>
    <row r="199">
      <c r="A199" s="11">
        <v>187.0</v>
      </c>
      <c r="B199" s="11">
        <v>1.42020869565217E9</v>
      </c>
      <c r="C199" s="2">
        <v>-101.8273621</v>
      </c>
      <c r="D199" s="24">
        <f t="shared" si="1"/>
        <v>-191304.3478</v>
      </c>
      <c r="E199" s="25">
        <f t="shared" si="2"/>
        <v>39.48673368</v>
      </c>
      <c r="F199" s="24">
        <f t="shared" si="3"/>
        <v>0.0002064079261</v>
      </c>
      <c r="G199" s="24">
        <f t="shared" si="4"/>
        <v>0</v>
      </c>
      <c r="H199" s="26">
        <f t="shared" si="5"/>
        <v>0</v>
      </c>
      <c r="I199" s="24">
        <f t="shared" si="6"/>
        <v>0</v>
      </c>
      <c r="J199" s="24">
        <f t="shared" si="7"/>
        <v>0</v>
      </c>
      <c r="K199" s="24"/>
      <c r="L199" s="24">
        <f t="shared" si="8"/>
        <v>499.3096474</v>
      </c>
      <c r="M199" s="14">
        <f t="shared" si="9"/>
        <v>436.8865607</v>
      </c>
      <c r="N199" s="27">
        <f t="shared" si="10"/>
        <v>62.42308671</v>
      </c>
      <c r="O199" s="24"/>
      <c r="P199" s="24"/>
      <c r="Q199" s="24"/>
      <c r="R199" s="26"/>
      <c r="S199" s="14">
        <f t="shared" si="13"/>
        <v>57.32287898</v>
      </c>
      <c r="U199" s="21"/>
      <c r="V199" s="21"/>
    </row>
    <row r="200">
      <c r="A200" s="11">
        <v>188.0</v>
      </c>
      <c r="B200" s="11">
        <v>1.42021304347826E9</v>
      </c>
      <c r="C200" s="2">
        <v>-101.8123703</v>
      </c>
      <c r="D200" s="24">
        <f t="shared" si="1"/>
        <v>-186956.5217</v>
      </c>
      <c r="E200" s="25">
        <f t="shared" si="2"/>
        <v>38.56843755</v>
      </c>
      <c r="F200" s="24">
        <f t="shared" si="3"/>
        <v>0.0002062962939</v>
      </c>
      <c r="G200" s="24">
        <f t="shared" si="4"/>
        <v>0</v>
      </c>
      <c r="H200" s="26">
        <f t="shared" si="5"/>
        <v>0</v>
      </c>
      <c r="I200" s="24">
        <f t="shared" si="6"/>
        <v>0</v>
      </c>
      <c r="J200" s="24">
        <f t="shared" si="7"/>
        <v>0</v>
      </c>
      <c r="K200" s="24"/>
      <c r="L200" s="24">
        <f t="shared" si="8"/>
        <v>501.0362375</v>
      </c>
      <c r="M200" s="14">
        <f t="shared" si="9"/>
        <v>436.8119309</v>
      </c>
      <c r="N200" s="27">
        <f t="shared" si="10"/>
        <v>64.22430653</v>
      </c>
      <c r="O200" s="24"/>
      <c r="P200" s="24"/>
      <c r="Q200" s="24"/>
      <c r="R200" s="26"/>
      <c r="S200" s="14">
        <f t="shared" si="13"/>
        <v>58.97693232</v>
      </c>
      <c r="U200" s="21"/>
      <c r="V200" s="21"/>
    </row>
    <row r="201">
      <c r="A201" s="11">
        <v>189.0</v>
      </c>
      <c r="B201" s="11">
        <v>1.42021739130434E9</v>
      </c>
      <c r="C201" s="2">
        <v>-101.7838135</v>
      </c>
      <c r="D201" s="24">
        <f t="shared" si="1"/>
        <v>-182608.6957</v>
      </c>
      <c r="E201" s="25">
        <f t="shared" si="2"/>
        <v>37.65014142</v>
      </c>
      <c r="F201" s="24">
        <f t="shared" si="3"/>
        <v>0.0002061793459</v>
      </c>
      <c r="G201" s="24">
        <f t="shared" si="4"/>
        <v>0</v>
      </c>
      <c r="H201" s="26">
        <f t="shared" si="5"/>
        <v>0</v>
      </c>
      <c r="I201" s="24">
        <f t="shared" si="6"/>
        <v>0</v>
      </c>
      <c r="J201" s="24">
        <f t="shared" si="7"/>
        <v>0</v>
      </c>
      <c r="K201" s="24"/>
      <c r="L201" s="24">
        <f t="shared" si="8"/>
        <v>504.3416296</v>
      </c>
      <c r="M201" s="14">
        <f t="shared" si="9"/>
        <v>436.7372065</v>
      </c>
      <c r="N201" s="27">
        <f t="shared" si="10"/>
        <v>67.60442309</v>
      </c>
      <c r="O201" s="24"/>
      <c r="P201" s="24"/>
      <c r="Q201" s="24"/>
      <c r="R201" s="26"/>
      <c r="S201" s="14">
        <f t="shared" si="13"/>
        <v>62.08088029</v>
      </c>
      <c r="U201" s="21"/>
      <c r="V201" s="21"/>
    </row>
    <row r="202">
      <c r="A202" s="11">
        <v>190.0</v>
      </c>
      <c r="B202" s="11">
        <v>1.42022173913043E9</v>
      </c>
      <c r="C202" s="2">
        <v>-101.8055801</v>
      </c>
      <c r="D202" s="24">
        <f t="shared" si="1"/>
        <v>-178260.8696</v>
      </c>
      <c r="E202" s="25">
        <f t="shared" si="2"/>
        <v>36.73184529</v>
      </c>
      <c r="F202" s="24">
        <f t="shared" si="3"/>
        <v>0.0002060566931</v>
      </c>
      <c r="G202" s="24">
        <f t="shared" si="4"/>
        <v>0</v>
      </c>
      <c r="H202" s="26">
        <f t="shared" si="5"/>
        <v>0</v>
      </c>
      <c r="I202" s="24">
        <f t="shared" si="6"/>
        <v>0</v>
      </c>
      <c r="J202" s="24">
        <f t="shared" si="7"/>
        <v>0</v>
      </c>
      <c r="K202" s="24"/>
      <c r="L202" s="24">
        <f t="shared" si="8"/>
        <v>501.820221</v>
      </c>
      <c r="M202" s="14">
        <f t="shared" si="9"/>
        <v>436.6623866</v>
      </c>
      <c r="N202" s="27">
        <f t="shared" si="10"/>
        <v>65.15783437</v>
      </c>
      <c r="O202" s="24"/>
      <c r="P202" s="24"/>
      <c r="Q202" s="24"/>
      <c r="R202" s="26"/>
      <c r="S202" s="14">
        <f t="shared" si="13"/>
        <v>59.83418719</v>
      </c>
      <c r="U202" s="21"/>
      <c r="V202" s="21"/>
    </row>
    <row r="203">
      <c r="A203" s="11">
        <v>191.0</v>
      </c>
      <c r="B203" s="11">
        <v>1.42022608695652E9</v>
      </c>
      <c r="C203" s="2">
        <v>-101.8031921</v>
      </c>
      <c r="D203" s="24">
        <f t="shared" si="1"/>
        <v>-173913.0435</v>
      </c>
      <c r="E203" s="25">
        <f t="shared" si="2"/>
        <v>35.81354916</v>
      </c>
      <c r="F203" s="24">
        <f t="shared" si="3"/>
        <v>0.0002059279076</v>
      </c>
      <c r="G203" s="24">
        <f t="shared" si="4"/>
        <v>0</v>
      </c>
      <c r="H203" s="26">
        <f t="shared" si="5"/>
        <v>0</v>
      </c>
      <c r="I203" s="24">
        <f t="shared" si="6"/>
        <v>0</v>
      </c>
      <c r="J203" s="24">
        <f t="shared" si="7"/>
        <v>0</v>
      </c>
      <c r="K203" s="24"/>
      <c r="L203" s="24">
        <f t="shared" si="8"/>
        <v>502.0962264</v>
      </c>
      <c r="M203" s="14">
        <f t="shared" si="9"/>
        <v>436.5874706</v>
      </c>
      <c r="N203" s="27">
        <f t="shared" si="10"/>
        <v>65.50875586</v>
      </c>
      <c r="O203" s="24"/>
      <c r="P203" s="24"/>
      <c r="Q203" s="24"/>
      <c r="R203" s="26"/>
      <c r="S203" s="14">
        <f t="shared" si="13"/>
        <v>60.15643717</v>
      </c>
      <c r="U203" s="21"/>
      <c r="V203" s="21"/>
    </row>
    <row r="204">
      <c r="A204" s="11">
        <v>192.0</v>
      </c>
      <c r="B204" s="11">
        <v>1.4202304347826E9</v>
      </c>
      <c r="C204" s="2">
        <v>-101.7893372</v>
      </c>
      <c r="D204" s="24">
        <f t="shared" si="1"/>
        <v>-169565.2174</v>
      </c>
      <c r="E204" s="25">
        <f t="shared" si="2"/>
        <v>34.89525302</v>
      </c>
      <c r="F204" s="24">
        <f t="shared" si="3"/>
        <v>0.0002057925178</v>
      </c>
      <c r="G204" s="24">
        <f t="shared" si="4"/>
        <v>0</v>
      </c>
      <c r="H204" s="26">
        <f t="shared" si="5"/>
        <v>0</v>
      </c>
      <c r="I204" s="24">
        <f t="shared" si="6"/>
        <v>0</v>
      </c>
      <c r="J204" s="24">
        <f t="shared" si="7"/>
        <v>0</v>
      </c>
      <c r="K204" s="24"/>
      <c r="L204" s="24">
        <f t="shared" si="8"/>
        <v>503.7005759</v>
      </c>
      <c r="M204" s="14">
        <f t="shared" si="9"/>
        <v>436.5124575</v>
      </c>
      <c r="N204" s="27">
        <f t="shared" si="10"/>
        <v>67.18811841</v>
      </c>
      <c r="O204" s="24"/>
      <c r="P204" s="24"/>
      <c r="Q204" s="24"/>
      <c r="R204" s="26"/>
      <c r="S204" s="14">
        <f t="shared" si="13"/>
        <v>61.6985893</v>
      </c>
      <c r="U204" s="21"/>
      <c r="V204" s="21"/>
    </row>
    <row r="205">
      <c r="A205" s="11">
        <v>193.0</v>
      </c>
      <c r="B205" s="11">
        <v>1.42023478260869E9</v>
      </c>
      <c r="C205" s="2">
        <v>-101.8300095</v>
      </c>
      <c r="D205" s="24">
        <f t="shared" si="1"/>
        <v>-165217.3913</v>
      </c>
      <c r="E205" s="25">
        <f t="shared" si="2"/>
        <v>33.97695689</v>
      </c>
      <c r="F205" s="24">
        <f t="shared" si="3"/>
        <v>0.0002056500022</v>
      </c>
      <c r="G205" s="24">
        <f t="shared" si="4"/>
        <v>0</v>
      </c>
      <c r="H205" s="26">
        <f t="shared" si="5"/>
        <v>0</v>
      </c>
      <c r="I205" s="24">
        <f t="shared" si="6"/>
        <v>0</v>
      </c>
      <c r="J205" s="24">
        <f t="shared" si="7"/>
        <v>0</v>
      </c>
      <c r="K205" s="24"/>
      <c r="L205" s="24">
        <f t="shared" si="8"/>
        <v>499.0053678</v>
      </c>
      <c r="M205" s="14">
        <f t="shared" si="9"/>
        <v>436.4373466</v>
      </c>
      <c r="N205" s="27">
        <f t="shared" si="10"/>
        <v>62.56802126</v>
      </c>
      <c r="O205" s="24"/>
      <c r="P205" s="24"/>
      <c r="Q205" s="24"/>
      <c r="R205" s="26"/>
      <c r="S205" s="14">
        <f t="shared" si="13"/>
        <v>57.45597196</v>
      </c>
      <c r="U205" s="21"/>
      <c r="V205" s="21"/>
    </row>
    <row r="206">
      <c r="A206" s="11">
        <v>194.0</v>
      </c>
      <c r="B206" s="11">
        <v>1.42023913043478E9</v>
      </c>
      <c r="C206" s="2">
        <v>-101.80616</v>
      </c>
      <c r="D206" s="24">
        <f t="shared" si="1"/>
        <v>-160869.5652</v>
      </c>
      <c r="E206" s="25">
        <f t="shared" si="2"/>
        <v>33.05866076</v>
      </c>
      <c r="F206" s="24">
        <f t="shared" si="3"/>
        <v>0.0002054997831</v>
      </c>
      <c r="G206" s="24">
        <f t="shared" si="4"/>
        <v>0</v>
      </c>
      <c r="H206" s="26">
        <f t="shared" si="5"/>
        <v>0</v>
      </c>
      <c r="I206" s="24">
        <f t="shared" si="6"/>
        <v>0</v>
      </c>
      <c r="J206" s="24">
        <f t="shared" si="7"/>
        <v>0</v>
      </c>
      <c r="K206" s="24"/>
      <c r="L206" s="24">
        <f t="shared" si="8"/>
        <v>501.753219</v>
      </c>
      <c r="M206" s="14">
        <f t="shared" si="9"/>
        <v>436.3621371</v>
      </c>
      <c r="N206" s="27">
        <f t="shared" si="10"/>
        <v>65.3910819</v>
      </c>
      <c r="O206" s="24"/>
      <c r="P206" s="24"/>
      <c r="Q206" s="24"/>
      <c r="R206" s="26"/>
      <c r="S206" s="14">
        <f t="shared" si="13"/>
        <v>60.04837749</v>
      </c>
      <c r="U206" s="21"/>
      <c r="V206" s="21"/>
    </row>
    <row r="207">
      <c r="A207" s="11">
        <v>195.0</v>
      </c>
      <c r="B207" s="11">
        <v>1.42024347826087E9</v>
      </c>
      <c r="C207" s="2">
        <v>-101.7481308</v>
      </c>
      <c r="D207" s="24">
        <f t="shared" si="1"/>
        <v>-156521.7391</v>
      </c>
      <c r="E207" s="25">
        <f t="shared" si="2"/>
        <v>32.14036463</v>
      </c>
      <c r="F207" s="24">
        <f t="shared" si="3"/>
        <v>0.0002053412184</v>
      </c>
      <c r="G207" s="24">
        <f t="shared" si="4"/>
        <v>0</v>
      </c>
      <c r="H207" s="26">
        <f t="shared" si="5"/>
        <v>0</v>
      </c>
      <c r="I207" s="24">
        <f t="shared" si="6"/>
        <v>0</v>
      </c>
      <c r="J207" s="24">
        <f t="shared" si="7"/>
        <v>0</v>
      </c>
      <c r="K207" s="24"/>
      <c r="L207" s="24">
        <f t="shared" si="8"/>
        <v>508.5024941</v>
      </c>
      <c r="M207" s="14">
        <f t="shared" si="9"/>
        <v>436.2868282</v>
      </c>
      <c r="N207" s="27">
        <f t="shared" si="10"/>
        <v>72.21566585</v>
      </c>
      <c r="O207" s="24"/>
      <c r="P207" s="24"/>
      <c r="Q207" s="24"/>
      <c r="R207" s="26"/>
      <c r="S207" s="14">
        <f t="shared" si="13"/>
        <v>66.31536668</v>
      </c>
      <c r="U207" s="21"/>
      <c r="V207" s="21"/>
    </row>
    <row r="208">
      <c r="A208" s="11">
        <v>196.0</v>
      </c>
      <c r="B208" s="11">
        <v>1.42024782608695E9</v>
      </c>
      <c r="C208" s="2">
        <v>-101.8121948</v>
      </c>
      <c r="D208" s="24">
        <f t="shared" si="1"/>
        <v>-152173.913</v>
      </c>
      <c r="E208" s="25">
        <f t="shared" si="2"/>
        <v>31.22206849</v>
      </c>
      <c r="F208" s="24">
        <f t="shared" si="3"/>
        <v>0.0002051735929</v>
      </c>
      <c r="G208" s="24">
        <f t="shared" si="4"/>
        <v>0</v>
      </c>
      <c r="H208" s="26">
        <f t="shared" si="5"/>
        <v>0</v>
      </c>
      <c r="I208" s="24">
        <f t="shared" si="6"/>
        <v>0</v>
      </c>
      <c r="J208" s="24">
        <f t="shared" si="7"/>
        <v>0</v>
      </c>
      <c r="K208" s="24"/>
      <c r="L208" s="24">
        <f t="shared" si="8"/>
        <v>501.0564849</v>
      </c>
      <c r="M208" s="14">
        <f t="shared" si="9"/>
        <v>436.2114192</v>
      </c>
      <c r="N208" s="27">
        <f t="shared" si="10"/>
        <v>64.84506572</v>
      </c>
      <c r="O208" s="24"/>
      <c r="P208" s="24"/>
      <c r="Q208" s="24"/>
      <c r="R208" s="26"/>
      <c r="S208" s="14">
        <f t="shared" si="13"/>
        <v>59.54697308</v>
      </c>
      <c r="U208" s="21"/>
      <c r="V208" s="21"/>
    </row>
    <row r="209">
      <c r="A209" s="11">
        <v>197.0</v>
      </c>
      <c r="B209" s="11">
        <v>1.42025217391304E9</v>
      </c>
      <c r="C209" s="2">
        <v>-101.7892532</v>
      </c>
      <c r="D209" s="24">
        <f t="shared" si="1"/>
        <v>-147826.087</v>
      </c>
      <c r="E209" s="25">
        <f t="shared" si="2"/>
        <v>30.30377236</v>
      </c>
      <c r="F209" s="24">
        <f t="shared" si="3"/>
        <v>0.0002049961071</v>
      </c>
      <c r="G209" s="24">
        <f t="shared" si="4"/>
        <v>0</v>
      </c>
      <c r="H209" s="26">
        <f t="shared" si="5"/>
        <v>0</v>
      </c>
      <c r="I209" s="24">
        <f t="shared" si="6"/>
        <v>0</v>
      </c>
      <c r="J209" s="24">
        <f t="shared" si="7"/>
        <v>0</v>
      </c>
      <c r="K209" s="24"/>
      <c r="L209" s="24">
        <f t="shared" si="8"/>
        <v>503.7103184</v>
      </c>
      <c r="M209" s="14">
        <f t="shared" si="9"/>
        <v>436.1359093</v>
      </c>
      <c r="N209" s="27">
        <f t="shared" si="10"/>
        <v>67.57440913</v>
      </c>
      <c r="O209" s="24"/>
      <c r="P209" s="24"/>
      <c r="Q209" s="24"/>
      <c r="R209" s="26"/>
      <c r="S209" s="14">
        <f t="shared" si="13"/>
        <v>62.05331844</v>
      </c>
      <c r="U209" s="21"/>
      <c r="V209" s="21"/>
    </row>
    <row r="210">
      <c r="A210" s="11">
        <v>198.0</v>
      </c>
      <c r="B210" s="11">
        <v>1.42025652173913E9</v>
      </c>
      <c r="C210" s="2">
        <v>-101.7087479</v>
      </c>
      <c r="D210" s="24">
        <f t="shared" si="1"/>
        <v>-143478.2609</v>
      </c>
      <c r="E210" s="25">
        <f t="shared" si="2"/>
        <v>29.38547623</v>
      </c>
      <c r="F210" s="24">
        <f t="shared" si="3"/>
        <v>0.0002048078646</v>
      </c>
      <c r="G210" s="24">
        <f t="shared" si="4"/>
        <v>0</v>
      </c>
      <c r="H210" s="26">
        <f t="shared" si="5"/>
        <v>0</v>
      </c>
      <c r="I210" s="24">
        <f t="shared" si="6"/>
        <v>0</v>
      </c>
      <c r="J210" s="24">
        <f t="shared" si="7"/>
        <v>0</v>
      </c>
      <c r="K210" s="24"/>
      <c r="L210" s="24">
        <f t="shared" si="8"/>
        <v>513.134692</v>
      </c>
      <c r="M210" s="14">
        <f t="shared" si="9"/>
        <v>436.0602976</v>
      </c>
      <c r="N210" s="27">
        <f t="shared" si="10"/>
        <v>77.07439438</v>
      </c>
      <c r="O210" s="24"/>
      <c r="P210" s="24"/>
      <c r="Q210" s="24"/>
      <c r="R210" s="26"/>
      <c r="S210" s="14">
        <f t="shared" si="13"/>
        <v>70.77711829</v>
      </c>
      <c r="U210" s="21"/>
      <c r="V210" s="21"/>
    </row>
    <row r="211">
      <c r="A211" s="11">
        <v>199.0</v>
      </c>
      <c r="B211" s="11">
        <v>1.42026086956521E9</v>
      </c>
      <c r="C211" s="2">
        <v>-101.7681198</v>
      </c>
      <c r="D211" s="24">
        <f t="shared" si="1"/>
        <v>-139130.4348</v>
      </c>
      <c r="E211" s="25">
        <f t="shared" si="2"/>
        <v>28.4671801</v>
      </c>
      <c r="F211" s="24">
        <f t="shared" si="3"/>
        <v>0.0002046078569</v>
      </c>
      <c r="G211" s="24">
        <f t="shared" si="4"/>
        <v>0</v>
      </c>
      <c r="H211" s="26">
        <f t="shared" si="5"/>
        <v>0</v>
      </c>
      <c r="I211" s="24">
        <f t="shared" si="6"/>
        <v>0</v>
      </c>
      <c r="J211" s="24">
        <f t="shared" si="7"/>
        <v>0</v>
      </c>
      <c r="K211" s="24"/>
      <c r="L211" s="24">
        <f t="shared" si="8"/>
        <v>506.1674194</v>
      </c>
      <c r="M211" s="14">
        <f t="shared" si="9"/>
        <v>435.9845834</v>
      </c>
      <c r="N211" s="27">
        <f t="shared" si="10"/>
        <v>70.18283603</v>
      </c>
      <c r="O211" s="24"/>
      <c r="P211" s="24"/>
      <c r="Q211" s="24"/>
      <c r="R211" s="26"/>
      <c r="S211" s="14">
        <f t="shared" si="13"/>
        <v>64.44862692</v>
      </c>
      <c r="U211" s="21"/>
      <c r="V211" s="21"/>
    </row>
    <row r="212">
      <c r="A212" s="11">
        <v>200.0</v>
      </c>
      <c r="B212" s="11">
        <v>1.4202652173913E9</v>
      </c>
      <c r="C212" s="2">
        <v>-101.7815323</v>
      </c>
      <c r="D212" s="24">
        <f t="shared" si="1"/>
        <v>-134782.6087</v>
      </c>
      <c r="E212" s="25">
        <f t="shared" si="2"/>
        <v>27.54888396</v>
      </c>
      <c r="F212" s="24">
        <f t="shared" si="3"/>
        <v>0.0002043949455</v>
      </c>
      <c r="G212" s="24">
        <f t="shared" si="4"/>
        <v>0</v>
      </c>
      <c r="H212" s="26">
        <f t="shared" si="5"/>
        <v>0</v>
      </c>
      <c r="I212" s="24">
        <f t="shared" si="6"/>
        <v>0</v>
      </c>
      <c r="J212" s="24">
        <f t="shared" si="7"/>
        <v>0</v>
      </c>
      <c r="K212" s="24"/>
      <c r="L212" s="24">
        <f t="shared" si="8"/>
        <v>504.6066126</v>
      </c>
      <c r="M212" s="14">
        <f t="shared" si="9"/>
        <v>435.9087658</v>
      </c>
      <c r="N212" s="27">
        <f t="shared" si="10"/>
        <v>68.69784672</v>
      </c>
      <c r="O212" s="24"/>
      <c r="P212" s="24"/>
      <c r="Q212" s="24"/>
      <c r="R212" s="26"/>
      <c r="S212" s="14">
        <f t="shared" si="13"/>
        <v>63.08496683</v>
      </c>
      <c r="U212" s="21"/>
      <c r="V212" s="21"/>
    </row>
    <row r="213">
      <c r="A213" s="11">
        <v>201.0</v>
      </c>
      <c r="B213" s="11">
        <v>1.42026956521739E9</v>
      </c>
      <c r="C213" s="2">
        <v>-101.7663803</v>
      </c>
      <c r="D213" s="24">
        <f t="shared" si="1"/>
        <v>-130434.7826</v>
      </c>
      <c r="E213" s="25">
        <f t="shared" si="2"/>
        <v>26.63058783</v>
      </c>
      <c r="F213" s="24">
        <f t="shared" si="3"/>
        <v>0.0002041678401</v>
      </c>
      <c r="G213" s="24">
        <f t="shared" si="4"/>
        <v>0</v>
      </c>
      <c r="H213" s="26">
        <f t="shared" si="5"/>
        <v>0</v>
      </c>
      <c r="I213" s="24">
        <f t="shared" si="6"/>
        <v>0</v>
      </c>
      <c r="J213" s="24">
        <f t="shared" si="7"/>
        <v>0</v>
      </c>
      <c r="K213" s="24"/>
      <c r="L213" s="24">
        <f t="shared" si="8"/>
        <v>506.3701976</v>
      </c>
      <c r="M213" s="14">
        <f t="shared" si="9"/>
        <v>435.8328442</v>
      </c>
      <c r="N213" s="27">
        <f t="shared" si="10"/>
        <v>70.53735339</v>
      </c>
      <c r="O213" s="24"/>
      <c r="P213" s="24"/>
      <c r="Q213" s="24"/>
      <c r="R213" s="26"/>
      <c r="S213" s="14">
        <f t="shared" si="13"/>
        <v>64.77417884</v>
      </c>
      <c r="U213" s="21"/>
      <c r="V213" s="21"/>
    </row>
    <row r="214">
      <c r="A214" s="11">
        <v>202.0</v>
      </c>
      <c r="B214" s="11">
        <v>1.42027391304347E9</v>
      </c>
      <c r="C214" s="2">
        <v>-101.697197</v>
      </c>
      <c r="D214" s="24">
        <f t="shared" si="1"/>
        <v>-126086.9565</v>
      </c>
      <c r="E214" s="25">
        <f t="shared" si="2"/>
        <v>25.7122917</v>
      </c>
      <c r="F214" s="24">
        <f t="shared" si="3"/>
        <v>0.0002039250721</v>
      </c>
      <c r="G214" s="24">
        <f t="shared" si="4"/>
        <v>0</v>
      </c>
      <c r="H214" s="26">
        <f t="shared" si="5"/>
        <v>0</v>
      </c>
      <c r="I214" s="24">
        <f t="shared" si="6"/>
        <v>0</v>
      </c>
      <c r="J214" s="24">
        <f t="shared" si="7"/>
        <v>0</v>
      </c>
      <c r="K214" s="24"/>
      <c r="L214" s="24">
        <f t="shared" si="8"/>
        <v>514.5012893</v>
      </c>
      <c r="M214" s="14">
        <f t="shared" si="9"/>
        <v>435.7568177</v>
      </c>
      <c r="N214" s="27">
        <f t="shared" si="10"/>
        <v>78.74447156</v>
      </c>
      <c r="O214" s="24"/>
      <c r="P214" s="24"/>
      <c r="Q214" s="24"/>
      <c r="R214" s="26"/>
      <c r="S214" s="14">
        <f t="shared" si="13"/>
        <v>72.31074371</v>
      </c>
      <c r="U214" s="21"/>
      <c r="V214" s="21"/>
    </row>
    <row r="215">
      <c r="A215" s="11">
        <v>203.0</v>
      </c>
      <c r="B215" s="11">
        <v>1.42027826086956E9</v>
      </c>
      <c r="C215" s="2">
        <v>-101.7190552</v>
      </c>
      <c r="D215" s="24">
        <f t="shared" si="1"/>
        <v>-121739.1304</v>
      </c>
      <c r="E215" s="25">
        <f t="shared" si="2"/>
        <v>24.79399557</v>
      </c>
      <c r="F215" s="24">
        <f t="shared" si="3"/>
        <v>0.0002036649636</v>
      </c>
      <c r="G215" s="24">
        <f t="shared" si="4"/>
        <v>0</v>
      </c>
      <c r="H215" s="26">
        <f t="shared" si="5"/>
        <v>0</v>
      </c>
      <c r="I215" s="24">
        <f t="shared" si="6"/>
        <v>0</v>
      </c>
      <c r="J215" s="24">
        <f t="shared" si="7"/>
        <v>0</v>
      </c>
      <c r="K215" s="24"/>
      <c r="L215" s="24">
        <f t="shared" si="8"/>
        <v>511.9182911</v>
      </c>
      <c r="M215" s="14">
        <f t="shared" si="9"/>
        <v>435.6806855</v>
      </c>
      <c r="N215" s="27">
        <f t="shared" si="10"/>
        <v>76.23760556</v>
      </c>
      <c r="O215" s="24"/>
      <c r="P215" s="24"/>
      <c r="Q215" s="24"/>
      <c r="R215" s="26"/>
      <c r="S215" s="14">
        <f t="shared" si="13"/>
        <v>70.00869819</v>
      </c>
      <c r="U215" s="21"/>
      <c r="V215" s="21"/>
    </row>
    <row r="216">
      <c r="A216" s="11">
        <v>204.0</v>
      </c>
      <c r="B216" s="11">
        <v>1.42028260869565E9</v>
      </c>
      <c r="C216" s="2">
        <v>-101.6954956</v>
      </c>
      <c r="D216" s="24">
        <f t="shared" si="1"/>
        <v>-117391.3043</v>
      </c>
      <c r="E216" s="25">
        <f t="shared" si="2"/>
        <v>23.87569944</v>
      </c>
      <c r="F216" s="24">
        <f t="shared" si="3"/>
        <v>0.0002033855878</v>
      </c>
      <c r="G216" s="24">
        <f t="shared" si="4"/>
        <v>0</v>
      </c>
      <c r="H216" s="26">
        <f t="shared" si="5"/>
        <v>0</v>
      </c>
      <c r="I216" s="24">
        <f t="shared" si="6"/>
        <v>0</v>
      </c>
      <c r="J216" s="24">
        <f t="shared" si="7"/>
        <v>0</v>
      </c>
      <c r="K216" s="24"/>
      <c r="L216" s="24">
        <f t="shared" si="8"/>
        <v>514.7028907</v>
      </c>
      <c r="M216" s="14">
        <f t="shared" si="9"/>
        <v>435.6044469</v>
      </c>
      <c r="N216" s="27">
        <f t="shared" si="10"/>
        <v>79.09844383</v>
      </c>
      <c r="O216" s="24"/>
      <c r="P216" s="24"/>
      <c r="Q216" s="24"/>
      <c r="R216" s="26"/>
      <c r="S216" s="14">
        <f t="shared" si="13"/>
        <v>72.63579508</v>
      </c>
      <c r="U216" s="21"/>
      <c r="V216" s="21"/>
    </row>
    <row r="217">
      <c r="A217" s="11">
        <v>205.0</v>
      </c>
      <c r="B217" s="11">
        <v>1.42028695652173E9</v>
      </c>
      <c r="C217" s="2">
        <v>-101.6843414</v>
      </c>
      <c r="D217" s="24">
        <f t="shared" si="1"/>
        <v>-113043.4783</v>
      </c>
      <c r="E217" s="25">
        <f t="shared" si="2"/>
        <v>22.9574033</v>
      </c>
      <c r="F217" s="24">
        <f t="shared" si="3"/>
        <v>0.0002030847215</v>
      </c>
      <c r="G217" s="24">
        <f t="shared" si="4"/>
        <v>0</v>
      </c>
      <c r="H217" s="26">
        <f t="shared" si="5"/>
        <v>0</v>
      </c>
      <c r="I217" s="24">
        <f t="shared" si="6"/>
        <v>0</v>
      </c>
      <c r="J217" s="24">
        <f t="shared" si="7"/>
        <v>0</v>
      </c>
      <c r="K217" s="24"/>
      <c r="L217" s="24">
        <f t="shared" si="8"/>
        <v>516.0265267</v>
      </c>
      <c r="M217" s="14">
        <f t="shared" si="9"/>
        <v>435.528101</v>
      </c>
      <c r="N217" s="27">
        <f t="shared" si="10"/>
        <v>80.49842566</v>
      </c>
      <c r="O217" s="24"/>
      <c r="P217" s="24"/>
      <c r="Q217" s="24"/>
      <c r="R217" s="26"/>
      <c r="S217" s="14">
        <f t="shared" si="13"/>
        <v>73.92139297</v>
      </c>
      <c r="U217" s="21"/>
      <c r="V217" s="21"/>
    </row>
    <row r="218">
      <c r="A218" s="11">
        <v>206.0</v>
      </c>
      <c r="B218" s="11">
        <v>1.42029130434782E9</v>
      </c>
      <c r="C218" s="2">
        <v>-101.675148</v>
      </c>
      <c r="D218" s="24">
        <f t="shared" si="1"/>
        <v>-108695.6522</v>
      </c>
      <c r="E218" s="25">
        <f t="shared" si="2"/>
        <v>22.03910717</v>
      </c>
      <c r="F218" s="24">
        <f t="shared" si="3"/>
        <v>0.000202759786</v>
      </c>
      <c r="G218" s="24">
        <f t="shared" si="4"/>
        <v>0</v>
      </c>
      <c r="H218" s="26">
        <f t="shared" si="5"/>
        <v>0</v>
      </c>
      <c r="I218" s="24">
        <f t="shared" si="6"/>
        <v>0</v>
      </c>
      <c r="J218" s="24">
        <f t="shared" si="7"/>
        <v>0</v>
      </c>
      <c r="K218" s="24"/>
      <c r="L218" s="24">
        <f t="shared" si="8"/>
        <v>517.1200388</v>
      </c>
      <c r="M218" s="14">
        <f t="shared" si="9"/>
        <v>435.4516471</v>
      </c>
      <c r="N218" s="27">
        <f t="shared" si="10"/>
        <v>81.66839175</v>
      </c>
      <c r="O218" s="24"/>
      <c r="P218" s="24"/>
      <c r="Q218" s="24"/>
      <c r="R218" s="26"/>
      <c r="S218" s="14">
        <f t="shared" si="13"/>
        <v>74.99576832</v>
      </c>
      <c r="U218" s="21"/>
      <c r="V218" s="21"/>
    </row>
    <row r="219">
      <c r="A219" s="11">
        <v>207.0</v>
      </c>
      <c r="B219" s="11">
        <v>1.42029565217391E9</v>
      </c>
      <c r="C219" s="2">
        <v>-101.6007385</v>
      </c>
      <c r="D219" s="24">
        <f t="shared" si="1"/>
        <v>-104347.8261</v>
      </c>
      <c r="E219" s="25">
        <f t="shared" si="2"/>
        <v>21.12081104</v>
      </c>
      <c r="F219" s="24">
        <f t="shared" si="3"/>
        <v>0.0002024077725</v>
      </c>
      <c r="G219" s="24">
        <f t="shared" si="4"/>
        <v>0</v>
      </c>
      <c r="H219" s="26">
        <f t="shared" si="5"/>
        <v>0</v>
      </c>
      <c r="I219" s="24">
        <f t="shared" si="6"/>
        <v>0</v>
      </c>
      <c r="J219" s="24">
        <f t="shared" si="7"/>
        <v>0</v>
      </c>
      <c r="K219" s="24"/>
      <c r="L219" s="24">
        <f t="shared" si="8"/>
        <v>526.0564106</v>
      </c>
      <c r="M219" s="14">
        <f t="shared" si="9"/>
        <v>435.3750843</v>
      </c>
      <c r="N219" s="27">
        <f t="shared" si="10"/>
        <v>90.6813263</v>
      </c>
      <c r="O219" s="24"/>
      <c r="P219" s="24"/>
      <c r="Q219" s="24"/>
      <c r="R219" s="26"/>
      <c r="S219" s="14">
        <f t="shared" si="13"/>
        <v>83.27231106</v>
      </c>
      <c r="U219" s="21"/>
      <c r="V219" s="21"/>
    </row>
    <row r="220">
      <c r="A220" s="11">
        <v>208.0</v>
      </c>
      <c r="B220" s="11">
        <v>1.4203E9</v>
      </c>
      <c r="C220" s="2">
        <v>-101.5943069</v>
      </c>
      <c r="D220" s="24">
        <f t="shared" si="1"/>
        <v>-100000</v>
      </c>
      <c r="E220" s="25">
        <f t="shared" si="2"/>
        <v>20.20251491</v>
      </c>
      <c r="F220" s="24">
        <f t="shared" si="3"/>
        <v>0.0002020251491</v>
      </c>
      <c r="G220" s="24">
        <f t="shared" si="4"/>
        <v>0</v>
      </c>
      <c r="H220" s="26">
        <f t="shared" si="5"/>
        <v>0</v>
      </c>
      <c r="I220" s="24">
        <f t="shared" si="6"/>
        <v>0</v>
      </c>
      <c r="J220" s="24">
        <f t="shared" si="7"/>
        <v>0</v>
      </c>
      <c r="K220" s="24"/>
      <c r="L220" s="24">
        <f t="shared" si="8"/>
        <v>526.8360408</v>
      </c>
      <c r="M220" s="14">
        <f t="shared" si="9"/>
        <v>435.298412</v>
      </c>
      <c r="N220" s="27">
        <f t="shared" si="10"/>
        <v>91.53762885</v>
      </c>
      <c r="O220" s="24"/>
      <c r="P220" s="24"/>
      <c r="Q220" s="24"/>
      <c r="R220" s="26"/>
      <c r="S220" s="14">
        <f t="shared" si="13"/>
        <v>84.05865057</v>
      </c>
      <c r="U220" s="21"/>
      <c r="V220" s="21"/>
    </row>
    <row r="221">
      <c r="A221" s="11">
        <v>209.0</v>
      </c>
      <c r="B221" s="11">
        <v>1.42030434782608E9</v>
      </c>
      <c r="C221" s="2">
        <v>-101.6376419</v>
      </c>
      <c r="D221" s="24">
        <f t="shared" si="1"/>
        <v>-95652.17392</v>
      </c>
      <c r="E221" s="25">
        <f t="shared" si="2"/>
        <v>19.28421878</v>
      </c>
      <c r="F221" s="24">
        <f t="shared" si="3"/>
        <v>0.0002016077417</v>
      </c>
      <c r="G221" s="24">
        <f t="shared" si="4"/>
        <v>0</v>
      </c>
      <c r="H221" s="26">
        <f t="shared" si="5"/>
        <v>0</v>
      </c>
      <c r="I221" s="24">
        <f t="shared" si="6"/>
        <v>0</v>
      </c>
      <c r="J221" s="24">
        <f t="shared" si="7"/>
        <v>0</v>
      </c>
      <c r="K221" s="24"/>
      <c r="L221" s="24">
        <f t="shared" si="8"/>
        <v>521.6052781</v>
      </c>
      <c r="M221" s="14">
        <f t="shared" si="9"/>
        <v>435.2216292</v>
      </c>
      <c r="N221" s="27">
        <f t="shared" si="10"/>
        <v>86.38364889</v>
      </c>
      <c r="O221" s="24"/>
      <c r="P221" s="24"/>
      <c r="Q221" s="24"/>
      <c r="R221" s="26"/>
      <c r="S221" s="14">
        <f t="shared" si="13"/>
        <v>79.32577071</v>
      </c>
      <c r="U221" s="21"/>
      <c r="V221" s="21"/>
    </row>
    <row r="222">
      <c r="A222" s="11">
        <v>210.0</v>
      </c>
      <c r="B222" s="11">
        <v>1.42030869565217E9</v>
      </c>
      <c r="C222" s="2">
        <v>-101.5914612</v>
      </c>
      <c r="D222" s="24">
        <f t="shared" si="1"/>
        <v>-91304.34783</v>
      </c>
      <c r="E222" s="25">
        <f t="shared" si="2"/>
        <v>18.36592264</v>
      </c>
      <c r="F222" s="24">
        <f t="shared" si="3"/>
        <v>0.0002011505813</v>
      </c>
      <c r="G222" s="24">
        <f t="shared" si="4"/>
        <v>0</v>
      </c>
      <c r="H222" s="26">
        <f t="shared" si="5"/>
        <v>0</v>
      </c>
      <c r="I222" s="24">
        <f t="shared" si="6"/>
        <v>0</v>
      </c>
      <c r="J222" s="24">
        <f t="shared" si="7"/>
        <v>0</v>
      </c>
      <c r="K222" s="24"/>
      <c r="L222" s="24">
        <f t="shared" si="8"/>
        <v>527.1813615</v>
      </c>
      <c r="M222" s="14">
        <f t="shared" si="9"/>
        <v>435.1447353</v>
      </c>
      <c r="N222" s="27">
        <f t="shared" si="10"/>
        <v>92.0366262</v>
      </c>
      <c r="O222" s="24"/>
      <c r="P222" s="24"/>
      <c r="Q222" s="24"/>
      <c r="R222" s="26"/>
      <c r="S222" s="14">
        <f t="shared" si="13"/>
        <v>84.51687772</v>
      </c>
      <c r="U222" s="21"/>
      <c r="V222" s="21"/>
    </row>
    <row r="223">
      <c r="A223" s="11">
        <v>211.0</v>
      </c>
      <c r="B223" s="11">
        <v>1.42031304347826E9</v>
      </c>
      <c r="C223" s="2">
        <v>-101.5576782</v>
      </c>
      <c r="D223" s="24">
        <f t="shared" si="1"/>
        <v>-86956.52174</v>
      </c>
      <c r="E223" s="25">
        <f t="shared" si="2"/>
        <v>17.44762651</v>
      </c>
      <c r="F223" s="24">
        <f t="shared" si="3"/>
        <v>0.0002006477049</v>
      </c>
      <c r="G223" s="24">
        <f t="shared" si="4"/>
        <v>0</v>
      </c>
      <c r="H223" s="26">
        <f t="shared" si="5"/>
        <v>0</v>
      </c>
      <c r="I223" s="24">
        <f t="shared" si="6"/>
        <v>0</v>
      </c>
      <c r="J223" s="24">
        <f t="shared" si="7"/>
        <v>0</v>
      </c>
      <c r="K223" s="24"/>
      <c r="L223" s="24">
        <f t="shared" si="8"/>
        <v>531.2982035</v>
      </c>
      <c r="M223" s="14">
        <f t="shared" si="9"/>
        <v>435.0677294</v>
      </c>
      <c r="N223" s="27">
        <f t="shared" si="10"/>
        <v>96.23047406</v>
      </c>
      <c r="O223" s="24"/>
      <c r="P223" s="24"/>
      <c r="Q223" s="24"/>
      <c r="R223" s="26"/>
      <c r="S223" s="14">
        <f t="shared" si="13"/>
        <v>88.36807218</v>
      </c>
      <c r="U223" s="21"/>
      <c r="V223" s="21"/>
    </row>
    <row r="224">
      <c r="A224" s="11">
        <v>212.0</v>
      </c>
      <c r="B224" s="11">
        <v>1.42031739130434E9</v>
      </c>
      <c r="C224" s="2">
        <v>-101.5574417</v>
      </c>
      <c r="D224" s="24">
        <f t="shared" si="1"/>
        <v>-82608.69566</v>
      </c>
      <c r="E224" s="25">
        <f t="shared" si="2"/>
        <v>16.52933038</v>
      </c>
      <c r="F224" s="24">
        <f t="shared" si="3"/>
        <v>0.000200091894</v>
      </c>
      <c r="G224" s="24">
        <f t="shared" si="4"/>
        <v>0</v>
      </c>
      <c r="H224" s="26">
        <f t="shared" si="5"/>
        <v>0</v>
      </c>
      <c r="I224" s="24">
        <f t="shared" si="6"/>
        <v>0</v>
      </c>
      <c r="J224" s="24">
        <f t="shared" si="7"/>
        <v>0</v>
      </c>
      <c r="K224" s="24"/>
      <c r="L224" s="24">
        <f t="shared" si="8"/>
        <v>531.3271367</v>
      </c>
      <c r="M224" s="14">
        <f t="shared" si="9"/>
        <v>434.9906107</v>
      </c>
      <c r="N224" s="27">
        <f t="shared" si="10"/>
        <v>96.33652596</v>
      </c>
      <c r="O224" s="24"/>
      <c r="P224" s="24"/>
      <c r="Q224" s="24"/>
      <c r="R224" s="26"/>
      <c r="S224" s="14">
        <f t="shared" si="13"/>
        <v>88.46545924</v>
      </c>
      <c r="U224" s="21"/>
      <c r="V224" s="21"/>
    </row>
    <row r="225">
      <c r="A225" s="11">
        <v>213.0</v>
      </c>
      <c r="B225" s="11">
        <v>1.42032173913043E9</v>
      </c>
      <c r="C225" s="2">
        <v>-101.5788803</v>
      </c>
      <c r="D225" s="24">
        <f t="shared" si="1"/>
        <v>-78260.86957</v>
      </c>
      <c r="E225" s="25">
        <f t="shared" si="2"/>
        <v>15.61103425</v>
      </c>
      <c r="F225" s="24">
        <f t="shared" si="3"/>
        <v>0.0001994743265</v>
      </c>
      <c r="G225" s="24">
        <f t="shared" si="4"/>
        <v>0</v>
      </c>
      <c r="H225" s="26">
        <f t="shared" si="5"/>
        <v>0</v>
      </c>
      <c r="I225" s="24">
        <f t="shared" si="6"/>
        <v>0</v>
      </c>
      <c r="J225" s="24">
        <f t="shared" si="7"/>
        <v>0</v>
      </c>
      <c r="K225" s="24"/>
      <c r="L225" s="24">
        <f t="shared" si="8"/>
        <v>528.7107459</v>
      </c>
      <c r="M225" s="14">
        <f t="shared" si="9"/>
        <v>434.9133785</v>
      </c>
      <c r="N225" s="27">
        <f t="shared" si="10"/>
        <v>93.79736735</v>
      </c>
      <c r="O225" s="24"/>
      <c r="P225" s="24"/>
      <c r="Q225" s="24"/>
      <c r="R225" s="26"/>
      <c r="S225" s="14">
        <f t="shared" si="13"/>
        <v>86.1337595</v>
      </c>
      <c r="U225" s="21"/>
      <c r="V225" s="21"/>
    </row>
    <row r="226">
      <c r="A226" s="11">
        <v>214.0</v>
      </c>
      <c r="B226" s="11">
        <v>1.42032608695652E9</v>
      </c>
      <c r="C226" s="2">
        <v>-101.5723419</v>
      </c>
      <c r="D226" s="24">
        <f t="shared" si="1"/>
        <v>-73913.04348</v>
      </c>
      <c r="E226" s="25">
        <f t="shared" si="2"/>
        <v>14.69273812</v>
      </c>
      <c r="F226" s="24">
        <f t="shared" si="3"/>
        <v>0.0001987841039</v>
      </c>
      <c r="G226" s="24">
        <f t="shared" si="4"/>
        <v>0</v>
      </c>
      <c r="H226" s="26">
        <f t="shared" si="5"/>
        <v>0</v>
      </c>
      <c r="I226" s="24">
        <f t="shared" si="6"/>
        <v>0</v>
      </c>
      <c r="J226" s="24">
        <f t="shared" si="7"/>
        <v>0</v>
      </c>
      <c r="K226" s="24"/>
      <c r="L226" s="24">
        <f t="shared" si="8"/>
        <v>529.5073311</v>
      </c>
      <c r="M226" s="14">
        <f t="shared" si="9"/>
        <v>434.836032</v>
      </c>
      <c r="N226" s="27">
        <f t="shared" si="10"/>
        <v>94.67129917</v>
      </c>
      <c r="O226" s="24"/>
      <c r="P226" s="24"/>
      <c r="Q226" s="24"/>
      <c r="R226" s="26"/>
      <c r="S226" s="14">
        <f t="shared" si="13"/>
        <v>86.93628791</v>
      </c>
      <c r="U226" s="21"/>
      <c r="V226" s="21"/>
    </row>
    <row r="227">
      <c r="A227" s="11">
        <v>215.0</v>
      </c>
      <c r="B227" s="11">
        <v>1.4203304347826E9</v>
      </c>
      <c r="C227" s="2">
        <v>-101.5758591</v>
      </c>
      <c r="D227" s="24">
        <f t="shared" si="1"/>
        <v>-69565.2174</v>
      </c>
      <c r="E227" s="25">
        <f t="shared" si="2"/>
        <v>13.77444198</v>
      </c>
      <c r="F227" s="24">
        <f t="shared" si="3"/>
        <v>0.0001980076035</v>
      </c>
      <c r="G227" s="24">
        <f t="shared" si="4"/>
        <v>0</v>
      </c>
      <c r="H227" s="26">
        <f t="shared" si="5"/>
        <v>0</v>
      </c>
      <c r="I227" s="24">
        <f t="shared" si="6"/>
        <v>0</v>
      </c>
      <c r="J227" s="24">
        <f t="shared" si="7"/>
        <v>0</v>
      </c>
      <c r="K227" s="24"/>
      <c r="L227" s="24">
        <f t="shared" si="8"/>
        <v>529.0786752</v>
      </c>
      <c r="M227" s="14">
        <f t="shared" si="9"/>
        <v>434.7585703</v>
      </c>
      <c r="N227" s="27">
        <f t="shared" si="10"/>
        <v>94.32010487</v>
      </c>
      <c r="O227" s="24"/>
      <c r="P227" s="24"/>
      <c r="Q227" s="24"/>
      <c r="R227" s="26"/>
      <c r="S227" s="14">
        <f t="shared" si="13"/>
        <v>86.61378754</v>
      </c>
      <c r="U227" s="21"/>
      <c r="V227" s="21"/>
    </row>
    <row r="228">
      <c r="A228" s="11">
        <v>216.0</v>
      </c>
      <c r="B228" s="11">
        <v>1.42033478260869E9</v>
      </c>
      <c r="C228" s="2">
        <v>-101.526062</v>
      </c>
      <c r="D228" s="24">
        <f t="shared" si="1"/>
        <v>-65217.39131</v>
      </c>
      <c r="E228" s="25">
        <f t="shared" si="2"/>
        <v>12.85614585</v>
      </c>
      <c r="F228" s="24">
        <f t="shared" si="3"/>
        <v>0.0001971275697</v>
      </c>
      <c r="G228" s="24">
        <f t="shared" si="4"/>
        <v>0</v>
      </c>
      <c r="H228" s="26">
        <f t="shared" si="5"/>
        <v>0</v>
      </c>
      <c r="I228" s="24">
        <f t="shared" si="6"/>
        <v>0</v>
      </c>
      <c r="J228" s="24">
        <f t="shared" si="7"/>
        <v>0</v>
      </c>
      <c r="K228" s="24"/>
      <c r="L228" s="24">
        <f t="shared" si="8"/>
        <v>535.1801136</v>
      </c>
      <c r="M228" s="14">
        <f t="shared" si="9"/>
        <v>434.6809927</v>
      </c>
      <c r="N228" s="27">
        <f t="shared" si="10"/>
        <v>100.4991209</v>
      </c>
      <c r="O228" s="24"/>
      <c r="P228" s="24"/>
      <c r="Q228" s="24"/>
      <c r="R228" s="26"/>
      <c r="S228" s="14">
        <f t="shared" si="13"/>
        <v>92.28795404</v>
      </c>
      <c r="U228" s="21"/>
      <c r="V228" s="21"/>
    </row>
    <row r="229">
      <c r="A229" s="11">
        <v>217.0</v>
      </c>
      <c r="B229" s="11">
        <v>1.42033913043478E9</v>
      </c>
      <c r="C229" s="2">
        <v>-101.4772873</v>
      </c>
      <c r="D229" s="24">
        <f t="shared" si="1"/>
        <v>-60869.56522</v>
      </c>
      <c r="E229" s="25">
        <f t="shared" si="2"/>
        <v>11.93784972</v>
      </c>
      <c r="F229" s="24">
        <f t="shared" si="3"/>
        <v>0.0001961218168</v>
      </c>
      <c r="G229" s="24">
        <f t="shared" si="4"/>
        <v>0</v>
      </c>
      <c r="H229" s="26">
        <f t="shared" si="5"/>
        <v>0</v>
      </c>
      <c r="I229" s="24">
        <f t="shared" si="6"/>
        <v>0</v>
      </c>
      <c r="J229" s="24">
        <f t="shared" si="7"/>
        <v>0</v>
      </c>
      <c r="K229" s="24"/>
      <c r="L229" s="24">
        <f t="shared" si="8"/>
        <v>541.2244869</v>
      </c>
      <c r="M229" s="14">
        <f t="shared" si="9"/>
        <v>434.6032984</v>
      </c>
      <c r="N229" s="27">
        <f t="shared" si="10"/>
        <v>106.6211885</v>
      </c>
      <c r="O229" s="24"/>
      <c r="P229" s="24"/>
      <c r="Q229" s="24"/>
      <c r="R229" s="26"/>
      <c r="S229" s="14">
        <f t="shared" si="13"/>
        <v>97.90982482</v>
      </c>
      <c r="U229" s="21"/>
      <c r="V229" s="21"/>
    </row>
    <row r="230">
      <c r="A230" s="11">
        <v>218.0</v>
      </c>
      <c r="B230" s="11">
        <v>1.42034347826087E9</v>
      </c>
      <c r="C230" s="2">
        <v>-101.5160294</v>
      </c>
      <c r="D230" s="24">
        <f t="shared" si="1"/>
        <v>-56521.73913</v>
      </c>
      <c r="E230" s="25">
        <f t="shared" si="2"/>
        <v>11.01955359</v>
      </c>
      <c r="F230" s="24">
        <f t="shared" si="3"/>
        <v>0.0001949613327</v>
      </c>
      <c r="G230" s="24">
        <f t="shared" si="4"/>
        <v>0</v>
      </c>
      <c r="H230" s="26">
        <f t="shared" si="5"/>
        <v>0</v>
      </c>
      <c r="I230" s="24">
        <f t="shared" si="6"/>
        <v>0</v>
      </c>
      <c r="J230" s="24">
        <f t="shared" si="7"/>
        <v>0</v>
      </c>
      <c r="K230" s="24"/>
      <c r="L230" s="24">
        <f t="shared" si="8"/>
        <v>536.4178577</v>
      </c>
      <c r="M230" s="14">
        <f t="shared" si="9"/>
        <v>434.5254867</v>
      </c>
      <c r="N230" s="27">
        <f t="shared" si="10"/>
        <v>101.8923711</v>
      </c>
      <c r="O230" s="24"/>
      <c r="P230" s="24"/>
      <c r="Q230" s="24"/>
      <c r="R230" s="26"/>
      <c r="S230" s="14">
        <f t="shared" si="13"/>
        <v>93.56737029</v>
      </c>
      <c r="U230" s="21"/>
      <c r="V230" s="21"/>
    </row>
    <row r="231">
      <c r="A231" s="11">
        <v>219.0</v>
      </c>
      <c r="B231" s="11">
        <v>1.42034782608695E9</v>
      </c>
      <c r="C231" s="2">
        <v>-101.475914</v>
      </c>
      <c r="D231" s="24">
        <f t="shared" si="1"/>
        <v>-52173.91305</v>
      </c>
      <c r="E231" s="25">
        <f t="shared" si="2"/>
        <v>10.10125745</v>
      </c>
      <c r="F231" s="24">
        <f t="shared" si="3"/>
        <v>0.0001936074345</v>
      </c>
      <c r="G231" s="24">
        <f t="shared" si="4"/>
        <v>0</v>
      </c>
      <c r="H231" s="26">
        <f t="shared" si="5"/>
        <v>0</v>
      </c>
      <c r="I231" s="24">
        <f t="shared" si="6"/>
        <v>0</v>
      </c>
      <c r="J231" s="24">
        <f t="shared" si="7"/>
        <v>0</v>
      </c>
      <c r="K231" s="24"/>
      <c r="L231" s="24">
        <f t="shared" si="8"/>
        <v>541.3956567</v>
      </c>
      <c r="M231" s="14">
        <f t="shared" si="9"/>
        <v>434.4475566</v>
      </c>
      <c r="N231" s="27">
        <f t="shared" si="10"/>
        <v>106.9481001</v>
      </c>
      <c r="O231" s="24"/>
      <c r="P231" s="24"/>
      <c r="Q231" s="24"/>
      <c r="R231" s="26"/>
      <c r="S231" s="14">
        <f t="shared" si="13"/>
        <v>98.21002673</v>
      </c>
      <c r="U231" s="21"/>
      <c r="V231" s="21"/>
    </row>
    <row r="232">
      <c r="A232" s="11">
        <v>220.0</v>
      </c>
      <c r="B232" s="11">
        <v>1.42035217391304E9</v>
      </c>
      <c r="C232" s="2">
        <v>-101.4778595</v>
      </c>
      <c r="D232" s="24">
        <f t="shared" si="1"/>
        <v>-47826.08696</v>
      </c>
      <c r="E232" s="25">
        <f t="shared" si="2"/>
        <v>9.182961321</v>
      </c>
      <c r="F232" s="24">
        <f t="shared" si="3"/>
        <v>0.0001920073731</v>
      </c>
      <c r="G232" s="24">
        <f t="shared" si="4"/>
        <v>0</v>
      </c>
      <c r="H232" s="26">
        <f t="shared" si="5"/>
        <v>0</v>
      </c>
      <c r="I232" s="24">
        <f t="shared" si="6"/>
        <v>0</v>
      </c>
      <c r="J232" s="24">
        <f t="shared" si="7"/>
        <v>0</v>
      </c>
      <c r="K232" s="24"/>
      <c r="L232" s="24">
        <f t="shared" si="8"/>
        <v>541.1531831</v>
      </c>
      <c r="M232" s="14">
        <f t="shared" si="9"/>
        <v>434.3695075</v>
      </c>
      <c r="N232" s="27">
        <f t="shared" si="10"/>
        <v>106.7836756</v>
      </c>
      <c r="O232" s="24"/>
      <c r="P232" s="24"/>
      <c r="Q232" s="24"/>
      <c r="R232" s="26"/>
      <c r="S232" s="14">
        <f t="shared" si="13"/>
        <v>98.05903614</v>
      </c>
      <c r="U232" s="21"/>
      <c r="V232" s="21"/>
    </row>
    <row r="233">
      <c r="A233" s="11">
        <v>221.0</v>
      </c>
      <c r="B233" s="11">
        <v>1.42035652173913E9</v>
      </c>
      <c r="C233" s="2">
        <v>-101.5056992</v>
      </c>
      <c r="D233" s="24">
        <f t="shared" si="1"/>
        <v>-43478.26087</v>
      </c>
      <c r="E233" s="25">
        <f t="shared" si="2"/>
        <v>8.264665191</v>
      </c>
      <c r="F233" s="24">
        <f t="shared" si="3"/>
        <v>0.0001900872994</v>
      </c>
      <c r="G233" s="24">
        <f t="shared" si="4"/>
        <v>0</v>
      </c>
      <c r="H233" s="26">
        <f t="shared" si="5"/>
        <v>0</v>
      </c>
      <c r="I233" s="24">
        <f t="shared" si="6"/>
        <v>0</v>
      </c>
      <c r="J233" s="24">
        <f t="shared" si="7"/>
        <v>0</v>
      </c>
      <c r="K233" s="24"/>
      <c r="L233" s="24">
        <f t="shared" si="8"/>
        <v>537.6953087</v>
      </c>
      <c r="M233" s="14">
        <f t="shared" si="9"/>
        <v>434.2913386</v>
      </c>
      <c r="N233" s="27">
        <f t="shared" si="10"/>
        <v>103.4039702</v>
      </c>
      <c r="O233" s="24"/>
      <c r="P233" s="24"/>
      <c r="Q233" s="24"/>
      <c r="R233" s="26"/>
      <c r="S233" s="14">
        <f t="shared" si="13"/>
        <v>94.95546591</v>
      </c>
      <c r="U233" s="21"/>
      <c r="V233" s="21"/>
    </row>
    <row r="234">
      <c r="A234" s="11">
        <v>222.0</v>
      </c>
      <c r="B234" s="11">
        <v>1.42036086956521E9</v>
      </c>
      <c r="C234" s="2">
        <v>-101.4183426</v>
      </c>
      <c r="D234" s="24">
        <f t="shared" si="1"/>
        <v>-39130.43479</v>
      </c>
      <c r="E234" s="25">
        <f t="shared" si="2"/>
        <v>7.346369058</v>
      </c>
      <c r="F234" s="24">
        <f t="shared" si="3"/>
        <v>0.0001877405426</v>
      </c>
      <c r="G234" s="24">
        <f t="shared" si="4"/>
        <v>0</v>
      </c>
      <c r="H234" s="26">
        <f t="shared" si="5"/>
        <v>0</v>
      </c>
      <c r="I234" s="24">
        <f t="shared" si="6"/>
        <v>0</v>
      </c>
      <c r="J234" s="24">
        <f t="shared" si="7"/>
        <v>0</v>
      </c>
      <c r="K234" s="24"/>
      <c r="L234" s="24">
        <f t="shared" si="8"/>
        <v>548.6203431</v>
      </c>
      <c r="M234" s="14">
        <f t="shared" si="9"/>
        <v>434.213049</v>
      </c>
      <c r="N234" s="27">
        <f t="shared" si="10"/>
        <v>114.4072941</v>
      </c>
      <c r="O234" s="24"/>
      <c r="P234" s="24"/>
      <c r="Q234" s="24"/>
      <c r="R234" s="26"/>
      <c r="S234" s="14">
        <f t="shared" si="13"/>
        <v>105.0597757</v>
      </c>
      <c r="U234" s="21"/>
      <c r="V234" s="21"/>
    </row>
    <row r="235">
      <c r="A235" s="11">
        <v>223.0</v>
      </c>
      <c r="B235" s="11">
        <v>1.4203652173913E9</v>
      </c>
      <c r="C235" s="2">
        <v>-101.502594</v>
      </c>
      <c r="D235" s="24">
        <f t="shared" si="1"/>
        <v>-34782.6087</v>
      </c>
      <c r="E235" s="25">
        <f t="shared" si="2"/>
        <v>6.428072925</v>
      </c>
      <c r="F235" s="24">
        <f t="shared" si="3"/>
        <v>0.0001848070966</v>
      </c>
      <c r="G235" s="24">
        <f t="shared" si="4"/>
        <v>0</v>
      </c>
      <c r="H235" s="26">
        <f t="shared" si="5"/>
        <v>0</v>
      </c>
      <c r="I235" s="24">
        <f t="shared" si="6"/>
        <v>0</v>
      </c>
      <c r="J235" s="24">
        <f t="shared" si="7"/>
        <v>0</v>
      </c>
      <c r="K235" s="24"/>
      <c r="L235" s="24">
        <f t="shared" si="8"/>
        <v>538.0798977</v>
      </c>
      <c r="M235" s="14">
        <f t="shared" si="9"/>
        <v>434.134638</v>
      </c>
      <c r="N235" s="27">
        <f t="shared" si="10"/>
        <v>103.9452597</v>
      </c>
      <c r="O235" s="24"/>
      <c r="P235" s="24"/>
      <c r="Q235" s="24"/>
      <c r="R235" s="26"/>
      <c r="S235" s="14">
        <f t="shared" si="13"/>
        <v>95.45252976</v>
      </c>
      <c r="U235" s="21"/>
      <c r="V235" s="21"/>
    </row>
    <row r="236">
      <c r="A236" s="11">
        <v>224.0</v>
      </c>
      <c r="B236" s="11">
        <v>1.42036956521739E9</v>
      </c>
      <c r="C236" s="2">
        <v>-101.4694595</v>
      </c>
      <c r="D236" s="24">
        <f t="shared" si="1"/>
        <v>-30434.78261</v>
      </c>
      <c r="E236" s="25">
        <f t="shared" si="2"/>
        <v>5.509776795</v>
      </c>
      <c r="F236" s="24">
        <f t="shared" si="3"/>
        <v>0.0001810355232</v>
      </c>
      <c r="G236" s="24">
        <f t="shared" si="4"/>
        <v>0</v>
      </c>
      <c r="H236" s="26">
        <f t="shared" si="5"/>
        <v>0</v>
      </c>
      <c r="I236" s="24">
        <f t="shared" si="6"/>
        <v>0</v>
      </c>
      <c r="J236" s="24">
        <f t="shared" si="7"/>
        <v>0</v>
      </c>
      <c r="K236" s="24"/>
      <c r="L236" s="24">
        <f t="shared" si="8"/>
        <v>542.2008791</v>
      </c>
      <c r="M236" s="14">
        <f t="shared" si="9"/>
        <v>434.0561048</v>
      </c>
      <c r="N236" s="27">
        <f t="shared" si="10"/>
        <v>108.1447743</v>
      </c>
      <c r="O236" s="24"/>
      <c r="P236" s="24"/>
      <c r="Q236" s="24"/>
      <c r="R236" s="26"/>
      <c r="S236" s="14">
        <f t="shared" si="13"/>
        <v>99.30892803</v>
      </c>
      <c r="U236" s="21"/>
      <c r="V236" s="21"/>
    </row>
    <row r="237">
      <c r="A237" s="11">
        <v>225.0</v>
      </c>
      <c r="B237" s="11">
        <v>1.42037391304347E9</v>
      </c>
      <c r="C237" s="2">
        <v>-101.4508438</v>
      </c>
      <c r="D237" s="24">
        <f t="shared" si="1"/>
        <v>-26086.95653</v>
      </c>
      <c r="E237" s="25">
        <f t="shared" si="2"/>
        <v>4.591480662</v>
      </c>
      <c r="F237" s="24">
        <f t="shared" si="3"/>
        <v>0.0001760067586</v>
      </c>
      <c r="G237" s="24">
        <f t="shared" si="4"/>
        <v>0</v>
      </c>
      <c r="H237" s="26">
        <f t="shared" si="5"/>
        <v>0</v>
      </c>
      <c r="I237" s="24">
        <f t="shared" si="6"/>
        <v>0</v>
      </c>
      <c r="J237" s="24">
        <f t="shared" si="7"/>
        <v>0</v>
      </c>
      <c r="K237" s="24"/>
      <c r="L237" s="24">
        <f t="shared" si="8"/>
        <v>544.5299698</v>
      </c>
      <c r="M237" s="14">
        <f t="shared" si="9"/>
        <v>433.9774486</v>
      </c>
      <c r="N237" s="27">
        <f t="shared" si="10"/>
        <v>110.5525212</v>
      </c>
      <c r="O237" s="24"/>
      <c r="P237" s="24"/>
      <c r="Q237" s="24"/>
      <c r="R237" s="26"/>
      <c r="S237" s="14">
        <f t="shared" si="13"/>
        <v>101.5199527</v>
      </c>
      <c r="U237" s="21"/>
      <c r="V237" s="21"/>
    </row>
    <row r="238">
      <c r="A238" s="11">
        <v>226.0</v>
      </c>
      <c r="B238" s="11">
        <v>1.42037826086956E9</v>
      </c>
      <c r="C238" s="2">
        <v>-101.3743515</v>
      </c>
      <c r="D238" s="24">
        <f t="shared" si="1"/>
        <v>-21739.13044</v>
      </c>
      <c r="E238" s="25">
        <f t="shared" si="2"/>
        <v>3.673184529</v>
      </c>
      <c r="F238" s="24">
        <f t="shared" si="3"/>
        <v>0.0001689664883</v>
      </c>
      <c r="G238" s="24">
        <f t="shared" si="4"/>
        <v>0</v>
      </c>
      <c r="H238" s="26">
        <f t="shared" si="5"/>
        <v>0</v>
      </c>
      <c r="I238" s="24">
        <f t="shared" si="6"/>
        <v>0</v>
      </c>
      <c r="J238" s="24">
        <f t="shared" si="7"/>
        <v>0</v>
      </c>
      <c r="K238" s="24"/>
      <c r="L238" s="24">
        <f t="shared" si="8"/>
        <v>554.2057373</v>
      </c>
      <c r="M238" s="14">
        <f t="shared" si="9"/>
        <v>433.8986686</v>
      </c>
      <c r="N238" s="27">
        <f t="shared" si="10"/>
        <v>120.3070687</v>
      </c>
      <c r="O238" s="24"/>
      <c r="P238" s="24"/>
      <c r="Q238" s="24"/>
      <c r="R238" s="26"/>
      <c r="S238" s="14">
        <f t="shared" si="13"/>
        <v>110.4775157</v>
      </c>
      <c r="U238" s="21"/>
      <c r="V238" s="21"/>
    </row>
    <row r="239">
      <c r="A239" s="11">
        <v>227.0</v>
      </c>
      <c r="B239" s="11">
        <v>1.42038260869565E9</v>
      </c>
      <c r="C239" s="2">
        <v>-101.377449</v>
      </c>
      <c r="D239" s="24">
        <f t="shared" si="1"/>
        <v>-17391.30435</v>
      </c>
      <c r="E239" s="25">
        <f t="shared" si="2"/>
        <v>2.754888398</v>
      </c>
      <c r="F239" s="24">
        <f t="shared" si="3"/>
        <v>0.0001584060829</v>
      </c>
      <c r="G239" s="24">
        <f t="shared" si="4"/>
        <v>0</v>
      </c>
      <c r="H239" s="26">
        <f t="shared" si="5"/>
        <v>0</v>
      </c>
      <c r="I239" s="24">
        <f t="shared" si="6"/>
        <v>0</v>
      </c>
      <c r="J239" s="24">
        <f t="shared" si="7"/>
        <v>0</v>
      </c>
      <c r="K239" s="24"/>
      <c r="L239" s="24">
        <f t="shared" si="8"/>
        <v>553.8106044</v>
      </c>
      <c r="M239" s="14">
        <f t="shared" si="9"/>
        <v>433.819764</v>
      </c>
      <c r="N239" s="27">
        <f t="shared" si="10"/>
        <v>119.9908404</v>
      </c>
      <c r="O239" s="24"/>
      <c r="P239" s="24"/>
      <c r="Q239" s="24"/>
      <c r="R239" s="26"/>
      <c r="S239" s="14">
        <f t="shared" si="13"/>
        <v>110.1871247</v>
      </c>
      <c r="U239" s="21"/>
      <c r="V239" s="21"/>
    </row>
    <row r="240">
      <c r="A240" s="11">
        <v>228.0</v>
      </c>
      <c r="B240" s="11">
        <v>1.42038695652173E9</v>
      </c>
      <c r="C240" s="2">
        <v>-101.3310471</v>
      </c>
      <c r="D240" s="24">
        <f t="shared" si="1"/>
        <v>-13043.47827</v>
      </c>
      <c r="E240" s="25">
        <f t="shared" si="2"/>
        <v>1.836592266</v>
      </c>
      <c r="F240" s="24">
        <f t="shared" si="3"/>
        <v>0.0001408054069</v>
      </c>
      <c r="G240" s="24">
        <f t="shared" si="4"/>
        <v>0</v>
      </c>
      <c r="H240" s="26">
        <f t="shared" si="5"/>
        <v>0</v>
      </c>
      <c r="I240" s="24">
        <f t="shared" si="6"/>
        <v>0</v>
      </c>
      <c r="J240" s="24">
        <f t="shared" si="7"/>
        <v>0</v>
      </c>
      <c r="K240" s="24"/>
      <c r="L240" s="24">
        <f t="shared" si="8"/>
        <v>559.7594799</v>
      </c>
      <c r="M240" s="14">
        <f t="shared" si="9"/>
        <v>433.7407341</v>
      </c>
      <c r="N240" s="27">
        <f t="shared" si="10"/>
        <v>126.0187458</v>
      </c>
      <c r="O240" s="24"/>
      <c r="P240" s="24"/>
      <c r="Q240" s="24"/>
      <c r="R240" s="26"/>
      <c r="S240" s="14">
        <f t="shared" si="13"/>
        <v>115.722527</v>
      </c>
      <c r="U240" s="21"/>
      <c r="V240" s="21"/>
    </row>
    <row r="241">
      <c r="A241" s="11">
        <v>229.0</v>
      </c>
      <c r="B241" s="11">
        <v>1.42039130434782E9</v>
      </c>
      <c r="C241" s="2">
        <v>-101.2565765</v>
      </c>
      <c r="D241" s="24">
        <f t="shared" si="1"/>
        <v>-8695.65218</v>
      </c>
      <c r="E241" s="25">
        <f t="shared" si="2"/>
        <v>0.9182961328</v>
      </c>
      <c r="F241" s="24">
        <f t="shared" si="3"/>
        <v>0.0001056040552</v>
      </c>
      <c r="G241" s="24">
        <f t="shared" si="4"/>
        <v>0</v>
      </c>
      <c r="H241" s="26">
        <f t="shared" si="5"/>
        <v>0</v>
      </c>
      <c r="I241" s="24">
        <f t="shared" si="6"/>
        <v>0</v>
      </c>
      <c r="J241" s="24">
        <f t="shared" si="7"/>
        <v>0</v>
      </c>
      <c r="K241" s="24"/>
      <c r="L241" s="24">
        <f t="shared" si="8"/>
        <v>569.4407169</v>
      </c>
      <c r="M241" s="14">
        <f t="shared" si="9"/>
        <v>433.661578</v>
      </c>
      <c r="N241" s="27">
        <f t="shared" si="10"/>
        <v>135.7791389</v>
      </c>
      <c r="O241" s="24"/>
      <c r="P241" s="24"/>
      <c r="Q241" s="24"/>
      <c r="R241" s="26"/>
      <c r="S241" s="14">
        <f t="shared" si="13"/>
        <v>124.6854581</v>
      </c>
      <c r="U241" s="21"/>
      <c r="V241" s="21"/>
    </row>
    <row r="242">
      <c r="A242" s="11">
        <v>230.0</v>
      </c>
      <c r="B242" s="11">
        <v>1.42039565217391E9</v>
      </c>
      <c r="C242" s="2">
        <v>-101.2510147</v>
      </c>
      <c r="D242" s="24">
        <f t="shared" si="1"/>
        <v>-4347.82609</v>
      </c>
      <c r="E242" s="25">
        <f t="shared" si="2"/>
        <v>0</v>
      </c>
      <c r="F242" s="24">
        <f t="shared" si="3"/>
        <v>0</v>
      </c>
      <c r="G242" s="24">
        <f t="shared" si="4"/>
        <v>0</v>
      </c>
      <c r="H242" s="26">
        <f t="shared" si="5"/>
        <v>0</v>
      </c>
      <c r="I242" s="24">
        <f t="shared" si="6"/>
        <v>0</v>
      </c>
      <c r="J242" s="24" t="str">
        <f t="shared" si="7"/>
        <v>#DIV/0!</v>
      </c>
      <c r="K242" s="24"/>
      <c r="L242" s="24">
        <f t="shared" si="8"/>
        <v>570.1704393</v>
      </c>
      <c r="M242" s="14">
        <f t="shared" si="9"/>
        <v>433.582295</v>
      </c>
      <c r="N242" s="27">
        <f t="shared" si="10"/>
        <v>136.5881443</v>
      </c>
      <c r="O242" s="24"/>
      <c r="P242" s="24"/>
      <c r="Q242" s="24"/>
      <c r="R242" s="26"/>
      <c r="S242" s="14">
        <f t="shared" si="13"/>
        <v>125.4283644</v>
      </c>
      <c r="U242" s="21"/>
      <c r="V242" s="21"/>
    </row>
    <row r="243">
      <c r="A243" s="11">
        <v>231.0</v>
      </c>
      <c r="B243" s="11">
        <v>1.4204E9</v>
      </c>
      <c r="C243" s="2">
        <v>-101.180603</v>
      </c>
      <c r="D243" s="24">
        <f t="shared" si="1"/>
        <v>0</v>
      </c>
      <c r="E243" s="25">
        <f t="shared" si="2"/>
        <v>-0.9182961307</v>
      </c>
      <c r="F243" s="24" t="str">
        <f t="shared" si="3"/>
        <v>#DIV/0!</v>
      </c>
      <c r="G243" s="24">
        <f t="shared" si="4"/>
        <v>0</v>
      </c>
      <c r="H243" s="26">
        <f t="shared" si="5"/>
        <v>0</v>
      </c>
      <c r="I243" s="24">
        <f t="shared" si="6"/>
        <v>0</v>
      </c>
      <c r="J243" s="24" t="str">
        <f t="shared" si="7"/>
        <v>#DIV/0!</v>
      </c>
      <c r="K243" s="24"/>
      <c r="L243" s="24">
        <f t="shared" si="8"/>
        <v>579.4898952</v>
      </c>
      <c r="M243" s="14">
        <f t="shared" si="9"/>
        <v>433.5028842</v>
      </c>
      <c r="N243" s="27">
        <f t="shared" si="10"/>
        <v>145.987011</v>
      </c>
      <c r="O243" s="24"/>
      <c r="P243" s="24"/>
      <c r="Q243" s="24"/>
      <c r="R243" s="26"/>
      <c r="S243" s="14">
        <f t="shared" si="13"/>
        <v>134.0593076</v>
      </c>
      <c r="U243" s="21"/>
      <c r="V243" s="21"/>
    </row>
    <row r="244">
      <c r="A244" s="11">
        <v>232.0</v>
      </c>
      <c r="B244" s="11">
        <v>1.42040434782608E9</v>
      </c>
      <c r="C244" s="2">
        <v>-101.1678085</v>
      </c>
      <c r="D244" s="24">
        <f t="shared" si="1"/>
        <v>4347.82608</v>
      </c>
      <c r="E244" s="25">
        <f t="shared" si="2"/>
        <v>-1.836592263</v>
      </c>
      <c r="F244" s="24">
        <f t="shared" si="3"/>
        <v>0.0004224162213</v>
      </c>
      <c r="G244" s="24">
        <f t="shared" si="4"/>
        <v>0</v>
      </c>
      <c r="H244" s="26">
        <f t="shared" si="5"/>
        <v>0</v>
      </c>
      <c r="I244" s="24">
        <f t="shared" si="6"/>
        <v>0</v>
      </c>
      <c r="J244" s="24">
        <f t="shared" si="7"/>
        <v>0</v>
      </c>
      <c r="K244" s="24"/>
      <c r="L244" s="24">
        <f t="shared" si="8"/>
        <v>581.1996143</v>
      </c>
      <c r="M244" s="14">
        <f t="shared" si="9"/>
        <v>433.423345</v>
      </c>
      <c r="N244" s="27">
        <f t="shared" si="10"/>
        <v>147.7762693</v>
      </c>
      <c r="O244" s="24"/>
      <c r="P244" s="24"/>
      <c r="Q244" s="24"/>
      <c r="R244" s="26"/>
      <c r="S244" s="14">
        <f t="shared" si="13"/>
        <v>135.7023766</v>
      </c>
      <c r="U244" s="21"/>
      <c r="V244" s="21"/>
    </row>
    <row r="245">
      <c r="A245" s="11">
        <v>233.0</v>
      </c>
      <c r="B245" s="11">
        <v>1.42040869565217E9</v>
      </c>
      <c r="C245" s="2">
        <v>-101.1091003</v>
      </c>
      <c r="D245" s="24">
        <f t="shared" si="1"/>
        <v>8695.65217</v>
      </c>
      <c r="E245" s="25">
        <f t="shared" si="2"/>
        <v>-2.754888396</v>
      </c>
      <c r="F245" s="24">
        <f t="shared" si="3"/>
        <v>0.0003168121657</v>
      </c>
      <c r="G245" s="24">
        <f t="shared" si="4"/>
        <v>0</v>
      </c>
      <c r="H245" s="26">
        <f t="shared" si="5"/>
        <v>0</v>
      </c>
      <c r="I245" s="24">
        <f t="shared" si="6"/>
        <v>0</v>
      </c>
      <c r="J245" s="24">
        <f t="shared" si="7"/>
        <v>0</v>
      </c>
      <c r="K245" s="24"/>
      <c r="L245" s="24">
        <f t="shared" si="8"/>
        <v>589.1096508</v>
      </c>
      <c r="M245" s="14">
        <f t="shared" si="9"/>
        <v>433.3436764</v>
      </c>
      <c r="N245" s="27">
        <f t="shared" si="10"/>
        <v>155.7659743</v>
      </c>
      <c r="O245" s="24"/>
      <c r="P245" s="24"/>
      <c r="Q245" s="24"/>
      <c r="R245" s="26"/>
      <c r="S245" s="14">
        <f t="shared" si="13"/>
        <v>143.0392915</v>
      </c>
      <c r="U245" s="21"/>
      <c r="V245" s="21"/>
    </row>
    <row r="246">
      <c r="A246" s="11">
        <v>234.0</v>
      </c>
      <c r="B246" s="11">
        <v>1.42041304347826E9</v>
      </c>
      <c r="C246" s="2">
        <v>-101.0480042</v>
      </c>
      <c r="D246" s="24">
        <f t="shared" si="1"/>
        <v>13043.47826</v>
      </c>
      <c r="E246" s="25">
        <f t="shared" si="2"/>
        <v>-3.673184527</v>
      </c>
      <c r="F246" s="24">
        <f t="shared" si="3"/>
        <v>0.0002816108137</v>
      </c>
      <c r="G246" s="24">
        <f t="shared" si="4"/>
        <v>0</v>
      </c>
      <c r="H246" s="26">
        <f t="shared" si="5"/>
        <v>0</v>
      </c>
      <c r="I246" s="24">
        <f t="shared" si="6"/>
        <v>0</v>
      </c>
      <c r="J246" s="24">
        <f t="shared" si="7"/>
        <v>0</v>
      </c>
      <c r="K246" s="24"/>
      <c r="L246" s="24">
        <f t="shared" si="8"/>
        <v>597.455753</v>
      </c>
      <c r="M246" s="14">
        <f t="shared" si="9"/>
        <v>433.2638778</v>
      </c>
      <c r="N246" s="27">
        <f t="shared" si="10"/>
        <v>164.1918752</v>
      </c>
      <c r="O246" s="24"/>
      <c r="P246" s="24"/>
      <c r="Q246" s="24"/>
      <c r="R246" s="26"/>
      <c r="S246" s="14">
        <f t="shared" si="13"/>
        <v>150.776764</v>
      </c>
      <c r="U246" s="21"/>
      <c r="V246" s="21"/>
    </row>
    <row r="247">
      <c r="A247" s="11">
        <v>235.0</v>
      </c>
      <c r="B247" s="11">
        <v>1.42041739130434E9</v>
      </c>
      <c r="C247" s="2">
        <v>-101.0376816</v>
      </c>
      <c r="D247" s="24">
        <f t="shared" si="1"/>
        <v>17391.30434</v>
      </c>
      <c r="E247" s="25">
        <f t="shared" si="2"/>
        <v>-4.59148066</v>
      </c>
      <c r="F247" s="24">
        <f t="shared" si="3"/>
        <v>0.0002640101381</v>
      </c>
      <c r="G247" s="24">
        <f t="shared" si="4"/>
        <v>0</v>
      </c>
      <c r="H247" s="26">
        <f t="shared" si="5"/>
        <v>0</v>
      </c>
      <c r="I247" s="24">
        <f t="shared" si="6"/>
        <v>0</v>
      </c>
      <c r="J247" s="24">
        <f t="shared" si="7"/>
        <v>0</v>
      </c>
      <c r="K247" s="24"/>
      <c r="L247" s="24">
        <f t="shared" si="8"/>
        <v>598.8775146</v>
      </c>
      <c r="M247" s="14">
        <f t="shared" si="9"/>
        <v>433.1839483</v>
      </c>
      <c r="N247" s="27">
        <f t="shared" si="10"/>
        <v>165.6935663</v>
      </c>
      <c r="O247" s="24"/>
      <c r="P247" s="24"/>
      <c r="Q247" s="24"/>
      <c r="R247" s="26"/>
      <c r="S247" s="14">
        <f t="shared" si="13"/>
        <v>152.1557611</v>
      </c>
      <c r="U247" s="21"/>
      <c r="V247" s="21"/>
    </row>
    <row r="248">
      <c r="A248" s="11">
        <v>236.0</v>
      </c>
      <c r="B248" s="11">
        <v>1.42042173913043E9</v>
      </c>
      <c r="C248" s="2">
        <v>-101.0724258</v>
      </c>
      <c r="D248" s="24">
        <f t="shared" si="1"/>
        <v>21739.13043</v>
      </c>
      <c r="E248" s="25">
        <f t="shared" si="2"/>
        <v>-5.509776792</v>
      </c>
      <c r="F248" s="24">
        <f t="shared" si="3"/>
        <v>0.0002534497325</v>
      </c>
      <c r="G248" s="24">
        <f t="shared" si="4"/>
        <v>0</v>
      </c>
      <c r="H248" s="26">
        <f t="shared" si="5"/>
        <v>0</v>
      </c>
      <c r="I248" s="24">
        <f t="shared" si="6"/>
        <v>0</v>
      </c>
      <c r="J248" s="24">
        <f t="shared" si="7"/>
        <v>0</v>
      </c>
      <c r="K248" s="24"/>
      <c r="L248" s="24">
        <f t="shared" si="8"/>
        <v>594.1055198</v>
      </c>
      <c r="M248" s="14">
        <f t="shared" si="9"/>
        <v>433.1038871</v>
      </c>
      <c r="N248" s="27">
        <f t="shared" si="10"/>
        <v>161.0016327</v>
      </c>
      <c r="O248" s="24"/>
      <c r="P248" s="24"/>
      <c r="Q248" s="24"/>
      <c r="R248" s="26"/>
      <c r="S248" s="14">
        <f t="shared" si="13"/>
        <v>147.8471763</v>
      </c>
      <c r="U248" s="21"/>
      <c r="V248" s="21"/>
    </row>
    <row r="249">
      <c r="A249" s="11">
        <v>237.0</v>
      </c>
      <c r="B249" s="11">
        <v>1.42042608695652E9</v>
      </c>
      <c r="C249" s="2">
        <v>-100.9428329</v>
      </c>
      <c r="D249" s="24">
        <f t="shared" si="1"/>
        <v>26086.95652</v>
      </c>
      <c r="E249" s="25">
        <f t="shared" si="2"/>
        <v>-6.428072923</v>
      </c>
      <c r="F249" s="24">
        <f t="shared" si="3"/>
        <v>0.0002464094621</v>
      </c>
      <c r="G249" s="24">
        <f t="shared" si="4"/>
        <v>0</v>
      </c>
      <c r="H249" s="26">
        <f t="shared" si="5"/>
        <v>0</v>
      </c>
      <c r="I249" s="24">
        <f t="shared" si="6"/>
        <v>0</v>
      </c>
      <c r="J249" s="24">
        <f t="shared" si="7"/>
        <v>0</v>
      </c>
      <c r="K249" s="24"/>
      <c r="L249" s="24">
        <f t="shared" si="8"/>
        <v>612.1007017</v>
      </c>
      <c r="M249" s="14">
        <f t="shared" si="9"/>
        <v>433.0236935</v>
      </c>
      <c r="N249" s="27">
        <f t="shared" si="10"/>
        <v>179.0770082</v>
      </c>
      <c r="O249" s="24"/>
      <c r="P249" s="24"/>
      <c r="Q249" s="24"/>
      <c r="R249" s="26"/>
      <c r="S249" s="14">
        <f t="shared" si="13"/>
        <v>164.4457241</v>
      </c>
      <c r="U249" s="21"/>
      <c r="V249" s="21"/>
    </row>
    <row r="250">
      <c r="A250" s="11">
        <v>238.0</v>
      </c>
      <c r="B250" s="11">
        <v>1.4204304347826E9</v>
      </c>
      <c r="C250" s="2">
        <v>-100.9761963</v>
      </c>
      <c r="D250" s="24">
        <f t="shared" si="1"/>
        <v>30434.7826</v>
      </c>
      <c r="E250" s="25">
        <f t="shared" si="2"/>
        <v>-7.346369056</v>
      </c>
      <c r="F250" s="24">
        <f t="shared" si="3"/>
        <v>0.0002413806976</v>
      </c>
      <c r="G250" s="24">
        <f t="shared" si="4"/>
        <v>0</v>
      </c>
      <c r="H250" s="26">
        <f t="shared" si="5"/>
        <v>0</v>
      </c>
      <c r="I250" s="24">
        <f t="shared" si="6"/>
        <v>0</v>
      </c>
      <c r="J250" s="24">
        <f t="shared" si="7"/>
        <v>0</v>
      </c>
      <c r="K250" s="24"/>
      <c r="L250" s="24">
        <f t="shared" si="8"/>
        <v>607.4164334</v>
      </c>
      <c r="M250" s="14">
        <f t="shared" si="9"/>
        <v>432.9433666</v>
      </c>
      <c r="N250" s="27">
        <f t="shared" si="10"/>
        <v>174.4730667</v>
      </c>
      <c r="O250" s="24"/>
      <c r="P250" s="24"/>
      <c r="Q250" s="24"/>
      <c r="R250" s="26"/>
      <c r="S250" s="14">
        <f t="shared" si="13"/>
        <v>160.2179425</v>
      </c>
      <c r="U250" s="21"/>
      <c r="V250" s="21"/>
    </row>
    <row r="251">
      <c r="A251" s="11">
        <v>239.0</v>
      </c>
      <c r="B251" s="11">
        <v>1.42043478260869E9</v>
      </c>
      <c r="C251" s="2">
        <v>-100.968483</v>
      </c>
      <c r="D251" s="24">
        <f t="shared" si="1"/>
        <v>34782.60869</v>
      </c>
      <c r="E251" s="25">
        <f t="shared" si="2"/>
        <v>-8.264665189</v>
      </c>
      <c r="F251" s="24">
        <f t="shared" si="3"/>
        <v>0.0002376091242</v>
      </c>
      <c r="G251" s="24">
        <f t="shared" si="4"/>
        <v>0</v>
      </c>
      <c r="H251" s="26">
        <f t="shared" si="5"/>
        <v>0</v>
      </c>
      <c r="I251" s="24">
        <f t="shared" si="6"/>
        <v>0</v>
      </c>
      <c r="J251" s="24">
        <f t="shared" si="7"/>
        <v>0</v>
      </c>
      <c r="K251" s="24"/>
      <c r="L251" s="24">
        <f t="shared" si="8"/>
        <v>608.4961957</v>
      </c>
      <c r="M251" s="14">
        <f t="shared" si="9"/>
        <v>432.8629058</v>
      </c>
      <c r="N251" s="27">
        <f t="shared" si="10"/>
        <v>175.6332899</v>
      </c>
      <c r="O251" s="24"/>
      <c r="P251" s="24"/>
      <c r="Q251" s="24"/>
      <c r="R251" s="26"/>
      <c r="S251" s="14">
        <f t="shared" si="13"/>
        <v>161.2833709</v>
      </c>
      <c r="U251" s="21"/>
      <c r="V251" s="21"/>
    </row>
    <row r="252">
      <c r="A252" s="11">
        <v>240.0</v>
      </c>
      <c r="B252" s="11">
        <v>1.42043913043478E9</v>
      </c>
      <c r="C252" s="2">
        <v>-100.9352951</v>
      </c>
      <c r="D252" s="24">
        <f t="shared" si="1"/>
        <v>39130.43478</v>
      </c>
      <c r="E252" s="25">
        <f t="shared" si="2"/>
        <v>-9.182961321</v>
      </c>
      <c r="F252" s="24">
        <f t="shared" si="3"/>
        <v>0.0002346756782</v>
      </c>
      <c r="G252" s="24">
        <f t="shared" si="4"/>
        <v>0</v>
      </c>
      <c r="H252" s="26">
        <f t="shared" si="5"/>
        <v>0</v>
      </c>
      <c r="I252" s="24">
        <f t="shared" si="6"/>
        <v>0</v>
      </c>
      <c r="J252" s="24">
        <f t="shared" si="7"/>
        <v>0</v>
      </c>
      <c r="K252" s="24"/>
      <c r="L252" s="24">
        <f t="shared" si="8"/>
        <v>613.1640123</v>
      </c>
      <c r="M252" s="14">
        <f t="shared" si="9"/>
        <v>432.7823101</v>
      </c>
      <c r="N252" s="27">
        <f t="shared" si="10"/>
        <v>180.3817022</v>
      </c>
      <c r="O252" s="24"/>
      <c r="P252" s="24"/>
      <c r="Q252" s="24"/>
      <c r="R252" s="26"/>
      <c r="S252" s="14">
        <f t="shared" si="13"/>
        <v>165.6438192</v>
      </c>
      <c r="U252" s="21"/>
      <c r="V252" s="21"/>
    </row>
    <row r="253">
      <c r="A253" s="11">
        <v>241.0</v>
      </c>
      <c r="B253" s="11">
        <v>1.42044347826087E9</v>
      </c>
      <c r="C253" s="2">
        <v>-100.908989</v>
      </c>
      <c r="D253" s="24">
        <f t="shared" si="1"/>
        <v>43478.26087</v>
      </c>
      <c r="E253" s="25">
        <f t="shared" si="2"/>
        <v>-10.10125745</v>
      </c>
      <c r="F253" s="24">
        <f t="shared" si="3"/>
        <v>0.0002323289214</v>
      </c>
      <c r="G253" s="24">
        <f t="shared" si="4"/>
        <v>0</v>
      </c>
      <c r="H253" s="26">
        <f t="shared" si="5"/>
        <v>0</v>
      </c>
      <c r="I253" s="24">
        <f t="shared" si="6"/>
        <v>0</v>
      </c>
      <c r="J253" s="24">
        <f t="shared" si="7"/>
        <v>0</v>
      </c>
      <c r="K253" s="24"/>
      <c r="L253" s="24">
        <f t="shared" si="8"/>
        <v>616.8893425</v>
      </c>
      <c r="M253" s="14">
        <f t="shared" si="9"/>
        <v>432.7015788</v>
      </c>
      <c r="N253" s="27">
        <f t="shared" si="10"/>
        <v>184.1877637</v>
      </c>
      <c r="O253" s="24"/>
      <c r="P253" s="24"/>
      <c r="Q253" s="24"/>
      <c r="R253" s="26"/>
      <c r="S253" s="14">
        <f t="shared" si="13"/>
        <v>169.1389112</v>
      </c>
      <c r="U253" s="21"/>
      <c r="V253" s="21"/>
    </row>
    <row r="254">
      <c r="A254" s="11">
        <v>242.0</v>
      </c>
      <c r="B254" s="11">
        <v>1.42044782608695E9</v>
      </c>
      <c r="C254" s="2">
        <v>-100.9336853</v>
      </c>
      <c r="D254" s="24">
        <f t="shared" si="1"/>
        <v>47826.08695</v>
      </c>
      <c r="E254" s="25">
        <f t="shared" si="2"/>
        <v>-11.01955358</v>
      </c>
      <c r="F254" s="24">
        <f t="shared" si="3"/>
        <v>0.0002304088477</v>
      </c>
      <c r="G254" s="24">
        <f t="shared" si="4"/>
        <v>0</v>
      </c>
      <c r="H254" s="26">
        <f t="shared" si="5"/>
        <v>0</v>
      </c>
      <c r="I254" s="24">
        <f t="shared" si="6"/>
        <v>0</v>
      </c>
      <c r="J254" s="24">
        <f t="shared" si="7"/>
        <v>0</v>
      </c>
      <c r="K254" s="24"/>
      <c r="L254" s="24">
        <f t="shared" si="8"/>
        <v>613.391336</v>
      </c>
      <c r="M254" s="14">
        <f t="shared" si="9"/>
        <v>432.6207111</v>
      </c>
      <c r="N254" s="27">
        <f t="shared" si="10"/>
        <v>180.7706249</v>
      </c>
      <c r="O254" s="24"/>
      <c r="P254" s="24"/>
      <c r="Q254" s="24"/>
      <c r="R254" s="26"/>
      <c r="S254" s="14">
        <f t="shared" si="13"/>
        <v>166.0009657</v>
      </c>
      <c r="U254" s="21"/>
      <c r="V254" s="21"/>
    </row>
    <row r="255">
      <c r="A255" s="11">
        <v>243.0</v>
      </c>
      <c r="B255" s="11">
        <v>1.42045217391304E9</v>
      </c>
      <c r="C255" s="2">
        <v>-100.8999786</v>
      </c>
      <c r="D255" s="24">
        <f t="shared" si="1"/>
        <v>52173.91304</v>
      </c>
      <c r="E255" s="25">
        <f t="shared" si="2"/>
        <v>-11.93784972</v>
      </c>
      <c r="F255" s="24">
        <f t="shared" si="3"/>
        <v>0.0002288087863</v>
      </c>
      <c r="G255" s="24">
        <f t="shared" si="4"/>
        <v>0</v>
      </c>
      <c r="H255" s="26">
        <f t="shared" si="5"/>
        <v>0</v>
      </c>
      <c r="I255" s="24">
        <f t="shared" si="6"/>
        <v>0</v>
      </c>
      <c r="J255" s="24">
        <f t="shared" si="7"/>
        <v>0</v>
      </c>
      <c r="K255" s="24"/>
      <c r="L255" s="24">
        <f t="shared" si="8"/>
        <v>618.1705446</v>
      </c>
      <c r="M255" s="14">
        <f t="shared" si="9"/>
        <v>432.5397063</v>
      </c>
      <c r="N255" s="27">
        <f t="shared" si="10"/>
        <v>185.6308383</v>
      </c>
      <c r="O255" s="24"/>
      <c r="P255" s="24"/>
      <c r="Q255" s="24"/>
      <c r="R255" s="26"/>
      <c r="S255" s="14">
        <f t="shared" si="13"/>
        <v>170.4640806</v>
      </c>
      <c r="U255" s="21"/>
      <c r="V255" s="21"/>
    </row>
    <row r="256">
      <c r="A256" s="11">
        <v>244.0</v>
      </c>
      <c r="B256" s="11">
        <v>1.42045652173913E9</v>
      </c>
      <c r="C256" s="2">
        <v>-100.9279099</v>
      </c>
      <c r="D256" s="24">
        <f t="shared" si="1"/>
        <v>56521.73913</v>
      </c>
      <c r="E256" s="25">
        <f t="shared" si="2"/>
        <v>-12.85614585</v>
      </c>
      <c r="F256" s="24">
        <f t="shared" si="3"/>
        <v>0.0002274548881</v>
      </c>
      <c r="G256" s="24">
        <f t="shared" si="4"/>
        <v>0</v>
      </c>
      <c r="H256" s="26">
        <f t="shared" si="5"/>
        <v>0</v>
      </c>
      <c r="I256" s="24">
        <f t="shared" si="6"/>
        <v>0</v>
      </c>
      <c r="J256" s="24">
        <f t="shared" si="7"/>
        <v>0</v>
      </c>
      <c r="K256" s="24"/>
      <c r="L256" s="24">
        <f t="shared" si="8"/>
        <v>614.2075879</v>
      </c>
      <c r="M256" s="14">
        <f t="shared" si="9"/>
        <v>432.4585635</v>
      </c>
      <c r="N256" s="27">
        <f t="shared" si="10"/>
        <v>181.7490244</v>
      </c>
      <c r="O256" s="24"/>
      <c r="P256" s="24"/>
      <c r="Q256" s="24"/>
      <c r="R256" s="26"/>
      <c r="S256" s="14">
        <f t="shared" si="13"/>
        <v>166.8994262</v>
      </c>
      <c r="U256" s="21"/>
      <c r="V256" s="21"/>
    </row>
    <row r="257">
      <c r="A257" s="11">
        <v>245.0</v>
      </c>
      <c r="B257" s="11">
        <v>1.42046086956521E9</v>
      </c>
      <c r="C257" s="2">
        <v>-100.879303</v>
      </c>
      <c r="D257" s="24">
        <f t="shared" si="1"/>
        <v>60869.56521</v>
      </c>
      <c r="E257" s="25">
        <f t="shared" si="2"/>
        <v>-13.77444198</v>
      </c>
      <c r="F257" s="24">
        <f t="shared" si="3"/>
        <v>0.000226294404</v>
      </c>
      <c r="G257" s="24">
        <f t="shared" si="4"/>
        <v>0</v>
      </c>
      <c r="H257" s="26">
        <f t="shared" si="5"/>
        <v>0</v>
      </c>
      <c r="I257" s="24">
        <f t="shared" si="6"/>
        <v>0</v>
      </c>
      <c r="J257" s="24">
        <f t="shared" si="7"/>
        <v>0</v>
      </c>
      <c r="K257" s="24"/>
      <c r="L257" s="24">
        <f t="shared" si="8"/>
        <v>621.1205058</v>
      </c>
      <c r="M257" s="14">
        <f t="shared" si="9"/>
        <v>432.3772819</v>
      </c>
      <c r="N257" s="27">
        <f t="shared" si="10"/>
        <v>188.7432239</v>
      </c>
      <c r="O257" s="24"/>
      <c r="P257" s="24"/>
      <c r="Q257" s="24"/>
      <c r="R257" s="26"/>
      <c r="S257" s="14">
        <f t="shared" si="13"/>
        <v>173.3221726</v>
      </c>
      <c r="U257" s="21"/>
      <c r="V257" s="21"/>
    </row>
    <row r="258">
      <c r="A258" s="11">
        <v>246.0</v>
      </c>
      <c r="B258" s="11">
        <v>1.4204652173913E9</v>
      </c>
      <c r="C258" s="2">
        <v>-100.9100189</v>
      </c>
      <c r="D258" s="24">
        <f t="shared" si="1"/>
        <v>65217.3913</v>
      </c>
      <c r="E258" s="25">
        <f t="shared" si="2"/>
        <v>-14.69273811</v>
      </c>
      <c r="F258" s="24">
        <f t="shared" si="3"/>
        <v>0.0002252886511</v>
      </c>
      <c r="G258" s="24">
        <f t="shared" si="4"/>
        <v>0</v>
      </c>
      <c r="H258" s="26">
        <f t="shared" si="5"/>
        <v>0</v>
      </c>
      <c r="I258" s="24">
        <f t="shared" si="6"/>
        <v>0</v>
      </c>
      <c r="J258" s="24">
        <f t="shared" si="7"/>
        <v>0</v>
      </c>
      <c r="K258" s="24"/>
      <c r="L258" s="24">
        <f t="shared" si="8"/>
        <v>616.7430687</v>
      </c>
      <c r="M258" s="14">
        <f t="shared" si="9"/>
        <v>432.2958608</v>
      </c>
      <c r="N258" s="27">
        <f t="shared" si="10"/>
        <v>184.4472079</v>
      </c>
      <c r="O258" s="24"/>
      <c r="P258" s="24"/>
      <c r="Q258" s="24"/>
      <c r="R258" s="26"/>
      <c r="S258" s="14">
        <f t="shared" si="13"/>
        <v>169.3771573</v>
      </c>
      <c r="U258" s="21"/>
      <c r="V258" s="21"/>
    </row>
    <row r="259">
      <c r="A259" s="11">
        <v>247.0</v>
      </c>
      <c r="B259" s="11">
        <v>1.42046956521739E9</v>
      </c>
      <c r="C259" s="2">
        <v>-100.9155426</v>
      </c>
      <c r="D259" s="24">
        <f t="shared" si="1"/>
        <v>69565.21739</v>
      </c>
      <c r="E259" s="25">
        <f t="shared" si="2"/>
        <v>-15.61103424</v>
      </c>
      <c r="F259" s="24">
        <f t="shared" si="3"/>
        <v>0.0002244086173</v>
      </c>
      <c r="G259" s="24">
        <f t="shared" si="4"/>
        <v>0</v>
      </c>
      <c r="H259" s="26">
        <f t="shared" si="5"/>
        <v>0</v>
      </c>
      <c r="I259" s="24">
        <f t="shared" si="6"/>
        <v>0</v>
      </c>
      <c r="J259" s="24">
        <f t="shared" si="7"/>
        <v>0</v>
      </c>
      <c r="K259" s="24"/>
      <c r="L259" s="24">
        <f t="shared" si="8"/>
        <v>615.9591449</v>
      </c>
      <c r="M259" s="14">
        <f t="shared" si="9"/>
        <v>432.2142994</v>
      </c>
      <c r="N259" s="27">
        <f t="shared" si="10"/>
        <v>183.7448455</v>
      </c>
      <c r="O259" s="24"/>
      <c r="P259" s="24"/>
      <c r="Q259" s="24"/>
      <c r="R259" s="26"/>
      <c r="S259" s="14">
        <f t="shared" si="13"/>
        <v>168.732181</v>
      </c>
      <c r="U259" s="21"/>
      <c r="V259" s="21"/>
    </row>
    <row r="260">
      <c r="A260" s="11">
        <v>248.0</v>
      </c>
      <c r="B260" s="11">
        <v>1.42047391304347E9</v>
      </c>
      <c r="C260" s="2">
        <v>-100.9487</v>
      </c>
      <c r="D260" s="24">
        <f t="shared" si="1"/>
        <v>73913.04347</v>
      </c>
      <c r="E260" s="25">
        <f t="shared" si="2"/>
        <v>-16.52933038</v>
      </c>
      <c r="F260" s="24">
        <f t="shared" si="3"/>
        <v>0.0002236321169</v>
      </c>
      <c r="G260" s="24">
        <f t="shared" si="4"/>
        <v>0</v>
      </c>
      <c r="H260" s="26">
        <f t="shared" si="5"/>
        <v>0</v>
      </c>
      <c r="I260" s="24">
        <f t="shared" si="6"/>
        <v>0</v>
      </c>
      <c r="J260" s="24">
        <f t="shared" si="7"/>
        <v>0</v>
      </c>
      <c r="K260" s="24"/>
      <c r="L260" s="24">
        <f t="shared" si="8"/>
        <v>611.2743428</v>
      </c>
      <c r="M260" s="14">
        <f t="shared" si="9"/>
        <v>432.1325969</v>
      </c>
      <c r="N260" s="27">
        <f t="shared" si="10"/>
        <v>179.1417459</v>
      </c>
      <c r="O260" s="24"/>
      <c r="P260" s="24"/>
      <c r="Q260" s="24"/>
      <c r="R260" s="26"/>
      <c r="S260" s="14">
        <f t="shared" si="13"/>
        <v>164.5051725</v>
      </c>
      <c r="U260" s="21"/>
      <c r="V260" s="21"/>
    </row>
    <row r="261">
      <c r="A261" s="11">
        <v>249.0</v>
      </c>
      <c r="B261" s="11">
        <v>1.42047826086956E9</v>
      </c>
      <c r="C261" s="2">
        <v>-100.9346771</v>
      </c>
      <c r="D261" s="24">
        <f t="shared" si="1"/>
        <v>78260.86956</v>
      </c>
      <c r="E261" s="25">
        <f t="shared" si="2"/>
        <v>-17.44762651</v>
      </c>
      <c r="F261" s="24">
        <f t="shared" si="3"/>
        <v>0.0002229418943</v>
      </c>
      <c r="G261" s="24">
        <f t="shared" si="4"/>
        <v>0</v>
      </c>
      <c r="H261" s="26">
        <f t="shared" si="5"/>
        <v>0</v>
      </c>
      <c r="I261" s="24">
        <f t="shared" si="6"/>
        <v>0</v>
      </c>
      <c r="J261" s="24">
        <f t="shared" si="7"/>
        <v>0</v>
      </c>
      <c r="K261" s="24"/>
      <c r="L261" s="24">
        <f t="shared" si="8"/>
        <v>613.2512716</v>
      </c>
      <c r="M261" s="14">
        <f t="shared" si="9"/>
        <v>432.0507524</v>
      </c>
      <c r="N261" s="27">
        <f t="shared" si="10"/>
        <v>181.2005191</v>
      </c>
      <c r="O261" s="24"/>
      <c r="P261" s="24"/>
      <c r="Q261" s="24"/>
      <c r="R261" s="26"/>
      <c r="S261" s="14">
        <f t="shared" si="13"/>
        <v>166.3957356</v>
      </c>
      <c r="U261" s="21"/>
      <c r="V261" s="21"/>
    </row>
    <row r="262">
      <c r="A262" s="11">
        <v>250.0</v>
      </c>
      <c r="B262" s="11">
        <v>1.42048260869565E9</v>
      </c>
      <c r="C262" s="2">
        <v>-100.9498138</v>
      </c>
      <c r="D262" s="24">
        <f t="shared" si="1"/>
        <v>82608.69565</v>
      </c>
      <c r="E262" s="25">
        <f t="shared" si="2"/>
        <v>-18.36592264</v>
      </c>
      <c r="F262" s="24">
        <f t="shared" si="3"/>
        <v>0.0002223243267</v>
      </c>
      <c r="G262" s="24">
        <f t="shared" si="4"/>
        <v>0</v>
      </c>
      <c r="H262" s="26">
        <f t="shared" si="5"/>
        <v>0</v>
      </c>
      <c r="I262" s="24">
        <f t="shared" si="6"/>
        <v>0</v>
      </c>
      <c r="J262" s="24">
        <f t="shared" si="7"/>
        <v>0</v>
      </c>
      <c r="K262" s="24"/>
      <c r="L262" s="24">
        <f t="shared" si="8"/>
        <v>611.1175943</v>
      </c>
      <c r="M262" s="14">
        <f t="shared" si="9"/>
        <v>431.9687653</v>
      </c>
      <c r="N262" s="27">
        <f t="shared" si="10"/>
        <v>179.1488289</v>
      </c>
      <c r="O262" s="24"/>
      <c r="P262" s="24"/>
      <c r="Q262" s="24"/>
      <c r="R262" s="26"/>
      <c r="S262" s="14">
        <f t="shared" si="13"/>
        <v>164.5116768</v>
      </c>
      <c r="U262" s="21"/>
      <c r="V262" s="21"/>
    </row>
    <row r="263">
      <c r="A263" s="11">
        <v>251.0</v>
      </c>
      <c r="B263" s="11">
        <v>1.42048695652173E9</v>
      </c>
      <c r="C263" s="2">
        <v>-100.9521637</v>
      </c>
      <c r="D263" s="24">
        <f t="shared" si="1"/>
        <v>86956.52173</v>
      </c>
      <c r="E263" s="25">
        <f t="shared" si="2"/>
        <v>-19.28421877</v>
      </c>
      <c r="F263" s="24">
        <f t="shared" si="3"/>
        <v>0.0002217685159</v>
      </c>
      <c r="G263" s="24">
        <f t="shared" si="4"/>
        <v>0</v>
      </c>
      <c r="H263" s="26">
        <f t="shared" si="5"/>
        <v>0</v>
      </c>
      <c r="I263" s="24">
        <f t="shared" si="6"/>
        <v>0</v>
      </c>
      <c r="J263" s="24">
        <f t="shared" si="7"/>
        <v>0</v>
      </c>
      <c r="K263" s="24"/>
      <c r="L263" s="24">
        <f t="shared" si="8"/>
        <v>610.7870175</v>
      </c>
      <c r="M263" s="14">
        <f t="shared" si="9"/>
        <v>431.8866348</v>
      </c>
      <c r="N263" s="27">
        <f t="shared" si="10"/>
        <v>178.9003827</v>
      </c>
      <c r="O263" s="24"/>
      <c r="P263" s="24"/>
      <c r="Q263" s="24"/>
      <c r="R263" s="26"/>
      <c r="S263" s="14">
        <f t="shared" si="13"/>
        <v>164.2835296</v>
      </c>
      <c r="U263" s="21"/>
      <c r="V263" s="21"/>
    </row>
    <row r="264">
      <c r="A264" s="11">
        <v>252.0</v>
      </c>
      <c r="B264" s="11">
        <v>1.42049130434782E9</v>
      </c>
      <c r="C264" s="2">
        <v>-100.9492493</v>
      </c>
      <c r="D264" s="24">
        <f t="shared" si="1"/>
        <v>91304.34782</v>
      </c>
      <c r="E264" s="25">
        <f t="shared" si="2"/>
        <v>-20.20251491</v>
      </c>
      <c r="F264" s="24">
        <f t="shared" si="3"/>
        <v>0.0002212656395</v>
      </c>
      <c r="G264" s="24">
        <f t="shared" si="4"/>
        <v>0</v>
      </c>
      <c r="H264" s="26">
        <f t="shared" si="5"/>
        <v>0</v>
      </c>
      <c r="I264" s="24">
        <f t="shared" si="6"/>
        <v>0</v>
      </c>
      <c r="J264" s="24">
        <f t="shared" si="7"/>
        <v>0</v>
      </c>
      <c r="K264" s="24"/>
      <c r="L264" s="24">
        <f t="shared" si="8"/>
        <v>611.1970331</v>
      </c>
      <c r="M264" s="14">
        <f t="shared" si="9"/>
        <v>431.8043599</v>
      </c>
      <c r="N264" s="27">
        <f t="shared" si="10"/>
        <v>179.3926732</v>
      </c>
      <c r="O264" s="24"/>
      <c r="P264" s="24"/>
      <c r="Q264" s="24"/>
      <c r="R264" s="26"/>
      <c r="S264" s="14">
        <f t="shared" si="13"/>
        <v>164.735598</v>
      </c>
      <c r="U264" s="21"/>
      <c r="V264" s="21"/>
    </row>
    <row r="265">
      <c r="A265" s="11">
        <v>253.0</v>
      </c>
      <c r="B265" s="11">
        <v>1.42049565217391E9</v>
      </c>
      <c r="C265" s="2">
        <v>-100.9380493</v>
      </c>
      <c r="D265" s="24">
        <f t="shared" si="1"/>
        <v>95652.17391</v>
      </c>
      <c r="E265" s="25">
        <f t="shared" si="2"/>
        <v>-21.12081104</v>
      </c>
      <c r="F265" s="24">
        <f t="shared" si="3"/>
        <v>0.0002208084791</v>
      </c>
      <c r="G265" s="24">
        <f t="shared" si="4"/>
        <v>0</v>
      </c>
      <c r="H265" s="26">
        <f t="shared" si="5"/>
        <v>0</v>
      </c>
      <c r="I265" s="24">
        <f t="shared" si="6"/>
        <v>0</v>
      </c>
      <c r="J265" s="24">
        <f t="shared" si="7"/>
        <v>0</v>
      </c>
      <c r="K265" s="24"/>
      <c r="L265" s="24">
        <f t="shared" si="8"/>
        <v>612.7752804</v>
      </c>
      <c r="M265" s="14">
        <f t="shared" si="9"/>
        <v>431.72194</v>
      </c>
      <c r="N265" s="27">
        <f t="shared" si="10"/>
        <v>181.0533404</v>
      </c>
      <c r="O265" s="24"/>
      <c r="P265" s="24"/>
      <c r="Q265" s="24"/>
      <c r="R265" s="26"/>
      <c r="S265" s="14">
        <f t="shared" si="13"/>
        <v>166.2605819</v>
      </c>
      <c r="U265" s="21"/>
      <c r="V265" s="21"/>
    </row>
    <row r="266">
      <c r="A266" s="11">
        <v>254.0</v>
      </c>
      <c r="B266" s="11">
        <v>1.4205E9</v>
      </c>
      <c r="C266" s="2">
        <v>-100.9233398</v>
      </c>
      <c r="D266" s="24">
        <f t="shared" si="1"/>
        <v>100000</v>
      </c>
      <c r="E266" s="25">
        <f t="shared" si="2"/>
        <v>-22.03910717</v>
      </c>
      <c r="F266" s="24">
        <f t="shared" si="3"/>
        <v>0.0002203910717</v>
      </c>
      <c r="G266" s="24">
        <f t="shared" si="4"/>
        <v>0</v>
      </c>
      <c r="H266" s="26">
        <f t="shared" si="5"/>
        <v>0</v>
      </c>
      <c r="I266" s="24">
        <f t="shared" si="6"/>
        <v>0</v>
      </c>
      <c r="J266" s="24">
        <f t="shared" si="7"/>
        <v>0</v>
      </c>
      <c r="K266" s="24"/>
      <c r="L266" s="24">
        <f t="shared" si="8"/>
        <v>614.8542614</v>
      </c>
      <c r="M266" s="14">
        <f t="shared" si="9"/>
        <v>431.6393743</v>
      </c>
      <c r="N266" s="27">
        <f t="shared" si="10"/>
        <v>183.2148871</v>
      </c>
      <c r="O266" s="24"/>
      <c r="P266" s="24"/>
      <c r="Q266" s="24"/>
      <c r="R266" s="26"/>
      <c r="S266" s="14">
        <f t="shared" si="13"/>
        <v>168.2455223</v>
      </c>
      <c r="U266" s="21"/>
      <c r="V266" s="21"/>
    </row>
    <row r="267">
      <c r="A267" s="11">
        <v>255.0</v>
      </c>
      <c r="B267" s="11">
        <v>1.42050434782608E9</v>
      </c>
      <c r="C267" s="2">
        <v>-100.9487839</v>
      </c>
      <c r="D267" s="24">
        <f t="shared" si="1"/>
        <v>104347.8261</v>
      </c>
      <c r="E267" s="25">
        <f t="shared" si="2"/>
        <v>-22.9574033</v>
      </c>
      <c r="F267" s="24">
        <f t="shared" si="3"/>
        <v>0.0002200084483</v>
      </c>
      <c r="G267" s="24">
        <f t="shared" si="4"/>
        <v>0</v>
      </c>
      <c r="H267" s="26">
        <f t="shared" si="5"/>
        <v>0</v>
      </c>
      <c r="I267" s="24">
        <f t="shared" si="6"/>
        <v>0</v>
      </c>
      <c r="J267" s="24">
        <f t="shared" si="7"/>
        <v>0</v>
      </c>
      <c r="K267" s="24"/>
      <c r="L267" s="24">
        <f t="shared" si="8"/>
        <v>611.2625339</v>
      </c>
      <c r="M267" s="14">
        <f t="shared" si="9"/>
        <v>431.5566619</v>
      </c>
      <c r="N267" s="27">
        <f t="shared" si="10"/>
        <v>179.7058719</v>
      </c>
      <c r="O267" s="24"/>
      <c r="P267" s="24"/>
      <c r="Q267" s="24"/>
      <c r="R267" s="26"/>
      <c r="S267" s="14">
        <f t="shared" si="13"/>
        <v>165.0232073</v>
      </c>
      <c r="U267" s="21"/>
      <c r="V267" s="21"/>
    </row>
    <row r="268">
      <c r="A268" s="11">
        <v>256.0</v>
      </c>
      <c r="B268" s="11">
        <v>1.42050869565217E9</v>
      </c>
      <c r="C268" s="2">
        <v>-100.8752136</v>
      </c>
      <c r="D268" s="24">
        <f t="shared" si="1"/>
        <v>108695.6522</v>
      </c>
      <c r="E268" s="25">
        <f t="shared" si="2"/>
        <v>-23.87569944</v>
      </c>
      <c r="F268" s="24">
        <f t="shared" si="3"/>
        <v>0.0002196564348</v>
      </c>
      <c r="G268" s="24">
        <f t="shared" si="4"/>
        <v>0</v>
      </c>
      <c r="H268" s="26">
        <f t="shared" si="5"/>
        <v>0</v>
      </c>
      <c r="I268" s="24">
        <f t="shared" si="6"/>
        <v>0</v>
      </c>
      <c r="J268" s="24">
        <f t="shared" si="7"/>
        <v>0</v>
      </c>
      <c r="K268" s="24"/>
      <c r="L268" s="24">
        <f t="shared" si="8"/>
        <v>621.7056402</v>
      </c>
      <c r="M268" s="14">
        <f t="shared" si="9"/>
        <v>431.4738021</v>
      </c>
      <c r="N268" s="27">
        <f t="shared" si="10"/>
        <v>190.2318381</v>
      </c>
      <c r="O268" s="24"/>
      <c r="P268" s="24"/>
      <c r="Q268" s="24"/>
      <c r="R268" s="26"/>
      <c r="S268" s="14">
        <f t="shared" si="13"/>
        <v>174.6891608</v>
      </c>
      <c r="U268" s="21"/>
      <c r="V268" s="21"/>
    </row>
    <row r="269">
      <c r="A269" s="11">
        <v>257.0</v>
      </c>
      <c r="B269" s="11">
        <v>1.42051304347826E9</v>
      </c>
      <c r="C269" s="2">
        <v>-100.9220581</v>
      </c>
      <c r="D269" s="24">
        <f t="shared" si="1"/>
        <v>113043.4783</v>
      </c>
      <c r="E269" s="25">
        <f t="shared" si="2"/>
        <v>-24.79399557</v>
      </c>
      <c r="F269" s="24">
        <f t="shared" si="3"/>
        <v>0.0002193314992</v>
      </c>
      <c r="G269" s="24">
        <f t="shared" si="4"/>
        <v>0</v>
      </c>
      <c r="H269" s="26">
        <f t="shared" si="5"/>
        <v>0</v>
      </c>
      <c r="I269" s="24">
        <f t="shared" si="6"/>
        <v>0</v>
      </c>
      <c r="J269" s="24">
        <f t="shared" si="7"/>
        <v>0</v>
      </c>
      <c r="K269" s="24"/>
      <c r="L269" s="24">
        <f t="shared" si="8"/>
        <v>615.0357454</v>
      </c>
      <c r="M269" s="14">
        <f t="shared" si="9"/>
        <v>431.3907942</v>
      </c>
      <c r="N269" s="27">
        <f t="shared" si="10"/>
        <v>183.6449512</v>
      </c>
      <c r="O269" s="24"/>
      <c r="P269" s="24"/>
      <c r="Q269" s="24"/>
      <c r="R269" s="26"/>
      <c r="S269" s="14">
        <f t="shared" si="13"/>
        <v>168.6404485</v>
      </c>
      <c r="U269" s="21"/>
      <c r="V269" s="21"/>
    </row>
    <row r="270">
      <c r="A270" s="11">
        <v>258.0</v>
      </c>
      <c r="B270" s="11">
        <v>1.42051739130434E9</v>
      </c>
      <c r="C270" s="2">
        <v>-100.9759293</v>
      </c>
      <c r="D270" s="24">
        <f t="shared" si="1"/>
        <v>117391.3043</v>
      </c>
      <c r="E270" s="25">
        <f t="shared" si="2"/>
        <v>-25.7122917</v>
      </c>
      <c r="F270" s="24">
        <f t="shared" si="3"/>
        <v>0.000219030633</v>
      </c>
      <c r="G270" s="24">
        <f t="shared" si="4"/>
        <v>0</v>
      </c>
      <c r="H270" s="26">
        <f t="shared" si="5"/>
        <v>0</v>
      </c>
      <c r="I270" s="24">
        <f t="shared" si="6"/>
        <v>0</v>
      </c>
      <c r="J270" s="24">
        <f t="shared" si="7"/>
        <v>0</v>
      </c>
      <c r="K270" s="24"/>
      <c r="L270" s="24">
        <f t="shared" si="8"/>
        <v>607.4537779</v>
      </c>
      <c r="M270" s="14">
        <f t="shared" si="9"/>
        <v>431.3076372</v>
      </c>
      <c r="N270" s="27">
        <f t="shared" si="10"/>
        <v>176.1461407</v>
      </c>
      <c r="O270" s="24"/>
      <c r="P270" s="24"/>
      <c r="Q270" s="24"/>
      <c r="R270" s="26"/>
      <c r="S270" s="14">
        <f t="shared" si="13"/>
        <v>161.7543198</v>
      </c>
      <c r="U270" s="21"/>
      <c r="V270" s="21"/>
    </row>
    <row r="271">
      <c r="A271" s="11">
        <v>259.0</v>
      </c>
      <c r="B271" s="11">
        <v>1.42052173913043E9</v>
      </c>
      <c r="C271" s="2">
        <v>-100.9867325</v>
      </c>
      <c r="D271" s="24">
        <f t="shared" si="1"/>
        <v>121739.1304</v>
      </c>
      <c r="E271" s="25">
        <f t="shared" si="2"/>
        <v>-26.63058783</v>
      </c>
      <c r="F271" s="24">
        <f t="shared" si="3"/>
        <v>0.0002187512572</v>
      </c>
      <c r="G271" s="24">
        <f t="shared" si="4"/>
        <v>0</v>
      </c>
      <c r="H271" s="26">
        <f t="shared" si="5"/>
        <v>0</v>
      </c>
      <c r="I271" s="24">
        <f t="shared" si="6"/>
        <v>0</v>
      </c>
      <c r="J271" s="24">
        <f t="shared" si="7"/>
        <v>0</v>
      </c>
      <c r="K271" s="24"/>
      <c r="L271" s="24">
        <f t="shared" si="8"/>
        <v>605.944597</v>
      </c>
      <c r="M271" s="14">
        <f t="shared" si="9"/>
        <v>431.2243305</v>
      </c>
      <c r="N271" s="27">
        <f t="shared" si="10"/>
        <v>174.7202665</v>
      </c>
      <c r="O271" s="24"/>
      <c r="P271" s="24"/>
      <c r="Q271" s="24"/>
      <c r="R271" s="26"/>
      <c r="S271" s="14">
        <f t="shared" si="13"/>
        <v>160.4449447</v>
      </c>
      <c r="U271" s="21"/>
      <c r="V271" s="21"/>
    </row>
    <row r="272">
      <c r="A272" s="11">
        <v>260.0</v>
      </c>
      <c r="B272" s="11">
        <v>1.42052608695652E9</v>
      </c>
      <c r="C272" s="2">
        <v>-101.1515808</v>
      </c>
      <c r="D272" s="24">
        <f t="shared" si="1"/>
        <v>126086.9565</v>
      </c>
      <c r="E272" s="25">
        <f t="shared" si="2"/>
        <v>-27.54888396</v>
      </c>
      <c r="F272" s="24">
        <f t="shared" si="3"/>
        <v>0.0002184911487</v>
      </c>
      <c r="G272" s="24">
        <f t="shared" si="4"/>
        <v>0</v>
      </c>
      <c r="H272" s="26">
        <f t="shared" si="5"/>
        <v>0</v>
      </c>
      <c r="I272" s="24">
        <f t="shared" si="6"/>
        <v>0</v>
      </c>
      <c r="J272" s="24">
        <f t="shared" si="7"/>
        <v>0</v>
      </c>
      <c r="K272" s="24"/>
      <c r="L272" s="24">
        <f t="shared" si="8"/>
        <v>583.3753674</v>
      </c>
      <c r="M272" s="14">
        <f t="shared" si="9"/>
        <v>431.1408732</v>
      </c>
      <c r="N272" s="27">
        <f t="shared" si="10"/>
        <v>152.2344942</v>
      </c>
      <c r="O272" s="24"/>
      <c r="P272" s="24"/>
      <c r="Q272" s="24"/>
      <c r="R272" s="26"/>
      <c r="S272" s="14">
        <f t="shared" si="13"/>
        <v>139.7963473</v>
      </c>
      <c r="U272" s="21"/>
      <c r="V272" s="21"/>
    </row>
    <row r="273">
      <c r="A273" s="11">
        <v>261.0</v>
      </c>
      <c r="B273" s="11">
        <v>1.4205304347826E9</v>
      </c>
      <c r="C273" s="2">
        <v>-101.1704407</v>
      </c>
      <c r="D273" s="24">
        <f t="shared" si="1"/>
        <v>130434.7826</v>
      </c>
      <c r="E273" s="25">
        <f t="shared" si="2"/>
        <v>-28.4671801</v>
      </c>
      <c r="F273" s="24">
        <f t="shared" si="3"/>
        <v>0.0002182483807</v>
      </c>
      <c r="G273" s="24">
        <f t="shared" si="4"/>
        <v>0</v>
      </c>
      <c r="H273" s="26">
        <f t="shared" si="5"/>
        <v>0</v>
      </c>
      <c r="I273" s="24">
        <f t="shared" si="6"/>
        <v>0</v>
      </c>
      <c r="J273" s="24">
        <f t="shared" si="7"/>
        <v>0</v>
      </c>
      <c r="K273" s="24"/>
      <c r="L273" s="24">
        <f t="shared" si="8"/>
        <v>580.8474638</v>
      </c>
      <c r="M273" s="14">
        <f t="shared" si="9"/>
        <v>431.0572646</v>
      </c>
      <c r="N273" s="27">
        <f t="shared" si="10"/>
        <v>149.7901992</v>
      </c>
      <c r="O273" s="24"/>
      <c r="P273" s="24"/>
      <c r="Q273" s="24"/>
      <c r="R273" s="26"/>
      <c r="S273" s="14">
        <f t="shared" si="13"/>
        <v>137.5517606</v>
      </c>
      <c r="U273" s="21"/>
      <c r="V273" s="21"/>
    </row>
    <row r="274">
      <c r="A274" s="11">
        <v>262.0</v>
      </c>
      <c r="B274" s="11">
        <v>1.42053478260869E9</v>
      </c>
      <c r="C274" s="2">
        <v>-101.3749619</v>
      </c>
      <c r="D274" s="24">
        <f t="shared" si="1"/>
        <v>134782.6087</v>
      </c>
      <c r="E274" s="25">
        <f t="shared" si="2"/>
        <v>-29.38547623</v>
      </c>
      <c r="F274" s="24">
        <f t="shared" si="3"/>
        <v>0.0002180212752</v>
      </c>
      <c r="G274" s="24">
        <f t="shared" si="4"/>
        <v>0</v>
      </c>
      <c r="H274" s="26">
        <f t="shared" si="5"/>
        <v>0</v>
      </c>
      <c r="I274" s="24">
        <f t="shared" si="6"/>
        <v>0</v>
      </c>
      <c r="J274" s="24">
        <f t="shared" si="7"/>
        <v>0</v>
      </c>
      <c r="K274" s="24"/>
      <c r="L274" s="24">
        <f t="shared" si="8"/>
        <v>554.1278492</v>
      </c>
      <c r="M274" s="14">
        <f t="shared" si="9"/>
        <v>430.9735038</v>
      </c>
      <c r="N274" s="27">
        <f t="shared" si="10"/>
        <v>123.1543454</v>
      </c>
      <c r="O274" s="24"/>
      <c r="P274" s="24"/>
      <c r="Q274" s="24"/>
      <c r="R274" s="26"/>
      <c r="S274" s="14">
        <f t="shared" si="13"/>
        <v>113.0921591</v>
      </c>
      <c r="U274" s="21"/>
      <c r="V274" s="21"/>
    </row>
    <row r="275">
      <c r="A275" s="11">
        <v>263.0</v>
      </c>
      <c r="B275" s="11">
        <v>1.42053913043478E9</v>
      </c>
      <c r="C275" s="2">
        <v>-101.4011765</v>
      </c>
      <c r="D275" s="24">
        <f t="shared" si="1"/>
        <v>139130.4348</v>
      </c>
      <c r="E275" s="25">
        <f t="shared" si="2"/>
        <v>-30.30377236</v>
      </c>
      <c r="F275" s="24">
        <f t="shared" si="3"/>
        <v>0.0002178083638</v>
      </c>
      <c r="G275" s="24">
        <f t="shared" si="4"/>
        <v>0</v>
      </c>
      <c r="H275" s="26">
        <f t="shared" si="5"/>
        <v>0</v>
      </c>
      <c r="I275" s="24">
        <f t="shared" si="6"/>
        <v>0</v>
      </c>
      <c r="J275" s="24">
        <f t="shared" si="7"/>
        <v>0</v>
      </c>
      <c r="K275" s="24"/>
      <c r="L275" s="24">
        <f t="shared" si="8"/>
        <v>550.7931334</v>
      </c>
      <c r="M275" s="14">
        <f t="shared" si="9"/>
        <v>430.8895901</v>
      </c>
      <c r="N275" s="27">
        <f t="shared" si="10"/>
        <v>119.9035433</v>
      </c>
      <c r="O275" s="24"/>
      <c r="P275" s="24"/>
      <c r="Q275" s="24"/>
      <c r="R275" s="26"/>
      <c r="S275" s="14">
        <f t="shared" si="13"/>
        <v>110.1069599</v>
      </c>
      <c r="U275" s="21"/>
      <c r="V275" s="21"/>
    </row>
    <row r="276">
      <c r="A276" s="11">
        <v>264.0</v>
      </c>
      <c r="B276" s="11">
        <v>1.42054347826087E9</v>
      </c>
      <c r="C276" s="2">
        <v>-101.5190506</v>
      </c>
      <c r="D276" s="24">
        <f t="shared" si="1"/>
        <v>143478.2609</v>
      </c>
      <c r="E276" s="25">
        <f t="shared" si="2"/>
        <v>-31.22206849</v>
      </c>
      <c r="F276" s="24">
        <f t="shared" si="3"/>
        <v>0.0002176083562</v>
      </c>
      <c r="G276" s="24">
        <f t="shared" si="4"/>
        <v>0</v>
      </c>
      <c r="H276" s="26">
        <f t="shared" si="5"/>
        <v>0</v>
      </c>
      <c r="I276" s="24">
        <f t="shared" si="6"/>
        <v>0</v>
      </c>
      <c r="J276" s="24">
        <f t="shared" si="7"/>
        <v>0</v>
      </c>
      <c r="K276" s="24"/>
      <c r="L276" s="24">
        <f t="shared" si="8"/>
        <v>536.0448246</v>
      </c>
      <c r="M276" s="14">
        <f t="shared" si="9"/>
        <v>430.8055227</v>
      </c>
      <c r="N276" s="27">
        <f t="shared" si="10"/>
        <v>105.239302</v>
      </c>
      <c r="O276" s="24"/>
      <c r="P276" s="24"/>
      <c r="Q276" s="24"/>
      <c r="R276" s="26"/>
      <c r="S276" s="14">
        <f t="shared" si="13"/>
        <v>96.640844</v>
      </c>
      <c r="U276" s="21"/>
      <c r="V276" s="21"/>
    </row>
    <row r="277">
      <c r="A277" s="11">
        <v>265.0</v>
      </c>
      <c r="B277" s="11">
        <v>1.42054782608695E9</v>
      </c>
      <c r="C277" s="2">
        <v>-101.6974182</v>
      </c>
      <c r="D277" s="24">
        <f t="shared" si="1"/>
        <v>147826.087</v>
      </c>
      <c r="E277" s="25">
        <f t="shared" si="2"/>
        <v>-32.14036462</v>
      </c>
      <c r="F277" s="24">
        <f t="shared" si="3"/>
        <v>0.0002174201136</v>
      </c>
      <c r="G277" s="24">
        <f t="shared" si="4"/>
        <v>0</v>
      </c>
      <c r="H277" s="26">
        <f t="shared" si="5"/>
        <v>0</v>
      </c>
      <c r="I277" s="24">
        <f t="shared" si="6"/>
        <v>0</v>
      </c>
      <c r="J277" s="24">
        <f t="shared" si="7"/>
        <v>0</v>
      </c>
      <c r="K277" s="24"/>
      <c r="L277" s="24">
        <f t="shared" si="8"/>
        <v>514.4750847</v>
      </c>
      <c r="M277" s="14">
        <f t="shared" si="9"/>
        <v>430.7213008</v>
      </c>
      <c r="N277" s="27">
        <f t="shared" si="10"/>
        <v>83.75378397</v>
      </c>
      <c r="O277" s="24"/>
      <c r="P277" s="24"/>
      <c r="Q277" s="24"/>
      <c r="R277" s="26"/>
      <c r="S277" s="14">
        <f t="shared" si="13"/>
        <v>76.91077593</v>
      </c>
      <c r="U277" s="21"/>
      <c r="V277" s="21"/>
    </row>
    <row r="278">
      <c r="A278" s="11">
        <v>266.0</v>
      </c>
      <c r="B278" s="11">
        <v>1.42055217391304E9</v>
      </c>
      <c r="C278" s="2">
        <v>-101.7621918</v>
      </c>
      <c r="D278" s="24">
        <f t="shared" si="1"/>
        <v>152173.913</v>
      </c>
      <c r="E278" s="25">
        <f t="shared" si="2"/>
        <v>-33.05866076</v>
      </c>
      <c r="F278" s="24">
        <f t="shared" si="3"/>
        <v>0.0002172426278</v>
      </c>
      <c r="G278" s="24">
        <f t="shared" si="4"/>
        <v>0</v>
      </c>
      <c r="H278" s="26">
        <f t="shared" si="5"/>
        <v>0</v>
      </c>
      <c r="I278" s="24">
        <f t="shared" si="6"/>
        <v>0</v>
      </c>
      <c r="J278" s="24">
        <f t="shared" si="7"/>
        <v>0</v>
      </c>
      <c r="K278" s="24"/>
      <c r="L278" s="24">
        <f t="shared" si="8"/>
        <v>506.8587957</v>
      </c>
      <c r="M278" s="14">
        <f t="shared" si="9"/>
        <v>430.6369236</v>
      </c>
      <c r="N278" s="27">
        <f t="shared" si="10"/>
        <v>76.22187215</v>
      </c>
      <c r="O278" s="24"/>
      <c r="P278" s="24"/>
      <c r="Q278" s="24"/>
      <c r="R278" s="26"/>
      <c r="S278" s="14">
        <f t="shared" si="13"/>
        <v>69.99425027</v>
      </c>
      <c r="U278" s="21"/>
      <c r="V278" s="21"/>
    </row>
    <row r="279">
      <c r="A279" s="11">
        <v>267.0</v>
      </c>
      <c r="B279" s="11">
        <v>1.42055652173913E9</v>
      </c>
      <c r="C279" s="2">
        <v>-101.7864075</v>
      </c>
      <c r="D279" s="24">
        <f t="shared" si="1"/>
        <v>156521.7391</v>
      </c>
      <c r="E279" s="25">
        <f t="shared" si="2"/>
        <v>-33.97695689</v>
      </c>
      <c r="F279" s="24">
        <f t="shared" si="3"/>
        <v>0.0002170750023</v>
      </c>
      <c r="G279" s="24">
        <f t="shared" si="4"/>
        <v>0</v>
      </c>
      <c r="H279" s="26">
        <f t="shared" si="5"/>
        <v>0</v>
      </c>
      <c r="I279" s="24">
        <f t="shared" si="6"/>
        <v>0</v>
      </c>
      <c r="J279" s="24">
        <f t="shared" si="7"/>
        <v>0</v>
      </c>
      <c r="K279" s="24"/>
      <c r="L279" s="24">
        <f t="shared" si="8"/>
        <v>504.0404811</v>
      </c>
      <c r="M279" s="14">
        <f t="shared" si="9"/>
        <v>430.5523903</v>
      </c>
      <c r="N279" s="27">
        <f t="shared" si="10"/>
        <v>73.48809075</v>
      </c>
      <c r="O279" s="24"/>
      <c r="P279" s="24"/>
      <c r="Q279" s="24"/>
      <c r="R279" s="26"/>
      <c r="S279" s="14">
        <f t="shared" si="13"/>
        <v>67.48382954</v>
      </c>
      <c r="U279" s="21"/>
      <c r="V279" s="21"/>
    </row>
    <row r="280">
      <c r="A280" s="11">
        <v>268.0</v>
      </c>
      <c r="B280" s="11">
        <v>1.42056086956521E9</v>
      </c>
      <c r="C280" s="2">
        <v>-101.8852844</v>
      </c>
      <c r="D280" s="24">
        <f t="shared" si="1"/>
        <v>160869.5652</v>
      </c>
      <c r="E280" s="25">
        <f t="shared" si="2"/>
        <v>-34.89525302</v>
      </c>
      <c r="F280" s="24">
        <f t="shared" si="3"/>
        <v>0.0002169164377</v>
      </c>
      <c r="G280" s="24">
        <f t="shared" si="4"/>
        <v>0</v>
      </c>
      <c r="H280" s="26">
        <f t="shared" si="5"/>
        <v>0</v>
      </c>
      <c r="I280" s="24">
        <f t="shared" si="6"/>
        <v>0</v>
      </c>
      <c r="J280" s="24">
        <f t="shared" si="7"/>
        <v>0</v>
      </c>
      <c r="K280" s="24"/>
      <c r="L280" s="24">
        <f t="shared" si="8"/>
        <v>492.6945149</v>
      </c>
      <c r="M280" s="14">
        <f t="shared" si="9"/>
        <v>430.4677002</v>
      </c>
      <c r="N280" s="27">
        <f t="shared" si="10"/>
        <v>62.22681475</v>
      </c>
      <c r="O280" s="24"/>
      <c r="P280" s="24"/>
      <c r="Q280" s="24"/>
      <c r="R280" s="26"/>
      <c r="S280" s="14">
        <f t="shared" si="13"/>
        <v>57.14264334</v>
      </c>
      <c r="U280" s="21"/>
      <c r="V280" s="21"/>
    </row>
    <row r="281">
      <c r="A281" s="11">
        <v>269.0</v>
      </c>
      <c r="B281" s="11">
        <v>1.4205652173913E9</v>
      </c>
      <c r="C281" s="2">
        <v>-101.9409103</v>
      </c>
      <c r="D281" s="24">
        <f t="shared" si="1"/>
        <v>165217.3913</v>
      </c>
      <c r="E281" s="25">
        <f t="shared" si="2"/>
        <v>-35.81354915</v>
      </c>
      <c r="F281" s="24">
        <f t="shared" si="3"/>
        <v>0.0002167662186</v>
      </c>
      <c r="G281" s="24">
        <f t="shared" si="4"/>
        <v>0</v>
      </c>
      <c r="H281" s="26">
        <f t="shared" si="5"/>
        <v>0</v>
      </c>
      <c r="I281" s="24">
        <f t="shared" si="6"/>
        <v>0</v>
      </c>
      <c r="J281" s="24">
        <f t="shared" si="7"/>
        <v>0</v>
      </c>
      <c r="K281" s="24"/>
      <c r="L281" s="24">
        <f t="shared" si="8"/>
        <v>486.4241598</v>
      </c>
      <c r="M281" s="14">
        <f t="shared" si="9"/>
        <v>430.3828524</v>
      </c>
      <c r="N281" s="27">
        <f t="shared" si="10"/>
        <v>56.04130738</v>
      </c>
      <c r="O281" s="24"/>
      <c r="P281" s="24"/>
      <c r="Q281" s="24"/>
      <c r="R281" s="26"/>
      <c r="S281" s="14">
        <f t="shared" si="13"/>
        <v>51.46251572</v>
      </c>
      <c r="U281" s="21"/>
      <c r="V281" s="21"/>
    </row>
    <row r="282">
      <c r="A282" s="11">
        <v>270.0</v>
      </c>
      <c r="B282" s="11">
        <v>1.42056956521739E9</v>
      </c>
      <c r="C282" s="2">
        <v>-101.939682</v>
      </c>
      <c r="D282" s="24">
        <f t="shared" si="1"/>
        <v>169565.2174</v>
      </c>
      <c r="E282" s="25">
        <f t="shared" si="2"/>
        <v>-36.73184528</v>
      </c>
      <c r="F282" s="24">
        <f t="shared" si="3"/>
        <v>0.000216623703</v>
      </c>
      <c r="G282" s="24">
        <f t="shared" si="4"/>
        <v>0</v>
      </c>
      <c r="H282" s="26">
        <f t="shared" si="5"/>
        <v>0</v>
      </c>
      <c r="I282" s="24">
        <f t="shared" si="6"/>
        <v>0</v>
      </c>
      <c r="J282" s="24">
        <f t="shared" si="7"/>
        <v>0</v>
      </c>
      <c r="K282" s="24"/>
      <c r="L282" s="24">
        <f t="shared" si="8"/>
        <v>486.5617529</v>
      </c>
      <c r="M282" s="14">
        <f t="shared" si="9"/>
        <v>430.2978462</v>
      </c>
      <c r="N282" s="27">
        <f t="shared" si="10"/>
        <v>56.26390671</v>
      </c>
      <c r="O282" s="24"/>
      <c r="P282" s="24"/>
      <c r="Q282" s="24"/>
      <c r="R282" s="26"/>
      <c r="S282" s="14">
        <f t="shared" si="13"/>
        <v>51.66692795</v>
      </c>
      <c r="U282" s="21"/>
      <c r="V282" s="21"/>
    </row>
    <row r="283">
      <c r="A283" s="11">
        <v>271.0</v>
      </c>
      <c r="B283" s="11">
        <v>1.42057391304347E9</v>
      </c>
      <c r="C283" s="2">
        <v>-101.9520493</v>
      </c>
      <c r="D283" s="24">
        <f t="shared" si="1"/>
        <v>173913.0435</v>
      </c>
      <c r="E283" s="25">
        <f t="shared" si="2"/>
        <v>-37.65014142</v>
      </c>
      <c r="F283" s="24">
        <f t="shared" si="3"/>
        <v>0.0002164883132</v>
      </c>
      <c r="G283" s="24">
        <f t="shared" si="4"/>
        <v>0</v>
      </c>
      <c r="H283" s="26">
        <f t="shared" si="5"/>
        <v>0</v>
      </c>
      <c r="I283" s="24">
        <f t="shared" si="6"/>
        <v>0</v>
      </c>
      <c r="J283" s="24">
        <f t="shared" si="7"/>
        <v>0</v>
      </c>
      <c r="K283" s="24"/>
      <c r="L283" s="24">
        <f t="shared" si="8"/>
        <v>485.1781536</v>
      </c>
      <c r="M283" s="14">
        <f t="shared" si="9"/>
        <v>430.2126807</v>
      </c>
      <c r="N283" s="27">
        <f t="shared" si="10"/>
        <v>54.96547286</v>
      </c>
      <c r="O283" s="24"/>
      <c r="P283" s="24"/>
      <c r="Q283" s="24"/>
      <c r="R283" s="26"/>
      <c r="S283" s="14">
        <f t="shared" si="13"/>
        <v>50.47458116</v>
      </c>
      <c r="U283" s="21"/>
      <c r="V283" s="21"/>
    </row>
    <row r="284">
      <c r="A284" s="11">
        <v>272.0</v>
      </c>
      <c r="B284" s="11">
        <v>1.42057826086956E9</v>
      </c>
      <c r="C284" s="2">
        <v>-101.9593887</v>
      </c>
      <c r="D284" s="24">
        <f t="shared" si="1"/>
        <v>178260.8696</v>
      </c>
      <c r="E284" s="25">
        <f t="shared" si="2"/>
        <v>-38.56843755</v>
      </c>
      <c r="F284" s="24">
        <f t="shared" si="3"/>
        <v>0.0002163595277</v>
      </c>
      <c r="G284" s="24">
        <f t="shared" si="4"/>
        <v>0</v>
      </c>
      <c r="H284" s="26">
        <f t="shared" si="5"/>
        <v>0</v>
      </c>
      <c r="I284" s="24">
        <f t="shared" si="6"/>
        <v>0</v>
      </c>
      <c r="J284" s="24">
        <f t="shared" si="7"/>
        <v>0</v>
      </c>
      <c r="K284" s="24"/>
      <c r="L284" s="24">
        <f t="shared" si="8"/>
        <v>484.3589147</v>
      </c>
      <c r="M284" s="14">
        <f t="shared" si="9"/>
        <v>430.1273553</v>
      </c>
      <c r="N284" s="27">
        <f t="shared" si="10"/>
        <v>54.23155941</v>
      </c>
      <c r="O284" s="24"/>
      <c r="P284" s="24"/>
      <c r="Q284" s="24"/>
      <c r="R284" s="26"/>
      <c r="S284" s="14">
        <f t="shared" si="13"/>
        <v>49.80063117</v>
      </c>
      <c r="U284" s="21"/>
      <c r="V284" s="21"/>
    </row>
    <row r="285">
      <c r="A285" s="11">
        <v>273.0</v>
      </c>
      <c r="B285" s="11">
        <v>1.42058260869565E9</v>
      </c>
      <c r="C285" s="2">
        <v>-101.9789505</v>
      </c>
      <c r="D285" s="24">
        <f t="shared" si="1"/>
        <v>182608.6957</v>
      </c>
      <c r="E285" s="25">
        <f t="shared" si="2"/>
        <v>-39.48673368</v>
      </c>
      <c r="F285" s="24">
        <f t="shared" si="3"/>
        <v>0.0002162368749</v>
      </c>
      <c r="G285" s="24">
        <f t="shared" si="4"/>
        <v>0</v>
      </c>
      <c r="H285" s="26">
        <f t="shared" si="5"/>
        <v>0</v>
      </c>
      <c r="I285" s="24">
        <f t="shared" si="6"/>
        <v>0</v>
      </c>
      <c r="J285" s="24">
        <f t="shared" si="7"/>
        <v>0</v>
      </c>
      <c r="K285" s="24"/>
      <c r="L285" s="24">
        <f t="shared" si="8"/>
        <v>482.182137</v>
      </c>
      <c r="M285" s="14">
        <f t="shared" si="9"/>
        <v>430.041869</v>
      </c>
      <c r="N285" s="27">
        <f t="shared" si="10"/>
        <v>52.14026798</v>
      </c>
      <c r="O285" s="24"/>
      <c r="P285" s="24"/>
      <c r="Q285" s="24"/>
      <c r="R285" s="26"/>
      <c r="S285" s="14">
        <f t="shared" si="13"/>
        <v>47.88020645</v>
      </c>
      <c r="U285" s="21"/>
      <c r="V285" s="21"/>
    </row>
    <row r="286">
      <c r="A286" s="11">
        <v>274.0</v>
      </c>
      <c r="B286" s="11">
        <v>1.42058695652173E9</v>
      </c>
      <c r="C286" s="2">
        <v>-101.9710083</v>
      </c>
      <c r="D286" s="24">
        <f t="shared" si="1"/>
        <v>186956.5217</v>
      </c>
      <c r="E286" s="25">
        <f t="shared" si="2"/>
        <v>-40.40502981</v>
      </c>
      <c r="F286" s="24">
        <f t="shared" si="3"/>
        <v>0.0002161199269</v>
      </c>
      <c r="G286" s="24">
        <f t="shared" si="4"/>
        <v>0</v>
      </c>
      <c r="H286" s="26">
        <f t="shared" si="5"/>
        <v>0</v>
      </c>
      <c r="I286" s="24">
        <f t="shared" si="6"/>
        <v>0</v>
      </c>
      <c r="J286" s="24">
        <f t="shared" si="7"/>
        <v>0</v>
      </c>
      <c r="K286" s="24"/>
      <c r="L286" s="24">
        <f t="shared" si="8"/>
        <v>483.0647388</v>
      </c>
      <c r="M286" s="14">
        <f t="shared" si="9"/>
        <v>429.9562212</v>
      </c>
      <c r="N286" s="27">
        <f t="shared" si="10"/>
        <v>53.1085176</v>
      </c>
      <c r="O286" s="24"/>
      <c r="P286" s="24"/>
      <c r="Q286" s="24"/>
      <c r="R286" s="26"/>
      <c r="S286" s="14">
        <f t="shared" si="13"/>
        <v>48.76934633</v>
      </c>
      <c r="U286" s="21"/>
      <c r="V286" s="21"/>
    </row>
    <row r="287">
      <c r="A287" s="11">
        <v>275.0</v>
      </c>
      <c r="B287" s="11">
        <v>1.42059130434782E9</v>
      </c>
      <c r="C287" s="2">
        <v>-102.0063019</v>
      </c>
      <c r="D287" s="24">
        <f t="shared" si="1"/>
        <v>191304.3478</v>
      </c>
      <c r="E287" s="25">
        <f t="shared" si="2"/>
        <v>-41.32332595</v>
      </c>
      <c r="F287" s="24">
        <f t="shared" si="3"/>
        <v>0.0002160082947</v>
      </c>
      <c r="G287" s="24">
        <f t="shared" si="4"/>
        <v>0</v>
      </c>
      <c r="H287" s="26">
        <f t="shared" si="5"/>
        <v>0</v>
      </c>
      <c r="I287" s="24">
        <f t="shared" si="6"/>
        <v>0</v>
      </c>
      <c r="J287" s="24">
        <f t="shared" si="7"/>
        <v>0</v>
      </c>
      <c r="K287" s="24"/>
      <c r="L287" s="24">
        <f t="shared" si="8"/>
        <v>479.1549481</v>
      </c>
      <c r="M287" s="14">
        <f t="shared" si="9"/>
        <v>429.8704109</v>
      </c>
      <c r="N287" s="27">
        <f t="shared" si="10"/>
        <v>49.2845372</v>
      </c>
      <c r="O287" s="24"/>
      <c r="P287" s="24"/>
      <c r="Q287" s="24"/>
      <c r="R287" s="26"/>
      <c r="S287" s="14">
        <f t="shared" si="13"/>
        <v>45.25779991</v>
      </c>
      <c r="U287" s="21"/>
      <c r="V287" s="21"/>
    </row>
    <row r="288">
      <c r="A288" s="11">
        <v>276.0</v>
      </c>
      <c r="B288" s="11">
        <v>1.42059565217391E9</v>
      </c>
      <c r="C288" s="2">
        <v>-101.9669266</v>
      </c>
      <c r="D288" s="24">
        <f t="shared" si="1"/>
        <v>195652.1739</v>
      </c>
      <c r="E288" s="25">
        <f t="shared" si="2"/>
        <v>-42.24162208</v>
      </c>
      <c r="F288" s="24">
        <f t="shared" si="3"/>
        <v>0.000215901624</v>
      </c>
      <c r="G288" s="24">
        <f t="shared" si="4"/>
        <v>0</v>
      </c>
      <c r="H288" s="26">
        <f t="shared" si="5"/>
        <v>0</v>
      </c>
      <c r="I288" s="24">
        <f t="shared" si="6"/>
        <v>0</v>
      </c>
      <c r="J288" s="24">
        <f t="shared" si="7"/>
        <v>0</v>
      </c>
      <c r="K288" s="24"/>
      <c r="L288" s="24">
        <f t="shared" si="8"/>
        <v>483.5189587</v>
      </c>
      <c r="M288" s="14">
        <f t="shared" si="9"/>
        <v>429.7844376</v>
      </c>
      <c r="N288" s="27">
        <f t="shared" si="10"/>
        <v>53.73452115</v>
      </c>
      <c r="O288" s="24"/>
      <c r="P288" s="24"/>
      <c r="Q288" s="24"/>
      <c r="R288" s="26"/>
      <c r="S288" s="14">
        <f t="shared" si="13"/>
        <v>49.34420286</v>
      </c>
      <c r="U288" s="21"/>
      <c r="V288" s="21"/>
    </row>
    <row r="289">
      <c r="A289" s="11">
        <v>277.0</v>
      </c>
      <c r="B289" s="11">
        <v>1.4206E9</v>
      </c>
      <c r="C289" s="2">
        <v>-102.00811</v>
      </c>
      <c r="D289" s="24">
        <f t="shared" si="1"/>
        <v>200000</v>
      </c>
      <c r="E289" s="25">
        <f t="shared" si="2"/>
        <v>-43.15991821</v>
      </c>
      <c r="F289" s="24">
        <f t="shared" si="3"/>
        <v>0.000215799591</v>
      </c>
      <c r="G289" s="24">
        <f t="shared" si="4"/>
        <v>0</v>
      </c>
      <c r="H289" s="26">
        <f t="shared" si="5"/>
        <v>0</v>
      </c>
      <c r="I289" s="24">
        <f t="shared" si="6"/>
        <v>0</v>
      </c>
      <c r="J289" s="24">
        <f t="shared" si="7"/>
        <v>0</v>
      </c>
      <c r="K289" s="24"/>
      <c r="L289" s="24">
        <f t="shared" si="8"/>
        <v>478.9555029</v>
      </c>
      <c r="M289" s="14">
        <f t="shared" si="9"/>
        <v>429.6983002</v>
      </c>
      <c r="N289" s="27">
        <f t="shared" si="10"/>
        <v>49.25720265</v>
      </c>
      <c r="O289" s="24"/>
      <c r="P289" s="24"/>
      <c r="Q289" s="24"/>
      <c r="R289" s="26"/>
      <c r="S289" s="14">
        <f t="shared" si="13"/>
        <v>45.23269871</v>
      </c>
      <c r="U289" s="21"/>
      <c r="V289" s="21"/>
    </row>
    <row r="290">
      <c r="A290" s="11">
        <v>278.0</v>
      </c>
      <c r="B290" s="11">
        <v>1.42060434782608E9</v>
      </c>
      <c r="C290" s="2">
        <v>-102.0296173</v>
      </c>
      <c r="D290" s="24">
        <f t="shared" si="1"/>
        <v>204347.8261</v>
      </c>
      <c r="E290" s="25">
        <f t="shared" si="2"/>
        <v>-44.07821434</v>
      </c>
      <c r="F290" s="24">
        <f t="shared" si="3"/>
        <v>0.0002157019</v>
      </c>
      <c r="G290" s="24">
        <f t="shared" si="4"/>
        <v>0</v>
      </c>
      <c r="H290" s="26">
        <f t="shared" si="5"/>
        <v>0</v>
      </c>
      <c r="I290" s="24">
        <f t="shared" si="6"/>
        <v>0</v>
      </c>
      <c r="J290" s="24">
        <f t="shared" si="7"/>
        <v>0</v>
      </c>
      <c r="K290" s="24"/>
      <c r="L290" s="24">
        <f t="shared" si="8"/>
        <v>476.5894643</v>
      </c>
      <c r="M290" s="14">
        <f t="shared" si="9"/>
        <v>429.6119982</v>
      </c>
      <c r="N290" s="27">
        <f t="shared" si="10"/>
        <v>46.97746611</v>
      </c>
      <c r="O290" s="24"/>
      <c r="P290" s="24"/>
      <c r="Q290" s="24"/>
      <c r="R290" s="26"/>
      <c r="S290" s="14">
        <f t="shared" si="13"/>
        <v>43.13922546</v>
      </c>
      <c r="U290" s="21"/>
      <c r="V290" s="21"/>
    </row>
    <row r="291">
      <c r="A291" s="11">
        <v>279.0</v>
      </c>
      <c r="B291" s="11">
        <v>1.42060869565217E9</v>
      </c>
      <c r="C291" s="2">
        <v>-102.0203323</v>
      </c>
      <c r="D291" s="24">
        <f t="shared" si="1"/>
        <v>208695.6522</v>
      </c>
      <c r="E291" s="25">
        <f t="shared" si="2"/>
        <v>-44.99651047</v>
      </c>
      <c r="F291" s="24">
        <f t="shared" si="3"/>
        <v>0.0002156082794</v>
      </c>
      <c r="G291" s="24">
        <f t="shared" si="4"/>
        <v>0</v>
      </c>
      <c r="H291" s="26">
        <f t="shared" si="5"/>
        <v>0</v>
      </c>
      <c r="I291" s="24">
        <f t="shared" si="6"/>
        <v>0</v>
      </c>
      <c r="J291" s="24">
        <f t="shared" si="7"/>
        <v>0</v>
      </c>
      <c r="K291" s="24"/>
      <c r="L291" s="24">
        <f t="shared" si="8"/>
        <v>477.6094788</v>
      </c>
      <c r="M291" s="14">
        <f t="shared" si="9"/>
        <v>429.5255306</v>
      </c>
      <c r="N291" s="27">
        <f t="shared" si="10"/>
        <v>48.08394825</v>
      </c>
      <c r="O291" s="24"/>
      <c r="P291" s="24"/>
      <c r="Q291" s="24"/>
      <c r="R291" s="26"/>
      <c r="S291" s="14">
        <f t="shared" si="13"/>
        <v>44.15530362</v>
      </c>
      <c r="U291" s="21"/>
      <c r="V291" s="21"/>
    </row>
    <row r="292">
      <c r="A292" s="11">
        <v>280.0</v>
      </c>
      <c r="B292" s="11">
        <v>1.42061304347826E9</v>
      </c>
      <c r="C292" s="2">
        <v>-102.0205612</v>
      </c>
      <c r="D292" s="24">
        <f t="shared" si="1"/>
        <v>213043.4783</v>
      </c>
      <c r="E292" s="25">
        <f t="shared" si="2"/>
        <v>-45.91480661</v>
      </c>
      <c r="F292" s="24">
        <f t="shared" si="3"/>
        <v>0.00021551848</v>
      </c>
      <c r="G292" s="24">
        <f t="shared" si="4"/>
        <v>0</v>
      </c>
      <c r="H292" s="26">
        <f t="shared" si="5"/>
        <v>0</v>
      </c>
      <c r="I292" s="24">
        <f t="shared" si="6"/>
        <v>0</v>
      </c>
      <c r="J292" s="24">
        <f t="shared" si="7"/>
        <v>0</v>
      </c>
      <c r="K292" s="24"/>
      <c r="L292" s="24">
        <f t="shared" si="8"/>
        <v>477.5843065</v>
      </c>
      <c r="M292" s="14">
        <f t="shared" si="9"/>
        <v>429.4388967</v>
      </c>
      <c r="N292" s="27">
        <f t="shared" si="10"/>
        <v>48.14540985</v>
      </c>
      <c r="O292" s="24"/>
      <c r="P292" s="24"/>
      <c r="Q292" s="24"/>
      <c r="R292" s="26"/>
      <c r="S292" s="14">
        <f t="shared" si="13"/>
        <v>44.21174368</v>
      </c>
      <c r="U292" s="21"/>
      <c r="V292" s="21"/>
    </row>
    <row r="293">
      <c r="A293" s="11">
        <v>281.0</v>
      </c>
      <c r="B293" s="11">
        <v>1.42061739130434E9</v>
      </c>
      <c r="C293" s="2">
        <v>-102.048378</v>
      </c>
      <c r="D293" s="24">
        <f t="shared" si="1"/>
        <v>217391.3043</v>
      </c>
      <c r="E293" s="25">
        <f t="shared" si="2"/>
        <v>-46.83310274</v>
      </c>
      <c r="F293" s="24">
        <f t="shared" si="3"/>
        <v>0.0002154322726</v>
      </c>
      <c r="G293" s="24">
        <f t="shared" si="4"/>
        <v>0</v>
      </c>
      <c r="H293" s="26">
        <f t="shared" si="5"/>
        <v>0</v>
      </c>
      <c r="I293" s="24">
        <f t="shared" si="6"/>
        <v>0</v>
      </c>
      <c r="J293" s="24">
        <f t="shared" si="7"/>
        <v>0</v>
      </c>
      <c r="K293" s="24"/>
      <c r="L293" s="24">
        <f t="shared" si="8"/>
        <v>474.5351283</v>
      </c>
      <c r="M293" s="14">
        <f t="shared" si="9"/>
        <v>429.3520957</v>
      </c>
      <c r="N293" s="27">
        <f t="shared" si="10"/>
        <v>45.18303266</v>
      </c>
      <c r="O293" s="24"/>
      <c r="P293" s="24"/>
      <c r="Q293" s="24"/>
      <c r="R293" s="26"/>
      <c r="S293" s="14">
        <f t="shared" si="13"/>
        <v>41.49140416</v>
      </c>
      <c r="U293" s="21"/>
      <c r="V293" s="21"/>
    </row>
    <row r="294">
      <c r="A294" s="11">
        <v>282.0</v>
      </c>
      <c r="B294" s="11">
        <v>1.42062173913043E9</v>
      </c>
      <c r="C294" s="2">
        <v>-102.04702</v>
      </c>
      <c r="D294" s="24">
        <f t="shared" si="1"/>
        <v>221739.1304</v>
      </c>
      <c r="E294" s="25">
        <f t="shared" si="2"/>
        <v>-47.75139887</v>
      </c>
      <c r="F294" s="24">
        <f t="shared" si="3"/>
        <v>0.0002153494459</v>
      </c>
      <c r="G294" s="24">
        <f t="shared" si="4"/>
        <v>0</v>
      </c>
      <c r="H294" s="26">
        <f t="shared" si="5"/>
        <v>0</v>
      </c>
      <c r="I294" s="24">
        <f t="shared" si="6"/>
        <v>0</v>
      </c>
      <c r="J294" s="24">
        <f t="shared" si="7"/>
        <v>0</v>
      </c>
      <c r="K294" s="24"/>
      <c r="L294" s="24">
        <f t="shared" si="8"/>
        <v>474.6835344</v>
      </c>
      <c r="M294" s="14">
        <f t="shared" si="9"/>
        <v>429.2651268</v>
      </c>
      <c r="N294" s="27">
        <f t="shared" si="10"/>
        <v>45.41840764</v>
      </c>
      <c r="O294" s="24"/>
      <c r="P294" s="24"/>
      <c r="Q294" s="24"/>
      <c r="R294" s="26"/>
      <c r="S294" s="14">
        <f t="shared" si="13"/>
        <v>41.707548</v>
      </c>
      <c r="U294" s="21"/>
      <c r="V294" s="21"/>
    </row>
    <row r="295">
      <c r="A295" s="11">
        <v>283.0</v>
      </c>
      <c r="B295" s="11">
        <v>1.42062608695652E9</v>
      </c>
      <c r="C295" s="2">
        <v>-102.0648499</v>
      </c>
      <c r="D295" s="24">
        <f t="shared" si="1"/>
        <v>226086.9565</v>
      </c>
      <c r="E295" s="25">
        <f t="shared" si="2"/>
        <v>-48.669695</v>
      </c>
      <c r="F295" s="24">
        <f t="shared" si="3"/>
        <v>0.0002152698048</v>
      </c>
      <c r="G295" s="24">
        <f t="shared" si="4"/>
        <v>0</v>
      </c>
      <c r="H295" s="26">
        <f t="shared" si="5"/>
        <v>0</v>
      </c>
      <c r="I295" s="24">
        <f t="shared" si="6"/>
        <v>0</v>
      </c>
      <c r="J295" s="24">
        <f t="shared" si="7"/>
        <v>0</v>
      </c>
      <c r="K295" s="24"/>
      <c r="L295" s="24">
        <f t="shared" si="8"/>
        <v>472.7387226</v>
      </c>
      <c r="M295" s="14">
        <f t="shared" si="9"/>
        <v>429.1779892</v>
      </c>
      <c r="N295" s="27">
        <f t="shared" si="10"/>
        <v>43.56073344</v>
      </c>
      <c r="O295" s="24"/>
      <c r="P295" s="24"/>
      <c r="Q295" s="24"/>
      <c r="R295" s="26"/>
      <c r="S295" s="14">
        <f t="shared" si="13"/>
        <v>40.00165306</v>
      </c>
      <c r="U295" s="21"/>
      <c r="V295" s="21"/>
    </row>
    <row r="296">
      <c r="A296" s="11">
        <v>284.0</v>
      </c>
      <c r="B296" s="11">
        <v>1.4206304347826E9</v>
      </c>
      <c r="C296" s="2">
        <v>-102.0657883</v>
      </c>
      <c r="D296" s="24">
        <f t="shared" si="1"/>
        <v>230434.7826</v>
      </c>
      <c r="E296" s="25">
        <f t="shared" si="2"/>
        <v>-49.58799113</v>
      </c>
      <c r="F296" s="24">
        <f t="shared" si="3"/>
        <v>0.0002151931691</v>
      </c>
      <c r="G296" s="24">
        <f t="shared" si="4"/>
        <v>0</v>
      </c>
      <c r="H296" s="26">
        <f t="shared" si="5"/>
        <v>0</v>
      </c>
      <c r="I296" s="24">
        <f t="shared" si="6"/>
        <v>0</v>
      </c>
      <c r="J296" s="24">
        <f t="shared" si="7"/>
        <v>0</v>
      </c>
      <c r="K296" s="24"/>
      <c r="L296" s="24">
        <f t="shared" si="8"/>
        <v>472.6365868</v>
      </c>
      <c r="M296" s="14">
        <f t="shared" si="9"/>
        <v>429.0906822</v>
      </c>
      <c r="N296" s="27">
        <f t="shared" si="10"/>
        <v>43.54590468</v>
      </c>
      <c r="O296" s="24"/>
      <c r="P296" s="24"/>
      <c r="Q296" s="24"/>
      <c r="R296" s="26"/>
      <c r="S296" s="14">
        <f t="shared" si="13"/>
        <v>39.98803587</v>
      </c>
      <c r="U296" s="21"/>
      <c r="V296" s="21"/>
    </row>
    <row r="297">
      <c r="A297" s="11">
        <v>285.0</v>
      </c>
      <c r="B297" s="11">
        <v>1.42063478260869E9</v>
      </c>
      <c r="C297" s="2">
        <v>-102.0704193</v>
      </c>
      <c r="D297" s="24">
        <f t="shared" si="1"/>
        <v>234782.6087</v>
      </c>
      <c r="E297" s="25">
        <f t="shared" si="2"/>
        <v>-50.50628727</v>
      </c>
      <c r="F297" s="24">
        <f t="shared" si="3"/>
        <v>0.0002151193717</v>
      </c>
      <c r="G297" s="24">
        <f t="shared" si="4"/>
        <v>0</v>
      </c>
      <c r="H297" s="26">
        <f t="shared" si="5"/>
        <v>0</v>
      </c>
      <c r="I297" s="24">
        <f t="shared" si="6"/>
        <v>0</v>
      </c>
      <c r="J297" s="24">
        <f t="shared" si="7"/>
        <v>0</v>
      </c>
      <c r="K297" s="24"/>
      <c r="L297" s="24">
        <f t="shared" si="8"/>
        <v>472.1328702</v>
      </c>
      <c r="M297" s="14">
        <f t="shared" si="9"/>
        <v>429.0032049</v>
      </c>
      <c r="N297" s="27">
        <f t="shared" si="10"/>
        <v>43.12966535</v>
      </c>
      <c r="O297" s="24"/>
      <c r="P297" s="24"/>
      <c r="Q297" s="24"/>
      <c r="R297" s="26"/>
      <c r="S297" s="14">
        <f t="shared" si="13"/>
        <v>39.6058049</v>
      </c>
      <c r="U297" s="21"/>
      <c r="V297" s="21"/>
    </row>
    <row r="298">
      <c r="A298" s="11">
        <v>286.0</v>
      </c>
      <c r="B298" s="11">
        <v>1.42063913043478E9</v>
      </c>
      <c r="C298" s="2">
        <v>-102.0101547</v>
      </c>
      <c r="D298" s="24">
        <f t="shared" si="1"/>
        <v>239130.4348</v>
      </c>
      <c r="E298" s="25">
        <f t="shared" si="2"/>
        <v>-51.4245834</v>
      </c>
      <c r="F298" s="24">
        <f t="shared" si="3"/>
        <v>0.0002150482579</v>
      </c>
      <c r="G298" s="24">
        <f t="shared" si="4"/>
        <v>0</v>
      </c>
      <c r="H298" s="26">
        <f t="shared" si="5"/>
        <v>0</v>
      </c>
      <c r="I298" s="24">
        <f t="shared" si="6"/>
        <v>0</v>
      </c>
      <c r="J298" s="24">
        <f t="shared" si="7"/>
        <v>0</v>
      </c>
      <c r="K298" s="24"/>
      <c r="L298" s="24">
        <f t="shared" si="8"/>
        <v>478.7300591</v>
      </c>
      <c r="M298" s="14">
        <f t="shared" si="9"/>
        <v>428.9155566</v>
      </c>
      <c r="N298" s="27">
        <f t="shared" si="10"/>
        <v>49.81450255</v>
      </c>
      <c r="O298" s="24"/>
      <c r="P298" s="24"/>
      <c r="Q298" s="24"/>
      <c r="R298" s="26"/>
      <c r="S298" s="14">
        <f t="shared" si="13"/>
        <v>45.74446494</v>
      </c>
      <c r="U298" s="21"/>
      <c r="V298" s="21"/>
    </row>
    <row r="299">
      <c r="A299" s="11">
        <v>287.0</v>
      </c>
      <c r="B299" s="11">
        <v>1.42064347826087E9</v>
      </c>
      <c r="C299" s="2">
        <v>-102.0821686</v>
      </c>
      <c r="D299" s="24">
        <f t="shared" si="1"/>
        <v>243478.2609</v>
      </c>
      <c r="E299" s="25">
        <f t="shared" si="2"/>
        <v>-52.34287953</v>
      </c>
      <c r="F299" s="24">
        <f t="shared" si="3"/>
        <v>0.0002149796838</v>
      </c>
      <c r="G299" s="24">
        <f t="shared" si="4"/>
        <v>0</v>
      </c>
      <c r="H299" s="26">
        <f t="shared" si="5"/>
        <v>0</v>
      </c>
      <c r="I299" s="24">
        <f t="shared" si="6"/>
        <v>0</v>
      </c>
      <c r="J299" s="24">
        <f t="shared" si="7"/>
        <v>0</v>
      </c>
      <c r="K299" s="24"/>
      <c r="L299" s="24">
        <f t="shared" si="8"/>
        <v>470.8572994</v>
      </c>
      <c r="M299" s="14">
        <f t="shared" si="9"/>
        <v>428.8277364</v>
      </c>
      <c r="N299" s="27">
        <f t="shared" si="10"/>
        <v>42.02956295</v>
      </c>
      <c r="O299" s="24"/>
      <c r="P299" s="24"/>
      <c r="Q299" s="24"/>
      <c r="R299" s="26"/>
      <c r="S299" s="14">
        <f t="shared" si="13"/>
        <v>38.59558512</v>
      </c>
      <c r="U299" s="21"/>
      <c r="V299" s="21"/>
    </row>
    <row r="300">
      <c r="A300" s="11">
        <v>288.0</v>
      </c>
      <c r="B300" s="11">
        <v>1.42064782608695E9</v>
      </c>
      <c r="C300" s="2">
        <v>-102.0009766</v>
      </c>
      <c r="D300" s="24">
        <f t="shared" si="1"/>
        <v>247826.087</v>
      </c>
      <c r="E300" s="25">
        <f t="shared" si="2"/>
        <v>-53.26117566</v>
      </c>
      <c r="F300" s="24">
        <f t="shared" si="3"/>
        <v>0.0002149135158</v>
      </c>
      <c r="G300" s="24">
        <f t="shared" si="4"/>
        <v>0</v>
      </c>
      <c r="H300" s="26">
        <f t="shared" si="5"/>
        <v>0</v>
      </c>
      <c r="I300" s="24">
        <f t="shared" si="6"/>
        <v>0</v>
      </c>
      <c r="J300" s="24">
        <f t="shared" si="7"/>
        <v>0</v>
      </c>
      <c r="K300" s="24"/>
      <c r="L300" s="24">
        <f t="shared" si="8"/>
        <v>479.7428462</v>
      </c>
      <c r="M300" s="14">
        <f t="shared" si="9"/>
        <v>428.7397437</v>
      </c>
      <c r="N300" s="27">
        <f t="shared" si="10"/>
        <v>51.00310254</v>
      </c>
      <c r="O300" s="24"/>
      <c r="P300" s="24"/>
      <c r="Q300" s="24"/>
      <c r="R300" s="26"/>
      <c r="S300" s="14">
        <f t="shared" si="13"/>
        <v>46.83595182</v>
      </c>
      <c r="U300" s="21"/>
      <c r="V300" s="21"/>
    </row>
    <row r="301">
      <c r="A301" s="11">
        <v>289.0</v>
      </c>
      <c r="B301" s="11">
        <v>1.42065217391304E9</v>
      </c>
      <c r="C301" s="2">
        <v>-101.9993057</v>
      </c>
      <c r="D301" s="24">
        <f t="shared" si="1"/>
        <v>252173.913</v>
      </c>
      <c r="E301" s="25">
        <f t="shared" si="2"/>
        <v>-54.1794718</v>
      </c>
      <c r="F301" s="24">
        <f t="shared" si="3"/>
        <v>0.0002148496295</v>
      </c>
      <c r="G301" s="24">
        <f t="shared" si="4"/>
        <v>0</v>
      </c>
      <c r="H301" s="26">
        <f t="shared" si="5"/>
        <v>0</v>
      </c>
      <c r="I301" s="24">
        <f t="shared" si="6"/>
        <v>0</v>
      </c>
      <c r="J301" s="24">
        <f t="shared" si="7"/>
        <v>0</v>
      </c>
      <c r="K301" s="24"/>
      <c r="L301" s="24">
        <f t="shared" si="8"/>
        <v>479.9274575</v>
      </c>
      <c r="M301" s="14">
        <f t="shared" si="9"/>
        <v>428.6515775</v>
      </c>
      <c r="N301" s="27">
        <f t="shared" si="10"/>
        <v>51.27587996</v>
      </c>
      <c r="O301" s="24"/>
      <c r="P301" s="24"/>
      <c r="Q301" s="24"/>
      <c r="R301" s="26"/>
      <c r="S301" s="14">
        <f t="shared" si="13"/>
        <v>47.08644217</v>
      </c>
      <c r="U301" s="21"/>
      <c r="V301" s="21"/>
    </row>
    <row r="302">
      <c r="A302" s="11">
        <v>290.0</v>
      </c>
      <c r="B302" s="11">
        <v>1.42065652173913E9</v>
      </c>
      <c r="C302" s="2">
        <v>-101.9582748</v>
      </c>
      <c r="D302" s="24">
        <f t="shared" si="1"/>
        <v>256521.7391</v>
      </c>
      <c r="E302" s="25">
        <f t="shared" si="2"/>
        <v>-55.09776793</v>
      </c>
      <c r="F302" s="24">
        <f t="shared" si="3"/>
        <v>0.0002147879089</v>
      </c>
      <c r="G302" s="24">
        <f t="shared" si="4"/>
        <v>0</v>
      </c>
      <c r="H302" s="26">
        <f t="shared" si="5"/>
        <v>0</v>
      </c>
      <c r="I302" s="24">
        <f t="shared" si="6"/>
        <v>0</v>
      </c>
      <c r="J302" s="24">
        <f t="shared" si="7"/>
        <v>0</v>
      </c>
      <c r="K302" s="24"/>
      <c r="L302" s="24">
        <f t="shared" si="8"/>
        <v>484.4831614</v>
      </c>
      <c r="M302" s="14">
        <f t="shared" si="9"/>
        <v>428.5632372</v>
      </c>
      <c r="N302" s="27">
        <f t="shared" si="10"/>
        <v>55.91992421</v>
      </c>
      <c r="O302" s="24"/>
      <c r="P302" s="24"/>
      <c r="Q302" s="24"/>
      <c r="R302" s="26"/>
      <c r="S302" s="14">
        <f t="shared" si="13"/>
        <v>51.35105014</v>
      </c>
      <c r="U302" s="21"/>
      <c r="V302" s="21"/>
    </row>
    <row r="303">
      <c r="A303" s="11">
        <v>291.0</v>
      </c>
      <c r="B303" s="11">
        <v>1.42066086956521E9</v>
      </c>
      <c r="C303" s="2">
        <v>-102.0035934</v>
      </c>
      <c r="D303" s="24">
        <f t="shared" si="1"/>
        <v>260869.5652</v>
      </c>
      <c r="E303" s="25">
        <f t="shared" si="2"/>
        <v>-56.01606406</v>
      </c>
      <c r="F303" s="24">
        <f t="shared" si="3"/>
        <v>0.0002147282456</v>
      </c>
      <c r="G303" s="24">
        <f t="shared" si="4"/>
        <v>0</v>
      </c>
      <c r="H303" s="26">
        <f t="shared" si="5"/>
        <v>0</v>
      </c>
      <c r="I303" s="24">
        <f t="shared" si="6"/>
        <v>0</v>
      </c>
      <c r="J303" s="24">
        <f t="shared" si="7"/>
        <v>0</v>
      </c>
      <c r="K303" s="24"/>
      <c r="L303" s="24">
        <f t="shared" si="8"/>
        <v>479.4538688</v>
      </c>
      <c r="M303" s="14">
        <f t="shared" si="9"/>
        <v>428.4747219</v>
      </c>
      <c r="N303" s="27">
        <f t="shared" si="10"/>
        <v>50.97914695</v>
      </c>
      <c r="O303" s="24"/>
      <c r="P303" s="24"/>
      <c r="Q303" s="24"/>
      <c r="R303" s="26"/>
      <c r="S303" s="14">
        <f t="shared" si="13"/>
        <v>46.8139535</v>
      </c>
      <c r="U303" s="21"/>
      <c r="V303" s="21"/>
    </row>
    <row r="304">
      <c r="A304" s="11">
        <v>292.0</v>
      </c>
      <c r="B304" s="11">
        <v>1.4206652173913E9</v>
      </c>
      <c r="C304" s="2">
        <v>-101.935257</v>
      </c>
      <c r="D304" s="24">
        <f t="shared" si="1"/>
        <v>265217.3913</v>
      </c>
      <c r="E304" s="25">
        <f t="shared" si="2"/>
        <v>-56.93436019</v>
      </c>
      <c r="F304" s="24">
        <f t="shared" si="3"/>
        <v>0.0002146705384</v>
      </c>
      <c r="G304" s="24">
        <f t="shared" si="4"/>
        <v>0</v>
      </c>
      <c r="H304" s="26">
        <f t="shared" si="5"/>
        <v>0</v>
      </c>
      <c r="I304" s="24">
        <f t="shared" si="6"/>
        <v>0</v>
      </c>
      <c r="J304" s="24">
        <f t="shared" si="7"/>
        <v>0</v>
      </c>
      <c r="K304" s="24"/>
      <c r="L304" s="24">
        <f t="shared" si="8"/>
        <v>487.0577603</v>
      </c>
      <c r="M304" s="14">
        <f t="shared" si="9"/>
        <v>428.3860308</v>
      </c>
      <c r="N304" s="27">
        <f t="shared" si="10"/>
        <v>58.67172955</v>
      </c>
      <c r="O304" s="24"/>
      <c r="P304" s="24"/>
      <c r="Q304" s="24"/>
      <c r="R304" s="26"/>
      <c r="S304" s="14">
        <f t="shared" si="13"/>
        <v>53.87802222</v>
      </c>
      <c r="U304" s="21"/>
      <c r="V304" s="21"/>
    </row>
    <row r="305">
      <c r="A305" s="11">
        <v>293.0</v>
      </c>
      <c r="B305" s="11">
        <v>1.42066956521739E9</v>
      </c>
      <c r="C305" s="2">
        <v>-101.9283447</v>
      </c>
      <c r="D305" s="24">
        <f t="shared" si="1"/>
        <v>269565.2174</v>
      </c>
      <c r="E305" s="25">
        <f t="shared" si="2"/>
        <v>-57.85265632</v>
      </c>
      <c r="F305" s="24">
        <f t="shared" si="3"/>
        <v>0.0002146146928</v>
      </c>
      <c r="G305" s="24">
        <f t="shared" si="4"/>
        <v>0</v>
      </c>
      <c r="H305" s="26">
        <f t="shared" si="5"/>
        <v>0</v>
      </c>
      <c r="I305" s="24">
        <f t="shared" si="6"/>
        <v>0</v>
      </c>
      <c r="J305" s="24">
        <f t="shared" si="7"/>
        <v>0</v>
      </c>
      <c r="K305" s="24"/>
      <c r="L305" s="24">
        <f t="shared" si="8"/>
        <v>487.8335864</v>
      </c>
      <c r="M305" s="14">
        <f t="shared" si="9"/>
        <v>428.2971631</v>
      </c>
      <c r="N305" s="27">
        <f t="shared" si="10"/>
        <v>59.5364233</v>
      </c>
      <c r="O305" s="24"/>
      <c r="P305" s="24"/>
      <c r="Q305" s="24"/>
      <c r="R305" s="26"/>
      <c r="S305" s="14">
        <f t="shared" si="13"/>
        <v>54.67206728</v>
      </c>
      <c r="U305" s="21"/>
      <c r="V305" s="21"/>
    </row>
    <row r="306">
      <c r="A306" s="11">
        <v>294.0</v>
      </c>
      <c r="B306" s="11">
        <v>1.42067391304347E9</v>
      </c>
      <c r="C306" s="2">
        <v>-101.9364777</v>
      </c>
      <c r="D306" s="24">
        <f t="shared" si="1"/>
        <v>273913.0435</v>
      </c>
      <c r="E306" s="25">
        <f t="shared" si="2"/>
        <v>-58.77095246</v>
      </c>
      <c r="F306" s="24">
        <f t="shared" si="3"/>
        <v>0.0002145606201</v>
      </c>
      <c r="G306" s="24">
        <f t="shared" si="4"/>
        <v>0</v>
      </c>
      <c r="H306" s="26">
        <f t="shared" si="5"/>
        <v>0</v>
      </c>
      <c r="I306" s="24">
        <f t="shared" si="6"/>
        <v>0</v>
      </c>
      <c r="J306" s="24">
        <f t="shared" si="7"/>
        <v>0</v>
      </c>
      <c r="K306" s="24"/>
      <c r="L306" s="24">
        <f t="shared" si="8"/>
        <v>486.920879</v>
      </c>
      <c r="M306" s="14">
        <f t="shared" si="9"/>
        <v>428.2081182</v>
      </c>
      <c r="N306" s="27">
        <f t="shared" si="10"/>
        <v>58.71276087</v>
      </c>
      <c r="O306" s="24"/>
      <c r="P306" s="24"/>
      <c r="Q306" s="24"/>
      <c r="R306" s="26"/>
      <c r="S306" s="14">
        <f t="shared" si="13"/>
        <v>53.91570125</v>
      </c>
      <c r="U306" s="21"/>
      <c r="V306" s="21"/>
    </row>
    <row r="307">
      <c r="A307" s="11">
        <v>295.0</v>
      </c>
      <c r="B307" s="11">
        <v>1.42067826086956E9</v>
      </c>
      <c r="C307" s="2">
        <v>-101.9268951</v>
      </c>
      <c r="D307" s="24">
        <f t="shared" si="1"/>
        <v>278260.8696</v>
      </c>
      <c r="E307" s="25">
        <f t="shared" si="2"/>
        <v>-59.68924859</v>
      </c>
      <c r="F307" s="24">
        <f t="shared" si="3"/>
        <v>0.0002145082371</v>
      </c>
      <c r="G307" s="24">
        <f t="shared" si="4"/>
        <v>0</v>
      </c>
      <c r="H307" s="26">
        <f t="shared" si="5"/>
        <v>0</v>
      </c>
      <c r="I307" s="24">
        <f t="shared" si="6"/>
        <v>0</v>
      </c>
      <c r="J307" s="24">
        <f t="shared" si="7"/>
        <v>0</v>
      </c>
      <c r="K307" s="24"/>
      <c r="L307" s="24">
        <f t="shared" si="8"/>
        <v>487.996444</v>
      </c>
      <c r="M307" s="14">
        <f t="shared" si="9"/>
        <v>428.1188951</v>
      </c>
      <c r="N307" s="27">
        <f t="shared" si="10"/>
        <v>59.87754897</v>
      </c>
      <c r="O307" s="24"/>
      <c r="P307" s="24"/>
      <c r="Q307" s="24"/>
      <c r="R307" s="26"/>
      <c r="S307" s="14">
        <f t="shared" si="13"/>
        <v>54.98532153</v>
      </c>
      <c r="U307" s="21"/>
      <c r="V307" s="21"/>
    </row>
    <row r="308">
      <c r="A308" s="11">
        <v>296.0</v>
      </c>
      <c r="B308" s="11">
        <v>1.42068260869565E9</v>
      </c>
      <c r="C308" s="2">
        <v>-101.9358673</v>
      </c>
      <c r="D308" s="24">
        <f t="shared" si="1"/>
        <v>282608.6957</v>
      </c>
      <c r="E308" s="25">
        <f t="shared" si="2"/>
        <v>-60.60754472</v>
      </c>
      <c r="F308" s="24">
        <f t="shared" si="3"/>
        <v>0.0002144574659</v>
      </c>
      <c r="G308" s="24">
        <f t="shared" si="4"/>
        <v>0</v>
      </c>
      <c r="H308" s="26">
        <f t="shared" si="5"/>
        <v>0</v>
      </c>
      <c r="I308" s="24">
        <f t="shared" si="6"/>
        <v>0</v>
      </c>
      <c r="J308" s="24">
        <f t="shared" si="7"/>
        <v>0</v>
      </c>
      <c r="K308" s="24"/>
      <c r="L308" s="24">
        <f t="shared" si="8"/>
        <v>486.9893205</v>
      </c>
      <c r="M308" s="14">
        <f t="shared" si="9"/>
        <v>428.0294931</v>
      </c>
      <c r="N308" s="27">
        <f t="shared" si="10"/>
        <v>58.95982741</v>
      </c>
      <c r="O308" s="24"/>
      <c r="P308" s="24"/>
      <c r="Q308" s="24"/>
      <c r="R308" s="26"/>
      <c r="S308" s="14">
        <f t="shared" si="13"/>
        <v>54.1425815</v>
      </c>
      <c r="U308" s="21"/>
      <c r="V308" s="21"/>
    </row>
    <row r="309">
      <c r="A309" s="11">
        <v>297.0</v>
      </c>
      <c r="B309" s="11">
        <v>1.42068695652173E9</v>
      </c>
      <c r="C309" s="2">
        <v>-101.8713455</v>
      </c>
      <c r="D309" s="24">
        <f t="shared" si="1"/>
        <v>286956.5217</v>
      </c>
      <c r="E309" s="25">
        <f t="shared" si="2"/>
        <v>-61.52584085</v>
      </c>
      <c r="F309" s="24">
        <f t="shared" si="3"/>
        <v>0.0002144082333</v>
      </c>
      <c r="G309" s="24">
        <f t="shared" si="4"/>
        <v>0</v>
      </c>
      <c r="H309" s="26">
        <f t="shared" si="5"/>
        <v>0</v>
      </c>
      <c r="I309" s="24">
        <f t="shared" si="6"/>
        <v>0</v>
      </c>
      <c r="J309" s="24">
        <f t="shared" si="7"/>
        <v>0</v>
      </c>
      <c r="K309" s="24"/>
      <c r="L309" s="24">
        <f t="shared" si="8"/>
        <v>494.2783832</v>
      </c>
      <c r="M309" s="14">
        <f t="shared" si="9"/>
        <v>427.9399114</v>
      </c>
      <c r="N309" s="27">
        <f t="shared" si="10"/>
        <v>66.3384718</v>
      </c>
      <c r="O309" s="24"/>
      <c r="P309" s="24"/>
      <c r="Q309" s="24"/>
      <c r="R309" s="26"/>
      <c r="S309" s="14">
        <f t="shared" si="13"/>
        <v>60.9183621</v>
      </c>
      <c r="U309" s="21"/>
      <c r="V309" s="21"/>
    </row>
    <row r="310">
      <c r="A310" s="11">
        <v>298.0</v>
      </c>
      <c r="B310" s="11">
        <v>1.42069130434782E9</v>
      </c>
      <c r="C310" s="2">
        <v>-101.9158325</v>
      </c>
      <c r="D310" s="24">
        <f t="shared" si="1"/>
        <v>291304.3478</v>
      </c>
      <c r="E310" s="25">
        <f t="shared" si="2"/>
        <v>-62.44413698</v>
      </c>
      <c r="F310" s="24">
        <f t="shared" si="3"/>
        <v>0.0002143604703</v>
      </c>
      <c r="G310" s="24">
        <f t="shared" si="4"/>
        <v>0</v>
      </c>
      <c r="H310" s="26">
        <f t="shared" si="5"/>
        <v>0</v>
      </c>
      <c r="I310" s="24">
        <f t="shared" si="6"/>
        <v>0</v>
      </c>
      <c r="J310" s="24">
        <f t="shared" si="7"/>
        <v>0</v>
      </c>
      <c r="K310" s="24"/>
      <c r="L310" s="24">
        <f t="shared" si="8"/>
        <v>489.2410813</v>
      </c>
      <c r="M310" s="14">
        <f t="shared" si="9"/>
        <v>427.8501492</v>
      </c>
      <c r="N310" s="27">
        <f t="shared" si="10"/>
        <v>61.39093216</v>
      </c>
      <c r="O310" s="24"/>
      <c r="P310" s="24"/>
      <c r="Q310" s="24"/>
      <c r="R310" s="26"/>
      <c r="S310" s="14">
        <f t="shared" si="13"/>
        <v>56.37505559</v>
      </c>
      <c r="U310" s="21"/>
      <c r="V310" s="21"/>
    </row>
    <row r="311">
      <c r="A311" s="11">
        <v>299.0</v>
      </c>
      <c r="B311" s="11">
        <v>1.42069565217391E9</v>
      </c>
      <c r="C311" s="2">
        <v>-101.9203186</v>
      </c>
      <c r="D311" s="24">
        <f t="shared" si="1"/>
        <v>295652.1739</v>
      </c>
      <c r="E311" s="25">
        <f t="shared" si="2"/>
        <v>-63.36243312</v>
      </c>
      <c r="F311" s="24">
        <f t="shared" si="3"/>
        <v>0.000214314112</v>
      </c>
      <c r="G311" s="24">
        <f t="shared" si="4"/>
        <v>0</v>
      </c>
      <c r="H311" s="26">
        <f t="shared" si="5"/>
        <v>0</v>
      </c>
      <c r="I311" s="24">
        <f t="shared" si="6"/>
        <v>0</v>
      </c>
      <c r="J311" s="24">
        <f t="shared" si="7"/>
        <v>0</v>
      </c>
      <c r="K311" s="24"/>
      <c r="L311" s="24">
        <f t="shared" si="8"/>
        <v>488.7359745</v>
      </c>
      <c r="M311" s="14">
        <f t="shared" si="9"/>
        <v>427.7602057</v>
      </c>
      <c r="N311" s="27">
        <f t="shared" si="10"/>
        <v>60.97576876</v>
      </c>
      <c r="O311" s="24"/>
      <c r="P311" s="24"/>
      <c r="Q311" s="24"/>
      <c r="R311" s="26"/>
      <c r="S311" s="14">
        <f t="shared" si="13"/>
        <v>55.99381252</v>
      </c>
      <c r="U311" s="21"/>
      <c r="V311" s="21"/>
    </row>
    <row r="312">
      <c r="A312" s="11">
        <v>300.0</v>
      </c>
      <c r="B312" s="11">
        <v>1.4207E9</v>
      </c>
      <c r="C312" s="2">
        <v>-101.8538437</v>
      </c>
      <c r="D312" s="24">
        <f t="shared" si="1"/>
        <v>300000</v>
      </c>
      <c r="E312" s="25">
        <f t="shared" si="2"/>
        <v>-64.28072925</v>
      </c>
      <c r="F312" s="24">
        <f t="shared" si="3"/>
        <v>0.0002142690975</v>
      </c>
      <c r="G312" s="24">
        <f t="shared" si="4"/>
        <v>0</v>
      </c>
      <c r="H312" s="26">
        <f t="shared" si="5"/>
        <v>0</v>
      </c>
      <c r="I312" s="24">
        <f t="shared" si="6"/>
        <v>0</v>
      </c>
      <c r="J312" s="24">
        <f t="shared" si="7"/>
        <v>0</v>
      </c>
      <c r="K312" s="24"/>
      <c r="L312" s="24">
        <f t="shared" si="8"/>
        <v>496.2743136</v>
      </c>
      <c r="M312" s="14">
        <f t="shared" si="9"/>
        <v>427.6700802</v>
      </c>
      <c r="N312" s="27">
        <f t="shared" si="10"/>
        <v>68.60423346</v>
      </c>
      <c r="O312" s="24"/>
      <c r="P312" s="24"/>
      <c r="Q312" s="24"/>
      <c r="R312" s="26"/>
      <c r="S312" s="14">
        <f t="shared" si="13"/>
        <v>62.99900228</v>
      </c>
      <c r="U312" s="21"/>
      <c r="V312" s="21"/>
    </row>
    <row r="313">
      <c r="A313" s="11">
        <v>301.0</v>
      </c>
      <c r="B313" s="11">
        <v>1.42070434782608E9</v>
      </c>
      <c r="C313" s="2">
        <v>-101.8935928</v>
      </c>
      <c r="D313" s="24">
        <f t="shared" si="1"/>
        <v>304347.8261</v>
      </c>
      <c r="E313" s="25">
        <f t="shared" si="2"/>
        <v>-65.19902538</v>
      </c>
      <c r="F313" s="24">
        <f t="shared" si="3"/>
        <v>0.0002142253691</v>
      </c>
      <c r="G313" s="24">
        <f t="shared" si="4"/>
        <v>0</v>
      </c>
      <c r="H313" s="26">
        <f t="shared" si="5"/>
        <v>0</v>
      </c>
      <c r="I313" s="24">
        <f t="shared" si="6"/>
        <v>0</v>
      </c>
      <c r="J313" s="24">
        <f t="shared" si="7"/>
        <v>0</v>
      </c>
      <c r="K313" s="24"/>
      <c r="L313" s="24">
        <f t="shared" si="8"/>
        <v>491.752852</v>
      </c>
      <c r="M313" s="14">
        <f t="shared" si="9"/>
        <v>427.5797718</v>
      </c>
      <c r="N313" s="27">
        <f t="shared" si="10"/>
        <v>64.17308025</v>
      </c>
      <c r="O313" s="24"/>
      <c r="P313" s="24"/>
      <c r="Q313" s="24"/>
      <c r="R313" s="26"/>
      <c r="S313" s="14">
        <f t="shared" si="13"/>
        <v>58.92989142</v>
      </c>
      <c r="U313" s="21"/>
      <c r="V313" s="21"/>
    </row>
    <row r="314">
      <c r="A314" s="11">
        <v>302.0</v>
      </c>
      <c r="B314" s="11">
        <v>1.42070869565217E9</v>
      </c>
      <c r="C314" s="2">
        <v>-101.8535995</v>
      </c>
      <c r="D314" s="24">
        <f t="shared" si="1"/>
        <v>308695.6522</v>
      </c>
      <c r="E314" s="25">
        <f t="shared" si="2"/>
        <v>-66.11732151</v>
      </c>
      <c r="F314" s="24">
        <f t="shared" si="3"/>
        <v>0.0002141828725</v>
      </c>
      <c r="G314" s="24">
        <f t="shared" si="4"/>
        <v>0</v>
      </c>
      <c r="H314" s="26">
        <f t="shared" si="5"/>
        <v>0</v>
      </c>
      <c r="I314" s="24">
        <f t="shared" si="6"/>
        <v>0</v>
      </c>
      <c r="J314" s="24">
        <f t="shared" si="7"/>
        <v>0</v>
      </c>
      <c r="K314" s="24"/>
      <c r="L314" s="24">
        <f t="shared" si="8"/>
        <v>496.3022195</v>
      </c>
      <c r="M314" s="14">
        <f t="shared" si="9"/>
        <v>427.4892798</v>
      </c>
      <c r="N314" s="27">
        <f t="shared" si="10"/>
        <v>68.81293973</v>
      </c>
      <c r="O314" s="24"/>
      <c r="P314" s="24"/>
      <c r="Q314" s="24"/>
      <c r="R314" s="26"/>
      <c r="S314" s="14">
        <f t="shared" si="13"/>
        <v>63.19065629</v>
      </c>
      <c r="U314" s="21"/>
      <c r="V314" s="21"/>
    </row>
    <row r="315">
      <c r="A315" s="11">
        <v>303.0</v>
      </c>
      <c r="B315" s="11">
        <v>1.42071304347826E9</v>
      </c>
      <c r="C315" s="2">
        <v>-101.9520111</v>
      </c>
      <c r="D315" s="24">
        <f t="shared" si="1"/>
        <v>313043.4783</v>
      </c>
      <c r="E315" s="25">
        <f t="shared" si="2"/>
        <v>-67.03561764</v>
      </c>
      <c r="F315" s="24">
        <f t="shared" si="3"/>
        <v>0.0002141415564</v>
      </c>
      <c r="G315" s="24">
        <f t="shared" si="4"/>
        <v>0</v>
      </c>
      <c r="H315" s="26">
        <f t="shared" si="5"/>
        <v>0</v>
      </c>
      <c r="I315" s="24">
        <f t="shared" si="6"/>
        <v>0</v>
      </c>
      <c r="J315" s="24">
        <f t="shared" si="7"/>
        <v>0</v>
      </c>
      <c r="K315" s="24"/>
      <c r="L315" s="24">
        <f t="shared" si="8"/>
        <v>485.1824212</v>
      </c>
      <c r="M315" s="14">
        <f t="shared" si="9"/>
        <v>427.3986033</v>
      </c>
      <c r="N315" s="27">
        <f t="shared" si="10"/>
        <v>57.78381786</v>
      </c>
      <c r="O315" s="24"/>
      <c r="P315" s="24"/>
      <c r="Q315" s="24"/>
      <c r="R315" s="26"/>
      <c r="S315" s="14">
        <f t="shared" si="13"/>
        <v>53.06265648</v>
      </c>
      <c r="U315" s="21"/>
      <c r="V315" s="21"/>
    </row>
    <row r="316">
      <c r="A316" s="11">
        <v>304.0</v>
      </c>
      <c r="B316" s="11">
        <v>1.42071739130434E9</v>
      </c>
      <c r="C316" s="2">
        <v>-101.9362411</v>
      </c>
      <c r="D316" s="24">
        <f t="shared" si="1"/>
        <v>317391.3043</v>
      </c>
      <c r="E316" s="25">
        <f t="shared" si="2"/>
        <v>-67.95391378</v>
      </c>
      <c r="F316" s="24">
        <f t="shared" si="3"/>
        <v>0.0002141013722</v>
      </c>
      <c r="G316" s="24">
        <f t="shared" si="4"/>
        <v>0</v>
      </c>
      <c r="H316" s="26">
        <f t="shared" si="5"/>
        <v>0</v>
      </c>
      <c r="I316" s="24">
        <f t="shared" si="6"/>
        <v>0</v>
      </c>
      <c r="J316" s="24">
        <f t="shared" si="7"/>
        <v>0</v>
      </c>
      <c r="K316" s="24"/>
      <c r="L316" s="24">
        <f t="shared" si="8"/>
        <v>486.9474068</v>
      </c>
      <c r="M316" s="14">
        <f t="shared" si="9"/>
        <v>427.3077416</v>
      </c>
      <c r="N316" s="27">
        <f t="shared" si="10"/>
        <v>59.63966516</v>
      </c>
      <c r="O316" s="24"/>
      <c r="P316" s="24"/>
      <c r="Q316" s="24"/>
      <c r="R316" s="26"/>
      <c r="S316" s="14">
        <f t="shared" si="13"/>
        <v>54.76687388</v>
      </c>
      <c r="U316" s="21"/>
      <c r="V316" s="21"/>
    </row>
    <row r="317">
      <c r="A317" s="11">
        <v>305.0</v>
      </c>
      <c r="B317" s="11">
        <v>1.42072173913043E9</v>
      </c>
      <c r="C317" s="2">
        <v>-101.9295959</v>
      </c>
      <c r="D317" s="24">
        <f t="shared" si="1"/>
        <v>321739.1304</v>
      </c>
      <c r="E317" s="25">
        <f t="shared" si="2"/>
        <v>-68.87220991</v>
      </c>
      <c r="F317" s="24">
        <f t="shared" si="3"/>
        <v>0.000214062274</v>
      </c>
      <c r="G317" s="24">
        <f t="shared" si="4"/>
        <v>0</v>
      </c>
      <c r="H317" s="26">
        <f t="shared" si="5"/>
        <v>0</v>
      </c>
      <c r="I317" s="24">
        <f t="shared" si="6"/>
        <v>0</v>
      </c>
      <c r="J317" s="24">
        <f t="shared" si="7"/>
        <v>0</v>
      </c>
      <c r="K317" s="24"/>
      <c r="L317" s="24">
        <f t="shared" si="8"/>
        <v>487.6930621</v>
      </c>
      <c r="M317" s="14">
        <f t="shared" si="9"/>
        <v>427.216694</v>
      </c>
      <c r="N317" s="27">
        <f t="shared" si="10"/>
        <v>60.47636812</v>
      </c>
      <c r="O317" s="24"/>
      <c r="P317" s="24"/>
      <c r="Q317" s="24"/>
      <c r="R317" s="26"/>
      <c r="S317" s="14">
        <f t="shared" si="13"/>
        <v>55.53521484</v>
      </c>
      <c r="U317" s="21"/>
      <c r="V317" s="21"/>
    </row>
    <row r="318">
      <c r="A318" s="11">
        <v>306.0</v>
      </c>
      <c r="B318" s="11">
        <v>1.42072608695652E9</v>
      </c>
      <c r="C318" s="2">
        <v>-101.8928986</v>
      </c>
      <c r="D318" s="24">
        <f t="shared" si="1"/>
        <v>326086.9565</v>
      </c>
      <c r="E318" s="25">
        <f t="shared" si="2"/>
        <v>-69.79050604</v>
      </c>
      <c r="F318" s="24">
        <f t="shared" si="3"/>
        <v>0.0002140242185</v>
      </c>
      <c r="G318" s="24">
        <f t="shared" si="4"/>
        <v>0</v>
      </c>
      <c r="H318" s="26">
        <f t="shared" si="5"/>
        <v>0</v>
      </c>
      <c r="I318" s="24">
        <f t="shared" si="6"/>
        <v>0</v>
      </c>
      <c r="J318" s="24">
        <f t="shared" si="7"/>
        <v>0</v>
      </c>
      <c r="K318" s="24"/>
      <c r="L318" s="24">
        <f t="shared" si="8"/>
        <v>491.8314628</v>
      </c>
      <c r="M318" s="14">
        <f t="shared" si="9"/>
        <v>427.1254595</v>
      </c>
      <c r="N318" s="27">
        <f t="shared" si="10"/>
        <v>64.70600324</v>
      </c>
      <c r="O318" s="24"/>
      <c r="P318" s="24"/>
      <c r="Q318" s="24"/>
      <c r="R318" s="26"/>
      <c r="S318" s="14">
        <f t="shared" si="13"/>
        <v>59.41927254</v>
      </c>
      <c r="U318" s="21"/>
      <c r="V318" s="21"/>
    </row>
    <row r="319">
      <c r="A319" s="11">
        <v>307.0</v>
      </c>
      <c r="B319" s="11">
        <v>1.4207304347826E9</v>
      </c>
      <c r="C319" s="2">
        <v>-101.8931351</v>
      </c>
      <c r="D319" s="24">
        <f t="shared" si="1"/>
        <v>330434.7826</v>
      </c>
      <c r="E319" s="25">
        <f t="shared" si="2"/>
        <v>-70.70880217</v>
      </c>
      <c r="F319" s="24">
        <f t="shared" si="3"/>
        <v>0.0002139871645</v>
      </c>
      <c r="G319" s="24">
        <f t="shared" si="4"/>
        <v>0</v>
      </c>
      <c r="H319" s="26">
        <f t="shared" si="5"/>
        <v>0</v>
      </c>
      <c r="I319" s="24">
        <f t="shared" si="6"/>
        <v>0</v>
      </c>
      <c r="J319" s="24">
        <f t="shared" si="7"/>
        <v>0</v>
      </c>
      <c r="K319" s="24"/>
      <c r="L319" s="24">
        <f t="shared" si="8"/>
        <v>491.8046803</v>
      </c>
      <c r="M319" s="14">
        <f t="shared" si="9"/>
        <v>427.0340375</v>
      </c>
      <c r="N319" s="27">
        <f t="shared" si="10"/>
        <v>64.77064275</v>
      </c>
      <c r="O319" s="24"/>
      <c r="P319" s="24"/>
      <c r="Q319" s="24"/>
      <c r="R319" s="26"/>
      <c r="S319" s="14">
        <f t="shared" si="13"/>
        <v>59.47863075</v>
      </c>
      <c r="U319" s="21"/>
      <c r="V319" s="21"/>
    </row>
    <row r="320">
      <c r="A320" s="11">
        <v>308.0</v>
      </c>
      <c r="B320" s="11">
        <v>1.42073478260869E9</v>
      </c>
      <c r="C320" s="2">
        <v>-101.963623</v>
      </c>
      <c r="D320" s="24">
        <f t="shared" si="1"/>
        <v>334782.6087</v>
      </c>
      <c r="E320" s="25">
        <f t="shared" si="2"/>
        <v>-71.62709831</v>
      </c>
      <c r="F320" s="24">
        <f t="shared" si="3"/>
        <v>0.0002139510729</v>
      </c>
      <c r="G320" s="24">
        <f t="shared" si="4"/>
        <v>0</v>
      </c>
      <c r="H320" s="26">
        <f t="shared" si="5"/>
        <v>0</v>
      </c>
      <c r="I320" s="24">
        <f t="shared" si="6"/>
        <v>0</v>
      </c>
      <c r="J320" s="24">
        <f t="shared" si="7"/>
        <v>0</v>
      </c>
      <c r="K320" s="24"/>
      <c r="L320" s="24">
        <f t="shared" si="8"/>
        <v>483.8869028</v>
      </c>
      <c r="M320" s="14">
        <f t="shared" si="9"/>
        <v>426.9424271</v>
      </c>
      <c r="N320" s="27">
        <f t="shared" si="10"/>
        <v>56.9444757</v>
      </c>
      <c r="O320" s="24"/>
      <c r="P320" s="24"/>
      <c r="Q320" s="24"/>
      <c r="R320" s="26"/>
      <c r="S320" s="14">
        <f t="shared" si="13"/>
        <v>52.29189182</v>
      </c>
      <c r="U320" s="21"/>
      <c r="V320" s="21"/>
    </row>
    <row r="321">
      <c r="A321" s="11">
        <v>309.0</v>
      </c>
      <c r="B321" s="11">
        <v>1.42073913043478E9</v>
      </c>
      <c r="C321" s="2">
        <v>-101.999054</v>
      </c>
      <c r="D321" s="24">
        <f t="shared" si="1"/>
        <v>339130.4348</v>
      </c>
      <c r="E321" s="25">
        <f t="shared" si="2"/>
        <v>-72.54539444</v>
      </c>
      <c r="F321" s="24">
        <f t="shared" si="3"/>
        <v>0.0002139159067</v>
      </c>
      <c r="G321" s="24">
        <f t="shared" si="4"/>
        <v>0</v>
      </c>
      <c r="H321" s="26">
        <f t="shared" si="5"/>
        <v>0</v>
      </c>
      <c r="I321" s="24">
        <f t="shared" si="6"/>
        <v>0</v>
      </c>
      <c r="J321" s="24">
        <f t="shared" si="7"/>
        <v>0</v>
      </c>
      <c r="K321" s="24"/>
      <c r="L321" s="24">
        <f t="shared" si="8"/>
        <v>479.955273</v>
      </c>
      <c r="M321" s="14">
        <f t="shared" si="9"/>
        <v>426.8506276</v>
      </c>
      <c r="N321" s="27">
        <f t="shared" si="10"/>
        <v>53.10464542</v>
      </c>
      <c r="O321" s="24"/>
      <c r="P321" s="24"/>
      <c r="Q321" s="24"/>
      <c r="R321" s="26"/>
      <c r="S321" s="14">
        <f t="shared" si="13"/>
        <v>48.76579041</v>
      </c>
      <c r="U321" s="21"/>
      <c r="V321" s="21"/>
    </row>
    <row r="322">
      <c r="A322" s="11">
        <v>310.0</v>
      </c>
      <c r="B322" s="11">
        <v>1.42074347826087E9</v>
      </c>
      <c r="C322" s="2">
        <v>-102.0468521</v>
      </c>
      <c r="D322" s="24">
        <f t="shared" si="1"/>
        <v>343478.2609</v>
      </c>
      <c r="E322" s="25">
        <f t="shared" si="2"/>
        <v>-73.46369057</v>
      </c>
      <c r="F322" s="24">
        <f t="shared" si="3"/>
        <v>0.0002138816308</v>
      </c>
      <c r="G322" s="24">
        <f t="shared" si="4"/>
        <v>0</v>
      </c>
      <c r="H322" s="26">
        <f t="shared" si="5"/>
        <v>0</v>
      </c>
      <c r="I322" s="24">
        <f t="shared" si="6"/>
        <v>0</v>
      </c>
      <c r="J322" s="24">
        <f t="shared" si="7"/>
        <v>0</v>
      </c>
      <c r="K322" s="24"/>
      <c r="L322" s="24">
        <f t="shared" si="8"/>
        <v>474.7018862</v>
      </c>
      <c r="M322" s="14">
        <f t="shared" si="9"/>
        <v>426.7586381</v>
      </c>
      <c r="N322" s="27">
        <f t="shared" si="10"/>
        <v>47.94324812</v>
      </c>
      <c r="O322" s="24"/>
      <c r="P322" s="24"/>
      <c r="Q322" s="24"/>
      <c r="R322" s="26"/>
      <c r="S322" s="14">
        <f t="shared" si="13"/>
        <v>44.02609934</v>
      </c>
      <c r="U322" s="21"/>
      <c r="V322" s="21"/>
    </row>
    <row r="323">
      <c r="A323" s="11">
        <v>311.0</v>
      </c>
      <c r="B323" s="11">
        <v>1.42074782608695E9</v>
      </c>
      <c r="C323" s="2">
        <v>-102.1077881</v>
      </c>
      <c r="D323" s="24">
        <f t="shared" si="1"/>
        <v>347826.087</v>
      </c>
      <c r="E323" s="25">
        <f t="shared" si="2"/>
        <v>-74.3819867</v>
      </c>
      <c r="F323" s="24">
        <f t="shared" si="3"/>
        <v>0.0002138482118</v>
      </c>
      <c r="G323" s="24">
        <f t="shared" si="4"/>
        <v>0</v>
      </c>
      <c r="H323" s="26">
        <f t="shared" si="5"/>
        <v>0</v>
      </c>
      <c r="I323" s="24">
        <f t="shared" si="6"/>
        <v>0</v>
      </c>
      <c r="J323" s="24">
        <f t="shared" si="7"/>
        <v>0</v>
      </c>
      <c r="K323" s="24"/>
      <c r="L323" s="24">
        <f t="shared" si="8"/>
        <v>468.0878381</v>
      </c>
      <c r="M323" s="14">
        <f t="shared" si="9"/>
        <v>426.6664579</v>
      </c>
      <c r="N323" s="27">
        <f t="shared" si="10"/>
        <v>41.4213802</v>
      </c>
      <c r="O323" s="24"/>
      <c r="P323" s="24"/>
      <c r="Q323" s="24"/>
      <c r="R323" s="26"/>
      <c r="S323" s="14">
        <f t="shared" si="13"/>
        <v>38.03709325</v>
      </c>
      <c r="U323" s="21"/>
      <c r="V323" s="21"/>
    </row>
    <row r="324">
      <c r="A324" s="11">
        <v>312.0</v>
      </c>
      <c r="B324" s="11">
        <v>1.42075217391304E9</v>
      </c>
      <c r="C324" s="2">
        <v>-102.1328812</v>
      </c>
      <c r="D324" s="24">
        <f t="shared" si="1"/>
        <v>352173.913</v>
      </c>
      <c r="E324" s="25">
        <f t="shared" si="2"/>
        <v>-75.30028284</v>
      </c>
      <c r="F324" s="24">
        <f t="shared" si="3"/>
        <v>0.0002138156179</v>
      </c>
      <c r="G324" s="24">
        <f t="shared" si="4"/>
        <v>0</v>
      </c>
      <c r="H324" s="26">
        <f t="shared" si="5"/>
        <v>0</v>
      </c>
      <c r="I324" s="24">
        <f t="shared" si="6"/>
        <v>0</v>
      </c>
      <c r="J324" s="24">
        <f t="shared" si="7"/>
        <v>0</v>
      </c>
      <c r="K324" s="24"/>
      <c r="L324" s="24">
        <f t="shared" si="8"/>
        <v>465.3910718</v>
      </c>
      <c r="M324" s="14">
        <f t="shared" si="9"/>
        <v>426.5740862</v>
      </c>
      <c r="N324" s="27">
        <f t="shared" si="10"/>
        <v>38.81698561</v>
      </c>
      <c r="O324" s="24"/>
      <c r="P324" s="24"/>
      <c r="Q324" s="24"/>
      <c r="R324" s="26"/>
      <c r="S324" s="14">
        <f t="shared" si="13"/>
        <v>35.64548769</v>
      </c>
      <c r="U324" s="21"/>
      <c r="V324" s="21"/>
    </row>
    <row r="325">
      <c r="A325" s="11">
        <v>313.0</v>
      </c>
      <c r="B325" s="11">
        <v>1.42075652173913E9</v>
      </c>
      <c r="C325" s="2">
        <v>-102.1473007</v>
      </c>
      <c r="D325" s="24">
        <f t="shared" si="1"/>
        <v>356521.7391</v>
      </c>
      <c r="E325" s="25">
        <f t="shared" si="2"/>
        <v>-76.21857897</v>
      </c>
      <c r="F325" s="24">
        <f t="shared" si="3"/>
        <v>0.0002137838191</v>
      </c>
      <c r="G325" s="24">
        <f t="shared" si="4"/>
        <v>0</v>
      </c>
      <c r="H325" s="26">
        <f t="shared" si="5"/>
        <v>0</v>
      </c>
      <c r="I325" s="24">
        <f t="shared" si="6"/>
        <v>0</v>
      </c>
      <c r="J325" s="24">
        <f t="shared" si="7"/>
        <v>0</v>
      </c>
      <c r="K325" s="24"/>
      <c r="L325" s="24">
        <f t="shared" si="8"/>
        <v>463.8484368</v>
      </c>
      <c r="M325" s="14">
        <f t="shared" si="9"/>
        <v>426.4815221</v>
      </c>
      <c r="N325" s="27">
        <f t="shared" si="10"/>
        <v>37.3669147</v>
      </c>
      <c r="O325" s="24"/>
      <c r="P325" s="24"/>
      <c r="Q325" s="24"/>
      <c r="R325" s="26"/>
      <c r="S325" s="14">
        <f t="shared" si="13"/>
        <v>34.31389326</v>
      </c>
      <c r="U325" s="21"/>
      <c r="V325" s="21"/>
    </row>
    <row r="326">
      <c r="A326" s="11">
        <v>314.0</v>
      </c>
      <c r="B326" s="11">
        <v>1.42076086956521E9</v>
      </c>
      <c r="C326" s="2">
        <v>-102.175209</v>
      </c>
      <c r="D326" s="24">
        <f t="shared" si="1"/>
        <v>360869.5652</v>
      </c>
      <c r="E326" s="25">
        <f t="shared" si="2"/>
        <v>-77.1368751</v>
      </c>
      <c r="F326" s="24">
        <f t="shared" si="3"/>
        <v>0.0002137527864</v>
      </c>
      <c r="G326" s="24">
        <f t="shared" si="4"/>
        <v>0</v>
      </c>
      <c r="H326" s="26">
        <f t="shared" si="5"/>
        <v>0</v>
      </c>
      <c r="I326" s="24">
        <f t="shared" si="6"/>
        <v>0</v>
      </c>
      <c r="J326" s="24">
        <f t="shared" si="7"/>
        <v>0</v>
      </c>
      <c r="K326" s="24"/>
      <c r="L326" s="24">
        <f t="shared" si="8"/>
        <v>460.8772463</v>
      </c>
      <c r="M326" s="14">
        <f t="shared" si="9"/>
        <v>426.388765</v>
      </c>
      <c r="N326" s="27">
        <f t="shared" si="10"/>
        <v>34.48848129</v>
      </c>
      <c r="O326" s="24"/>
      <c r="P326" s="24"/>
      <c r="Q326" s="24"/>
      <c r="R326" s="26"/>
      <c r="S326" s="14">
        <f t="shared" si="13"/>
        <v>31.67063899</v>
      </c>
      <c r="U326" s="21"/>
      <c r="V326" s="21"/>
    </row>
    <row r="327">
      <c r="A327" s="11">
        <v>315.0</v>
      </c>
      <c r="B327" s="11">
        <v>1.4207652173913E9</v>
      </c>
      <c r="C327" s="2">
        <v>-102.1280518</v>
      </c>
      <c r="D327" s="24">
        <f t="shared" si="1"/>
        <v>365217.3913</v>
      </c>
      <c r="E327" s="25">
        <f t="shared" si="2"/>
        <v>-78.05517123</v>
      </c>
      <c r="F327" s="24">
        <f t="shared" si="3"/>
        <v>0.0002137224927</v>
      </c>
      <c r="G327" s="24">
        <f t="shared" si="4"/>
        <v>0</v>
      </c>
      <c r="H327" s="26">
        <f t="shared" si="5"/>
        <v>0</v>
      </c>
      <c r="I327" s="24">
        <f t="shared" si="6"/>
        <v>0</v>
      </c>
      <c r="J327" s="24">
        <f t="shared" si="7"/>
        <v>0</v>
      </c>
      <c r="K327" s="24"/>
      <c r="L327" s="24">
        <f t="shared" si="8"/>
        <v>465.9088794</v>
      </c>
      <c r="M327" s="14">
        <f t="shared" si="9"/>
        <v>426.2958141</v>
      </c>
      <c r="N327" s="27">
        <f t="shared" si="10"/>
        <v>39.61306531</v>
      </c>
      <c r="O327" s="24"/>
      <c r="P327" s="24"/>
      <c r="Q327" s="24"/>
      <c r="R327" s="26"/>
      <c r="S327" s="14">
        <f t="shared" si="13"/>
        <v>36.3765246</v>
      </c>
      <c r="U327" s="21"/>
      <c r="V327" s="21"/>
    </row>
    <row r="328">
      <c r="A328" s="11">
        <v>316.0</v>
      </c>
      <c r="B328" s="11">
        <v>1.42076956521739E9</v>
      </c>
      <c r="C328" s="2">
        <v>-102.18573</v>
      </c>
      <c r="D328" s="24">
        <f t="shared" si="1"/>
        <v>369565.2174</v>
      </c>
      <c r="E328" s="25">
        <f t="shared" si="2"/>
        <v>-78.97346736</v>
      </c>
      <c r="F328" s="24">
        <f t="shared" si="3"/>
        <v>0.0002136929117</v>
      </c>
      <c r="G328" s="24">
        <f t="shared" si="4"/>
        <v>0</v>
      </c>
      <c r="H328" s="26">
        <f t="shared" si="5"/>
        <v>0</v>
      </c>
      <c r="I328" s="24">
        <f t="shared" si="6"/>
        <v>0</v>
      </c>
      <c r="J328" s="24">
        <f t="shared" si="7"/>
        <v>0</v>
      </c>
      <c r="K328" s="24"/>
      <c r="L328" s="24">
        <f t="shared" si="8"/>
        <v>459.7620995</v>
      </c>
      <c r="M328" s="14">
        <f t="shared" si="9"/>
        <v>426.2026684</v>
      </c>
      <c r="N328" s="27">
        <f t="shared" si="10"/>
        <v>33.55943114</v>
      </c>
      <c r="O328" s="24"/>
      <c r="P328" s="24"/>
      <c r="Q328" s="24"/>
      <c r="R328" s="26"/>
      <c r="S328" s="14">
        <f t="shared" si="13"/>
        <v>30.81749584</v>
      </c>
      <c r="U328" s="21"/>
      <c r="V328" s="21"/>
    </row>
    <row r="329">
      <c r="A329" s="11">
        <v>317.0</v>
      </c>
      <c r="B329" s="11">
        <v>1.42077391304347E9</v>
      </c>
      <c r="C329" s="2">
        <v>-102.2097626</v>
      </c>
      <c r="D329" s="24">
        <f t="shared" si="1"/>
        <v>373913.0435</v>
      </c>
      <c r="E329" s="25">
        <f t="shared" si="2"/>
        <v>-79.89176349</v>
      </c>
      <c r="F329" s="24">
        <f t="shared" si="3"/>
        <v>0.0002136640187</v>
      </c>
      <c r="G329" s="24">
        <f t="shared" si="4"/>
        <v>0</v>
      </c>
      <c r="H329" s="26">
        <f t="shared" si="5"/>
        <v>0</v>
      </c>
      <c r="I329" s="24">
        <f t="shared" si="6"/>
        <v>0</v>
      </c>
      <c r="J329" s="24">
        <f t="shared" si="7"/>
        <v>0</v>
      </c>
      <c r="K329" s="24"/>
      <c r="L329" s="24">
        <f t="shared" si="8"/>
        <v>457.2249356</v>
      </c>
      <c r="M329" s="14">
        <f t="shared" si="9"/>
        <v>426.1093273</v>
      </c>
      <c r="N329" s="27">
        <f t="shared" si="10"/>
        <v>31.11560825</v>
      </c>
      <c r="O329" s="24"/>
      <c r="P329" s="24"/>
      <c r="Q329" s="24"/>
      <c r="R329" s="26"/>
      <c r="S329" s="14">
        <f t="shared" si="13"/>
        <v>28.57334273</v>
      </c>
      <c r="U329" s="21"/>
      <c r="V329" s="21"/>
    </row>
    <row r="330">
      <c r="A330" s="11">
        <v>318.0</v>
      </c>
      <c r="B330" s="11">
        <v>1.42077826086956E9</v>
      </c>
      <c r="C330" s="2">
        <v>-102.2671432</v>
      </c>
      <c r="D330" s="24">
        <f t="shared" si="1"/>
        <v>378260.8696</v>
      </c>
      <c r="E330" s="25">
        <f t="shared" si="2"/>
        <v>-80.81005963</v>
      </c>
      <c r="F330" s="24">
        <f t="shared" si="3"/>
        <v>0.0002136357898</v>
      </c>
      <c r="G330" s="24">
        <f t="shared" si="4"/>
        <v>0</v>
      </c>
      <c r="H330" s="26">
        <f t="shared" si="5"/>
        <v>0</v>
      </c>
      <c r="I330" s="24">
        <f t="shared" si="6"/>
        <v>0</v>
      </c>
      <c r="J330" s="24">
        <f t="shared" si="7"/>
        <v>0</v>
      </c>
      <c r="K330" s="24"/>
      <c r="L330" s="24">
        <f t="shared" si="8"/>
        <v>451.2236428</v>
      </c>
      <c r="M330" s="14">
        <f t="shared" si="9"/>
        <v>426.01579</v>
      </c>
      <c r="N330" s="27">
        <f t="shared" si="10"/>
        <v>25.20785288</v>
      </c>
      <c r="O330" s="24"/>
      <c r="P330" s="24"/>
      <c r="Q330" s="24"/>
      <c r="R330" s="26"/>
      <c r="S330" s="14">
        <f t="shared" si="13"/>
        <v>23.14827376</v>
      </c>
      <c r="U330" s="21"/>
      <c r="V330" s="21"/>
    </row>
    <row r="331">
      <c r="A331" s="11">
        <v>319.0</v>
      </c>
      <c r="B331" s="11">
        <v>1.42078260869565E9</v>
      </c>
      <c r="C331" s="2">
        <v>-102.3338852</v>
      </c>
      <c r="D331" s="24">
        <f t="shared" si="1"/>
        <v>382608.6957</v>
      </c>
      <c r="E331" s="25">
        <f t="shared" si="2"/>
        <v>-81.72835576</v>
      </c>
      <c r="F331" s="24">
        <f t="shared" si="3"/>
        <v>0.0002136082026</v>
      </c>
      <c r="G331" s="24">
        <f t="shared" si="4"/>
        <v>0</v>
      </c>
      <c r="H331" s="26">
        <f t="shared" si="5"/>
        <v>0</v>
      </c>
      <c r="I331" s="24">
        <f t="shared" si="6"/>
        <v>0</v>
      </c>
      <c r="J331" s="24">
        <f t="shared" si="7"/>
        <v>0</v>
      </c>
      <c r="K331" s="24"/>
      <c r="L331" s="24">
        <f t="shared" si="8"/>
        <v>444.3422884</v>
      </c>
      <c r="M331" s="14">
        <f t="shared" si="9"/>
        <v>425.9220556</v>
      </c>
      <c r="N331" s="27">
        <f t="shared" si="10"/>
        <v>18.42023282</v>
      </c>
      <c r="O331" s="24"/>
      <c r="P331" s="24"/>
      <c r="Q331" s="24"/>
      <c r="R331" s="26"/>
      <c r="S331" s="14">
        <f t="shared" si="13"/>
        <v>16.91522856</v>
      </c>
      <c r="U331" s="21"/>
      <c r="V331" s="21"/>
    </row>
    <row r="332">
      <c r="A332" s="11">
        <v>320.0</v>
      </c>
      <c r="B332" s="11">
        <v>1.42078695652173E9</v>
      </c>
      <c r="C332" s="2">
        <v>-102.3008347</v>
      </c>
      <c r="D332" s="24">
        <f t="shared" si="1"/>
        <v>386956.5217</v>
      </c>
      <c r="E332" s="25">
        <f t="shared" si="2"/>
        <v>-82.64665189</v>
      </c>
      <c r="F332" s="24">
        <f t="shared" si="3"/>
        <v>0.0002135812352</v>
      </c>
      <c r="G332" s="24">
        <f t="shared" si="4"/>
        <v>0</v>
      </c>
      <c r="H332" s="26">
        <f t="shared" si="5"/>
        <v>0</v>
      </c>
      <c r="I332" s="24">
        <f t="shared" si="6"/>
        <v>0</v>
      </c>
      <c r="J332" s="24">
        <f t="shared" si="7"/>
        <v>0</v>
      </c>
      <c r="K332" s="24"/>
      <c r="L332" s="24">
        <f t="shared" si="8"/>
        <v>447.7367035</v>
      </c>
      <c r="M332" s="14">
        <f t="shared" si="9"/>
        <v>425.8281234</v>
      </c>
      <c r="N332" s="27">
        <f t="shared" si="10"/>
        <v>21.90858004</v>
      </c>
      <c r="O332" s="24"/>
      <c r="P332" s="24"/>
      <c r="Q332" s="24"/>
      <c r="R332" s="26"/>
      <c r="S332" s="14">
        <f t="shared" si="13"/>
        <v>20.11856432</v>
      </c>
      <c r="U332" s="21"/>
      <c r="V332" s="21"/>
    </row>
    <row r="333">
      <c r="A333" s="11">
        <v>321.0</v>
      </c>
      <c r="B333" s="11">
        <v>1.42079130434782E9</v>
      </c>
      <c r="C333" s="2">
        <v>-102.3824692</v>
      </c>
      <c r="D333" s="24">
        <f t="shared" si="1"/>
        <v>391304.3478</v>
      </c>
      <c r="E333" s="25">
        <f t="shared" si="2"/>
        <v>-83.56494802</v>
      </c>
      <c r="F333" s="24">
        <f t="shared" si="3"/>
        <v>0.0002135548672</v>
      </c>
      <c r="G333" s="24">
        <f t="shared" si="4"/>
        <v>0</v>
      </c>
      <c r="H333" s="26">
        <f t="shared" si="5"/>
        <v>0</v>
      </c>
      <c r="I333" s="24">
        <f t="shared" si="6"/>
        <v>0</v>
      </c>
      <c r="J333" s="24">
        <f t="shared" si="7"/>
        <v>0</v>
      </c>
      <c r="K333" s="24"/>
      <c r="L333" s="24">
        <f t="shared" si="8"/>
        <v>439.3991853</v>
      </c>
      <c r="M333" s="14">
        <f t="shared" si="9"/>
        <v>425.7339927</v>
      </c>
      <c r="N333" s="27">
        <f t="shared" si="10"/>
        <v>13.66519268</v>
      </c>
      <c r="O333" s="24"/>
      <c r="P333" s="24"/>
      <c r="Q333" s="24"/>
      <c r="R333" s="26"/>
      <c r="S333" s="14">
        <f t="shared" si="13"/>
        <v>12.54869359</v>
      </c>
      <c r="U333" s="21"/>
      <c r="V333" s="21"/>
    </row>
    <row r="334">
      <c r="A334" s="11">
        <v>322.0</v>
      </c>
      <c r="B334" s="11">
        <v>1.42079565217391E9</v>
      </c>
      <c r="C334" s="2">
        <v>-102.3378525</v>
      </c>
      <c r="D334" s="24">
        <f t="shared" si="1"/>
        <v>395652.1739</v>
      </c>
      <c r="E334" s="25">
        <f t="shared" si="2"/>
        <v>-84.48324416</v>
      </c>
      <c r="F334" s="24">
        <f t="shared" si="3"/>
        <v>0.0002135290786</v>
      </c>
      <c r="G334" s="24">
        <f t="shared" si="4"/>
        <v>0</v>
      </c>
      <c r="H334" s="26">
        <f t="shared" si="5"/>
        <v>0</v>
      </c>
      <c r="I334" s="24">
        <f t="shared" si="6"/>
        <v>0</v>
      </c>
      <c r="J334" s="24">
        <f t="shared" si="7"/>
        <v>0</v>
      </c>
      <c r="K334" s="24"/>
      <c r="L334" s="24">
        <f t="shared" si="8"/>
        <v>443.9365651</v>
      </c>
      <c r="M334" s="14">
        <f t="shared" si="9"/>
        <v>425.6396625</v>
      </c>
      <c r="N334" s="27">
        <f t="shared" si="10"/>
        <v>18.29690257</v>
      </c>
      <c r="O334" s="24"/>
      <c r="P334" s="24"/>
      <c r="Q334" s="24"/>
      <c r="R334" s="26"/>
      <c r="S334" s="14">
        <f t="shared" si="13"/>
        <v>16.80197483</v>
      </c>
      <c r="U334" s="21"/>
      <c r="V334" s="21"/>
    </row>
    <row r="335">
      <c r="A335" s="11">
        <v>323.0</v>
      </c>
      <c r="B335" s="11">
        <v>1.4208E9</v>
      </c>
      <c r="C335" s="2">
        <v>-102.4015121</v>
      </c>
      <c r="D335" s="24">
        <f t="shared" si="1"/>
        <v>400000</v>
      </c>
      <c r="E335" s="25">
        <f t="shared" si="2"/>
        <v>-85.40154029</v>
      </c>
      <c r="F335" s="24">
        <f t="shared" si="3"/>
        <v>0.0002135038507</v>
      </c>
      <c r="G335" s="24">
        <f t="shared" si="4"/>
        <v>0</v>
      </c>
      <c r="H335" s="26">
        <f t="shared" si="5"/>
        <v>0</v>
      </c>
      <c r="I335" s="24">
        <f t="shared" si="6"/>
        <v>0</v>
      </c>
      <c r="J335" s="24">
        <f t="shared" si="7"/>
        <v>0</v>
      </c>
      <c r="K335" s="24"/>
      <c r="L335" s="24">
        <f t="shared" si="8"/>
        <v>437.4767301</v>
      </c>
      <c r="M335" s="14">
        <f t="shared" si="9"/>
        <v>425.5451321</v>
      </c>
      <c r="N335" s="27">
        <f t="shared" si="10"/>
        <v>11.931598</v>
      </c>
      <c r="O335" s="24"/>
      <c r="P335" s="24"/>
      <c r="Q335" s="24"/>
      <c r="R335" s="26"/>
      <c r="S335" s="14">
        <f t="shared" si="13"/>
        <v>10.9567403</v>
      </c>
      <c r="U335" s="21"/>
      <c r="V335" s="21"/>
    </row>
    <row r="336">
      <c r="A336" s="11">
        <v>324.0</v>
      </c>
      <c r="B336" s="11">
        <v>1.42080434782608E9</v>
      </c>
      <c r="C336" s="2">
        <v>-102.3914871</v>
      </c>
      <c r="D336" s="24">
        <f t="shared" si="1"/>
        <v>404347.8261</v>
      </c>
      <c r="E336" s="25">
        <f t="shared" si="2"/>
        <v>-86.31983642</v>
      </c>
      <c r="F336" s="24">
        <f t="shared" si="3"/>
        <v>0.0002134791653</v>
      </c>
      <c r="G336" s="24">
        <f t="shared" si="4"/>
        <v>0</v>
      </c>
      <c r="H336" s="26">
        <f t="shared" si="5"/>
        <v>0</v>
      </c>
      <c r="I336" s="24">
        <f t="shared" si="6"/>
        <v>0</v>
      </c>
      <c r="J336" s="24">
        <f t="shared" si="7"/>
        <v>0</v>
      </c>
      <c r="K336" s="24"/>
      <c r="L336" s="24">
        <f t="shared" si="8"/>
        <v>438.4877423</v>
      </c>
      <c r="M336" s="14">
        <f t="shared" si="9"/>
        <v>425.4504008</v>
      </c>
      <c r="N336" s="27">
        <f t="shared" si="10"/>
        <v>13.03734145</v>
      </c>
      <c r="O336" s="24"/>
      <c r="P336" s="24"/>
      <c r="Q336" s="24"/>
      <c r="R336" s="26"/>
      <c r="S336" s="14">
        <f t="shared" si="13"/>
        <v>11.97214024</v>
      </c>
      <c r="U336" s="21"/>
      <c r="V336" s="21"/>
    </row>
    <row r="337">
      <c r="A337" s="11">
        <v>325.0</v>
      </c>
      <c r="B337" s="11">
        <v>1.42080869565217E9</v>
      </c>
      <c r="C337" s="2">
        <v>-102.4079437</v>
      </c>
      <c r="D337" s="24">
        <f t="shared" si="1"/>
        <v>408695.6522</v>
      </c>
      <c r="E337" s="25">
        <f t="shared" si="2"/>
        <v>-87.23813255</v>
      </c>
      <c r="F337" s="24">
        <f t="shared" si="3"/>
        <v>0.0002134550052</v>
      </c>
      <c r="G337" s="24">
        <f t="shared" si="4"/>
        <v>0</v>
      </c>
      <c r="H337" s="26">
        <f t="shared" si="5"/>
        <v>0</v>
      </c>
      <c r="I337" s="24">
        <f t="shared" si="6"/>
        <v>0</v>
      </c>
      <c r="J337" s="24">
        <f t="shared" si="7"/>
        <v>0</v>
      </c>
      <c r="K337" s="24"/>
      <c r="L337" s="24">
        <f t="shared" si="8"/>
        <v>436.8293369</v>
      </c>
      <c r="M337" s="14">
        <f t="shared" si="9"/>
        <v>425.3554678</v>
      </c>
      <c r="N337" s="27">
        <f t="shared" si="10"/>
        <v>11.47386916</v>
      </c>
      <c r="O337" s="24"/>
      <c r="P337" s="24"/>
      <c r="Q337" s="24"/>
      <c r="R337" s="26"/>
      <c r="S337" s="14">
        <f t="shared" si="13"/>
        <v>10.53640966</v>
      </c>
      <c r="U337" s="21"/>
      <c r="V337" s="21"/>
    </row>
    <row r="338">
      <c r="A338" s="11">
        <v>326.0</v>
      </c>
      <c r="B338" s="11">
        <v>1.42081304347826E9</v>
      </c>
      <c r="C338" s="2">
        <v>-102.394249</v>
      </c>
      <c r="D338" s="24">
        <f t="shared" si="1"/>
        <v>413043.4783</v>
      </c>
      <c r="E338" s="25">
        <f t="shared" si="2"/>
        <v>-88.15642868</v>
      </c>
      <c r="F338" s="24">
        <f t="shared" si="3"/>
        <v>0.0002134313537</v>
      </c>
      <c r="G338" s="24">
        <f t="shared" si="4"/>
        <v>0</v>
      </c>
      <c r="H338" s="26">
        <f t="shared" si="5"/>
        <v>0</v>
      </c>
      <c r="I338" s="24">
        <f t="shared" si="6"/>
        <v>0</v>
      </c>
      <c r="J338" s="24">
        <f t="shared" si="7"/>
        <v>0</v>
      </c>
      <c r="K338" s="24"/>
      <c r="L338" s="24">
        <f t="shared" si="8"/>
        <v>438.2089742</v>
      </c>
      <c r="M338" s="14">
        <f t="shared" si="9"/>
        <v>425.2603322</v>
      </c>
      <c r="N338" s="27">
        <f t="shared" si="10"/>
        <v>12.94864205</v>
      </c>
      <c r="O338" s="24"/>
      <c r="P338" s="24"/>
      <c r="Q338" s="24"/>
      <c r="R338" s="26"/>
      <c r="S338" s="14">
        <f t="shared" si="13"/>
        <v>11.89068792</v>
      </c>
      <c r="U338" s="21"/>
      <c r="V338" s="21"/>
    </row>
    <row r="339">
      <c r="A339" s="11">
        <v>327.0</v>
      </c>
      <c r="B339" s="11">
        <v>1.42081739130434E9</v>
      </c>
      <c r="C339" s="2">
        <v>-102.5010147</v>
      </c>
      <c r="D339" s="24">
        <f t="shared" si="1"/>
        <v>417391.3043</v>
      </c>
      <c r="E339" s="25">
        <f t="shared" si="2"/>
        <v>-89.07472482</v>
      </c>
      <c r="F339" s="24">
        <f t="shared" si="3"/>
        <v>0.0002134081949</v>
      </c>
      <c r="G339" s="24">
        <f t="shared" si="4"/>
        <v>0</v>
      </c>
      <c r="H339" s="26">
        <f t="shared" si="5"/>
        <v>0</v>
      </c>
      <c r="I339" s="24">
        <f t="shared" si="6"/>
        <v>0</v>
      </c>
      <c r="J339" s="24">
        <f t="shared" si="7"/>
        <v>0</v>
      </c>
      <c r="K339" s="24"/>
      <c r="L339" s="24">
        <f t="shared" si="8"/>
        <v>427.5675107</v>
      </c>
      <c r="M339" s="14">
        <f t="shared" si="9"/>
        <v>425.1649933</v>
      </c>
      <c r="N339" s="27">
        <f t="shared" si="10"/>
        <v>2.402517491</v>
      </c>
      <c r="O339" s="24"/>
      <c r="P339" s="24"/>
      <c r="Q339" s="24"/>
      <c r="R339" s="26"/>
      <c r="S339" s="14">
        <f t="shared" si="13"/>
        <v>2.206222521</v>
      </c>
      <c r="U339" s="21"/>
      <c r="V339" s="21"/>
    </row>
    <row r="340">
      <c r="A340" s="11">
        <v>328.0</v>
      </c>
      <c r="B340" s="11">
        <v>1.42082173913043E9</v>
      </c>
      <c r="C340" s="2">
        <v>-102.4322205</v>
      </c>
      <c r="D340" s="24">
        <f t="shared" si="1"/>
        <v>421739.1304</v>
      </c>
      <c r="E340" s="25">
        <f t="shared" si="2"/>
        <v>-89.99302095</v>
      </c>
      <c r="F340" s="24">
        <f t="shared" si="3"/>
        <v>0.0002133855136</v>
      </c>
      <c r="G340" s="24">
        <f t="shared" si="4"/>
        <v>0</v>
      </c>
      <c r="H340" s="26">
        <f t="shared" si="5"/>
        <v>0</v>
      </c>
      <c r="I340" s="24">
        <f t="shared" si="6"/>
        <v>0</v>
      </c>
      <c r="J340" s="24">
        <f t="shared" si="7"/>
        <v>0</v>
      </c>
      <c r="K340" s="24"/>
      <c r="L340" s="24">
        <f t="shared" si="8"/>
        <v>434.3942995</v>
      </c>
      <c r="M340" s="14">
        <f t="shared" si="9"/>
        <v>425.0694502</v>
      </c>
      <c r="N340" s="27">
        <f t="shared" si="10"/>
        <v>9.324849234</v>
      </c>
      <c r="O340" s="24"/>
      <c r="P340" s="24"/>
      <c r="Q340" s="24"/>
      <c r="R340" s="26"/>
      <c r="S340" s="14">
        <f t="shared" si="13"/>
        <v>8.56297297</v>
      </c>
      <c r="U340" s="21"/>
      <c r="V340" s="21"/>
    </row>
    <row r="341">
      <c r="A341" s="11">
        <v>329.0</v>
      </c>
      <c r="B341" s="11">
        <v>1.42082608695652E9</v>
      </c>
      <c r="C341" s="2">
        <v>-102.4373627</v>
      </c>
      <c r="D341" s="24">
        <f t="shared" si="1"/>
        <v>426086.9565</v>
      </c>
      <c r="E341" s="25">
        <f t="shared" si="2"/>
        <v>-90.91131708</v>
      </c>
      <c r="F341" s="24">
        <f t="shared" si="3"/>
        <v>0.0002133632952</v>
      </c>
      <c r="G341" s="24">
        <f t="shared" si="4"/>
        <v>0</v>
      </c>
      <c r="H341" s="26">
        <f t="shared" si="5"/>
        <v>0</v>
      </c>
      <c r="I341" s="24">
        <f t="shared" si="6"/>
        <v>0</v>
      </c>
      <c r="J341" s="24">
        <f t="shared" si="7"/>
        <v>0</v>
      </c>
      <c r="K341" s="24"/>
      <c r="L341" s="24">
        <f t="shared" si="8"/>
        <v>433.8802656</v>
      </c>
      <c r="M341" s="14">
        <f t="shared" si="9"/>
        <v>424.9737023</v>
      </c>
      <c r="N341" s="27">
        <f t="shared" si="10"/>
        <v>8.906563363</v>
      </c>
      <c r="O341" s="24"/>
      <c r="P341" s="24"/>
      <c r="Q341" s="24"/>
      <c r="R341" s="26"/>
      <c r="S341" s="14">
        <f t="shared" si="13"/>
        <v>8.178862693</v>
      </c>
      <c r="U341" s="21"/>
      <c r="V341" s="21"/>
    </row>
    <row r="342">
      <c r="A342" s="11">
        <v>330.0</v>
      </c>
      <c r="B342" s="11">
        <v>1.4208304347826E9</v>
      </c>
      <c r="C342" s="2">
        <v>-102.4963074</v>
      </c>
      <c r="D342" s="24">
        <f t="shared" si="1"/>
        <v>430434.7826</v>
      </c>
      <c r="E342" s="25">
        <f t="shared" si="2"/>
        <v>-91.82961321</v>
      </c>
      <c r="F342" s="24">
        <f t="shared" si="3"/>
        <v>0.0002133415256</v>
      </c>
      <c r="G342" s="24">
        <f t="shared" si="4"/>
        <v>0</v>
      </c>
      <c r="H342" s="26">
        <f t="shared" si="5"/>
        <v>0</v>
      </c>
      <c r="I342" s="24">
        <f t="shared" si="6"/>
        <v>0</v>
      </c>
      <c r="J342" s="24">
        <f t="shared" si="7"/>
        <v>0</v>
      </c>
      <c r="K342" s="24"/>
      <c r="L342" s="24">
        <f t="shared" si="8"/>
        <v>428.0312007</v>
      </c>
      <c r="M342" s="14">
        <f t="shared" si="9"/>
        <v>424.8777486</v>
      </c>
      <c r="N342" s="27">
        <f t="shared" si="10"/>
        <v>3.153452011</v>
      </c>
      <c r="O342" s="24"/>
      <c r="P342" s="24"/>
      <c r="Q342" s="24"/>
      <c r="R342" s="26"/>
      <c r="S342" s="14">
        <f t="shared" si="13"/>
        <v>2.895802787</v>
      </c>
      <c r="U342" s="21"/>
      <c r="V342" s="21"/>
    </row>
    <row r="343">
      <c r="A343" s="11">
        <v>331.0</v>
      </c>
      <c r="B343" s="11">
        <v>1.42083478260869E9</v>
      </c>
      <c r="C343" s="2">
        <v>-102.4504623</v>
      </c>
      <c r="D343" s="24">
        <f t="shared" si="1"/>
        <v>434782.6087</v>
      </c>
      <c r="E343" s="25">
        <f t="shared" si="2"/>
        <v>-92.74790935</v>
      </c>
      <c r="F343" s="24">
        <f t="shared" si="3"/>
        <v>0.0002133201915</v>
      </c>
      <c r="G343" s="24">
        <f t="shared" si="4"/>
        <v>0</v>
      </c>
      <c r="H343" s="26">
        <f t="shared" si="5"/>
        <v>0</v>
      </c>
      <c r="I343" s="24">
        <f t="shared" si="6"/>
        <v>0</v>
      </c>
      <c r="J343" s="24">
        <f t="shared" si="7"/>
        <v>0</v>
      </c>
      <c r="K343" s="24"/>
      <c r="L343" s="24">
        <f t="shared" si="8"/>
        <v>432.5735268</v>
      </c>
      <c r="M343" s="14">
        <f t="shared" si="9"/>
        <v>424.7815885</v>
      </c>
      <c r="N343" s="27">
        <f t="shared" si="10"/>
        <v>7.79193824</v>
      </c>
      <c r="O343" s="24"/>
      <c r="P343" s="24"/>
      <c r="Q343" s="24"/>
      <c r="R343" s="26"/>
      <c r="S343" s="14">
        <f t="shared" si="13"/>
        <v>7.155306753</v>
      </c>
      <c r="U343" s="21"/>
      <c r="V343" s="21"/>
    </row>
    <row r="344">
      <c r="A344" s="11">
        <v>332.0</v>
      </c>
      <c r="B344" s="11">
        <v>1.42083913043478E9</v>
      </c>
      <c r="C344" s="2">
        <v>-102.5014038</v>
      </c>
      <c r="D344" s="24">
        <f t="shared" si="1"/>
        <v>439130.4348</v>
      </c>
      <c r="E344" s="25">
        <f t="shared" si="2"/>
        <v>-93.66620548</v>
      </c>
      <c r="F344" s="24">
        <f t="shared" si="3"/>
        <v>0.0002132992798</v>
      </c>
      <c r="G344" s="24">
        <f t="shared" si="4"/>
        <v>0</v>
      </c>
      <c r="H344" s="26">
        <f t="shared" si="5"/>
        <v>0</v>
      </c>
      <c r="I344" s="24">
        <f t="shared" si="6"/>
        <v>0</v>
      </c>
      <c r="J344" s="24">
        <f t="shared" si="7"/>
        <v>0</v>
      </c>
      <c r="K344" s="24"/>
      <c r="L344" s="24">
        <f t="shared" si="8"/>
        <v>427.5292052</v>
      </c>
      <c r="M344" s="14">
        <f t="shared" si="9"/>
        <v>424.6852212</v>
      </c>
      <c r="N344" s="27">
        <f t="shared" si="10"/>
        <v>2.843983981</v>
      </c>
      <c r="O344" s="24"/>
      <c r="P344" s="24"/>
      <c r="Q344" s="24"/>
      <c r="R344" s="26"/>
      <c r="S344" s="14">
        <f t="shared" si="13"/>
        <v>2.611619485</v>
      </c>
      <c r="U344" s="21"/>
      <c r="V344" s="21"/>
    </row>
    <row r="345">
      <c r="A345" s="11">
        <v>333.0</v>
      </c>
      <c r="B345" s="11">
        <v>1.42084347826087E9</v>
      </c>
      <c r="C345" s="2">
        <v>-102.4806366</v>
      </c>
      <c r="D345" s="24">
        <f t="shared" si="1"/>
        <v>443478.2609</v>
      </c>
      <c r="E345" s="25">
        <f t="shared" si="2"/>
        <v>-94.58450161</v>
      </c>
      <c r="F345" s="24">
        <f t="shared" si="3"/>
        <v>0.0002132787781</v>
      </c>
      <c r="G345" s="24">
        <f t="shared" si="4"/>
        <v>0</v>
      </c>
      <c r="H345" s="26">
        <f t="shared" si="5"/>
        <v>0</v>
      </c>
      <c r="I345" s="24">
        <f t="shared" si="6"/>
        <v>0</v>
      </c>
      <c r="J345" s="24">
        <f t="shared" si="7"/>
        <v>0</v>
      </c>
      <c r="K345" s="24"/>
      <c r="L345" s="24">
        <f t="shared" si="8"/>
        <v>429.5784705</v>
      </c>
      <c r="M345" s="14">
        <f t="shared" si="9"/>
        <v>424.5886458</v>
      </c>
      <c r="N345" s="27">
        <f t="shared" si="10"/>
        <v>4.989824744</v>
      </c>
      <c r="O345" s="24"/>
      <c r="P345" s="24"/>
      <c r="Q345" s="24"/>
      <c r="R345" s="26"/>
      <c r="S345" s="14">
        <f t="shared" si="13"/>
        <v>4.582136766</v>
      </c>
      <c r="U345" s="21"/>
      <c r="V345" s="21"/>
    </row>
    <row r="346">
      <c r="A346" s="11">
        <v>334.0</v>
      </c>
      <c r="B346" s="11">
        <v>1.42084782608695E9</v>
      </c>
      <c r="C346" s="2">
        <v>-102.4949188</v>
      </c>
      <c r="D346" s="24">
        <f t="shared" si="1"/>
        <v>447826.087</v>
      </c>
      <c r="E346" s="25">
        <f t="shared" si="2"/>
        <v>-95.50279774</v>
      </c>
      <c r="F346" s="24">
        <f t="shared" si="3"/>
        <v>0.0002132586746</v>
      </c>
      <c r="G346" s="24">
        <f t="shared" si="4"/>
        <v>0</v>
      </c>
      <c r="H346" s="26">
        <f t="shared" si="5"/>
        <v>0</v>
      </c>
      <c r="I346" s="24">
        <f t="shared" si="6"/>
        <v>0</v>
      </c>
      <c r="J346" s="24">
        <f t="shared" si="7"/>
        <v>0</v>
      </c>
      <c r="K346" s="24"/>
      <c r="L346" s="24">
        <f t="shared" si="8"/>
        <v>428.1680799</v>
      </c>
      <c r="M346" s="14">
        <f t="shared" si="9"/>
        <v>424.4918615</v>
      </c>
      <c r="N346" s="27">
        <f t="shared" si="10"/>
        <v>3.676218445</v>
      </c>
      <c r="O346" s="24"/>
      <c r="P346" s="24"/>
      <c r="Q346" s="24"/>
      <c r="R346" s="26"/>
      <c r="S346" s="14">
        <f t="shared" si="13"/>
        <v>3.375857182</v>
      </c>
      <c r="U346" s="21"/>
      <c r="V346" s="21"/>
    </row>
    <row r="347">
      <c r="A347" s="11">
        <v>335.0</v>
      </c>
      <c r="B347" s="11">
        <v>1.42085217391304E9</v>
      </c>
      <c r="C347" s="2">
        <v>-102.5181732</v>
      </c>
      <c r="D347" s="24">
        <f t="shared" si="1"/>
        <v>452173.913</v>
      </c>
      <c r="E347" s="25">
        <f t="shared" si="2"/>
        <v>-96.42109387</v>
      </c>
      <c r="F347" s="24">
        <f t="shared" si="3"/>
        <v>0.0002132389576</v>
      </c>
      <c r="G347" s="24">
        <f t="shared" si="4"/>
        <v>0</v>
      </c>
      <c r="H347" s="26">
        <f t="shared" si="5"/>
        <v>0</v>
      </c>
      <c r="I347" s="24">
        <f t="shared" si="6"/>
        <v>0</v>
      </c>
      <c r="J347" s="24">
        <f t="shared" si="7"/>
        <v>0</v>
      </c>
      <c r="K347" s="24"/>
      <c r="L347" s="24">
        <f t="shared" si="8"/>
        <v>425.8815709</v>
      </c>
      <c r="M347" s="14">
        <f t="shared" si="9"/>
        <v>424.3948676</v>
      </c>
      <c r="N347" s="27">
        <f t="shared" si="10"/>
        <v>1.486703341</v>
      </c>
      <c r="O347" s="24"/>
      <c r="P347" s="24"/>
      <c r="Q347" s="24"/>
      <c r="R347" s="26"/>
      <c r="S347" s="14">
        <f t="shared" si="13"/>
        <v>1.365233926</v>
      </c>
      <c r="U347" s="21"/>
      <c r="V347" s="21"/>
    </row>
    <row r="348">
      <c r="A348" s="11">
        <v>336.0</v>
      </c>
      <c r="B348" s="11">
        <v>1.42085652173913E9</v>
      </c>
      <c r="C348" s="2">
        <v>-102.4690704</v>
      </c>
      <c r="D348" s="24">
        <f t="shared" si="1"/>
        <v>456521.7391</v>
      </c>
      <c r="E348" s="25">
        <f t="shared" si="2"/>
        <v>-97.33939</v>
      </c>
      <c r="F348" s="24">
        <f t="shared" si="3"/>
        <v>0.0002132196162</v>
      </c>
      <c r="G348" s="24">
        <f t="shared" si="4"/>
        <v>0</v>
      </c>
      <c r="H348" s="26">
        <f t="shared" si="5"/>
        <v>0</v>
      </c>
      <c r="I348" s="24">
        <f t="shared" si="6"/>
        <v>0</v>
      </c>
      <c r="J348" s="24">
        <f t="shared" si="7"/>
        <v>0</v>
      </c>
      <c r="K348" s="24"/>
      <c r="L348" s="24">
        <f t="shared" si="8"/>
        <v>430.7240555</v>
      </c>
      <c r="M348" s="14">
        <f t="shared" si="9"/>
        <v>424.2976633</v>
      </c>
      <c r="N348" s="27">
        <f t="shared" si="10"/>
        <v>6.426392228</v>
      </c>
      <c r="O348" s="24"/>
      <c r="P348" s="24"/>
      <c r="Q348" s="24"/>
      <c r="R348" s="26"/>
      <c r="S348" s="14">
        <f t="shared" si="13"/>
        <v>5.901331131</v>
      </c>
      <c r="U348" s="21"/>
      <c r="V348" s="21"/>
    </row>
    <row r="349">
      <c r="A349" s="11">
        <v>337.0</v>
      </c>
      <c r="B349" s="11">
        <v>1.42086086956521E9</v>
      </c>
      <c r="C349" s="2">
        <v>-102.5406799</v>
      </c>
      <c r="D349" s="24">
        <f t="shared" si="1"/>
        <v>460869.5652</v>
      </c>
      <c r="E349" s="25">
        <f t="shared" si="2"/>
        <v>-98.25768614</v>
      </c>
      <c r="F349" s="24">
        <f t="shared" si="3"/>
        <v>0.0002132006397</v>
      </c>
      <c r="G349" s="24">
        <f t="shared" si="4"/>
        <v>0</v>
      </c>
      <c r="H349" s="26">
        <f t="shared" si="5"/>
        <v>0</v>
      </c>
      <c r="I349" s="24">
        <f t="shared" si="6"/>
        <v>0</v>
      </c>
      <c r="J349" s="24">
        <f t="shared" si="7"/>
        <v>0</v>
      </c>
      <c r="K349" s="24"/>
      <c r="L349" s="24">
        <f t="shared" si="8"/>
        <v>423.6802087</v>
      </c>
      <c r="M349" s="14">
        <f t="shared" si="9"/>
        <v>424.2002478</v>
      </c>
      <c r="N349" s="27">
        <f t="shared" si="10"/>
        <v>-0.5200390767</v>
      </c>
      <c r="O349" s="24"/>
      <c r="P349" s="24"/>
      <c r="Q349" s="24"/>
      <c r="R349" s="26"/>
      <c r="S349" s="14">
        <f t="shared" si="13"/>
        <v>-0.477549873</v>
      </c>
      <c r="U349" s="21"/>
      <c r="V349" s="21"/>
    </row>
    <row r="350">
      <c r="A350" s="11">
        <v>338.0</v>
      </c>
      <c r="B350" s="11">
        <v>1.4208652173913E9</v>
      </c>
      <c r="C350" s="2">
        <v>-102.5039978</v>
      </c>
      <c r="D350" s="24">
        <f t="shared" si="1"/>
        <v>465217.3913</v>
      </c>
      <c r="E350" s="25">
        <f t="shared" si="2"/>
        <v>-99.17598227</v>
      </c>
      <c r="F350" s="24">
        <f t="shared" si="3"/>
        <v>0.000213182018</v>
      </c>
      <c r="G350" s="24">
        <f t="shared" si="4"/>
        <v>0</v>
      </c>
      <c r="H350" s="26">
        <f t="shared" si="5"/>
        <v>0</v>
      </c>
      <c r="I350" s="24">
        <f t="shared" si="6"/>
        <v>0</v>
      </c>
      <c r="J350" s="24">
        <f t="shared" si="7"/>
        <v>0</v>
      </c>
      <c r="K350" s="24"/>
      <c r="L350" s="24">
        <f t="shared" si="8"/>
        <v>427.2739222</v>
      </c>
      <c r="M350" s="14">
        <f t="shared" si="9"/>
        <v>424.1026203</v>
      </c>
      <c r="N350" s="27">
        <f t="shared" si="10"/>
        <v>3.171301927</v>
      </c>
      <c r="O350" s="24"/>
      <c r="P350" s="24"/>
      <c r="Q350" s="24"/>
      <c r="R350" s="26"/>
      <c r="S350" s="14">
        <f t="shared" si="13"/>
        <v>2.912194289</v>
      </c>
      <c r="U350" s="21"/>
      <c r="V350" s="21"/>
    </row>
    <row r="351">
      <c r="A351" s="11">
        <v>339.0</v>
      </c>
      <c r="B351" s="11">
        <v>1.42086956521739E9</v>
      </c>
      <c r="C351" s="2">
        <v>-102.4816971</v>
      </c>
      <c r="D351" s="24">
        <f t="shared" si="1"/>
        <v>469565.2174</v>
      </c>
      <c r="E351" s="25">
        <f t="shared" si="2"/>
        <v>-100.0942784</v>
      </c>
      <c r="F351" s="24">
        <f t="shared" si="3"/>
        <v>0.000213163741</v>
      </c>
      <c r="G351" s="24">
        <f t="shared" si="4"/>
        <v>0</v>
      </c>
      <c r="H351" s="26">
        <f t="shared" si="5"/>
        <v>0</v>
      </c>
      <c r="I351" s="24">
        <f t="shared" si="6"/>
        <v>0</v>
      </c>
      <c r="J351" s="24">
        <f t="shared" si="7"/>
        <v>0</v>
      </c>
      <c r="K351" s="24"/>
      <c r="L351" s="24">
        <f t="shared" si="8"/>
        <v>429.4735849</v>
      </c>
      <c r="M351" s="14">
        <f t="shared" si="9"/>
        <v>424.00478</v>
      </c>
      <c r="N351" s="27">
        <f t="shared" si="10"/>
        <v>5.468804861</v>
      </c>
      <c r="O351" s="24"/>
      <c r="P351" s="24"/>
      <c r="Q351" s="24"/>
      <c r="R351" s="26"/>
      <c r="S351" s="14">
        <f t="shared" si="13"/>
        <v>5.021982355</v>
      </c>
      <c r="U351" s="21"/>
      <c r="V351" s="21"/>
    </row>
    <row r="352">
      <c r="A352" s="11">
        <v>340.0</v>
      </c>
      <c r="B352" s="11">
        <v>1.42087391304347E9</v>
      </c>
      <c r="C352" s="2">
        <v>-102.47966</v>
      </c>
      <c r="D352" s="24">
        <f t="shared" si="1"/>
        <v>473913.0435</v>
      </c>
      <c r="E352" s="25">
        <f t="shared" si="2"/>
        <v>-101.0125745</v>
      </c>
      <c r="F352" s="24">
        <f t="shared" si="3"/>
        <v>0.0002131457995</v>
      </c>
      <c r="G352" s="24">
        <f t="shared" si="4"/>
        <v>0</v>
      </c>
      <c r="H352" s="26">
        <f t="shared" si="5"/>
        <v>0</v>
      </c>
      <c r="I352" s="24">
        <f t="shared" si="6"/>
        <v>0</v>
      </c>
      <c r="J352" s="24">
        <f t="shared" si="7"/>
        <v>0</v>
      </c>
      <c r="K352" s="24"/>
      <c r="L352" s="24">
        <f t="shared" si="8"/>
        <v>429.6750809</v>
      </c>
      <c r="M352" s="14">
        <f t="shared" si="9"/>
        <v>423.9067262</v>
      </c>
      <c r="N352" s="27">
        <f t="shared" si="10"/>
        <v>5.76835466</v>
      </c>
      <c r="O352" s="24"/>
      <c r="P352" s="24"/>
      <c r="Q352" s="24"/>
      <c r="R352" s="26"/>
      <c r="S352" s="14">
        <f t="shared" si="13"/>
        <v>5.297057777</v>
      </c>
      <c r="U352" s="21"/>
      <c r="V352" s="21"/>
    </row>
    <row r="353">
      <c r="A353" s="11">
        <v>341.0</v>
      </c>
      <c r="B353" s="11">
        <v>1.42087826086956E9</v>
      </c>
      <c r="C353" s="2">
        <v>-102.5340576</v>
      </c>
      <c r="D353" s="24">
        <f t="shared" si="1"/>
        <v>478260.8696</v>
      </c>
      <c r="E353" s="25">
        <f t="shared" si="2"/>
        <v>-101.9308707</v>
      </c>
      <c r="F353" s="24">
        <f t="shared" si="3"/>
        <v>0.0002131281841</v>
      </c>
      <c r="G353" s="24">
        <f t="shared" si="4"/>
        <v>0</v>
      </c>
      <c r="H353" s="26">
        <f t="shared" si="5"/>
        <v>0</v>
      </c>
      <c r="I353" s="24">
        <f t="shared" si="6"/>
        <v>0</v>
      </c>
      <c r="J353" s="24">
        <f t="shared" si="7"/>
        <v>0</v>
      </c>
      <c r="K353" s="24"/>
      <c r="L353" s="24">
        <f t="shared" si="8"/>
        <v>424.3267465</v>
      </c>
      <c r="M353" s="14">
        <f t="shared" si="9"/>
        <v>423.808458</v>
      </c>
      <c r="N353" s="27">
        <f t="shared" si="10"/>
        <v>0.5182884332</v>
      </c>
      <c r="O353" s="24"/>
      <c r="P353" s="24"/>
      <c r="Q353" s="24"/>
      <c r="R353" s="26"/>
      <c r="S353" s="14">
        <f t="shared" si="13"/>
        <v>0.4759422628</v>
      </c>
      <c r="U353" s="21"/>
      <c r="V353" s="21"/>
    </row>
    <row r="354">
      <c r="A354" s="11">
        <v>342.0</v>
      </c>
      <c r="B354" s="11">
        <v>1.42088260869565E9</v>
      </c>
      <c r="C354" s="2">
        <v>-102.5331573</v>
      </c>
      <c r="D354" s="24">
        <f t="shared" si="1"/>
        <v>482608.6957</v>
      </c>
      <c r="E354" s="25">
        <f t="shared" si="2"/>
        <v>-102.8491668</v>
      </c>
      <c r="F354" s="24">
        <f t="shared" si="3"/>
        <v>0.0002131108862</v>
      </c>
      <c r="G354" s="24">
        <f t="shared" si="4"/>
        <v>0</v>
      </c>
      <c r="H354" s="26">
        <f t="shared" si="5"/>
        <v>0</v>
      </c>
      <c r="I354" s="24">
        <f t="shared" si="6"/>
        <v>0</v>
      </c>
      <c r="J354" s="24">
        <f t="shared" si="7"/>
        <v>0</v>
      </c>
      <c r="K354" s="24"/>
      <c r="L354" s="24">
        <f t="shared" si="8"/>
        <v>424.4147192</v>
      </c>
      <c r="M354" s="14">
        <f t="shared" si="9"/>
        <v>423.7099747</v>
      </c>
      <c r="N354" s="27">
        <f t="shared" si="10"/>
        <v>0.704744547</v>
      </c>
      <c r="O354" s="24"/>
      <c r="P354" s="24"/>
      <c r="Q354" s="24"/>
      <c r="R354" s="26"/>
      <c r="S354" s="14">
        <f t="shared" si="13"/>
        <v>0.6471641922</v>
      </c>
      <c r="U354" s="21"/>
      <c r="V354" s="21"/>
    </row>
    <row r="355">
      <c r="A355" s="11">
        <v>343.0</v>
      </c>
      <c r="B355" s="11">
        <v>1.42088695652173E9</v>
      </c>
      <c r="C355" s="2">
        <v>-102.5032501</v>
      </c>
      <c r="D355" s="24">
        <f t="shared" si="1"/>
        <v>486956.5217</v>
      </c>
      <c r="E355" s="25">
        <f t="shared" si="2"/>
        <v>-103.7674629</v>
      </c>
      <c r="F355" s="24">
        <f t="shared" si="3"/>
        <v>0.0002130938971</v>
      </c>
      <c r="G355" s="24">
        <f t="shared" si="4"/>
        <v>0</v>
      </c>
      <c r="H355" s="26">
        <f t="shared" si="5"/>
        <v>0</v>
      </c>
      <c r="I355" s="24">
        <f t="shared" si="6"/>
        <v>0</v>
      </c>
      <c r="J355" s="24">
        <f t="shared" si="7"/>
        <v>0</v>
      </c>
      <c r="K355" s="24"/>
      <c r="L355" s="24">
        <f t="shared" si="8"/>
        <v>427.3474899</v>
      </c>
      <c r="M355" s="14">
        <f t="shared" si="9"/>
        <v>423.6112754</v>
      </c>
      <c r="N355" s="27">
        <f t="shared" si="10"/>
        <v>3.736214434</v>
      </c>
      <c r="O355" s="24"/>
      <c r="P355" s="24"/>
      <c r="Q355" s="24"/>
      <c r="R355" s="26"/>
      <c r="S355" s="14">
        <f t="shared" si="13"/>
        <v>3.430951266</v>
      </c>
      <c r="U355" s="21"/>
      <c r="V355" s="21"/>
    </row>
    <row r="356">
      <c r="A356" s="11">
        <v>344.0</v>
      </c>
      <c r="B356" s="11">
        <v>1.42089130434782E9</v>
      </c>
      <c r="C356" s="2">
        <v>-102.5018158</v>
      </c>
      <c r="D356" s="24">
        <f t="shared" si="1"/>
        <v>491304.3478</v>
      </c>
      <c r="E356" s="25">
        <f t="shared" si="2"/>
        <v>-104.6857591</v>
      </c>
      <c r="F356" s="24">
        <f t="shared" si="3"/>
        <v>0.0002130772087</v>
      </c>
      <c r="G356" s="24">
        <f t="shared" si="4"/>
        <v>0</v>
      </c>
      <c r="H356" s="26">
        <f t="shared" si="5"/>
        <v>0</v>
      </c>
      <c r="I356" s="24">
        <f t="shared" si="6"/>
        <v>0</v>
      </c>
      <c r="J356" s="24">
        <f t="shared" si="7"/>
        <v>0</v>
      </c>
      <c r="K356" s="24"/>
      <c r="L356" s="24">
        <f t="shared" si="8"/>
        <v>427.4886489</v>
      </c>
      <c r="M356" s="14">
        <f t="shared" si="9"/>
        <v>423.5123595</v>
      </c>
      <c r="N356" s="27">
        <f t="shared" si="10"/>
        <v>3.976289397</v>
      </c>
      <c r="O356" s="24"/>
      <c r="P356" s="24"/>
      <c r="Q356" s="24"/>
      <c r="R356" s="26"/>
      <c r="S356" s="14">
        <f t="shared" si="13"/>
        <v>3.651411176</v>
      </c>
      <c r="U356" s="21"/>
      <c r="V356" s="21"/>
    </row>
    <row r="357">
      <c r="A357" s="11">
        <v>345.0</v>
      </c>
      <c r="B357" s="11">
        <v>1.42089565217391E9</v>
      </c>
      <c r="C357" s="2">
        <v>-102.5310898</v>
      </c>
      <c r="D357" s="24">
        <f t="shared" si="1"/>
        <v>495652.1739</v>
      </c>
      <c r="E357" s="25">
        <f t="shared" si="2"/>
        <v>-105.6040552</v>
      </c>
      <c r="F357" s="24">
        <f t="shared" si="3"/>
        <v>0.0002130608131</v>
      </c>
      <c r="G357" s="24">
        <f t="shared" si="4"/>
        <v>0</v>
      </c>
      <c r="H357" s="26">
        <f t="shared" si="5"/>
        <v>0</v>
      </c>
      <c r="I357" s="24">
        <f t="shared" si="6"/>
        <v>0</v>
      </c>
      <c r="J357" s="24">
        <f t="shared" si="7"/>
        <v>0</v>
      </c>
      <c r="K357" s="24"/>
      <c r="L357" s="24">
        <f t="shared" si="8"/>
        <v>424.616814</v>
      </c>
      <c r="M357" s="14">
        <f t="shared" si="9"/>
        <v>423.413226</v>
      </c>
      <c r="N357" s="27">
        <f t="shared" si="10"/>
        <v>1.20358798</v>
      </c>
      <c r="O357" s="24"/>
      <c r="P357" s="24"/>
      <c r="Q357" s="24"/>
      <c r="R357" s="26"/>
      <c r="S357" s="14">
        <f t="shared" si="13"/>
        <v>1.105250185</v>
      </c>
      <c r="U357" s="21"/>
      <c r="V357" s="21"/>
    </row>
    <row r="358">
      <c r="A358" s="11">
        <v>346.0</v>
      </c>
      <c r="B358" s="11">
        <v>1.4209E9</v>
      </c>
      <c r="C358" s="2">
        <v>-102.5358582</v>
      </c>
      <c r="D358" s="24">
        <f t="shared" si="1"/>
        <v>500000</v>
      </c>
      <c r="E358" s="25">
        <f t="shared" si="2"/>
        <v>-106.5223513</v>
      </c>
      <c r="F358" s="24">
        <f t="shared" si="3"/>
        <v>0.0002130447027</v>
      </c>
      <c r="G358" s="24">
        <f t="shared" si="4"/>
        <v>0</v>
      </c>
      <c r="H358" s="26">
        <f t="shared" si="5"/>
        <v>0</v>
      </c>
      <c r="I358" s="24">
        <f t="shared" si="6"/>
        <v>0</v>
      </c>
      <c r="J358" s="24">
        <f t="shared" si="7"/>
        <v>0</v>
      </c>
      <c r="K358" s="24"/>
      <c r="L358" s="24">
        <f t="shared" si="8"/>
        <v>424.1508556</v>
      </c>
      <c r="M358" s="14">
        <f t="shared" si="9"/>
        <v>423.3138743</v>
      </c>
      <c r="N358" s="27">
        <f t="shared" si="10"/>
        <v>0.8369813245</v>
      </c>
      <c r="O358" s="24"/>
      <c r="P358" s="24"/>
      <c r="Q358" s="24"/>
      <c r="R358" s="26"/>
      <c r="S358" s="14">
        <f t="shared" si="13"/>
        <v>0.7685967135</v>
      </c>
      <c r="U358" s="21"/>
      <c r="V358" s="21"/>
    </row>
    <row r="359">
      <c r="A359" s="11">
        <v>347.0</v>
      </c>
      <c r="B359" s="11">
        <v>1.42090434782608E9</v>
      </c>
      <c r="C359" s="2">
        <v>-102.5357056</v>
      </c>
      <c r="D359" s="24">
        <f t="shared" si="1"/>
        <v>504347.8261</v>
      </c>
      <c r="E359" s="25">
        <f t="shared" si="2"/>
        <v>-107.4406475</v>
      </c>
      <c r="F359" s="24">
        <f t="shared" si="3"/>
        <v>0.00021302887</v>
      </c>
      <c r="G359" s="24">
        <f t="shared" si="4"/>
        <v>0</v>
      </c>
      <c r="H359" s="26">
        <f t="shared" si="5"/>
        <v>0</v>
      </c>
      <c r="I359" s="24">
        <f t="shared" si="6"/>
        <v>0</v>
      </c>
      <c r="J359" s="24">
        <f t="shared" si="7"/>
        <v>0</v>
      </c>
      <c r="K359" s="24"/>
      <c r="L359" s="24">
        <f t="shared" si="8"/>
        <v>424.1657594</v>
      </c>
      <c r="M359" s="14">
        <f t="shared" si="9"/>
        <v>423.2143034</v>
      </c>
      <c r="N359" s="27">
        <f t="shared" si="10"/>
        <v>0.9514560002</v>
      </c>
      <c r="O359" s="24"/>
      <c r="P359" s="24"/>
      <c r="Q359" s="24"/>
      <c r="R359" s="26"/>
      <c r="S359" s="14">
        <f t="shared" si="13"/>
        <v>0.8737183655</v>
      </c>
      <c r="U359" s="21"/>
      <c r="V359" s="21"/>
    </row>
    <row r="360">
      <c r="A360" s="11">
        <v>348.0</v>
      </c>
      <c r="B360" s="11">
        <v>1.42090869565217E9</v>
      </c>
      <c r="C360" s="2">
        <v>-102.5131683</v>
      </c>
      <c r="D360" s="24">
        <f t="shared" si="1"/>
        <v>508695.6522</v>
      </c>
      <c r="E360" s="25">
        <f t="shared" si="2"/>
        <v>-108.3589436</v>
      </c>
      <c r="F360" s="24">
        <f t="shared" si="3"/>
        <v>0.0002130133079</v>
      </c>
      <c r="G360" s="24">
        <f t="shared" si="4"/>
        <v>0</v>
      </c>
      <c r="H360" s="26">
        <f t="shared" si="5"/>
        <v>0</v>
      </c>
      <c r="I360" s="24">
        <f t="shared" si="6"/>
        <v>0</v>
      </c>
      <c r="J360" s="24">
        <f t="shared" si="7"/>
        <v>0</v>
      </c>
      <c r="K360" s="24"/>
      <c r="L360" s="24">
        <f t="shared" si="8"/>
        <v>426.3726486</v>
      </c>
      <c r="M360" s="14">
        <f t="shared" si="9"/>
        <v>423.1145127</v>
      </c>
      <c r="N360" s="27">
        <f t="shared" si="10"/>
        <v>3.258135924</v>
      </c>
      <c r="O360" s="24"/>
      <c r="P360" s="24"/>
      <c r="Q360" s="24"/>
      <c r="R360" s="26"/>
      <c r="S360" s="14">
        <f t="shared" si="13"/>
        <v>2.991933612</v>
      </c>
      <c r="U360" s="21"/>
      <c r="V360" s="21"/>
    </row>
    <row r="361">
      <c r="A361" s="11">
        <v>349.0</v>
      </c>
      <c r="B361" s="11">
        <v>1.42091304347826E9</v>
      </c>
      <c r="C361" s="2">
        <v>-102.5597839</v>
      </c>
      <c r="D361" s="24">
        <f t="shared" si="1"/>
        <v>513043.4783</v>
      </c>
      <c r="E361" s="25">
        <f t="shared" si="2"/>
        <v>-109.2772397</v>
      </c>
      <c r="F361" s="24">
        <f t="shared" si="3"/>
        <v>0.0002129980096</v>
      </c>
      <c r="G361" s="24">
        <f t="shared" si="4"/>
        <v>0</v>
      </c>
      <c r="H361" s="26">
        <f t="shared" si="5"/>
        <v>0</v>
      </c>
      <c r="I361" s="24">
        <f t="shared" si="6"/>
        <v>0</v>
      </c>
      <c r="J361" s="24">
        <f t="shared" si="7"/>
        <v>0</v>
      </c>
      <c r="K361" s="24"/>
      <c r="L361" s="24">
        <f t="shared" si="8"/>
        <v>421.8205925</v>
      </c>
      <c r="M361" s="14">
        <f t="shared" si="9"/>
        <v>423.0145014</v>
      </c>
      <c r="N361" s="27">
        <f t="shared" si="10"/>
        <v>-1.193908863</v>
      </c>
      <c r="O361" s="24"/>
      <c r="P361" s="24"/>
      <c r="Q361" s="24"/>
      <c r="R361" s="26"/>
      <c r="S361" s="14">
        <f t="shared" si="13"/>
        <v>-1.096361891</v>
      </c>
      <c r="U361" s="21"/>
      <c r="V361" s="21"/>
    </row>
    <row r="362">
      <c r="A362" s="11">
        <v>350.0</v>
      </c>
      <c r="B362" s="11">
        <v>1.42091739130434E9</v>
      </c>
      <c r="C362" s="2">
        <v>-102.514534</v>
      </c>
      <c r="D362" s="24">
        <f t="shared" si="1"/>
        <v>517391.3043</v>
      </c>
      <c r="E362" s="25">
        <f t="shared" si="2"/>
        <v>-110.1955359</v>
      </c>
      <c r="F362" s="24">
        <f t="shared" si="3"/>
        <v>0.0002129829685</v>
      </c>
      <c r="G362" s="24">
        <f t="shared" si="4"/>
        <v>0</v>
      </c>
      <c r="H362" s="26">
        <f t="shared" si="5"/>
        <v>0</v>
      </c>
      <c r="I362" s="24">
        <f t="shared" si="6"/>
        <v>0</v>
      </c>
      <c r="J362" s="24">
        <f t="shared" si="7"/>
        <v>0</v>
      </c>
      <c r="K362" s="24"/>
      <c r="L362" s="24">
        <f t="shared" si="8"/>
        <v>426.2385909</v>
      </c>
      <c r="M362" s="14">
        <f t="shared" si="9"/>
        <v>422.9142686</v>
      </c>
      <c r="N362" s="27">
        <f t="shared" si="10"/>
        <v>3.324322279</v>
      </c>
      <c r="O362" s="24"/>
      <c r="P362" s="24"/>
      <c r="Q362" s="24"/>
      <c r="R362" s="26"/>
      <c r="S362" s="14">
        <f t="shared" si="13"/>
        <v>3.052712293</v>
      </c>
      <c r="U362" s="21"/>
      <c r="V362" s="21"/>
    </row>
    <row r="363">
      <c r="A363" s="11">
        <v>351.0</v>
      </c>
      <c r="B363" s="11">
        <v>1.42092173913043E9</v>
      </c>
      <c r="C363" s="2">
        <v>-102.5221863</v>
      </c>
      <c r="D363" s="24">
        <f t="shared" si="1"/>
        <v>521739.1304</v>
      </c>
      <c r="E363" s="25">
        <f t="shared" si="2"/>
        <v>-111.113832</v>
      </c>
      <c r="F363" s="24">
        <f t="shared" si="3"/>
        <v>0.000212968178</v>
      </c>
      <c r="G363" s="24">
        <f t="shared" si="4"/>
        <v>0</v>
      </c>
      <c r="H363" s="26">
        <f t="shared" si="5"/>
        <v>0</v>
      </c>
      <c r="I363" s="24">
        <f t="shared" si="6"/>
        <v>0</v>
      </c>
      <c r="J363" s="24">
        <f t="shared" si="7"/>
        <v>0</v>
      </c>
      <c r="K363" s="24"/>
      <c r="L363" s="24">
        <f t="shared" si="8"/>
        <v>425.4882167</v>
      </c>
      <c r="M363" s="14">
        <f t="shared" si="9"/>
        <v>422.8138136</v>
      </c>
      <c r="N363" s="27">
        <f t="shared" si="10"/>
        <v>2.674403112</v>
      </c>
      <c r="O363" s="24"/>
      <c r="P363" s="24"/>
      <c r="Q363" s="24"/>
      <c r="R363" s="26"/>
      <c r="S363" s="14">
        <f t="shared" si="13"/>
        <v>2.455894029</v>
      </c>
      <c r="U363" s="21"/>
      <c r="V363" s="21"/>
    </row>
    <row r="364">
      <c r="A364" s="11">
        <v>352.0</v>
      </c>
      <c r="B364" s="11">
        <v>1.42092608695652E9</v>
      </c>
      <c r="C364" s="2">
        <v>-102.5631332</v>
      </c>
      <c r="D364" s="24">
        <f t="shared" si="1"/>
        <v>526086.9565</v>
      </c>
      <c r="E364" s="25">
        <f t="shared" si="2"/>
        <v>-112.0321281</v>
      </c>
      <c r="F364" s="24">
        <f t="shared" si="3"/>
        <v>0.000212953632</v>
      </c>
      <c r="G364" s="24">
        <f t="shared" si="4"/>
        <v>0</v>
      </c>
      <c r="H364" s="26">
        <f t="shared" si="5"/>
        <v>0</v>
      </c>
      <c r="I364" s="24">
        <f t="shared" si="6"/>
        <v>0</v>
      </c>
      <c r="J364" s="24">
        <f t="shared" si="7"/>
        <v>0</v>
      </c>
      <c r="K364" s="24"/>
      <c r="L364" s="24">
        <f t="shared" si="8"/>
        <v>421.4954078</v>
      </c>
      <c r="M364" s="14">
        <f t="shared" si="9"/>
        <v>422.7131355</v>
      </c>
      <c r="N364" s="27">
        <f t="shared" si="10"/>
        <v>-1.217727687</v>
      </c>
      <c r="O364" s="24"/>
      <c r="P364" s="24"/>
      <c r="Q364" s="24"/>
      <c r="R364" s="26"/>
      <c r="S364" s="14">
        <f t="shared" si="13"/>
        <v>-1.118234626</v>
      </c>
      <c r="U364" s="21"/>
      <c r="V364" s="21"/>
    </row>
    <row r="365">
      <c r="A365" s="11">
        <v>353.0</v>
      </c>
      <c r="B365" s="11">
        <v>1.4209304347826E9</v>
      </c>
      <c r="C365" s="2">
        <v>-102.5682373</v>
      </c>
      <c r="D365" s="24">
        <f t="shared" si="1"/>
        <v>530434.7826</v>
      </c>
      <c r="E365" s="25">
        <f t="shared" si="2"/>
        <v>-112.9504243</v>
      </c>
      <c r="F365" s="24">
        <f t="shared" si="3"/>
        <v>0.0002129393244</v>
      </c>
      <c r="G365" s="24">
        <f t="shared" si="4"/>
        <v>0</v>
      </c>
      <c r="H365" s="26">
        <f t="shared" si="5"/>
        <v>0</v>
      </c>
      <c r="I365" s="24">
        <f t="shared" si="6"/>
        <v>0</v>
      </c>
      <c r="J365" s="24">
        <f t="shared" si="7"/>
        <v>0</v>
      </c>
      <c r="K365" s="24"/>
      <c r="L365" s="24">
        <f t="shared" si="8"/>
        <v>421.0003311</v>
      </c>
      <c r="M365" s="14">
        <f t="shared" si="9"/>
        <v>422.6122337</v>
      </c>
      <c r="N365" s="27">
        <f t="shared" si="10"/>
        <v>-1.6119026</v>
      </c>
      <c r="O365" s="24"/>
      <c r="P365" s="24"/>
      <c r="Q365" s="24"/>
      <c r="R365" s="26"/>
      <c r="S365" s="14">
        <f t="shared" si="13"/>
        <v>-1.480203924</v>
      </c>
      <c r="U365" s="21"/>
      <c r="V365" s="21"/>
    </row>
    <row r="366">
      <c r="A366" s="11">
        <v>354.0</v>
      </c>
      <c r="B366" s="11">
        <v>1.42093478260869E9</v>
      </c>
      <c r="C366" s="2">
        <v>-102.5735016</v>
      </c>
      <c r="D366" s="24">
        <f t="shared" si="1"/>
        <v>534782.6087</v>
      </c>
      <c r="E366" s="25">
        <f t="shared" si="2"/>
        <v>-113.8687204</v>
      </c>
      <c r="F366" s="24">
        <f t="shared" si="3"/>
        <v>0.0002129252495</v>
      </c>
      <c r="G366" s="24">
        <f t="shared" si="4"/>
        <v>0</v>
      </c>
      <c r="H366" s="26">
        <f t="shared" si="5"/>
        <v>0</v>
      </c>
      <c r="I366" s="24">
        <f t="shared" si="6"/>
        <v>0</v>
      </c>
      <c r="J366" s="24">
        <f t="shared" si="7"/>
        <v>0</v>
      </c>
      <c r="K366" s="24"/>
      <c r="L366" s="24">
        <f t="shared" si="8"/>
        <v>420.4903248</v>
      </c>
      <c r="M366" s="14">
        <f t="shared" si="9"/>
        <v>422.5111073</v>
      </c>
      <c r="N366" s="27">
        <f t="shared" si="10"/>
        <v>-2.020782507</v>
      </c>
      <c r="O366" s="24"/>
      <c r="P366" s="24"/>
      <c r="Q366" s="24"/>
      <c r="R366" s="26"/>
      <c r="S366" s="14">
        <f t="shared" si="13"/>
        <v>-1.855676761</v>
      </c>
      <c r="U366" s="21"/>
      <c r="V366" s="21"/>
    </row>
    <row r="367">
      <c r="A367" s="11">
        <v>355.0</v>
      </c>
      <c r="B367" s="11">
        <v>1.42093913043478E9</v>
      </c>
      <c r="C367" s="2">
        <v>-102.5931168</v>
      </c>
      <c r="D367" s="24">
        <f t="shared" si="1"/>
        <v>539130.4348</v>
      </c>
      <c r="E367" s="25">
        <f t="shared" si="2"/>
        <v>-114.7870165</v>
      </c>
      <c r="F367" s="24">
        <f t="shared" si="3"/>
        <v>0.0002129114016</v>
      </c>
      <c r="G367" s="24">
        <f t="shared" si="4"/>
        <v>0</v>
      </c>
      <c r="H367" s="26">
        <f t="shared" si="5"/>
        <v>0</v>
      </c>
      <c r="I367" s="24">
        <f t="shared" si="6"/>
        <v>0</v>
      </c>
      <c r="J367" s="24">
        <f t="shared" si="7"/>
        <v>0</v>
      </c>
      <c r="K367" s="24"/>
      <c r="L367" s="24">
        <f t="shared" si="8"/>
        <v>418.5954346</v>
      </c>
      <c r="M367" s="14">
        <f t="shared" si="9"/>
        <v>422.4097555</v>
      </c>
      <c r="N367" s="27">
        <f t="shared" si="10"/>
        <v>-3.814320887</v>
      </c>
      <c r="O367" s="24"/>
      <c r="P367" s="24"/>
      <c r="Q367" s="24"/>
      <c r="R367" s="26"/>
      <c r="S367" s="14">
        <f t="shared" si="13"/>
        <v>-3.502676111</v>
      </c>
      <c r="U367" s="21"/>
      <c r="V367" s="21"/>
    </row>
    <row r="368">
      <c r="A368" s="11">
        <v>356.0</v>
      </c>
      <c r="B368" s="11">
        <v>1.42094347826087E9</v>
      </c>
      <c r="C368" s="2">
        <v>-102.5887451</v>
      </c>
      <c r="D368" s="24">
        <f t="shared" si="1"/>
        <v>543478.2609</v>
      </c>
      <c r="E368" s="25">
        <f t="shared" si="2"/>
        <v>-115.7053126</v>
      </c>
      <c r="F368" s="24">
        <f t="shared" si="3"/>
        <v>0.0002128977753</v>
      </c>
      <c r="G368" s="24">
        <f t="shared" si="4"/>
        <v>0</v>
      </c>
      <c r="H368" s="26">
        <f t="shared" si="5"/>
        <v>0</v>
      </c>
      <c r="I368" s="24">
        <f t="shared" si="6"/>
        <v>0</v>
      </c>
      <c r="J368" s="24">
        <f t="shared" si="7"/>
        <v>0</v>
      </c>
      <c r="K368" s="24"/>
      <c r="L368" s="24">
        <f t="shared" si="8"/>
        <v>419.0170137</v>
      </c>
      <c r="M368" s="14">
        <f t="shared" si="9"/>
        <v>422.3081775</v>
      </c>
      <c r="N368" s="27">
        <f t="shared" si="10"/>
        <v>-3.291163762</v>
      </c>
      <c r="O368" s="24"/>
      <c r="P368" s="24"/>
      <c r="Q368" s="24"/>
      <c r="R368" s="26"/>
      <c r="S368" s="14">
        <f t="shared" si="13"/>
        <v>-3.022262955</v>
      </c>
      <c r="U368" s="21"/>
      <c r="V368" s="21"/>
    </row>
    <row r="369">
      <c r="A369" s="11">
        <v>357.0</v>
      </c>
      <c r="B369" s="11">
        <v>1.42094782608695E9</v>
      </c>
      <c r="C369" s="2">
        <v>-102.5460434</v>
      </c>
      <c r="D369" s="24">
        <f t="shared" si="1"/>
        <v>547826.087</v>
      </c>
      <c r="E369" s="25">
        <f t="shared" si="2"/>
        <v>-116.6236088</v>
      </c>
      <c r="F369" s="24">
        <f t="shared" si="3"/>
        <v>0.0002128843652</v>
      </c>
      <c r="G369" s="24">
        <f t="shared" si="4"/>
        <v>0</v>
      </c>
      <c r="H369" s="26">
        <f t="shared" si="5"/>
        <v>0</v>
      </c>
      <c r="I369" s="24">
        <f t="shared" si="6"/>
        <v>0</v>
      </c>
      <c r="J369" s="24">
        <f t="shared" si="7"/>
        <v>0</v>
      </c>
      <c r="K369" s="24"/>
      <c r="L369" s="24">
        <f t="shared" si="8"/>
        <v>423.1572902</v>
      </c>
      <c r="M369" s="14">
        <f t="shared" si="9"/>
        <v>422.2063726</v>
      </c>
      <c r="N369" s="27">
        <f t="shared" si="10"/>
        <v>0.9509176589</v>
      </c>
      <c r="O369" s="24"/>
      <c r="P369" s="24"/>
      <c r="Q369" s="24"/>
      <c r="R369" s="26"/>
      <c r="S369" s="14">
        <f t="shared" si="13"/>
        <v>0.8732240088</v>
      </c>
      <c r="U369" s="21"/>
      <c r="V369" s="21"/>
    </row>
    <row r="370">
      <c r="A370" s="11">
        <v>358.0</v>
      </c>
      <c r="B370" s="11">
        <v>1.42095217391304E9</v>
      </c>
      <c r="C370" s="2">
        <v>-102.5486526</v>
      </c>
      <c r="D370" s="24">
        <f t="shared" si="1"/>
        <v>552173.913</v>
      </c>
      <c r="E370" s="25">
        <f t="shared" si="2"/>
        <v>-117.5419049</v>
      </c>
      <c r="F370" s="24">
        <f t="shared" si="3"/>
        <v>0.0002128711664</v>
      </c>
      <c r="G370" s="24">
        <f t="shared" si="4"/>
        <v>0</v>
      </c>
      <c r="H370" s="26">
        <f t="shared" si="5"/>
        <v>0</v>
      </c>
      <c r="I370" s="24">
        <f t="shared" si="6"/>
        <v>0</v>
      </c>
      <c r="J370" s="24">
        <f t="shared" si="7"/>
        <v>0</v>
      </c>
      <c r="K370" s="24"/>
      <c r="L370" s="24">
        <f t="shared" si="8"/>
        <v>422.9031377</v>
      </c>
      <c r="M370" s="14">
        <f t="shared" si="9"/>
        <v>422.1043399</v>
      </c>
      <c r="N370" s="27">
        <f t="shared" si="10"/>
        <v>0.7987977923</v>
      </c>
      <c r="O370" s="24"/>
      <c r="P370" s="24"/>
      <c r="Q370" s="24"/>
      <c r="R370" s="26"/>
      <c r="S370" s="14">
        <f t="shared" si="13"/>
        <v>0.7335329219</v>
      </c>
      <c r="U370" s="21"/>
      <c r="V370" s="21"/>
    </row>
    <row r="371">
      <c r="A371" s="11">
        <v>359.0</v>
      </c>
      <c r="B371" s="11">
        <v>1.42095652173913E9</v>
      </c>
      <c r="C371" s="2">
        <v>-102.4878311</v>
      </c>
      <c r="D371" s="24">
        <f t="shared" si="1"/>
        <v>556521.7391</v>
      </c>
      <c r="E371" s="25">
        <f t="shared" si="2"/>
        <v>-118.460201</v>
      </c>
      <c r="F371" s="24">
        <f t="shared" si="3"/>
        <v>0.0002128581738</v>
      </c>
      <c r="G371" s="24">
        <f t="shared" si="4"/>
        <v>0</v>
      </c>
      <c r="H371" s="26">
        <f t="shared" si="5"/>
        <v>0</v>
      </c>
      <c r="I371" s="24">
        <f t="shared" si="6"/>
        <v>0</v>
      </c>
      <c r="J371" s="24">
        <f t="shared" si="7"/>
        <v>0</v>
      </c>
      <c r="K371" s="24"/>
      <c r="L371" s="24">
        <f t="shared" si="8"/>
        <v>428.8674221</v>
      </c>
      <c r="M371" s="14">
        <f t="shared" si="9"/>
        <v>422.0020787</v>
      </c>
      <c r="N371" s="27">
        <f t="shared" si="10"/>
        <v>6.865343418</v>
      </c>
      <c r="O371" s="24"/>
      <c r="P371" s="24"/>
      <c r="Q371" s="24"/>
      <c r="R371" s="26"/>
      <c r="S371" s="14">
        <f t="shared" si="13"/>
        <v>6.30441831</v>
      </c>
      <c r="U371" s="21"/>
      <c r="V371" s="21"/>
    </row>
    <row r="372">
      <c r="A372" s="11">
        <v>360.0</v>
      </c>
      <c r="B372" s="11">
        <v>1.42096086956521E9</v>
      </c>
      <c r="C372" s="2">
        <v>-102.544899</v>
      </c>
      <c r="D372" s="24">
        <f t="shared" si="1"/>
        <v>560869.5652</v>
      </c>
      <c r="E372" s="25">
        <f t="shared" si="2"/>
        <v>-119.3784972</v>
      </c>
      <c r="F372" s="24">
        <f t="shared" si="3"/>
        <v>0.0002128453826</v>
      </c>
      <c r="G372" s="24">
        <f t="shared" si="4"/>
        <v>0</v>
      </c>
      <c r="H372" s="26">
        <f t="shared" si="5"/>
        <v>0</v>
      </c>
      <c r="I372" s="24">
        <f t="shared" si="6"/>
        <v>0</v>
      </c>
      <c r="J372" s="24">
        <f t="shared" si="7"/>
        <v>0</v>
      </c>
      <c r="K372" s="24"/>
      <c r="L372" s="24">
        <f t="shared" si="8"/>
        <v>423.2688102</v>
      </c>
      <c r="M372" s="14">
        <f t="shared" si="9"/>
        <v>421.8995882</v>
      </c>
      <c r="N372" s="27">
        <f t="shared" si="10"/>
        <v>1.369221966</v>
      </c>
      <c r="O372" s="24"/>
      <c r="P372" s="24"/>
      <c r="Q372" s="24"/>
      <c r="R372" s="26"/>
      <c r="S372" s="14">
        <f t="shared" si="13"/>
        <v>1.257351236</v>
      </c>
      <c r="U372" s="21"/>
      <c r="V372" s="21"/>
    </row>
    <row r="373">
      <c r="A373" s="11">
        <v>361.0</v>
      </c>
      <c r="B373" s="11">
        <v>1.4209652173913E9</v>
      </c>
      <c r="C373" s="2">
        <v>-102.5529938</v>
      </c>
      <c r="D373" s="24">
        <f t="shared" si="1"/>
        <v>565217.3913</v>
      </c>
      <c r="E373" s="25">
        <f t="shared" si="2"/>
        <v>-120.2967933</v>
      </c>
      <c r="F373" s="24">
        <f t="shared" si="3"/>
        <v>0.0002128327882</v>
      </c>
      <c r="G373" s="24">
        <f t="shared" si="4"/>
        <v>0</v>
      </c>
      <c r="H373" s="26">
        <f t="shared" si="5"/>
        <v>0</v>
      </c>
      <c r="I373" s="24">
        <f t="shared" si="6"/>
        <v>0</v>
      </c>
      <c r="J373" s="24">
        <f t="shared" si="7"/>
        <v>0</v>
      </c>
      <c r="K373" s="24"/>
      <c r="L373" s="24">
        <f t="shared" si="8"/>
        <v>422.4806157</v>
      </c>
      <c r="M373" s="14">
        <f t="shared" si="9"/>
        <v>421.7968676</v>
      </c>
      <c r="N373" s="27">
        <f t="shared" si="10"/>
        <v>0.683748068</v>
      </c>
      <c r="O373" s="24"/>
      <c r="P373" s="24"/>
      <c r="Q373" s="24"/>
      <c r="R373" s="26"/>
      <c r="S373" s="14">
        <f t="shared" si="13"/>
        <v>0.6278832052</v>
      </c>
      <c r="U373" s="21"/>
      <c r="V373" s="21"/>
    </row>
    <row r="374">
      <c r="A374" s="11">
        <v>362.0</v>
      </c>
      <c r="B374" s="11">
        <v>1.42096956521739E9</v>
      </c>
      <c r="C374" s="2">
        <v>-102.527916</v>
      </c>
      <c r="D374" s="24">
        <f t="shared" si="1"/>
        <v>569565.2174</v>
      </c>
      <c r="E374" s="25">
        <f t="shared" si="2"/>
        <v>-121.2150894</v>
      </c>
      <c r="F374" s="24">
        <f t="shared" si="3"/>
        <v>0.000212820386</v>
      </c>
      <c r="G374" s="24">
        <f t="shared" si="4"/>
        <v>0</v>
      </c>
      <c r="H374" s="26">
        <f t="shared" si="5"/>
        <v>0</v>
      </c>
      <c r="I374" s="24">
        <f t="shared" si="6"/>
        <v>0</v>
      </c>
      <c r="J374" s="24">
        <f t="shared" si="7"/>
        <v>0</v>
      </c>
      <c r="K374" s="24"/>
      <c r="L374" s="24">
        <f t="shared" si="8"/>
        <v>424.927235</v>
      </c>
      <c r="M374" s="14">
        <f t="shared" si="9"/>
        <v>421.6939161</v>
      </c>
      <c r="N374" s="27">
        <f t="shared" si="10"/>
        <v>3.233318901</v>
      </c>
      <c r="O374" s="24"/>
      <c r="P374" s="24"/>
      <c r="Q374" s="24"/>
      <c r="R374" s="26"/>
      <c r="S374" s="14">
        <f t="shared" si="13"/>
        <v>2.969144243</v>
      </c>
    </row>
    <row r="375">
      <c r="A375" s="11">
        <v>363.0</v>
      </c>
      <c r="B375" s="11">
        <v>1.42097391304347E9</v>
      </c>
      <c r="C375" s="2">
        <v>-102.5745316</v>
      </c>
      <c r="D375" s="24">
        <f t="shared" si="1"/>
        <v>573913.0435</v>
      </c>
      <c r="E375" s="25">
        <f t="shared" si="2"/>
        <v>-122.1333856</v>
      </c>
      <c r="F375" s="24">
        <f t="shared" si="3"/>
        <v>0.0002128081718</v>
      </c>
      <c r="G375" s="24">
        <f t="shared" si="4"/>
        <v>0</v>
      </c>
      <c r="H375" s="26">
        <f t="shared" si="5"/>
        <v>0</v>
      </c>
      <c r="I375" s="24">
        <f t="shared" si="6"/>
        <v>0</v>
      </c>
      <c r="J375" s="24">
        <f t="shared" si="7"/>
        <v>0</v>
      </c>
      <c r="K375" s="24"/>
      <c r="L375" s="24">
        <f t="shared" si="8"/>
        <v>420.3906105</v>
      </c>
      <c r="M375" s="14">
        <f t="shared" si="9"/>
        <v>421.5907329</v>
      </c>
      <c r="N375" s="27">
        <f t="shared" si="10"/>
        <v>-1.200122483</v>
      </c>
      <c r="O375" s="24"/>
      <c r="P375" s="24"/>
      <c r="Q375" s="24"/>
      <c r="R375" s="26"/>
      <c r="S375" s="14">
        <f t="shared" si="13"/>
        <v>-1.102067835</v>
      </c>
    </row>
    <row r="376">
      <c r="A376" s="11">
        <v>364.0</v>
      </c>
      <c r="B376" s="11">
        <v>1.42097826086956E9</v>
      </c>
      <c r="C376" s="2">
        <v>-102.5872192</v>
      </c>
      <c r="D376" s="24">
        <f t="shared" si="1"/>
        <v>578260.8696</v>
      </c>
      <c r="E376" s="25">
        <f t="shared" si="2"/>
        <v>-123.0516817</v>
      </c>
      <c r="F376" s="24">
        <f t="shared" si="3"/>
        <v>0.0002127961413</v>
      </c>
      <c r="G376" s="24">
        <f t="shared" si="4"/>
        <v>0</v>
      </c>
      <c r="H376" s="26">
        <f t="shared" si="5"/>
        <v>0</v>
      </c>
      <c r="I376" s="24">
        <f t="shared" si="6"/>
        <v>0</v>
      </c>
      <c r="J376" s="24">
        <f t="shared" si="7"/>
        <v>0</v>
      </c>
      <c r="K376" s="24"/>
      <c r="L376" s="24">
        <f t="shared" si="8"/>
        <v>419.1642618</v>
      </c>
      <c r="M376" s="14">
        <f t="shared" si="9"/>
        <v>421.4873173</v>
      </c>
      <c r="N376" s="27">
        <f t="shared" si="10"/>
        <v>-2.323055471</v>
      </c>
      <c r="O376" s="24"/>
      <c r="P376" s="24"/>
      <c r="Q376" s="24"/>
      <c r="R376" s="26"/>
      <c r="S376" s="14">
        <f t="shared" si="13"/>
        <v>-2.13325285</v>
      </c>
    </row>
    <row r="377">
      <c r="A377" s="11">
        <v>365.0</v>
      </c>
      <c r="B377" s="11">
        <v>1.42098260869565E9</v>
      </c>
      <c r="C377" s="2">
        <v>-102.5295029</v>
      </c>
      <c r="D377" s="24">
        <f t="shared" si="1"/>
        <v>582608.6957</v>
      </c>
      <c r="E377" s="25">
        <f t="shared" si="2"/>
        <v>-123.9699778</v>
      </c>
      <c r="F377" s="24">
        <f t="shared" si="3"/>
        <v>0.0002127842903</v>
      </c>
      <c r="G377" s="24">
        <f t="shared" si="4"/>
        <v>0</v>
      </c>
      <c r="H377" s="26">
        <f t="shared" si="5"/>
        <v>0</v>
      </c>
      <c r="I377" s="24">
        <f t="shared" si="6"/>
        <v>0</v>
      </c>
      <c r="J377" s="24">
        <f t="shared" si="7"/>
        <v>0</v>
      </c>
      <c r="K377" s="24"/>
      <c r="L377" s="24">
        <f t="shared" si="8"/>
        <v>424.7719961</v>
      </c>
      <c r="M377" s="14">
        <f t="shared" si="9"/>
        <v>421.3836684</v>
      </c>
      <c r="N377" s="27">
        <f t="shared" si="10"/>
        <v>3.388327734</v>
      </c>
      <c r="O377" s="24"/>
      <c r="P377" s="24"/>
      <c r="Q377" s="24"/>
      <c r="R377" s="26"/>
      <c r="S377" s="14">
        <f t="shared" si="13"/>
        <v>3.111488255</v>
      </c>
    </row>
    <row r="378">
      <c r="A378" s="11">
        <v>366.0</v>
      </c>
      <c r="B378" s="11">
        <v>1.42098695652173E9</v>
      </c>
      <c r="C378" s="2">
        <v>-102.6062164</v>
      </c>
      <c r="D378" s="24">
        <f t="shared" si="1"/>
        <v>586956.5217</v>
      </c>
      <c r="E378" s="25">
        <f t="shared" si="2"/>
        <v>-124.888274</v>
      </c>
      <c r="F378" s="24">
        <f t="shared" si="3"/>
        <v>0.0002127726149</v>
      </c>
      <c r="G378" s="24">
        <f t="shared" si="4"/>
        <v>0</v>
      </c>
      <c r="H378" s="26">
        <f t="shared" si="5"/>
        <v>0</v>
      </c>
      <c r="I378" s="24">
        <f t="shared" si="6"/>
        <v>0</v>
      </c>
      <c r="J378" s="24">
        <f t="shared" si="7"/>
        <v>0</v>
      </c>
      <c r="K378" s="24"/>
      <c r="L378" s="24">
        <f t="shared" si="8"/>
        <v>417.3347298</v>
      </c>
      <c r="M378" s="14">
        <f t="shared" si="9"/>
        <v>421.2797855</v>
      </c>
      <c r="N378" s="27">
        <f t="shared" si="10"/>
        <v>-3.945055678</v>
      </c>
      <c r="O378" s="24"/>
      <c r="P378" s="24"/>
      <c r="Q378" s="24"/>
      <c r="R378" s="26"/>
      <c r="S378" s="14">
        <f t="shared" si="13"/>
        <v>-3.622729373</v>
      </c>
    </row>
    <row r="379">
      <c r="A379" s="11">
        <v>367.0</v>
      </c>
      <c r="B379" s="11">
        <v>1.42099130434782E9</v>
      </c>
      <c r="C379" s="2">
        <v>-102.5110016</v>
      </c>
      <c r="D379" s="24">
        <f t="shared" si="1"/>
        <v>591304.3478</v>
      </c>
      <c r="E379" s="25">
        <f t="shared" si="2"/>
        <v>-125.8065701</v>
      </c>
      <c r="F379" s="24">
        <f t="shared" si="3"/>
        <v>0.0002127611112</v>
      </c>
      <c r="G379" s="24">
        <f t="shared" si="4"/>
        <v>0</v>
      </c>
      <c r="H379" s="26">
        <f t="shared" si="5"/>
        <v>0</v>
      </c>
      <c r="I379" s="24">
        <f t="shared" si="6"/>
        <v>0</v>
      </c>
      <c r="J379" s="24">
        <f t="shared" si="7"/>
        <v>0</v>
      </c>
      <c r="K379" s="24"/>
      <c r="L379" s="24">
        <f t="shared" si="8"/>
        <v>426.5854195</v>
      </c>
      <c r="M379" s="14">
        <f t="shared" si="9"/>
        <v>421.1756677</v>
      </c>
      <c r="N379" s="27">
        <f t="shared" si="10"/>
        <v>5.409751781</v>
      </c>
      <c r="O379" s="24"/>
      <c r="P379" s="24"/>
      <c r="Q379" s="24"/>
      <c r="R379" s="26"/>
      <c r="S379" s="14">
        <f t="shared" si="13"/>
        <v>4.96775414</v>
      </c>
    </row>
    <row r="380">
      <c r="A380" s="11">
        <v>368.0</v>
      </c>
      <c r="B380" s="11">
        <v>1.42099565217391E9</v>
      </c>
      <c r="C380" s="2">
        <v>-102.5236816</v>
      </c>
      <c r="D380" s="24">
        <f t="shared" si="1"/>
        <v>595652.1739</v>
      </c>
      <c r="E380" s="25">
        <f t="shared" si="2"/>
        <v>-126.7248662</v>
      </c>
      <c r="F380" s="24">
        <f t="shared" si="3"/>
        <v>0.0002127497754</v>
      </c>
      <c r="G380" s="24">
        <f t="shared" si="4"/>
        <v>0</v>
      </c>
      <c r="H380" s="26">
        <f t="shared" si="5"/>
        <v>0</v>
      </c>
      <c r="I380" s="24">
        <f t="shared" si="6"/>
        <v>0</v>
      </c>
      <c r="J380" s="24">
        <f t="shared" si="7"/>
        <v>0</v>
      </c>
      <c r="K380" s="24"/>
      <c r="L380" s="24">
        <f t="shared" si="8"/>
        <v>425.3417439</v>
      </c>
      <c r="M380" s="14">
        <f t="shared" si="9"/>
        <v>421.0713143</v>
      </c>
      <c r="N380" s="27">
        <f t="shared" si="10"/>
        <v>4.270429584</v>
      </c>
      <c r="O380" s="24"/>
      <c r="P380" s="24"/>
      <c r="Q380" s="24"/>
      <c r="R380" s="26"/>
      <c r="S380" s="14">
        <f t="shared" si="13"/>
        <v>3.921518963</v>
      </c>
    </row>
    <row r="381">
      <c r="A381" s="11">
        <v>369.0</v>
      </c>
      <c r="B381" s="11">
        <v>1.421E9</v>
      </c>
      <c r="C381" s="2">
        <v>-102.5085144</v>
      </c>
      <c r="D381" s="24">
        <f t="shared" si="1"/>
        <v>600000</v>
      </c>
      <c r="E381" s="25">
        <f t="shared" si="2"/>
        <v>-127.6431624</v>
      </c>
      <c r="F381" s="24">
        <f t="shared" si="3"/>
        <v>0.0002127386039</v>
      </c>
      <c r="G381" s="24">
        <f t="shared" si="4"/>
        <v>0</v>
      </c>
      <c r="H381" s="26">
        <f t="shared" si="5"/>
        <v>0</v>
      </c>
      <c r="I381" s="24">
        <f t="shared" si="6"/>
        <v>0</v>
      </c>
      <c r="J381" s="24">
        <f t="shared" si="7"/>
        <v>0</v>
      </c>
      <c r="K381" s="24"/>
      <c r="L381" s="24">
        <f t="shared" si="8"/>
        <v>426.8297945</v>
      </c>
      <c r="M381" s="14">
        <f t="shared" si="9"/>
        <v>420.9667246</v>
      </c>
      <c r="N381" s="27">
        <f t="shared" si="10"/>
        <v>5.863069931</v>
      </c>
      <c r="O381" s="24"/>
      <c r="P381" s="24"/>
      <c r="Q381" s="24"/>
      <c r="R381" s="26"/>
      <c r="S381" s="14">
        <f t="shared" si="13"/>
        <v>5.384034444</v>
      </c>
    </row>
    <row r="382">
      <c r="A382" s="11">
        <v>370.0</v>
      </c>
      <c r="B382" s="11">
        <v>1.42100434782608E9</v>
      </c>
      <c r="C382" s="2">
        <v>-102.5806427</v>
      </c>
      <c r="D382" s="24">
        <f t="shared" si="1"/>
        <v>604347.8261</v>
      </c>
      <c r="E382" s="25">
        <f t="shared" si="2"/>
        <v>-128.5614585</v>
      </c>
      <c r="F382" s="24">
        <f t="shared" si="3"/>
        <v>0.0002127275932</v>
      </c>
      <c r="G382" s="24">
        <f t="shared" si="4"/>
        <v>0</v>
      </c>
      <c r="H382" s="26">
        <f t="shared" si="5"/>
        <v>0</v>
      </c>
      <c r="I382" s="24">
        <f t="shared" si="6"/>
        <v>0</v>
      </c>
      <c r="J382" s="24">
        <f t="shared" si="7"/>
        <v>0</v>
      </c>
      <c r="K382" s="24"/>
      <c r="L382" s="24">
        <f t="shared" si="8"/>
        <v>419.7994811</v>
      </c>
      <c r="M382" s="14">
        <f t="shared" si="9"/>
        <v>420.8618976</v>
      </c>
      <c r="N382" s="27">
        <f t="shared" si="10"/>
        <v>-1.062416552</v>
      </c>
      <c r="O382" s="24"/>
      <c r="P382" s="24"/>
      <c r="Q382" s="24"/>
      <c r="R382" s="26"/>
      <c r="S382" s="14">
        <f t="shared" si="13"/>
        <v>-0.9756130114</v>
      </c>
    </row>
    <row r="383">
      <c r="A383" s="11">
        <v>371.0</v>
      </c>
      <c r="B383" s="11">
        <v>1.42100869565217E9</v>
      </c>
      <c r="C383" s="2">
        <v>-102.5574265</v>
      </c>
      <c r="D383" s="24">
        <f t="shared" si="1"/>
        <v>608695.6522</v>
      </c>
      <c r="E383" s="25">
        <f t="shared" si="2"/>
        <v>-129.4797546</v>
      </c>
      <c r="F383" s="24">
        <f t="shared" si="3"/>
        <v>0.0002127167398</v>
      </c>
      <c r="G383" s="24">
        <f t="shared" si="4"/>
        <v>0</v>
      </c>
      <c r="H383" s="26">
        <f t="shared" si="5"/>
        <v>0</v>
      </c>
      <c r="I383" s="24">
        <f t="shared" si="6"/>
        <v>0</v>
      </c>
      <c r="J383" s="24">
        <f t="shared" si="7"/>
        <v>0</v>
      </c>
      <c r="K383" s="24"/>
      <c r="L383" s="24">
        <f t="shared" si="8"/>
        <v>422.0496237</v>
      </c>
      <c r="M383" s="14">
        <f t="shared" si="9"/>
        <v>420.7568327</v>
      </c>
      <c r="N383" s="27">
        <f t="shared" si="10"/>
        <v>1.292791034</v>
      </c>
      <c r="O383" s="24"/>
      <c r="P383" s="24"/>
      <c r="Q383" s="24"/>
      <c r="R383" s="26"/>
      <c r="S383" s="14">
        <f t="shared" si="13"/>
        <v>1.187165004</v>
      </c>
    </row>
    <row r="384">
      <c r="A384" s="11">
        <v>372.0</v>
      </c>
      <c r="B384" s="11">
        <v>1.42101304347826E9</v>
      </c>
      <c r="C384" s="2">
        <v>-102.5960464</v>
      </c>
      <c r="D384" s="24">
        <f t="shared" si="1"/>
        <v>613043.4783</v>
      </c>
      <c r="E384" s="25">
        <f t="shared" si="2"/>
        <v>-130.3980508</v>
      </c>
      <c r="F384" s="24">
        <f t="shared" si="3"/>
        <v>0.0002127060402</v>
      </c>
      <c r="G384" s="24">
        <f t="shared" si="4"/>
        <v>0</v>
      </c>
      <c r="H384" s="26">
        <f t="shared" si="5"/>
        <v>0</v>
      </c>
      <c r="I384" s="24">
        <f t="shared" si="6"/>
        <v>0</v>
      </c>
      <c r="J384" s="24">
        <f t="shared" si="7"/>
        <v>0</v>
      </c>
      <c r="K384" s="24"/>
      <c r="L384" s="24">
        <f t="shared" si="8"/>
        <v>418.3131598</v>
      </c>
      <c r="M384" s="14">
        <f t="shared" si="9"/>
        <v>420.6515289</v>
      </c>
      <c r="N384" s="27">
        <f t="shared" si="10"/>
        <v>-2.338369123</v>
      </c>
      <c r="O384" s="24"/>
      <c r="P384" s="24"/>
      <c r="Q384" s="24"/>
      <c r="R384" s="26"/>
      <c r="S384" s="14">
        <f t="shared" si="13"/>
        <v>-2.147315323</v>
      </c>
    </row>
    <row r="385">
      <c r="A385" s="11">
        <v>373.0</v>
      </c>
      <c r="B385" s="11">
        <v>1.42101739130434E9</v>
      </c>
      <c r="C385" s="2">
        <v>-102.6015015</v>
      </c>
      <c r="D385" s="24">
        <f t="shared" si="1"/>
        <v>617391.3043</v>
      </c>
      <c r="E385" s="25">
        <f t="shared" si="2"/>
        <v>-131.3163469</v>
      </c>
      <c r="F385" s="24">
        <f t="shared" si="3"/>
        <v>0.0002126954915</v>
      </c>
      <c r="G385" s="24">
        <f t="shared" si="4"/>
        <v>0</v>
      </c>
      <c r="H385" s="26">
        <f t="shared" si="5"/>
        <v>0</v>
      </c>
      <c r="I385" s="24">
        <f t="shared" si="6"/>
        <v>0</v>
      </c>
      <c r="J385" s="24">
        <f t="shared" si="7"/>
        <v>0</v>
      </c>
      <c r="K385" s="24"/>
      <c r="L385" s="24">
        <f t="shared" si="8"/>
        <v>417.7880536</v>
      </c>
      <c r="M385" s="14">
        <f t="shared" si="9"/>
        <v>420.5459857</v>
      </c>
      <c r="N385" s="27">
        <f t="shared" si="10"/>
        <v>-2.757932131</v>
      </c>
      <c r="O385" s="24"/>
      <c r="P385" s="24"/>
      <c r="Q385" s="24"/>
      <c r="R385" s="26"/>
      <c r="S385" s="14">
        <f t="shared" si="13"/>
        <v>-2.53259841</v>
      </c>
    </row>
    <row r="386">
      <c r="A386" s="11">
        <v>374.0</v>
      </c>
      <c r="B386" s="11">
        <v>1.42102173913043E9</v>
      </c>
      <c r="C386" s="2">
        <v>-102.5310822</v>
      </c>
      <c r="D386" s="24">
        <f t="shared" si="1"/>
        <v>621739.1304</v>
      </c>
      <c r="E386" s="25">
        <f t="shared" si="2"/>
        <v>-132.234643</v>
      </c>
      <c r="F386" s="24">
        <f t="shared" si="3"/>
        <v>0.0002126850902</v>
      </c>
      <c r="G386" s="24">
        <f t="shared" si="4"/>
        <v>0</v>
      </c>
      <c r="H386" s="26">
        <f t="shared" si="5"/>
        <v>0</v>
      </c>
      <c r="I386" s="24">
        <f t="shared" si="6"/>
        <v>0</v>
      </c>
      <c r="J386" s="24">
        <f t="shared" si="7"/>
        <v>0</v>
      </c>
      <c r="K386" s="24"/>
      <c r="L386" s="24">
        <f t="shared" si="8"/>
        <v>424.6175571</v>
      </c>
      <c r="M386" s="14">
        <f t="shared" si="9"/>
        <v>420.4402021</v>
      </c>
      <c r="N386" s="27">
        <f t="shared" si="10"/>
        <v>4.177354981</v>
      </c>
      <c r="O386" s="24"/>
      <c r="P386" s="24"/>
      <c r="Q386" s="24"/>
      <c r="R386" s="26"/>
      <c r="S386" s="14">
        <f t="shared" si="13"/>
        <v>3.836048915</v>
      </c>
    </row>
    <row r="387">
      <c r="A387" s="11">
        <v>375.0</v>
      </c>
      <c r="B387" s="11">
        <v>1.42102608695652E9</v>
      </c>
      <c r="C387" s="2">
        <v>-102.5885696</v>
      </c>
      <c r="D387" s="24">
        <f t="shared" si="1"/>
        <v>626086.9565</v>
      </c>
      <c r="E387" s="25">
        <f t="shared" si="2"/>
        <v>-133.1529392</v>
      </c>
      <c r="F387" s="24">
        <f t="shared" si="3"/>
        <v>0.0002126748334</v>
      </c>
      <c r="G387" s="24">
        <f t="shared" si="4"/>
        <v>0</v>
      </c>
      <c r="H387" s="26">
        <f t="shared" si="5"/>
        <v>0</v>
      </c>
      <c r="I387" s="24">
        <f t="shared" si="6"/>
        <v>0</v>
      </c>
      <c r="J387" s="24">
        <f t="shared" si="7"/>
        <v>0</v>
      </c>
      <c r="K387" s="24"/>
      <c r="L387" s="24">
        <f t="shared" si="8"/>
        <v>419.0339467</v>
      </c>
      <c r="M387" s="14">
        <f t="shared" si="9"/>
        <v>420.3341773</v>
      </c>
      <c r="N387" s="27">
        <f t="shared" si="10"/>
        <v>-1.30023064</v>
      </c>
      <c r="O387" s="24"/>
      <c r="P387" s="24"/>
      <c r="Q387" s="24"/>
      <c r="R387" s="26"/>
      <c r="S387" s="14">
        <f t="shared" si="13"/>
        <v>-1.193996768</v>
      </c>
    </row>
    <row r="388">
      <c r="A388" s="11">
        <v>376.0</v>
      </c>
      <c r="B388" s="11">
        <v>1.4210304347826E9</v>
      </c>
      <c r="C388" s="2">
        <v>-102.6008606</v>
      </c>
      <c r="D388" s="24">
        <f t="shared" si="1"/>
        <v>630434.7826</v>
      </c>
      <c r="E388" s="25">
        <f t="shared" si="2"/>
        <v>-134.0712353</v>
      </c>
      <c r="F388" s="24">
        <f t="shared" si="3"/>
        <v>0.0002126647181</v>
      </c>
      <c r="G388" s="24">
        <f t="shared" si="4"/>
        <v>0</v>
      </c>
      <c r="H388" s="26">
        <f t="shared" si="5"/>
        <v>0</v>
      </c>
      <c r="I388" s="24">
        <f t="shared" si="6"/>
        <v>0</v>
      </c>
      <c r="J388" s="24">
        <f t="shared" si="7"/>
        <v>0</v>
      </c>
      <c r="K388" s="24"/>
      <c r="L388" s="24">
        <f t="shared" si="8"/>
        <v>417.8497122</v>
      </c>
      <c r="M388" s="14">
        <f t="shared" si="9"/>
        <v>420.2279107</v>
      </c>
      <c r="N388" s="27">
        <f t="shared" si="10"/>
        <v>-2.378198493</v>
      </c>
      <c r="O388" s="24"/>
      <c r="P388" s="24"/>
      <c r="Q388" s="24"/>
      <c r="R388" s="26"/>
      <c r="S388" s="14">
        <f t="shared" si="13"/>
        <v>-2.183890479</v>
      </c>
    </row>
    <row r="389">
      <c r="A389" s="11">
        <v>377.0</v>
      </c>
      <c r="B389" s="11">
        <v>1.42103478260869E9</v>
      </c>
      <c r="C389" s="2">
        <v>-102.5624466</v>
      </c>
      <c r="D389" s="24">
        <f t="shared" si="1"/>
        <v>634782.6087</v>
      </c>
      <c r="E389" s="25">
        <f t="shared" si="2"/>
        <v>-134.9895314</v>
      </c>
      <c r="F389" s="24">
        <f t="shared" si="3"/>
        <v>0.0002126547413</v>
      </c>
      <c r="G389" s="24">
        <f t="shared" si="4"/>
        <v>0</v>
      </c>
      <c r="H389" s="26">
        <f t="shared" si="5"/>
        <v>0</v>
      </c>
      <c r="I389" s="24">
        <f t="shared" si="6"/>
        <v>0</v>
      </c>
      <c r="J389" s="24">
        <f t="shared" si="7"/>
        <v>0</v>
      </c>
      <c r="K389" s="24"/>
      <c r="L389" s="24">
        <f t="shared" si="8"/>
        <v>421.5620496</v>
      </c>
      <c r="M389" s="14">
        <f t="shared" si="9"/>
        <v>420.1214013</v>
      </c>
      <c r="N389" s="27">
        <f t="shared" si="10"/>
        <v>1.440648286</v>
      </c>
      <c r="O389" s="24"/>
      <c r="P389" s="24"/>
      <c r="Q389" s="24"/>
      <c r="R389" s="26"/>
      <c r="S389" s="14">
        <f t="shared" si="13"/>
        <v>1.32294175</v>
      </c>
    </row>
    <row r="390">
      <c r="A390" s="11">
        <v>378.0</v>
      </c>
      <c r="B390" s="11">
        <v>1.42103913043478E9</v>
      </c>
      <c r="C390" s="2">
        <v>-102.6311798</v>
      </c>
      <c r="D390" s="24">
        <f t="shared" si="1"/>
        <v>639130.4348</v>
      </c>
      <c r="E390" s="25">
        <f t="shared" si="2"/>
        <v>-135.9078276</v>
      </c>
      <c r="F390" s="24">
        <f t="shared" si="3"/>
        <v>0.0002126449003</v>
      </c>
      <c r="G390" s="24">
        <f t="shared" si="4"/>
        <v>0</v>
      </c>
      <c r="H390" s="26">
        <f t="shared" si="5"/>
        <v>0</v>
      </c>
      <c r="I390" s="24">
        <f t="shared" si="6"/>
        <v>0</v>
      </c>
      <c r="J390" s="24">
        <f t="shared" si="7"/>
        <v>0</v>
      </c>
      <c r="K390" s="24"/>
      <c r="L390" s="24">
        <f t="shared" si="8"/>
        <v>414.9427562</v>
      </c>
      <c r="M390" s="14">
        <f t="shared" si="9"/>
        <v>420.0146485</v>
      </c>
      <c r="N390" s="27">
        <f t="shared" si="10"/>
        <v>-5.071892282</v>
      </c>
      <c r="O390" s="24"/>
      <c r="P390" s="24"/>
      <c r="Q390" s="24"/>
      <c r="R390" s="26"/>
      <c r="S390" s="14">
        <f t="shared" si="13"/>
        <v>-4.657499058</v>
      </c>
    </row>
    <row r="391">
      <c r="A391" s="11">
        <v>379.0</v>
      </c>
      <c r="B391" s="11">
        <v>1.42104347826087E9</v>
      </c>
      <c r="C391" s="2">
        <v>-102.5770721</v>
      </c>
      <c r="D391" s="24">
        <f t="shared" si="1"/>
        <v>643478.2609</v>
      </c>
      <c r="E391" s="25">
        <f t="shared" si="2"/>
        <v>-136.8261237</v>
      </c>
      <c r="F391" s="24">
        <f t="shared" si="3"/>
        <v>0.0002126351922</v>
      </c>
      <c r="G391" s="24">
        <f t="shared" si="4"/>
        <v>0</v>
      </c>
      <c r="H391" s="26">
        <f t="shared" si="5"/>
        <v>0</v>
      </c>
      <c r="I391" s="24">
        <f t="shared" si="6"/>
        <v>0</v>
      </c>
      <c r="J391" s="24">
        <f t="shared" si="7"/>
        <v>0</v>
      </c>
      <c r="K391" s="24"/>
      <c r="L391" s="24">
        <f t="shared" si="8"/>
        <v>420.1447657</v>
      </c>
      <c r="M391" s="14">
        <f t="shared" si="9"/>
        <v>419.9076514</v>
      </c>
      <c r="N391" s="27">
        <f t="shared" si="10"/>
        <v>0.2371143661</v>
      </c>
      <c r="O391" s="24"/>
      <c r="P391" s="24"/>
      <c r="Q391" s="24"/>
      <c r="R391" s="26"/>
      <c r="S391" s="14">
        <f t="shared" si="13"/>
        <v>0.2177412054</v>
      </c>
    </row>
    <row r="392">
      <c r="A392" s="11">
        <v>380.0</v>
      </c>
      <c r="B392" s="11">
        <v>1.42104782608695E9</v>
      </c>
      <c r="C392" s="2">
        <v>-102.5569458</v>
      </c>
      <c r="D392" s="24">
        <f t="shared" si="1"/>
        <v>647826.087</v>
      </c>
      <c r="E392" s="25">
        <f t="shared" si="2"/>
        <v>-137.7444198</v>
      </c>
      <c r="F392" s="24">
        <f t="shared" si="3"/>
        <v>0.0002126256145</v>
      </c>
      <c r="G392" s="24">
        <f t="shared" si="4"/>
        <v>0</v>
      </c>
      <c r="H392" s="26">
        <f t="shared" si="5"/>
        <v>0</v>
      </c>
      <c r="I392" s="24">
        <f t="shared" si="6"/>
        <v>0</v>
      </c>
      <c r="J392" s="24">
        <f t="shared" si="7"/>
        <v>0</v>
      </c>
      <c r="K392" s="24"/>
      <c r="L392" s="24">
        <f t="shared" si="8"/>
        <v>422.096341</v>
      </c>
      <c r="M392" s="14">
        <f t="shared" si="9"/>
        <v>419.8004092</v>
      </c>
      <c r="N392" s="27">
        <f t="shared" si="10"/>
        <v>2.295931757</v>
      </c>
      <c r="O392" s="24"/>
      <c r="P392" s="24"/>
      <c r="Q392" s="24"/>
      <c r="R392" s="26"/>
      <c r="S392" s="14">
        <f t="shared" si="13"/>
        <v>2.108345254</v>
      </c>
    </row>
    <row r="393">
      <c r="A393" s="11">
        <v>381.0</v>
      </c>
      <c r="B393" s="11">
        <v>1.42105217391304E9</v>
      </c>
      <c r="C393" s="2">
        <v>-102.6040268</v>
      </c>
      <c r="D393" s="24">
        <f t="shared" si="1"/>
        <v>652173.913</v>
      </c>
      <c r="E393" s="25">
        <f t="shared" si="2"/>
        <v>-138.662716</v>
      </c>
      <c r="F393" s="24">
        <f t="shared" si="3"/>
        <v>0.0002126161645</v>
      </c>
      <c r="G393" s="24">
        <f t="shared" si="4"/>
        <v>0</v>
      </c>
      <c r="H393" s="26">
        <f t="shared" si="5"/>
        <v>0</v>
      </c>
      <c r="I393" s="24">
        <f t="shared" si="6"/>
        <v>0</v>
      </c>
      <c r="J393" s="24">
        <f t="shared" si="7"/>
        <v>0</v>
      </c>
      <c r="K393" s="24"/>
      <c r="L393" s="24">
        <f t="shared" si="8"/>
        <v>417.5451922</v>
      </c>
      <c r="M393" s="14">
        <f t="shared" si="9"/>
        <v>419.6929212</v>
      </c>
      <c r="N393" s="27">
        <f t="shared" si="10"/>
        <v>-2.147728965</v>
      </c>
      <c r="O393" s="24"/>
      <c r="P393" s="24"/>
      <c r="Q393" s="24"/>
      <c r="R393" s="26"/>
      <c r="S393" s="14">
        <f t="shared" si="13"/>
        <v>-1.972251199</v>
      </c>
    </row>
    <row r="394">
      <c r="A394" s="11">
        <v>382.0</v>
      </c>
      <c r="B394" s="11">
        <v>1.42105652173913E9</v>
      </c>
      <c r="C394" s="2">
        <v>-102.6381454</v>
      </c>
      <c r="D394" s="24">
        <f t="shared" si="1"/>
        <v>656521.7391</v>
      </c>
      <c r="E394" s="25">
        <f t="shared" si="2"/>
        <v>-139.5810121</v>
      </c>
      <c r="F394" s="24">
        <f t="shared" si="3"/>
        <v>0.0002126068396</v>
      </c>
      <c r="G394" s="24">
        <f t="shared" si="4"/>
        <v>0</v>
      </c>
      <c r="H394" s="26">
        <f t="shared" si="5"/>
        <v>0</v>
      </c>
      <c r="I394" s="24">
        <f t="shared" si="6"/>
        <v>0</v>
      </c>
      <c r="J394" s="24">
        <f t="shared" si="7"/>
        <v>0</v>
      </c>
      <c r="K394" s="24"/>
      <c r="L394" s="24">
        <f t="shared" si="8"/>
        <v>414.2777677</v>
      </c>
      <c r="M394" s="14">
        <f t="shared" si="9"/>
        <v>419.5851865</v>
      </c>
      <c r="N394" s="27">
        <f t="shared" si="10"/>
        <v>-5.307418815</v>
      </c>
      <c r="O394" s="24"/>
      <c r="P394" s="24"/>
      <c r="Q394" s="24"/>
      <c r="R394" s="26"/>
      <c r="S394" s="14">
        <f t="shared" si="13"/>
        <v>-4.873782173</v>
      </c>
    </row>
    <row r="395">
      <c r="A395" s="11">
        <v>383.0</v>
      </c>
      <c r="B395" s="11">
        <v>1.42106086956521E9</v>
      </c>
      <c r="C395" s="2">
        <v>-102.6091766</v>
      </c>
      <c r="D395" s="24">
        <f t="shared" si="1"/>
        <v>660869.5652</v>
      </c>
      <c r="E395" s="25">
        <f t="shared" si="2"/>
        <v>-140.4993082</v>
      </c>
      <c r="F395" s="24">
        <f t="shared" si="3"/>
        <v>0.0002125976374</v>
      </c>
      <c r="G395" s="24">
        <f t="shared" si="4"/>
        <v>0</v>
      </c>
      <c r="H395" s="26">
        <f t="shared" si="5"/>
        <v>0</v>
      </c>
      <c r="I395" s="24">
        <f t="shared" si="6"/>
        <v>0</v>
      </c>
      <c r="J395" s="24">
        <f t="shared" si="7"/>
        <v>0</v>
      </c>
      <c r="K395" s="24"/>
      <c r="L395" s="24">
        <f t="shared" si="8"/>
        <v>417.0503667</v>
      </c>
      <c r="M395" s="14">
        <f t="shared" si="9"/>
        <v>419.4772044</v>
      </c>
      <c r="N395" s="27">
        <f t="shared" si="10"/>
        <v>-2.426837679</v>
      </c>
      <c r="O395" s="24"/>
      <c r="P395" s="24"/>
      <c r="Q395" s="24"/>
      <c r="R395" s="26"/>
      <c r="S395" s="14">
        <f t="shared" si="13"/>
        <v>-2.228555655</v>
      </c>
    </row>
    <row r="396">
      <c r="A396" s="11">
        <v>384.0</v>
      </c>
      <c r="B396" s="11">
        <v>1.4210652173913E9</v>
      </c>
      <c r="C396" s="2">
        <v>-102.5577698</v>
      </c>
      <c r="D396" s="24">
        <f t="shared" si="1"/>
        <v>665217.3913</v>
      </c>
      <c r="E396" s="25">
        <f t="shared" si="2"/>
        <v>-141.4176043</v>
      </c>
      <c r="F396" s="24">
        <f t="shared" si="3"/>
        <v>0.0002125885556</v>
      </c>
      <c r="G396" s="24">
        <f t="shared" si="4"/>
        <v>0</v>
      </c>
      <c r="H396" s="26">
        <f t="shared" si="5"/>
        <v>0</v>
      </c>
      <c r="I396" s="24">
        <f t="shared" si="6"/>
        <v>0</v>
      </c>
      <c r="J396" s="24">
        <f t="shared" si="7"/>
        <v>0</v>
      </c>
      <c r="K396" s="24"/>
      <c r="L396" s="24">
        <f t="shared" si="8"/>
        <v>422.0162629</v>
      </c>
      <c r="M396" s="14">
        <f t="shared" si="9"/>
        <v>419.368974</v>
      </c>
      <c r="N396" s="27">
        <f t="shared" si="10"/>
        <v>2.647288898</v>
      </c>
      <c r="O396" s="24"/>
      <c r="P396" s="24"/>
      <c r="Q396" s="24"/>
      <c r="R396" s="26"/>
      <c r="S396" s="14">
        <f t="shared" si="13"/>
        <v>2.430995151</v>
      </c>
    </row>
    <row r="397">
      <c r="A397" s="11">
        <v>385.0</v>
      </c>
      <c r="B397" s="11">
        <v>1.42106956521739E9</v>
      </c>
      <c r="C397" s="2">
        <v>-102.5735092</v>
      </c>
      <c r="D397" s="24">
        <f t="shared" si="1"/>
        <v>669565.2174</v>
      </c>
      <c r="E397" s="25">
        <f t="shared" si="2"/>
        <v>-142.3359005</v>
      </c>
      <c r="F397" s="24">
        <f t="shared" si="3"/>
        <v>0.0002125795916</v>
      </c>
      <c r="G397" s="24">
        <f t="shared" si="4"/>
        <v>0</v>
      </c>
      <c r="H397" s="26">
        <f t="shared" si="5"/>
        <v>0</v>
      </c>
      <c r="I397" s="24">
        <f t="shared" si="6"/>
        <v>0</v>
      </c>
      <c r="J397" s="24">
        <f t="shared" si="7"/>
        <v>0</v>
      </c>
      <c r="K397" s="24"/>
      <c r="L397" s="24">
        <f t="shared" si="8"/>
        <v>420.4895889</v>
      </c>
      <c r="M397" s="14">
        <f t="shared" si="9"/>
        <v>419.2604947</v>
      </c>
      <c r="N397" s="27">
        <f t="shared" si="10"/>
        <v>1.229094201</v>
      </c>
      <c r="O397" s="24"/>
      <c r="P397" s="24"/>
      <c r="Q397" s="24"/>
      <c r="R397" s="26"/>
      <c r="S397" s="14">
        <f t="shared" si="13"/>
        <v>1.128672452</v>
      </c>
    </row>
    <row r="398">
      <c r="A398" s="11">
        <v>386.0</v>
      </c>
      <c r="B398" s="11">
        <v>1.42107391304347E9</v>
      </c>
      <c r="C398" s="2">
        <v>-102.5912399</v>
      </c>
      <c r="D398" s="24">
        <f t="shared" si="1"/>
        <v>673913.0435</v>
      </c>
      <c r="E398" s="25">
        <f t="shared" si="2"/>
        <v>-143.2541966</v>
      </c>
      <c r="F398" s="24">
        <f t="shared" si="3"/>
        <v>0.0002125707434</v>
      </c>
      <c r="G398" s="24">
        <f t="shared" si="4"/>
        <v>0</v>
      </c>
      <c r="H398" s="26">
        <f t="shared" si="5"/>
        <v>0</v>
      </c>
      <c r="I398" s="24">
        <f t="shared" si="6"/>
        <v>0</v>
      </c>
      <c r="J398" s="24">
        <f t="shared" si="7"/>
        <v>0</v>
      </c>
      <c r="K398" s="24"/>
      <c r="L398" s="24">
        <f t="shared" si="8"/>
        <v>418.776379</v>
      </c>
      <c r="M398" s="14">
        <f t="shared" si="9"/>
        <v>419.1517656</v>
      </c>
      <c r="N398" s="27">
        <f t="shared" si="10"/>
        <v>-0.3753866157</v>
      </c>
      <c r="O398" s="24"/>
      <c r="P398" s="24"/>
      <c r="Q398" s="24"/>
      <c r="R398" s="26"/>
      <c r="S398" s="14">
        <f t="shared" si="13"/>
        <v>-0.3447160775</v>
      </c>
    </row>
    <row r="399">
      <c r="A399" s="11">
        <v>387.0</v>
      </c>
      <c r="B399" s="11">
        <v>1.42107826086956E9</v>
      </c>
      <c r="C399" s="2">
        <v>-102.5853271</v>
      </c>
      <c r="D399" s="24">
        <f t="shared" si="1"/>
        <v>678260.8696</v>
      </c>
      <c r="E399" s="25">
        <f t="shared" si="2"/>
        <v>-144.1724927</v>
      </c>
      <c r="F399" s="24">
        <f t="shared" si="3"/>
        <v>0.0002125620085</v>
      </c>
      <c r="G399" s="24">
        <f t="shared" si="4"/>
        <v>0</v>
      </c>
      <c r="H399" s="26">
        <f t="shared" si="5"/>
        <v>0</v>
      </c>
      <c r="I399" s="24">
        <f t="shared" si="6"/>
        <v>0</v>
      </c>
      <c r="J399" s="24">
        <f t="shared" si="7"/>
        <v>0</v>
      </c>
      <c r="K399" s="24"/>
      <c r="L399" s="24">
        <f t="shared" si="8"/>
        <v>419.3469198</v>
      </c>
      <c r="M399" s="14">
        <f t="shared" si="9"/>
        <v>419.0427859</v>
      </c>
      <c r="N399" s="27">
        <f t="shared" si="10"/>
        <v>0.3041339109</v>
      </c>
      <c r="O399" s="24"/>
      <c r="P399" s="24"/>
      <c r="Q399" s="24"/>
      <c r="R399" s="26"/>
      <c r="S399" s="14">
        <f t="shared" si="13"/>
        <v>0.2792849936</v>
      </c>
    </row>
    <row r="400">
      <c r="A400" s="11">
        <v>388.0</v>
      </c>
      <c r="B400" s="11">
        <v>1.42108260869565E9</v>
      </c>
      <c r="C400" s="2">
        <v>-102.5735168</v>
      </c>
      <c r="D400" s="24">
        <f t="shared" si="1"/>
        <v>682608.6957</v>
      </c>
      <c r="E400" s="25">
        <f t="shared" si="2"/>
        <v>-145.0907889</v>
      </c>
      <c r="F400" s="24">
        <f t="shared" si="3"/>
        <v>0.000212553385</v>
      </c>
      <c r="G400" s="24">
        <f t="shared" si="4"/>
        <v>0</v>
      </c>
      <c r="H400" s="26">
        <f t="shared" si="5"/>
        <v>0</v>
      </c>
      <c r="I400" s="24">
        <f t="shared" si="6"/>
        <v>0</v>
      </c>
      <c r="J400" s="24">
        <f t="shared" si="7"/>
        <v>0</v>
      </c>
      <c r="K400" s="24"/>
      <c r="L400" s="24">
        <f t="shared" si="8"/>
        <v>420.4888531</v>
      </c>
      <c r="M400" s="14">
        <f t="shared" si="9"/>
        <v>418.9335548</v>
      </c>
      <c r="N400" s="27">
        <f t="shared" si="10"/>
        <v>1.555298239</v>
      </c>
      <c r="O400" s="24"/>
      <c r="P400" s="24"/>
      <c r="Q400" s="24"/>
      <c r="R400" s="26"/>
      <c r="S400" s="14">
        <f t="shared" si="13"/>
        <v>1.428224359</v>
      </c>
    </row>
    <row r="401">
      <c r="A401" s="11">
        <v>389.0</v>
      </c>
      <c r="B401" s="11">
        <v>1.42108695652173E9</v>
      </c>
      <c r="C401" s="2">
        <v>-102.6146164</v>
      </c>
      <c r="D401" s="24">
        <f t="shared" si="1"/>
        <v>686956.5217</v>
      </c>
      <c r="E401" s="25">
        <f t="shared" si="2"/>
        <v>-146.009085</v>
      </c>
      <c r="F401" s="24">
        <f t="shared" si="3"/>
        <v>0.0002125448706</v>
      </c>
      <c r="G401" s="24">
        <f t="shared" si="4"/>
        <v>0</v>
      </c>
      <c r="H401" s="26">
        <f t="shared" si="5"/>
        <v>0</v>
      </c>
      <c r="I401" s="24">
        <f t="shared" si="6"/>
        <v>0</v>
      </c>
      <c r="J401" s="24">
        <f t="shared" si="7"/>
        <v>0</v>
      </c>
      <c r="K401" s="24"/>
      <c r="L401" s="24">
        <f t="shared" si="8"/>
        <v>416.528313</v>
      </c>
      <c r="M401" s="14">
        <f t="shared" si="9"/>
        <v>418.8240716</v>
      </c>
      <c r="N401" s="27">
        <f t="shared" si="10"/>
        <v>-2.295758616</v>
      </c>
      <c r="O401" s="24"/>
      <c r="P401" s="24"/>
      <c r="Q401" s="24"/>
      <c r="R401" s="26"/>
      <c r="S401" s="14">
        <f t="shared" si="13"/>
        <v>-2.108186259</v>
      </c>
    </row>
    <row r="402">
      <c r="A402" s="11">
        <v>390.0</v>
      </c>
      <c r="B402" s="11">
        <v>1.42109130434782E9</v>
      </c>
      <c r="C402" s="2">
        <v>-102.6072922</v>
      </c>
      <c r="D402" s="24">
        <f t="shared" si="1"/>
        <v>691304.3478</v>
      </c>
      <c r="E402" s="25">
        <f t="shared" si="2"/>
        <v>-146.9273811</v>
      </c>
      <c r="F402" s="24">
        <f t="shared" si="3"/>
        <v>0.0002125364633</v>
      </c>
      <c r="G402" s="24">
        <f t="shared" si="4"/>
        <v>0</v>
      </c>
      <c r="H402" s="26">
        <f t="shared" si="5"/>
        <v>0</v>
      </c>
      <c r="I402" s="24">
        <f t="shared" si="6"/>
        <v>0</v>
      </c>
      <c r="J402" s="24">
        <f t="shared" si="7"/>
        <v>0</v>
      </c>
      <c r="K402" s="24"/>
      <c r="L402" s="24">
        <f t="shared" si="8"/>
        <v>417.2313637</v>
      </c>
      <c r="M402" s="14">
        <f t="shared" si="9"/>
        <v>418.7143355</v>
      </c>
      <c r="N402" s="27">
        <f t="shared" si="10"/>
        <v>-1.482971714</v>
      </c>
      <c r="O402" s="24"/>
      <c r="P402" s="24"/>
      <c r="Q402" s="24"/>
      <c r="R402" s="26"/>
      <c r="S402" s="14">
        <f t="shared" si="13"/>
        <v>-1.36180719</v>
      </c>
    </row>
    <row r="403">
      <c r="A403" s="11">
        <v>391.0</v>
      </c>
      <c r="B403" s="11">
        <v>1.42109565217391E9</v>
      </c>
      <c r="C403" s="2">
        <v>-102.5841827</v>
      </c>
      <c r="D403" s="24">
        <f t="shared" si="1"/>
        <v>695652.1739</v>
      </c>
      <c r="E403" s="25">
        <f t="shared" si="2"/>
        <v>-147.8456773</v>
      </c>
      <c r="F403" s="24">
        <f t="shared" si="3"/>
        <v>0.0002125281611</v>
      </c>
      <c r="G403" s="24">
        <f t="shared" si="4"/>
        <v>0</v>
      </c>
      <c r="H403" s="26">
        <f t="shared" si="5"/>
        <v>0</v>
      </c>
      <c r="I403" s="24">
        <f t="shared" si="6"/>
        <v>0</v>
      </c>
      <c r="J403" s="24">
        <f t="shared" si="7"/>
        <v>0</v>
      </c>
      <c r="K403" s="24"/>
      <c r="L403" s="24">
        <f t="shared" si="8"/>
        <v>419.4574356</v>
      </c>
      <c r="M403" s="14">
        <f t="shared" si="9"/>
        <v>418.6043456</v>
      </c>
      <c r="N403" s="27">
        <f t="shared" si="10"/>
        <v>0.8530899966</v>
      </c>
      <c r="O403" s="24"/>
      <c r="P403" s="24"/>
      <c r="Q403" s="24"/>
      <c r="R403" s="26"/>
      <c r="S403" s="14">
        <f t="shared" si="13"/>
        <v>0.783389243</v>
      </c>
    </row>
    <row r="404">
      <c r="A404" s="11">
        <v>392.0</v>
      </c>
      <c r="B404" s="11">
        <v>1.4211E9</v>
      </c>
      <c r="C404" s="2">
        <v>-102.5620041</v>
      </c>
      <c r="D404" s="24">
        <f t="shared" si="1"/>
        <v>700000</v>
      </c>
      <c r="E404" s="25">
        <f t="shared" si="2"/>
        <v>-148.7639734</v>
      </c>
      <c r="F404" s="24">
        <f t="shared" si="3"/>
        <v>0.000212519962</v>
      </c>
      <c r="G404" s="24">
        <f t="shared" si="4"/>
        <v>0</v>
      </c>
      <c r="H404" s="26">
        <f t="shared" si="5"/>
        <v>0</v>
      </c>
      <c r="I404" s="24">
        <f t="shared" si="6"/>
        <v>0</v>
      </c>
      <c r="J404" s="24">
        <f t="shared" si="7"/>
        <v>0</v>
      </c>
      <c r="K404" s="24"/>
      <c r="L404" s="24">
        <f t="shared" si="8"/>
        <v>421.6050045</v>
      </c>
      <c r="M404" s="14">
        <f t="shared" si="9"/>
        <v>418.4941012</v>
      </c>
      <c r="N404" s="27">
        <f t="shared" si="10"/>
        <v>3.11090335</v>
      </c>
      <c r="O404" s="24"/>
      <c r="P404" s="24"/>
      <c r="Q404" s="24"/>
      <c r="R404" s="26"/>
      <c r="S404" s="14">
        <f t="shared" si="13"/>
        <v>2.856730515</v>
      </c>
    </row>
    <row r="405">
      <c r="A405" s="11">
        <v>393.0</v>
      </c>
      <c r="B405" s="11">
        <v>1.42110434782608E9</v>
      </c>
      <c r="C405" s="2">
        <v>-102.5272903</v>
      </c>
      <c r="D405" s="24">
        <f t="shared" si="1"/>
        <v>704347.8261</v>
      </c>
      <c r="E405" s="25">
        <f t="shared" si="2"/>
        <v>-149.6822695</v>
      </c>
      <c r="F405" s="24">
        <f t="shared" si="3"/>
        <v>0.0002125118642</v>
      </c>
      <c r="G405" s="24">
        <f t="shared" si="4"/>
        <v>0</v>
      </c>
      <c r="H405" s="26">
        <f t="shared" si="5"/>
        <v>0</v>
      </c>
      <c r="I405" s="24">
        <f t="shared" si="6"/>
        <v>0</v>
      </c>
      <c r="J405" s="24">
        <f t="shared" si="7"/>
        <v>0</v>
      </c>
      <c r="K405" s="24"/>
      <c r="L405" s="24">
        <f t="shared" si="8"/>
        <v>424.9884599</v>
      </c>
      <c r="M405" s="14">
        <f t="shared" si="9"/>
        <v>418.3836015</v>
      </c>
      <c r="N405" s="27">
        <f t="shared" si="10"/>
        <v>6.604858403</v>
      </c>
      <c r="O405" s="24"/>
      <c r="P405" s="24"/>
      <c r="Q405" s="24"/>
      <c r="R405" s="26"/>
      <c r="S405" s="14">
        <f t="shared" si="13"/>
        <v>6.065215929</v>
      </c>
    </row>
    <row r="406">
      <c r="A406" s="11">
        <v>394.0</v>
      </c>
      <c r="B406" s="11">
        <v>1.42110869565217E9</v>
      </c>
      <c r="C406" s="2">
        <v>-102.6126633</v>
      </c>
      <c r="D406" s="24">
        <f t="shared" si="1"/>
        <v>708695.6522</v>
      </c>
      <c r="E406" s="25">
        <f t="shared" si="2"/>
        <v>-150.6005657</v>
      </c>
      <c r="F406" s="24">
        <f t="shared" si="3"/>
        <v>0.0002125038657</v>
      </c>
      <c r="G406" s="24">
        <f t="shared" si="4"/>
        <v>0</v>
      </c>
      <c r="H406" s="26">
        <f t="shared" si="5"/>
        <v>0</v>
      </c>
      <c r="I406" s="24">
        <f t="shared" si="6"/>
        <v>0</v>
      </c>
      <c r="J406" s="24">
        <f t="shared" si="7"/>
        <v>0</v>
      </c>
      <c r="K406" s="24"/>
      <c r="L406" s="24">
        <f t="shared" si="8"/>
        <v>416.7156754</v>
      </c>
      <c r="M406" s="14">
        <f t="shared" si="9"/>
        <v>418.2728457</v>
      </c>
      <c r="N406" s="27">
        <f t="shared" si="10"/>
        <v>-1.557170302</v>
      </c>
      <c r="O406" s="24"/>
      <c r="P406" s="24"/>
      <c r="Q406" s="24"/>
      <c r="R406" s="26"/>
      <c r="S406" s="14">
        <f t="shared" si="13"/>
        <v>-1.429943463</v>
      </c>
    </row>
    <row r="407">
      <c r="A407" s="11">
        <v>395.0</v>
      </c>
      <c r="B407" s="11">
        <v>1.42111304347826E9</v>
      </c>
      <c r="C407" s="2">
        <v>-102.5939178</v>
      </c>
      <c r="D407" s="24">
        <f t="shared" si="1"/>
        <v>713043.4783</v>
      </c>
      <c r="E407" s="25">
        <f t="shared" si="2"/>
        <v>-151.5188618</v>
      </c>
      <c r="F407" s="24">
        <f t="shared" si="3"/>
        <v>0.0002124959647</v>
      </c>
      <c r="G407" s="24">
        <f t="shared" si="4"/>
        <v>0</v>
      </c>
      <c r="H407" s="26">
        <f t="shared" si="5"/>
        <v>0</v>
      </c>
      <c r="I407" s="24">
        <f t="shared" si="6"/>
        <v>0</v>
      </c>
      <c r="J407" s="24">
        <f t="shared" si="7"/>
        <v>0</v>
      </c>
      <c r="K407" s="24"/>
      <c r="L407" s="24">
        <f t="shared" si="8"/>
        <v>418.5182372</v>
      </c>
      <c r="M407" s="14">
        <f t="shared" si="9"/>
        <v>418.161833</v>
      </c>
      <c r="N407" s="27">
        <f t="shared" si="10"/>
        <v>0.3564041906</v>
      </c>
      <c r="O407" s="24"/>
      <c r="P407" s="24"/>
      <c r="Q407" s="24"/>
      <c r="R407" s="26"/>
      <c r="S407" s="14">
        <f t="shared" si="13"/>
        <v>0.32728459</v>
      </c>
    </row>
    <row r="408">
      <c r="A408" s="11">
        <v>396.0</v>
      </c>
      <c r="B408" s="11">
        <v>1.42111739130434E9</v>
      </c>
      <c r="C408" s="2">
        <v>-102.5953674</v>
      </c>
      <c r="D408" s="24">
        <f t="shared" si="1"/>
        <v>717391.3043</v>
      </c>
      <c r="E408" s="25">
        <f t="shared" si="2"/>
        <v>-152.4371579</v>
      </c>
      <c r="F408" s="24">
        <f t="shared" si="3"/>
        <v>0.0002124881595</v>
      </c>
      <c r="G408" s="24">
        <f t="shared" si="4"/>
        <v>0</v>
      </c>
      <c r="H408" s="26">
        <f t="shared" si="5"/>
        <v>0</v>
      </c>
      <c r="I408" s="24">
        <f t="shared" si="6"/>
        <v>0</v>
      </c>
      <c r="J408" s="24">
        <f t="shared" si="7"/>
        <v>0</v>
      </c>
      <c r="K408" s="24"/>
      <c r="L408" s="24">
        <f t="shared" si="8"/>
        <v>418.3785663</v>
      </c>
      <c r="M408" s="14">
        <f t="shared" si="9"/>
        <v>418.0505626</v>
      </c>
      <c r="N408" s="27">
        <f t="shared" si="10"/>
        <v>0.3280036827</v>
      </c>
      <c r="O408" s="24"/>
      <c r="P408" s="24"/>
      <c r="Q408" s="24"/>
      <c r="R408" s="26"/>
      <c r="S408" s="14">
        <f t="shared" si="13"/>
        <v>0.3012045133</v>
      </c>
    </row>
    <row r="409">
      <c r="A409" s="11">
        <v>397.0</v>
      </c>
      <c r="B409" s="11">
        <v>1.42112173913043E9</v>
      </c>
      <c r="C409" s="2">
        <v>-102.6013412</v>
      </c>
      <c r="D409" s="24">
        <f t="shared" si="1"/>
        <v>721739.1304</v>
      </c>
      <c r="E409" s="25">
        <f t="shared" si="2"/>
        <v>-153.3554541</v>
      </c>
      <c r="F409" s="24">
        <f t="shared" si="3"/>
        <v>0.0002124804484</v>
      </c>
      <c r="G409" s="24">
        <f t="shared" si="4"/>
        <v>0</v>
      </c>
      <c r="H409" s="26">
        <f t="shared" si="5"/>
        <v>0</v>
      </c>
      <c r="I409" s="24">
        <f t="shared" si="6"/>
        <v>0</v>
      </c>
      <c r="J409" s="24">
        <f t="shared" si="7"/>
        <v>0</v>
      </c>
      <c r="K409" s="24"/>
      <c r="L409" s="24">
        <f t="shared" si="8"/>
        <v>417.8034746</v>
      </c>
      <c r="M409" s="14">
        <f t="shared" si="9"/>
        <v>417.9390338</v>
      </c>
      <c r="N409" s="27">
        <f t="shared" si="10"/>
        <v>-0.1355592726</v>
      </c>
      <c r="O409" s="24"/>
      <c r="P409" s="24"/>
      <c r="Q409" s="24"/>
      <c r="R409" s="26"/>
      <c r="S409" s="14">
        <f t="shared" si="13"/>
        <v>-0.1244835555</v>
      </c>
    </row>
    <row r="410">
      <c r="A410" s="11">
        <v>398.0</v>
      </c>
      <c r="B410" s="11">
        <v>1.42112608695652E9</v>
      </c>
      <c r="C410" s="2">
        <v>-102.597229</v>
      </c>
      <c r="D410" s="24">
        <f t="shared" si="1"/>
        <v>726086.9565</v>
      </c>
      <c r="E410" s="25">
        <f t="shared" si="2"/>
        <v>-154.2737502</v>
      </c>
      <c r="F410" s="24">
        <f t="shared" si="3"/>
        <v>0.0002124728296</v>
      </c>
      <c r="G410" s="24">
        <f t="shared" si="4"/>
        <v>0</v>
      </c>
      <c r="H410" s="26">
        <f t="shared" si="5"/>
        <v>0</v>
      </c>
      <c r="I410" s="24">
        <f t="shared" si="6"/>
        <v>0</v>
      </c>
      <c r="J410" s="24">
        <f t="shared" si="7"/>
        <v>0</v>
      </c>
      <c r="K410" s="24"/>
      <c r="L410" s="24">
        <f t="shared" si="8"/>
        <v>418.1992671</v>
      </c>
      <c r="M410" s="14">
        <f t="shared" si="9"/>
        <v>417.8272458</v>
      </c>
      <c r="N410" s="27">
        <f t="shared" si="10"/>
        <v>0.372021293</v>
      </c>
      <c r="O410" s="24"/>
      <c r="P410" s="24"/>
      <c r="Q410" s="24"/>
      <c r="R410" s="26"/>
      <c r="S410" s="14">
        <f t="shared" si="13"/>
        <v>0.3416257147</v>
      </c>
    </row>
    <row r="411">
      <c r="A411" s="11">
        <v>399.0</v>
      </c>
      <c r="B411" s="11">
        <v>1.4211304347826E9</v>
      </c>
      <c r="C411" s="2">
        <v>-102.6209641</v>
      </c>
      <c r="D411" s="24">
        <f t="shared" si="1"/>
        <v>730434.7826</v>
      </c>
      <c r="E411" s="25">
        <f t="shared" si="2"/>
        <v>-155.1920463</v>
      </c>
      <c r="F411" s="24">
        <f t="shared" si="3"/>
        <v>0.0002124653015</v>
      </c>
      <c r="G411" s="24">
        <f t="shared" si="4"/>
        <v>0</v>
      </c>
      <c r="H411" s="26">
        <f t="shared" si="5"/>
        <v>0</v>
      </c>
      <c r="I411" s="24">
        <f t="shared" si="6"/>
        <v>0</v>
      </c>
      <c r="J411" s="24">
        <f t="shared" si="7"/>
        <v>0</v>
      </c>
      <c r="K411" s="24"/>
      <c r="L411" s="24">
        <f t="shared" si="8"/>
        <v>415.9199549</v>
      </c>
      <c r="M411" s="14">
        <f t="shared" si="9"/>
        <v>417.7151977</v>
      </c>
      <c r="N411" s="27">
        <f t="shared" si="10"/>
        <v>-1.7952428</v>
      </c>
      <c r="O411" s="24"/>
      <c r="P411" s="24"/>
      <c r="Q411" s="24"/>
      <c r="R411" s="26"/>
      <c r="S411" s="14">
        <f t="shared" si="13"/>
        <v>-1.64856452</v>
      </c>
    </row>
    <row r="412">
      <c r="A412" s="11">
        <v>400.0</v>
      </c>
      <c r="B412" s="11">
        <v>1.42113478260869E9</v>
      </c>
      <c r="C412" s="2">
        <v>-102.6057663</v>
      </c>
      <c r="D412" s="24">
        <f t="shared" si="1"/>
        <v>734782.6087</v>
      </c>
      <c r="E412" s="25">
        <f t="shared" si="2"/>
        <v>-156.1103425</v>
      </c>
      <c r="F412" s="24">
        <f t="shared" si="3"/>
        <v>0.0002124578625</v>
      </c>
      <c r="G412" s="24">
        <f t="shared" si="4"/>
        <v>0</v>
      </c>
      <c r="H412" s="26">
        <f t="shared" si="5"/>
        <v>0</v>
      </c>
      <c r="I412" s="24">
        <f t="shared" si="6"/>
        <v>0</v>
      </c>
      <c r="J412" s="24">
        <f t="shared" si="7"/>
        <v>0</v>
      </c>
      <c r="K412" s="24"/>
      <c r="L412" s="24">
        <f t="shared" si="8"/>
        <v>417.3779843</v>
      </c>
      <c r="M412" s="14">
        <f t="shared" si="9"/>
        <v>417.6028889</v>
      </c>
      <c r="N412" s="27">
        <f t="shared" si="10"/>
        <v>-0.224904512</v>
      </c>
      <c r="O412" s="24"/>
      <c r="P412" s="24"/>
      <c r="Q412" s="24"/>
      <c r="R412" s="26"/>
      <c r="S412" s="14">
        <f t="shared" si="13"/>
        <v>-0.2065289436</v>
      </c>
    </row>
    <row r="413">
      <c r="A413" s="11">
        <v>401.0</v>
      </c>
      <c r="B413" s="11">
        <v>1.42113913043478E9</v>
      </c>
      <c r="C413" s="2">
        <v>-102.6039886</v>
      </c>
      <c r="D413" s="24">
        <f t="shared" si="1"/>
        <v>739130.4348</v>
      </c>
      <c r="E413" s="25">
        <f t="shared" si="2"/>
        <v>-157.0286386</v>
      </c>
      <c r="F413" s="24">
        <f t="shared" si="3"/>
        <v>0.000212450511</v>
      </c>
      <c r="G413" s="24">
        <f t="shared" si="4"/>
        <v>0</v>
      </c>
      <c r="H413" s="26">
        <f t="shared" si="5"/>
        <v>0</v>
      </c>
      <c r="I413" s="24">
        <f t="shared" si="6"/>
        <v>0</v>
      </c>
      <c r="J413" s="24">
        <f t="shared" si="7"/>
        <v>0</v>
      </c>
      <c r="K413" s="24"/>
      <c r="L413" s="24">
        <f t="shared" si="8"/>
        <v>417.5488649</v>
      </c>
      <c r="M413" s="14">
        <f t="shared" si="9"/>
        <v>417.4903184</v>
      </c>
      <c r="N413" s="27">
        <f t="shared" si="10"/>
        <v>0.05854650685</v>
      </c>
      <c r="O413" s="24"/>
      <c r="P413" s="24"/>
      <c r="Q413" s="24"/>
      <c r="R413" s="26"/>
      <c r="S413" s="14">
        <f t="shared" si="13"/>
        <v>0.0537630307</v>
      </c>
    </row>
    <row r="414">
      <c r="A414" s="11">
        <v>402.0</v>
      </c>
      <c r="B414" s="11">
        <v>1.42114347826087E9</v>
      </c>
      <c r="C414" s="2">
        <v>-102.5665436</v>
      </c>
      <c r="D414" s="24">
        <f t="shared" si="1"/>
        <v>743478.2609</v>
      </c>
      <c r="E414" s="25">
        <f t="shared" si="2"/>
        <v>-157.9469347</v>
      </c>
      <c r="F414" s="24">
        <f t="shared" si="3"/>
        <v>0.0002124432455</v>
      </c>
      <c r="G414" s="24">
        <f t="shared" si="4"/>
        <v>0</v>
      </c>
      <c r="H414" s="26">
        <f t="shared" si="5"/>
        <v>0</v>
      </c>
      <c r="I414" s="24">
        <f t="shared" si="6"/>
        <v>0</v>
      </c>
      <c r="J414" s="24">
        <f t="shared" si="7"/>
        <v>0</v>
      </c>
      <c r="K414" s="24"/>
      <c r="L414" s="24">
        <f t="shared" si="8"/>
        <v>421.1645485</v>
      </c>
      <c r="M414" s="14">
        <f t="shared" si="9"/>
        <v>417.3774855</v>
      </c>
      <c r="N414" s="27">
        <f t="shared" si="10"/>
        <v>3.787063042</v>
      </c>
      <c r="O414" s="24"/>
      <c r="P414" s="24"/>
      <c r="Q414" s="24"/>
      <c r="R414" s="26"/>
      <c r="S414" s="14">
        <f t="shared" si="13"/>
        <v>3.477645346</v>
      </c>
    </row>
    <row r="415">
      <c r="A415" s="11">
        <v>403.0</v>
      </c>
      <c r="B415" s="11">
        <v>1.42114782608695E9</v>
      </c>
      <c r="C415" s="2">
        <v>-102.5930328</v>
      </c>
      <c r="D415" s="24">
        <f t="shared" si="1"/>
        <v>747826.087</v>
      </c>
      <c r="E415" s="25">
        <f t="shared" si="2"/>
        <v>-158.8652309</v>
      </c>
      <c r="F415" s="24">
        <f t="shared" si="3"/>
        <v>0.0002124360645</v>
      </c>
      <c r="G415" s="24">
        <f t="shared" si="4"/>
        <v>0</v>
      </c>
      <c r="H415" s="26">
        <f t="shared" si="5"/>
        <v>0</v>
      </c>
      <c r="I415" s="24">
        <f t="shared" si="6"/>
        <v>0</v>
      </c>
      <c r="J415" s="24">
        <f t="shared" si="7"/>
        <v>0</v>
      </c>
      <c r="K415" s="24"/>
      <c r="L415" s="24">
        <f t="shared" si="8"/>
        <v>418.603531</v>
      </c>
      <c r="M415" s="14">
        <f t="shared" si="9"/>
        <v>417.2643894</v>
      </c>
      <c r="N415" s="27">
        <f t="shared" si="10"/>
        <v>1.339141567</v>
      </c>
      <c r="O415" s="24"/>
      <c r="P415" s="24"/>
      <c r="Q415" s="24"/>
      <c r="R415" s="26"/>
      <c r="S415" s="14">
        <f t="shared" si="13"/>
        <v>1.229728522</v>
      </c>
    </row>
    <row r="416">
      <c r="A416" s="11">
        <v>404.0</v>
      </c>
      <c r="B416" s="11">
        <v>1.42115217391304E9</v>
      </c>
      <c r="C416" s="2">
        <v>-102.6161575</v>
      </c>
      <c r="D416" s="24">
        <f t="shared" si="1"/>
        <v>752173.913</v>
      </c>
      <c r="E416" s="25">
        <f t="shared" si="2"/>
        <v>-159.783527</v>
      </c>
      <c r="F416" s="24">
        <f t="shared" si="3"/>
        <v>0.0002124289665</v>
      </c>
      <c r="G416" s="24">
        <f t="shared" si="4"/>
        <v>0</v>
      </c>
      <c r="H416" s="26">
        <f t="shared" si="5"/>
        <v>0</v>
      </c>
      <c r="I416" s="24">
        <f t="shared" si="6"/>
        <v>0</v>
      </c>
      <c r="J416" s="24">
        <f t="shared" si="7"/>
        <v>0</v>
      </c>
      <c r="K416" s="24"/>
      <c r="L416" s="24">
        <f t="shared" si="8"/>
        <v>416.3805336</v>
      </c>
      <c r="M416" s="14">
        <f t="shared" si="9"/>
        <v>417.1510294</v>
      </c>
      <c r="N416" s="27">
        <f t="shared" si="10"/>
        <v>-0.7704958427</v>
      </c>
      <c r="O416" s="24"/>
      <c r="P416" s="24"/>
      <c r="Q416" s="24"/>
      <c r="R416" s="26"/>
      <c r="S416" s="14">
        <f t="shared" si="13"/>
        <v>-0.7075433511</v>
      </c>
    </row>
    <row r="417">
      <c r="A417" s="11">
        <v>405.0</v>
      </c>
      <c r="B417" s="11">
        <v>1.42115652173913E9</v>
      </c>
      <c r="C417" s="2">
        <v>-102.6129074</v>
      </c>
      <c r="D417" s="3">
        <f t="shared" si="1"/>
        <v>756521.7391</v>
      </c>
      <c r="E417" s="4">
        <f t="shared" si="2"/>
        <v>-160.7018231</v>
      </c>
      <c r="F417" s="3">
        <f t="shared" si="3"/>
        <v>0.0002124219501</v>
      </c>
      <c r="G417" s="3">
        <f t="shared" si="4"/>
        <v>0</v>
      </c>
      <c r="H417" s="2">
        <f t="shared" si="5"/>
        <v>0</v>
      </c>
      <c r="I417" s="3">
        <f t="shared" si="6"/>
        <v>0</v>
      </c>
      <c r="J417" s="3">
        <f t="shared" si="7"/>
        <v>0</v>
      </c>
      <c r="K417" s="3"/>
      <c r="L417" s="3">
        <f t="shared" si="8"/>
        <v>416.6922541</v>
      </c>
      <c r="M417" s="14">
        <f t="shared" si="9"/>
        <v>417.0374046</v>
      </c>
      <c r="N417" s="14">
        <f t="shared" si="10"/>
        <v>-0.3451505785</v>
      </c>
      <c r="O417" s="3"/>
      <c r="P417" s="3"/>
      <c r="Q417" s="3"/>
      <c r="R417" s="2"/>
      <c r="S417" s="14">
        <f t="shared" si="13"/>
        <v>-0.3169504415</v>
      </c>
    </row>
    <row r="418">
      <c r="A418" s="11">
        <v>406.0</v>
      </c>
      <c r="B418" s="11">
        <v>1.42116086956521E9</v>
      </c>
      <c r="C418" s="2">
        <v>-102.6364517</v>
      </c>
      <c r="D418" s="3">
        <f t="shared" si="1"/>
        <v>760869.5652</v>
      </c>
      <c r="E418" s="4">
        <f t="shared" si="2"/>
        <v>-161.6201193</v>
      </c>
      <c r="F418" s="3">
        <f t="shared" si="3"/>
        <v>0.0002124150139</v>
      </c>
      <c r="G418" s="3">
        <f t="shared" si="4"/>
        <v>0</v>
      </c>
      <c r="H418" s="2">
        <f t="shared" si="5"/>
        <v>0</v>
      </c>
      <c r="I418" s="3">
        <f t="shared" si="6"/>
        <v>0</v>
      </c>
      <c r="J418" s="3">
        <f t="shared" si="7"/>
        <v>0</v>
      </c>
      <c r="K418" s="3"/>
      <c r="L418" s="3">
        <f t="shared" si="8"/>
        <v>414.4393629</v>
      </c>
      <c r="M418" s="14">
        <f t="shared" si="9"/>
        <v>416.9235143</v>
      </c>
      <c r="N418" s="14">
        <f t="shared" si="10"/>
        <v>-2.484151444</v>
      </c>
      <c r="O418" s="3"/>
      <c r="P418" s="3"/>
      <c r="Q418" s="3"/>
      <c r="R418" s="2"/>
      <c r="S418" s="14">
        <f t="shared" si="13"/>
        <v>-2.281186664</v>
      </c>
    </row>
    <row r="419">
      <c r="A419" s="11">
        <v>407.0</v>
      </c>
      <c r="B419" s="11">
        <v>1.4211652173913E9</v>
      </c>
      <c r="C419" s="2">
        <v>-102.5693054</v>
      </c>
      <c r="D419" s="3">
        <f t="shared" si="1"/>
        <v>765217.3913</v>
      </c>
      <c r="E419" s="4">
        <f t="shared" si="2"/>
        <v>-162.5384154</v>
      </c>
      <c r="F419" s="3">
        <f t="shared" si="3"/>
        <v>0.0002124081565</v>
      </c>
      <c r="G419" s="3">
        <f t="shared" si="4"/>
        <v>0</v>
      </c>
      <c r="H419" s="2">
        <f t="shared" si="5"/>
        <v>0</v>
      </c>
      <c r="I419" s="3">
        <f t="shared" si="6"/>
        <v>0</v>
      </c>
      <c r="J419" s="3">
        <f t="shared" si="7"/>
        <v>0</v>
      </c>
      <c r="K419" s="3"/>
      <c r="L419" s="3">
        <f t="shared" si="8"/>
        <v>420.8968034</v>
      </c>
      <c r="M419" s="14">
        <f t="shared" si="9"/>
        <v>416.8093577</v>
      </c>
      <c r="N419" s="14">
        <f t="shared" si="10"/>
        <v>4.087445705</v>
      </c>
      <c r="O419" s="3"/>
      <c r="P419" s="3"/>
      <c r="Q419" s="3"/>
      <c r="R419" s="2"/>
      <c r="S419" s="14">
        <f t="shared" si="13"/>
        <v>3.753485575</v>
      </c>
    </row>
    <row r="420">
      <c r="A420" s="11">
        <v>408.0</v>
      </c>
      <c r="B420" s="11">
        <v>1.42116956521739E9</v>
      </c>
      <c r="C420" s="2">
        <v>-102.581398</v>
      </c>
      <c r="D420" s="3">
        <f t="shared" si="1"/>
        <v>769565.2174</v>
      </c>
      <c r="E420" s="4">
        <f t="shared" si="2"/>
        <v>-163.4567115</v>
      </c>
      <c r="F420" s="3">
        <f t="shared" si="3"/>
        <v>0.0002124013765</v>
      </c>
      <c r="G420" s="3">
        <f t="shared" si="4"/>
        <v>0</v>
      </c>
      <c r="H420" s="2">
        <f t="shared" si="5"/>
        <v>0</v>
      </c>
      <c r="I420" s="3">
        <f t="shared" si="6"/>
        <v>0</v>
      </c>
      <c r="J420" s="3">
        <f t="shared" si="7"/>
        <v>0</v>
      </c>
      <c r="K420" s="3"/>
      <c r="L420" s="3">
        <f t="shared" si="8"/>
        <v>419.7264783</v>
      </c>
      <c r="M420" s="14">
        <f t="shared" si="9"/>
        <v>416.6949339</v>
      </c>
      <c r="N420" s="14">
        <f t="shared" si="10"/>
        <v>3.031544386</v>
      </c>
      <c r="O420" s="3"/>
      <c r="P420" s="3"/>
      <c r="Q420" s="3"/>
      <c r="R420" s="2"/>
      <c r="S420" s="14">
        <f t="shared" si="13"/>
        <v>2.783855486</v>
      </c>
    </row>
    <row r="421">
      <c r="A421" s="11">
        <v>409.0</v>
      </c>
      <c r="B421" s="11">
        <v>1.42117391304347E9</v>
      </c>
      <c r="C421" s="2">
        <v>-102.6059341</v>
      </c>
      <c r="D421" s="3">
        <f t="shared" si="1"/>
        <v>773913.0435</v>
      </c>
      <c r="E421" s="4">
        <f t="shared" si="2"/>
        <v>-164.3750077</v>
      </c>
      <c r="F421" s="3">
        <f t="shared" si="3"/>
        <v>0.0002123946728</v>
      </c>
      <c r="G421" s="3">
        <f t="shared" si="4"/>
        <v>0</v>
      </c>
      <c r="H421" s="2">
        <f t="shared" si="5"/>
        <v>0</v>
      </c>
      <c r="I421" s="3">
        <f t="shared" si="6"/>
        <v>0</v>
      </c>
      <c r="J421" s="3">
        <f t="shared" si="7"/>
        <v>0</v>
      </c>
      <c r="K421" s="3"/>
      <c r="L421" s="3">
        <f t="shared" si="8"/>
        <v>417.3618583</v>
      </c>
      <c r="M421" s="14">
        <f t="shared" si="9"/>
        <v>416.5802422</v>
      </c>
      <c r="N421" s="14">
        <f t="shared" si="10"/>
        <v>0.7816160384</v>
      </c>
      <c r="O421" s="3"/>
      <c r="P421" s="3"/>
      <c r="Q421" s="3"/>
      <c r="R421" s="2"/>
      <c r="S421" s="14">
        <f t="shared" si="13"/>
        <v>0.7177549854</v>
      </c>
    </row>
    <row r="422">
      <c r="A422" s="11">
        <v>410.0</v>
      </c>
      <c r="B422" s="11">
        <v>1.42117826086956E9</v>
      </c>
      <c r="C422" s="2">
        <v>-102.6259232</v>
      </c>
      <c r="D422" s="3">
        <f t="shared" si="1"/>
        <v>778260.8696</v>
      </c>
      <c r="E422" s="4">
        <f t="shared" si="2"/>
        <v>-165.2933038</v>
      </c>
      <c r="F422" s="3">
        <f t="shared" si="3"/>
        <v>0.000212388044</v>
      </c>
      <c r="G422" s="3">
        <f t="shared" si="4"/>
        <v>0</v>
      </c>
      <c r="H422" s="2">
        <f t="shared" si="5"/>
        <v>0</v>
      </c>
      <c r="I422" s="3">
        <f t="shared" si="6"/>
        <v>0</v>
      </c>
      <c r="J422" s="3">
        <f t="shared" si="7"/>
        <v>0</v>
      </c>
      <c r="K422" s="3"/>
      <c r="L422" s="3">
        <f t="shared" si="8"/>
        <v>415.4452974</v>
      </c>
      <c r="M422" s="14">
        <f t="shared" si="9"/>
        <v>416.4652819</v>
      </c>
      <c r="N422" s="14">
        <f t="shared" si="10"/>
        <v>-1.019984461</v>
      </c>
      <c r="O422" s="3"/>
      <c r="P422" s="3"/>
      <c r="Q422" s="3"/>
      <c r="R422" s="2"/>
      <c r="S422" s="14">
        <f t="shared" si="13"/>
        <v>-0.9366477842</v>
      </c>
    </row>
    <row r="423">
      <c r="A423" s="11">
        <v>411.0</v>
      </c>
      <c r="B423" s="11">
        <v>1.42118260869565E9</v>
      </c>
      <c r="C423" s="2">
        <v>-102.6761627</v>
      </c>
      <c r="D423" s="3">
        <f t="shared" si="1"/>
        <v>782608.6957</v>
      </c>
      <c r="E423" s="4">
        <f t="shared" si="2"/>
        <v>-166.2115999</v>
      </c>
      <c r="F423" s="3">
        <f t="shared" si="3"/>
        <v>0.0002123814888</v>
      </c>
      <c r="G423" s="3">
        <f t="shared" si="4"/>
        <v>0</v>
      </c>
      <c r="H423" s="2">
        <f t="shared" si="5"/>
        <v>0</v>
      </c>
      <c r="I423" s="3">
        <f t="shared" si="6"/>
        <v>0</v>
      </c>
      <c r="J423" s="3">
        <f t="shared" si="7"/>
        <v>0</v>
      </c>
      <c r="K423" s="3"/>
      <c r="L423" s="3">
        <f t="shared" si="8"/>
        <v>410.6670868</v>
      </c>
      <c r="M423" s="14">
        <f t="shared" si="9"/>
        <v>416.350052</v>
      </c>
      <c r="N423" s="14">
        <f t="shared" si="10"/>
        <v>-5.682965262</v>
      </c>
      <c r="O423" s="3"/>
      <c r="P423" s="3"/>
      <c r="Q423" s="3"/>
      <c r="R423" s="2"/>
      <c r="S423" s="14">
        <f t="shared" si="13"/>
        <v>-5.218645023</v>
      </c>
    </row>
    <row r="424">
      <c r="A424" s="11">
        <v>412.0</v>
      </c>
      <c r="B424" s="11">
        <v>1.42118695652173E9</v>
      </c>
      <c r="C424" s="2">
        <v>-102.6709671</v>
      </c>
      <c r="D424" s="3">
        <f t="shared" si="1"/>
        <v>786956.5217</v>
      </c>
      <c r="E424" s="4">
        <f t="shared" si="2"/>
        <v>-167.129896</v>
      </c>
      <c r="F424" s="3">
        <f t="shared" si="3"/>
        <v>0.000212375006</v>
      </c>
      <c r="G424" s="3">
        <f t="shared" si="4"/>
        <v>0</v>
      </c>
      <c r="H424" s="2">
        <f t="shared" si="5"/>
        <v>0</v>
      </c>
      <c r="I424" s="3">
        <f t="shared" si="6"/>
        <v>0</v>
      </c>
      <c r="J424" s="3">
        <f t="shared" si="7"/>
        <v>0</v>
      </c>
      <c r="K424" s="3"/>
      <c r="L424" s="3">
        <f t="shared" si="8"/>
        <v>411.1586746</v>
      </c>
      <c r="M424" s="14">
        <f t="shared" si="9"/>
        <v>416.2345519</v>
      </c>
      <c r="N424" s="14">
        <f t="shared" si="10"/>
        <v>-5.07587735</v>
      </c>
      <c r="O424" s="3"/>
      <c r="P424" s="3"/>
      <c r="Q424" s="3"/>
      <c r="R424" s="2"/>
      <c r="S424" s="14">
        <f t="shared" si="13"/>
        <v>-4.661158541</v>
      </c>
    </row>
    <row r="425">
      <c r="A425" s="11">
        <v>413.0</v>
      </c>
      <c r="B425" s="11">
        <v>1.42119130434782E9</v>
      </c>
      <c r="C425" s="2">
        <v>-102.6233063</v>
      </c>
      <c r="D425" s="3">
        <f t="shared" si="1"/>
        <v>791304.3478</v>
      </c>
      <c r="E425" s="4">
        <f t="shared" si="2"/>
        <v>-168.0481922</v>
      </c>
      <c r="F425" s="3">
        <f t="shared" si="3"/>
        <v>0.0002123685945</v>
      </c>
      <c r="G425" s="3">
        <f t="shared" si="4"/>
        <v>0</v>
      </c>
      <c r="H425" s="2">
        <f t="shared" si="5"/>
        <v>0</v>
      </c>
      <c r="I425" s="3">
        <f t="shared" si="6"/>
        <v>0</v>
      </c>
      <c r="J425" s="3">
        <f t="shared" si="7"/>
        <v>0</v>
      </c>
      <c r="K425" s="3"/>
      <c r="L425" s="3">
        <f t="shared" si="8"/>
        <v>415.695705</v>
      </c>
      <c r="M425" s="14">
        <f t="shared" si="9"/>
        <v>416.1187808</v>
      </c>
      <c r="N425" s="14">
        <f t="shared" si="10"/>
        <v>-0.4230757455</v>
      </c>
      <c r="O425" s="3"/>
      <c r="P425" s="3"/>
      <c r="Q425" s="3"/>
      <c r="R425" s="2"/>
      <c r="S425" s="14">
        <f t="shared" si="13"/>
        <v>-0.388508821</v>
      </c>
    </row>
    <row r="426">
      <c r="A426" s="11">
        <v>414.0</v>
      </c>
      <c r="B426" s="11">
        <v>1.42119565217391E9</v>
      </c>
      <c r="C426" s="2">
        <v>-102.6226273</v>
      </c>
      <c r="D426" s="3">
        <f t="shared" si="1"/>
        <v>795652.1739</v>
      </c>
      <c r="E426" s="4">
        <f t="shared" si="2"/>
        <v>-168.9664883</v>
      </c>
      <c r="F426" s="3">
        <f t="shared" si="3"/>
        <v>0.0002123622531</v>
      </c>
      <c r="G426" s="3">
        <f t="shared" si="4"/>
        <v>0</v>
      </c>
      <c r="H426" s="2">
        <f t="shared" si="5"/>
        <v>0</v>
      </c>
      <c r="I426" s="3">
        <f t="shared" si="6"/>
        <v>0</v>
      </c>
      <c r="J426" s="3">
        <f t="shared" si="7"/>
        <v>0</v>
      </c>
      <c r="K426" s="3"/>
      <c r="L426" s="3">
        <f t="shared" si="8"/>
        <v>415.7607023</v>
      </c>
      <c r="M426" s="14">
        <f t="shared" si="9"/>
        <v>416.0027378</v>
      </c>
      <c r="N426" s="14">
        <f t="shared" si="10"/>
        <v>-0.2420354962</v>
      </c>
      <c r="O426" s="3"/>
      <c r="P426" s="3"/>
      <c r="Q426" s="3"/>
      <c r="R426" s="2"/>
      <c r="S426" s="14">
        <f t="shared" si="13"/>
        <v>-0.2222602597</v>
      </c>
    </row>
    <row r="427">
      <c r="A427" s="11">
        <v>415.0</v>
      </c>
      <c r="B427" s="11">
        <v>1.4212E9</v>
      </c>
      <c r="C427" s="2">
        <v>-102.6779099</v>
      </c>
      <c r="D427" s="3">
        <f t="shared" si="1"/>
        <v>800000</v>
      </c>
      <c r="E427" s="4">
        <f t="shared" si="2"/>
        <v>-169.8847844</v>
      </c>
      <c r="F427" s="3">
        <f t="shared" si="3"/>
        <v>0.0002123559806</v>
      </c>
      <c r="G427" s="3">
        <f t="shared" si="4"/>
        <v>0</v>
      </c>
      <c r="H427" s="2">
        <f t="shared" si="5"/>
        <v>0</v>
      </c>
      <c r="I427" s="3">
        <f t="shared" si="6"/>
        <v>0</v>
      </c>
      <c r="J427" s="3">
        <f t="shared" si="7"/>
        <v>0</v>
      </c>
      <c r="K427" s="3"/>
      <c r="L427" s="3">
        <f t="shared" si="8"/>
        <v>410.5019055</v>
      </c>
      <c r="M427" s="14">
        <f t="shared" si="9"/>
        <v>415.8864221</v>
      </c>
      <c r="N427" s="14">
        <f t="shared" si="10"/>
        <v>-5.384516643</v>
      </c>
      <c r="O427" s="3"/>
      <c r="P427" s="3"/>
      <c r="Q427" s="3"/>
      <c r="R427" s="2"/>
      <c r="S427" s="14">
        <f t="shared" si="13"/>
        <v>-4.94458081</v>
      </c>
    </row>
    <row r="428">
      <c r="A428" s="11">
        <v>416.0</v>
      </c>
      <c r="B428" s="11">
        <v>1.42120434782608E9</v>
      </c>
      <c r="C428" s="2">
        <v>-102.6265259</v>
      </c>
      <c r="D428" s="3">
        <f t="shared" si="1"/>
        <v>804347.8261</v>
      </c>
      <c r="E428" s="4">
        <f t="shared" si="2"/>
        <v>-170.8030806</v>
      </c>
      <c r="F428" s="3">
        <f t="shared" si="3"/>
        <v>0.0002123497759</v>
      </c>
      <c r="G428" s="3">
        <f t="shared" si="4"/>
        <v>0</v>
      </c>
      <c r="H428" s="2">
        <f t="shared" si="5"/>
        <v>0</v>
      </c>
      <c r="I428" s="3">
        <f t="shared" si="6"/>
        <v>0</v>
      </c>
      <c r="J428" s="3">
        <f t="shared" si="7"/>
        <v>0</v>
      </c>
      <c r="K428" s="3"/>
      <c r="L428" s="3">
        <f t="shared" si="8"/>
        <v>415.3876472</v>
      </c>
      <c r="M428" s="14">
        <f t="shared" si="9"/>
        <v>415.7698331</v>
      </c>
      <c r="N428" s="14">
        <f t="shared" si="10"/>
        <v>-0.3821858332</v>
      </c>
      <c r="O428" s="3"/>
      <c r="P428" s="3"/>
      <c r="Q428" s="3"/>
      <c r="R428" s="2"/>
      <c r="S428" s="14">
        <f t="shared" si="13"/>
        <v>-0.3509597727</v>
      </c>
    </row>
    <row r="429">
      <c r="A429" s="11">
        <v>417.0</v>
      </c>
      <c r="B429" s="11">
        <v>1.42120869565217E9</v>
      </c>
      <c r="C429" s="2">
        <v>-102.594902</v>
      </c>
      <c r="D429" s="3">
        <f t="shared" si="1"/>
        <v>808695.6522</v>
      </c>
      <c r="E429" s="4">
        <f t="shared" si="2"/>
        <v>-171.7213767</v>
      </c>
      <c r="F429" s="3">
        <f t="shared" si="3"/>
        <v>0.0002123436379</v>
      </c>
      <c r="G429" s="3">
        <f t="shared" si="4"/>
        <v>0</v>
      </c>
      <c r="H429" s="2">
        <f t="shared" si="5"/>
        <v>0</v>
      </c>
      <c r="I429" s="3">
        <f t="shared" si="6"/>
        <v>0</v>
      </c>
      <c r="J429" s="3">
        <f t="shared" si="7"/>
        <v>0</v>
      </c>
      <c r="K429" s="3"/>
      <c r="L429" s="3">
        <f t="shared" si="8"/>
        <v>418.4234031</v>
      </c>
      <c r="M429" s="14">
        <f t="shared" si="9"/>
        <v>415.6529698</v>
      </c>
      <c r="N429" s="14">
        <f t="shared" si="10"/>
        <v>2.770433328</v>
      </c>
      <c r="O429" s="3"/>
      <c r="P429" s="3"/>
      <c r="Q429" s="3"/>
      <c r="R429" s="2"/>
      <c r="S429" s="14">
        <f t="shared" si="13"/>
        <v>2.544078205</v>
      </c>
    </row>
    <row r="430">
      <c r="A430" s="11">
        <v>418.0</v>
      </c>
      <c r="B430" s="11">
        <v>1.42121304347826E9</v>
      </c>
      <c r="C430" s="2">
        <v>-102.6143799</v>
      </c>
      <c r="D430" s="3">
        <f t="shared" si="1"/>
        <v>813043.4783</v>
      </c>
      <c r="E430" s="4">
        <f t="shared" si="2"/>
        <v>-172.6396728</v>
      </c>
      <c r="F430" s="3">
        <f t="shared" si="3"/>
        <v>0.0002123375655</v>
      </c>
      <c r="G430" s="3">
        <f t="shared" si="4"/>
        <v>0</v>
      </c>
      <c r="H430" s="2">
        <f t="shared" si="5"/>
        <v>0</v>
      </c>
      <c r="I430" s="3">
        <f t="shared" si="6"/>
        <v>0</v>
      </c>
      <c r="J430" s="3">
        <f t="shared" si="7"/>
        <v>0</v>
      </c>
      <c r="K430" s="3"/>
      <c r="L430" s="3">
        <f t="shared" si="8"/>
        <v>416.5509961</v>
      </c>
      <c r="M430" s="14">
        <f t="shared" si="9"/>
        <v>415.5358316</v>
      </c>
      <c r="N430" s="14">
        <f t="shared" si="10"/>
        <v>1.015164571</v>
      </c>
      <c r="O430" s="3"/>
      <c r="P430" s="3"/>
      <c r="Q430" s="3"/>
      <c r="R430" s="2"/>
      <c r="S430" s="14">
        <f t="shared" si="13"/>
        <v>0.9322216994</v>
      </c>
    </row>
    <row r="431">
      <c r="A431" s="11">
        <v>419.0</v>
      </c>
      <c r="B431" s="11">
        <v>1.42121739130434E9</v>
      </c>
      <c r="C431" s="2">
        <v>-102.6494446</v>
      </c>
      <c r="D431" s="3">
        <f t="shared" si="1"/>
        <v>817391.3043</v>
      </c>
      <c r="E431" s="4">
        <f t="shared" si="2"/>
        <v>-173.557969</v>
      </c>
      <c r="F431" s="3">
        <f t="shared" si="3"/>
        <v>0.0002123315578</v>
      </c>
      <c r="G431" s="3">
        <f t="shared" si="4"/>
        <v>0</v>
      </c>
      <c r="H431" s="2">
        <f t="shared" si="5"/>
        <v>0</v>
      </c>
      <c r="I431" s="3">
        <f t="shared" si="6"/>
        <v>0</v>
      </c>
      <c r="J431" s="3">
        <f t="shared" si="7"/>
        <v>0</v>
      </c>
      <c r="K431" s="3"/>
      <c r="L431" s="3">
        <f t="shared" si="8"/>
        <v>413.2013268</v>
      </c>
      <c r="M431" s="14">
        <f t="shared" si="9"/>
        <v>415.4184175</v>
      </c>
      <c r="N431" s="14">
        <f t="shared" si="10"/>
        <v>-2.217090744</v>
      </c>
      <c r="O431" s="3"/>
      <c r="P431" s="3"/>
      <c r="Q431" s="3"/>
      <c r="R431" s="2"/>
      <c r="S431" s="14">
        <f t="shared" si="13"/>
        <v>-2.035945857</v>
      </c>
    </row>
    <row r="432">
      <c r="A432" s="11">
        <v>420.0</v>
      </c>
      <c r="B432" s="11">
        <v>1.42122173913043E9</v>
      </c>
      <c r="C432" s="2">
        <v>-102.6455917</v>
      </c>
      <c r="D432" s="3">
        <f t="shared" si="1"/>
        <v>821739.1304</v>
      </c>
      <c r="E432" s="4">
        <f t="shared" si="2"/>
        <v>-174.4762651</v>
      </c>
      <c r="F432" s="3">
        <f t="shared" si="3"/>
        <v>0.0002123256136</v>
      </c>
      <c r="G432" s="3">
        <f t="shared" si="4"/>
        <v>0</v>
      </c>
      <c r="H432" s="2">
        <f t="shared" si="5"/>
        <v>0</v>
      </c>
      <c r="I432" s="3">
        <f t="shared" si="6"/>
        <v>0</v>
      </c>
      <c r="J432" s="3">
        <f t="shared" si="7"/>
        <v>0</v>
      </c>
      <c r="K432" s="3"/>
      <c r="L432" s="3">
        <f t="shared" si="8"/>
        <v>413.5680664</v>
      </c>
      <c r="M432" s="14">
        <f t="shared" si="9"/>
        <v>415.300727</v>
      </c>
      <c r="N432" s="14">
        <f t="shared" si="10"/>
        <v>-1.732660563</v>
      </c>
      <c r="O432" s="3"/>
      <c r="P432" s="3"/>
      <c r="Q432" s="3"/>
      <c r="R432" s="2"/>
      <c r="S432" s="14">
        <f t="shared" si="13"/>
        <v>-1.591095491</v>
      </c>
    </row>
    <row r="433">
      <c r="A433" s="11">
        <v>421.0</v>
      </c>
      <c r="B433" s="11">
        <v>1.42122608695652E9</v>
      </c>
      <c r="C433" s="2">
        <v>-102.6266937</v>
      </c>
      <c r="D433" s="3">
        <f t="shared" si="1"/>
        <v>826086.9565</v>
      </c>
      <c r="E433" s="4">
        <f t="shared" si="2"/>
        <v>-175.3945612</v>
      </c>
      <c r="F433" s="3">
        <f t="shared" si="3"/>
        <v>0.000212319732</v>
      </c>
      <c r="G433" s="3">
        <f t="shared" si="4"/>
        <v>0</v>
      </c>
      <c r="H433" s="2">
        <f t="shared" si="5"/>
        <v>0</v>
      </c>
      <c r="I433" s="3">
        <f t="shared" si="6"/>
        <v>0</v>
      </c>
      <c r="J433" s="3">
        <f t="shared" si="7"/>
        <v>0</v>
      </c>
      <c r="K433" s="3"/>
      <c r="L433" s="3">
        <f t="shared" si="8"/>
        <v>415.3715981</v>
      </c>
      <c r="M433" s="14">
        <f t="shared" si="9"/>
        <v>415.182759</v>
      </c>
      <c r="N433" s="14">
        <f t="shared" si="10"/>
        <v>0.1888390567</v>
      </c>
      <c r="O433" s="3"/>
      <c r="P433" s="3"/>
      <c r="Q433" s="3"/>
      <c r="R433" s="2"/>
      <c r="S433" s="14">
        <f t="shared" si="13"/>
        <v>0.1734101755</v>
      </c>
    </row>
    <row r="434">
      <c r="A434" s="11">
        <v>422.0</v>
      </c>
      <c r="B434" s="11">
        <v>1.4212304347826E9</v>
      </c>
      <c r="C434" s="2">
        <v>-102.5840912</v>
      </c>
      <c r="D434" s="3">
        <f t="shared" si="1"/>
        <v>830434.7826</v>
      </c>
      <c r="E434" s="4">
        <f t="shared" si="2"/>
        <v>-176.3128574</v>
      </c>
      <c r="F434" s="3">
        <f t="shared" si="3"/>
        <v>0.000212313912</v>
      </c>
      <c r="G434" s="3">
        <f t="shared" si="4"/>
        <v>0</v>
      </c>
      <c r="H434" s="2">
        <f t="shared" si="5"/>
        <v>0</v>
      </c>
      <c r="I434" s="3">
        <f t="shared" si="6"/>
        <v>0</v>
      </c>
      <c r="J434" s="3">
        <f t="shared" si="7"/>
        <v>0</v>
      </c>
      <c r="K434" s="3"/>
      <c r="L434" s="3">
        <f t="shared" si="8"/>
        <v>419.4662731</v>
      </c>
      <c r="M434" s="14">
        <f t="shared" si="9"/>
        <v>415.0645129</v>
      </c>
      <c r="N434" s="14">
        <f t="shared" si="10"/>
        <v>4.401760153</v>
      </c>
      <c r="O434" s="3"/>
      <c r="P434" s="3"/>
      <c r="Q434" s="3"/>
      <c r="R434" s="2"/>
      <c r="S434" s="14">
        <f t="shared" si="13"/>
        <v>4.042119325</v>
      </c>
    </row>
    <row r="435">
      <c r="A435" s="11">
        <v>423.0</v>
      </c>
      <c r="B435" s="11">
        <v>1.42123478260869E9</v>
      </c>
      <c r="C435" s="2">
        <v>-102.6239853</v>
      </c>
      <c r="D435" s="3">
        <f t="shared" si="1"/>
        <v>834782.6087</v>
      </c>
      <c r="E435" s="4">
        <f t="shared" si="2"/>
        <v>-177.2311535</v>
      </c>
      <c r="F435" s="3">
        <f t="shared" si="3"/>
        <v>0.0002123081526</v>
      </c>
      <c r="G435" s="3">
        <f t="shared" si="4"/>
        <v>0</v>
      </c>
      <c r="H435" s="2">
        <f t="shared" si="5"/>
        <v>0</v>
      </c>
      <c r="I435" s="3">
        <f t="shared" si="6"/>
        <v>0</v>
      </c>
      <c r="J435" s="3">
        <f t="shared" si="7"/>
        <v>0</v>
      </c>
      <c r="K435" s="3"/>
      <c r="L435" s="3">
        <f t="shared" si="8"/>
        <v>415.6307179</v>
      </c>
      <c r="M435" s="14">
        <f t="shared" si="9"/>
        <v>414.9459879</v>
      </c>
      <c r="N435" s="14">
        <f t="shared" si="10"/>
        <v>0.6847300378</v>
      </c>
      <c r="O435" s="3"/>
      <c r="P435" s="3"/>
      <c r="Q435" s="3"/>
      <c r="R435" s="2"/>
      <c r="S435" s="14">
        <f t="shared" si="13"/>
        <v>0.6287849457</v>
      </c>
    </row>
    <row r="436">
      <c r="A436" s="11">
        <v>424.0</v>
      </c>
      <c r="B436" s="11">
        <v>1.42123913043478E9</v>
      </c>
      <c r="C436" s="2">
        <v>-102.611908</v>
      </c>
      <c r="D436" s="3">
        <f t="shared" si="1"/>
        <v>839130.4348</v>
      </c>
      <c r="E436" s="4">
        <f t="shared" si="2"/>
        <v>-178.1494496</v>
      </c>
      <c r="F436" s="3">
        <f t="shared" si="3"/>
        <v>0.0002123024529</v>
      </c>
      <c r="G436" s="3">
        <f t="shared" si="4"/>
        <v>0</v>
      </c>
      <c r="H436" s="2">
        <f t="shared" si="5"/>
        <v>0</v>
      </c>
      <c r="I436" s="3">
        <f t="shared" si="6"/>
        <v>0</v>
      </c>
      <c r="J436" s="3">
        <f t="shared" si="7"/>
        <v>0</v>
      </c>
      <c r="K436" s="3"/>
      <c r="L436" s="3">
        <f t="shared" si="8"/>
        <v>416.7881545</v>
      </c>
      <c r="M436" s="14">
        <f t="shared" si="9"/>
        <v>414.8271832</v>
      </c>
      <c r="N436" s="14">
        <f t="shared" si="10"/>
        <v>1.960971306</v>
      </c>
      <c r="O436" s="3"/>
      <c r="P436" s="3"/>
      <c r="Q436" s="3"/>
      <c r="R436" s="2"/>
      <c r="S436" s="14">
        <f t="shared" si="13"/>
        <v>1.800752362</v>
      </c>
    </row>
    <row r="437">
      <c r="A437" s="11">
        <v>425.0</v>
      </c>
      <c r="B437" s="11">
        <v>1.42124347826087E9</v>
      </c>
      <c r="C437" s="2">
        <v>-102.6151962</v>
      </c>
      <c r="D437" s="3">
        <f t="shared" si="1"/>
        <v>843478.2609</v>
      </c>
      <c r="E437" s="4">
        <f t="shared" si="2"/>
        <v>-179.0677458</v>
      </c>
      <c r="F437" s="3">
        <f t="shared" si="3"/>
        <v>0.000212296812</v>
      </c>
      <c r="G437" s="3">
        <f t="shared" si="4"/>
        <v>0</v>
      </c>
      <c r="H437" s="2">
        <f t="shared" si="5"/>
        <v>0</v>
      </c>
      <c r="I437" s="3">
        <f t="shared" si="6"/>
        <v>0</v>
      </c>
      <c r="J437" s="3">
        <f t="shared" si="7"/>
        <v>0</v>
      </c>
      <c r="K437" s="3"/>
      <c r="L437" s="3">
        <f t="shared" si="8"/>
        <v>416.4727086</v>
      </c>
      <c r="M437" s="14">
        <f t="shared" si="9"/>
        <v>414.7080979</v>
      </c>
      <c r="N437" s="14">
        <f t="shared" si="10"/>
        <v>1.764610651</v>
      </c>
      <c r="O437" s="3"/>
      <c r="P437" s="3"/>
      <c r="Q437" s="3"/>
      <c r="R437" s="2"/>
      <c r="S437" s="14">
        <f t="shared" si="13"/>
        <v>1.620435137</v>
      </c>
    </row>
    <row r="438">
      <c r="A438" s="11">
        <v>426.0</v>
      </c>
      <c r="B438" s="11">
        <v>1.42124782608695E9</v>
      </c>
      <c r="C438" s="2">
        <v>-102.5872192</v>
      </c>
      <c r="D438" s="3">
        <f t="shared" si="1"/>
        <v>847826.087</v>
      </c>
      <c r="E438" s="4">
        <f t="shared" si="2"/>
        <v>-179.9860419</v>
      </c>
      <c r="F438" s="3">
        <f t="shared" si="3"/>
        <v>0.0002122912289</v>
      </c>
      <c r="G438" s="3">
        <f t="shared" si="4"/>
        <v>0</v>
      </c>
      <c r="H438" s="2">
        <f t="shared" si="5"/>
        <v>0</v>
      </c>
      <c r="I438" s="3">
        <f t="shared" si="6"/>
        <v>0</v>
      </c>
      <c r="J438" s="3">
        <f t="shared" si="7"/>
        <v>0</v>
      </c>
      <c r="K438" s="3"/>
      <c r="L438" s="3">
        <f t="shared" si="8"/>
        <v>419.1642618</v>
      </c>
      <c r="M438" s="14">
        <f t="shared" si="9"/>
        <v>414.5887314</v>
      </c>
      <c r="N438" s="14">
        <f t="shared" si="10"/>
        <v>4.575530457</v>
      </c>
      <c r="O438" s="3"/>
      <c r="P438" s="3"/>
      <c r="Q438" s="3"/>
      <c r="R438" s="2"/>
      <c r="S438" s="14">
        <f t="shared" si="13"/>
        <v>4.201691925</v>
      </c>
    </row>
    <row r="439">
      <c r="A439" s="11">
        <v>427.0</v>
      </c>
      <c r="B439" s="11">
        <v>1.42125217391304E9</v>
      </c>
      <c r="C439" s="2">
        <v>-102.6758652</v>
      </c>
      <c r="D439" s="3">
        <f t="shared" si="1"/>
        <v>852173.913</v>
      </c>
      <c r="E439" s="4">
        <f t="shared" si="2"/>
        <v>-180.904338</v>
      </c>
      <c r="F439" s="3">
        <f t="shared" si="3"/>
        <v>0.0002122857028</v>
      </c>
      <c r="G439" s="3">
        <f t="shared" si="4"/>
        <v>0</v>
      </c>
      <c r="H439" s="2">
        <f t="shared" si="5"/>
        <v>0</v>
      </c>
      <c r="I439" s="3">
        <f t="shared" si="6"/>
        <v>0</v>
      </c>
      <c r="J439" s="3">
        <f t="shared" si="7"/>
        <v>0</v>
      </c>
      <c r="K439" s="3"/>
      <c r="L439" s="3">
        <f t="shared" si="8"/>
        <v>410.6952192</v>
      </c>
      <c r="M439" s="14">
        <f t="shared" si="9"/>
        <v>414.4690828</v>
      </c>
      <c r="N439" s="14">
        <f t="shared" si="10"/>
        <v>-3.773863555</v>
      </c>
      <c r="O439" s="3"/>
      <c r="P439" s="3"/>
      <c r="Q439" s="3"/>
      <c r="R439" s="2"/>
      <c r="S439" s="14">
        <f t="shared" si="13"/>
        <v>-3.465524301</v>
      </c>
    </row>
    <row r="440">
      <c r="A440" s="11">
        <v>428.0</v>
      </c>
      <c r="B440" s="11">
        <v>1.42125652173913E9</v>
      </c>
      <c r="C440" s="2">
        <v>-102.5787811</v>
      </c>
      <c r="D440" s="3">
        <f t="shared" si="1"/>
        <v>856521.7391</v>
      </c>
      <c r="E440" s="4">
        <f t="shared" si="2"/>
        <v>-181.8226342</v>
      </c>
      <c r="F440" s="3">
        <f t="shared" si="3"/>
        <v>0.0002122802328</v>
      </c>
      <c r="G440" s="3">
        <f t="shared" si="4"/>
        <v>0</v>
      </c>
      <c r="H440" s="2">
        <f t="shared" si="5"/>
        <v>0</v>
      </c>
      <c r="I440" s="3">
        <f t="shared" si="6"/>
        <v>0</v>
      </c>
      <c r="J440" s="3">
        <f t="shared" si="7"/>
        <v>0</v>
      </c>
      <c r="K440" s="3"/>
      <c r="L440" s="3">
        <f t="shared" si="8"/>
        <v>419.9794664</v>
      </c>
      <c r="M440" s="14">
        <f t="shared" si="9"/>
        <v>414.3491513</v>
      </c>
      <c r="N440" s="14">
        <f t="shared" si="10"/>
        <v>5.63031507</v>
      </c>
      <c r="O440" s="3"/>
      <c r="P440" s="3"/>
      <c r="Q440" s="3"/>
      <c r="R440" s="2"/>
      <c r="S440" s="14">
        <f t="shared" si="13"/>
        <v>5.170296555</v>
      </c>
    </row>
    <row r="441">
      <c r="A441" s="11">
        <v>429.0</v>
      </c>
      <c r="B441" s="11">
        <v>1.42126086956521E9</v>
      </c>
      <c r="C441" s="2">
        <v>-102.6434631</v>
      </c>
      <c r="D441" s="3">
        <f t="shared" si="1"/>
        <v>860869.5652</v>
      </c>
      <c r="E441" s="4">
        <f t="shared" si="2"/>
        <v>-182.7409303</v>
      </c>
      <c r="F441" s="3">
        <f t="shared" si="3"/>
        <v>0.000212274818</v>
      </c>
      <c r="G441" s="3">
        <f t="shared" si="4"/>
        <v>0</v>
      </c>
      <c r="H441" s="2">
        <f t="shared" si="5"/>
        <v>0</v>
      </c>
      <c r="I441" s="3">
        <f t="shared" si="6"/>
        <v>0</v>
      </c>
      <c r="J441" s="3">
        <f t="shared" si="7"/>
        <v>0</v>
      </c>
      <c r="K441" s="3"/>
      <c r="L441" s="3">
        <f t="shared" si="8"/>
        <v>413.7708175</v>
      </c>
      <c r="M441" s="14">
        <f t="shared" si="9"/>
        <v>414.2289361</v>
      </c>
      <c r="N441" s="14">
        <f t="shared" si="10"/>
        <v>-0.4581186789</v>
      </c>
      <c r="O441" s="3"/>
      <c r="P441" s="3"/>
      <c r="Q441" s="3"/>
      <c r="R441" s="2"/>
      <c r="S441" s="14">
        <f t="shared" si="13"/>
        <v>-0.4206886112</v>
      </c>
    </row>
    <row r="442">
      <c r="A442" s="11">
        <v>430.0</v>
      </c>
      <c r="B442" s="11">
        <v>1.4212652173913E9</v>
      </c>
      <c r="C442" s="2">
        <v>-102.6762848</v>
      </c>
      <c r="D442" s="3">
        <f t="shared" si="1"/>
        <v>865217.3913</v>
      </c>
      <c r="E442" s="4">
        <f t="shared" si="2"/>
        <v>-183.6592264</v>
      </c>
      <c r="F442" s="3">
        <f t="shared" si="3"/>
        <v>0.0002122694577</v>
      </c>
      <c r="G442" s="3">
        <f t="shared" si="4"/>
        <v>0</v>
      </c>
      <c r="H442" s="2">
        <f t="shared" si="5"/>
        <v>0</v>
      </c>
      <c r="I442" s="3">
        <f t="shared" si="6"/>
        <v>0</v>
      </c>
      <c r="J442" s="3">
        <f t="shared" si="7"/>
        <v>0</v>
      </c>
      <c r="K442" s="3"/>
      <c r="L442" s="3">
        <f t="shared" si="8"/>
        <v>410.6555412</v>
      </c>
      <c r="M442" s="14">
        <f t="shared" si="9"/>
        <v>414.1084366</v>
      </c>
      <c r="N442" s="14">
        <f t="shared" si="10"/>
        <v>-3.452895365</v>
      </c>
      <c r="O442" s="3"/>
      <c r="P442" s="3"/>
      <c r="Q442" s="3"/>
      <c r="R442" s="2"/>
      <c r="S442" s="14">
        <f t="shared" si="13"/>
        <v>-3.170780453</v>
      </c>
    </row>
    <row r="443">
      <c r="A443" s="11">
        <v>431.0</v>
      </c>
      <c r="B443" s="11">
        <v>1.42126956521739E9</v>
      </c>
      <c r="C443" s="2">
        <v>-102.6048355</v>
      </c>
      <c r="D443" s="3">
        <f t="shared" si="1"/>
        <v>869565.2174</v>
      </c>
      <c r="E443" s="4">
        <f t="shared" si="2"/>
        <v>-184.5775226</v>
      </c>
      <c r="F443" s="3">
        <f t="shared" si="3"/>
        <v>0.0002122641509</v>
      </c>
      <c r="G443" s="3">
        <f t="shared" si="4"/>
        <v>0</v>
      </c>
      <c r="H443" s="2">
        <f t="shared" si="5"/>
        <v>0</v>
      </c>
      <c r="I443" s="3">
        <f t="shared" si="6"/>
        <v>0</v>
      </c>
      <c r="J443" s="3">
        <f t="shared" si="7"/>
        <v>0</v>
      </c>
      <c r="K443" s="3"/>
      <c r="L443" s="3">
        <f t="shared" si="8"/>
        <v>417.4674483</v>
      </c>
      <c r="M443" s="14">
        <f t="shared" si="9"/>
        <v>413.9876518</v>
      </c>
      <c r="N443" s="14">
        <f t="shared" si="10"/>
        <v>3.479796554</v>
      </c>
      <c r="O443" s="3"/>
      <c r="P443" s="3"/>
      <c r="Q443" s="3"/>
      <c r="R443" s="2"/>
      <c r="S443" s="14">
        <f t="shared" si="13"/>
        <v>3.195483719</v>
      </c>
    </row>
    <row r="444">
      <c r="A444" s="11">
        <v>432.0</v>
      </c>
      <c r="B444" s="11">
        <v>1.42127391304347E9</v>
      </c>
      <c r="C444" s="2">
        <v>-102.6526108</v>
      </c>
      <c r="D444" s="3">
        <f t="shared" si="1"/>
        <v>873913.0435</v>
      </c>
      <c r="E444" s="4">
        <f t="shared" si="2"/>
        <v>-185.4958187</v>
      </c>
      <c r="F444" s="3">
        <f t="shared" si="3"/>
        <v>0.000212258897</v>
      </c>
      <c r="G444" s="3">
        <f t="shared" si="4"/>
        <v>0</v>
      </c>
      <c r="H444" s="2">
        <f t="shared" si="5"/>
        <v>0</v>
      </c>
      <c r="I444" s="3">
        <f t="shared" si="6"/>
        <v>0</v>
      </c>
      <c r="J444" s="3">
        <f t="shared" si="7"/>
        <v>0</v>
      </c>
      <c r="K444" s="3"/>
      <c r="L444" s="3">
        <f t="shared" si="8"/>
        <v>412.9001944</v>
      </c>
      <c r="M444" s="14">
        <f t="shared" si="9"/>
        <v>413.8665809</v>
      </c>
      <c r="N444" s="14">
        <f t="shared" si="10"/>
        <v>-0.9663865029</v>
      </c>
      <c r="O444" s="3"/>
      <c r="P444" s="3"/>
      <c r="Q444" s="3"/>
      <c r="R444" s="2"/>
      <c r="S444" s="14">
        <f t="shared" si="13"/>
        <v>-0.8874289884</v>
      </c>
    </row>
    <row r="445">
      <c r="A445" s="11">
        <v>433.0</v>
      </c>
      <c r="B445" s="11">
        <v>1.42127826086956E9</v>
      </c>
      <c r="C445" s="2">
        <v>-102.628479</v>
      </c>
      <c r="D445" s="3">
        <f t="shared" si="1"/>
        <v>878260.8696</v>
      </c>
      <c r="E445" s="4">
        <f t="shared" si="2"/>
        <v>-186.4141148</v>
      </c>
      <c r="F445" s="3">
        <f t="shared" si="3"/>
        <v>0.0002122536951</v>
      </c>
      <c r="G445" s="3">
        <f t="shared" si="4"/>
        <v>0</v>
      </c>
      <c r="H445" s="2">
        <f t="shared" si="5"/>
        <v>0</v>
      </c>
      <c r="I445" s="3">
        <f t="shared" si="6"/>
        <v>0</v>
      </c>
      <c r="J445" s="3">
        <f t="shared" si="7"/>
        <v>0</v>
      </c>
      <c r="K445" s="3"/>
      <c r="L445" s="3">
        <f t="shared" si="8"/>
        <v>415.200882</v>
      </c>
      <c r="M445" s="14">
        <f t="shared" si="9"/>
        <v>413.7452233</v>
      </c>
      <c r="N445" s="14">
        <f t="shared" si="10"/>
        <v>1.455658677</v>
      </c>
      <c r="O445" s="3"/>
      <c r="P445" s="3"/>
      <c r="Q445" s="3"/>
      <c r="R445" s="2"/>
      <c r="S445" s="14">
        <f t="shared" si="13"/>
        <v>1.336725731</v>
      </c>
    </row>
    <row r="446">
      <c r="A446" s="11">
        <v>434.0</v>
      </c>
      <c r="B446" s="11">
        <v>1.42128260869565E9</v>
      </c>
      <c r="C446" s="2">
        <v>-102.6636276</v>
      </c>
      <c r="D446" s="3">
        <f t="shared" si="1"/>
        <v>882608.6957</v>
      </c>
      <c r="E446" s="4">
        <f t="shared" si="2"/>
        <v>-187.332411</v>
      </c>
      <c r="F446" s="3">
        <f t="shared" si="3"/>
        <v>0.0002122485444</v>
      </c>
      <c r="G446" s="3">
        <f t="shared" si="4"/>
        <v>0</v>
      </c>
      <c r="H446" s="2">
        <f t="shared" si="5"/>
        <v>0</v>
      </c>
      <c r="I446" s="3">
        <f t="shared" si="6"/>
        <v>0</v>
      </c>
      <c r="J446" s="3">
        <f t="shared" si="7"/>
        <v>0</v>
      </c>
      <c r="K446" s="3"/>
      <c r="L446" s="3">
        <f t="shared" si="8"/>
        <v>411.8541129</v>
      </c>
      <c r="M446" s="14">
        <f t="shared" si="9"/>
        <v>413.6235781</v>
      </c>
      <c r="N446" s="14">
        <f t="shared" si="10"/>
        <v>-1.769465139</v>
      </c>
      <c r="O446" s="3"/>
      <c r="P446" s="3"/>
      <c r="Q446" s="3"/>
      <c r="R446" s="2"/>
      <c r="S446" s="14">
        <f t="shared" si="13"/>
        <v>-1.624892994</v>
      </c>
    </row>
    <row r="447">
      <c r="A447" s="11">
        <v>435.0</v>
      </c>
      <c r="B447" s="11">
        <v>1.42128695652173E9</v>
      </c>
      <c r="C447" s="2">
        <v>-102.6130219</v>
      </c>
      <c r="D447" s="3">
        <f t="shared" si="1"/>
        <v>886956.5217</v>
      </c>
      <c r="E447" s="4">
        <f t="shared" si="2"/>
        <v>-188.2507071</v>
      </c>
      <c r="F447" s="3">
        <f t="shared" si="3"/>
        <v>0.0002122434443</v>
      </c>
      <c r="G447" s="3">
        <f t="shared" si="4"/>
        <v>0</v>
      </c>
      <c r="H447" s="2">
        <f t="shared" si="5"/>
        <v>0</v>
      </c>
      <c r="I447" s="3">
        <f t="shared" si="6"/>
        <v>0</v>
      </c>
      <c r="J447" s="3">
        <f t="shared" si="7"/>
        <v>0</v>
      </c>
      <c r="K447" s="3"/>
      <c r="L447" s="3">
        <f t="shared" si="8"/>
        <v>416.6812683</v>
      </c>
      <c r="M447" s="14">
        <f t="shared" si="9"/>
        <v>413.5016445</v>
      </c>
      <c r="N447" s="14">
        <f t="shared" si="10"/>
        <v>3.179623803</v>
      </c>
      <c r="O447" s="3"/>
      <c r="P447" s="3"/>
      <c r="Q447" s="3"/>
      <c r="R447" s="2"/>
      <c r="S447" s="14">
        <f t="shared" si="13"/>
        <v>2.919836242</v>
      </c>
    </row>
    <row r="448">
      <c r="A448" s="11">
        <v>436.0</v>
      </c>
      <c r="B448" s="11">
        <v>1.42129130434782E9</v>
      </c>
      <c r="C448" s="2">
        <v>-102.6319885</v>
      </c>
      <c r="D448" s="3">
        <f t="shared" si="1"/>
        <v>891304.3478</v>
      </c>
      <c r="E448" s="4">
        <f t="shared" si="2"/>
        <v>-189.1690032</v>
      </c>
      <c r="F448" s="3">
        <f t="shared" si="3"/>
        <v>0.0002122383939</v>
      </c>
      <c r="G448" s="3">
        <f t="shared" si="4"/>
        <v>0</v>
      </c>
      <c r="H448" s="2">
        <f t="shared" si="5"/>
        <v>0</v>
      </c>
      <c r="I448" s="3">
        <f t="shared" si="6"/>
        <v>0</v>
      </c>
      <c r="J448" s="3">
        <f t="shared" si="7"/>
        <v>0</v>
      </c>
      <c r="K448" s="3"/>
      <c r="L448" s="3">
        <f t="shared" si="8"/>
        <v>414.8654969</v>
      </c>
      <c r="M448" s="14">
        <f t="shared" si="9"/>
        <v>413.3794217</v>
      </c>
      <c r="N448" s="14">
        <f t="shared" si="10"/>
        <v>1.486075195</v>
      </c>
      <c r="O448" s="3"/>
      <c r="P448" s="3"/>
      <c r="Q448" s="3"/>
      <c r="R448" s="2"/>
      <c r="S448" s="14">
        <f t="shared" si="13"/>
        <v>1.364657105</v>
      </c>
    </row>
    <row r="449">
      <c r="A449" s="11">
        <v>437.0</v>
      </c>
      <c r="B449" s="11">
        <v>1.42129565217391E9</v>
      </c>
      <c r="C449" s="2">
        <v>-102.6320953</v>
      </c>
      <c r="D449" s="3">
        <f t="shared" si="1"/>
        <v>895652.1739</v>
      </c>
      <c r="E449" s="4">
        <f t="shared" si="2"/>
        <v>-190.0872994</v>
      </c>
      <c r="F449" s="3">
        <f t="shared" si="3"/>
        <v>0.0002122333925</v>
      </c>
      <c r="G449" s="3">
        <f t="shared" si="4"/>
        <v>0</v>
      </c>
      <c r="H449" s="2">
        <f t="shared" si="5"/>
        <v>0</v>
      </c>
      <c r="I449" s="3">
        <f t="shared" si="6"/>
        <v>0</v>
      </c>
      <c r="J449" s="3">
        <f t="shared" si="7"/>
        <v>0</v>
      </c>
      <c r="K449" s="3"/>
      <c r="L449" s="3">
        <f t="shared" si="8"/>
        <v>414.8552948</v>
      </c>
      <c r="M449" s="14">
        <f t="shared" si="9"/>
        <v>413.256909</v>
      </c>
      <c r="N449" s="14">
        <f t="shared" si="10"/>
        <v>1.598385837</v>
      </c>
      <c r="O449" s="3"/>
      <c r="P449" s="3"/>
      <c r="Q449" s="3"/>
      <c r="R449" s="2"/>
      <c r="S449" s="14">
        <f t="shared" si="13"/>
        <v>1.46779153</v>
      </c>
    </row>
    <row r="450">
      <c r="A450" s="11">
        <v>438.0</v>
      </c>
      <c r="B450" s="11">
        <v>1.4213E9</v>
      </c>
      <c r="C450" s="2">
        <v>-102.6283722</v>
      </c>
      <c r="D450" s="3">
        <f t="shared" si="1"/>
        <v>900000</v>
      </c>
      <c r="E450" s="4">
        <f t="shared" si="2"/>
        <v>-191.0055955</v>
      </c>
      <c r="F450" s="3">
        <f t="shared" si="3"/>
        <v>0.0002122284394</v>
      </c>
      <c r="G450" s="3">
        <f t="shared" si="4"/>
        <v>0</v>
      </c>
      <c r="H450" s="2">
        <f t="shared" si="5"/>
        <v>0</v>
      </c>
      <c r="I450" s="3">
        <f t="shared" si="6"/>
        <v>0</v>
      </c>
      <c r="J450" s="3">
        <f t="shared" si="7"/>
        <v>0</v>
      </c>
      <c r="K450" s="3"/>
      <c r="L450" s="3">
        <f t="shared" si="8"/>
        <v>415.2110926</v>
      </c>
      <c r="M450" s="14">
        <f t="shared" si="9"/>
        <v>413.1341055</v>
      </c>
      <c r="N450" s="14">
        <f t="shared" si="10"/>
        <v>2.076987055</v>
      </c>
      <c r="O450" s="3"/>
      <c r="P450" s="3"/>
      <c r="Q450" s="3"/>
      <c r="R450" s="2"/>
      <c r="S450" s="14">
        <f t="shared" si="13"/>
        <v>1.90728918</v>
      </c>
    </row>
    <row r="451">
      <c r="A451" s="11">
        <v>439.0</v>
      </c>
      <c r="B451" s="11">
        <v>1.42130434782608E9</v>
      </c>
      <c r="C451" s="2">
        <v>-102.7155228</v>
      </c>
      <c r="D451" s="3">
        <f t="shared" si="1"/>
        <v>904347.8261</v>
      </c>
      <c r="E451" s="4">
        <f t="shared" si="2"/>
        <v>-191.9238916</v>
      </c>
      <c r="F451" s="3">
        <f t="shared" si="3"/>
        <v>0.000212223534</v>
      </c>
      <c r="G451" s="3">
        <f t="shared" si="4"/>
        <v>0</v>
      </c>
      <c r="H451" s="2">
        <f t="shared" si="5"/>
        <v>0</v>
      </c>
      <c r="I451" s="3">
        <f t="shared" si="6"/>
        <v>0</v>
      </c>
      <c r="J451" s="3">
        <f t="shared" si="7"/>
        <v>0</v>
      </c>
      <c r="K451" s="3"/>
      <c r="L451" s="3">
        <f t="shared" si="8"/>
        <v>406.9620266</v>
      </c>
      <c r="M451" s="14">
        <f t="shared" si="9"/>
        <v>413.0110105</v>
      </c>
      <c r="N451" s="14">
        <f t="shared" si="10"/>
        <v>-6.04898387</v>
      </c>
      <c r="O451" s="3"/>
      <c r="P451" s="3"/>
      <c r="Q451" s="3"/>
      <c r="R451" s="2"/>
      <c r="S451" s="14">
        <f t="shared" si="13"/>
        <v>-5.554758495</v>
      </c>
    </row>
    <row r="452">
      <c r="A452" s="11">
        <v>440.0</v>
      </c>
      <c r="B452" s="11">
        <v>1.42130869565217E9</v>
      </c>
      <c r="C452" s="2">
        <v>-102.6318207</v>
      </c>
      <c r="D452" s="3">
        <f t="shared" si="1"/>
        <v>908695.6522</v>
      </c>
      <c r="E452" s="4">
        <f t="shared" si="2"/>
        <v>-192.8421877</v>
      </c>
      <c r="F452" s="3">
        <f t="shared" si="3"/>
        <v>0.0002122186755</v>
      </c>
      <c r="G452" s="3">
        <f t="shared" si="4"/>
        <v>0</v>
      </c>
      <c r="H452" s="2">
        <f t="shared" si="5"/>
        <v>0</v>
      </c>
      <c r="I452" s="3">
        <f t="shared" si="6"/>
        <v>0</v>
      </c>
      <c r="J452" s="3">
        <f t="shared" si="7"/>
        <v>0</v>
      </c>
      <c r="K452" s="3"/>
      <c r="L452" s="3">
        <f t="shared" si="8"/>
        <v>414.8815265</v>
      </c>
      <c r="M452" s="14">
        <f t="shared" si="9"/>
        <v>412.8876232</v>
      </c>
      <c r="N452" s="14">
        <f t="shared" si="10"/>
        <v>1.993903333</v>
      </c>
      <c r="O452" s="3"/>
      <c r="P452" s="3"/>
      <c r="Q452" s="3"/>
      <c r="R452" s="2"/>
      <c r="S452" s="14">
        <f t="shared" si="13"/>
        <v>1.830993715</v>
      </c>
    </row>
    <row r="453">
      <c r="A453" s="11">
        <v>441.0</v>
      </c>
      <c r="B453" s="11">
        <v>1.42131304347826E9</v>
      </c>
      <c r="C453" s="2">
        <v>-102.5987473</v>
      </c>
      <c r="D453" s="3">
        <f t="shared" si="1"/>
        <v>913043.4783</v>
      </c>
      <c r="E453" s="4">
        <f t="shared" si="2"/>
        <v>-193.7604839</v>
      </c>
      <c r="F453" s="3">
        <f t="shared" si="3"/>
        <v>0.0002122138633</v>
      </c>
      <c r="G453" s="3">
        <f t="shared" si="4"/>
        <v>0</v>
      </c>
      <c r="H453" s="2">
        <f t="shared" si="5"/>
        <v>0</v>
      </c>
      <c r="I453" s="3">
        <f t="shared" si="6"/>
        <v>0</v>
      </c>
      <c r="J453" s="3">
        <f t="shared" si="7"/>
        <v>0</v>
      </c>
      <c r="K453" s="3"/>
      <c r="L453" s="3">
        <f t="shared" si="8"/>
        <v>418.0530896</v>
      </c>
      <c r="M453" s="14">
        <f t="shared" si="9"/>
        <v>412.7639428</v>
      </c>
      <c r="N453" s="14">
        <f t="shared" si="10"/>
        <v>5.289146801</v>
      </c>
      <c r="O453" s="3"/>
      <c r="P453" s="3"/>
      <c r="Q453" s="3"/>
      <c r="R453" s="2"/>
      <c r="S453" s="14">
        <f t="shared" si="13"/>
        <v>4.857003053</v>
      </c>
    </row>
    <row r="454">
      <c r="A454" s="11">
        <v>442.0</v>
      </c>
      <c r="B454" s="11">
        <v>1.42131739130434E9</v>
      </c>
      <c r="C454" s="2">
        <v>-102.7125549</v>
      </c>
      <c r="D454" s="3">
        <f t="shared" si="1"/>
        <v>917391.3043</v>
      </c>
      <c r="E454" s="4">
        <f t="shared" si="2"/>
        <v>-194.67878</v>
      </c>
      <c r="F454" s="3">
        <f t="shared" si="3"/>
        <v>0.0002122090967</v>
      </c>
      <c r="G454" s="3">
        <f t="shared" si="4"/>
        <v>0</v>
      </c>
      <c r="H454" s="2">
        <f t="shared" si="5"/>
        <v>0</v>
      </c>
      <c r="I454" s="3">
        <f t="shared" si="6"/>
        <v>0</v>
      </c>
      <c r="J454" s="3">
        <f t="shared" si="7"/>
        <v>0</v>
      </c>
      <c r="K454" s="3"/>
      <c r="L454" s="3">
        <f t="shared" si="8"/>
        <v>407.2402331</v>
      </c>
      <c r="M454" s="14">
        <f t="shared" si="9"/>
        <v>412.6399685</v>
      </c>
      <c r="N454" s="14">
        <f t="shared" si="10"/>
        <v>-5.399735333</v>
      </c>
      <c r="O454" s="3"/>
      <c r="P454" s="3"/>
      <c r="Q454" s="3"/>
      <c r="R454" s="2"/>
      <c r="S454" s="14">
        <f t="shared" si="13"/>
        <v>-4.958556075</v>
      </c>
    </row>
    <row r="455">
      <c r="A455" s="11">
        <v>443.0</v>
      </c>
      <c r="B455" s="11">
        <v>1.42132173913043E9</v>
      </c>
      <c r="C455" s="2">
        <v>-102.706871</v>
      </c>
      <c r="D455" s="3">
        <f t="shared" si="1"/>
        <v>921739.1304</v>
      </c>
      <c r="E455" s="4">
        <f t="shared" si="2"/>
        <v>-195.5970761</v>
      </c>
      <c r="F455" s="3">
        <f t="shared" si="3"/>
        <v>0.0002122043751</v>
      </c>
      <c r="G455" s="3">
        <f t="shared" si="4"/>
        <v>0</v>
      </c>
      <c r="H455" s="2">
        <f t="shared" si="5"/>
        <v>0</v>
      </c>
      <c r="I455" s="3">
        <f t="shared" si="6"/>
        <v>0</v>
      </c>
      <c r="J455" s="3">
        <f t="shared" si="7"/>
        <v>0</v>
      </c>
      <c r="K455" s="3"/>
      <c r="L455" s="3">
        <f t="shared" si="8"/>
        <v>407.7735644</v>
      </c>
      <c r="M455" s="14">
        <f t="shared" si="9"/>
        <v>412.5156995</v>
      </c>
      <c r="N455" s="14">
        <f t="shared" si="10"/>
        <v>-4.742135101</v>
      </c>
      <c r="O455" s="3"/>
      <c r="P455" s="3"/>
      <c r="Q455" s="3"/>
      <c r="R455" s="2"/>
      <c r="S455" s="14">
        <f t="shared" si="13"/>
        <v>-4.354684314</v>
      </c>
    </row>
    <row r="456">
      <c r="A456" s="11">
        <v>444.0</v>
      </c>
      <c r="B456" s="11">
        <v>1.42132608695652E9</v>
      </c>
      <c r="C456" s="2">
        <v>-102.6527557</v>
      </c>
      <c r="D456" s="3">
        <f t="shared" si="1"/>
        <v>926086.9565</v>
      </c>
      <c r="E456" s="4">
        <f t="shared" si="2"/>
        <v>-196.5153723</v>
      </c>
      <c r="F456" s="3">
        <f t="shared" si="3"/>
        <v>0.0002121996978</v>
      </c>
      <c r="G456" s="3">
        <f t="shared" si="4"/>
        <v>0</v>
      </c>
      <c r="H456" s="2">
        <f t="shared" si="5"/>
        <v>0</v>
      </c>
      <c r="I456" s="3">
        <f t="shared" si="6"/>
        <v>0</v>
      </c>
      <c r="J456" s="3">
        <f t="shared" si="7"/>
        <v>0</v>
      </c>
      <c r="K456" s="3"/>
      <c r="L456" s="3">
        <f t="shared" si="8"/>
        <v>412.8864185</v>
      </c>
      <c r="M456" s="14">
        <f t="shared" si="9"/>
        <v>412.391135</v>
      </c>
      <c r="N456" s="14">
        <f t="shared" si="10"/>
        <v>0.4952834763</v>
      </c>
      <c r="O456" s="3"/>
      <c r="P456" s="3"/>
      <c r="Q456" s="3"/>
      <c r="R456" s="2"/>
      <c r="S456" s="14">
        <f t="shared" si="13"/>
        <v>0.4548169009</v>
      </c>
    </row>
    <row r="457">
      <c r="A457" s="11">
        <v>445.0</v>
      </c>
      <c r="B457" s="11">
        <v>1.4213304347826E9</v>
      </c>
      <c r="C457" s="2">
        <v>-102.6251831</v>
      </c>
      <c r="D457" s="3">
        <f t="shared" si="1"/>
        <v>930434.7826</v>
      </c>
      <c r="E457" s="4">
        <f t="shared" si="2"/>
        <v>-197.4336684</v>
      </c>
      <c r="F457" s="3">
        <f t="shared" si="3"/>
        <v>0.0002121950642</v>
      </c>
      <c r="G457" s="3">
        <f t="shared" si="4"/>
        <v>0</v>
      </c>
      <c r="H457" s="2">
        <f t="shared" si="5"/>
        <v>0</v>
      </c>
      <c r="I457" s="3">
        <f t="shared" si="6"/>
        <v>0</v>
      </c>
      <c r="J457" s="3">
        <f t="shared" si="7"/>
        <v>0</v>
      </c>
      <c r="K457" s="3"/>
      <c r="L457" s="3">
        <f t="shared" si="8"/>
        <v>415.5161013</v>
      </c>
      <c r="M457" s="14">
        <f t="shared" si="9"/>
        <v>412.2662743</v>
      </c>
      <c r="N457" s="14">
        <f t="shared" si="10"/>
        <v>3.249826997</v>
      </c>
      <c r="O457" s="3"/>
      <c r="P457" s="3"/>
      <c r="Q457" s="3"/>
      <c r="R457" s="2"/>
      <c r="S457" s="14">
        <f t="shared" si="13"/>
        <v>2.984303563</v>
      </c>
    </row>
    <row r="458">
      <c r="A458" s="11">
        <v>446.0</v>
      </c>
      <c r="B458" s="11">
        <v>1.42133478260869E9</v>
      </c>
      <c r="C458" s="2">
        <v>-102.6827927</v>
      </c>
      <c r="D458" s="3">
        <f t="shared" si="1"/>
        <v>934782.6087</v>
      </c>
      <c r="E458" s="4">
        <f t="shared" si="2"/>
        <v>-198.3519645</v>
      </c>
      <c r="F458" s="3">
        <f t="shared" si="3"/>
        <v>0.0002121904737</v>
      </c>
      <c r="G458" s="3">
        <f t="shared" si="4"/>
        <v>0</v>
      </c>
      <c r="H458" s="2">
        <f t="shared" si="5"/>
        <v>0</v>
      </c>
      <c r="I458" s="3">
        <f t="shared" si="6"/>
        <v>0</v>
      </c>
      <c r="J458" s="3">
        <f t="shared" si="7"/>
        <v>0</v>
      </c>
      <c r="K458" s="3"/>
      <c r="L458" s="3">
        <f t="shared" si="8"/>
        <v>410.040635</v>
      </c>
      <c r="M458" s="14">
        <f t="shared" si="9"/>
        <v>412.1411165</v>
      </c>
      <c r="N458" s="14">
        <f t="shared" si="10"/>
        <v>-2.100481537</v>
      </c>
      <c r="O458" s="3"/>
      <c r="P458" s="3"/>
      <c r="Q458" s="3"/>
      <c r="R458" s="2"/>
      <c r="S458" s="14">
        <f t="shared" si="13"/>
        <v>-1.928864073</v>
      </c>
    </row>
    <row r="459">
      <c r="A459" s="11">
        <v>447.0</v>
      </c>
      <c r="B459" s="11">
        <v>1.42133913043478E9</v>
      </c>
      <c r="C459" s="2">
        <v>-102.6638794</v>
      </c>
      <c r="D459" s="3">
        <f t="shared" si="1"/>
        <v>939130.4348</v>
      </c>
      <c r="E459" s="4">
        <f t="shared" si="2"/>
        <v>-199.2702607</v>
      </c>
      <c r="F459" s="3">
        <f t="shared" si="3"/>
        <v>0.0002121859257</v>
      </c>
      <c r="G459" s="3">
        <f t="shared" si="4"/>
        <v>0</v>
      </c>
      <c r="H459" s="2">
        <f t="shared" si="5"/>
        <v>0</v>
      </c>
      <c r="I459" s="3">
        <f t="shared" si="6"/>
        <v>0</v>
      </c>
      <c r="J459" s="3">
        <f t="shared" si="7"/>
        <v>0</v>
      </c>
      <c r="K459" s="3"/>
      <c r="L459" s="3">
        <f t="shared" si="8"/>
        <v>411.8302347</v>
      </c>
      <c r="M459" s="14">
        <f t="shared" si="9"/>
        <v>412.0156609</v>
      </c>
      <c r="N459" s="14">
        <f t="shared" si="10"/>
        <v>-0.1854262145</v>
      </c>
      <c r="O459" s="3"/>
      <c r="P459" s="3"/>
      <c r="Q459" s="3"/>
      <c r="R459" s="2"/>
      <c r="S459" s="14">
        <f t="shared" si="13"/>
        <v>-0.1702761753</v>
      </c>
    </row>
    <row r="460">
      <c r="A460" s="11">
        <v>448.0</v>
      </c>
      <c r="B460" s="11">
        <v>1.42134347826087E9</v>
      </c>
      <c r="C460" s="2">
        <v>-102.6950378</v>
      </c>
      <c r="D460" s="3">
        <f t="shared" si="1"/>
        <v>943478.2609</v>
      </c>
      <c r="E460" s="4">
        <f t="shared" si="2"/>
        <v>-200.1885568</v>
      </c>
      <c r="F460" s="3">
        <f t="shared" si="3"/>
        <v>0.0002121814197</v>
      </c>
      <c r="G460" s="3">
        <f t="shared" si="4"/>
        <v>0</v>
      </c>
      <c r="H460" s="2">
        <f t="shared" si="5"/>
        <v>0</v>
      </c>
      <c r="I460" s="3">
        <f t="shared" si="6"/>
        <v>0</v>
      </c>
      <c r="J460" s="3">
        <f t="shared" si="7"/>
        <v>0</v>
      </c>
      <c r="K460" s="3"/>
      <c r="L460" s="3">
        <f t="shared" si="8"/>
        <v>408.886138</v>
      </c>
      <c r="M460" s="14">
        <f t="shared" si="9"/>
        <v>411.8899067</v>
      </c>
      <c r="N460" s="14">
        <f t="shared" si="10"/>
        <v>-3.00376874</v>
      </c>
      <c r="O460" s="3"/>
      <c r="P460" s="3"/>
      <c r="Q460" s="3"/>
      <c r="R460" s="2"/>
      <c r="S460" s="14">
        <f t="shared" si="13"/>
        <v>-2.758349218</v>
      </c>
    </row>
    <row r="461">
      <c r="A461" s="11">
        <v>449.0</v>
      </c>
      <c r="B461" s="11">
        <v>1.42134782608695E9</v>
      </c>
      <c r="C461" s="2">
        <v>-102.6529465</v>
      </c>
      <c r="D461" s="3">
        <f t="shared" si="1"/>
        <v>947826.087</v>
      </c>
      <c r="E461" s="4">
        <f t="shared" si="2"/>
        <v>-201.1068529</v>
      </c>
      <c r="F461" s="3">
        <f t="shared" si="3"/>
        <v>0.0002121769549</v>
      </c>
      <c r="G461" s="3">
        <f t="shared" si="4"/>
        <v>0</v>
      </c>
      <c r="H461" s="2">
        <f t="shared" si="5"/>
        <v>0</v>
      </c>
      <c r="I461" s="3">
        <f t="shared" si="6"/>
        <v>0</v>
      </c>
      <c r="J461" s="3">
        <f t="shared" si="7"/>
        <v>0</v>
      </c>
      <c r="K461" s="3"/>
      <c r="L461" s="3">
        <f t="shared" si="8"/>
        <v>412.8682794</v>
      </c>
      <c r="M461" s="14">
        <f t="shared" si="9"/>
        <v>411.7638531</v>
      </c>
      <c r="N461" s="14">
        <f t="shared" si="10"/>
        <v>1.104426303</v>
      </c>
      <c r="O461" s="3"/>
      <c r="P461" s="3"/>
      <c r="Q461" s="3"/>
      <c r="R461" s="2"/>
      <c r="S461" s="14">
        <f t="shared" si="13"/>
        <v>1.014190403</v>
      </c>
    </row>
    <row r="462">
      <c r="A462" s="11">
        <v>450.0</v>
      </c>
      <c r="B462" s="11">
        <v>1.42135217391304E9</v>
      </c>
      <c r="C462" s="2">
        <v>-102.6818008</v>
      </c>
      <c r="D462" s="3">
        <f t="shared" si="1"/>
        <v>952173.913</v>
      </c>
      <c r="E462" s="4">
        <f t="shared" si="2"/>
        <v>-202.0251491</v>
      </c>
      <c r="F462" s="3">
        <f t="shared" si="3"/>
        <v>0.000212172531</v>
      </c>
      <c r="G462" s="3">
        <f t="shared" si="4"/>
        <v>0</v>
      </c>
      <c r="H462" s="2">
        <f t="shared" si="5"/>
        <v>0</v>
      </c>
      <c r="I462" s="3">
        <f t="shared" si="6"/>
        <v>0</v>
      </c>
      <c r="J462" s="3">
        <f t="shared" si="7"/>
        <v>0</v>
      </c>
      <c r="K462" s="3"/>
      <c r="L462" s="3">
        <f t="shared" si="8"/>
        <v>410.1342963</v>
      </c>
      <c r="M462" s="14">
        <f t="shared" si="9"/>
        <v>411.6374993</v>
      </c>
      <c r="N462" s="14">
        <f t="shared" si="10"/>
        <v>-1.503203032</v>
      </c>
      <c r="O462" s="3"/>
      <c r="P462" s="3"/>
      <c r="Q462" s="3"/>
      <c r="R462" s="2"/>
      <c r="S462" s="14">
        <f t="shared" si="13"/>
        <v>-1.380385528</v>
      </c>
    </row>
    <row r="463">
      <c r="A463" s="11">
        <v>451.0</v>
      </c>
      <c r="B463" s="11">
        <v>1.42135652173913E9</v>
      </c>
      <c r="C463" s="2">
        <v>-102.6381302</v>
      </c>
      <c r="D463" s="3">
        <f t="shared" si="1"/>
        <v>956521.7391</v>
      </c>
      <c r="E463" s="4">
        <f t="shared" si="2"/>
        <v>-202.9434452</v>
      </c>
      <c r="F463" s="3">
        <f t="shared" si="3"/>
        <v>0.0002121681473</v>
      </c>
      <c r="G463" s="3">
        <f t="shared" si="4"/>
        <v>0</v>
      </c>
      <c r="H463" s="2">
        <f t="shared" si="5"/>
        <v>0</v>
      </c>
      <c r="I463" s="3">
        <f t="shared" si="6"/>
        <v>0</v>
      </c>
      <c r="J463" s="3">
        <f t="shared" si="7"/>
        <v>0</v>
      </c>
      <c r="K463" s="3"/>
      <c r="L463" s="3">
        <f t="shared" si="8"/>
        <v>414.2792176</v>
      </c>
      <c r="M463" s="14">
        <f t="shared" si="9"/>
        <v>411.5108445</v>
      </c>
      <c r="N463" s="14">
        <f t="shared" si="10"/>
        <v>2.768373112</v>
      </c>
      <c r="O463" s="3"/>
      <c r="P463" s="3"/>
      <c r="Q463" s="3"/>
      <c r="R463" s="2"/>
      <c r="S463" s="14">
        <f t="shared" si="13"/>
        <v>2.542186322</v>
      </c>
    </row>
    <row r="464">
      <c r="A464" s="11">
        <v>452.0</v>
      </c>
      <c r="B464" s="11">
        <v>1.42136086956521E9</v>
      </c>
      <c r="C464" s="2">
        <v>-102.7165833</v>
      </c>
      <c r="D464" s="3">
        <f t="shared" si="1"/>
        <v>960869.5652</v>
      </c>
      <c r="E464" s="4">
        <f t="shared" si="2"/>
        <v>-203.8617413</v>
      </c>
      <c r="F464" s="3">
        <f t="shared" si="3"/>
        <v>0.0002121638032</v>
      </c>
      <c r="G464" s="3">
        <f t="shared" si="4"/>
        <v>0</v>
      </c>
      <c r="H464" s="2">
        <f t="shared" si="5"/>
        <v>0</v>
      </c>
      <c r="I464" s="3">
        <f t="shared" si="6"/>
        <v>0</v>
      </c>
      <c r="J464" s="3">
        <f t="shared" si="7"/>
        <v>0</v>
      </c>
      <c r="K464" s="3"/>
      <c r="L464" s="3">
        <f t="shared" si="8"/>
        <v>406.8626631</v>
      </c>
      <c r="M464" s="14">
        <f t="shared" si="9"/>
        <v>411.3838879</v>
      </c>
      <c r="N464" s="14">
        <f t="shared" si="10"/>
        <v>-4.521224876</v>
      </c>
      <c r="O464" s="3"/>
      <c r="P464" s="3"/>
      <c r="Q464" s="3"/>
      <c r="R464" s="2"/>
      <c r="S464" s="14">
        <f t="shared" si="13"/>
        <v>-4.151823319</v>
      </c>
    </row>
    <row r="465">
      <c r="A465" s="11">
        <v>453.0</v>
      </c>
      <c r="B465" s="11">
        <v>1.4213652173913E9</v>
      </c>
      <c r="C465" s="2">
        <v>-102.6778946</v>
      </c>
      <c r="D465" s="3">
        <f t="shared" si="1"/>
        <v>965217.3913</v>
      </c>
      <c r="E465" s="4">
        <f t="shared" si="2"/>
        <v>-204.7800375</v>
      </c>
      <c r="F465" s="3">
        <f t="shared" si="3"/>
        <v>0.0002121594983</v>
      </c>
      <c r="G465" s="3">
        <f t="shared" si="4"/>
        <v>0</v>
      </c>
      <c r="H465" s="2">
        <f t="shared" si="5"/>
        <v>0</v>
      </c>
      <c r="I465" s="3">
        <f t="shared" si="6"/>
        <v>0</v>
      </c>
      <c r="J465" s="3">
        <f t="shared" si="7"/>
        <v>0</v>
      </c>
      <c r="K465" s="3"/>
      <c r="L465" s="3">
        <f t="shared" si="8"/>
        <v>410.5033517</v>
      </c>
      <c r="M465" s="14">
        <f t="shared" si="9"/>
        <v>411.2566288</v>
      </c>
      <c r="N465" s="14">
        <f t="shared" si="10"/>
        <v>-0.7532771598</v>
      </c>
      <c r="O465" s="3"/>
      <c r="P465" s="3"/>
      <c r="Q465" s="3"/>
      <c r="R465" s="2"/>
      <c r="S465" s="14">
        <f t="shared" si="13"/>
        <v>-0.6917315011</v>
      </c>
    </row>
    <row r="466">
      <c r="A466" s="11">
        <v>454.0</v>
      </c>
      <c r="B466" s="11">
        <v>1.42136956521739E9</v>
      </c>
      <c r="C466" s="2">
        <v>-102.5798798</v>
      </c>
      <c r="D466" s="3">
        <f t="shared" si="1"/>
        <v>969565.2174</v>
      </c>
      <c r="E466" s="4">
        <f t="shared" si="2"/>
        <v>-205.6983336</v>
      </c>
      <c r="F466" s="3">
        <f t="shared" si="3"/>
        <v>0.000212155232</v>
      </c>
      <c r="G466" s="3">
        <f t="shared" si="4"/>
        <v>0</v>
      </c>
      <c r="H466" s="2">
        <f t="shared" si="5"/>
        <v>0</v>
      </c>
      <c r="I466" s="3">
        <f t="shared" si="6"/>
        <v>0</v>
      </c>
      <c r="J466" s="3">
        <f t="shared" si="7"/>
        <v>0</v>
      </c>
      <c r="K466" s="3"/>
      <c r="L466" s="3">
        <f t="shared" si="8"/>
        <v>419.8732313</v>
      </c>
      <c r="M466" s="14">
        <f t="shared" si="9"/>
        <v>411.1290664</v>
      </c>
      <c r="N466" s="14">
        <f t="shared" si="10"/>
        <v>8.744164912</v>
      </c>
      <c r="O466" s="3"/>
      <c r="P466" s="3"/>
      <c r="Q466" s="3"/>
      <c r="R466" s="2"/>
      <c r="S466" s="14">
        <f t="shared" si="13"/>
        <v>8.029732823</v>
      </c>
    </row>
    <row r="467">
      <c r="A467" s="11">
        <v>455.0</v>
      </c>
      <c r="B467" s="11">
        <v>1.42137391304347E9</v>
      </c>
      <c r="C467" s="2">
        <v>-102.644165</v>
      </c>
      <c r="D467" s="3">
        <f t="shared" si="1"/>
        <v>973913.0435</v>
      </c>
      <c r="E467" s="4">
        <f t="shared" si="2"/>
        <v>-206.6166297</v>
      </c>
      <c r="F467" s="3">
        <f t="shared" si="3"/>
        <v>0.0002121510037</v>
      </c>
      <c r="G467" s="3">
        <f t="shared" si="4"/>
        <v>0</v>
      </c>
      <c r="H467" s="2">
        <f t="shared" si="5"/>
        <v>0</v>
      </c>
      <c r="I467" s="3">
        <f t="shared" si="6"/>
        <v>0</v>
      </c>
      <c r="J467" s="3">
        <f t="shared" si="7"/>
        <v>0</v>
      </c>
      <c r="K467" s="3"/>
      <c r="L467" s="3">
        <f t="shared" si="8"/>
        <v>413.7039499</v>
      </c>
      <c r="M467" s="14">
        <f t="shared" si="9"/>
        <v>411.0011998</v>
      </c>
      <c r="N467" s="14">
        <f t="shared" si="10"/>
        <v>2.702750099</v>
      </c>
      <c r="O467" s="3"/>
      <c r="P467" s="3"/>
      <c r="Q467" s="3"/>
      <c r="R467" s="2"/>
      <c r="S467" s="14">
        <f t="shared" si="13"/>
        <v>2.481924963</v>
      </c>
    </row>
    <row r="468">
      <c r="A468" s="11">
        <v>456.0</v>
      </c>
      <c r="B468" s="11">
        <v>1.42137826086956E9</v>
      </c>
      <c r="C468" s="2">
        <v>-102.6662064</v>
      </c>
      <c r="D468" s="3">
        <f t="shared" si="1"/>
        <v>978260.8696</v>
      </c>
      <c r="E468" s="4">
        <f t="shared" si="2"/>
        <v>-207.5349259</v>
      </c>
      <c r="F468" s="3">
        <f t="shared" si="3"/>
        <v>0.0002121468131</v>
      </c>
      <c r="G468" s="3">
        <f t="shared" si="4"/>
        <v>0</v>
      </c>
      <c r="H468" s="2">
        <f t="shared" si="5"/>
        <v>0</v>
      </c>
      <c r="I468" s="3">
        <f t="shared" si="6"/>
        <v>0</v>
      </c>
      <c r="J468" s="3">
        <f t="shared" si="7"/>
        <v>0</v>
      </c>
      <c r="K468" s="3"/>
      <c r="L468" s="3">
        <f t="shared" si="8"/>
        <v>411.6096304</v>
      </c>
      <c r="M468" s="14">
        <f t="shared" si="9"/>
        <v>410.8730283</v>
      </c>
      <c r="N468" s="14">
        <f t="shared" si="10"/>
        <v>0.7366021442</v>
      </c>
      <c r="O468" s="3"/>
      <c r="P468" s="3"/>
      <c r="Q468" s="3"/>
      <c r="R468" s="2"/>
      <c r="S468" s="14">
        <f t="shared" si="13"/>
        <v>0.6764188988</v>
      </c>
    </row>
    <row r="469">
      <c r="A469" s="11">
        <v>457.0</v>
      </c>
      <c r="B469" s="11">
        <v>1.42138260869565E9</v>
      </c>
      <c r="C469" s="2">
        <v>-102.7145081</v>
      </c>
      <c r="D469" s="3">
        <f t="shared" si="1"/>
        <v>982608.6957</v>
      </c>
      <c r="E469" s="4">
        <f t="shared" si="2"/>
        <v>-208.453222</v>
      </c>
      <c r="F469" s="3">
        <f t="shared" si="3"/>
        <v>0.0002121426596</v>
      </c>
      <c r="G469" s="3">
        <f t="shared" si="4"/>
        <v>0</v>
      </c>
      <c r="H469" s="2">
        <f t="shared" si="5"/>
        <v>0</v>
      </c>
      <c r="I469" s="3">
        <f t="shared" si="6"/>
        <v>0</v>
      </c>
      <c r="J469" s="3">
        <f t="shared" si="7"/>
        <v>0</v>
      </c>
      <c r="K469" s="3"/>
      <c r="L469" s="3">
        <f t="shared" si="8"/>
        <v>407.0571217</v>
      </c>
      <c r="M469" s="14">
        <f t="shared" si="9"/>
        <v>410.7445511</v>
      </c>
      <c r="N469" s="14">
        <f t="shared" si="10"/>
        <v>-3.687429357</v>
      </c>
      <c r="O469" s="3"/>
      <c r="P469" s="3"/>
      <c r="Q469" s="3"/>
      <c r="R469" s="2"/>
      <c r="S469" s="14">
        <f t="shared" si="13"/>
        <v>-3.386152118</v>
      </c>
    </row>
    <row r="470">
      <c r="A470" s="11">
        <v>458.0</v>
      </c>
      <c r="B470" s="11">
        <v>1.42138695652173E9</v>
      </c>
      <c r="C470" s="2">
        <v>-102.6887131</v>
      </c>
      <c r="D470" s="3">
        <f t="shared" si="1"/>
        <v>986956.5217</v>
      </c>
      <c r="E470" s="4">
        <f t="shared" si="2"/>
        <v>-209.3715181</v>
      </c>
      <c r="F470" s="3">
        <f t="shared" si="3"/>
        <v>0.0002121385426</v>
      </c>
      <c r="G470" s="3">
        <f t="shared" si="4"/>
        <v>0</v>
      </c>
      <c r="H470" s="2">
        <f t="shared" si="5"/>
        <v>0</v>
      </c>
      <c r="I470" s="3">
        <f t="shared" si="6"/>
        <v>0</v>
      </c>
      <c r="J470" s="3">
        <f t="shared" si="7"/>
        <v>0</v>
      </c>
      <c r="K470" s="3"/>
      <c r="L470" s="3">
        <f t="shared" si="8"/>
        <v>409.4820392</v>
      </c>
      <c r="M470" s="14">
        <f t="shared" si="9"/>
        <v>410.6157674</v>
      </c>
      <c r="N470" s="14">
        <f t="shared" si="10"/>
        <v>-1.133728157</v>
      </c>
      <c r="O470" s="3"/>
      <c r="P470" s="3"/>
      <c r="Q470" s="3"/>
      <c r="R470" s="2"/>
      <c r="S470" s="14">
        <f t="shared" si="13"/>
        <v>-1.041098182</v>
      </c>
    </row>
    <row r="471">
      <c r="A471" s="11">
        <v>459.0</v>
      </c>
      <c r="B471" s="11">
        <v>1.42139130434782E9</v>
      </c>
      <c r="C471" s="2">
        <v>-102.6822357</v>
      </c>
      <c r="D471" s="3">
        <f t="shared" si="1"/>
        <v>991304.3478</v>
      </c>
      <c r="E471" s="4">
        <f t="shared" si="2"/>
        <v>-210.2898143</v>
      </c>
      <c r="F471" s="3">
        <f t="shared" si="3"/>
        <v>0.0002121344618</v>
      </c>
      <c r="G471" s="3">
        <f t="shared" si="4"/>
        <v>0</v>
      </c>
      <c r="H471" s="2">
        <f t="shared" si="5"/>
        <v>0</v>
      </c>
      <c r="I471" s="3">
        <f t="shared" si="6"/>
        <v>0</v>
      </c>
      <c r="J471" s="3">
        <f t="shared" si="7"/>
        <v>0</v>
      </c>
      <c r="K471" s="3"/>
      <c r="L471" s="3">
        <f t="shared" si="8"/>
        <v>410.0932277</v>
      </c>
      <c r="M471" s="14">
        <f t="shared" si="9"/>
        <v>410.4866764</v>
      </c>
      <c r="N471" s="14">
        <f t="shared" si="10"/>
        <v>-0.393448672</v>
      </c>
      <c r="O471" s="3"/>
      <c r="P471" s="3"/>
      <c r="Q471" s="3"/>
      <c r="R471" s="2"/>
      <c r="S471" s="14">
        <f t="shared" si="13"/>
        <v>-0.361302394</v>
      </c>
    </row>
    <row r="472">
      <c r="A472" s="11">
        <v>460.0</v>
      </c>
      <c r="B472" s="11">
        <v>1.42139565217391E9</v>
      </c>
      <c r="C472" s="2">
        <v>-102.7246933</v>
      </c>
      <c r="D472" s="3">
        <f t="shared" si="1"/>
        <v>995652.1739</v>
      </c>
      <c r="E472" s="4">
        <f t="shared" si="2"/>
        <v>-211.2081104</v>
      </c>
      <c r="F472" s="3">
        <f t="shared" si="3"/>
        <v>0.0002121304166</v>
      </c>
      <c r="G472" s="3">
        <f t="shared" si="4"/>
        <v>0</v>
      </c>
      <c r="H472" s="2">
        <f t="shared" si="5"/>
        <v>0</v>
      </c>
      <c r="I472" s="3">
        <f t="shared" si="6"/>
        <v>0</v>
      </c>
      <c r="J472" s="3">
        <f t="shared" si="7"/>
        <v>0</v>
      </c>
      <c r="K472" s="3"/>
      <c r="L472" s="3">
        <f t="shared" si="8"/>
        <v>406.1035981</v>
      </c>
      <c r="M472" s="14">
        <f t="shared" si="9"/>
        <v>410.3572773</v>
      </c>
      <c r="N472" s="14">
        <f t="shared" si="10"/>
        <v>-4.253679211</v>
      </c>
      <c r="O472" s="3"/>
      <c r="P472" s="3"/>
      <c r="Q472" s="3"/>
      <c r="R472" s="2"/>
      <c r="S472" s="14">
        <f t="shared" si="13"/>
        <v>-3.368444366</v>
      </c>
    </row>
    <row r="473">
      <c r="A473" s="11">
        <v>461.0</v>
      </c>
      <c r="B473" s="11">
        <v>1.4214E9</v>
      </c>
      <c r="C473" s="2">
        <v>-102.6643524</v>
      </c>
      <c r="D473" s="3">
        <f t="shared" si="1"/>
        <v>1000000</v>
      </c>
      <c r="E473" s="29">
        <f>-0.000212*D473</f>
        <v>-212</v>
      </c>
      <c r="F473" s="3">
        <f t="shared" si="3"/>
        <v>0.000212</v>
      </c>
      <c r="G473" s="3">
        <f t="shared" si="4"/>
        <v>0</v>
      </c>
      <c r="H473" s="2">
        <f t="shared" si="5"/>
        <v>0</v>
      </c>
      <c r="I473" s="3">
        <f t="shared" si="6"/>
        <v>0</v>
      </c>
      <c r="J473" s="3">
        <f t="shared" si="7"/>
        <v>0</v>
      </c>
      <c r="K473" s="3"/>
      <c r="L473" s="3">
        <f t="shared" si="8"/>
        <v>411.7853838</v>
      </c>
      <c r="M473" s="14">
        <f t="shared" si="9"/>
        <v>410.2454425</v>
      </c>
      <c r="N473" s="14">
        <f t="shared" si="10"/>
        <v>1.539941292</v>
      </c>
      <c r="O473" s="3"/>
      <c r="P473" s="3"/>
      <c r="Q473" s="3"/>
      <c r="R473" s="2"/>
      <c r="S473" s="14"/>
    </row>
    <row r="474">
      <c r="A474" s="11" t="s">
        <v>40</v>
      </c>
      <c r="D474" s="3"/>
      <c r="E474" s="4"/>
      <c r="F474" s="3"/>
      <c r="G474" s="3"/>
      <c r="H474" s="3"/>
      <c r="I474" s="3"/>
      <c r="J474" s="3"/>
      <c r="K474" s="3"/>
      <c r="L474" s="3"/>
      <c r="M474" s="5"/>
      <c r="N474" s="3"/>
      <c r="O474" s="3"/>
      <c r="P474" s="3"/>
      <c r="Q474" s="3"/>
      <c r="R474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0</v>
      </c>
      <c r="B1" s="11" t="s">
        <v>1</v>
      </c>
    </row>
    <row r="2">
      <c r="A2" s="11" t="s">
        <v>2</v>
      </c>
      <c r="B2" s="11" t="s">
        <v>3</v>
      </c>
    </row>
    <row r="3">
      <c r="A3" s="11" t="s">
        <v>5</v>
      </c>
      <c r="B3" s="11" t="s">
        <v>6</v>
      </c>
    </row>
    <row r="4">
      <c r="A4" s="11" t="s">
        <v>7</v>
      </c>
      <c r="B4" s="11">
        <v>1.4204E9</v>
      </c>
      <c r="C4" s="11" t="s">
        <v>8</v>
      </c>
    </row>
    <row r="5">
      <c r="A5" s="11" t="s">
        <v>9</v>
      </c>
      <c r="B5" s="11">
        <v>2000000.0</v>
      </c>
      <c r="C5" s="11" t="s">
        <v>8</v>
      </c>
    </row>
    <row r="6">
      <c r="A6" s="11" t="s">
        <v>10</v>
      </c>
      <c r="B6" s="11">
        <v>30000.0</v>
      </c>
      <c r="C6" s="11" t="s">
        <v>8</v>
      </c>
    </row>
    <row r="7">
      <c r="A7" s="11" t="s">
        <v>11</v>
      </c>
      <c r="B7" s="11">
        <v>30000.0</v>
      </c>
      <c r="C7" s="11" t="s">
        <v>8</v>
      </c>
    </row>
    <row r="8">
      <c r="A8" s="11" t="s">
        <v>12</v>
      </c>
      <c r="B8" s="11">
        <v>-97.0</v>
      </c>
      <c r="C8" s="11" t="s">
        <v>13</v>
      </c>
    </row>
    <row r="9">
      <c r="A9" s="11" t="s">
        <v>14</v>
      </c>
      <c r="B9" s="11">
        <v>1.0</v>
      </c>
      <c r="C9" s="11" t="s">
        <v>15</v>
      </c>
    </row>
    <row r="10">
      <c r="A10" s="11" t="s">
        <v>16</v>
      </c>
      <c r="B10" s="11">
        <v>461.0</v>
      </c>
    </row>
    <row r="11">
      <c r="A11" s="11" t="s">
        <v>17</v>
      </c>
      <c r="B11" s="11" t="s">
        <v>8</v>
      </c>
      <c r="C11" s="11" t="s">
        <v>13</v>
      </c>
      <c r="D11" s="2" t="s">
        <v>18</v>
      </c>
      <c r="E11" s="1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26</v>
      </c>
      <c r="M11" s="6" t="s">
        <v>27</v>
      </c>
      <c r="N11" s="2" t="s">
        <v>28</v>
      </c>
      <c r="O11" s="3"/>
      <c r="P11" s="2" t="s">
        <v>29</v>
      </c>
      <c r="Q11" s="2" t="s">
        <v>30</v>
      </c>
      <c r="R11" s="2"/>
      <c r="S11" s="2" t="s">
        <v>31</v>
      </c>
      <c r="V11" s="11" t="s">
        <v>32</v>
      </c>
    </row>
    <row r="12">
      <c r="A12" s="11" t="s">
        <v>33</v>
      </c>
      <c r="B12" s="11" t="s">
        <v>34</v>
      </c>
      <c r="C12" s="11" t="s">
        <v>35</v>
      </c>
      <c r="D12" s="3"/>
      <c r="E12" s="4"/>
      <c r="F12" s="3"/>
      <c r="G12" s="2" t="s">
        <v>36</v>
      </c>
      <c r="H12" s="2" t="s">
        <v>37</v>
      </c>
      <c r="I12" s="3"/>
      <c r="J12" s="3"/>
      <c r="K12" s="3"/>
      <c r="L12" s="3"/>
      <c r="M12" s="5"/>
      <c r="N12" s="3"/>
      <c r="O12" s="3"/>
      <c r="P12" s="3"/>
      <c r="Q12" s="3"/>
      <c r="R12" s="3"/>
      <c r="S12" s="3"/>
    </row>
    <row r="13">
      <c r="A13" s="11">
        <v>1.0</v>
      </c>
      <c r="B13" s="11">
        <v>1.4194E9</v>
      </c>
      <c r="C13" s="2">
        <v>-102.3200912</v>
      </c>
      <c r="D13" s="3">
        <f t="shared" ref="D13:D473" si="1">B13-$B$4</f>
        <v>-1000000</v>
      </c>
      <c r="E13" s="4">
        <f t="shared" ref="E13:E472" si="2">-((B14-$B$4)/$B$4)*(3*10^5)</f>
        <v>210.2898143</v>
      </c>
      <c r="F13" s="3">
        <f t="shared" ref="F13:F473" si="3">-E13/D13</f>
        <v>0.0002102898143</v>
      </c>
      <c r="G13" s="3">
        <f t="shared" ref="G13:G473" si="4">(10^(C13/10))/1000</f>
        <v>0</v>
      </c>
      <c r="H13" s="2">
        <f t="shared" ref="H13:H473" si="5">G13/30000</f>
        <v>0</v>
      </c>
      <c r="I13" s="3">
        <f t="shared" ref="I13:I473" si="6">0.0063*H13</f>
        <v>0</v>
      </c>
      <c r="J13" s="3">
        <f t="shared" ref="J13:J473" si="7">(1/F13^2)*I13</f>
        <v>0</v>
      </c>
      <c r="K13" s="22">
        <f>1.38064852E-23</f>
        <v>0</v>
      </c>
      <c r="L13" s="3">
        <f t="shared" ref="L13:L473" si="8">(1/(2*$K$13))*(I13)</f>
        <v>445.7558458</v>
      </c>
      <c r="M13" s="14">
        <f t="shared" ref="M13:M473" si="9"> 0.0000002594*E13^3 - 0.0001345717*E13^2 + 0.082197087*E13 + 432.2009163164
</f>
        <v>445.947386</v>
      </c>
      <c r="N13" s="14">
        <f t="shared" ref="N13:N473" si="10">L13-(M13)</f>
        <v>-0.1915402209</v>
      </c>
      <c r="O13" s="3"/>
      <c r="P13" s="23">
        <f t="shared" ref="P13:P67" si="11">-((B14-$B$4)/$B$4)*(3*10^5)</f>
        <v>210.2898143</v>
      </c>
      <c r="Q13" s="14">
        <f t="shared" ref="Q13:Q67" si="12">(1/(2*$K$13))*(I13)</f>
        <v>445.7558458</v>
      </c>
      <c r="R13" s="2"/>
      <c r="S13" s="14">
        <f t="shared" ref="S13:S472" si="13">(N13 * ABS(E14-E13))</f>
        <v>-0.1758906442</v>
      </c>
      <c r="V13" s="3">
        <f>1822400000000000000 * SUM(S13:S473)</f>
        <v>2.83071E+22</v>
      </c>
    </row>
    <row r="14">
      <c r="A14" s="11">
        <v>2.0</v>
      </c>
      <c r="B14" s="11">
        <v>1.41940434782608E9</v>
      </c>
      <c r="C14" s="2">
        <v>-102.3090897</v>
      </c>
      <c r="D14" s="3">
        <f t="shared" si="1"/>
        <v>-995652.1739</v>
      </c>
      <c r="E14" s="4">
        <f t="shared" si="2"/>
        <v>209.3715181</v>
      </c>
      <c r="F14" s="3">
        <f t="shared" si="3"/>
        <v>0.0002102858042</v>
      </c>
      <c r="G14" s="3">
        <f t="shared" si="4"/>
        <v>0</v>
      </c>
      <c r="H14" s="2">
        <f t="shared" si="5"/>
        <v>0</v>
      </c>
      <c r="I14" s="3">
        <f t="shared" si="6"/>
        <v>0</v>
      </c>
      <c r="J14" s="3">
        <f t="shared" si="7"/>
        <v>0</v>
      </c>
      <c r="K14" s="3"/>
      <c r="L14" s="3">
        <f t="shared" si="8"/>
        <v>446.886461</v>
      </c>
      <c r="M14" s="14">
        <f t="shared" si="9"/>
        <v>445.8923012</v>
      </c>
      <c r="N14" s="14">
        <f t="shared" si="10"/>
        <v>0.9941598257</v>
      </c>
      <c r="O14" s="3"/>
      <c r="P14" s="23">
        <f t="shared" si="11"/>
        <v>209.3715181</v>
      </c>
      <c r="Q14" s="14">
        <f t="shared" si="12"/>
        <v>446.886461</v>
      </c>
      <c r="R14" s="2"/>
      <c r="S14" s="14">
        <f t="shared" si="13"/>
        <v>0.9129331233</v>
      </c>
    </row>
    <row r="15">
      <c r="A15" s="11">
        <v>3.0</v>
      </c>
      <c r="B15" s="11">
        <v>1.41940869565217E9</v>
      </c>
      <c r="C15" s="2">
        <v>-102.3589096</v>
      </c>
      <c r="D15" s="3">
        <f t="shared" si="1"/>
        <v>-991304.3478</v>
      </c>
      <c r="E15" s="4">
        <f t="shared" si="2"/>
        <v>208.453222</v>
      </c>
      <c r="F15" s="3">
        <f t="shared" si="3"/>
        <v>0.000210281759</v>
      </c>
      <c r="G15" s="3">
        <f t="shared" si="4"/>
        <v>0</v>
      </c>
      <c r="H15" s="2">
        <f t="shared" si="5"/>
        <v>0</v>
      </c>
      <c r="I15" s="3">
        <f t="shared" si="6"/>
        <v>0</v>
      </c>
      <c r="J15" s="3">
        <f t="shared" si="7"/>
        <v>0</v>
      </c>
      <c r="K15" s="3"/>
      <c r="L15" s="3">
        <f t="shared" si="8"/>
        <v>441.7893144</v>
      </c>
      <c r="M15" s="14">
        <f t="shared" si="9"/>
        <v>445.8372642</v>
      </c>
      <c r="N15" s="14">
        <f t="shared" si="10"/>
        <v>-4.047949778</v>
      </c>
      <c r="O15" s="3"/>
      <c r="P15" s="23">
        <f t="shared" si="11"/>
        <v>208.453222</v>
      </c>
      <c r="Q15" s="14">
        <f t="shared" si="12"/>
        <v>441.7893144</v>
      </c>
      <c r="R15" s="2"/>
      <c r="S15" s="14">
        <f t="shared" si="13"/>
        <v>-3.717216618</v>
      </c>
    </row>
    <row r="16">
      <c r="A16" s="11">
        <v>4.0</v>
      </c>
      <c r="B16" s="11">
        <v>1.41941304347826E9</v>
      </c>
      <c r="C16" s="2">
        <v>-102.3504639</v>
      </c>
      <c r="D16" s="3">
        <f t="shared" si="1"/>
        <v>-986956.5217</v>
      </c>
      <c r="E16" s="4">
        <f t="shared" si="2"/>
        <v>207.5349259</v>
      </c>
      <c r="F16" s="3">
        <f t="shared" si="3"/>
        <v>0.0002102776782</v>
      </c>
      <c r="G16" s="3">
        <f t="shared" si="4"/>
        <v>0</v>
      </c>
      <c r="H16" s="2">
        <f t="shared" si="5"/>
        <v>0</v>
      </c>
      <c r="I16" s="3">
        <f t="shared" si="6"/>
        <v>0</v>
      </c>
      <c r="J16" s="3">
        <f t="shared" si="7"/>
        <v>0</v>
      </c>
      <c r="K16" s="3"/>
      <c r="L16" s="3">
        <f t="shared" si="8"/>
        <v>442.6492955</v>
      </c>
      <c r="M16" s="14">
        <f t="shared" si="9"/>
        <v>445.7822739</v>
      </c>
      <c r="N16" s="14">
        <f t="shared" si="10"/>
        <v>-3.132978331</v>
      </c>
      <c r="O16" s="3"/>
      <c r="P16" s="23">
        <f t="shared" si="11"/>
        <v>207.5349259</v>
      </c>
      <c r="Q16" s="14">
        <f t="shared" si="12"/>
        <v>442.6492955</v>
      </c>
      <c r="R16" s="2"/>
      <c r="S16" s="14">
        <f t="shared" si="13"/>
        <v>-2.877001885</v>
      </c>
    </row>
    <row r="17">
      <c r="A17" s="11">
        <v>5.0</v>
      </c>
      <c r="B17" s="11">
        <v>1.41941739130434E9</v>
      </c>
      <c r="C17" s="2">
        <v>-102.3052902</v>
      </c>
      <c r="D17" s="3">
        <f t="shared" si="1"/>
        <v>-982608.6957</v>
      </c>
      <c r="E17" s="4">
        <f t="shared" si="2"/>
        <v>206.6166297</v>
      </c>
      <c r="F17" s="3">
        <f t="shared" si="3"/>
        <v>0.0002102735612</v>
      </c>
      <c r="G17" s="3">
        <f t="shared" si="4"/>
        <v>0</v>
      </c>
      <c r="H17" s="2">
        <f t="shared" si="5"/>
        <v>0</v>
      </c>
      <c r="I17" s="3">
        <f t="shared" si="6"/>
        <v>0</v>
      </c>
      <c r="J17" s="3">
        <f t="shared" si="7"/>
        <v>0</v>
      </c>
      <c r="K17" s="3"/>
      <c r="L17" s="3">
        <f t="shared" si="8"/>
        <v>447.2775984</v>
      </c>
      <c r="M17" s="14">
        <f t="shared" si="9"/>
        <v>445.7273289</v>
      </c>
      <c r="N17" s="14">
        <f t="shared" si="10"/>
        <v>1.550269493</v>
      </c>
      <c r="O17" s="3"/>
      <c r="P17" s="23">
        <f t="shared" si="11"/>
        <v>206.6166297</v>
      </c>
      <c r="Q17" s="14">
        <f t="shared" si="12"/>
        <v>447.2775984</v>
      </c>
      <c r="R17" s="2"/>
      <c r="S17" s="14">
        <f t="shared" si="13"/>
        <v>1.42360648</v>
      </c>
    </row>
    <row r="18">
      <c r="A18" s="11">
        <v>6.0</v>
      </c>
      <c r="B18" s="11">
        <v>1.41942173913043E9</v>
      </c>
      <c r="C18" s="2">
        <v>-102.3680038</v>
      </c>
      <c r="D18" s="3">
        <f t="shared" si="1"/>
        <v>-978260.8696</v>
      </c>
      <c r="E18" s="4">
        <f t="shared" si="2"/>
        <v>205.6983336</v>
      </c>
      <c r="F18" s="3">
        <f t="shared" si="3"/>
        <v>0.0002102694077</v>
      </c>
      <c r="G18" s="3">
        <f t="shared" si="4"/>
        <v>0</v>
      </c>
      <c r="H18" s="2">
        <f t="shared" si="5"/>
        <v>0</v>
      </c>
      <c r="I18" s="3">
        <f t="shared" si="6"/>
        <v>0</v>
      </c>
      <c r="J18" s="3">
        <f t="shared" si="7"/>
        <v>0</v>
      </c>
      <c r="K18" s="3"/>
      <c r="L18" s="3">
        <f t="shared" si="8"/>
        <v>440.8651681</v>
      </c>
      <c r="M18" s="14">
        <f t="shared" si="9"/>
        <v>445.6724282</v>
      </c>
      <c r="N18" s="14">
        <f t="shared" si="10"/>
        <v>-4.807260137</v>
      </c>
      <c r="O18" s="3"/>
      <c r="P18" s="23">
        <f t="shared" si="11"/>
        <v>205.6983336</v>
      </c>
      <c r="Q18" s="14">
        <f t="shared" si="12"/>
        <v>440.8651681</v>
      </c>
      <c r="R18" s="2"/>
      <c r="S18" s="14">
        <f t="shared" si="13"/>
        <v>-4.414488383</v>
      </c>
    </row>
    <row r="19">
      <c r="A19" s="11">
        <v>7.0</v>
      </c>
      <c r="B19" s="11">
        <v>1.41942608695652E9</v>
      </c>
      <c r="C19" s="2">
        <v>-102.3308716</v>
      </c>
      <c r="D19" s="3">
        <f t="shared" si="1"/>
        <v>-973913.0435</v>
      </c>
      <c r="E19" s="4">
        <f t="shared" si="2"/>
        <v>204.7800375</v>
      </c>
      <c r="F19" s="3">
        <f t="shared" si="3"/>
        <v>0.000210265217</v>
      </c>
      <c r="G19" s="3">
        <f t="shared" si="4"/>
        <v>0</v>
      </c>
      <c r="H19" s="2">
        <f t="shared" si="5"/>
        <v>0</v>
      </c>
      <c r="I19" s="3">
        <f t="shared" si="6"/>
        <v>0</v>
      </c>
      <c r="J19" s="3">
        <f t="shared" si="7"/>
        <v>0</v>
      </c>
      <c r="K19" s="3"/>
      <c r="L19" s="3">
        <f t="shared" si="8"/>
        <v>444.6507277</v>
      </c>
      <c r="M19" s="14">
        <f t="shared" si="9"/>
        <v>445.6175705</v>
      </c>
      <c r="N19" s="14">
        <f t="shared" si="10"/>
        <v>-0.9668428112</v>
      </c>
      <c r="O19" s="3"/>
      <c r="P19" s="23">
        <f t="shared" si="11"/>
        <v>204.7800375</v>
      </c>
      <c r="Q19" s="14">
        <f t="shared" si="12"/>
        <v>444.6507277</v>
      </c>
      <c r="R19" s="2"/>
      <c r="S19" s="14">
        <f t="shared" si="13"/>
        <v>-0.8878480146</v>
      </c>
    </row>
    <row r="20">
      <c r="A20" s="11">
        <v>8.0</v>
      </c>
      <c r="B20" s="11">
        <v>1.4194304347826E9</v>
      </c>
      <c r="C20" s="2">
        <v>-102.3327103</v>
      </c>
      <c r="D20" s="3">
        <f t="shared" si="1"/>
        <v>-969565.2174</v>
      </c>
      <c r="E20" s="4">
        <f t="shared" si="2"/>
        <v>203.8617413</v>
      </c>
      <c r="F20" s="3">
        <f t="shared" si="3"/>
        <v>0.0002102609888</v>
      </c>
      <c r="G20" s="3">
        <f t="shared" si="4"/>
        <v>0</v>
      </c>
      <c r="H20" s="2">
        <f t="shared" si="5"/>
        <v>0</v>
      </c>
      <c r="I20" s="3">
        <f t="shared" si="6"/>
        <v>0</v>
      </c>
      <c r="J20" s="3">
        <f t="shared" si="7"/>
        <v>0</v>
      </c>
      <c r="K20" s="3"/>
      <c r="L20" s="3">
        <f t="shared" si="8"/>
        <v>444.4625129</v>
      </c>
      <c r="M20" s="14">
        <f t="shared" si="9"/>
        <v>445.5627546</v>
      </c>
      <c r="N20" s="14">
        <f t="shared" si="10"/>
        <v>-1.10024165</v>
      </c>
      <c r="O20" s="3"/>
      <c r="P20" s="23">
        <f t="shared" si="11"/>
        <v>203.8617413</v>
      </c>
      <c r="Q20" s="14">
        <f t="shared" si="12"/>
        <v>444.4625129</v>
      </c>
      <c r="R20" s="2"/>
      <c r="S20" s="14">
        <f t="shared" si="13"/>
        <v>-1.010347652</v>
      </c>
    </row>
    <row r="21">
      <c r="A21" s="11">
        <v>9.0</v>
      </c>
      <c r="B21" s="11">
        <v>1.41943478260869E9</v>
      </c>
      <c r="C21" s="2">
        <v>-102.3189468</v>
      </c>
      <c r="D21" s="3">
        <f t="shared" si="1"/>
        <v>-965217.3913</v>
      </c>
      <c r="E21" s="4">
        <f t="shared" si="2"/>
        <v>202.9434452</v>
      </c>
      <c r="F21" s="3">
        <f t="shared" si="3"/>
        <v>0.0002102567225</v>
      </c>
      <c r="G21" s="3">
        <f t="shared" si="4"/>
        <v>0</v>
      </c>
      <c r="H21" s="2">
        <f t="shared" si="5"/>
        <v>0</v>
      </c>
      <c r="I21" s="3">
        <f t="shared" si="6"/>
        <v>0</v>
      </c>
      <c r="J21" s="3">
        <f t="shared" si="7"/>
        <v>0</v>
      </c>
      <c r="K21" s="3"/>
      <c r="L21" s="3">
        <f t="shared" si="8"/>
        <v>445.8733214</v>
      </c>
      <c r="M21" s="14">
        <f t="shared" si="9"/>
        <v>445.5079793</v>
      </c>
      <c r="N21" s="14">
        <f t="shared" si="10"/>
        <v>0.3653421615</v>
      </c>
      <c r="O21" s="3"/>
      <c r="P21" s="23">
        <f t="shared" si="11"/>
        <v>202.9434452</v>
      </c>
      <c r="Q21" s="14">
        <f t="shared" si="12"/>
        <v>445.8733214</v>
      </c>
      <c r="R21" s="2"/>
      <c r="S21" s="14">
        <f t="shared" si="13"/>
        <v>0.3354922941</v>
      </c>
    </row>
    <row r="22">
      <c r="A22" s="11">
        <v>10.0</v>
      </c>
      <c r="B22" s="11">
        <v>1.41943913043478E9</v>
      </c>
      <c r="C22" s="2">
        <v>-102.3515091</v>
      </c>
      <c r="D22" s="3">
        <f t="shared" si="1"/>
        <v>-960869.5652</v>
      </c>
      <c r="E22" s="4">
        <f t="shared" si="2"/>
        <v>202.0251491</v>
      </c>
      <c r="F22" s="3">
        <f t="shared" si="3"/>
        <v>0.0002102524176</v>
      </c>
      <c r="G22" s="3">
        <f t="shared" si="4"/>
        <v>0</v>
      </c>
      <c r="H22" s="2">
        <f t="shared" si="5"/>
        <v>0</v>
      </c>
      <c r="I22" s="3">
        <f t="shared" si="6"/>
        <v>0</v>
      </c>
      <c r="J22" s="3">
        <f t="shared" si="7"/>
        <v>0</v>
      </c>
      <c r="K22" s="3"/>
      <c r="L22" s="3">
        <f t="shared" si="8"/>
        <v>442.5427776</v>
      </c>
      <c r="M22" s="14">
        <f t="shared" si="9"/>
        <v>445.4532434</v>
      </c>
      <c r="N22" s="14">
        <f t="shared" si="10"/>
        <v>-2.910465746</v>
      </c>
      <c r="O22" s="3"/>
      <c r="P22" s="23">
        <f t="shared" si="11"/>
        <v>202.0251491</v>
      </c>
      <c r="Q22" s="14">
        <f t="shared" si="12"/>
        <v>442.5427776</v>
      </c>
      <c r="R22" s="2"/>
      <c r="S22" s="14">
        <f t="shared" si="13"/>
        <v>-2.672669433</v>
      </c>
      <c r="U22" s="11">
        <v>1.0</v>
      </c>
    </row>
    <row r="23">
      <c r="A23" s="11">
        <v>11.0</v>
      </c>
      <c r="B23" s="11">
        <v>1.41944347826087E9</v>
      </c>
      <c r="C23" s="2">
        <v>-102.3176804</v>
      </c>
      <c r="D23" s="3">
        <f t="shared" si="1"/>
        <v>-956521.7391</v>
      </c>
      <c r="E23" s="4">
        <f t="shared" si="2"/>
        <v>201.1068529</v>
      </c>
      <c r="F23" s="3">
        <f t="shared" si="3"/>
        <v>0.0002102480735</v>
      </c>
      <c r="G23" s="3">
        <f t="shared" si="4"/>
        <v>0</v>
      </c>
      <c r="H23" s="2">
        <f t="shared" si="5"/>
        <v>0</v>
      </c>
      <c r="I23" s="3">
        <f t="shared" si="6"/>
        <v>0</v>
      </c>
      <c r="J23" s="3">
        <f t="shared" si="7"/>
        <v>0</v>
      </c>
      <c r="K23" s="3"/>
      <c r="L23" s="3">
        <f t="shared" si="8"/>
        <v>446.0033568</v>
      </c>
      <c r="M23" s="14">
        <f t="shared" si="9"/>
        <v>445.3985457</v>
      </c>
      <c r="N23" s="14">
        <f t="shared" si="10"/>
        <v>0.604811128</v>
      </c>
      <c r="O23" s="3"/>
      <c r="P23" s="23">
        <f t="shared" si="11"/>
        <v>201.1068529</v>
      </c>
      <c r="Q23" s="14">
        <f t="shared" si="12"/>
        <v>446.0033568</v>
      </c>
      <c r="R23" s="2"/>
      <c r="S23" s="14">
        <f t="shared" si="13"/>
        <v>0.5553957199</v>
      </c>
    </row>
    <row r="24">
      <c r="A24" s="11">
        <v>12.0</v>
      </c>
      <c r="B24" s="11">
        <v>1.41944782608695E9</v>
      </c>
      <c r="C24" s="2">
        <v>-102.3598251</v>
      </c>
      <c r="D24" s="3">
        <f t="shared" si="1"/>
        <v>-952173.913</v>
      </c>
      <c r="E24" s="4">
        <f t="shared" si="2"/>
        <v>200.1885568</v>
      </c>
      <c r="F24" s="3">
        <f t="shared" si="3"/>
        <v>0.0002102436898</v>
      </c>
      <c r="G24" s="3">
        <f t="shared" si="4"/>
        <v>0</v>
      </c>
      <c r="H24" s="2">
        <f t="shared" si="5"/>
        <v>0</v>
      </c>
      <c r="I24" s="3">
        <f t="shared" si="6"/>
        <v>0</v>
      </c>
      <c r="J24" s="3">
        <f t="shared" si="7"/>
        <v>0</v>
      </c>
      <c r="K24" s="3"/>
      <c r="L24" s="3">
        <f t="shared" si="8"/>
        <v>441.6961943</v>
      </c>
      <c r="M24" s="14">
        <f t="shared" si="9"/>
        <v>445.3438849</v>
      </c>
      <c r="N24" s="14">
        <f t="shared" si="10"/>
        <v>-3.647690588</v>
      </c>
      <c r="O24" s="3"/>
      <c r="P24" s="23">
        <f t="shared" si="11"/>
        <v>200.1885568</v>
      </c>
      <c r="Q24" s="14">
        <f t="shared" si="12"/>
        <v>441.6961943</v>
      </c>
      <c r="R24" s="2"/>
      <c r="S24" s="14">
        <f t="shared" si="13"/>
        <v>-3.349660161</v>
      </c>
    </row>
    <row r="25">
      <c r="A25" s="11">
        <v>13.0</v>
      </c>
      <c r="B25" s="11">
        <v>1.41945217391304E9</v>
      </c>
      <c r="C25" s="2">
        <v>-102.3254318</v>
      </c>
      <c r="D25" s="3">
        <f t="shared" si="1"/>
        <v>-947826.087</v>
      </c>
      <c r="E25" s="4">
        <f t="shared" si="2"/>
        <v>199.2702607</v>
      </c>
      <c r="F25" s="3">
        <f t="shared" si="3"/>
        <v>0.0002102392658</v>
      </c>
      <c r="G25" s="3">
        <f t="shared" si="4"/>
        <v>0</v>
      </c>
      <c r="H25" s="2">
        <f t="shared" si="5"/>
        <v>0</v>
      </c>
      <c r="I25" s="3">
        <f t="shared" si="6"/>
        <v>0</v>
      </c>
      <c r="J25" s="3">
        <f t="shared" si="7"/>
        <v>0</v>
      </c>
      <c r="K25" s="3"/>
      <c r="L25" s="3">
        <f t="shared" si="8"/>
        <v>445.2080285</v>
      </c>
      <c r="M25" s="14">
        <f t="shared" si="9"/>
        <v>445.28926</v>
      </c>
      <c r="N25" s="14">
        <f t="shared" si="10"/>
        <v>-0.0812315162</v>
      </c>
      <c r="O25" s="3"/>
      <c r="P25" s="23">
        <f t="shared" si="11"/>
        <v>199.2702607</v>
      </c>
      <c r="Q25" s="14">
        <f t="shared" si="12"/>
        <v>445.2080285</v>
      </c>
      <c r="R25" s="2"/>
      <c r="S25" s="14">
        <f t="shared" si="13"/>
        <v>-0.07459458701</v>
      </c>
    </row>
    <row r="26">
      <c r="A26" s="11">
        <v>14.0</v>
      </c>
      <c r="B26" s="11">
        <v>1.41945652173913E9</v>
      </c>
      <c r="C26" s="2">
        <v>-102.3446503</v>
      </c>
      <c r="D26" s="3">
        <f t="shared" si="1"/>
        <v>-943478.2609</v>
      </c>
      <c r="E26" s="4">
        <f t="shared" si="2"/>
        <v>198.3519645</v>
      </c>
      <c r="F26" s="3">
        <f t="shared" si="3"/>
        <v>0.0002102348011</v>
      </c>
      <c r="G26" s="3">
        <f t="shared" si="4"/>
        <v>0</v>
      </c>
      <c r="H26" s="2">
        <f t="shared" si="5"/>
        <v>0</v>
      </c>
      <c r="I26" s="3">
        <f t="shared" si="6"/>
        <v>0</v>
      </c>
      <c r="J26" s="3">
        <f t="shared" si="7"/>
        <v>0</v>
      </c>
      <c r="K26" s="3"/>
      <c r="L26" s="3">
        <f t="shared" si="8"/>
        <v>443.2422363</v>
      </c>
      <c r="M26" s="14">
        <f t="shared" si="9"/>
        <v>445.2346696</v>
      </c>
      <c r="N26" s="14">
        <f t="shared" si="10"/>
        <v>-1.992433275</v>
      </c>
      <c r="O26" s="3"/>
      <c r="P26" s="23">
        <f t="shared" si="11"/>
        <v>198.3519645</v>
      </c>
      <c r="Q26" s="14">
        <f t="shared" si="12"/>
        <v>443.2422363</v>
      </c>
      <c r="R26" s="2"/>
      <c r="S26" s="14">
        <f t="shared" si="13"/>
        <v>-1.829643771</v>
      </c>
    </row>
    <row r="27">
      <c r="A27" s="11">
        <v>15.0</v>
      </c>
      <c r="B27" s="11">
        <v>1.41946086956521E9</v>
      </c>
      <c r="C27" s="2">
        <v>-102.3200531</v>
      </c>
      <c r="D27" s="3">
        <f t="shared" si="1"/>
        <v>-939130.4348</v>
      </c>
      <c r="E27" s="4">
        <f t="shared" si="2"/>
        <v>197.4336684</v>
      </c>
      <c r="F27" s="3">
        <f t="shared" si="3"/>
        <v>0.0002102302951</v>
      </c>
      <c r="G27" s="3">
        <f t="shared" si="4"/>
        <v>0</v>
      </c>
      <c r="H27" s="2">
        <f t="shared" si="5"/>
        <v>0</v>
      </c>
      <c r="I27" s="3">
        <f t="shared" si="6"/>
        <v>0</v>
      </c>
      <c r="J27" s="3">
        <f t="shared" si="7"/>
        <v>0</v>
      </c>
      <c r="K27" s="3"/>
      <c r="L27" s="3">
        <f t="shared" si="8"/>
        <v>445.7597564</v>
      </c>
      <c r="M27" s="14">
        <f t="shared" si="9"/>
        <v>445.1801126</v>
      </c>
      <c r="N27" s="14">
        <f t="shared" si="10"/>
        <v>0.5796437891</v>
      </c>
      <c r="O27" s="3"/>
      <c r="P27" s="23">
        <f t="shared" si="11"/>
        <v>197.4336684</v>
      </c>
      <c r="Q27" s="14">
        <f t="shared" si="12"/>
        <v>445.7597564</v>
      </c>
      <c r="R27" s="2"/>
      <c r="S27" s="14">
        <f t="shared" si="13"/>
        <v>0.5322846499</v>
      </c>
    </row>
    <row r="28">
      <c r="A28" s="11">
        <v>16.0</v>
      </c>
      <c r="B28" s="11">
        <v>1.4194652173913E9</v>
      </c>
      <c r="C28" s="2">
        <v>-102.2947006</v>
      </c>
      <c r="D28" s="3">
        <f t="shared" si="1"/>
        <v>-934782.6087</v>
      </c>
      <c r="E28" s="4">
        <f t="shared" si="2"/>
        <v>196.5153723</v>
      </c>
      <c r="F28" s="3">
        <f t="shared" si="3"/>
        <v>0.0002102257471</v>
      </c>
      <c r="G28" s="3">
        <f t="shared" si="4"/>
        <v>0</v>
      </c>
      <c r="H28" s="2">
        <f t="shared" si="5"/>
        <v>0</v>
      </c>
      <c r="I28" s="3">
        <f t="shared" si="6"/>
        <v>0</v>
      </c>
      <c r="J28" s="3">
        <f t="shared" si="7"/>
        <v>0</v>
      </c>
      <c r="K28" s="3"/>
      <c r="L28" s="3">
        <f t="shared" si="8"/>
        <v>448.3695465</v>
      </c>
      <c r="M28" s="14">
        <f t="shared" si="9"/>
        <v>445.1255877</v>
      </c>
      <c r="N28" s="14">
        <f t="shared" si="10"/>
        <v>3.243958732</v>
      </c>
      <c r="O28" s="3"/>
      <c r="P28" s="23">
        <f t="shared" si="11"/>
        <v>196.5153723</v>
      </c>
      <c r="Q28" s="14">
        <f t="shared" si="12"/>
        <v>448.3695465</v>
      </c>
      <c r="R28" s="2"/>
      <c r="S28" s="14">
        <f t="shared" si="13"/>
        <v>2.978914752</v>
      </c>
    </row>
    <row r="29">
      <c r="A29" s="11">
        <v>17.0</v>
      </c>
      <c r="B29" s="11">
        <v>1.41946956521739E9</v>
      </c>
      <c r="C29" s="2">
        <v>-102.2641373</v>
      </c>
      <c r="D29" s="3">
        <f t="shared" si="1"/>
        <v>-930434.7826</v>
      </c>
      <c r="E29" s="4">
        <f t="shared" si="2"/>
        <v>195.5970761</v>
      </c>
      <c r="F29" s="3">
        <f t="shared" si="3"/>
        <v>0.0002102211566</v>
      </c>
      <c r="G29" s="3">
        <f t="shared" si="4"/>
        <v>0</v>
      </c>
      <c r="H29" s="2">
        <f t="shared" si="5"/>
        <v>0</v>
      </c>
      <c r="I29" s="3">
        <f t="shared" si="6"/>
        <v>0</v>
      </c>
      <c r="J29" s="3">
        <f t="shared" si="7"/>
        <v>0</v>
      </c>
      <c r="K29" s="3"/>
      <c r="L29" s="3">
        <f t="shared" si="8"/>
        <v>451.5360582</v>
      </c>
      <c r="M29" s="14">
        <f t="shared" si="9"/>
        <v>445.0710939</v>
      </c>
      <c r="N29" s="14">
        <f t="shared" si="10"/>
        <v>6.464964351</v>
      </c>
      <c r="O29" s="3"/>
      <c r="P29" s="23">
        <f t="shared" si="11"/>
        <v>195.5970761</v>
      </c>
      <c r="Q29" s="14">
        <f t="shared" si="12"/>
        <v>451.5360582</v>
      </c>
      <c r="R29" s="2"/>
      <c r="S29" s="14">
        <f t="shared" si="13"/>
        <v>5.936751762</v>
      </c>
    </row>
    <row r="30">
      <c r="A30" s="11">
        <v>18.0</v>
      </c>
      <c r="B30" s="11">
        <v>1.41947391304347E9</v>
      </c>
      <c r="C30" s="2">
        <v>-102.2957611</v>
      </c>
      <c r="D30" s="3">
        <f t="shared" si="1"/>
        <v>-926086.9565</v>
      </c>
      <c r="E30" s="4">
        <f t="shared" si="2"/>
        <v>194.67878</v>
      </c>
      <c r="F30" s="3">
        <f t="shared" si="3"/>
        <v>0.000210216523</v>
      </c>
      <c r="G30" s="3">
        <f t="shared" si="4"/>
        <v>0</v>
      </c>
      <c r="H30" s="2">
        <f t="shared" si="5"/>
        <v>0</v>
      </c>
      <c r="I30" s="3">
        <f t="shared" si="6"/>
        <v>0</v>
      </c>
      <c r="J30" s="3">
        <f t="shared" si="7"/>
        <v>0</v>
      </c>
      <c r="K30" s="3"/>
      <c r="L30" s="3">
        <f t="shared" si="8"/>
        <v>448.2600729</v>
      </c>
      <c r="M30" s="14">
        <f t="shared" si="9"/>
        <v>445.0166297</v>
      </c>
      <c r="N30" s="14">
        <f t="shared" si="10"/>
        <v>3.243443138</v>
      </c>
      <c r="O30" s="3"/>
      <c r="P30" s="23">
        <f t="shared" si="11"/>
        <v>194.67878</v>
      </c>
      <c r="Q30" s="14">
        <f t="shared" si="12"/>
        <v>448.2600729</v>
      </c>
      <c r="R30" s="2"/>
      <c r="S30" s="14">
        <f t="shared" si="13"/>
        <v>2.97844129</v>
      </c>
    </row>
    <row r="31">
      <c r="A31" s="11">
        <v>19.0</v>
      </c>
      <c r="B31" s="11">
        <v>1.41947826086956E9</v>
      </c>
      <c r="C31" s="2">
        <v>-102.2990265</v>
      </c>
      <c r="D31" s="3">
        <f t="shared" si="1"/>
        <v>-921739.1304</v>
      </c>
      <c r="E31" s="4">
        <f t="shared" si="2"/>
        <v>193.7604839</v>
      </c>
      <c r="F31" s="3">
        <f t="shared" si="3"/>
        <v>0.0002102118457</v>
      </c>
      <c r="G31" s="3">
        <f t="shared" si="4"/>
        <v>0</v>
      </c>
      <c r="H31" s="2">
        <f t="shared" si="5"/>
        <v>0</v>
      </c>
      <c r="I31" s="3">
        <f t="shared" si="6"/>
        <v>0</v>
      </c>
      <c r="J31" s="3">
        <f t="shared" si="7"/>
        <v>0</v>
      </c>
      <c r="K31" s="3"/>
      <c r="L31" s="3">
        <f t="shared" si="8"/>
        <v>447.923159</v>
      </c>
      <c r="M31" s="14">
        <f t="shared" si="9"/>
        <v>444.9621941</v>
      </c>
      <c r="N31" s="14">
        <f t="shared" si="10"/>
        <v>2.960964863</v>
      </c>
      <c r="O31" s="3"/>
      <c r="P31" s="23">
        <f t="shared" si="11"/>
        <v>193.7604839</v>
      </c>
      <c r="Q31" s="14">
        <f t="shared" si="12"/>
        <v>447.923159</v>
      </c>
      <c r="R31" s="2"/>
      <c r="S31" s="14">
        <f t="shared" si="13"/>
        <v>2.719042577</v>
      </c>
    </row>
    <row r="32">
      <c r="A32" s="11">
        <v>20.0</v>
      </c>
      <c r="B32" s="11">
        <v>1.41948260869565E9</v>
      </c>
      <c r="C32" s="2">
        <v>-102.3076553</v>
      </c>
      <c r="D32" s="3">
        <f t="shared" si="1"/>
        <v>-917391.3043</v>
      </c>
      <c r="E32" s="4">
        <f t="shared" si="2"/>
        <v>192.8421878</v>
      </c>
      <c r="F32" s="3">
        <f t="shared" si="3"/>
        <v>0.0002102071241</v>
      </c>
      <c r="G32" s="3">
        <f t="shared" si="4"/>
        <v>0</v>
      </c>
      <c r="H32" s="2">
        <f t="shared" si="5"/>
        <v>0</v>
      </c>
      <c r="I32" s="3">
        <f t="shared" si="6"/>
        <v>0</v>
      </c>
      <c r="J32" s="3">
        <f t="shared" si="7"/>
        <v>0</v>
      </c>
      <c r="K32" s="3"/>
      <c r="L32" s="3">
        <f t="shared" si="8"/>
        <v>447.0340843</v>
      </c>
      <c r="M32" s="14">
        <f t="shared" si="9"/>
        <v>444.9077859</v>
      </c>
      <c r="N32" s="14">
        <f t="shared" si="10"/>
        <v>2.126298426</v>
      </c>
      <c r="O32" s="3"/>
      <c r="P32" s="23">
        <f t="shared" si="11"/>
        <v>192.8421878</v>
      </c>
      <c r="Q32" s="14">
        <f t="shared" si="12"/>
        <v>447.0340843</v>
      </c>
      <c r="R32" s="2"/>
      <c r="S32" s="14">
        <f t="shared" si="13"/>
        <v>1.952571622</v>
      </c>
    </row>
    <row r="33">
      <c r="A33" s="11">
        <v>21.0</v>
      </c>
      <c r="B33" s="11">
        <v>1.41948695652173E9</v>
      </c>
      <c r="C33" s="2">
        <v>-102.3252335</v>
      </c>
      <c r="D33" s="3">
        <f t="shared" si="1"/>
        <v>-913043.4783</v>
      </c>
      <c r="E33" s="4">
        <f t="shared" si="2"/>
        <v>191.9238916</v>
      </c>
      <c r="F33" s="3">
        <f t="shared" si="3"/>
        <v>0.0002102023575</v>
      </c>
      <c r="G33" s="3">
        <f t="shared" si="4"/>
        <v>0</v>
      </c>
      <c r="H33" s="2">
        <f t="shared" si="5"/>
        <v>0</v>
      </c>
      <c r="I33" s="3">
        <f t="shared" si="6"/>
        <v>0</v>
      </c>
      <c r="J33" s="3">
        <f t="shared" si="7"/>
        <v>0</v>
      </c>
      <c r="K33" s="3"/>
      <c r="L33" s="3">
        <f t="shared" si="8"/>
        <v>445.2283572</v>
      </c>
      <c r="M33" s="14">
        <f t="shared" si="9"/>
        <v>444.8534038</v>
      </c>
      <c r="N33" s="14">
        <f t="shared" si="10"/>
        <v>0.3749534358</v>
      </c>
      <c r="O33" s="3"/>
      <c r="P33" s="23">
        <f t="shared" si="11"/>
        <v>191.9238916</v>
      </c>
      <c r="Q33" s="14">
        <f t="shared" si="12"/>
        <v>445.2283572</v>
      </c>
      <c r="R33" s="2"/>
      <c r="S33" s="14">
        <f t="shared" si="13"/>
        <v>0.3443182901</v>
      </c>
    </row>
    <row r="34">
      <c r="A34" s="11">
        <v>22.0</v>
      </c>
      <c r="B34" s="11">
        <v>1.41949130434782E9</v>
      </c>
      <c r="C34" s="2">
        <v>-102.3366165</v>
      </c>
      <c r="D34" s="3">
        <f t="shared" si="1"/>
        <v>-908695.6522</v>
      </c>
      <c r="E34" s="4">
        <f t="shared" si="2"/>
        <v>191.0055955</v>
      </c>
      <c r="F34" s="3">
        <f t="shared" si="3"/>
        <v>0.0002101975453</v>
      </c>
      <c r="G34" s="3">
        <f t="shared" si="4"/>
        <v>0</v>
      </c>
      <c r="H34" s="2">
        <f t="shared" si="5"/>
        <v>0</v>
      </c>
      <c r="I34" s="3">
        <f t="shared" si="6"/>
        <v>0</v>
      </c>
      <c r="J34" s="3">
        <f t="shared" si="7"/>
        <v>0</v>
      </c>
      <c r="K34" s="3"/>
      <c r="L34" s="3">
        <f t="shared" si="8"/>
        <v>444.0629272</v>
      </c>
      <c r="M34" s="14">
        <f t="shared" si="9"/>
        <v>444.7990466</v>
      </c>
      <c r="N34" s="14">
        <f t="shared" si="10"/>
        <v>-0.7361194568</v>
      </c>
      <c r="O34" s="3"/>
      <c r="P34" s="23">
        <f t="shared" si="11"/>
        <v>191.0055955</v>
      </c>
      <c r="Q34" s="14">
        <f t="shared" si="12"/>
        <v>444.0629272</v>
      </c>
      <c r="R34" s="2"/>
      <c r="S34" s="14">
        <f t="shared" si="13"/>
        <v>-0.6759756505</v>
      </c>
    </row>
    <row r="35">
      <c r="A35" s="11">
        <v>23.0</v>
      </c>
      <c r="B35" s="11">
        <v>1.41949565217391E9</v>
      </c>
      <c r="C35" s="2">
        <v>-102.3347244</v>
      </c>
      <c r="D35" s="3">
        <f t="shared" si="1"/>
        <v>-904347.8261</v>
      </c>
      <c r="E35" s="4">
        <f t="shared" si="2"/>
        <v>190.0872994</v>
      </c>
      <c r="F35" s="3">
        <f t="shared" si="3"/>
        <v>0.0002101926868</v>
      </c>
      <c r="G35" s="3">
        <f t="shared" si="4"/>
        <v>0</v>
      </c>
      <c r="H35" s="2">
        <f t="shared" si="5"/>
        <v>0</v>
      </c>
      <c r="I35" s="3">
        <f t="shared" si="6"/>
        <v>0</v>
      </c>
      <c r="J35" s="3">
        <f t="shared" si="7"/>
        <v>0</v>
      </c>
      <c r="K35" s="3"/>
      <c r="L35" s="3">
        <f t="shared" si="8"/>
        <v>444.2564352</v>
      </c>
      <c r="M35" s="14">
        <f t="shared" si="9"/>
        <v>444.7447132</v>
      </c>
      <c r="N35" s="14">
        <f t="shared" si="10"/>
        <v>-0.4882780263</v>
      </c>
      <c r="O35" s="3"/>
      <c r="P35" s="23">
        <f t="shared" si="11"/>
        <v>190.0872994</v>
      </c>
      <c r="Q35" s="14">
        <f t="shared" si="12"/>
        <v>444.2564352</v>
      </c>
      <c r="R35" s="2"/>
      <c r="S35" s="14">
        <f t="shared" si="13"/>
        <v>-0.4483838222</v>
      </c>
    </row>
    <row r="36">
      <c r="A36" s="11">
        <v>24.0</v>
      </c>
      <c r="B36" s="11">
        <v>1.4195E9</v>
      </c>
      <c r="C36" s="2">
        <v>-102.2780228</v>
      </c>
      <c r="D36" s="3">
        <f t="shared" si="1"/>
        <v>-900000</v>
      </c>
      <c r="E36" s="4">
        <f t="shared" si="2"/>
        <v>189.1690032</v>
      </c>
      <c r="F36" s="3">
        <f t="shared" si="3"/>
        <v>0.0002101877814</v>
      </c>
      <c r="G36" s="3">
        <f t="shared" si="4"/>
        <v>0</v>
      </c>
      <c r="H36" s="2">
        <f t="shared" si="5"/>
        <v>0</v>
      </c>
      <c r="I36" s="3">
        <f t="shared" si="6"/>
        <v>0</v>
      </c>
      <c r="J36" s="3">
        <f t="shared" si="7"/>
        <v>0</v>
      </c>
      <c r="K36" s="3"/>
      <c r="L36" s="3">
        <f t="shared" si="8"/>
        <v>450.0946879</v>
      </c>
      <c r="M36" s="14">
        <f t="shared" si="9"/>
        <v>444.6904023</v>
      </c>
      <c r="N36" s="14">
        <f t="shared" si="10"/>
        <v>5.40428567</v>
      </c>
      <c r="O36" s="3"/>
      <c r="P36" s="23">
        <f t="shared" si="11"/>
        <v>189.1690032</v>
      </c>
      <c r="Q36" s="14">
        <f t="shared" si="12"/>
        <v>450.0946879</v>
      </c>
      <c r="R36" s="2"/>
      <c r="S36" s="14">
        <f t="shared" si="13"/>
        <v>4.962734631</v>
      </c>
    </row>
    <row r="37">
      <c r="A37" s="11">
        <v>25.0</v>
      </c>
      <c r="B37" s="11">
        <v>1.41950434782608E9</v>
      </c>
      <c r="C37" s="2">
        <v>-102.298996</v>
      </c>
      <c r="D37" s="3">
        <f t="shared" si="1"/>
        <v>-895652.1739</v>
      </c>
      <c r="E37" s="4">
        <f t="shared" si="2"/>
        <v>188.2507071</v>
      </c>
      <c r="F37" s="3">
        <f t="shared" si="3"/>
        <v>0.0002101828283</v>
      </c>
      <c r="G37" s="3">
        <f t="shared" si="4"/>
        <v>0</v>
      </c>
      <c r="H37" s="2">
        <f t="shared" si="5"/>
        <v>0</v>
      </c>
      <c r="I37" s="3">
        <f t="shared" si="6"/>
        <v>0</v>
      </c>
      <c r="J37" s="3">
        <f t="shared" si="7"/>
        <v>0</v>
      </c>
      <c r="K37" s="3"/>
      <c r="L37" s="3">
        <f t="shared" si="8"/>
        <v>447.9263047</v>
      </c>
      <c r="M37" s="14">
        <f t="shared" si="9"/>
        <v>444.6361127</v>
      </c>
      <c r="N37" s="14">
        <f t="shared" si="10"/>
        <v>3.290192059</v>
      </c>
      <c r="O37" s="3"/>
      <c r="P37" s="23">
        <f t="shared" si="11"/>
        <v>188.2507071</v>
      </c>
      <c r="Q37" s="14">
        <f t="shared" si="12"/>
        <v>447.9263047</v>
      </c>
      <c r="R37" s="2"/>
      <c r="S37" s="14">
        <f t="shared" si="13"/>
        <v>3.021370644</v>
      </c>
    </row>
    <row r="38">
      <c r="A38" s="11">
        <v>26.0</v>
      </c>
      <c r="B38" s="11">
        <v>1.41950869565217E9</v>
      </c>
      <c r="C38" s="2">
        <v>-102.3066101</v>
      </c>
      <c r="D38" s="3">
        <f t="shared" si="1"/>
        <v>-891304.3478</v>
      </c>
      <c r="E38" s="4">
        <f t="shared" si="2"/>
        <v>187.332411</v>
      </c>
      <c r="F38" s="3">
        <f t="shared" si="3"/>
        <v>0.0002101778269</v>
      </c>
      <c r="G38" s="3">
        <f t="shared" si="4"/>
        <v>0</v>
      </c>
      <c r="H38" s="2">
        <f t="shared" si="5"/>
        <v>0</v>
      </c>
      <c r="I38" s="3">
        <f t="shared" si="6"/>
        <v>0</v>
      </c>
      <c r="J38" s="3">
        <f t="shared" si="7"/>
        <v>0</v>
      </c>
      <c r="K38" s="3"/>
      <c r="L38" s="3">
        <f t="shared" si="8"/>
        <v>447.1416833</v>
      </c>
      <c r="M38" s="14">
        <f t="shared" si="9"/>
        <v>444.5818432</v>
      </c>
      <c r="N38" s="14">
        <f t="shared" si="10"/>
        <v>2.559840087</v>
      </c>
      <c r="O38" s="3"/>
      <c r="P38" s="23">
        <f t="shared" si="11"/>
        <v>187.332411</v>
      </c>
      <c r="Q38" s="14">
        <f t="shared" si="12"/>
        <v>447.1416833</v>
      </c>
      <c r="R38" s="2"/>
      <c r="S38" s="14">
        <f t="shared" si="13"/>
        <v>2.350691247</v>
      </c>
    </row>
    <row r="39">
      <c r="A39" s="11">
        <v>27.0</v>
      </c>
      <c r="B39" s="11">
        <v>1.41951304347826E9</v>
      </c>
      <c r="C39" s="2">
        <v>-102.3173981</v>
      </c>
      <c r="D39" s="3">
        <f t="shared" si="1"/>
        <v>-886956.5217</v>
      </c>
      <c r="E39" s="4">
        <f t="shared" si="2"/>
        <v>186.4141148</v>
      </c>
      <c r="F39" s="3">
        <f t="shared" si="3"/>
        <v>0.0002101727765</v>
      </c>
      <c r="G39" s="3">
        <f t="shared" si="4"/>
        <v>0</v>
      </c>
      <c r="H39" s="2">
        <f t="shared" si="5"/>
        <v>0</v>
      </c>
      <c r="I39" s="3">
        <f t="shared" si="6"/>
        <v>0</v>
      </c>
      <c r="J39" s="3">
        <f t="shared" si="7"/>
        <v>0</v>
      </c>
      <c r="K39" s="3"/>
      <c r="L39" s="3">
        <f t="shared" si="8"/>
        <v>446.0323488</v>
      </c>
      <c r="M39" s="14">
        <f t="shared" si="9"/>
        <v>444.5275926</v>
      </c>
      <c r="N39" s="14">
        <f t="shared" si="10"/>
        <v>1.504756231</v>
      </c>
      <c r="O39" s="3"/>
      <c r="P39" s="23">
        <f t="shared" si="11"/>
        <v>186.4141148</v>
      </c>
      <c r="Q39" s="14">
        <f t="shared" si="12"/>
        <v>446.0323488</v>
      </c>
      <c r="R39" s="2"/>
      <c r="S39" s="14">
        <f t="shared" si="13"/>
        <v>1.381811828</v>
      </c>
    </row>
    <row r="40">
      <c r="A40" s="11">
        <v>28.0</v>
      </c>
      <c r="B40" s="11">
        <v>1.41951739130434E9</v>
      </c>
      <c r="C40" s="2">
        <v>-102.3091354</v>
      </c>
      <c r="D40" s="3">
        <f t="shared" si="1"/>
        <v>-882608.6957</v>
      </c>
      <c r="E40" s="4">
        <f t="shared" si="2"/>
        <v>185.4958187</v>
      </c>
      <c r="F40" s="3">
        <f t="shared" si="3"/>
        <v>0.0002101676763</v>
      </c>
      <c r="G40" s="3">
        <f t="shared" si="4"/>
        <v>0</v>
      </c>
      <c r="H40" s="2">
        <f t="shared" si="5"/>
        <v>0</v>
      </c>
      <c r="I40" s="3">
        <f t="shared" si="6"/>
        <v>0</v>
      </c>
      <c r="J40" s="3">
        <f t="shared" si="7"/>
        <v>0</v>
      </c>
      <c r="K40" s="3"/>
      <c r="L40" s="3">
        <f t="shared" si="8"/>
        <v>446.8817586</v>
      </c>
      <c r="M40" s="14">
        <f t="shared" si="9"/>
        <v>444.4733597</v>
      </c>
      <c r="N40" s="14">
        <f t="shared" si="10"/>
        <v>2.408398843</v>
      </c>
      <c r="O40" s="3"/>
      <c r="P40" s="23">
        <f t="shared" si="11"/>
        <v>185.4958187</v>
      </c>
      <c r="Q40" s="14">
        <f t="shared" si="12"/>
        <v>446.8817586</v>
      </c>
      <c r="R40" s="2"/>
      <c r="S40" s="14">
        <f t="shared" si="13"/>
        <v>2.211623344</v>
      </c>
    </row>
    <row r="41">
      <c r="A41" s="11">
        <v>29.0</v>
      </c>
      <c r="B41" s="11">
        <v>1.41952173913043E9</v>
      </c>
      <c r="C41" s="2">
        <v>-102.3471985</v>
      </c>
      <c r="D41" s="3">
        <f t="shared" si="1"/>
        <v>-878260.8696</v>
      </c>
      <c r="E41" s="4">
        <f t="shared" si="2"/>
        <v>184.5775226</v>
      </c>
      <c r="F41" s="3">
        <f t="shared" si="3"/>
        <v>0.0002101625257</v>
      </c>
      <c r="G41" s="3">
        <f t="shared" si="4"/>
        <v>0</v>
      </c>
      <c r="H41" s="2">
        <f t="shared" si="5"/>
        <v>0</v>
      </c>
      <c r="I41" s="3">
        <f t="shared" si="6"/>
        <v>0</v>
      </c>
      <c r="J41" s="3">
        <f t="shared" si="7"/>
        <v>0</v>
      </c>
      <c r="K41" s="3"/>
      <c r="L41" s="3">
        <f t="shared" si="8"/>
        <v>442.9822425</v>
      </c>
      <c r="M41" s="14">
        <f t="shared" si="9"/>
        <v>444.4191433</v>
      </c>
      <c r="N41" s="14">
        <f t="shared" si="10"/>
        <v>-1.436900775</v>
      </c>
      <c r="O41" s="3"/>
      <c r="P41" s="23">
        <f t="shared" si="11"/>
        <v>184.5775226</v>
      </c>
      <c r="Q41" s="14">
        <f t="shared" si="12"/>
        <v>442.9822425</v>
      </c>
      <c r="R41" s="2"/>
      <c r="S41" s="14">
        <f t="shared" si="13"/>
        <v>-1.319500422</v>
      </c>
    </row>
    <row r="42">
      <c r="A42" s="11">
        <v>30.0</v>
      </c>
      <c r="B42" s="11">
        <v>1.41952608695652E9</v>
      </c>
      <c r="C42" s="2">
        <v>-102.3106232</v>
      </c>
      <c r="D42" s="3">
        <f t="shared" si="1"/>
        <v>-873913.0435</v>
      </c>
      <c r="E42" s="4">
        <f t="shared" si="2"/>
        <v>183.6592264</v>
      </c>
      <c r="F42" s="3">
        <f t="shared" si="3"/>
        <v>0.0002101573238</v>
      </c>
      <c r="G42" s="3">
        <f t="shared" si="4"/>
        <v>0</v>
      </c>
      <c r="H42" s="2">
        <f t="shared" si="5"/>
        <v>0</v>
      </c>
      <c r="I42" s="3">
        <f t="shared" si="6"/>
        <v>0</v>
      </c>
      <c r="J42" s="3">
        <f t="shared" si="7"/>
        <v>0</v>
      </c>
      <c r="K42" s="3"/>
      <c r="L42" s="3">
        <f t="shared" si="8"/>
        <v>446.7286926</v>
      </c>
      <c r="M42" s="14">
        <f t="shared" si="9"/>
        <v>444.3649422</v>
      </c>
      <c r="N42" s="14">
        <f t="shared" si="10"/>
        <v>2.363750411</v>
      </c>
      <c r="O42" s="3"/>
      <c r="P42" s="23">
        <f t="shared" si="11"/>
        <v>183.6592264</v>
      </c>
      <c r="Q42" s="14">
        <f t="shared" si="12"/>
        <v>446.7286926</v>
      </c>
      <c r="R42" s="2"/>
      <c r="S42" s="14">
        <f t="shared" si="13"/>
        <v>2.170622861</v>
      </c>
    </row>
    <row r="43">
      <c r="A43" s="11">
        <v>31.0</v>
      </c>
      <c r="B43" s="11">
        <v>1.4195304347826E9</v>
      </c>
      <c r="C43" s="2">
        <v>-102.3517075</v>
      </c>
      <c r="D43" s="3">
        <f t="shared" si="1"/>
        <v>-869565.2174</v>
      </c>
      <c r="E43" s="4">
        <f t="shared" si="2"/>
        <v>182.7409303</v>
      </c>
      <c r="F43" s="3">
        <f t="shared" si="3"/>
        <v>0.0002101520698</v>
      </c>
      <c r="G43" s="3">
        <f t="shared" si="4"/>
        <v>0</v>
      </c>
      <c r="H43" s="2">
        <f t="shared" si="5"/>
        <v>0</v>
      </c>
      <c r="I43" s="3">
        <f t="shared" si="6"/>
        <v>0</v>
      </c>
      <c r="J43" s="3">
        <f t="shared" si="7"/>
        <v>0</v>
      </c>
      <c r="K43" s="3"/>
      <c r="L43" s="3">
        <f t="shared" si="8"/>
        <v>442.5225613</v>
      </c>
      <c r="M43" s="14">
        <f t="shared" si="9"/>
        <v>444.3107552</v>
      </c>
      <c r="N43" s="14">
        <f t="shared" si="10"/>
        <v>-1.788193945</v>
      </c>
      <c r="O43" s="3"/>
      <c r="P43" s="23">
        <f t="shared" si="11"/>
        <v>182.7409303</v>
      </c>
      <c r="Q43" s="14">
        <f t="shared" si="12"/>
        <v>442.5225613</v>
      </c>
      <c r="R43" s="2"/>
      <c r="S43" s="14">
        <f t="shared" si="13"/>
        <v>-1.642091585</v>
      </c>
    </row>
    <row r="44">
      <c r="A44" s="11">
        <v>32.0</v>
      </c>
      <c r="B44" s="11">
        <v>1.41953478260869E9</v>
      </c>
      <c r="C44" s="2">
        <v>-102.343811</v>
      </c>
      <c r="D44" s="3">
        <f t="shared" si="1"/>
        <v>-865217.3913</v>
      </c>
      <c r="E44" s="4">
        <f t="shared" si="2"/>
        <v>181.8226342</v>
      </c>
      <c r="F44" s="3">
        <f t="shared" si="3"/>
        <v>0.0002101467631</v>
      </c>
      <c r="G44" s="3">
        <f t="shared" si="4"/>
        <v>0</v>
      </c>
      <c r="H44" s="2">
        <f t="shared" si="5"/>
        <v>0</v>
      </c>
      <c r="I44" s="3">
        <f t="shared" si="6"/>
        <v>0</v>
      </c>
      <c r="J44" s="3">
        <f t="shared" si="7"/>
        <v>0</v>
      </c>
      <c r="K44" s="3"/>
      <c r="L44" s="3">
        <f t="shared" si="8"/>
        <v>443.3279038</v>
      </c>
      <c r="M44" s="14">
        <f t="shared" si="9"/>
        <v>444.2565811</v>
      </c>
      <c r="N44" s="14">
        <f t="shared" si="10"/>
        <v>-0.928677295</v>
      </c>
      <c r="O44" s="3"/>
      <c r="P44" s="23">
        <f t="shared" si="11"/>
        <v>181.8226342</v>
      </c>
      <c r="Q44" s="14">
        <f t="shared" si="12"/>
        <v>443.3279038</v>
      </c>
      <c r="R44" s="2"/>
      <c r="S44" s="14">
        <f t="shared" si="13"/>
        <v>-0.8528007686</v>
      </c>
    </row>
    <row r="45">
      <c r="A45" s="11">
        <v>33.0</v>
      </c>
      <c r="B45" s="11">
        <v>1.41953913043478E9</v>
      </c>
      <c r="C45" s="2">
        <v>-102.3315811</v>
      </c>
      <c r="D45" s="3">
        <f t="shared" si="1"/>
        <v>-860869.5652</v>
      </c>
      <c r="E45" s="4">
        <f t="shared" si="2"/>
        <v>180.904338</v>
      </c>
      <c r="F45" s="3">
        <f t="shared" si="3"/>
        <v>0.0002101414028</v>
      </c>
      <c r="G45" s="3">
        <f t="shared" si="4"/>
        <v>0</v>
      </c>
      <c r="H45" s="2">
        <f t="shared" si="5"/>
        <v>0</v>
      </c>
      <c r="I45" s="3">
        <f t="shared" si="6"/>
        <v>0</v>
      </c>
      <c r="J45" s="3">
        <f t="shared" si="7"/>
        <v>0</v>
      </c>
      <c r="K45" s="3"/>
      <c r="L45" s="3">
        <f t="shared" si="8"/>
        <v>444.5780917</v>
      </c>
      <c r="M45" s="14">
        <f t="shared" si="9"/>
        <v>444.2024186</v>
      </c>
      <c r="N45" s="14">
        <f t="shared" si="10"/>
        <v>0.3756730843</v>
      </c>
      <c r="O45" s="3"/>
      <c r="P45" s="23">
        <f t="shared" si="11"/>
        <v>180.904338</v>
      </c>
      <c r="Q45" s="14">
        <f t="shared" si="12"/>
        <v>444.5780917</v>
      </c>
      <c r="R45" s="2"/>
      <c r="S45" s="14">
        <f t="shared" si="13"/>
        <v>0.3449791398</v>
      </c>
    </row>
    <row r="46">
      <c r="A46" s="11">
        <v>34.0</v>
      </c>
      <c r="B46" s="11">
        <v>1.41954347826087E9</v>
      </c>
      <c r="C46" s="2">
        <v>-102.3801651</v>
      </c>
      <c r="D46" s="3">
        <f t="shared" si="1"/>
        <v>-856521.7391</v>
      </c>
      <c r="E46" s="4">
        <f t="shared" si="2"/>
        <v>179.9860419</v>
      </c>
      <c r="F46" s="3">
        <f t="shared" si="3"/>
        <v>0.000210135988</v>
      </c>
      <c r="G46" s="3">
        <f t="shared" si="4"/>
        <v>0</v>
      </c>
      <c r="H46" s="2">
        <f t="shared" si="5"/>
        <v>0</v>
      </c>
      <c r="I46" s="3">
        <f t="shared" si="6"/>
        <v>0</v>
      </c>
      <c r="J46" s="3">
        <f t="shared" si="7"/>
        <v>0</v>
      </c>
      <c r="K46" s="3"/>
      <c r="L46" s="3">
        <f t="shared" si="8"/>
        <v>439.6323654</v>
      </c>
      <c r="M46" s="14">
        <f t="shared" si="9"/>
        <v>444.1482667</v>
      </c>
      <c r="N46" s="14">
        <f t="shared" si="10"/>
        <v>-4.515901236</v>
      </c>
      <c r="O46" s="3"/>
      <c r="P46" s="23">
        <f t="shared" si="11"/>
        <v>179.9860419</v>
      </c>
      <c r="Q46" s="14">
        <f t="shared" si="12"/>
        <v>439.6323654</v>
      </c>
      <c r="R46" s="2"/>
      <c r="S46" s="14">
        <f t="shared" si="13"/>
        <v>-4.146934641</v>
      </c>
    </row>
    <row r="47">
      <c r="A47" s="11">
        <v>35.0</v>
      </c>
      <c r="B47" s="11">
        <v>1.41954782608695E9</v>
      </c>
      <c r="C47" s="2">
        <v>-102.3383636</v>
      </c>
      <c r="D47" s="3">
        <f t="shared" si="1"/>
        <v>-852173.913</v>
      </c>
      <c r="E47" s="4">
        <f t="shared" si="2"/>
        <v>179.0677458</v>
      </c>
      <c r="F47" s="3">
        <f t="shared" si="3"/>
        <v>0.000210130518</v>
      </c>
      <c r="G47" s="3">
        <f t="shared" si="4"/>
        <v>0</v>
      </c>
      <c r="H47" s="2">
        <f t="shared" si="5"/>
        <v>0</v>
      </c>
      <c r="I47" s="3">
        <f t="shared" si="6"/>
        <v>0</v>
      </c>
      <c r="J47" s="3">
        <f t="shared" si="7"/>
        <v>0</v>
      </c>
      <c r="K47" s="3"/>
      <c r="L47" s="3">
        <f t="shared" si="8"/>
        <v>443.8843234</v>
      </c>
      <c r="M47" s="14">
        <f t="shared" si="9"/>
        <v>444.0941239</v>
      </c>
      <c r="N47" s="14">
        <f t="shared" si="10"/>
        <v>-0.2098005407</v>
      </c>
      <c r="O47" s="3"/>
      <c r="P47" s="23">
        <f t="shared" si="11"/>
        <v>179.0677458</v>
      </c>
      <c r="Q47" s="14">
        <f t="shared" si="12"/>
        <v>443.8843234</v>
      </c>
      <c r="R47" s="2"/>
      <c r="S47" s="14">
        <f t="shared" si="13"/>
        <v>-0.1926590252</v>
      </c>
    </row>
    <row r="48">
      <c r="A48" s="11">
        <v>36.0</v>
      </c>
      <c r="B48" s="11">
        <v>1.41955217391304E9</v>
      </c>
      <c r="C48" s="2">
        <v>-102.339653</v>
      </c>
      <c r="D48" s="3">
        <f t="shared" si="1"/>
        <v>-847826.087</v>
      </c>
      <c r="E48" s="4">
        <f t="shared" si="2"/>
        <v>178.1494496</v>
      </c>
      <c r="F48" s="3">
        <f t="shared" si="3"/>
        <v>0.0002101249919</v>
      </c>
      <c r="G48" s="3">
        <f t="shared" si="4"/>
        <v>0</v>
      </c>
      <c r="H48" s="2">
        <f t="shared" si="5"/>
        <v>0</v>
      </c>
      <c r="I48" s="3">
        <f t="shared" si="6"/>
        <v>0</v>
      </c>
      <c r="J48" s="3">
        <f t="shared" si="7"/>
        <v>0</v>
      </c>
      <c r="K48" s="3"/>
      <c r="L48" s="3">
        <f t="shared" si="8"/>
        <v>443.7525558</v>
      </c>
      <c r="M48" s="14">
        <f t="shared" si="9"/>
        <v>444.0399893</v>
      </c>
      <c r="N48" s="14">
        <f t="shared" si="10"/>
        <v>-0.2874335003</v>
      </c>
      <c r="O48" s="3"/>
      <c r="P48" s="23">
        <f t="shared" si="11"/>
        <v>178.1494496</v>
      </c>
      <c r="Q48" s="14">
        <f t="shared" si="12"/>
        <v>443.7525558</v>
      </c>
      <c r="R48" s="2"/>
      <c r="S48" s="14">
        <f t="shared" si="13"/>
        <v>-0.2639490711</v>
      </c>
    </row>
    <row r="49">
      <c r="A49" s="11">
        <v>37.0</v>
      </c>
      <c r="B49" s="11">
        <v>1.41955652173913E9</v>
      </c>
      <c r="C49" s="2">
        <v>-102.328392</v>
      </c>
      <c r="D49" s="3">
        <f t="shared" si="1"/>
        <v>-843478.2609</v>
      </c>
      <c r="E49" s="4">
        <f t="shared" si="2"/>
        <v>177.2311535</v>
      </c>
      <c r="F49" s="3">
        <f t="shared" si="3"/>
        <v>0.0002101194088</v>
      </c>
      <c r="G49" s="3">
        <f t="shared" si="4"/>
        <v>0</v>
      </c>
      <c r="H49" s="2">
        <f t="shared" si="5"/>
        <v>0</v>
      </c>
      <c r="I49" s="3">
        <f t="shared" si="6"/>
        <v>0</v>
      </c>
      <c r="J49" s="3">
        <f t="shared" si="7"/>
        <v>0</v>
      </c>
      <c r="K49" s="3"/>
      <c r="L49" s="3">
        <f t="shared" si="8"/>
        <v>444.9046731</v>
      </c>
      <c r="M49" s="14">
        <f t="shared" si="9"/>
        <v>443.9858615</v>
      </c>
      <c r="N49" s="14">
        <f t="shared" si="10"/>
        <v>0.918811572</v>
      </c>
      <c r="O49" s="3"/>
      <c r="P49" s="23">
        <f t="shared" si="11"/>
        <v>177.2311535</v>
      </c>
      <c r="Q49" s="14">
        <f t="shared" si="12"/>
        <v>444.9046731</v>
      </c>
      <c r="R49" s="2"/>
      <c r="S49" s="14">
        <f t="shared" si="13"/>
        <v>0.8437411133</v>
      </c>
    </row>
    <row r="50">
      <c r="A50" s="11">
        <v>38.0</v>
      </c>
      <c r="B50" s="11">
        <v>1.41956086956521E9</v>
      </c>
      <c r="C50" s="2">
        <v>-102.3654175</v>
      </c>
      <c r="D50" s="3">
        <f t="shared" si="1"/>
        <v>-839130.4348</v>
      </c>
      <c r="E50" s="4">
        <f t="shared" si="2"/>
        <v>176.3128574</v>
      </c>
      <c r="F50" s="3">
        <f t="shared" si="3"/>
        <v>0.0002101137678</v>
      </c>
      <c r="G50" s="3">
        <f t="shared" si="4"/>
        <v>0</v>
      </c>
      <c r="H50" s="2">
        <f t="shared" si="5"/>
        <v>0</v>
      </c>
      <c r="I50" s="3">
        <f t="shared" si="6"/>
        <v>0</v>
      </c>
      <c r="J50" s="3">
        <f t="shared" si="7"/>
        <v>0</v>
      </c>
      <c r="K50" s="3"/>
      <c r="L50" s="3">
        <f t="shared" si="8"/>
        <v>441.1277892</v>
      </c>
      <c r="M50" s="14">
        <f t="shared" si="9"/>
        <v>443.9317393</v>
      </c>
      <c r="N50" s="14">
        <f t="shared" si="10"/>
        <v>-2.803950116</v>
      </c>
      <c r="O50" s="3"/>
      <c r="P50" s="23">
        <f t="shared" si="11"/>
        <v>176.3128574</v>
      </c>
      <c r="Q50" s="14">
        <f t="shared" si="12"/>
        <v>441.1277892</v>
      </c>
      <c r="R50" s="2"/>
      <c r="S50" s="14">
        <f t="shared" si="13"/>
        <v>-2.574856548</v>
      </c>
    </row>
    <row r="51">
      <c r="A51" s="11">
        <v>39.0</v>
      </c>
      <c r="B51" s="11">
        <v>1.4195652173913E9</v>
      </c>
      <c r="C51" s="2">
        <v>-102.3418884</v>
      </c>
      <c r="D51" s="3">
        <f t="shared" si="1"/>
        <v>-834782.6087</v>
      </c>
      <c r="E51" s="4">
        <f t="shared" si="2"/>
        <v>175.3945612</v>
      </c>
      <c r="F51" s="3">
        <f t="shared" si="3"/>
        <v>0.0002101080681</v>
      </c>
      <c r="G51" s="3">
        <f t="shared" si="4"/>
        <v>0</v>
      </c>
      <c r="H51" s="2">
        <f t="shared" si="5"/>
        <v>0</v>
      </c>
      <c r="I51" s="3">
        <f t="shared" si="6"/>
        <v>0</v>
      </c>
      <c r="J51" s="3">
        <f t="shared" si="7"/>
        <v>0</v>
      </c>
      <c r="K51" s="3"/>
      <c r="L51" s="3">
        <f t="shared" si="8"/>
        <v>443.5242063</v>
      </c>
      <c r="M51" s="14">
        <f t="shared" si="9"/>
        <v>443.8776216</v>
      </c>
      <c r="N51" s="14">
        <f t="shared" si="10"/>
        <v>-0.3534153176</v>
      </c>
      <c r="O51" s="3"/>
      <c r="P51" s="23">
        <f t="shared" si="11"/>
        <v>175.3945612</v>
      </c>
      <c r="Q51" s="14">
        <f t="shared" si="12"/>
        <v>443.5242063</v>
      </c>
      <c r="R51" s="2"/>
      <c r="S51" s="14">
        <f t="shared" si="13"/>
        <v>-0.3245399187</v>
      </c>
    </row>
    <row r="52">
      <c r="A52" s="11">
        <v>40.0</v>
      </c>
      <c r="B52" s="11">
        <v>1.41956956521739E9</v>
      </c>
      <c r="C52" s="2">
        <v>-102.3488007</v>
      </c>
      <c r="D52" s="3">
        <f t="shared" si="1"/>
        <v>-830434.7826</v>
      </c>
      <c r="E52" s="4">
        <f t="shared" si="2"/>
        <v>174.4762651</v>
      </c>
      <c r="F52" s="3">
        <f t="shared" si="3"/>
        <v>0.0002101023088</v>
      </c>
      <c r="G52" s="3">
        <f t="shared" si="4"/>
        <v>0</v>
      </c>
      <c r="H52" s="2">
        <f t="shared" si="5"/>
        <v>0</v>
      </c>
      <c r="I52" s="3">
        <f t="shared" si="6"/>
        <v>0</v>
      </c>
      <c r="J52" s="3">
        <f t="shared" si="7"/>
        <v>0</v>
      </c>
      <c r="K52" s="3"/>
      <c r="L52" s="3">
        <f t="shared" si="8"/>
        <v>442.8188476</v>
      </c>
      <c r="M52" s="14">
        <f t="shared" si="9"/>
        <v>443.8235071</v>
      </c>
      <c r="N52" s="14">
        <f t="shared" si="10"/>
        <v>-1.004659543</v>
      </c>
      <c r="O52" s="3"/>
      <c r="P52" s="23">
        <f t="shared" si="11"/>
        <v>174.4762651</v>
      </c>
      <c r="Q52" s="14">
        <f t="shared" si="12"/>
        <v>442.8188476</v>
      </c>
      <c r="R52" s="2"/>
      <c r="S52" s="14">
        <f t="shared" si="13"/>
        <v>-0.9225749733</v>
      </c>
    </row>
    <row r="53">
      <c r="A53" s="11">
        <v>41.0</v>
      </c>
      <c r="B53" s="11">
        <v>1.41957391304347E9</v>
      </c>
      <c r="C53" s="2">
        <v>-102.3116837</v>
      </c>
      <c r="D53" s="3">
        <f t="shared" si="1"/>
        <v>-826086.9565</v>
      </c>
      <c r="E53" s="4">
        <f t="shared" si="2"/>
        <v>173.557969</v>
      </c>
      <c r="F53" s="3">
        <f t="shared" si="3"/>
        <v>0.0002100964888</v>
      </c>
      <c r="G53" s="3">
        <f t="shared" si="4"/>
        <v>0</v>
      </c>
      <c r="H53" s="2">
        <f t="shared" si="5"/>
        <v>0</v>
      </c>
      <c r="I53" s="3">
        <f t="shared" si="6"/>
        <v>0</v>
      </c>
      <c r="J53" s="3">
        <f t="shared" si="7"/>
        <v>0</v>
      </c>
      <c r="K53" s="3"/>
      <c r="L53" s="3">
        <f t="shared" si="8"/>
        <v>446.6196197</v>
      </c>
      <c r="M53" s="14">
        <f t="shared" si="9"/>
        <v>443.7693947</v>
      </c>
      <c r="N53" s="14">
        <f t="shared" si="10"/>
        <v>2.850224954</v>
      </c>
      <c r="O53" s="3"/>
      <c r="P53" s="23">
        <f t="shared" si="11"/>
        <v>173.557969</v>
      </c>
      <c r="Q53" s="14">
        <f t="shared" si="12"/>
        <v>446.6196197</v>
      </c>
      <c r="R53" s="2"/>
      <c r="S53" s="14">
        <f t="shared" si="13"/>
        <v>2.617350553</v>
      </c>
    </row>
    <row r="54">
      <c r="A54" s="11">
        <v>42.0</v>
      </c>
      <c r="B54" s="11">
        <v>1.41957826086956E9</v>
      </c>
      <c r="C54" s="2">
        <v>-102.3592453</v>
      </c>
      <c r="D54" s="3">
        <f t="shared" si="1"/>
        <v>-821739.1304</v>
      </c>
      <c r="E54" s="4">
        <f t="shared" si="2"/>
        <v>172.6396728</v>
      </c>
      <c r="F54" s="3">
        <f t="shared" si="3"/>
        <v>0.0002100906072</v>
      </c>
      <c r="G54" s="3">
        <f t="shared" si="4"/>
        <v>0</v>
      </c>
      <c r="H54" s="2">
        <f t="shared" si="5"/>
        <v>0</v>
      </c>
      <c r="I54" s="3">
        <f t="shared" si="6"/>
        <v>0</v>
      </c>
      <c r="J54" s="3">
        <f t="shared" si="7"/>
        <v>0</v>
      </c>
      <c r="K54" s="3"/>
      <c r="L54" s="3">
        <f t="shared" si="8"/>
        <v>441.7551664</v>
      </c>
      <c r="M54" s="14">
        <f t="shared" si="9"/>
        <v>443.7152831</v>
      </c>
      <c r="N54" s="14">
        <f t="shared" si="10"/>
        <v>-1.96011667</v>
      </c>
      <c r="O54" s="3"/>
      <c r="P54" s="23">
        <f t="shared" si="11"/>
        <v>172.6396728</v>
      </c>
      <c r="Q54" s="14">
        <f t="shared" si="12"/>
        <v>441.7551664</v>
      </c>
      <c r="R54" s="2"/>
      <c r="S54" s="14">
        <f t="shared" si="13"/>
        <v>-1.799967554</v>
      </c>
    </row>
    <row r="55">
      <c r="A55" s="11">
        <v>43.0</v>
      </c>
      <c r="B55" s="11">
        <v>1.41958260869565E9</v>
      </c>
      <c r="C55" s="2">
        <v>-102.3948898</v>
      </c>
      <c r="D55" s="3">
        <f t="shared" si="1"/>
        <v>-817391.3043</v>
      </c>
      <c r="E55" s="4">
        <f t="shared" si="2"/>
        <v>171.7213767</v>
      </c>
      <c r="F55" s="3">
        <f t="shared" si="3"/>
        <v>0.000210084663</v>
      </c>
      <c r="G55" s="3">
        <f t="shared" si="4"/>
        <v>0</v>
      </c>
      <c r="H55" s="2">
        <f t="shared" si="5"/>
        <v>0</v>
      </c>
      <c r="I55" s="3">
        <f t="shared" si="6"/>
        <v>0</v>
      </c>
      <c r="J55" s="3">
        <f t="shared" si="7"/>
        <v>0</v>
      </c>
      <c r="K55" s="3"/>
      <c r="L55" s="3">
        <f t="shared" si="8"/>
        <v>438.1443214</v>
      </c>
      <c r="M55" s="14">
        <f t="shared" si="9"/>
        <v>443.6611711</v>
      </c>
      <c r="N55" s="14">
        <f t="shared" si="10"/>
        <v>-5.516849691</v>
      </c>
      <c r="O55" s="3"/>
      <c r="P55" s="23">
        <f t="shared" si="11"/>
        <v>171.7213767</v>
      </c>
      <c r="Q55" s="14">
        <f t="shared" si="12"/>
        <v>438.1443214</v>
      </c>
      <c r="R55" s="2"/>
      <c r="S55" s="14">
        <f t="shared" si="13"/>
        <v>-5.066101736</v>
      </c>
    </row>
    <row r="56">
      <c r="A56" s="11">
        <v>44.0</v>
      </c>
      <c r="B56" s="11">
        <v>1.41958695652173E9</v>
      </c>
      <c r="C56" s="2">
        <v>-102.3723984</v>
      </c>
      <c r="D56" s="3">
        <f t="shared" si="1"/>
        <v>-813043.4783</v>
      </c>
      <c r="E56" s="4">
        <f t="shared" si="2"/>
        <v>170.8030806</v>
      </c>
      <c r="F56" s="3">
        <f t="shared" si="3"/>
        <v>0.0002100786553</v>
      </c>
      <c r="G56" s="3">
        <f t="shared" si="4"/>
        <v>0</v>
      </c>
      <c r="H56" s="2">
        <f t="shared" si="5"/>
        <v>0</v>
      </c>
      <c r="I56" s="3">
        <f t="shared" si="6"/>
        <v>0</v>
      </c>
      <c r="J56" s="3">
        <f t="shared" si="7"/>
        <v>0</v>
      </c>
      <c r="K56" s="3"/>
      <c r="L56" s="3">
        <f t="shared" si="8"/>
        <v>440.4192849</v>
      </c>
      <c r="M56" s="14">
        <f t="shared" si="9"/>
        <v>443.6070575</v>
      </c>
      <c r="N56" s="14">
        <f t="shared" si="10"/>
        <v>-3.187772686</v>
      </c>
      <c r="O56" s="3"/>
      <c r="P56" s="23">
        <f t="shared" si="11"/>
        <v>170.8030806</v>
      </c>
      <c r="Q56" s="14">
        <f t="shared" si="12"/>
        <v>440.4192849</v>
      </c>
      <c r="R56" s="2"/>
      <c r="S56" s="14">
        <f t="shared" si="13"/>
        <v>-2.92731933</v>
      </c>
    </row>
    <row r="57">
      <c r="A57" s="11">
        <v>45.0</v>
      </c>
      <c r="B57" s="11">
        <v>1.41959130434782E9</v>
      </c>
      <c r="C57" s="2">
        <v>-102.3239517</v>
      </c>
      <c r="D57" s="3">
        <f t="shared" si="1"/>
        <v>-808695.6522</v>
      </c>
      <c r="E57" s="4">
        <f t="shared" si="2"/>
        <v>169.8847844</v>
      </c>
      <c r="F57" s="3">
        <f t="shared" si="3"/>
        <v>0.0002100725829</v>
      </c>
      <c r="G57" s="3">
        <f t="shared" si="4"/>
        <v>0</v>
      </c>
      <c r="H57" s="2">
        <f t="shared" si="5"/>
        <v>0</v>
      </c>
      <c r="I57" s="3">
        <f t="shared" si="6"/>
        <v>0</v>
      </c>
      <c r="J57" s="3">
        <f t="shared" si="7"/>
        <v>0</v>
      </c>
      <c r="K57" s="3"/>
      <c r="L57" s="3">
        <f t="shared" si="8"/>
        <v>445.3597837</v>
      </c>
      <c r="M57" s="14">
        <f t="shared" si="9"/>
        <v>443.5529412</v>
      </c>
      <c r="N57" s="14">
        <f t="shared" si="10"/>
        <v>1.806842523</v>
      </c>
      <c r="O57" s="3"/>
      <c r="P57" s="23">
        <f t="shared" si="11"/>
        <v>169.8847844</v>
      </c>
      <c r="Q57" s="14">
        <f t="shared" si="12"/>
        <v>445.3597837</v>
      </c>
      <c r="R57" s="2"/>
      <c r="S57" s="14">
        <f t="shared" si="13"/>
        <v>1.659216502</v>
      </c>
    </row>
    <row r="58">
      <c r="A58" s="11">
        <v>46.0</v>
      </c>
      <c r="B58" s="11">
        <v>1.41959565217391E9</v>
      </c>
      <c r="C58" s="2">
        <v>-102.3671799</v>
      </c>
      <c r="D58" s="3">
        <f t="shared" si="1"/>
        <v>-804347.8261</v>
      </c>
      <c r="E58" s="4">
        <f t="shared" si="2"/>
        <v>168.9664883</v>
      </c>
      <c r="F58" s="3">
        <f t="shared" si="3"/>
        <v>0.0002100664449</v>
      </c>
      <c r="G58" s="3">
        <f t="shared" si="4"/>
        <v>0</v>
      </c>
      <c r="H58" s="2">
        <f t="shared" si="5"/>
        <v>0</v>
      </c>
      <c r="I58" s="3">
        <f t="shared" si="6"/>
        <v>0</v>
      </c>
      <c r="J58" s="3">
        <f t="shared" si="7"/>
        <v>0</v>
      </c>
      <c r="K58" s="3"/>
      <c r="L58" s="3">
        <f t="shared" si="8"/>
        <v>440.9488125</v>
      </c>
      <c r="M58" s="14">
        <f t="shared" si="9"/>
        <v>443.4988208</v>
      </c>
      <c r="N58" s="14">
        <f t="shared" si="10"/>
        <v>-2.550008315</v>
      </c>
      <c r="O58" s="3"/>
      <c r="P58" s="23">
        <f t="shared" si="11"/>
        <v>168.9664883</v>
      </c>
      <c r="Q58" s="14">
        <f t="shared" si="12"/>
        <v>440.9488125</v>
      </c>
      <c r="R58" s="2"/>
      <c r="S58" s="14">
        <f t="shared" si="13"/>
        <v>-2.341662769</v>
      </c>
    </row>
    <row r="59">
      <c r="A59" s="11">
        <v>47.0</v>
      </c>
      <c r="B59" s="11">
        <v>1.4196E9</v>
      </c>
      <c r="C59" s="2">
        <v>-102.3416748</v>
      </c>
      <c r="D59" s="3">
        <f t="shared" si="1"/>
        <v>-800000</v>
      </c>
      <c r="E59" s="4">
        <f t="shared" si="2"/>
        <v>168.0481922</v>
      </c>
      <c r="F59" s="3">
        <f t="shared" si="3"/>
        <v>0.0002100602402</v>
      </c>
      <c r="G59" s="3">
        <f t="shared" si="4"/>
        <v>0</v>
      </c>
      <c r="H59" s="2">
        <f t="shared" si="5"/>
        <v>0</v>
      </c>
      <c r="I59" s="3">
        <f t="shared" si="6"/>
        <v>0</v>
      </c>
      <c r="J59" s="3">
        <f t="shared" si="7"/>
        <v>0</v>
      </c>
      <c r="K59" s="3"/>
      <c r="L59" s="3">
        <f t="shared" si="8"/>
        <v>443.5460208</v>
      </c>
      <c r="M59" s="14">
        <f t="shared" si="9"/>
        <v>443.4446953</v>
      </c>
      <c r="N59" s="14">
        <f t="shared" si="10"/>
        <v>0.1013254938</v>
      </c>
      <c r="O59" s="3"/>
      <c r="P59" s="23">
        <f t="shared" si="11"/>
        <v>168.0481922</v>
      </c>
      <c r="Q59" s="14">
        <f t="shared" si="12"/>
        <v>443.5460208</v>
      </c>
      <c r="R59" s="2"/>
      <c r="S59" s="14">
        <f t="shared" si="13"/>
        <v>0.09304680915</v>
      </c>
    </row>
    <row r="60">
      <c r="A60" s="11">
        <v>48.0</v>
      </c>
      <c r="B60" s="11">
        <v>1.41960434782608E9</v>
      </c>
      <c r="C60" s="2">
        <v>-102.3143692</v>
      </c>
      <c r="D60" s="3">
        <f t="shared" si="1"/>
        <v>-795652.1739</v>
      </c>
      <c r="E60" s="4">
        <f t="shared" si="2"/>
        <v>167.129896</v>
      </c>
      <c r="F60" s="3">
        <f t="shared" si="3"/>
        <v>0.0002100539677</v>
      </c>
      <c r="G60" s="3">
        <f t="shared" si="4"/>
        <v>0</v>
      </c>
      <c r="H60" s="2">
        <f t="shared" si="5"/>
        <v>0</v>
      </c>
      <c r="I60" s="3">
        <f t="shared" si="6"/>
        <v>0</v>
      </c>
      <c r="J60" s="3">
        <f t="shared" si="7"/>
        <v>0</v>
      </c>
      <c r="K60" s="3"/>
      <c r="L60" s="3">
        <f t="shared" si="8"/>
        <v>446.3435337</v>
      </c>
      <c r="M60" s="14">
        <f t="shared" si="9"/>
        <v>443.3905633</v>
      </c>
      <c r="N60" s="14">
        <f t="shared" si="10"/>
        <v>2.952970328</v>
      </c>
      <c r="O60" s="3"/>
      <c r="P60" s="23">
        <f t="shared" si="11"/>
        <v>167.129896</v>
      </c>
      <c r="Q60" s="14">
        <f t="shared" si="12"/>
        <v>446.3435337</v>
      </c>
      <c r="R60" s="2"/>
      <c r="S60" s="14">
        <f t="shared" si="13"/>
        <v>2.711701232</v>
      </c>
    </row>
    <row r="61">
      <c r="A61" s="11">
        <v>49.0</v>
      </c>
      <c r="B61" s="11">
        <v>1.41960869565217E9</v>
      </c>
      <c r="C61" s="2">
        <v>-102.355835</v>
      </c>
      <c r="D61" s="3">
        <f t="shared" si="1"/>
        <v>-791304.3478</v>
      </c>
      <c r="E61" s="4">
        <f t="shared" si="2"/>
        <v>166.2115999</v>
      </c>
      <c r="F61" s="3">
        <f t="shared" si="3"/>
        <v>0.0002100476263</v>
      </c>
      <c r="G61" s="3">
        <f t="shared" si="4"/>
        <v>0</v>
      </c>
      <c r="H61" s="2">
        <f t="shared" si="5"/>
        <v>0</v>
      </c>
      <c r="I61" s="3">
        <f t="shared" si="6"/>
        <v>0</v>
      </c>
      <c r="J61" s="3">
        <f t="shared" si="7"/>
        <v>0</v>
      </c>
      <c r="K61" s="3"/>
      <c r="L61" s="3">
        <f t="shared" si="8"/>
        <v>442.1021912</v>
      </c>
      <c r="M61" s="14">
        <f t="shared" si="9"/>
        <v>443.3364238</v>
      </c>
      <c r="N61" s="14">
        <f t="shared" si="10"/>
        <v>-1.234232614</v>
      </c>
      <c r="O61" s="3"/>
      <c r="P61" s="23">
        <f t="shared" si="11"/>
        <v>166.2115999</v>
      </c>
      <c r="Q61" s="14">
        <f t="shared" si="12"/>
        <v>442.1021912</v>
      </c>
      <c r="R61" s="2"/>
      <c r="S61" s="14">
        <f t="shared" si="13"/>
        <v>-1.133391034</v>
      </c>
    </row>
    <row r="62">
      <c r="A62" s="11">
        <v>50.0</v>
      </c>
      <c r="B62" s="11">
        <v>1.41961304347826E9</v>
      </c>
      <c r="C62" s="2">
        <v>-102.3162918</v>
      </c>
      <c r="D62" s="3">
        <f t="shared" si="1"/>
        <v>-786956.5217</v>
      </c>
      <c r="E62" s="4">
        <f t="shared" si="2"/>
        <v>165.2933038</v>
      </c>
      <c r="F62" s="3">
        <f t="shared" si="3"/>
        <v>0.0002100412148</v>
      </c>
      <c r="G62" s="3">
        <f t="shared" si="4"/>
        <v>0</v>
      </c>
      <c r="H62" s="2">
        <f t="shared" si="5"/>
        <v>0</v>
      </c>
      <c r="I62" s="3">
        <f t="shared" si="6"/>
        <v>0</v>
      </c>
      <c r="J62" s="3">
        <f t="shared" si="7"/>
        <v>0</v>
      </c>
      <c r="K62" s="3"/>
      <c r="L62" s="3">
        <f t="shared" si="8"/>
        <v>446.1459833</v>
      </c>
      <c r="M62" s="14">
        <f t="shared" si="9"/>
        <v>443.2822754</v>
      </c>
      <c r="N62" s="14">
        <f t="shared" si="10"/>
        <v>2.863707933</v>
      </c>
      <c r="O62" s="3"/>
      <c r="P62" s="23">
        <f t="shared" si="11"/>
        <v>165.2933038</v>
      </c>
      <c r="Q62" s="14">
        <f t="shared" si="12"/>
        <v>446.1459833</v>
      </c>
      <c r="R62" s="2"/>
      <c r="S62" s="14">
        <f t="shared" si="13"/>
        <v>2.629731921</v>
      </c>
    </row>
    <row r="63">
      <c r="A63" s="11">
        <v>51.0</v>
      </c>
      <c r="B63" s="11">
        <v>1.41961739130434E9</v>
      </c>
      <c r="C63" s="2">
        <v>-102.3567123</v>
      </c>
      <c r="D63" s="3">
        <f t="shared" si="1"/>
        <v>-782608.6957</v>
      </c>
      <c r="E63" s="4">
        <f t="shared" si="2"/>
        <v>164.3750077</v>
      </c>
      <c r="F63" s="3">
        <f t="shared" si="3"/>
        <v>0.000210034732</v>
      </c>
      <c r="G63" s="3">
        <f t="shared" si="4"/>
        <v>0</v>
      </c>
      <c r="H63" s="2">
        <f t="shared" si="5"/>
        <v>0</v>
      </c>
      <c r="I63" s="3">
        <f t="shared" si="6"/>
        <v>0</v>
      </c>
      <c r="J63" s="3">
        <f t="shared" si="7"/>
        <v>0</v>
      </c>
      <c r="K63" s="3"/>
      <c r="L63" s="3">
        <f t="shared" si="8"/>
        <v>442.012893</v>
      </c>
      <c r="M63" s="14">
        <f t="shared" si="9"/>
        <v>443.228117</v>
      </c>
      <c r="N63" s="14">
        <f t="shared" si="10"/>
        <v>-1.215224034</v>
      </c>
      <c r="O63" s="3"/>
      <c r="P63" s="23">
        <f t="shared" si="11"/>
        <v>164.3750077</v>
      </c>
      <c r="Q63" s="14">
        <f t="shared" si="12"/>
        <v>442.012893</v>
      </c>
      <c r="R63" s="2"/>
      <c r="S63" s="14">
        <f t="shared" si="13"/>
        <v>-1.115935531</v>
      </c>
    </row>
    <row r="64">
      <c r="A64" s="11">
        <v>52.0</v>
      </c>
      <c r="B64" s="11">
        <v>1.41962173913043E9</v>
      </c>
      <c r="C64" s="2">
        <v>-102.3581009</v>
      </c>
      <c r="D64" s="3">
        <f t="shared" si="1"/>
        <v>-778260.8696</v>
      </c>
      <c r="E64" s="4">
        <f t="shared" si="2"/>
        <v>163.4567115</v>
      </c>
      <c r="F64" s="3">
        <f t="shared" si="3"/>
        <v>0.0002100281768</v>
      </c>
      <c r="G64" s="3">
        <f t="shared" si="4"/>
        <v>0</v>
      </c>
      <c r="H64" s="2">
        <f t="shared" si="5"/>
        <v>0</v>
      </c>
      <c r="I64" s="3">
        <f t="shared" si="6"/>
        <v>0</v>
      </c>
      <c r="J64" s="3">
        <f t="shared" si="7"/>
        <v>0</v>
      </c>
      <c r="K64" s="3"/>
      <c r="L64" s="3">
        <f t="shared" si="8"/>
        <v>441.8715877</v>
      </c>
      <c r="M64" s="14">
        <f t="shared" si="9"/>
        <v>443.1739474</v>
      </c>
      <c r="N64" s="14">
        <f t="shared" si="10"/>
        <v>-1.302359689</v>
      </c>
      <c r="O64" s="3"/>
      <c r="P64" s="23">
        <f t="shared" si="11"/>
        <v>163.4567115</v>
      </c>
      <c r="Q64" s="14">
        <f t="shared" si="12"/>
        <v>441.8715877</v>
      </c>
      <c r="R64" s="2"/>
      <c r="S64" s="14">
        <f t="shared" si="13"/>
        <v>-1.195951863</v>
      </c>
    </row>
    <row r="65">
      <c r="A65" s="11">
        <v>53.0</v>
      </c>
      <c r="B65" s="11">
        <v>1.41962608695652E9</v>
      </c>
      <c r="C65" s="2">
        <v>-102.2939758</v>
      </c>
      <c r="D65" s="3">
        <f t="shared" si="1"/>
        <v>-773913.0435</v>
      </c>
      <c r="E65" s="4">
        <f t="shared" si="2"/>
        <v>162.5384154</v>
      </c>
      <c r="F65" s="3">
        <f t="shared" si="3"/>
        <v>0.000210021548</v>
      </c>
      <c r="G65" s="3">
        <f t="shared" si="4"/>
        <v>0</v>
      </c>
      <c r="H65" s="2">
        <f t="shared" si="5"/>
        <v>0</v>
      </c>
      <c r="I65" s="3">
        <f t="shared" si="6"/>
        <v>0</v>
      </c>
      <c r="J65" s="3">
        <f t="shared" si="7"/>
        <v>0</v>
      </c>
      <c r="K65" s="3"/>
      <c r="L65" s="3">
        <f t="shared" si="8"/>
        <v>448.4443817</v>
      </c>
      <c r="M65" s="14">
        <f t="shared" si="9"/>
        <v>443.1197654</v>
      </c>
      <c r="N65" s="14">
        <f t="shared" si="10"/>
        <v>5.324616361</v>
      </c>
      <c r="O65" s="3"/>
      <c r="P65" s="23">
        <f t="shared" si="11"/>
        <v>162.5384154</v>
      </c>
      <c r="Q65" s="14">
        <f t="shared" si="12"/>
        <v>448.4443817</v>
      </c>
      <c r="R65" s="2"/>
      <c r="S65" s="14">
        <f t="shared" si="13"/>
        <v>4.889574613</v>
      </c>
    </row>
    <row r="66">
      <c r="A66" s="11">
        <v>54.0</v>
      </c>
      <c r="B66" s="11">
        <v>1.4196304347826E9</v>
      </c>
      <c r="C66" s="2">
        <v>-102.336441</v>
      </c>
      <c r="D66" s="3">
        <f t="shared" si="1"/>
        <v>-769565.2174</v>
      </c>
      <c r="E66" s="4">
        <f t="shared" si="2"/>
        <v>161.6201193</v>
      </c>
      <c r="F66" s="3">
        <f t="shared" si="3"/>
        <v>0.0002100148442</v>
      </c>
      <c r="G66" s="3">
        <f t="shared" si="4"/>
        <v>0</v>
      </c>
      <c r="H66" s="2">
        <f t="shared" si="5"/>
        <v>0</v>
      </c>
      <c r="I66" s="3">
        <f t="shared" si="6"/>
        <v>0</v>
      </c>
      <c r="J66" s="3">
        <f t="shared" si="7"/>
        <v>0</v>
      </c>
      <c r="K66" s="3"/>
      <c r="L66" s="3">
        <f t="shared" si="8"/>
        <v>444.0808723</v>
      </c>
      <c r="M66" s="14">
        <f t="shared" si="9"/>
        <v>443.0655697</v>
      </c>
      <c r="N66" s="14">
        <f t="shared" si="10"/>
        <v>1.015302598</v>
      </c>
      <c r="O66" s="3"/>
      <c r="P66" s="23">
        <f t="shared" si="11"/>
        <v>161.6201193</v>
      </c>
      <c r="Q66" s="14">
        <f t="shared" si="12"/>
        <v>444.0808723</v>
      </c>
      <c r="R66" s="2"/>
      <c r="S66" s="14">
        <f t="shared" si="13"/>
        <v>0.9323484492</v>
      </c>
    </row>
    <row r="67">
      <c r="A67" s="11">
        <v>55.0</v>
      </c>
      <c r="B67" s="11">
        <v>1.41963478260869E9</v>
      </c>
      <c r="C67" s="2">
        <v>-102.4032974</v>
      </c>
      <c r="D67" s="3">
        <f t="shared" si="1"/>
        <v>-765217.3913</v>
      </c>
      <c r="E67" s="4">
        <f t="shared" si="2"/>
        <v>160.7018231</v>
      </c>
      <c r="F67" s="3">
        <f t="shared" si="3"/>
        <v>0.0002100080643</v>
      </c>
      <c r="G67" s="3">
        <f t="shared" si="4"/>
        <v>0</v>
      </c>
      <c r="H67" s="2">
        <f t="shared" si="5"/>
        <v>0</v>
      </c>
      <c r="I67" s="3">
        <f t="shared" si="6"/>
        <v>0</v>
      </c>
      <c r="J67" s="3">
        <f t="shared" si="7"/>
        <v>0</v>
      </c>
      <c r="K67" s="3"/>
      <c r="L67" s="3">
        <f t="shared" si="8"/>
        <v>437.2969289</v>
      </c>
      <c r="M67" s="14">
        <f t="shared" si="9"/>
        <v>443.0113592</v>
      </c>
      <c r="N67" s="14">
        <f t="shared" si="10"/>
        <v>-5.714430223</v>
      </c>
      <c r="O67" s="3"/>
      <c r="P67" s="23">
        <f t="shared" si="11"/>
        <v>160.7018231</v>
      </c>
      <c r="Q67" s="14">
        <f t="shared" si="12"/>
        <v>437.2969289</v>
      </c>
      <c r="R67" s="2"/>
      <c r="S67" s="14">
        <f t="shared" si="13"/>
        <v>-5.247539175</v>
      </c>
    </row>
    <row r="68">
      <c r="A68" s="11">
        <v>56.0</v>
      </c>
      <c r="B68" s="11">
        <v>1.41963913043478E9</v>
      </c>
      <c r="C68" s="2">
        <v>-102.3413239</v>
      </c>
      <c r="D68" s="24">
        <f t="shared" si="1"/>
        <v>-760869.5652</v>
      </c>
      <c r="E68" s="25">
        <f t="shared" si="2"/>
        <v>159.783527</v>
      </c>
      <c r="F68" s="24">
        <f t="shared" si="3"/>
        <v>0.0002100012069</v>
      </c>
      <c r="G68" s="24">
        <f t="shared" si="4"/>
        <v>0</v>
      </c>
      <c r="H68" s="26">
        <f t="shared" si="5"/>
        <v>0</v>
      </c>
      <c r="I68" s="24">
        <f t="shared" si="6"/>
        <v>0</v>
      </c>
      <c r="J68" s="24">
        <f t="shared" si="7"/>
        <v>0</v>
      </c>
      <c r="K68" s="24"/>
      <c r="L68" s="24">
        <f t="shared" si="8"/>
        <v>443.5818597</v>
      </c>
      <c r="M68" s="14">
        <f t="shared" si="9"/>
        <v>442.9571326</v>
      </c>
      <c r="N68" s="27">
        <f t="shared" si="10"/>
        <v>0.6247271336</v>
      </c>
      <c r="O68" s="24"/>
      <c r="P68" s="28">
        <f t="shared" ref="P68:P123" si="14">-((B418-$B$4)/$B$4)*(3*10^5)</f>
        <v>-160.7018231</v>
      </c>
      <c r="Q68" s="27">
        <f t="shared" ref="Q68:Q123" si="15">(1/(2*$K$13))*(I417)</f>
        <v>416.0171528</v>
      </c>
      <c r="R68" s="26"/>
      <c r="S68" s="14">
        <f t="shared" si="13"/>
        <v>0.5736845095</v>
      </c>
    </row>
    <row r="69">
      <c r="A69" s="11">
        <v>57.0</v>
      </c>
      <c r="B69" s="11">
        <v>1.41964347826087E9</v>
      </c>
      <c r="C69" s="2">
        <v>-102.3463364</v>
      </c>
      <c r="D69" s="24">
        <f t="shared" si="1"/>
        <v>-756521.7391</v>
      </c>
      <c r="E69" s="25">
        <f t="shared" si="2"/>
        <v>158.8652309</v>
      </c>
      <c r="F69" s="24">
        <f t="shared" si="3"/>
        <v>0.0002099942707</v>
      </c>
      <c r="G69" s="24">
        <f t="shared" si="4"/>
        <v>0</v>
      </c>
      <c r="H69" s="26">
        <f t="shared" si="5"/>
        <v>0</v>
      </c>
      <c r="I69" s="24">
        <f t="shared" si="6"/>
        <v>0</v>
      </c>
      <c r="J69" s="24">
        <f t="shared" si="7"/>
        <v>0</v>
      </c>
      <c r="K69" s="24"/>
      <c r="L69" s="24">
        <f t="shared" si="8"/>
        <v>443.0701858</v>
      </c>
      <c r="M69" s="14">
        <f t="shared" si="9"/>
        <v>442.9028888</v>
      </c>
      <c r="N69" s="27">
        <f t="shared" si="10"/>
        <v>0.1672970629</v>
      </c>
      <c r="O69" s="24"/>
      <c r="P69" s="28">
        <f t="shared" si="14"/>
        <v>-161.6201193</v>
      </c>
      <c r="Q69" s="27">
        <f t="shared" si="15"/>
        <v>415.5219376</v>
      </c>
      <c r="R69" s="26"/>
      <c r="S69" s="14">
        <f t="shared" si="13"/>
        <v>0.1536282459</v>
      </c>
    </row>
    <row r="70">
      <c r="A70" s="11">
        <v>58.0</v>
      </c>
      <c r="B70" s="11">
        <v>1.41964782608695E9</v>
      </c>
      <c r="C70" s="2">
        <v>-102.3393097</v>
      </c>
      <c r="D70" s="24">
        <f t="shared" si="1"/>
        <v>-752173.913</v>
      </c>
      <c r="E70" s="25">
        <f t="shared" si="2"/>
        <v>157.9469347</v>
      </c>
      <c r="F70" s="24">
        <f t="shared" si="3"/>
        <v>0.0002099872543</v>
      </c>
      <c r="G70" s="24">
        <f t="shared" si="4"/>
        <v>0</v>
      </c>
      <c r="H70" s="26">
        <f t="shared" si="5"/>
        <v>0</v>
      </c>
      <c r="I70" s="24">
        <f t="shared" si="6"/>
        <v>0</v>
      </c>
      <c r="J70" s="24">
        <f t="shared" si="7"/>
        <v>0</v>
      </c>
      <c r="K70" s="24"/>
      <c r="L70" s="24">
        <f t="shared" si="8"/>
        <v>443.7876348</v>
      </c>
      <c r="M70" s="14">
        <f t="shared" si="9"/>
        <v>442.8486265</v>
      </c>
      <c r="N70" s="27">
        <f t="shared" si="10"/>
        <v>0.9390082916</v>
      </c>
      <c r="O70" s="24"/>
      <c r="P70" s="28">
        <f t="shared" si="14"/>
        <v>-162.5384154</v>
      </c>
      <c r="Q70" s="27">
        <f t="shared" si="15"/>
        <v>418.6976635</v>
      </c>
      <c r="R70" s="26"/>
      <c r="S70" s="14">
        <f t="shared" si="13"/>
        <v>0.8622876828</v>
      </c>
    </row>
    <row r="71">
      <c r="A71" s="11">
        <v>59.0</v>
      </c>
      <c r="B71" s="11">
        <v>1.41965217391304E9</v>
      </c>
      <c r="C71" s="2">
        <v>-102.3443527</v>
      </c>
      <c r="D71" s="24">
        <f t="shared" si="1"/>
        <v>-747826.087</v>
      </c>
      <c r="E71" s="25">
        <f t="shared" si="2"/>
        <v>157.0286386</v>
      </c>
      <c r="F71" s="24">
        <f t="shared" si="3"/>
        <v>0.0002099801563</v>
      </c>
      <c r="G71" s="24">
        <f t="shared" si="4"/>
        <v>0</v>
      </c>
      <c r="H71" s="26">
        <f t="shared" si="5"/>
        <v>0</v>
      </c>
      <c r="I71" s="24">
        <f t="shared" si="6"/>
        <v>0</v>
      </c>
      <c r="J71" s="24">
        <f t="shared" si="7"/>
        <v>0</v>
      </c>
      <c r="K71" s="24"/>
      <c r="L71" s="24">
        <f t="shared" si="8"/>
        <v>443.2726105</v>
      </c>
      <c r="M71" s="14">
        <f t="shared" si="9"/>
        <v>442.7943446</v>
      </c>
      <c r="N71" s="27">
        <f t="shared" si="10"/>
        <v>0.4782659111</v>
      </c>
      <c r="O71" s="24"/>
      <c r="P71" s="28">
        <f t="shared" si="14"/>
        <v>-163.4567115</v>
      </c>
      <c r="Q71" s="27">
        <f t="shared" si="15"/>
        <v>410.7608817</v>
      </c>
      <c r="R71" s="26"/>
      <c r="S71" s="14">
        <f t="shared" si="13"/>
        <v>0.4391897356</v>
      </c>
    </row>
    <row r="72">
      <c r="A72" s="11">
        <v>60.0</v>
      </c>
      <c r="B72" s="11">
        <v>1.41965652173913E9</v>
      </c>
      <c r="C72" s="2">
        <v>-102.3262634</v>
      </c>
      <c r="D72" s="24">
        <f t="shared" si="1"/>
        <v>-743478.2609</v>
      </c>
      <c r="E72" s="25">
        <f t="shared" si="2"/>
        <v>156.1103425</v>
      </c>
      <c r="F72" s="24">
        <f t="shared" si="3"/>
        <v>0.0002099729752</v>
      </c>
      <c r="G72" s="24">
        <f t="shared" si="4"/>
        <v>0</v>
      </c>
      <c r="H72" s="26">
        <f t="shared" si="5"/>
        <v>0</v>
      </c>
      <c r="I72" s="24">
        <f t="shared" si="6"/>
        <v>0</v>
      </c>
      <c r="J72" s="24">
        <f t="shared" si="7"/>
        <v>0</v>
      </c>
      <c r="K72" s="24"/>
      <c r="L72" s="24">
        <f t="shared" si="8"/>
        <v>445.1227869</v>
      </c>
      <c r="M72" s="14">
        <f t="shared" si="9"/>
        <v>442.7400418</v>
      </c>
      <c r="N72" s="27">
        <f t="shared" si="10"/>
        <v>2.382745061</v>
      </c>
      <c r="O72" s="24"/>
      <c r="P72" s="28">
        <f t="shared" si="14"/>
        <v>-164.3750077</v>
      </c>
      <c r="Q72" s="27">
        <f t="shared" si="15"/>
        <v>413.5847696</v>
      </c>
      <c r="R72" s="26"/>
      <c r="S72" s="14">
        <f t="shared" si="13"/>
        <v>2.188065575</v>
      </c>
    </row>
    <row r="73">
      <c r="A73" s="11">
        <v>61.0</v>
      </c>
      <c r="B73" s="11">
        <v>1.41966086956521E9</v>
      </c>
      <c r="C73" s="2">
        <v>-102.3839722</v>
      </c>
      <c r="D73" s="24">
        <f t="shared" si="1"/>
        <v>-739130.4348</v>
      </c>
      <c r="E73" s="25">
        <f t="shared" si="2"/>
        <v>155.1920463</v>
      </c>
      <c r="F73" s="24">
        <f t="shared" si="3"/>
        <v>0.0002099657097</v>
      </c>
      <c r="G73" s="24">
        <f t="shared" si="4"/>
        <v>0</v>
      </c>
      <c r="H73" s="26">
        <f t="shared" si="5"/>
        <v>0</v>
      </c>
      <c r="I73" s="24">
        <f t="shared" si="6"/>
        <v>0</v>
      </c>
      <c r="J73" s="24">
        <f t="shared" si="7"/>
        <v>0</v>
      </c>
      <c r="K73" s="24"/>
      <c r="L73" s="24">
        <f t="shared" si="8"/>
        <v>439.247145</v>
      </c>
      <c r="M73" s="14">
        <f t="shared" si="9"/>
        <v>442.6857169</v>
      </c>
      <c r="N73" s="27">
        <f t="shared" si="10"/>
        <v>-3.438571915</v>
      </c>
      <c r="O73" s="24"/>
      <c r="P73" s="28">
        <f t="shared" si="14"/>
        <v>-165.2933038</v>
      </c>
      <c r="Q73" s="27">
        <f t="shared" si="15"/>
        <v>412.8479737</v>
      </c>
      <c r="R73" s="26"/>
      <c r="S73" s="14">
        <f t="shared" si="13"/>
        <v>-3.157627292</v>
      </c>
    </row>
    <row r="74">
      <c r="A74" s="11">
        <v>62.0</v>
      </c>
      <c r="B74" s="11">
        <v>1.4196652173913E9</v>
      </c>
      <c r="C74" s="2">
        <v>-102.3433609</v>
      </c>
      <c r="D74" s="24">
        <f t="shared" si="1"/>
        <v>-734782.6087</v>
      </c>
      <c r="E74" s="25">
        <f t="shared" si="2"/>
        <v>154.2737502</v>
      </c>
      <c r="F74" s="24">
        <f t="shared" si="3"/>
        <v>0.0002099583583</v>
      </c>
      <c r="G74" s="24">
        <f t="shared" si="4"/>
        <v>0</v>
      </c>
      <c r="H74" s="26">
        <f t="shared" si="5"/>
        <v>0</v>
      </c>
      <c r="I74" s="24">
        <f t="shared" si="6"/>
        <v>0</v>
      </c>
      <c r="J74" s="24">
        <f t="shared" si="7"/>
        <v>0</v>
      </c>
      <c r="K74" s="24"/>
      <c r="L74" s="24">
        <f t="shared" si="8"/>
        <v>443.3738524</v>
      </c>
      <c r="M74" s="14">
        <f t="shared" si="9"/>
        <v>442.6313688</v>
      </c>
      <c r="N74" s="27">
        <f t="shared" si="10"/>
        <v>0.7424836131</v>
      </c>
      <c r="O74" s="24"/>
      <c r="P74" s="28">
        <f t="shared" si="14"/>
        <v>-166.2115999</v>
      </c>
      <c r="Q74" s="27">
        <f t="shared" si="15"/>
        <v>417.8042057</v>
      </c>
      <c r="R74" s="26"/>
      <c r="S74" s="14">
        <f t="shared" si="13"/>
        <v>0.6818198289</v>
      </c>
    </row>
    <row r="75">
      <c r="A75" s="11">
        <v>63.0</v>
      </c>
      <c r="B75" s="11">
        <v>1.41966956521739E9</v>
      </c>
      <c r="C75" s="2">
        <v>-102.3101501</v>
      </c>
      <c r="D75" s="24">
        <f t="shared" si="1"/>
        <v>-730434.7826</v>
      </c>
      <c r="E75" s="25">
        <f t="shared" si="2"/>
        <v>153.3554541</v>
      </c>
      <c r="F75" s="24">
        <f t="shared" si="3"/>
        <v>0.0002099509193</v>
      </c>
      <c r="G75" s="24">
        <f t="shared" si="4"/>
        <v>0</v>
      </c>
      <c r="H75" s="26">
        <f t="shared" si="5"/>
        <v>0</v>
      </c>
      <c r="I75" s="24">
        <f t="shared" si="6"/>
        <v>0</v>
      </c>
      <c r="J75" s="24">
        <f t="shared" si="7"/>
        <v>0</v>
      </c>
      <c r="K75" s="24"/>
      <c r="L75" s="24">
        <f t="shared" si="8"/>
        <v>446.7773598</v>
      </c>
      <c r="M75" s="14">
        <f t="shared" si="9"/>
        <v>442.5769962</v>
      </c>
      <c r="N75" s="27">
        <f t="shared" si="10"/>
        <v>4.200363655</v>
      </c>
      <c r="O75" s="24"/>
      <c r="P75" s="28">
        <f t="shared" si="14"/>
        <v>-167.129896</v>
      </c>
      <c r="Q75" s="27">
        <f t="shared" si="15"/>
        <v>410.2200445</v>
      </c>
      <c r="R75" s="26"/>
      <c r="S75" s="14">
        <f t="shared" si="13"/>
        <v>3.857177701</v>
      </c>
    </row>
    <row r="76">
      <c r="A76" s="11">
        <v>64.0</v>
      </c>
      <c r="B76" s="11">
        <v>1.41967391304347E9</v>
      </c>
      <c r="C76" s="2">
        <v>-102.315979</v>
      </c>
      <c r="D76" s="24">
        <f t="shared" si="1"/>
        <v>-726086.9565</v>
      </c>
      <c r="E76" s="25">
        <f t="shared" si="2"/>
        <v>152.4371579</v>
      </c>
      <c r="F76" s="24">
        <f t="shared" si="3"/>
        <v>0.0002099433912</v>
      </c>
      <c r="G76" s="24">
        <f t="shared" si="4"/>
        <v>0</v>
      </c>
      <c r="H76" s="26">
        <f t="shared" si="5"/>
        <v>0</v>
      </c>
      <c r="I76" s="24">
        <f t="shared" si="6"/>
        <v>0</v>
      </c>
      <c r="J76" s="24">
        <f t="shared" si="7"/>
        <v>0</v>
      </c>
      <c r="K76" s="24"/>
      <c r="L76" s="24">
        <f t="shared" si="8"/>
        <v>446.1781181</v>
      </c>
      <c r="M76" s="14">
        <f t="shared" si="9"/>
        <v>442.5225979</v>
      </c>
      <c r="N76" s="27">
        <f t="shared" si="10"/>
        <v>3.655520251</v>
      </c>
      <c r="O76" s="24"/>
      <c r="P76" s="28">
        <f t="shared" si="14"/>
        <v>-168.0481922</v>
      </c>
      <c r="Q76" s="27">
        <f t="shared" si="15"/>
        <v>413.2325444</v>
      </c>
      <c r="R76" s="26"/>
      <c r="S76" s="14">
        <f t="shared" si="13"/>
        <v>3.356850109</v>
      </c>
    </row>
    <row r="77">
      <c r="A77" s="11">
        <v>65.0</v>
      </c>
      <c r="B77" s="11">
        <v>1.41967826086956E9</v>
      </c>
      <c r="C77" s="2">
        <v>-102.3346405</v>
      </c>
      <c r="D77" s="24">
        <f t="shared" si="1"/>
        <v>-721739.1304</v>
      </c>
      <c r="E77" s="25">
        <f t="shared" si="2"/>
        <v>151.5188618</v>
      </c>
      <c r="F77" s="24">
        <f t="shared" si="3"/>
        <v>0.0002099357724</v>
      </c>
      <c r="G77" s="24">
        <f t="shared" si="4"/>
        <v>0</v>
      </c>
      <c r="H77" s="26">
        <f t="shared" si="5"/>
        <v>0</v>
      </c>
      <c r="I77" s="24">
        <f t="shared" si="6"/>
        <v>0</v>
      </c>
      <c r="J77" s="24">
        <f t="shared" si="7"/>
        <v>0</v>
      </c>
      <c r="K77" s="24"/>
      <c r="L77" s="24">
        <f t="shared" si="8"/>
        <v>444.2650177</v>
      </c>
      <c r="M77" s="14">
        <f t="shared" si="9"/>
        <v>442.4681726</v>
      </c>
      <c r="N77" s="27">
        <f t="shared" si="10"/>
        <v>1.796845045</v>
      </c>
      <c r="O77" s="24"/>
      <c r="P77" s="28">
        <f t="shared" si="14"/>
        <v>-168.9664883</v>
      </c>
      <c r="Q77" s="27">
        <f t="shared" si="15"/>
        <v>416.6790808</v>
      </c>
      <c r="R77" s="26"/>
      <c r="S77" s="14">
        <f t="shared" si="13"/>
        <v>1.650035852</v>
      </c>
    </row>
    <row r="78">
      <c r="A78" s="11">
        <v>66.0</v>
      </c>
      <c r="B78" s="11">
        <v>1.41968260869565E9</v>
      </c>
      <c r="C78" s="2">
        <v>-102.3277893</v>
      </c>
      <c r="D78" s="24">
        <f t="shared" si="1"/>
        <v>-717391.3043</v>
      </c>
      <c r="E78" s="25">
        <f t="shared" si="2"/>
        <v>150.6005657</v>
      </c>
      <c r="F78" s="24">
        <f t="shared" si="3"/>
        <v>0.0002099280612</v>
      </c>
      <c r="G78" s="24">
        <f t="shared" si="4"/>
        <v>0</v>
      </c>
      <c r="H78" s="26">
        <f t="shared" si="5"/>
        <v>0</v>
      </c>
      <c r="I78" s="24">
        <f t="shared" si="6"/>
        <v>0</v>
      </c>
      <c r="J78" s="24">
        <f t="shared" si="7"/>
        <v>0</v>
      </c>
      <c r="K78" s="24"/>
      <c r="L78" s="24">
        <f t="shared" si="8"/>
        <v>444.9664198</v>
      </c>
      <c r="M78" s="14">
        <f t="shared" si="9"/>
        <v>442.4137193</v>
      </c>
      <c r="N78" s="27">
        <f t="shared" si="10"/>
        <v>2.552700437</v>
      </c>
      <c r="O78" s="24"/>
      <c r="P78" s="28">
        <f t="shared" si="14"/>
        <v>-169.8847844</v>
      </c>
      <c r="Q78" s="27">
        <f t="shared" si="15"/>
        <v>408.871771</v>
      </c>
      <c r="R78" s="26"/>
      <c r="S78" s="14">
        <f t="shared" si="13"/>
        <v>2.344134939</v>
      </c>
    </row>
    <row r="79">
      <c r="A79" s="11">
        <v>67.0</v>
      </c>
      <c r="B79" s="11">
        <v>1.41968695652173E9</v>
      </c>
      <c r="C79" s="2">
        <v>-102.2745667</v>
      </c>
      <c r="D79" s="24">
        <f t="shared" si="1"/>
        <v>-713043.4783</v>
      </c>
      <c r="E79" s="25">
        <f t="shared" si="2"/>
        <v>149.6822695</v>
      </c>
      <c r="F79" s="24">
        <f t="shared" si="3"/>
        <v>0.0002099202561</v>
      </c>
      <c r="G79" s="24">
        <f t="shared" si="4"/>
        <v>0</v>
      </c>
      <c r="H79" s="26">
        <f t="shared" si="5"/>
        <v>0</v>
      </c>
      <c r="I79" s="24">
        <f t="shared" si="6"/>
        <v>0</v>
      </c>
      <c r="J79" s="24">
        <f t="shared" si="7"/>
        <v>0</v>
      </c>
      <c r="K79" s="24"/>
      <c r="L79" s="24">
        <f t="shared" si="8"/>
        <v>450.4530142</v>
      </c>
      <c r="M79" s="14">
        <f t="shared" si="9"/>
        <v>442.3592367</v>
      </c>
      <c r="N79" s="27">
        <f t="shared" si="10"/>
        <v>8.093777496</v>
      </c>
      <c r="O79" s="24"/>
      <c r="P79" s="28">
        <f t="shared" si="14"/>
        <v>-170.8030806</v>
      </c>
      <c r="Q79" s="27">
        <f t="shared" si="15"/>
        <v>411.2338043</v>
      </c>
      <c r="R79" s="26"/>
      <c r="S79" s="14">
        <f t="shared" si="13"/>
        <v>7.432484574</v>
      </c>
    </row>
    <row r="80">
      <c r="A80" s="11">
        <v>68.0</v>
      </c>
      <c r="B80" s="11">
        <v>1.41969130434782E9</v>
      </c>
      <c r="C80" s="2">
        <v>-102.2752914</v>
      </c>
      <c r="D80" s="24">
        <f t="shared" si="1"/>
        <v>-708695.6522</v>
      </c>
      <c r="E80" s="25">
        <f t="shared" si="2"/>
        <v>148.7639734</v>
      </c>
      <c r="F80" s="24">
        <f t="shared" si="3"/>
        <v>0.0002099123551</v>
      </c>
      <c r="G80" s="24">
        <f t="shared" si="4"/>
        <v>0</v>
      </c>
      <c r="H80" s="26">
        <f t="shared" si="5"/>
        <v>0</v>
      </c>
      <c r="I80" s="24">
        <f t="shared" si="6"/>
        <v>0</v>
      </c>
      <c r="J80" s="24">
        <f t="shared" si="7"/>
        <v>0</v>
      </c>
      <c r="K80" s="24"/>
      <c r="L80" s="24">
        <f t="shared" si="8"/>
        <v>450.3778542</v>
      </c>
      <c r="M80" s="14">
        <f t="shared" si="9"/>
        <v>442.3047236</v>
      </c>
      <c r="N80" s="27">
        <f t="shared" si="10"/>
        <v>8.073130529</v>
      </c>
      <c r="O80" s="24"/>
      <c r="P80" s="28">
        <f t="shared" si="14"/>
        <v>-171.7213767</v>
      </c>
      <c r="Q80" s="27">
        <f t="shared" si="15"/>
        <v>412.9132578</v>
      </c>
      <c r="R80" s="26"/>
      <c r="S80" s="14">
        <f t="shared" si="13"/>
        <v>7.413524545</v>
      </c>
    </row>
    <row r="81">
      <c r="A81" s="11">
        <v>69.0</v>
      </c>
      <c r="B81" s="11">
        <v>1.41969565217391E9</v>
      </c>
      <c r="C81" s="2">
        <v>-102.3244171</v>
      </c>
      <c r="D81" s="24">
        <f t="shared" si="1"/>
        <v>-704347.8261</v>
      </c>
      <c r="E81" s="25">
        <f t="shared" si="2"/>
        <v>147.8456773</v>
      </c>
      <c r="F81" s="24">
        <f t="shared" si="3"/>
        <v>0.0002099043566</v>
      </c>
      <c r="G81" s="24">
        <f t="shared" si="4"/>
        <v>0</v>
      </c>
      <c r="H81" s="26">
        <f t="shared" si="5"/>
        <v>0</v>
      </c>
      <c r="I81" s="24">
        <f t="shared" si="6"/>
        <v>0</v>
      </c>
      <c r="J81" s="24">
        <f t="shared" si="7"/>
        <v>0</v>
      </c>
      <c r="K81" s="24"/>
      <c r="L81" s="24">
        <f t="shared" si="8"/>
        <v>445.3120605</v>
      </c>
      <c r="M81" s="14">
        <f t="shared" si="9"/>
        <v>442.2501788</v>
      </c>
      <c r="N81" s="27">
        <f t="shared" si="10"/>
        <v>3.061881668</v>
      </c>
      <c r="O81" s="24"/>
      <c r="P81" s="28">
        <f t="shared" si="14"/>
        <v>-172.6396728</v>
      </c>
      <c r="Q81" s="27">
        <f t="shared" si="15"/>
        <v>408.7425005</v>
      </c>
      <c r="R81" s="26"/>
      <c r="S81" s="14">
        <f t="shared" si="13"/>
        <v>2.811714088</v>
      </c>
    </row>
    <row r="82">
      <c r="A82" s="11">
        <v>70.0</v>
      </c>
      <c r="B82" s="11">
        <v>1.4197E9</v>
      </c>
      <c r="C82" s="2">
        <v>-102.3463593</v>
      </c>
      <c r="D82" s="24">
        <f t="shared" si="1"/>
        <v>-700000</v>
      </c>
      <c r="E82" s="25">
        <f t="shared" si="2"/>
        <v>146.9273811</v>
      </c>
      <c r="F82" s="24">
        <f t="shared" si="3"/>
        <v>0.0002098962588</v>
      </c>
      <c r="G82" s="24">
        <f t="shared" si="4"/>
        <v>0</v>
      </c>
      <c r="H82" s="26">
        <f t="shared" si="5"/>
        <v>0</v>
      </c>
      <c r="I82" s="24">
        <f t="shared" si="6"/>
        <v>0</v>
      </c>
      <c r="J82" s="24">
        <f t="shared" si="7"/>
        <v>0</v>
      </c>
      <c r="K82" s="24"/>
      <c r="L82" s="24">
        <f t="shared" si="8"/>
        <v>443.0678496</v>
      </c>
      <c r="M82" s="14">
        <f t="shared" si="9"/>
        <v>442.1956011</v>
      </c>
      <c r="N82" s="27">
        <f t="shared" si="10"/>
        <v>0.8722485093</v>
      </c>
      <c r="O82" s="24"/>
      <c r="P82" s="28">
        <f t="shared" si="14"/>
        <v>-173.557969</v>
      </c>
      <c r="Q82" s="27">
        <f t="shared" si="15"/>
        <v>407.7148289</v>
      </c>
      <c r="R82" s="26"/>
      <c r="S82" s="14">
        <f t="shared" si="13"/>
        <v>0.8009824329</v>
      </c>
    </row>
    <row r="83">
      <c r="A83" s="11">
        <v>71.0</v>
      </c>
      <c r="B83" s="11">
        <v>1.41970434782608E9</v>
      </c>
      <c r="C83" s="2">
        <v>-102.3831406</v>
      </c>
      <c r="D83" s="24">
        <f t="shared" si="1"/>
        <v>-695652.1739</v>
      </c>
      <c r="E83" s="25">
        <f t="shared" si="2"/>
        <v>146.009085</v>
      </c>
      <c r="F83" s="24">
        <f t="shared" si="3"/>
        <v>0.0002098880597</v>
      </c>
      <c r="G83" s="24">
        <f t="shared" si="4"/>
        <v>0</v>
      </c>
      <c r="H83" s="26">
        <f t="shared" si="5"/>
        <v>0</v>
      </c>
      <c r="I83" s="24">
        <f t="shared" si="6"/>
        <v>0</v>
      </c>
      <c r="J83" s="24">
        <f t="shared" si="7"/>
        <v>0</v>
      </c>
      <c r="K83" s="24"/>
      <c r="L83" s="24">
        <f t="shared" si="8"/>
        <v>439.3312614</v>
      </c>
      <c r="M83" s="14">
        <f t="shared" si="9"/>
        <v>442.1409892</v>
      </c>
      <c r="N83" s="27">
        <f t="shared" si="10"/>
        <v>-2.809727791</v>
      </c>
      <c r="O83" s="24"/>
      <c r="P83" s="28">
        <f t="shared" si="14"/>
        <v>-174.4762651</v>
      </c>
      <c r="Q83" s="27">
        <f t="shared" si="15"/>
        <v>411.5720342</v>
      </c>
      <c r="R83" s="26"/>
      <c r="S83" s="14">
        <f t="shared" si="13"/>
        <v>-2.580162165</v>
      </c>
    </row>
    <row r="84">
      <c r="A84" s="11">
        <v>72.0</v>
      </c>
      <c r="B84" s="11">
        <v>1.41970869565217E9</v>
      </c>
      <c r="C84" s="2">
        <v>-102.3463516</v>
      </c>
      <c r="D84" s="24">
        <f t="shared" si="1"/>
        <v>-691304.3478</v>
      </c>
      <c r="E84" s="25">
        <f t="shared" si="2"/>
        <v>145.0907889</v>
      </c>
      <c r="F84" s="24">
        <f t="shared" si="3"/>
        <v>0.0002098797575</v>
      </c>
      <c r="G84" s="24">
        <f t="shared" si="4"/>
        <v>0</v>
      </c>
      <c r="H84" s="26">
        <f t="shared" si="5"/>
        <v>0</v>
      </c>
      <c r="I84" s="24">
        <f t="shared" si="6"/>
        <v>0</v>
      </c>
      <c r="J84" s="24">
        <f t="shared" si="7"/>
        <v>0</v>
      </c>
      <c r="K84" s="24"/>
      <c r="L84" s="24">
        <f t="shared" si="8"/>
        <v>443.0686351</v>
      </c>
      <c r="M84" s="14">
        <f t="shared" si="9"/>
        <v>442.086342</v>
      </c>
      <c r="N84" s="27">
        <f t="shared" si="10"/>
        <v>0.9822931224</v>
      </c>
      <c r="O84" s="24"/>
      <c r="P84" s="28">
        <f t="shared" si="14"/>
        <v>-175.3945612</v>
      </c>
      <c r="Q84" s="27">
        <f t="shared" si="15"/>
        <v>410.6685241</v>
      </c>
      <c r="R84" s="26"/>
      <c r="S84" s="14">
        <f t="shared" si="13"/>
        <v>0.9020359734</v>
      </c>
    </row>
    <row r="85">
      <c r="A85" s="11">
        <v>73.0</v>
      </c>
      <c r="B85" s="11">
        <v>1.41971304347826E9</v>
      </c>
      <c r="C85" s="2">
        <v>-102.3187256</v>
      </c>
      <c r="D85" s="24">
        <f t="shared" si="1"/>
        <v>-686956.5217</v>
      </c>
      <c r="E85" s="25">
        <f t="shared" si="2"/>
        <v>144.1724927</v>
      </c>
      <c r="F85" s="24">
        <f t="shared" si="3"/>
        <v>0.0002098713502</v>
      </c>
      <c r="G85" s="24">
        <f t="shared" si="4"/>
        <v>0</v>
      </c>
      <c r="H85" s="26">
        <f t="shared" si="5"/>
        <v>0</v>
      </c>
      <c r="I85" s="24">
        <f t="shared" si="6"/>
        <v>0</v>
      </c>
      <c r="J85" s="24">
        <f t="shared" si="7"/>
        <v>0</v>
      </c>
      <c r="K85" s="24"/>
      <c r="L85" s="24">
        <f t="shared" si="8"/>
        <v>445.8960318</v>
      </c>
      <c r="M85" s="14">
        <f t="shared" si="9"/>
        <v>442.0316583</v>
      </c>
      <c r="N85" s="27">
        <f t="shared" si="10"/>
        <v>3.864373477</v>
      </c>
      <c r="O85" s="24"/>
      <c r="P85" s="28">
        <f t="shared" si="14"/>
        <v>-176.3128574</v>
      </c>
      <c r="Q85" s="27">
        <f t="shared" si="15"/>
        <v>407.1214901</v>
      </c>
      <c r="R85" s="26"/>
      <c r="S85" s="14">
        <f t="shared" si="13"/>
        <v>3.54863922</v>
      </c>
    </row>
    <row r="86">
      <c r="A86" s="11">
        <v>74.0</v>
      </c>
      <c r="B86" s="11">
        <v>1.41971739130434E9</v>
      </c>
      <c r="C86" s="2">
        <v>-102.2984314</v>
      </c>
      <c r="D86" s="24">
        <f t="shared" si="1"/>
        <v>-682608.6957</v>
      </c>
      <c r="E86" s="25">
        <f t="shared" si="2"/>
        <v>143.2541966</v>
      </c>
      <c r="F86" s="24">
        <f t="shared" si="3"/>
        <v>0.0002098628358</v>
      </c>
      <c r="G86" s="24">
        <f t="shared" si="4"/>
        <v>0</v>
      </c>
      <c r="H86" s="26">
        <f t="shared" si="5"/>
        <v>0</v>
      </c>
      <c r="I86" s="24">
        <f t="shared" si="6"/>
        <v>0</v>
      </c>
      <c r="J86" s="24">
        <f t="shared" si="7"/>
        <v>0</v>
      </c>
      <c r="K86" s="24"/>
      <c r="L86" s="24">
        <f t="shared" si="8"/>
        <v>447.9845407</v>
      </c>
      <c r="M86" s="14">
        <f t="shared" si="9"/>
        <v>441.9769368</v>
      </c>
      <c r="N86" s="27">
        <f t="shared" si="10"/>
        <v>6.007603877</v>
      </c>
      <c r="O86" s="24"/>
      <c r="P86" s="28">
        <f t="shared" si="14"/>
        <v>-177.2311535</v>
      </c>
      <c r="Q86" s="27">
        <f t="shared" si="15"/>
        <v>414.3221555</v>
      </c>
      <c r="R86" s="26"/>
      <c r="S86" s="14">
        <f t="shared" si="13"/>
        <v>5.516759407</v>
      </c>
    </row>
    <row r="87">
      <c r="A87" s="11">
        <v>75.0</v>
      </c>
      <c r="B87" s="11">
        <v>1.41972173913043E9</v>
      </c>
      <c r="C87" s="2">
        <v>-102.3884201</v>
      </c>
      <c r="D87" s="24">
        <f t="shared" si="1"/>
        <v>-678260.8696</v>
      </c>
      <c r="E87" s="25">
        <f t="shared" si="2"/>
        <v>142.3359005</v>
      </c>
      <c r="F87" s="24">
        <f t="shared" si="3"/>
        <v>0.0002098542122</v>
      </c>
      <c r="G87" s="24">
        <f t="shared" si="4"/>
        <v>0</v>
      </c>
      <c r="H87" s="26">
        <f t="shared" si="5"/>
        <v>0</v>
      </c>
      <c r="I87" s="24">
        <f t="shared" si="6"/>
        <v>0</v>
      </c>
      <c r="J87" s="24">
        <f t="shared" si="7"/>
        <v>0</v>
      </c>
      <c r="K87" s="24"/>
      <c r="L87" s="24">
        <f t="shared" si="8"/>
        <v>438.7975129</v>
      </c>
      <c r="M87" s="14">
        <f t="shared" si="9"/>
        <v>441.9221764</v>
      </c>
      <c r="N87" s="27">
        <f t="shared" si="10"/>
        <v>-3.124663465</v>
      </c>
      <c r="O87" s="24"/>
      <c r="P87" s="28">
        <f t="shared" si="14"/>
        <v>-178.1494496</v>
      </c>
      <c r="Q87" s="27">
        <f t="shared" si="15"/>
        <v>416.8203725</v>
      </c>
      <c r="R87" s="26"/>
      <c r="S87" s="14">
        <f t="shared" si="13"/>
        <v>-2.869366369</v>
      </c>
    </row>
    <row r="88">
      <c r="A88" s="11">
        <v>76.0</v>
      </c>
      <c r="B88" s="11">
        <v>1.41972608695652E9</v>
      </c>
      <c r="C88" s="2">
        <v>-102.2889252</v>
      </c>
      <c r="D88" s="24">
        <f t="shared" si="1"/>
        <v>-673913.0435</v>
      </c>
      <c r="E88" s="25">
        <f t="shared" si="2"/>
        <v>141.4176044</v>
      </c>
      <c r="F88" s="24">
        <f t="shared" si="3"/>
        <v>0.0002098454774</v>
      </c>
      <c r="G88" s="24">
        <f t="shared" si="4"/>
        <v>0</v>
      </c>
      <c r="H88" s="26">
        <f t="shared" si="5"/>
        <v>0</v>
      </c>
      <c r="I88" s="24">
        <f t="shared" si="6"/>
        <v>0</v>
      </c>
      <c r="J88" s="24">
        <f t="shared" si="7"/>
        <v>0</v>
      </c>
      <c r="K88" s="24"/>
      <c r="L88" s="24">
        <f t="shared" si="8"/>
        <v>448.9662006</v>
      </c>
      <c r="M88" s="14">
        <f t="shared" si="9"/>
        <v>441.8673759</v>
      </c>
      <c r="N88" s="27">
        <f t="shared" si="10"/>
        <v>7.098824767</v>
      </c>
      <c r="O88" s="24"/>
      <c r="P88" s="28">
        <f t="shared" si="14"/>
        <v>-179.0677458</v>
      </c>
      <c r="Q88" s="27">
        <f t="shared" si="15"/>
        <v>415.0871102</v>
      </c>
      <c r="R88" s="26"/>
      <c r="S88" s="14">
        <f t="shared" si="13"/>
        <v>6.518823331</v>
      </c>
    </row>
    <row r="89">
      <c r="A89" s="11">
        <v>77.0</v>
      </c>
      <c r="B89" s="11">
        <v>1.4197304347826E9</v>
      </c>
      <c r="C89" s="2">
        <v>-102.3683929</v>
      </c>
      <c r="D89" s="24">
        <f t="shared" si="1"/>
        <v>-669565.2174</v>
      </c>
      <c r="E89" s="25">
        <f t="shared" si="2"/>
        <v>140.4993082</v>
      </c>
      <c r="F89" s="24">
        <f t="shared" si="3"/>
        <v>0.0002098366292</v>
      </c>
      <c r="G89" s="24">
        <f t="shared" si="4"/>
        <v>0</v>
      </c>
      <c r="H89" s="26">
        <f t="shared" si="5"/>
        <v>0</v>
      </c>
      <c r="I89" s="24">
        <f t="shared" si="6"/>
        <v>0</v>
      </c>
      <c r="J89" s="24">
        <f t="shared" si="7"/>
        <v>0</v>
      </c>
      <c r="K89" s="24"/>
      <c r="L89" s="24">
        <f t="shared" si="8"/>
        <v>440.8256711</v>
      </c>
      <c r="M89" s="14">
        <f t="shared" si="9"/>
        <v>441.8125339</v>
      </c>
      <c r="N89" s="27">
        <f t="shared" si="10"/>
        <v>-0.9868628001</v>
      </c>
      <c r="O89" s="24"/>
      <c r="P89" s="28">
        <f t="shared" si="14"/>
        <v>-179.9860419</v>
      </c>
      <c r="Q89" s="27">
        <f t="shared" si="15"/>
        <v>410.4312472</v>
      </c>
      <c r="R89" s="26"/>
      <c r="S89" s="14">
        <f t="shared" si="13"/>
        <v>-0.9062322929</v>
      </c>
    </row>
    <row r="90">
      <c r="A90" s="11">
        <v>78.0</v>
      </c>
      <c r="B90" s="11">
        <v>1.41973478260869E9</v>
      </c>
      <c r="C90" s="2">
        <v>-102.2721939</v>
      </c>
      <c r="D90" s="24">
        <f t="shared" si="1"/>
        <v>-665217.3913</v>
      </c>
      <c r="E90" s="25">
        <f t="shared" si="2"/>
        <v>139.5810121</v>
      </c>
      <c r="F90" s="24">
        <f t="shared" si="3"/>
        <v>0.0002098276652</v>
      </c>
      <c r="G90" s="24">
        <f t="shared" si="4"/>
        <v>0</v>
      </c>
      <c r="H90" s="26">
        <f t="shared" si="5"/>
        <v>0</v>
      </c>
      <c r="I90" s="24">
        <f t="shared" si="6"/>
        <v>0</v>
      </c>
      <c r="J90" s="24">
        <f t="shared" si="7"/>
        <v>0</v>
      </c>
      <c r="K90" s="24"/>
      <c r="L90" s="24">
        <f t="shared" si="8"/>
        <v>450.6991898</v>
      </c>
      <c r="M90" s="14">
        <f t="shared" si="9"/>
        <v>441.7576495</v>
      </c>
      <c r="N90" s="27">
        <f t="shared" si="10"/>
        <v>8.941540355</v>
      </c>
      <c r="O90" s="24"/>
      <c r="P90" s="28">
        <f t="shared" si="14"/>
        <v>-180.904338</v>
      </c>
      <c r="Q90" s="27">
        <f t="shared" si="15"/>
        <v>411.9604818</v>
      </c>
      <c r="R90" s="26"/>
      <c r="S90" s="14">
        <f t="shared" si="13"/>
        <v>8.210981929</v>
      </c>
    </row>
    <row r="91">
      <c r="A91" s="11">
        <v>79.0</v>
      </c>
      <c r="B91" s="11">
        <v>1.41973913043478E9</v>
      </c>
      <c r="C91" s="2">
        <v>-102.3543701</v>
      </c>
      <c r="D91" s="24">
        <f t="shared" si="1"/>
        <v>-660869.5652</v>
      </c>
      <c r="E91" s="25">
        <f t="shared" si="2"/>
        <v>138.662716</v>
      </c>
      <c r="F91" s="24">
        <f t="shared" si="3"/>
        <v>0.0002098185833</v>
      </c>
      <c r="G91" s="24">
        <f t="shared" si="4"/>
        <v>0</v>
      </c>
      <c r="H91" s="26">
        <f t="shared" si="5"/>
        <v>0</v>
      </c>
      <c r="I91" s="24">
        <f t="shared" si="6"/>
        <v>0</v>
      </c>
      <c r="J91" s="24">
        <f t="shared" si="7"/>
        <v>0</v>
      </c>
      <c r="K91" s="24"/>
      <c r="L91" s="24">
        <f t="shared" si="8"/>
        <v>442.2513399</v>
      </c>
      <c r="M91" s="14">
        <f t="shared" si="9"/>
        <v>441.7027212</v>
      </c>
      <c r="N91" s="27">
        <f t="shared" si="10"/>
        <v>0.5486186784</v>
      </c>
      <c r="O91" s="24"/>
      <c r="P91" s="28">
        <f t="shared" si="14"/>
        <v>-181.8226342</v>
      </c>
      <c r="Q91" s="27">
        <f t="shared" si="15"/>
        <v>411.8447056</v>
      </c>
      <c r="R91" s="26"/>
      <c r="S91" s="14">
        <f t="shared" si="13"/>
        <v>0.5037944096</v>
      </c>
    </row>
    <row r="92">
      <c r="A92" s="11">
        <v>80.0</v>
      </c>
      <c r="B92" s="11">
        <v>1.41974347826087E9</v>
      </c>
      <c r="C92" s="2">
        <v>-102.3843079</v>
      </c>
      <c r="D92" s="24">
        <f t="shared" si="1"/>
        <v>-656521.7391</v>
      </c>
      <c r="E92" s="25">
        <f t="shared" si="2"/>
        <v>137.7444198</v>
      </c>
      <c r="F92" s="24">
        <f t="shared" si="3"/>
        <v>0.0002098093812</v>
      </c>
      <c r="G92" s="24">
        <f t="shared" si="4"/>
        <v>0</v>
      </c>
      <c r="H92" s="26">
        <f t="shared" si="5"/>
        <v>0</v>
      </c>
      <c r="I92" s="24">
        <f t="shared" si="6"/>
        <v>0</v>
      </c>
      <c r="J92" s="24">
        <f t="shared" si="7"/>
        <v>0</v>
      </c>
      <c r="K92" s="24"/>
      <c r="L92" s="24">
        <f t="shared" si="8"/>
        <v>439.2131935</v>
      </c>
      <c r="M92" s="14">
        <f t="shared" si="9"/>
        <v>441.647748</v>
      </c>
      <c r="N92" s="27">
        <f t="shared" si="10"/>
        <v>-2.43455452</v>
      </c>
      <c r="O92" s="24"/>
      <c r="P92" s="28">
        <f t="shared" si="14"/>
        <v>-182.7409303</v>
      </c>
      <c r="Q92" s="27">
        <f t="shared" si="15"/>
        <v>409.6640813</v>
      </c>
      <c r="R92" s="26"/>
      <c r="S92" s="14">
        <f t="shared" si="13"/>
        <v>-2.235642001</v>
      </c>
    </row>
    <row r="93">
      <c r="A93" s="11">
        <v>81.0</v>
      </c>
      <c r="B93" s="11">
        <v>1.41974782608695E9</v>
      </c>
      <c r="C93" s="2">
        <v>-102.3566208</v>
      </c>
      <c r="D93" s="24">
        <f t="shared" si="1"/>
        <v>-652173.913</v>
      </c>
      <c r="E93" s="25">
        <f t="shared" si="2"/>
        <v>136.8261237</v>
      </c>
      <c r="F93" s="24">
        <f t="shared" si="3"/>
        <v>0.0002098000563</v>
      </c>
      <c r="G93" s="24">
        <f t="shared" si="4"/>
        <v>0</v>
      </c>
      <c r="H93" s="26">
        <f t="shared" si="5"/>
        <v>0</v>
      </c>
      <c r="I93" s="24">
        <f t="shared" si="6"/>
        <v>0</v>
      </c>
      <c r="J93" s="24">
        <f t="shared" si="7"/>
        <v>0</v>
      </c>
      <c r="K93" s="24"/>
      <c r="L93" s="24">
        <f t="shared" si="8"/>
        <v>442.0222057</v>
      </c>
      <c r="M93" s="14">
        <f t="shared" si="9"/>
        <v>441.5927286</v>
      </c>
      <c r="N93" s="27">
        <f t="shared" si="10"/>
        <v>0.4294770678</v>
      </c>
      <c r="O93" s="24"/>
      <c r="P93" s="28">
        <f t="shared" si="14"/>
        <v>-183.6592264</v>
      </c>
      <c r="Q93" s="27">
        <f t="shared" si="15"/>
        <v>406.7568987</v>
      </c>
      <c r="R93" s="26"/>
      <c r="S93" s="14">
        <f t="shared" si="13"/>
        <v>0.3943871305</v>
      </c>
    </row>
    <row r="94">
      <c r="A94" s="11">
        <v>82.0</v>
      </c>
      <c r="B94" s="11">
        <v>1.41975217391304E9</v>
      </c>
      <c r="C94" s="2">
        <v>-102.3397369</v>
      </c>
      <c r="D94" s="24">
        <f t="shared" si="1"/>
        <v>-647826.087</v>
      </c>
      <c r="E94" s="25">
        <f t="shared" si="2"/>
        <v>135.9078276</v>
      </c>
      <c r="F94" s="24">
        <f t="shared" si="3"/>
        <v>0.0002097906063</v>
      </c>
      <c r="G94" s="24">
        <f t="shared" si="4"/>
        <v>0</v>
      </c>
      <c r="H94" s="26">
        <f t="shared" si="5"/>
        <v>0</v>
      </c>
      <c r="I94" s="24">
        <f t="shared" si="6"/>
        <v>0</v>
      </c>
      <c r="J94" s="24">
        <f t="shared" si="7"/>
        <v>0</v>
      </c>
      <c r="K94" s="24"/>
      <c r="L94" s="24">
        <f t="shared" si="8"/>
        <v>443.7439831</v>
      </c>
      <c r="M94" s="14">
        <f t="shared" si="9"/>
        <v>441.5376619</v>
      </c>
      <c r="N94" s="27">
        <f t="shared" si="10"/>
        <v>2.206321285</v>
      </c>
      <c r="O94" s="24"/>
      <c r="P94" s="28">
        <f t="shared" si="14"/>
        <v>-184.5775226</v>
      </c>
      <c r="Q94" s="27">
        <f t="shared" si="15"/>
        <v>405.7249518</v>
      </c>
      <c r="R94" s="26"/>
      <c r="S94" s="14">
        <f t="shared" si="13"/>
        <v>2.026056299</v>
      </c>
    </row>
    <row r="95">
      <c r="A95" s="11">
        <v>83.0</v>
      </c>
      <c r="B95" s="11">
        <v>1.41975652173913E9</v>
      </c>
      <c r="C95" s="2">
        <v>-102.4023743</v>
      </c>
      <c r="D95" s="24">
        <f t="shared" si="1"/>
        <v>-643478.2609</v>
      </c>
      <c r="E95" s="25">
        <f t="shared" si="2"/>
        <v>134.9895314</v>
      </c>
      <c r="F95" s="24">
        <f t="shared" si="3"/>
        <v>0.0002097810286</v>
      </c>
      <c r="G95" s="24">
        <f t="shared" si="4"/>
        <v>0</v>
      </c>
      <c r="H95" s="26">
        <f t="shared" si="5"/>
        <v>0</v>
      </c>
      <c r="I95" s="24">
        <f t="shared" si="6"/>
        <v>0</v>
      </c>
      <c r="J95" s="24">
        <f t="shared" si="7"/>
        <v>0</v>
      </c>
      <c r="K95" s="24"/>
      <c r="L95" s="24">
        <f t="shared" si="8"/>
        <v>437.389887</v>
      </c>
      <c r="M95" s="14">
        <f t="shared" si="9"/>
        <v>441.4825465</v>
      </c>
      <c r="N95" s="27">
        <f t="shared" si="10"/>
        <v>-4.092659518</v>
      </c>
      <c r="O95" s="24"/>
      <c r="P95" s="28">
        <f t="shared" si="14"/>
        <v>-185.4958187</v>
      </c>
      <c r="Q95" s="27">
        <f t="shared" si="15"/>
        <v>412.1740327</v>
      </c>
      <c r="R95" s="26"/>
      <c r="S95" s="14">
        <f t="shared" si="13"/>
        <v>-3.758273408</v>
      </c>
    </row>
    <row r="96">
      <c r="A96" s="11">
        <v>84.0</v>
      </c>
      <c r="B96" s="11">
        <v>1.41976086956521E9</v>
      </c>
      <c r="C96" s="2">
        <v>-102.3255081</v>
      </c>
      <c r="D96" s="24">
        <f t="shared" si="1"/>
        <v>-639130.4348</v>
      </c>
      <c r="E96" s="25">
        <f t="shared" si="2"/>
        <v>134.0712353</v>
      </c>
      <c r="F96" s="24">
        <f t="shared" si="3"/>
        <v>0.0002097713205</v>
      </c>
      <c r="G96" s="24">
        <f t="shared" si="4"/>
        <v>0</v>
      </c>
      <c r="H96" s="26">
        <f t="shared" si="5"/>
        <v>0</v>
      </c>
      <c r="I96" s="24">
        <f t="shared" si="6"/>
        <v>0</v>
      </c>
      <c r="J96" s="24">
        <f t="shared" si="7"/>
        <v>0</v>
      </c>
      <c r="K96" s="24"/>
      <c r="L96" s="24">
        <f t="shared" si="8"/>
        <v>445.2002068</v>
      </c>
      <c r="M96" s="14">
        <f t="shared" si="9"/>
        <v>441.4273814</v>
      </c>
      <c r="N96" s="27">
        <f t="shared" si="10"/>
        <v>3.772825415</v>
      </c>
      <c r="O96" s="24"/>
      <c r="P96" s="28">
        <f t="shared" si="14"/>
        <v>-186.4141148</v>
      </c>
      <c r="Q96" s="27">
        <f t="shared" si="15"/>
        <v>411.5142014</v>
      </c>
      <c r="R96" s="26"/>
      <c r="S96" s="14">
        <f t="shared" si="13"/>
        <v>3.464570989</v>
      </c>
    </row>
    <row r="97">
      <c r="A97" s="11">
        <v>85.0</v>
      </c>
      <c r="B97" s="11">
        <v>1.4197652173913E9</v>
      </c>
      <c r="C97" s="2">
        <v>-102.3737335</v>
      </c>
      <c r="D97" s="24">
        <f t="shared" si="1"/>
        <v>-634782.6087</v>
      </c>
      <c r="E97" s="25">
        <f t="shared" si="2"/>
        <v>133.1529392</v>
      </c>
      <c r="F97" s="24">
        <f t="shared" si="3"/>
        <v>0.0002097614795</v>
      </c>
      <c r="G97" s="24">
        <f t="shared" si="4"/>
        <v>0</v>
      </c>
      <c r="H97" s="26">
        <f t="shared" si="5"/>
        <v>0</v>
      </c>
      <c r="I97" s="24">
        <f t="shared" si="6"/>
        <v>0</v>
      </c>
      <c r="J97" s="24">
        <f t="shared" si="7"/>
        <v>0</v>
      </c>
      <c r="K97" s="24"/>
      <c r="L97" s="24">
        <f t="shared" si="8"/>
        <v>440.2839128</v>
      </c>
      <c r="M97" s="14">
        <f t="shared" si="9"/>
        <v>441.3721652</v>
      </c>
      <c r="N97" s="27">
        <f t="shared" si="10"/>
        <v>-1.08825244</v>
      </c>
      <c r="O97" s="24"/>
      <c r="P97" s="28">
        <f t="shared" si="14"/>
        <v>-187.332411</v>
      </c>
      <c r="Q97" s="27">
        <f t="shared" si="15"/>
        <v>410.2603984</v>
      </c>
      <c r="R97" s="26"/>
      <c r="S97" s="14">
        <f t="shared" si="13"/>
        <v>-0.9993380045</v>
      </c>
    </row>
    <row r="98">
      <c r="A98" s="11">
        <v>86.0</v>
      </c>
      <c r="B98" s="11">
        <v>1.41976956521739E9</v>
      </c>
      <c r="C98" s="2">
        <v>-102.365799</v>
      </c>
      <c r="D98" s="24">
        <f t="shared" si="1"/>
        <v>-630434.7826</v>
      </c>
      <c r="E98" s="25">
        <f t="shared" si="2"/>
        <v>132.234643</v>
      </c>
      <c r="F98" s="24">
        <f t="shared" si="3"/>
        <v>0.0002097515027</v>
      </c>
      <c r="G98" s="24">
        <f t="shared" si="4"/>
        <v>0</v>
      </c>
      <c r="H98" s="26">
        <f t="shared" si="5"/>
        <v>0</v>
      </c>
      <c r="I98" s="24">
        <f t="shared" si="6"/>
        <v>0</v>
      </c>
      <c r="J98" s="24">
        <f t="shared" si="7"/>
        <v>0</v>
      </c>
      <c r="K98" s="24"/>
      <c r="L98" s="24">
        <f t="shared" si="8"/>
        <v>441.0890406</v>
      </c>
      <c r="M98" s="14">
        <f t="shared" si="9"/>
        <v>441.3168969</v>
      </c>
      <c r="N98" s="27">
        <f t="shared" si="10"/>
        <v>-0.2278562357</v>
      </c>
      <c r="O98" s="24"/>
      <c r="P98" s="28">
        <f t="shared" si="14"/>
        <v>-188.2507071</v>
      </c>
      <c r="Q98" s="27">
        <f t="shared" si="15"/>
        <v>411.8396417</v>
      </c>
      <c r="R98" s="26"/>
      <c r="S98" s="14">
        <f t="shared" si="13"/>
        <v>-0.2092395001</v>
      </c>
    </row>
    <row r="99">
      <c r="A99" s="11">
        <v>87.0</v>
      </c>
      <c r="B99" s="11">
        <v>1.41977391304347E9</v>
      </c>
      <c r="C99" s="2">
        <v>-102.3546982</v>
      </c>
      <c r="D99" s="24">
        <f t="shared" si="1"/>
        <v>-626086.9565</v>
      </c>
      <c r="E99" s="25">
        <f t="shared" si="2"/>
        <v>131.3163469</v>
      </c>
      <c r="F99" s="24">
        <f t="shared" si="3"/>
        <v>0.0002097413874</v>
      </c>
      <c r="G99" s="24">
        <f t="shared" si="4"/>
        <v>0</v>
      </c>
      <c r="H99" s="26">
        <f t="shared" si="5"/>
        <v>0</v>
      </c>
      <c r="I99" s="24">
        <f t="shared" si="6"/>
        <v>0</v>
      </c>
      <c r="J99" s="24">
        <f t="shared" si="7"/>
        <v>0</v>
      </c>
      <c r="K99" s="24"/>
      <c r="L99" s="24">
        <f t="shared" si="8"/>
        <v>442.21793</v>
      </c>
      <c r="M99" s="14">
        <f t="shared" si="9"/>
        <v>441.2615751</v>
      </c>
      <c r="N99" s="27">
        <f t="shared" si="10"/>
        <v>0.9563549066</v>
      </c>
      <c r="O99" s="24"/>
      <c r="P99" s="28">
        <f t="shared" si="14"/>
        <v>-189.1690032</v>
      </c>
      <c r="Q99" s="27">
        <f t="shared" si="15"/>
        <v>415.337302</v>
      </c>
      <c r="R99" s="26"/>
      <c r="S99" s="14">
        <f t="shared" si="13"/>
        <v>0.8782170123</v>
      </c>
    </row>
    <row r="100">
      <c r="A100" s="11">
        <v>88.0</v>
      </c>
      <c r="B100" s="11">
        <v>1.41977826086956E9</v>
      </c>
      <c r="C100" s="2">
        <v>-102.3815842</v>
      </c>
      <c r="D100" s="24">
        <f t="shared" si="1"/>
        <v>-621739.1304</v>
      </c>
      <c r="E100" s="25">
        <f t="shared" si="2"/>
        <v>130.3980508</v>
      </c>
      <c r="F100" s="24">
        <f t="shared" si="3"/>
        <v>0.0002097311306</v>
      </c>
      <c r="G100" s="24">
        <f t="shared" si="4"/>
        <v>0</v>
      </c>
      <c r="H100" s="26">
        <f t="shared" si="5"/>
        <v>0</v>
      </c>
      <c r="I100" s="24">
        <f t="shared" si="6"/>
        <v>0</v>
      </c>
      <c r="J100" s="24">
        <f t="shared" si="7"/>
        <v>0</v>
      </c>
      <c r="K100" s="24"/>
      <c r="L100" s="24">
        <f t="shared" si="8"/>
        <v>439.4887347</v>
      </c>
      <c r="M100" s="14">
        <f t="shared" si="9"/>
        <v>441.2061988</v>
      </c>
      <c r="N100" s="27">
        <f t="shared" si="10"/>
        <v>-1.71746409</v>
      </c>
      <c r="O100" s="24"/>
      <c r="P100" s="28">
        <f t="shared" si="14"/>
        <v>-190.0872994</v>
      </c>
      <c r="Q100" s="27">
        <f t="shared" si="15"/>
        <v>410.1508608</v>
      </c>
      <c r="R100" s="26"/>
      <c r="S100" s="14">
        <f t="shared" si="13"/>
        <v>-1.577140628</v>
      </c>
    </row>
    <row r="101">
      <c r="A101" s="11">
        <v>89.0</v>
      </c>
      <c r="B101" s="11">
        <v>1.41978260869565E9</v>
      </c>
      <c r="C101" s="2">
        <v>-102.3286896</v>
      </c>
      <c r="D101" s="24">
        <f t="shared" si="1"/>
        <v>-617391.3043</v>
      </c>
      <c r="E101" s="25">
        <f t="shared" si="2"/>
        <v>129.4797546</v>
      </c>
      <c r="F101" s="24">
        <f t="shared" si="3"/>
        <v>0.0002097207293</v>
      </c>
      <c r="G101" s="24">
        <f t="shared" si="4"/>
        <v>0</v>
      </c>
      <c r="H101" s="26">
        <f t="shared" si="5"/>
        <v>0</v>
      </c>
      <c r="I101" s="24">
        <f t="shared" si="6"/>
        <v>0</v>
      </c>
      <c r="J101" s="24">
        <f t="shared" si="7"/>
        <v>0</v>
      </c>
      <c r="K101" s="24"/>
      <c r="L101" s="24">
        <f t="shared" si="8"/>
        <v>444.874187</v>
      </c>
      <c r="M101" s="14">
        <f t="shared" si="9"/>
        <v>441.1507666</v>
      </c>
      <c r="N101" s="27">
        <f t="shared" si="10"/>
        <v>3.723420439</v>
      </c>
      <c r="O101" s="24"/>
      <c r="P101" s="28">
        <f t="shared" si="14"/>
        <v>-191.0055955</v>
      </c>
      <c r="Q101" s="27">
        <f t="shared" si="15"/>
        <v>412.4115953</v>
      </c>
      <c r="R101" s="26"/>
      <c r="S101" s="14">
        <f t="shared" si="13"/>
        <v>3.419202589</v>
      </c>
    </row>
    <row r="102">
      <c r="A102" s="11">
        <v>90.0</v>
      </c>
      <c r="B102" s="11">
        <v>1.41978695652173E9</v>
      </c>
      <c r="C102" s="2">
        <v>-102.3482666</v>
      </c>
      <c r="D102" s="24">
        <f t="shared" si="1"/>
        <v>-613043.4783</v>
      </c>
      <c r="E102" s="25">
        <f t="shared" si="2"/>
        <v>128.5614585</v>
      </c>
      <c r="F102" s="24">
        <f t="shared" si="3"/>
        <v>0.0002097101805</v>
      </c>
      <c r="G102" s="24">
        <f t="shared" si="4"/>
        <v>0</v>
      </c>
      <c r="H102" s="26">
        <f t="shared" si="5"/>
        <v>0</v>
      </c>
      <c r="I102" s="24">
        <f t="shared" si="6"/>
        <v>0</v>
      </c>
      <c r="J102" s="24">
        <f t="shared" si="7"/>
        <v>0</v>
      </c>
      <c r="K102" s="24"/>
      <c r="L102" s="24">
        <f t="shared" si="8"/>
        <v>442.8733093</v>
      </c>
      <c r="M102" s="14">
        <f t="shared" si="9"/>
        <v>441.0952774</v>
      </c>
      <c r="N102" s="27">
        <f t="shared" si="10"/>
        <v>1.778031891</v>
      </c>
      <c r="O102" s="24"/>
      <c r="P102" s="28">
        <f t="shared" si="14"/>
        <v>-191.9238916</v>
      </c>
      <c r="Q102" s="27">
        <f t="shared" si="15"/>
        <v>411.0792328</v>
      </c>
      <c r="R102" s="26"/>
      <c r="S102" s="14">
        <f t="shared" si="13"/>
        <v>1.63275981</v>
      </c>
    </row>
    <row r="103">
      <c r="A103" s="11">
        <v>91.0</v>
      </c>
      <c r="B103" s="11">
        <v>1.41979130434782E9</v>
      </c>
      <c r="C103" s="2">
        <v>-102.3306274</v>
      </c>
      <c r="D103" s="24">
        <f t="shared" si="1"/>
        <v>-608695.6522</v>
      </c>
      <c r="E103" s="25">
        <f t="shared" si="2"/>
        <v>127.6431624</v>
      </c>
      <c r="F103" s="24">
        <f t="shared" si="3"/>
        <v>0.000209699481</v>
      </c>
      <c r="G103" s="24">
        <f t="shared" si="4"/>
        <v>0</v>
      </c>
      <c r="H103" s="26">
        <f t="shared" si="5"/>
        <v>0</v>
      </c>
      <c r="I103" s="24">
        <f t="shared" si="6"/>
        <v>0</v>
      </c>
      <c r="J103" s="24">
        <f t="shared" si="7"/>
        <v>0</v>
      </c>
      <c r="K103" s="24"/>
      <c r="L103" s="24">
        <f t="shared" si="8"/>
        <v>444.6757307</v>
      </c>
      <c r="M103" s="14">
        <f t="shared" si="9"/>
        <v>441.03973</v>
      </c>
      <c r="N103" s="27">
        <f t="shared" si="10"/>
        <v>3.636000737</v>
      </c>
      <c r="O103" s="24"/>
      <c r="P103" s="28">
        <f t="shared" si="14"/>
        <v>-192.8421877</v>
      </c>
      <c r="Q103" s="27">
        <f t="shared" si="15"/>
        <v>412.5369538</v>
      </c>
      <c r="R103" s="26"/>
      <c r="S103" s="14">
        <f t="shared" si="13"/>
        <v>3.338925416</v>
      </c>
    </row>
    <row r="104">
      <c r="A104" s="11">
        <v>92.0</v>
      </c>
      <c r="B104" s="11">
        <v>1.41979565217391E9</v>
      </c>
      <c r="C104" s="2">
        <v>-102.3405914</v>
      </c>
      <c r="D104" s="24">
        <f t="shared" si="1"/>
        <v>-604347.8261</v>
      </c>
      <c r="E104" s="25">
        <f t="shared" si="2"/>
        <v>126.7248662</v>
      </c>
      <c r="F104" s="24">
        <f t="shared" si="3"/>
        <v>0.0002096886276</v>
      </c>
      <c r="G104" s="24">
        <f t="shared" si="4"/>
        <v>0</v>
      </c>
      <c r="H104" s="26">
        <f t="shared" si="5"/>
        <v>0</v>
      </c>
      <c r="I104" s="24">
        <f t="shared" si="6"/>
        <v>0</v>
      </c>
      <c r="J104" s="24">
        <f t="shared" si="7"/>
        <v>0</v>
      </c>
      <c r="K104" s="24"/>
      <c r="L104" s="24">
        <f t="shared" si="8"/>
        <v>443.6566825</v>
      </c>
      <c r="M104" s="14">
        <f t="shared" si="9"/>
        <v>440.9841231</v>
      </c>
      <c r="N104" s="27">
        <f t="shared" si="10"/>
        <v>2.67255939</v>
      </c>
      <c r="O104" s="24"/>
      <c r="P104" s="28">
        <f t="shared" si="14"/>
        <v>-193.7604839</v>
      </c>
      <c r="Q104" s="27">
        <f t="shared" si="15"/>
        <v>412.6101597</v>
      </c>
      <c r="R104" s="26"/>
      <c r="S104" s="14">
        <f t="shared" si="13"/>
        <v>2.454200947</v>
      </c>
    </row>
    <row r="105">
      <c r="A105" s="11">
        <v>93.0</v>
      </c>
      <c r="B105" s="11">
        <v>1.4198E9</v>
      </c>
      <c r="C105" s="2">
        <v>-102.3405075</v>
      </c>
      <c r="D105" s="24">
        <f t="shared" si="1"/>
        <v>-600000</v>
      </c>
      <c r="E105" s="25">
        <f t="shared" si="2"/>
        <v>125.8065701</v>
      </c>
      <c r="F105" s="24">
        <f t="shared" si="3"/>
        <v>0.0002096776168</v>
      </c>
      <c r="G105" s="24">
        <f t="shared" si="4"/>
        <v>0</v>
      </c>
      <c r="H105" s="26">
        <f t="shared" si="5"/>
        <v>0</v>
      </c>
      <c r="I105" s="24">
        <f t="shared" si="6"/>
        <v>0</v>
      </c>
      <c r="J105" s="24">
        <f t="shared" si="7"/>
        <v>0</v>
      </c>
      <c r="K105" s="24"/>
      <c r="L105" s="24">
        <f t="shared" si="8"/>
        <v>443.6652534</v>
      </c>
      <c r="M105" s="14">
        <f t="shared" si="9"/>
        <v>440.9284556</v>
      </c>
      <c r="N105" s="27">
        <f t="shared" si="10"/>
        <v>2.73679784</v>
      </c>
      <c r="O105" s="24"/>
      <c r="P105" s="28">
        <f t="shared" si="14"/>
        <v>-194.67878</v>
      </c>
      <c r="Q105" s="27">
        <f t="shared" si="15"/>
        <v>409.2936128</v>
      </c>
      <c r="R105" s="26"/>
      <c r="S105" s="14">
        <f t="shared" si="13"/>
        <v>2.513190872</v>
      </c>
    </row>
    <row r="106">
      <c r="A106" s="11">
        <v>94.0</v>
      </c>
      <c r="B106" s="11">
        <v>1.41980434782608E9</v>
      </c>
      <c r="C106" s="2">
        <v>-102.3835144</v>
      </c>
      <c r="D106" s="24">
        <f t="shared" si="1"/>
        <v>-595652.1739</v>
      </c>
      <c r="E106" s="25">
        <f t="shared" si="2"/>
        <v>124.888274</v>
      </c>
      <c r="F106" s="24">
        <f t="shared" si="3"/>
        <v>0.0002096664454</v>
      </c>
      <c r="G106" s="24">
        <f t="shared" si="4"/>
        <v>0</v>
      </c>
      <c r="H106" s="26">
        <f t="shared" si="5"/>
        <v>0</v>
      </c>
      <c r="I106" s="24">
        <f t="shared" si="6"/>
        <v>0</v>
      </c>
      <c r="J106" s="24">
        <f t="shared" si="7"/>
        <v>0</v>
      </c>
      <c r="K106" s="24"/>
      <c r="L106" s="24">
        <f t="shared" si="8"/>
        <v>439.2934495</v>
      </c>
      <c r="M106" s="14">
        <f t="shared" si="9"/>
        <v>440.8727263</v>
      </c>
      <c r="N106" s="27">
        <f t="shared" si="10"/>
        <v>-1.579276731</v>
      </c>
      <c r="O106" s="24"/>
      <c r="P106" s="28">
        <f t="shared" si="14"/>
        <v>-195.5970761</v>
      </c>
      <c r="Q106" s="27">
        <f t="shared" si="15"/>
        <v>406.3569363</v>
      </c>
      <c r="R106" s="26"/>
      <c r="S106" s="14">
        <f t="shared" si="13"/>
        <v>-1.450243715</v>
      </c>
    </row>
    <row r="107">
      <c r="A107" s="11">
        <v>95.0</v>
      </c>
      <c r="B107" s="11">
        <v>1.41980869565217E9</v>
      </c>
      <c r="C107" s="2">
        <v>-102.4037018</v>
      </c>
      <c r="D107" s="24">
        <f t="shared" si="1"/>
        <v>-591304.3478</v>
      </c>
      <c r="E107" s="25">
        <f t="shared" si="2"/>
        <v>123.9699778</v>
      </c>
      <c r="F107" s="24">
        <f t="shared" si="3"/>
        <v>0.0002096551096</v>
      </c>
      <c r="G107" s="24">
        <f t="shared" si="4"/>
        <v>0</v>
      </c>
      <c r="H107" s="26">
        <f t="shared" si="5"/>
        <v>0</v>
      </c>
      <c r="I107" s="24">
        <f t="shared" si="6"/>
        <v>0</v>
      </c>
      <c r="J107" s="24">
        <f t="shared" si="7"/>
        <v>0</v>
      </c>
      <c r="K107" s="24"/>
      <c r="L107" s="24">
        <f t="shared" si="8"/>
        <v>437.2562113</v>
      </c>
      <c r="M107" s="14">
        <f t="shared" si="9"/>
        <v>440.8169339</v>
      </c>
      <c r="N107" s="27">
        <f t="shared" si="10"/>
        <v>-3.560722605</v>
      </c>
      <c r="O107" s="24"/>
      <c r="P107" s="28">
        <f t="shared" si="14"/>
        <v>-196.5153723</v>
      </c>
      <c r="Q107" s="27">
        <f t="shared" si="15"/>
        <v>408.4195076</v>
      </c>
      <c r="R107" s="26"/>
      <c r="S107" s="14">
        <f t="shared" si="13"/>
        <v>-3.269797791</v>
      </c>
    </row>
    <row r="108">
      <c r="A108" s="11">
        <v>96.0</v>
      </c>
      <c r="B108" s="11">
        <v>1.41981304347826E9</v>
      </c>
      <c r="C108" s="2">
        <v>-102.3676376</v>
      </c>
      <c r="D108" s="24">
        <f t="shared" si="1"/>
        <v>-586956.5217</v>
      </c>
      <c r="E108" s="25">
        <f t="shared" si="2"/>
        <v>123.0516817</v>
      </c>
      <c r="F108" s="24">
        <f t="shared" si="3"/>
        <v>0.0002096436059</v>
      </c>
      <c r="G108" s="24">
        <f t="shared" si="4"/>
        <v>0</v>
      </c>
      <c r="H108" s="26">
        <f t="shared" si="5"/>
        <v>0</v>
      </c>
      <c r="I108" s="24">
        <f t="shared" si="6"/>
        <v>0</v>
      </c>
      <c r="J108" s="24">
        <f t="shared" si="7"/>
        <v>0</v>
      </c>
      <c r="K108" s="24"/>
      <c r="L108" s="24">
        <f t="shared" si="8"/>
        <v>440.9023437</v>
      </c>
      <c r="M108" s="14">
        <f t="shared" si="9"/>
        <v>440.7610772</v>
      </c>
      <c r="N108" s="27">
        <f t="shared" si="10"/>
        <v>0.1412664576</v>
      </c>
      <c r="O108" s="24"/>
      <c r="P108" s="28">
        <f t="shared" si="14"/>
        <v>-197.4336684</v>
      </c>
      <c r="Q108" s="27">
        <f t="shared" si="15"/>
        <v>409.4252165</v>
      </c>
      <c r="R108" s="26"/>
      <c r="S108" s="14">
        <f t="shared" si="13"/>
        <v>0.1297244417</v>
      </c>
    </row>
    <row r="109">
      <c r="A109" s="11">
        <v>97.0</v>
      </c>
      <c r="B109" s="11">
        <v>1.41981739130434E9</v>
      </c>
      <c r="C109" s="2">
        <v>-102.3980942</v>
      </c>
      <c r="D109" s="24">
        <f t="shared" si="1"/>
        <v>-582608.6957</v>
      </c>
      <c r="E109" s="25">
        <f t="shared" si="2"/>
        <v>122.1333856</v>
      </c>
      <c r="F109" s="24">
        <f t="shared" si="3"/>
        <v>0.0002096319305</v>
      </c>
      <c r="G109" s="24">
        <f t="shared" si="4"/>
        <v>0</v>
      </c>
      <c r="H109" s="26">
        <f t="shared" si="5"/>
        <v>0</v>
      </c>
      <c r="I109" s="24">
        <f t="shared" si="6"/>
        <v>0</v>
      </c>
      <c r="J109" s="24">
        <f t="shared" si="7"/>
        <v>0</v>
      </c>
      <c r="K109" s="24"/>
      <c r="L109" s="24">
        <f t="shared" si="8"/>
        <v>437.8211601</v>
      </c>
      <c r="M109" s="14">
        <f t="shared" si="9"/>
        <v>440.7051551</v>
      </c>
      <c r="N109" s="27">
        <f t="shared" si="10"/>
        <v>-2.883995021</v>
      </c>
      <c r="O109" s="24"/>
      <c r="P109" s="28">
        <f t="shared" si="14"/>
        <v>-198.3519645</v>
      </c>
      <c r="Q109" s="27">
        <f t="shared" si="15"/>
        <v>409.3986039</v>
      </c>
      <c r="R109" s="26"/>
      <c r="S109" s="14">
        <f t="shared" si="13"/>
        <v>-2.648361475</v>
      </c>
    </row>
    <row r="110">
      <c r="A110" s="11">
        <v>98.0</v>
      </c>
      <c r="B110" s="11">
        <v>1.41982173913043E9</v>
      </c>
      <c r="C110" s="2">
        <v>-102.4215088</v>
      </c>
      <c r="D110" s="24">
        <f t="shared" si="1"/>
        <v>-578260.8696</v>
      </c>
      <c r="E110" s="25">
        <f t="shared" si="2"/>
        <v>121.2150894</v>
      </c>
      <c r="F110" s="24">
        <f t="shared" si="3"/>
        <v>0.0002096200795</v>
      </c>
      <c r="G110" s="24">
        <f t="shared" si="4"/>
        <v>0</v>
      </c>
      <c r="H110" s="26">
        <f t="shared" si="5"/>
        <v>0</v>
      </c>
      <c r="I110" s="24">
        <f t="shared" si="6"/>
        <v>0</v>
      </c>
      <c r="J110" s="24">
        <f t="shared" si="7"/>
        <v>0</v>
      </c>
      <c r="K110" s="24"/>
      <c r="L110" s="24">
        <f t="shared" si="8"/>
        <v>435.467038</v>
      </c>
      <c r="M110" s="14">
        <f t="shared" si="9"/>
        <v>440.6491663</v>
      </c>
      <c r="N110" s="27">
        <f t="shared" si="10"/>
        <v>-5.182128299</v>
      </c>
      <c r="O110" s="24"/>
      <c r="P110" s="28">
        <f t="shared" si="14"/>
        <v>-199.2702607</v>
      </c>
      <c r="Q110" s="27">
        <f t="shared" si="15"/>
        <v>413.5114003</v>
      </c>
      <c r="R110" s="26"/>
      <c r="S110" s="14">
        <f t="shared" si="13"/>
        <v>-4.758728365</v>
      </c>
    </row>
    <row r="111">
      <c r="A111" s="11">
        <v>99.0</v>
      </c>
      <c r="B111" s="11">
        <v>1.41982608695652E9</v>
      </c>
      <c r="C111" s="2">
        <v>-102.428833</v>
      </c>
      <c r="D111" s="24">
        <f t="shared" si="1"/>
        <v>-573913.0435</v>
      </c>
      <c r="E111" s="25">
        <f t="shared" si="2"/>
        <v>120.2967933</v>
      </c>
      <c r="F111" s="24">
        <f t="shared" si="3"/>
        <v>0.000209608049</v>
      </c>
      <c r="G111" s="24">
        <f t="shared" si="4"/>
        <v>0</v>
      </c>
      <c r="H111" s="26">
        <f t="shared" si="5"/>
        <v>0</v>
      </c>
      <c r="I111" s="24">
        <f t="shared" si="6"/>
        <v>0</v>
      </c>
      <c r="J111" s="24">
        <f t="shared" si="7"/>
        <v>0</v>
      </c>
      <c r="K111" s="24"/>
      <c r="L111" s="24">
        <f t="shared" si="8"/>
        <v>434.7332595</v>
      </c>
      <c r="M111" s="14">
        <f t="shared" si="9"/>
        <v>440.5931097</v>
      </c>
      <c r="N111" s="27">
        <f t="shared" si="10"/>
        <v>-5.859850208</v>
      </c>
      <c r="O111" s="24"/>
      <c r="P111" s="28">
        <f t="shared" si="14"/>
        <v>-200.1885568</v>
      </c>
      <c r="Q111" s="27">
        <f t="shared" si="15"/>
        <v>403.9484048</v>
      </c>
      <c r="R111" s="26"/>
      <c r="S111" s="14">
        <f t="shared" si="13"/>
        <v>-5.381077785</v>
      </c>
    </row>
    <row r="112">
      <c r="A112" s="11">
        <v>100.0</v>
      </c>
      <c r="B112" s="11">
        <v>1.4198304347826E9</v>
      </c>
      <c r="C112" s="2">
        <v>-102.310524</v>
      </c>
      <c r="D112" s="24">
        <f t="shared" si="1"/>
        <v>-569565.2174</v>
      </c>
      <c r="E112" s="25">
        <f t="shared" si="2"/>
        <v>119.3784972</v>
      </c>
      <c r="F112" s="24">
        <f t="shared" si="3"/>
        <v>0.0002095958347</v>
      </c>
      <c r="G112" s="24">
        <f t="shared" si="4"/>
        <v>0</v>
      </c>
      <c r="H112" s="26">
        <f t="shared" si="5"/>
        <v>0</v>
      </c>
      <c r="I112" s="24">
        <f t="shared" si="6"/>
        <v>0</v>
      </c>
      <c r="J112" s="24">
        <f t="shared" si="7"/>
        <v>0</v>
      </c>
      <c r="K112" s="24"/>
      <c r="L112" s="24">
        <f t="shared" si="8"/>
        <v>446.7388968</v>
      </c>
      <c r="M112" s="14">
        <f t="shared" si="9"/>
        <v>440.536984</v>
      </c>
      <c r="N112" s="27">
        <f t="shared" si="10"/>
        <v>6.201912796</v>
      </c>
      <c r="O112" s="24"/>
      <c r="P112" s="28">
        <f t="shared" si="14"/>
        <v>-201.1068529</v>
      </c>
      <c r="Q112" s="27">
        <f t="shared" si="15"/>
        <v>409.284264</v>
      </c>
      <c r="R112" s="26"/>
      <c r="S112" s="14">
        <f t="shared" si="13"/>
        <v>5.695192536</v>
      </c>
      <c r="U112" s="21"/>
      <c r="V112" s="21"/>
    </row>
    <row r="113">
      <c r="A113" s="11">
        <v>101.0</v>
      </c>
      <c r="B113" s="11">
        <v>1.41983478260869E9</v>
      </c>
      <c r="C113" s="2">
        <v>-102.3916779</v>
      </c>
      <c r="D113" s="24">
        <f t="shared" si="1"/>
        <v>-565217.3913</v>
      </c>
      <c r="E113" s="25">
        <f t="shared" si="2"/>
        <v>118.460201</v>
      </c>
      <c r="F113" s="24">
        <f t="shared" si="3"/>
        <v>0.0002095834326</v>
      </c>
      <c r="G113" s="24">
        <f t="shared" si="4"/>
        <v>0</v>
      </c>
      <c r="H113" s="26">
        <f t="shared" si="5"/>
        <v>0</v>
      </c>
      <c r="I113" s="24">
        <f t="shared" si="6"/>
        <v>0</v>
      </c>
      <c r="J113" s="24">
        <f t="shared" si="7"/>
        <v>0</v>
      </c>
      <c r="K113" s="24"/>
      <c r="L113" s="24">
        <f t="shared" si="8"/>
        <v>438.4684785</v>
      </c>
      <c r="M113" s="14">
        <f t="shared" si="9"/>
        <v>440.480788</v>
      </c>
      <c r="N113" s="27">
        <f t="shared" si="10"/>
        <v>-2.012309496</v>
      </c>
      <c r="O113" s="24"/>
      <c r="P113" s="28">
        <f t="shared" si="14"/>
        <v>-202.0251491</v>
      </c>
      <c r="Q113" s="27">
        <f t="shared" si="15"/>
        <v>404.4880796</v>
      </c>
      <c r="R113" s="26"/>
      <c r="S113" s="14">
        <f t="shared" si="13"/>
        <v>-1.847896028</v>
      </c>
      <c r="U113" s="21"/>
      <c r="V113" s="21"/>
    </row>
    <row r="114">
      <c r="A114" s="11">
        <v>102.0</v>
      </c>
      <c r="B114" s="11">
        <v>1.41983913043478E9</v>
      </c>
      <c r="C114" s="2">
        <v>-102.374939</v>
      </c>
      <c r="D114" s="24">
        <f t="shared" si="1"/>
        <v>-560869.5652</v>
      </c>
      <c r="E114" s="25">
        <f t="shared" si="2"/>
        <v>117.5419049</v>
      </c>
      <c r="F114" s="24">
        <f t="shared" si="3"/>
        <v>0.0002095708382</v>
      </c>
      <c r="G114" s="24">
        <f t="shared" si="4"/>
        <v>0</v>
      </c>
      <c r="H114" s="26">
        <f t="shared" si="5"/>
        <v>0</v>
      </c>
      <c r="I114" s="24">
        <f t="shared" si="6"/>
        <v>0</v>
      </c>
      <c r="J114" s="24">
        <f t="shared" si="7"/>
        <v>0</v>
      </c>
      <c r="K114" s="24"/>
      <c r="L114" s="24">
        <f t="shared" si="8"/>
        <v>440.1617172</v>
      </c>
      <c r="M114" s="14">
        <f t="shared" si="9"/>
        <v>440.4245205</v>
      </c>
      <c r="N114" s="27">
        <f t="shared" si="10"/>
        <v>-0.2628032797</v>
      </c>
      <c r="O114" s="24"/>
      <c r="P114" s="28">
        <f t="shared" si="14"/>
        <v>-202.9434452</v>
      </c>
      <c r="Q114" s="27">
        <f t="shared" si="15"/>
        <v>407.4828241</v>
      </c>
      <c r="R114" s="26"/>
      <c r="S114" s="14">
        <f t="shared" si="13"/>
        <v>-0.2413312348</v>
      </c>
      <c r="U114" s="21"/>
      <c r="V114" s="21"/>
    </row>
    <row r="115">
      <c r="A115" s="11">
        <v>103.0</v>
      </c>
      <c r="B115" s="11">
        <v>1.41984347826087E9</v>
      </c>
      <c r="C115" s="2">
        <v>-102.3682556</v>
      </c>
      <c r="D115" s="24">
        <f t="shared" si="1"/>
        <v>-556521.7391</v>
      </c>
      <c r="E115" s="25">
        <f t="shared" si="2"/>
        <v>116.6236088</v>
      </c>
      <c r="F115" s="24">
        <f t="shared" si="3"/>
        <v>0.000209558047</v>
      </c>
      <c r="G115" s="24">
        <f t="shared" si="4"/>
        <v>0</v>
      </c>
      <c r="H115" s="26">
        <f t="shared" si="5"/>
        <v>0</v>
      </c>
      <c r="I115" s="24">
        <f t="shared" si="6"/>
        <v>0</v>
      </c>
      <c r="J115" s="24">
        <f t="shared" si="7"/>
        <v>0</v>
      </c>
      <c r="K115" s="24"/>
      <c r="L115" s="24">
        <f t="shared" si="8"/>
        <v>440.8396078</v>
      </c>
      <c r="M115" s="14">
        <f t="shared" si="9"/>
        <v>440.3681803</v>
      </c>
      <c r="N115" s="27">
        <f t="shared" si="10"/>
        <v>0.4714275107</v>
      </c>
      <c r="O115" s="24"/>
      <c r="P115" s="28">
        <f t="shared" si="14"/>
        <v>-203.8617413</v>
      </c>
      <c r="Q115" s="27">
        <f t="shared" si="15"/>
        <v>406.6054424</v>
      </c>
      <c r="R115" s="26"/>
      <c r="S115" s="14">
        <f t="shared" si="13"/>
        <v>0.4329100599</v>
      </c>
      <c r="U115" s="21"/>
      <c r="V115" s="21"/>
    </row>
    <row r="116">
      <c r="A116" s="11">
        <v>104.0</v>
      </c>
      <c r="B116" s="11">
        <v>1.41984782608695E9</v>
      </c>
      <c r="C116" s="2">
        <v>-102.3583374</v>
      </c>
      <c r="D116" s="24">
        <f t="shared" si="1"/>
        <v>-552173.913</v>
      </c>
      <c r="E116" s="25">
        <f t="shared" si="2"/>
        <v>115.7053126</v>
      </c>
      <c r="F116" s="24">
        <f t="shared" si="3"/>
        <v>0.0002095450544</v>
      </c>
      <c r="G116" s="24">
        <f t="shared" si="4"/>
        <v>0</v>
      </c>
      <c r="H116" s="26">
        <f t="shared" si="5"/>
        <v>0</v>
      </c>
      <c r="I116" s="24">
        <f t="shared" si="6"/>
        <v>0</v>
      </c>
      <c r="J116" s="24">
        <f t="shared" si="7"/>
        <v>0</v>
      </c>
      <c r="K116" s="24"/>
      <c r="L116" s="24">
        <f t="shared" si="8"/>
        <v>441.8475257</v>
      </c>
      <c r="M116" s="14">
        <f t="shared" si="9"/>
        <v>440.3117663</v>
      </c>
      <c r="N116" s="27">
        <f t="shared" si="10"/>
        <v>1.535759488</v>
      </c>
      <c r="O116" s="24"/>
      <c r="P116" s="28">
        <f t="shared" si="14"/>
        <v>-204.7800375</v>
      </c>
      <c r="Q116" s="27">
        <f t="shared" si="15"/>
        <v>407.7112427</v>
      </c>
      <c r="R116" s="26"/>
      <c r="S116" s="14">
        <f t="shared" si="13"/>
        <v>1.410281999</v>
      </c>
      <c r="U116" s="21"/>
      <c r="V116" s="21"/>
    </row>
    <row r="117">
      <c r="A117" s="11">
        <v>105.0</v>
      </c>
      <c r="B117" s="11">
        <v>1.41985217391304E9</v>
      </c>
      <c r="C117" s="2">
        <v>-102.3794556</v>
      </c>
      <c r="D117" s="24">
        <f t="shared" si="1"/>
        <v>-547826.087</v>
      </c>
      <c r="E117" s="25">
        <f t="shared" si="2"/>
        <v>114.7870165</v>
      </c>
      <c r="F117" s="24">
        <f t="shared" si="3"/>
        <v>0.0002095318555</v>
      </c>
      <c r="G117" s="24">
        <f t="shared" si="4"/>
        <v>0</v>
      </c>
      <c r="H117" s="26">
        <f t="shared" si="5"/>
        <v>0</v>
      </c>
      <c r="I117" s="24">
        <f t="shared" si="6"/>
        <v>0</v>
      </c>
      <c r="J117" s="24">
        <f t="shared" si="7"/>
        <v>0</v>
      </c>
      <c r="K117" s="24"/>
      <c r="L117" s="24">
        <f t="shared" si="8"/>
        <v>439.7041933</v>
      </c>
      <c r="M117" s="14">
        <f t="shared" si="9"/>
        <v>440.2552771</v>
      </c>
      <c r="N117" s="27">
        <f t="shared" si="10"/>
        <v>-0.5510837589</v>
      </c>
      <c r="O117" s="24"/>
      <c r="P117" s="28">
        <f t="shared" si="14"/>
        <v>-205.6983336</v>
      </c>
      <c r="Q117" s="27">
        <f t="shared" si="15"/>
        <v>404.9914805</v>
      </c>
      <c r="R117" s="26"/>
      <c r="S117" s="14">
        <f t="shared" si="13"/>
        <v>-0.5060580835</v>
      </c>
      <c r="U117" s="21"/>
      <c r="V117" s="21"/>
    </row>
    <row r="118">
      <c r="A118" s="11">
        <v>106.0</v>
      </c>
      <c r="B118" s="11">
        <v>1.41985652173913E9</v>
      </c>
      <c r="C118" s="2">
        <v>-102.3790359</v>
      </c>
      <c r="D118" s="24">
        <f t="shared" si="1"/>
        <v>-543478.2609</v>
      </c>
      <c r="E118" s="25">
        <f t="shared" si="2"/>
        <v>113.8687204</v>
      </c>
      <c r="F118" s="24">
        <f t="shared" si="3"/>
        <v>0.0002095184455</v>
      </c>
      <c r="G118" s="24">
        <f t="shared" si="4"/>
        <v>0</v>
      </c>
      <c r="H118" s="26">
        <f t="shared" si="5"/>
        <v>0</v>
      </c>
      <c r="I118" s="24">
        <f t="shared" si="6"/>
        <v>0</v>
      </c>
      <c r="J118" s="24">
        <f t="shared" si="7"/>
        <v>0</v>
      </c>
      <c r="K118" s="24"/>
      <c r="L118" s="24">
        <f t="shared" si="8"/>
        <v>439.7466882</v>
      </c>
      <c r="M118" s="14">
        <f t="shared" si="9"/>
        <v>440.1987116</v>
      </c>
      <c r="N118" s="27">
        <f t="shared" si="10"/>
        <v>-0.452023438</v>
      </c>
      <c r="O118" s="24"/>
      <c r="P118" s="28">
        <f t="shared" si="14"/>
        <v>-206.6166297</v>
      </c>
      <c r="Q118" s="27">
        <f t="shared" si="15"/>
        <v>406.0486654</v>
      </c>
      <c r="R118" s="26"/>
      <c r="S118" s="14">
        <f t="shared" si="13"/>
        <v>-0.415091375</v>
      </c>
      <c r="U118" s="21"/>
      <c r="V118" s="21"/>
    </row>
    <row r="119">
      <c r="A119" s="11">
        <v>107.0</v>
      </c>
      <c r="B119" s="11">
        <v>1.41986086956521E9</v>
      </c>
      <c r="C119" s="2">
        <v>-102.3829193</v>
      </c>
      <c r="D119" s="24">
        <f t="shared" si="1"/>
        <v>-539130.4348</v>
      </c>
      <c r="E119" s="25">
        <f t="shared" si="2"/>
        <v>112.9504243</v>
      </c>
      <c r="F119" s="24">
        <f t="shared" si="3"/>
        <v>0.0002095048192</v>
      </c>
      <c r="G119" s="24">
        <f t="shared" si="4"/>
        <v>0</v>
      </c>
      <c r="H119" s="26">
        <f t="shared" si="5"/>
        <v>0</v>
      </c>
      <c r="I119" s="24">
        <f t="shared" si="6"/>
        <v>0</v>
      </c>
      <c r="J119" s="24">
        <f t="shared" si="7"/>
        <v>0</v>
      </c>
      <c r="K119" s="24"/>
      <c r="L119" s="24">
        <f t="shared" si="8"/>
        <v>439.3536486</v>
      </c>
      <c r="M119" s="14">
        <f t="shared" si="9"/>
        <v>440.1420686</v>
      </c>
      <c r="N119" s="27">
        <f t="shared" si="10"/>
        <v>-0.788419985</v>
      </c>
      <c r="O119" s="24"/>
      <c r="P119" s="28">
        <f t="shared" si="14"/>
        <v>-207.5349259</v>
      </c>
      <c r="Q119" s="27">
        <f t="shared" si="15"/>
        <v>407.2402331</v>
      </c>
      <c r="R119" s="26"/>
      <c r="S119" s="14">
        <f t="shared" si="13"/>
        <v>-0.7240030232</v>
      </c>
      <c r="U119" s="21"/>
      <c r="V119" s="21"/>
    </row>
    <row r="120">
      <c r="A120" s="11">
        <v>108.0</v>
      </c>
      <c r="B120" s="11">
        <v>1.4198652173913E9</v>
      </c>
      <c r="C120" s="2">
        <v>-102.4355469</v>
      </c>
      <c r="D120" s="24">
        <f t="shared" si="1"/>
        <v>-534782.6087</v>
      </c>
      <c r="E120" s="25">
        <f t="shared" si="2"/>
        <v>112.0321281</v>
      </c>
      <c r="F120" s="24">
        <f t="shared" si="3"/>
        <v>0.0002094909713</v>
      </c>
      <c r="G120" s="24">
        <f t="shared" si="4"/>
        <v>0</v>
      </c>
      <c r="H120" s="26">
        <f t="shared" si="5"/>
        <v>0</v>
      </c>
      <c r="I120" s="24">
        <f t="shared" si="6"/>
        <v>0</v>
      </c>
      <c r="J120" s="24">
        <f t="shared" si="7"/>
        <v>0</v>
      </c>
      <c r="K120" s="24"/>
      <c r="L120" s="24">
        <f t="shared" si="8"/>
        <v>434.0617104</v>
      </c>
      <c r="M120" s="14">
        <f t="shared" si="9"/>
        <v>440.0853469</v>
      </c>
      <c r="N120" s="27">
        <f t="shared" si="10"/>
        <v>-6.023636537</v>
      </c>
      <c r="O120" s="24"/>
      <c r="P120" s="28">
        <f t="shared" si="14"/>
        <v>-208.453222</v>
      </c>
      <c r="Q120" s="27">
        <f t="shared" si="15"/>
        <v>405.9174367</v>
      </c>
      <c r="R120" s="26"/>
      <c r="S120" s="14">
        <f t="shared" si="13"/>
        <v>-5.531482125</v>
      </c>
      <c r="U120" s="21"/>
      <c r="V120" s="21"/>
    </row>
    <row r="121">
      <c r="A121" s="11">
        <v>109.0</v>
      </c>
      <c r="B121" s="11">
        <v>1.41986956521739E9</v>
      </c>
      <c r="C121" s="2">
        <v>-102.3520355</v>
      </c>
      <c r="D121" s="24">
        <f t="shared" si="1"/>
        <v>-530434.7826</v>
      </c>
      <c r="E121" s="25">
        <f t="shared" si="2"/>
        <v>111.113832</v>
      </c>
      <c r="F121" s="24">
        <f t="shared" si="3"/>
        <v>0.0002094768964</v>
      </c>
      <c r="G121" s="24">
        <f t="shared" si="4"/>
        <v>0</v>
      </c>
      <c r="H121" s="26">
        <f t="shared" si="5"/>
        <v>0</v>
      </c>
      <c r="I121" s="24">
        <f t="shared" si="6"/>
        <v>0</v>
      </c>
      <c r="J121" s="24">
        <f t="shared" si="7"/>
        <v>0</v>
      </c>
      <c r="K121" s="24"/>
      <c r="L121" s="24">
        <f t="shared" si="8"/>
        <v>442.4891411</v>
      </c>
      <c r="M121" s="14">
        <f t="shared" si="9"/>
        <v>440.0285453</v>
      </c>
      <c r="N121" s="27">
        <f t="shared" si="10"/>
        <v>2.460595819</v>
      </c>
      <c r="O121" s="24"/>
      <c r="P121" s="28">
        <f t="shared" si="14"/>
        <v>-209.3715181</v>
      </c>
      <c r="Q121" s="27">
        <f t="shared" si="15"/>
        <v>410.5617703</v>
      </c>
      <c r="R121" s="26"/>
      <c r="S121" s="14">
        <f t="shared" si="13"/>
        <v>2.259555625</v>
      </c>
      <c r="U121" s="21"/>
      <c r="V121" s="21"/>
    </row>
    <row r="122">
      <c r="A122" s="11">
        <v>110.0</v>
      </c>
      <c r="B122" s="11">
        <v>1.41987391304347E9</v>
      </c>
      <c r="C122" s="2">
        <v>-102.3403549</v>
      </c>
      <c r="D122" s="24">
        <f t="shared" si="1"/>
        <v>-526086.9565</v>
      </c>
      <c r="E122" s="25">
        <f t="shared" si="2"/>
        <v>110.1955359</v>
      </c>
      <c r="F122" s="24">
        <f t="shared" si="3"/>
        <v>0.0002094625888</v>
      </c>
      <c r="G122" s="24">
        <f t="shared" si="4"/>
        <v>0</v>
      </c>
      <c r="H122" s="26">
        <f t="shared" si="5"/>
        <v>0</v>
      </c>
      <c r="I122" s="24">
        <f t="shared" si="6"/>
        <v>0</v>
      </c>
      <c r="J122" s="24">
        <f t="shared" si="7"/>
        <v>0</v>
      </c>
      <c r="K122" s="24"/>
      <c r="L122" s="24">
        <f t="shared" si="8"/>
        <v>443.680843</v>
      </c>
      <c r="M122" s="14">
        <f t="shared" si="9"/>
        <v>439.9716625</v>
      </c>
      <c r="N122" s="27">
        <f t="shared" si="10"/>
        <v>3.709180437</v>
      </c>
      <c r="O122" s="24"/>
      <c r="P122" s="28">
        <f t="shared" si="14"/>
        <v>-210.2898143</v>
      </c>
      <c r="Q122" s="27">
        <f t="shared" si="15"/>
        <v>407.3561406</v>
      </c>
      <c r="R122" s="26"/>
      <c r="S122" s="14">
        <f t="shared" si="13"/>
        <v>3.406126051</v>
      </c>
      <c r="U122" s="21"/>
      <c r="V122" s="21"/>
    </row>
    <row r="123">
      <c r="A123" s="11">
        <v>111.0</v>
      </c>
      <c r="B123" s="11">
        <v>1.41987826086956E9</v>
      </c>
      <c r="C123" s="2">
        <v>-102.3913956</v>
      </c>
      <c r="D123" s="24">
        <f t="shared" si="1"/>
        <v>-521739.1304</v>
      </c>
      <c r="E123" s="25">
        <f t="shared" si="2"/>
        <v>109.2772397</v>
      </c>
      <c r="F123" s="24">
        <f t="shared" si="3"/>
        <v>0.0002094480428</v>
      </c>
      <c r="G123" s="24">
        <f t="shared" si="4"/>
        <v>0</v>
      </c>
      <c r="H123" s="26">
        <f t="shared" si="5"/>
        <v>0</v>
      </c>
      <c r="I123" s="24">
        <f t="shared" si="6"/>
        <v>0</v>
      </c>
      <c r="J123" s="24">
        <f t="shared" si="7"/>
        <v>0</v>
      </c>
      <c r="K123" s="24"/>
      <c r="L123" s="24">
        <f t="shared" si="8"/>
        <v>438.4969807</v>
      </c>
      <c r="M123" s="14">
        <f t="shared" si="9"/>
        <v>439.9146975</v>
      </c>
      <c r="N123" s="27">
        <f t="shared" si="10"/>
        <v>-1.417716725</v>
      </c>
      <c r="O123" s="24"/>
      <c r="P123" s="28">
        <f t="shared" si="14"/>
        <v>-211.2081104</v>
      </c>
      <c r="Q123" s="27">
        <f t="shared" si="15"/>
        <v>404.3403078</v>
      </c>
      <c r="R123" s="26"/>
      <c r="S123" s="14">
        <f t="shared" si="13"/>
        <v>-1.301883783</v>
      </c>
      <c r="U123" s="21"/>
      <c r="V123" s="21"/>
    </row>
    <row r="124">
      <c r="A124" s="11">
        <v>112.0</v>
      </c>
      <c r="B124" s="11">
        <v>1.41988260869565E9</v>
      </c>
      <c r="C124" s="2">
        <v>-102.387886</v>
      </c>
      <c r="D124" s="24">
        <f t="shared" si="1"/>
        <v>-517391.3043</v>
      </c>
      <c r="E124" s="25">
        <f t="shared" si="2"/>
        <v>108.3589436</v>
      </c>
      <c r="F124" s="24">
        <f t="shared" si="3"/>
        <v>0.0002094332523</v>
      </c>
      <c r="G124" s="24">
        <f t="shared" si="4"/>
        <v>0</v>
      </c>
      <c r="H124" s="26">
        <f t="shared" si="5"/>
        <v>0</v>
      </c>
      <c r="I124" s="24">
        <f t="shared" si="6"/>
        <v>0</v>
      </c>
      <c r="J124" s="24">
        <f t="shared" si="7"/>
        <v>0</v>
      </c>
      <c r="K124" s="24"/>
      <c r="L124" s="24">
        <f t="shared" si="8"/>
        <v>438.8514801</v>
      </c>
      <c r="M124" s="14">
        <f t="shared" si="9"/>
        <v>439.8576488</v>
      </c>
      <c r="N124" s="27">
        <f t="shared" si="10"/>
        <v>-1.006168779</v>
      </c>
      <c r="O124" s="24"/>
      <c r="P124" s="28"/>
      <c r="Q124" s="27"/>
      <c r="R124" s="26"/>
      <c r="S124" s="14">
        <f t="shared" si="13"/>
        <v>-0.9239608985</v>
      </c>
      <c r="U124" s="21"/>
      <c r="V124" s="21"/>
    </row>
    <row r="125">
      <c r="A125" s="11">
        <v>113.0</v>
      </c>
      <c r="B125" s="11">
        <v>1.41988695652173E9</v>
      </c>
      <c r="C125" s="2">
        <v>-102.3846817</v>
      </c>
      <c r="D125" s="24">
        <f t="shared" si="1"/>
        <v>-513043.4783</v>
      </c>
      <c r="E125" s="25">
        <f t="shared" si="2"/>
        <v>107.4406475</v>
      </c>
      <c r="F125" s="24">
        <f t="shared" si="3"/>
        <v>0.0002094182111</v>
      </c>
      <c r="G125" s="24">
        <f t="shared" si="4"/>
        <v>0</v>
      </c>
      <c r="H125" s="26">
        <f t="shared" si="5"/>
        <v>0</v>
      </c>
      <c r="I125" s="24">
        <f t="shared" si="6"/>
        <v>0</v>
      </c>
      <c r="J125" s="24">
        <f t="shared" si="7"/>
        <v>0</v>
      </c>
      <c r="K125" s="24"/>
      <c r="L125" s="24">
        <f t="shared" si="8"/>
        <v>439.1753918</v>
      </c>
      <c r="M125" s="14">
        <f t="shared" si="9"/>
        <v>439.8005155</v>
      </c>
      <c r="N125" s="27">
        <f t="shared" si="10"/>
        <v>-0.6251237004</v>
      </c>
      <c r="O125" s="24"/>
      <c r="P125" s="24"/>
      <c r="Q125" s="24"/>
      <c r="R125" s="26"/>
      <c r="S125" s="14">
        <f t="shared" si="13"/>
        <v>-0.5740486766</v>
      </c>
      <c r="U125" s="21"/>
      <c r="V125" s="21"/>
    </row>
    <row r="126">
      <c r="A126" s="11">
        <v>114.0</v>
      </c>
      <c r="B126" s="11">
        <v>1.41989130434782E9</v>
      </c>
      <c r="C126" s="2">
        <v>-102.3697357</v>
      </c>
      <c r="D126" s="24">
        <f t="shared" si="1"/>
        <v>-508695.6522</v>
      </c>
      <c r="E126" s="25">
        <f t="shared" si="2"/>
        <v>106.5223513</v>
      </c>
      <c r="F126" s="24">
        <f t="shared" si="3"/>
        <v>0.0002094029129</v>
      </c>
      <c r="G126" s="24">
        <f t="shared" si="4"/>
        <v>0</v>
      </c>
      <c r="H126" s="26">
        <f t="shared" si="5"/>
        <v>0</v>
      </c>
      <c r="I126" s="24">
        <f t="shared" si="6"/>
        <v>0</v>
      </c>
      <c r="J126" s="24">
        <f t="shared" si="7"/>
        <v>0</v>
      </c>
      <c r="K126" s="24"/>
      <c r="L126" s="24">
        <f t="shared" si="8"/>
        <v>440.6893928</v>
      </c>
      <c r="M126" s="14">
        <f t="shared" si="9"/>
        <v>439.7432962</v>
      </c>
      <c r="N126" s="27">
        <f t="shared" si="10"/>
        <v>0.9460966715</v>
      </c>
      <c r="O126" s="24"/>
      <c r="P126" s="24"/>
      <c r="Q126" s="24"/>
      <c r="R126" s="26"/>
      <c r="S126" s="14">
        <f t="shared" si="13"/>
        <v>0.8687969147</v>
      </c>
      <c r="U126" s="21"/>
      <c r="V126" s="21"/>
    </row>
    <row r="127">
      <c r="A127" s="11">
        <v>115.0</v>
      </c>
      <c r="B127" s="11">
        <v>1.41989565217391E9</v>
      </c>
      <c r="C127" s="2">
        <v>-102.3654251</v>
      </c>
      <c r="D127" s="24">
        <f t="shared" si="1"/>
        <v>-504347.8261</v>
      </c>
      <c r="E127" s="25">
        <f t="shared" si="2"/>
        <v>105.6040552</v>
      </c>
      <c r="F127" s="24">
        <f t="shared" si="3"/>
        <v>0.0002093873508</v>
      </c>
      <c r="G127" s="24">
        <f t="shared" si="4"/>
        <v>0</v>
      </c>
      <c r="H127" s="26">
        <f t="shared" si="5"/>
        <v>0</v>
      </c>
      <c r="I127" s="24">
        <f t="shared" si="6"/>
        <v>0</v>
      </c>
      <c r="J127" s="24">
        <f t="shared" si="7"/>
        <v>0</v>
      </c>
      <c r="K127" s="24"/>
      <c r="L127" s="24">
        <f t="shared" si="8"/>
        <v>441.1270173</v>
      </c>
      <c r="M127" s="14">
        <f t="shared" si="9"/>
        <v>439.6859897</v>
      </c>
      <c r="N127" s="27">
        <f t="shared" si="10"/>
        <v>1.44102757</v>
      </c>
      <c r="O127" s="24"/>
      <c r="P127" s="24"/>
      <c r="Q127" s="24"/>
      <c r="R127" s="26"/>
      <c r="S127" s="14">
        <f t="shared" si="13"/>
        <v>1.323290042</v>
      </c>
      <c r="U127" s="21"/>
      <c r="V127" s="21"/>
    </row>
    <row r="128">
      <c r="A128" s="11">
        <v>116.0</v>
      </c>
      <c r="B128" s="11">
        <v>1.4199E9</v>
      </c>
      <c r="C128" s="2">
        <v>-102.3112946</v>
      </c>
      <c r="D128" s="24">
        <f t="shared" si="1"/>
        <v>-500000</v>
      </c>
      <c r="E128" s="25">
        <f t="shared" si="2"/>
        <v>104.6857591</v>
      </c>
      <c r="F128" s="24">
        <f t="shared" si="3"/>
        <v>0.0002093715181</v>
      </c>
      <c r="G128" s="24">
        <f t="shared" si="4"/>
        <v>0</v>
      </c>
      <c r="H128" s="26">
        <f t="shared" si="5"/>
        <v>0</v>
      </c>
      <c r="I128" s="24">
        <f t="shared" si="6"/>
        <v>0</v>
      </c>
      <c r="J128" s="24">
        <f t="shared" si="7"/>
        <v>0</v>
      </c>
      <c r="K128" s="24"/>
      <c r="L128" s="24">
        <f t="shared" si="8"/>
        <v>446.6596357</v>
      </c>
      <c r="M128" s="14">
        <f t="shared" si="9"/>
        <v>439.6285949</v>
      </c>
      <c r="N128" s="27">
        <f t="shared" si="10"/>
        <v>7.03104085</v>
      </c>
      <c r="O128" s="24"/>
      <c r="P128" s="24"/>
      <c r="Q128" s="24"/>
      <c r="R128" s="26"/>
      <c r="S128" s="14">
        <f t="shared" si="13"/>
        <v>6.456577622</v>
      </c>
      <c r="U128" s="21"/>
      <c r="V128" s="21"/>
    </row>
    <row r="129">
      <c r="A129" s="11">
        <v>117.0</v>
      </c>
      <c r="B129" s="11">
        <v>1.41990434782608E9</v>
      </c>
      <c r="C129" s="2">
        <v>-102.4134064</v>
      </c>
      <c r="D129" s="24">
        <f t="shared" si="1"/>
        <v>-495652.1739</v>
      </c>
      <c r="E129" s="25">
        <f t="shared" si="2"/>
        <v>103.7674629</v>
      </c>
      <c r="F129" s="24">
        <f t="shared" si="3"/>
        <v>0.0002093554077</v>
      </c>
      <c r="G129" s="24">
        <f t="shared" si="4"/>
        <v>0</v>
      </c>
      <c r="H129" s="26">
        <f t="shared" si="5"/>
        <v>0</v>
      </c>
      <c r="I129" s="24">
        <f t="shared" si="6"/>
        <v>0</v>
      </c>
      <c r="J129" s="24">
        <f t="shared" si="7"/>
        <v>0</v>
      </c>
      <c r="K129" s="24"/>
      <c r="L129" s="24">
        <f t="shared" si="8"/>
        <v>436.2802239</v>
      </c>
      <c r="M129" s="14">
        <f t="shared" si="9"/>
        <v>439.5711105</v>
      </c>
      <c r="N129" s="27">
        <f t="shared" si="10"/>
        <v>-3.290886528</v>
      </c>
      <c r="O129" s="24"/>
      <c r="P129" s="24"/>
      <c r="Q129" s="24"/>
      <c r="R129" s="26"/>
      <c r="S129" s="14">
        <f t="shared" si="13"/>
        <v>-3.022008372</v>
      </c>
      <c r="U129" s="21"/>
      <c r="V129" s="21"/>
    </row>
    <row r="130">
      <c r="A130" s="11">
        <v>118.0</v>
      </c>
      <c r="B130" s="11">
        <v>1.41990869565217E9</v>
      </c>
      <c r="C130" s="2">
        <v>-102.3432846</v>
      </c>
      <c r="D130" s="24">
        <f t="shared" si="1"/>
        <v>-491304.3478</v>
      </c>
      <c r="E130" s="25">
        <f t="shared" si="2"/>
        <v>102.8491668</v>
      </c>
      <c r="F130" s="24">
        <f t="shared" si="3"/>
        <v>0.0002093390121</v>
      </c>
      <c r="G130" s="24">
        <f t="shared" si="4"/>
        <v>0</v>
      </c>
      <c r="H130" s="26">
        <f t="shared" si="5"/>
        <v>0</v>
      </c>
      <c r="I130" s="24">
        <f t="shared" si="6"/>
        <v>0</v>
      </c>
      <c r="J130" s="24">
        <f t="shared" si="7"/>
        <v>0</v>
      </c>
      <c r="K130" s="24"/>
      <c r="L130" s="24">
        <f t="shared" si="8"/>
        <v>443.381642</v>
      </c>
      <c r="M130" s="14">
        <f t="shared" si="9"/>
        <v>439.5135353</v>
      </c>
      <c r="N130" s="27">
        <f t="shared" si="10"/>
        <v>3.868106676</v>
      </c>
      <c r="O130" s="24"/>
      <c r="P130" s="24"/>
      <c r="Q130" s="24"/>
      <c r="R130" s="26"/>
      <c r="S130" s="14">
        <f t="shared" si="13"/>
        <v>3.552067393</v>
      </c>
      <c r="U130" s="21"/>
      <c r="V130" s="21"/>
    </row>
    <row r="131">
      <c r="A131" s="11">
        <v>119.0</v>
      </c>
      <c r="B131" s="11">
        <v>1.41991304347826E9</v>
      </c>
      <c r="C131" s="2">
        <v>-102.3603287</v>
      </c>
      <c r="D131" s="24">
        <f t="shared" si="1"/>
        <v>-486956.5217</v>
      </c>
      <c r="E131" s="25">
        <f t="shared" si="2"/>
        <v>101.9308707</v>
      </c>
      <c r="F131" s="24">
        <f t="shared" si="3"/>
        <v>0.0002093223237</v>
      </c>
      <c r="G131" s="24">
        <f t="shared" si="4"/>
        <v>0</v>
      </c>
      <c r="H131" s="26">
        <f t="shared" si="5"/>
        <v>0</v>
      </c>
      <c r="I131" s="24">
        <f t="shared" si="6"/>
        <v>0</v>
      </c>
      <c r="J131" s="24">
        <f t="shared" si="7"/>
        <v>0</v>
      </c>
      <c r="K131" s="24"/>
      <c r="L131" s="24">
        <f t="shared" si="8"/>
        <v>441.644979</v>
      </c>
      <c r="M131" s="14">
        <f t="shared" si="9"/>
        <v>439.4558682</v>
      </c>
      <c r="N131" s="27">
        <f t="shared" si="10"/>
        <v>2.189110843</v>
      </c>
      <c r="O131" s="24"/>
      <c r="P131" s="24"/>
      <c r="Q131" s="24"/>
      <c r="R131" s="26"/>
      <c r="S131" s="14">
        <f t="shared" si="13"/>
        <v>2.010252022</v>
      </c>
      <c r="U131" s="21"/>
      <c r="V131" s="21"/>
    </row>
    <row r="132">
      <c r="A132" s="11">
        <v>120.0</v>
      </c>
      <c r="B132" s="11">
        <v>1.41991739130434E9</v>
      </c>
      <c r="C132" s="2">
        <v>-102.3351059</v>
      </c>
      <c r="D132" s="24">
        <f t="shared" si="1"/>
        <v>-482608.6957</v>
      </c>
      <c r="E132" s="25">
        <f t="shared" si="2"/>
        <v>101.0125745</v>
      </c>
      <c r="F132" s="24">
        <f t="shared" si="3"/>
        <v>0.0002093053346</v>
      </c>
      <c r="G132" s="24">
        <f t="shared" si="4"/>
        <v>0</v>
      </c>
      <c r="H132" s="26">
        <f t="shared" si="5"/>
        <v>0</v>
      </c>
      <c r="I132" s="24">
        <f t="shared" si="6"/>
        <v>0</v>
      </c>
      <c r="J132" s="24">
        <f t="shared" si="7"/>
        <v>0</v>
      </c>
      <c r="K132" s="24"/>
      <c r="L132" s="24">
        <f t="shared" si="8"/>
        <v>444.2174118</v>
      </c>
      <c r="M132" s="14">
        <f t="shared" si="9"/>
        <v>439.3981079</v>
      </c>
      <c r="N132" s="27">
        <f t="shared" si="10"/>
        <v>4.819303923</v>
      </c>
      <c r="O132" s="24"/>
      <c r="P132" s="24"/>
      <c r="Q132" s="24"/>
      <c r="R132" s="26"/>
      <c r="S132" s="14">
        <f t="shared" si="13"/>
        <v>4.425548155</v>
      </c>
      <c r="U132" s="21"/>
      <c r="V132" s="21"/>
    </row>
    <row r="133">
      <c r="A133" s="11">
        <v>121.0</v>
      </c>
      <c r="B133" s="11">
        <v>1.41992173913043E9</v>
      </c>
      <c r="C133" s="2">
        <v>-102.4294891</v>
      </c>
      <c r="D133" s="24">
        <f t="shared" si="1"/>
        <v>-478260.8696</v>
      </c>
      <c r="E133" s="25">
        <f t="shared" si="2"/>
        <v>100.0942784</v>
      </c>
      <c r="F133" s="24">
        <f t="shared" si="3"/>
        <v>0.0002092880367</v>
      </c>
      <c r="G133" s="24">
        <f t="shared" si="4"/>
        <v>0</v>
      </c>
      <c r="H133" s="26">
        <f t="shared" si="5"/>
        <v>0</v>
      </c>
      <c r="I133" s="24">
        <f t="shared" si="6"/>
        <v>0</v>
      </c>
      <c r="J133" s="24">
        <f t="shared" si="7"/>
        <v>0</v>
      </c>
      <c r="K133" s="24"/>
      <c r="L133" s="24">
        <f t="shared" si="8"/>
        <v>434.6675882</v>
      </c>
      <c r="M133" s="14">
        <f t="shared" si="9"/>
        <v>439.3402532</v>
      </c>
      <c r="N133" s="27">
        <f t="shared" si="10"/>
        <v>-4.672664996</v>
      </c>
      <c r="O133" s="24"/>
      <c r="P133" s="24"/>
      <c r="Q133" s="24"/>
      <c r="R133" s="26"/>
      <c r="S133" s="14">
        <f t="shared" si="13"/>
        <v>-4.290890185</v>
      </c>
      <c r="U133" s="21"/>
      <c r="V133" s="21"/>
    </row>
    <row r="134">
      <c r="A134" s="11">
        <v>122.0</v>
      </c>
      <c r="B134" s="11">
        <v>1.41992608695652E9</v>
      </c>
      <c r="C134" s="2">
        <v>-102.3553467</v>
      </c>
      <c r="D134" s="24">
        <f t="shared" si="1"/>
        <v>-473913.0435</v>
      </c>
      <c r="E134" s="25">
        <f t="shared" si="2"/>
        <v>99.17598227</v>
      </c>
      <c r="F134" s="24">
        <f t="shared" si="3"/>
        <v>0.0002092704213</v>
      </c>
      <c r="G134" s="24">
        <f t="shared" si="4"/>
        <v>0</v>
      </c>
      <c r="H134" s="26">
        <f t="shared" si="5"/>
        <v>0</v>
      </c>
      <c r="I134" s="24">
        <f t="shared" si="6"/>
        <v>0</v>
      </c>
      <c r="J134" s="24">
        <f t="shared" si="7"/>
        <v>0</v>
      </c>
      <c r="K134" s="24"/>
      <c r="L134" s="24">
        <f t="shared" si="8"/>
        <v>442.1519018</v>
      </c>
      <c r="M134" s="14">
        <f t="shared" si="9"/>
        <v>439.2823029</v>
      </c>
      <c r="N134" s="27">
        <f t="shared" si="10"/>
        <v>2.869598954</v>
      </c>
      <c r="O134" s="24"/>
      <c r="P134" s="24"/>
      <c r="Q134" s="24"/>
      <c r="R134" s="26"/>
      <c r="S134" s="14">
        <f t="shared" si="13"/>
        <v>2.635141623</v>
      </c>
      <c r="U134" s="21"/>
      <c r="V134" s="21"/>
    </row>
    <row r="135">
      <c r="A135" s="11">
        <v>123.0</v>
      </c>
      <c r="B135" s="11">
        <v>1.4199304347826E9</v>
      </c>
      <c r="C135" s="2">
        <v>-102.3745117</v>
      </c>
      <c r="D135" s="24">
        <f t="shared" si="1"/>
        <v>-469565.2174</v>
      </c>
      <c r="E135" s="25">
        <f t="shared" si="2"/>
        <v>98.25768614</v>
      </c>
      <c r="F135" s="24">
        <f t="shared" si="3"/>
        <v>0.0002092524797</v>
      </c>
      <c r="G135" s="24">
        <f t="shared" si="4"/>
        <v>0</v>
      </c>
      <c r="H135" s="26">
        <f t="shared" si="5"/>
        <v>0</v>
      </c>
      <c r="I135" s="24">
        <f t="shared" si="6"/>
        <v>0</v>
      </c>
      <c r="J135" s="24">
        <f t="shared" si="7"/>
        <v>0</v>
      </c>
      <c r="K135" s="24"/>
      <c r="L135" s="24">
        <f t="shared" si="8"/>
        <v>440.2050266</v>
      </c>
      <c r="M135" s="14">
        <f t="shared" si="9"/>
        <v>439.2242558</v>
      </c>
      <c r="N135" s="27">
        <f t="shared" si="10"/>
        <v>0.9807708426</v>
      </c>
      <c r="O135" s="24"/>
      <c r="P135" s="24"/>
      <c r="Q135" s="24"/>
      <c r="R135" s="26"/>
      <c r="S135" s="14">
        <f t="shared" si="13"/>
        <v>0.9006380719</v>
      </c>
      <c r="U135" s="21"/>
      <c r="V135" s="21"/>
    </row>
    <row r="136">
      <c r="A136" s="11">
        <v>124.0</v>
      </c>
      <c r="B136" s="11">
        <v>1.41993478260869E9</v>
      </c>
      <c r="C136" s="2">
        <v>-102.382164</v>
      </c>
      <c r="D136" s="24">
        <f t="shared" si="1"/>
        <v>-465217.3913</v>
      </c>
      <c r="E136" s="25">
        <f t="shared" si="2"/>
        <v>97.33939001</v>
      </c>
      <c r="F136" s="24">
        <f t="shared" si="3"/>
        <v>0.0002092342028</v>
      </c>
      <c r="G136" s="24">
        <f t="shared" si="4"/>
        <v>0</v>
      </c>
      <c r="H136" s="26">
        <f t="shared" si="5"/>
        <v>0</v>
      </c>
      <c r="I136" s="24">
        <f t="shared" si="6"/>
        <v>0</v>
      </c>
      <c r="J136" s="24">
        <f t="shared" si="7"/>
        <v>0</v>
      </c>
      <c r="K136" s="24"/>
      <c r="L136" s="24">
        <f t="shared" si="8"/>
        <v>439.4300651</v>
      </c>
      <c r="M136" s="14">
        <f t="shared" si="9"/>
        <v>439.1661107</v>
      </c>
      <c r="N136" s="27">
        <f t="shared" si="10"/>
        <v>0.2639544493</v>
      </c>
      <c r="O136" s="24"/>
      <c r="P136" s="24"/>
      <c r="Q136" s="24"/>
      <c r="R136" s="26"/>
      <c r="S136" s="14">
        <f t="shared" si="13"/>
        <v>0.24238835</v>
      </c>
      <c r="U136" s="21"/>
      <c r="V136" s="21"/>
    </row>
    <row r="137">
      <c r="A137" s="11">
        <v>125.0</v>
      </c>
      <c r="B137" s="11">
        <v>1.41993913043478E9</v>
      </c>
      <c r="C137" s="2">
        <v>-102.3315811</v>
      </c>
      <c r="D137" s="24">
        <f t="shared" si="1"/>
        <v>-460869.5652</v>
      </c>
      <c r="E137" s="25">
        <f t="shared" si="2"/>
        <v>96.42109387</v>
      </c>
      <c r="F137" s="24">
        <f t="shared" si="3"/>
        <v>0.000209215581</v>
      </c>
      <c r="G137" s="24">
        <f t="shared" si="4"/>
        <v>0</v>
      </c>
      <c r="H137" s="26">
        <f t="shared" si="5"/>
        <v>0</v>
      </c>
      <c r="I137" s="24">
        <f t="shared" si="6"/>
        <v>0</v>
      </c>
      <c r="J137" s="24">
        <f t="shared" si="7"/>
        <v>0</v>
      </c>
      <c r="K137" s="24"/>
      <c r="L137" s="24">
        <f t="shared" si="8"/>
        <v>444.5780917</v>
      </c>
      <c r="M137" s="14">
        <f t="shared" si="9"/>
        <v>439.1078664</v>
      </c>
      <c r="N137" s="27">
        <f t="shared" si="10"/>
        <v>5.470225318</v>
      </c>
      <c r="O137" s="24"/>
      <c r="P137" s="24"/>
      <c r="Q137" s="24"/>
      <c r="R137" s="26"/>
      <c r="S137" s="14">
        <f t="shared" si="13"/>
        <v>5.023286743</v>
      </c>
      <c r="U137" s="21"/>
      <c r="V137" s="21"/>
    </row>
    <row r="138">
      <c r="A138" s="11">
        <v>126.0</v>
      </c>
      <c r="B138" s="11">
        <v>1.41994347826087E9</v>
      </c>
      <c r="C138" s="2">
        <v>-102.3675079</v>
      </c>
      <c r="D138" s="24">
        <f t="shared" si="1"/>
        <v>-456521.7391</v>
      </c>
      <c r="E138" s="25">
        <f t="shared" si="2"/>
        <v>95.50279774</v>
      </c>
      <c r="F138" s="24">
        <f t="shared" si="3"/>
        <v>0.0002091966046</v>
      </c>
      <c r="G138" s="24">
        <f t="shared" si="4"/>
        <v>0</v>
      </c>
      <c r="H138" s="26">
        <f t="shared" si="5"/>
        <v>0</v>
      </c>
      <c r="I138" s="24">
        <f t="shared" si="6"/>
        <v>0</v>
      </c>
      <c r="J138" s="24">
        <f t="shared" si="7"/>
        <v>0</v>
      </c>
      <c r="K138" s="24"/>
      <c r="L138" s="24">
        <f t="shared" si="8"/>
        <v>440.9155112</v>
      </c>
      <c r="M138" s="14">
        <f t="shared" si="9"/>
        <v>439.0495217</v>
      </c>
      <c r="N138" s="27">
        <f t="shared" si="10"/>
        <v>1.865989503</v>
      </c>
      <c r="O138" s="24"/>
      <c r="P138" s="24"/>
      <c r="Q138" s="24"/>
      <c r="R138" s="26"/>
      <c r="S138" s="14">
        <f t="shared" si="13"/>
        <v>1.713530944</v>
      </c>
      <c r="U138" s="21"/>
      <c r="V138" s="21"/>
    </row>
    <row r="139">
      <c r="A139" s="11">
        <v>127.0</v>
      </c>
      <c r="B139" s="11">
        <v>1.41994782608695E9</v>
      </c>
      <c r="C139" s="2">
        <v>-102.325325</v>
      </c>
      <c r="D139" s="24">
        <f t="shared" si="1"/>
        <v>-452173.913</v>
      </c>
      <c r="E139" s="25">
        <f t="shared" si="2"/>
        <v>94.58450161</v>
      </c>
      <c r="F139" s="24">
        <f t="shared" si="3"/>
        <v>0.0002091772632</v>
      </c>
      <c r="G139" s="24">
        <f t="shared" si="4"/>
        <v>0</v>
      </c>
      <c r="H139" s="26">
        <f t="shared" si="5"/>
        <v>0</v>
      </c>
      <c r="I139" s="24">
        <f t="shared" si="6"/>
        <v>0</v>
      </c>
      <c r="J139" s="24">
        <f t="shared" si="7"/>
        <v>0</v>
      </c>
      <c r="K139" s="24"/>
      <c r="L139" s="24">
        <f t="shared" si="8"/>
        <v>445.218977</v>
      </c>
      <c r="M139" s="14">
        <f t="shared" si="9"/>
        <v>438.9910754</v>
      </c>
      <c r="N139" s="27">
        <f t="shared" si="10"/>
        <v>6.227901578</v>
      </c>
      <c r="O139" s="24"/>
      <c r="P139" s="24"/>
      <c r="Q139" s="24"/>
      <c r="R139" s="26"/>
      <c r="S139" s="14">
        <f t="shared" si="13"/>
        <v>5.719057934</v>
      </c>
      <c r="U139" s="21"/>
      <c r="V139" s="21"/>
    </row>
    <row r="140">
      <c r="A140" s="11">
        <v>128.0</v>
      </c>
      <c r="B140" s="11">
        <v>1.41995217391304E9</v>
      </c>
      <c r="C140" s="2">
        <v>-102.2760925</v>
      </c>
      <c r="D140" s="24">
        <f t="shared" si="1"/>
        <v>-447826.087</v>
      </c>
      <c r="E140" s="25">
        <f t="shared" si="2"/>
        <v>93.66620548</v>
      </c>
      <c r="F140" s="24">
        <f t="shared" si="3"/>
        <v>0.0002091575462</v>
      </c>
      <c r="G140" s="24">
        <f t="shared" si="4"/>
        <v>0</v>
      </c>
      <c r="H140" s="26">
        <f t="shared" si="5"/>
        <v>0</v>
      </c>
      <c r="I140" s="24">
        <f t="shared" si="6"/>
        <v>0</v>
      </c>
      <c r="J140" s="24">
        <f t="shared" si="7"/>
        <v>0</v>
      </c>
      <c r="K140" s="24"/>
      <c r="L140" s="24">
        <f t="shared" si="8"/>
        <v>450.2947851</v>
      </c>
      <c r="M140" s="14">
        <f t="shared" si="9"/>
        <v>438.9325263</v>
      </c>
      <c r="N140" s="27">
        <f t="shared" si="10"/>
        <v>11.36225884</v>
      </c>
      <c r="O140" s="24"/>
      <c r="P140" s="24"/>
      <c r="Q140" s="24"/>
      <c r="R140" s="26"/>
      <c r="S140" s="14">
        <f t="shared" si="13"/>
        <v>10.43391832</v>
      </c>
      <c r="U140" s="21"/>
      <c r="V140" s="21"/>
    </row>
    <row r="141">
      <c r="A141" s="11">
        <v>129.0</v>
      </c>
      <c r="B141" s="11">
        <v>1.41995652173913E9</v>
      </c>
      <c r="C141" s="2">
        <v>-102.2932129</v>
      </c>
      <c r="D141" s="24">
        <f t="shared" si="1"/>
        <v>-443478.2609</v>
      </c>
      <c r="E141" s="25">
        <f t="shared" si="2"/>
        <v>92.74790935</v>
      </c>
      <c r="F141" s="24">
        <f t="shared" si="3"/>
        <v>0.0002091374426</v>
      </c>
      <c r="G141" s="24">
        <f t="shared" si="4"/>
        <v>0</v>
      </c>
      <c r="H141" s="26">
        <f t="shared" si="5"/>
        <v>0</v>
      </c>
      <c r="I141" s="24">
        <f t="shared" si="6"/>
        <v>0</v>
      </c>
      <c r="J141" s="24">
        <f t="shared" si="7"/>
        <v>0</v>
      </c>
      <c r="K141" s="24"/>
      <c r="L141" s="24">
        <f t="shared" si="8"/>
        <v>448.5231643</v>
      </c>
      <c r="M141" s="14">
        <f t="shared" si="9"/>
        <v>438.8738731</v>
      </c>
      <c r="N141" s="27">
        <f t="shared" si="10"/>
        <v>9.649291185</v>
      </c>
      <c r="O141" s="24"/>
      <c r="P141" s="24"/>
      <c r="Q141" s="24"/>
      <c r="R141" s="26"/>
      <c r="S141" s="14">
        <f t="shared" si="13"/>
        <v>8.860906779</v>
      </c>
      <c r="U141" s="21"/>
      <c r="V141" s="21"/>
    </row>
    <row r="142">
      <c r="A142" s="11">
        <v>130.0</v>
      </c>
      <c r="B142" s="11">
        <v>1.41996086956521E9</v>
      </c>
      <c r="C142" s="2">
        <v>-102.2957687</v>
      </c>
      <c r="D142" s="24">
        <f t="shared" si="1"/>
        <v>-439130.4348</v>
      </c>
      <c r="E142" s="25">
        <f t="shared" si="2"/>
        <v>91.82961321</v>
      </c>
      <c r="F142" s="24">
        <f t="shared" si="3"/>
        <v>0.000209116941</v>
      </c>
      <c r="G142" s="24">
        <f t="shared" si="4"/>
        <v>0</v>
      </c>
      <c r="H142" s="26">
        <f t="shared" si="5"/>
        <v>0</v>
      </c>
      <c r="I142" s="24">
        <f t="shared" si="6"/>
        <v>0</v>
      </c>
      <c r="J142" s="24">
        <f t="shared" si="7"/>
        <v>0</v>
      </c>
      <c r="K142" s="24"/>
      <c r="L142" s="24">
        <f t="shared" si="8"/>
        <v>448.2592884</v>
      </c>
      <c r="M142" s="14">
        <f t="shared" si="9"/>
        <v>438.8151147</v>
      </c>
      <c r="N142" s="27">
        <f t="shared" si="10"/>
        <v>9.44417373</v>
      </c>
      <c r="O142" s="24"/>
      <c r="P142" s="24"/>
      <c r="Q142" s="24"/>
      <c r="R142" s="26"/>
      <c r="S142" s="14">
        <f t="shared" si="13"/>
        <v>8.672548214</v>
      </c>
      <c r="U142" s="21"/>
      <c r="V142" s="21"/>
    </row>
    <row r="143">
      <c r="A143" s="11">
        <v>131.0</v>
      </c>
      <c r="B143" s="11">
        <v>1.4199652173913E9</v>
      </c>
      <c r="C143" s="2">
        <v>-102.2351532</v>
      </c>
      <c r="D143" s="24">
        <f t="shared" si="1"/>
        <v>-434782.6087</v>
      </c>
      <c r="E143" s="25">
        <f t="shared" si="2"/>
        <v>90.91131708</v>
      </c>
      <c r="F143" s="24">
        <f t="shared" si="3"/>
        <v>0.0002090960293</v>
      </c>
      <c r="G143" s="24">
        <f t="shared" si="4"/>
        <v>0</v>
      </c>
      <c r="H143" s="26">
        <f t="shared" si="5"/>
        <v>0</v>
      </c>
      <c r="I143" s="24">
        <f t="shared" si="6"/>
        <v>0</v>
      </c>
      <c r="J143" s="24">
        <f t="shared" si="7"/>
        <v>0</v>
      </c>
      <c r="K143" s="24"/>
      <c r="L143" s="24">
        <f t="shared" si="8"/>
        <v>454.5596138</v>
      </c>
      <c r="M143" s="14">
        <f t="shared" si="9"/>
        <v>438.7562499</v>
      </c>
      <c r="N143" s="27">
        <f t="shared" si="10"/>
        <v>15.80336393</v>
      </c>
      <c r="O143" s="24"/>
      <c r="P143" s="24"/>
      <c r="Q143" s="24"/>
      <c r="R143" s="26"/>
      <c r="S143" s="14">
        <f t="shared" si="13"/>
        <v>14.51216795</v>
      </c>
      <c r="U143" s="21"/>
      <c r="V143" s="21"/>
    </row>
    <row r="144">
      <c r="A144" s="11">
        <v>132.0</v>
      </c>
      <c r="B144" s="11">
        <v>1.41996956521739E9</v>
      </c>
      <c r="C144" s="2">
        <v>-102.2415237</v>
      </c>
      <c r="D144" s="24">
        <f t="shared" si="1"/>
        <v>-430434.7826</v>
      </c>
      <c r="E144" s="25">
        <f t="shared" si="2"/>
        <v>89.99302095</v>
      </c>
      <c r="F144" s="24">
        <f t="shared" si="3"/>
        <v>0.0002090746951</v>
      </c>
      <c r="G144" s="24">
        <f t="shared" si="4"/>
        <v>0</v>
      </c>
      <c r="H144" s="26">
        <f t="shared" si="5"/>
        <v>0</v>
      </c>
      <c r="I144" s="24">
        <f t="shared" si="6"/>
        <v>0</v>
      </c>
      <c r="J144" s="24">
        <f t="shared" si="7"/>
        <v>0</v>
      </c>
      <c r="K144" s="24"/>
      <c r="L144" s="24">
        <f t="shared" si="8"/>
        <v>453.8933264</v>
      </c>
      <c r="M144" s="14">
        <f t="shared" si="9"/>
        <v>438.6972774</v>
      </c>
      <c r="N144" s="27">
        <f t="shared" si="10"/>
        <v>15.19604905</v>
      </c>
      <c r="O144" s="24"/>
      <c r="P144" s="24"/>
      <c r="Q144" s="24"/>
      <c r="R144" s="26"/>
      <c r="S144" s="14">
        <f t="shared" si="13"/>
        <v>13.95447308</v>
      </c>
      <c r="U144" s="21"/>
      <c r="V144" s="21"/>
    </row>
    <row r="145">
      <c r="A145" s="11">
        <v>133.0</v>
      </c>
      <c r="B145" s="11">
        <v>1.41997391304347E9</v>
      </c>
      <c r="C145" s="2">
        <v>-102.1970825</v>
      </c>
      <c r="D145" s="24">
        <f t="shared" si="1"/>
        <v>-426086.9565</v>
      </c>
      <c r="E145" s="25">
        <f t="shared" si="2"/>
        <v>89.07472482</v>
      </c>
      <c r="F145" s="24">
        <f t="shared" si="3"/>
        <v>0.0002090529256</v>
      </c>
      <c r="G145" s="24">
        <f t="shared" si="4"/>
        <v>0</v>
      </c>
      <c r="H145" s="26">
        <f t="shared" si="5"/>
        <v>0</v>
      </c>
      <c r="I145" s="24">
        <f t="shared" si="6"/>
        <v>0</v>
      </c>
      <c r="J145" s="24">
        <f t="shared" si="7"/>
        <v>0</v>
      </c>
      <c r="K145" s="24"/>
      <c r="L145" s="24">
        <f t="shared" si="8"/>
        <v>458.5618464</v>
      </c>
      <c r="M145" s="14">
        <f t="shared" si="9"/>
        <v>438.6381961</v>
      </c>
      <c r="N145" s="27">
        <f t="shared" si="10"/>
        <v>19.92365032</v>
      </c>
      <c r="O145" s="24"/>
      <c r="P145" s="24"/>
      <c r="Q145" s="24"/>
      <c r="R145" s="26"/>
      <c r="S145" s="14">
        <f t="shared" si="13"/>
        <v>18.29581104</v>
      </c>
      <c r="U145" s="21"/>
      <c r="V145" s="21"/>
    </row>
    <row r="146">
      <c r="A146" s="11">
        <v>134.0</v>
      </c>
      <c r="B146" s="11">
        <v>1.41997826086956E9</v>
      </c>
      <c r="C146" s="2">
        <v>-102.2247314</v>
      </c>
      <c r="D146" s="24">
        <f t="shared" si="1"/>
        <v>-421739.1304</v>
      </c>
      <c r="E146" s="25">
        <f t="shared" si="2"/>
        <v>88.15642869</v>
      </c>
      <c r="F146" s="24">
        <f t="shared" si="3"/>
        <v>0.0002090307072</v>
      </c>
      <c r="G146" s="24">
        <f t="shared" si="4"/>
        <v>0</v>
      </c>
      <c r="H146" s="26">
        <f t="shared" si="5"/>
        <v>0</v>
      </c>
      <c r="I146" s="24">
        <f t="shared" si="6"/>
        <v>0</v>
      </c>
      <c r="J146" s="24">
        <f t="shared" si="7"/>
        <v>0</v>
      </c>
      <c r="K146" s="24"/>
      <c r="L146" s="24">
        <f t="shared" si="8"/>
        <v>455.651734</v>
      </c>
      <c r="M146" s="14">
        <f t="shared" si="9"/>
        <v>438.5790047</v>
      </c>
      <c r="N146" s="27">
        <f t="shared" si="10"/>
        <v>17.07272937</v>
      </c>
      <c r="O146" s="24"/>
      <c r="P146" s="24"/>
      <c r="Q146" s="24"/>
      <c r="R146" s="26"/>
      <c r="S146" s="14">
        <f t="shared" si="13"/>
        <v>15.67782132</v>
      </c>
      <c r="U146" s="21"/>
      <c r="V146" s="21"/>
    </row>
    <row r="147">
      <c r="A147" s="11">
        <v>135.0</v>
      </c>
      <c r="B147" s="11">
        <v>1.41998260869565E9</v>
      </c>
      <c r="C147" s="2">
        <v>-102.1870956</v>
      </c>
      <c r="D147" s="24">
        <f t="shared" si="1"/>
        <v>-417391.3043</v>
      </c>
      <c r="E147" s="25">
        <f t="shared" si="2"/>
        <v>87.23813255</v>
      </c>
      <c r="F147" s="24">
        <f t="shared" si="3"/>
        <v>0.0002090080259</v>
      </c>
      <c r="G147" s="24">
        <f t="shared" si="4"/>
        <v>0</v>
      </c>
      <c r="H147" s="26">
        <f t="shared" si="5"/>
        <v>0</v>
      </c>
      <c r="I147" s="24">
        <f t="shared" si="6"/>
        <v>0</v>
      </c>
      <c r="J147" s="24">
        <f t="shared" si="7"/>
        <v>0</v>
      </c>
      <c r="K147" s="24"/>
      <c r="L147" s="24">
        <f t="shared" si="8"/>
        <v>459.6175542</v>
      </c>
      <c r="M147" s="14">
        <f t="shared" si="9"/>
        <v>438.519702</v>
      </c>
      <c r="N147" s="27">
        <f t="shared" si="10"/>
        <v>21.09785217</v>
      </c>
      <c r="O147" s="24"/>
      <c r="P147" s="24"/>
      <c r="Q147" s="24"/>
      <c r="R147" s="26"/>
      <c r="S147" s="14">
        <f t="shared" si="13"/>
        <v>19.37407606</v>
      </c>
      <c r="U147" s="21"/>
      <c r="V147" s="21"/>
    </row>
    <row r="148">
      <c r="A148" s="11">
        <v>136.0</v>
      </c>
      <c r="B148" s="11">
        <v>1.41998695652173E9</v>
      </c>
      <c r="C148" s="2">
        <v>-102.1351471</v>
      </c>
      <c r="D148" s="24">
        <f t="shared" si="1"/>
        <v>-413043.4783</v>
      </c>
      <c r="E148" s="25">
        <f t="shared" si="2"/>
        <v>86.31983642</v>
      </c>
      <c r="F148" s="24">
        <f t="shared" si="3"/>
        <v>0.0002089848671</v>
      </c>
      <c r="G148" s="24">
        <f t="shared" si="4"/>
        <v>0</v>
      </c>
      <c r="H148" s="26">
        <f t="shared" si="5"/>
        <v>0</v>
      </c>
      <c r="I148" s="24">
        <f t="shared" si="6"/>
        <v>0</v>
      </c>
      <c r="J148" s="24">
        <f t="shared" si="7"/>
        <v>0</v>
      </c>
      <c r="K148" s="24"/>
      <c r="L148" s="24">
        <f t="shared" si="8"/>
        <v>465.1483207</v>
      </c>
      <c r="M148" s="14">
        <f t="shared" si="9"/>
        <v>438.4602869</v>
      </c>
      <c r="N148" s="27">
        <f t="shared" si="10"/>
        <v>26.68803375</v>
      </c>
      <c r="O148" s="24"/>
      <c r="P148" s="24"/>
      <c r="Q148" s="24"/>
      <c r="R148" s="26"/>
      <c r="S148" s="14">
        <f t="shared" si="13"/>
        <v>24.50751818</v>
      </c>
      <c r="U148" s="21"/>
      <c r="V148" s="21"/>
    </row>
    <row r="149">
      <c r="A149" s="11">
        <v>137.0</v>
      </c>
      <c r="B149" s="11">
        <v>1.41999130434782E9</v>
      </c>
      <c r="C149" s="2">
        <v>-102.1512527</v>
      </c>
      <c r="D149" s="24">
        <f t="shared" si="1"/>
        <v>-408695.6522</v>
      </c>
      <c r="E149" s="25">
        <f t="shared" si="2"/>
        <v>85.40154029</v>
      </c>
      <c r="F149" s="24">
        <f t="shared" si="3"/>
        <v>0.0002089612156</v>
      </c>
      <c r="G149" s="24">
        <f t="shared" si="4"/>
        <v>0</v>
      </c>
      <c r="H149" s="26">
        <f t="shared" si="5"/>
        <v>0</v>
      </c>
      <c r="I149" s="24">
        <f t="shared" si="6"/>
        <v>0</v>
      </c>
      <c r="J149" s="24">
        <f t="shared" si="7"/>
        <v>0</v>
      </c>
      <c r="K149" s="24"/>
      <c r="L149" s="24">
        <f t="shared" si="8"/>
        <v>463.4265353</v>
      </c>
      <c r="M149" s="14">
        <f t="shared" si="9"/>
        <v>438.4007582</v>
      </c>
      <c r="N149" s="27">
        <f t="shared" si="10"/>
        <v>25.02577711</v>
      </c>
      <c r="O149" s="24"/>
      <c r="P149" s="24"/>
      <c r="Q149" s="24"/>
      <c r="R149" s="26"/>
      <c r="S149" s="14">
        <f t="shared" si="13"/>
        <v>22.98107434</v>
      </c>
      <c r="U149" s="21"/>
      <c r="V149" s="21"/>
    </row>
    <row r="150">
      <c r="A150" s="11">
        <v>138.0</v>
      </c>
      <c r="B150" s="11">
        <v>1.41999565217391E9</v>
      </c>
      <c r="C150" s="2">
        <v>-102.0618057</v>
      </c>
      <c r="D150" s="24">
        <f t="shared" si="1"/>
        <v>-404347.8261</v>
      </c>
      <c r="E150" s="25">
        <f t="shared" si="2"/>
        <v>84.48324416</v>
      </c>
      <c r="F150" s="24">
        <f t="shared" si="3"/>
        <v>0.0002089370554</v>
      </c>
      <c r="G150" s="24">
        <f t="shared" si="4"/>
        <v>0</v>
      </c>
      <c r="H150" s="26">
        <f t="shared" si="5"/>
        <v>0</v>
      </c>
      <c r="I150" s="24">
        <f t="shared" si="6"/>
        <v>0</v>
      </c>
      <c r="J150" s="24">
        <f t="shared" si="7"/>
        <v>0</v>
      </c>
      <c r="K150" s="24"/>
      <c r="L150" s="24">
        <f t="shared" si="8"/>
        <v>473.0702064</v>
      </c>
      <c r="M150" s="14">
        <f t="shared" si="9"/>
        <v>438.3411145</v>
      </c>
      <c r="N150" s="27">
        <f t="shared" si="10"/>
        <v>34.72909187</v>
      </c>
      <c r="O150" s="24"/>
      <c r="P150" s="24"/>
      <c r="Q150" s="24"/>
      <c r="R150" s="26"/>
      <c r="S150" s="14">
        <f t="shared" si="13"/>
        <v>31.89159069</v>
      </c>
      <c r="U150" s="21"/>
      <c r="V150" s="21"/>
    </row>
    <row r="151">
      <c r="A151" s="11">
        <v>139.0</v>
      </c>
      <c r="B151" s="11">
        <v>1.42E9</v>
      </c>
      <c r="C151" s="2">
        <v>-102.0583267</v>
      </c>
      <c r="D151" s="24">
        <f t="shared" si="1"/>
        <v>-400000</v>
      </c>
      <c r="E151" s="25">
        <f t="shared" si="2"/>
        <v>83.56494803</v>
      </c>
      <c r="F151" s="24">
        <f t="shared" si="3"/>
        <v>0.0002089123701</v>
      </c>
      <c r="G151" s="24">
        <f t="shared" si="4"/>
        <v>0</v>
      </c>
      <c r="H151" s="26">
        <f t="shared" si="5"/>
        <v>0</v>
      </c>
      <c r="I151" s="24">
        <f t="shared" si="6"/>
        <v>0</v>
      </c>
      <c r="J151" s="24">
        <f t="shared" si="7"/>
        <v>0</v>
      </c>
      <c r="K151" s="24"/>
      <c r="L151" s="24">
        <f t="shared" si="8"/>
        <v>473.4493203</v>
      </c>
      <c r="M151" s="14">
        <f t="shared" si="9"/>
        <v>438.2813548</v>
      </c>
      <c r="N151" s="27">
        <f t="shared" si="10"/>
        <v>35.16796546</v>
      </c>
      <c r="O151" s="24"/>
      <c r="P151" s="24"/>
      <c r="Q151" s="24"/>
      <c r="R151" s="26"/>
      <c r="S151" s="14">
        <f t="shared" si="13"/>
        <v>32.29460668</v>
      </c>
      <c r="U151" s="21"/>
      <c r="V151" s="21"/>
    </row>
    <row r="152">
      <c r="A152" s="11">
        <v>140.0</v>
      </c>
      <c r="B152" s="11">
        <v>1.42000434782608E9</v>
      </c>
      <c r="C152" s="2">
        <v>-102.0205078</v>
      </c>
      <c r="D152" s="24">
        <f t="shared" si="1"/>
        <v>-395652.1739</v>
      </c>
      <c r="E152" s="25">
        <f t="shared" si="2"/>
        <v>82.64665189</v>
      </c>
      <c r="F152" s="24">
        <f t="shared" si="3"/>
        <v>0.0002088871421</v>
      </c>
      <c r="G152" s="24">
        <f t="shared" si="4"/>
        <v>0</v>
      </c>
      <c r="H152" s="26">
        <f t="shared" si="5"/>
        <v>0</v>
      </c>
      <c r="I152" s="24">
        <f t="shared" si="6"/>
        <v>0</v>
      </c>
      <c r="J152" s="24">
        <f t="shared" si="7"/>
        <v>0</v>
      </c>
      <c r="K152" s="24"/>
      <c r="L152" s="24">
        <f t="shared" si="8"/>
        <v>477.5901788</v>
      </c>
      <c r="M152" s="14">
        <f t="shared" si="9"/>
        <v>438.2214778</v>
      </c>
      <c r="N152" s="27">
        <f t="shared" si="10"/>
        <v>39.36870102</v>
      </c>
      <c r="O152" s="24"/>
      <c r="P152" s="24"/>
      <c r="Q152" s="24"/>
      <c r="R152" s="26"/>
      <c r="S152" s="14">
        <f t="shared" si="13"/>
        <v>36.1521259</v>
      </c>
      <c r="U152" s="21"/>
      <c r="V152" s="21"/>
    </row>
    <row r="153">
      <c r="A153" s="11">
        <v>141.0</v>
      </c>
      <c r="B153" s="11">
        <v>1.42000869565217E9</v>
      </c>
      <c r="C153" s="2">
        <v>-102.0193329</v>
      </c>
      <c r="D153" s="24">
        <f t="shared" si="1"/>
        <v>-391304.3478</v>
      </c>
      <c r="E153" s="25">
        <f t="shared" si="2"/>
        <v>81.72835576</v>
      </c>
      <c r="F153" s="24">
        <f t="shared" si="3"/>
        <v>0.0002088613536</v>
      </c>
      <c r="G153" s="24">
        <f t="shared" si="4"/>
        <v>0</v>
      </c>
      <c r="H153" s="26">
        <f t="shared" si="5"/>
        <v>0</v>
      </c>
      <c r="I153" s="24">
        <f t="shared" si="6"/>
        <v>0</v>
      </c>
      <c r="J153" s="24">
        <f t="shared" si="7"/>
        <v>0</v>
      </c>
      <c r="K153" s="24"/>
      <c r="L153" s="24">
        <f t="shared" si="8"/>
        <v>477.7193991</v>
      </c>
      <c r="M153" s="14">
        <f t="shared" si="9"/>
        <v>438.1614823</v>
      </c>
      <c r="N153" s="27">
        <f t="shared" si="10"/>
        <v>39.55791681</v>
      </c>
      <c r="O153" s="24"/>
      <c r="P153" s="24"/>
      <c r="Q153" s="24"/>
      <c r="R153" s="26"/>
      <c r="S153" s="14">
        <f t="shared" si="13"/>
        <v>36.32588194</v>
      </c>
      <c r="U153" s="21"/>
      <c r="V153" s="21"/>
    </row>
    <row r="154">
      <c r="A154" s="11">
        <v>142.0</v>
      </c>
      <c r="B154" s="11">
        <v>1.42001304347826E9</v>
      </c>
      <c r="C154" s="2">
        <v>-102.006958</v>
      </c>
      <c r="D154" s="24">
        <f t="shared" si="1"/>
        <v>-386956.5217</v>
      </c>
      <c r="E154" s="25">
        <f t="shared" si="2"/>
        <v>80.81005963</v>
      </c>
      <c r="F154" s="24">
        <f t="shared" si="3"/>
        <v>0.0002088349856</v>
      </c>
      <c r="G154" s="24">
        <f t="shared" si="4"/>
        <v>0</v>
      </c>
      <c r="H154" s="26">
        <f t="shared" si="5"/>
        <v>0</v>
      </c>
      <c r="I154" s="24">
        <f t="shared" si="6"/>
        <v>0</v>
      </c>
      <c r="J154" s="24">
        <f t="shared" si="7"/>
        <v>0</v>
      </c>
      <c r="K154" s="24"/>
      <c r="L154" s="24">
        <f t="shared" si="8"/>
        <v>479.0825664</v>
      </c>
      <c r="M154" s="14">
        <f t="shared" si="9"/>
        <v>438.1013671</v>
      </c>
      <c r="N154" s="27">
        <f t="shared" si="10"/>
        <v>40.98119928</v>
      </c>
      <c r="O154" s="24"/>
      <c r="P154" s="24"/>
      <c r="Q154" s="24"/>
      <c r="R154" s="26"/>
      <c r="S154" s="14">
        <f t="shared" si="13"/>
        <v>37.63287682</v>
      </c>
      <c r="U154" s="21"/>
      <c r="V154" s="21"/>
    </row>
    <row r="155">
      <c r="A155" s="11">
        <v>143.0</v>
      </c>
      <c r="B155" s="11">
        <v>1.42001739130434E9</v>
      </c>
      <c r="C155" s="2">
        <v>-101.9708405</v>
      </c>
      <c r="D155" s="24">
        <f t="shared" si="1"/>
        <v>-382608.6957</v>
      </c>
      <c r="E155" s="25">
        <f t="shared" si="2"/>
        <v>79.8917635</v>
      </c>
      <c r="F155" s="24">
        <f t="shared" si="3"/>
        <v>0.0002088080182</v>
      </c>
      <c r="G155" s="24">
        <f t="shared" si="4"/>
        <v>0</v>
      </c>
      <c r="H155" s="26">
        <f t="shared" si="5"/>
        <v>0</v>
      </c>
      <c r="I155" s="24">
        <f t="shared" si="6"/>
        <v>0</v>
      </c>
      <c r="J155" s="24">
        <f t="shared" si="7"/>
        <v>0</v>
      </c>
      <c r="K155" s="24"/>
      <c r="L155" s="24">
        <f t="shared" si="8"/>
        <v>483.0834035</v>
      </c>
      <c r="M155" s="14">
        <f t="shared" si="9"/>
        <v>438.041131</v>
      </c>
      <c r="N155" s="27">
        <f t="shared" si="10"/>
        <v>45.04227243</v>
      </c>
      <c r="O155" s="24"/>
      <c r="P155" s="24"/>
      <c r="Q155" s="24"/>
      <c r="R155" s="26"/>
      <c r="S155" s="14">
        <f t="shared" si="13"/>
        <v>41.36214458</v>
      </c>
      <c r="U155" s="21"/>
      <c r="V155" s="21"/>
    </row>
    <row r="156">
      <c r="A156" s="11">
        <v>144.0</v>
      </c>
      <c r="B156" s="11">
        <v>1.42002173913043E9</v>
      </c>
      <c r="C156" s="2">
        <v>-101.8848953</v>
      </c>
      <c r="D156" s="24">
        <f t="shared" si="1"/>
        <v>-378260.8696</v>
      </c>
      <c r="E156" s="25">
        <f t="shared" si="2"/>
        <v>78.97346736</v>
      </c>
      <c r="F156" s="24">
        <f t="shared" si="3"/>
        <v>0.000208780431</v>
      </c>
      <c r="G156" s="24">
        <f t="shared" si="4"/>
        <v>0</v>
      </c>
      <c r="H156" s="26">
        <f t="shared" si="5"/>
        <v>0</v>
      </c>
      <c r="I156" s="24">
        <f t="shared" si="6"/>
        <v>0</v>
      </c>
      <c r="J156" s="24">
        <f t="shared" si="7"/>
        <v>0</v>
      </c>
      <c r="K156" s="24"/>
      <c r="L156" s="24">
        <f t="shared" si="8"/>
        <v>492.7386592</v>
      </c>
      <c r="M156" s="14">
        <f t="shared" si="9"/>
        <v>437.9807729</v>
      </c>
      <c r="N156" s="27">
        <f t="shared" si="10"/>
        <v>54.75788631</v>
      </c>
      <c r="O156" s="24"/>
      <c r="P156" s="24"/>
      <c r="Q156" s="24"/>
      <c r="R156" s="26"/>
      <c r="S156" s="14">
        <f t="shared" si="13"/>
        <v>50.28395512</v>
      </c>
      <c r="U156" s="21"/>
      <c r="V156" s="21"/>
    </row>
    <row r="157">
      <c r="A157" s="11">
        <v>145.0</v>
      </c>
      <c r="B157" s="11">
        <v>1.42002608695652E9</v>
      </c>
      <c r="C157" s="2">
        <v>-101.9063416</v>
      </c>
      <c r="D157" s="24">
        <f t="shared" si="1"/>
        <v>-373913.0435</v>
      </c>
      <c r="E157" s="25">
        <f t="shared" si="2"/>
        <v>78.05517123</v>
      </c>
      <c r="F157" s="24">
        <f t="shared" si="3"/>
        <v>0.0002087522021</v>
      </c>
      <c r="G157" s="24">
        <f t="shared" si="4"/>
        <v>0</v>
      </c>
      <c r="H157" s="26">
        <f t="shared" si="5"/>
        <v>0</v>
      </c>
      <c r="I157" s="24">
        <f t="shared" si="6"/>
        <v>0</v>
      </c>
      <c r="J157" s="24">
        <f t="shared" si="7"/>
        <v>0</v>
      </c>
      <c r="K157" s="24"/>
      <c r="L157" s="24">
        <f t="shared" si="8"/>
        <v>490.3114186</v>
      </c>
      <c r="M157" s="14">
        <f t="shared" si="9"/>
        <v>437.9202914</v>
      </c>
      <c r="N157" s="27">
        <f t="shared" si="10"/>
        <v>52.39112721</v>
      </c>
      <c r="O157" s="24"/>
      <c r="P157" s="24"/>
      <c r="Q157" s="24"/>
      <c r="R157" s="26"/>
      <c r="S157" s="14">
        <f t="shared" si="13"/>
        <v>48.11056951</v>
      </c>
      <c r="U157" s="21"/>
      <c r="V157" s="21"/>
    </row>
    <row r="158">
      <c r="A158" s="11">
        <v>146.0</v>
      </c>
      <c r="B158" s="11">
        <v>1.4200304347826E9</v>
      </c>
      <c r="C158" s="2">
        <v>-101.8290253</v>
      </c>
      <c r="D158" s="24">
        <f t="shared" si="1"/>
        <v>-369565.2174</v>
      </c>
      <c r="E158" s="25">
        <f t="shared" si="2"/>
        <v>77.1368751</v>
      </c>
      <c r="F158" s="24">
        <f t="shared" si="3"/>
        <v>0.0002087233091</v>
      </c>
      <c r="G158" s="24">
        <f t="shared" si="4"/>
        <v>0</v>
      </c>
      <c r="H158" s="26">
        <f t="shared" si="5"/>
        <v>0</v>
      </c>
      <c r="I158" s="24">
        <f t="shared" si="6"/>
        <v>0</v>
      </c>
      <c r="J158" s="24">
        <f t="shared" si="7"/>
        <v>0</v>
      </c>
      <c r="K158" s="24"/>
      <c r="L158" s="24">
        <f t="shared" si="8"/>
        <v>499.1184655</v>
      </c>
      <c r="M158" s="14">
        <f t="shared" si="9"/>
        <v>437.8596853</v>
      </c>
      <c r="N158" s="27">
        <f t="shared" si="10"/>
        <v>61.25878012</v>
      </c>
      <c r="O158" s="24"/>
      <c r="P158" s="24"/>
      <c r="Q158" s="24"/>
      <c r="R158" s="26"/>
      <c r="S158" s="14">
        <f t="shared" si="13"/>
        <v>56.25370088</v>
      </c>
      <c r="U158" s="21"/>
      <c r="V158" s="21"/>
    </row>
    <row r="159">
      <c r="A159" s="11">
        <v>147.0</v>
      </c>
      <c r="B159" s="11">
        <v>1.42003478260869E9</v>
      </c>
      <c r="C159" s="2">
        <v>-101.8056259</v>
      </c>
      <c r="D159" s="24">
        <f t="shared" si="1"/>
        <v>-365217.3913</v>
      </c>
      <c r="E159" s="25">
        <f t="shared" si="2"/>
        <v>76.21857897</v>
      </c>
      <c r="F159" s="24">
        <f t="shared" si="3"/>
        <v>0.0002086937281</v>
      </c>
      <c r="G159" s="24">
        <f t="shared" si="4"/>
        <v>0</v>
      </c>
      <c r="H159" s="26">
        <f t="shared" si="5"/>
        <v>0</v>
      </c>
      <c r="I159" s="24">
        <f t="shared" si="6"/>
        <v>0</v>
      </c>
      <c r="J159" s="24">
        <f t="shared" si="7"/>
        <v>0</v>
      </c>
      <c r="K159" s="24"/>
      <c r="L159" s="24">
        <f t="shared" si="8"/>
        <v>501.8149289</v>
      </c>
      <c r="M159" s="14">
        <f t="shared" si="9"/>
        <v>437.7989536</v>
      </c>
      <c r="N159" s="27">
        <f t="shared" si="10"/>
        <v>64.01597534</v>
      </c>
      <c r="O159" s="24"/>
      <c r="P159" s="24"/>
      <c r="Q159" s="24"/>
      <c r="R159" s="26"/>
      <c r="S159" s="14">
        <f t="shared" si="13"/>
        <v>58.78562259</v>
      </c>
      <c r="U159" s="21"/>
      <c r="V159" s="21"/>
    </row>
    <row r="160">
      <c r="A160" s="11">
        <v>148.0</v>
      </c>
      <c r="B160" s="11">
        <v>1.42003913043478E9</v>
      </c>
      <c r="C160" s="2">
        <v>-101.8178406</v>
      </c>
      <c r="D160" s="24">
        <f t="shared" si="1"/>
        <v>-360869.5652</v>
      </c>
      <c r="E160" s="25">
        <f t="shared" si="2"/>
        <v>75.30028284</v>
      </c>
      <c r="F160" s="24">
        <f t="shared" si="3"/>
        <v>0.0002086634344</v>
      </c>
      <c r="G160" s="24">
        <f t="shared" si="4"/>
        <v>0</v>
      </c>
      <c r="H160" s="26">
        <f t="shared" si="5"/>
        <v>0</v>
      </c>
      <c r="I160" s="24">
        <f t="shared" si="6"/>
        <v>0</v>
      </c>
      <c r="J160" s="24">
        <f t="shared" si="7"/>
        <v>0</v>
      </c>
      <c r="K160" s="24"/>
      <c r="L160" s="24">
        <f t="shared" si="8"/>
        <v>500.405538</v>
      </c>
      <c r="M160" s="14">
        <f t="shared" si="9"/>
        <v>437.7380949</v>
      </c>
      <c r="N160" s="27">
        <f t="shared" si="10"/>
        <v>62.66744305</v>
      </c>
      <c r="O160" s="24"/>
      <c r="P160" s="24"/>
      <c r="Q160" s="24"/>
      <c r="R160" s="26"/>
      <c r="S160" s="14">
        <f t="shared" si="13"/>
        <v>57.54727048</v>
      </c>
      <c r="U160" s="21"/>
      <c r="V160" s="21"/>
    </row>
    <row r="161">
      <c r="A161" s="11">
        <v>149.0</v>
      </c>
      <c r="B161" s="11">
        <v>1.42004347826087E9</v>
      </c>
      <c r="C161" s="2">
        <v>-101.8566437</v>
      </c>
      <c r="D161" s="24">
        <f t="shared" si="1"/>
        <v>-356521.7391</v>
      </c>
      <c r="E161" s="25">
        <f t="shared" si="2"/>
        <v>74.3819867</v>
      </c>
      <c r="F161" s="24">
        <f t="shared" si="3"/>
        <v>0.0002086324017</v>
      </c>
      <c r="G161" s="24">
        <f t="shared" si="4"/>
        <v>0</v>
      </c>
      <c r="H161" s="26">
        <f t="shared" si="5"/>
        <v>0</v>
      </c>
      <c r="I161" s="24">
        <f t="shared" si="6"/>
        <v>0</v>
      </c>
      <c r="J161" s="24">
        <f t="shared" si="7"/>
        <v>0</v>
      </c>
      <c r="K161" s="24"/>
      <c r="L161" s="24">
        <f t="shared" si="8"/>
        <v>495.9544569</v>
      </c>
      <c r="M161" s="14">
        <f t="shared" si="9"/>
        <v>437.6771081</v>
      </c>
      <c r="N161" s="27">
        <f t="shared" si="10"/>
        <v>58.27734874</v>
      </c>
      <c r="O161" s="24"/>
      <c r="P161" s="24"/>
      <c r="Q161" s="24"/>
      <c r="R161" s="26"/>
      <c r="S161" s="14">
        <f t="shared" si="13"/>
        <v>53.51586397</v>
      </c>
      <c r="U161" s="21"/>
      <c r="V161" s="21"/>
    </row>
    <row r="162">
      <c r="A162" s="11">
        <v>150.0</v>
      </c>
      <c r="B162" s="11">
        <v>1.42004782608695E9</v>
      </c>
      <c r="C162" s="2">
        <v>-101.7780533</v>
      </c>
      <c r="D162" s="24">
        <f t="shared" si="1"/>
        <v>-352173.913</v>
      </c>
      <c r="E162" s="25">
        <f t="shared" si="2"/>
        <v>73.46369057</v>
      </c>
      <c r="F162" s="24">
        <f t="shared" si="3"/>
        <v>0.0002086006029</v>
      </c>
      <c r="G162" s="24">
        <f t="shared" si="4"/>
        <v>0</v>
      </c>
      <c r="H162" s="26">
        <f t="shared" si="5"/>
        <v>0</v>
      </c>
      <c r="I162" s="24">
        <f t="shared" si="6"/>
        <v>0</v>
      </c>
      <c r="J162" s="24">
        <f t="shared" si="7"/>
        <v>0</v>
      </c>
      <c r="K162" s="24"/>
      <c r="L162" s="24">
        <f t="shared" si="8"/>
        <v>505.0109994</v>
      </c>
      <c r="M162" s="14">
        <f t="shared" si="9"/>
        <v>437.615992</v>
      </c>
      <c r="N162" s="27">
        <f t="shared" si="10"/>
        <v>67.3950074</v>
      </c>
      <c r="O162" s="24"/>
      <c r="P162" s="24"/>
      <c r="Q162" s="24"/>
      <c r="R162" s="26"/>
      <c r="S162" s="14">
        <f t="shared" si="13"/>
        <v>61.88857467</v>
      </c>
      <c r="U162" s="21"/>
      <c r="V162" s="21"/>
    </row>
    <row r="163">
      <c r="A163" s="11">
        <v>151.0</v>
      </c>
      <c r="B163" s="11">
        <v>1.42005217391304E9</v>
      </c>
      <c r="C163" s="2">
        <v>-101.7137909</v>
      </c>
      <c r="D163" s="24">
        <f t="shared" si="1"/>
        <v>-347826.087</v>
      </c>
      <c r="E163" s="25">
        <f t="shared" si="2"/>
        <v>72.54539444</v>
      </c>
      <c r="F163" s="24">
        <f t="shared" si="3"/>
        <v>0.000208568009</v>
      </c>
      <c r="G163" s="24">
        <f t="shared" si="4"/>
        <v>0</v>
      </c>
      <c r="H163" s="26">
        <f t="shared" si="5"/>
        <v>0</v>
      </c>
      <c r="I163" s="24">
        <f t="shared" si="6"/>
        <v>0</v>
      </c>
      <c r="J163" s="24">
        <f t="shared" si="7"/>
        <v>0</v>
      </c>
      <c r="K163" s="24"/>
      <c r="L163" s="24">
        <f t="shared" si="8"/>
        <v>512.539189</v>
      </c>
      <c r="M163" s="14">
        <f t="shared" si="9"/>
        <v>437.5547453</v>
      </c>
      <c r="N163" s="27">
        <f t="shared" si="10"/>
        <v>74.98444369</v>
      </c>
      <c r="O163" s="24"/>
      <c r="P163" s="24"/>
      <c r="Q163" s="24"/>
      <c r="R163" s="26"/>
      <c r="S163" s="14">
        <f t="shared" si="13"/>
        <v>68.8579245</v>
      </c>
      <c r="U163" s="21"/>
      <c r="V163" s="21"/>
    </row>
    <row r="164">
      <c r="A164" s="11">
        <v>152.0</v>
      </c>
      <c r="B164" s="11">
        <v>1.42005652173913E9</v>
      </c>
      <c r="C164" s="2">
        <v>-101.716301</v>
      </c>
      <c r="D164" s="24">
        <f t="shared" si="1"/>
        <v>-343478.2609</v>
      </c>
      <c r="E164" s="25">
        <f t="shared" si="2"/>
        <v>71.62709831</v>
      </c>
      <c r="F164" s="24">
        <f t="shared" si="3"/>
        <v>0.00020853459</v>
      </c>
      <c r="G164" s="24">
        <f t="shared" si="4"/>
        <v>0</v>
      </c>
      <c r="H164" s="26">
        <f t="shared" si="5"/>
        <v>0</v>
      </c>
      <c r="I164" s="24">
        <f t="shared" si="6"/>
        <v>0</v>
      </c>
      <c r="J164" s="24">
        <f t="shared" si="7"/>
        <v>0</v>
      </c>
      <c r="K164" s="24"/>
      <c r="L164" s="24">
        <f t="shared" si="8"/>
        <v>512.2430414</v>
      </c>
      <c r="M164" s="14">
        <f t="shared" si="9"/>
        <v>437.4933669</v>
      </c>
      <c r="N164" s="27">
        <f t="shared" si="10"/>
        <v>74.74967446</v>
      </c>
      <c r="O164" s="24"/>
      <c r="P164" s="24"/>
      <c r="Q164" s="24"/>
      <c r="R164" s="26"/>
      <c r="S164" s="14">
        <f t="shared" si="13"/>
        <v>68.64233698</v>
      </c>
      <c r="U164" s="21"/>
      <c r="V164" s="21"/>
    </row>
    <row r="165">
      <c r="A165" s="11">
        <v>153.0</v>
      </c>
      <c r="B165" s="11">
        <v>1.42006086956521E9</v>
      </c>
      <c r="C165" s="2">
        <v>-101.6990051</v>
      </c>
      <c r="D165" s="24">
        <f t="shared" si="1"/>
        <v>-339130.4348</v>
      </c>
      <c r="E165" s="25">
        <f t="shared" si="2"/>
        <v>70.70880218</v>
      </c>
      <c r="F165" s="24">
        <f t="shared" si="3"/>
        <v>0.0002085003141</v>
      </c>
      <c r="G165" s="24">
        <f t="shared" si="4"/>
        <v>0</v>
      </c>
      <c r="H165" s="26">
        <f t="shared" si="5"/>
        <v>0</v>
      </c>
      <c r="I165" s="24">
        <f t="shared" si="6"/>
        <v>0</v>
      </c>
      <c r="J165" s="24">
        <f t="shared" si="7"/>
        <v>0</v>
      </c>
      <c r="K165" s="24"/>
      <c r="L165" s="24">
        <f t="shared" si="8"/>
        <v>514.2871313</v>
      </c>
      <c r="M165" s="14">
        <f t="shared" si="9"/>
        <v>437.4318555</v>
      </c>
      <c r="N165" s="27">
        <f t="shared" si="10"/>
        <v>76.85527578</v>
      </c>
      <c r="O165" s="24"/>
      <c r="P165" s="24"/>
      <c r="Q165" s="24"/>
      <c r="R165" s="26"/>
      <c r="S165" s="14">
        <f t="shared" si="13"/>
        <v>70.57590254</v>
      </c>
      <c r="U165" s="21"/>
      <c r="V165" s="21"/>
    </row>
    <row r="166">
      <c r="A166" s="11">
        <v>154.0</v>
      </c>
      <c r="B166" s="11">
        <v>1.4200652173913E9</v>
      </c>
      <c r="C166" s="2">
        <v>-101.7599792</v>
      </c>
      <c r="D166" s="24">
        <f t="shared" si="1"/>
        <v>-334782.6087</v>
      </c>
      <c r="E166" s="25">
        <f t="shared" si="2"/>
        <v>69.79050604</v>
      </c>
      <c r="F166" s="24">
        <f t="shared" si="3"/>
        <v>0.0002084651479</v>
      </c>
      <c r="G166" s="24">
        <f t="shared" si="4"/>
        <v>0</v>
      </c>
      <c r="H166" s="26">
        <f t="shared" si="5"/>
        <v>0</v>
      </c>
      <c r="I166" s="24">
        <f t="shared" si="6"/>
        <v>0</v>
      </c>
      <c r="J166" s="24">
        <f t="shared" si="7"/>
        <v>0</v>
      </c>
      <c r="K166" s="24"/>
      <c r="L166" s="24">
        <f t="shared" si="8"/>
        <v>507.1170909</v>
      </c>
      <c r="M166" s="14">
        <f t="shared" si="9"/>
        <v>437.37021</v>
      </c>
      <c r="N166" s="27">
        <f t="shared" si="10"/>
        <v>69.74688085</v>
      </c>
      <c r="O166" s="24"/>
      <c r="P166" s="24"/>
      <c r="Q166" s="24"/>
      <c r="R166" s="26"/>
      <c r="S166" s="14">
        <f t="shared" si="13"/>
        <v>64.04829081</v>
      </c>
      <c r="U166" s="21"/>
      <c r="V166" s="21"/>
    </row>
    <row r="167">
      <c r="A167" s="11">
        <v>155.0</v>
      </c>
      <c r="B167" s="11">
        <v>1.42006956521739E9</v>
      </c>
      <c r="C167" s="2">
        <v>-101.7105331</v>
      </c>
      <c r="D167" s="24">
        <f t="shared" si="1"/>
        <v>-330434.7826</v>
      </c>
      <c r="E167" s="25">
        <f t="shared" si="2"/>
        <v>68.87220991</v>
      </c>
      <c r="F167" s="24">
        <f t="shared" si="3"/>
        <v>0.0002084290563</v>
      </c>
      <c r="G167" s="24">
        <f t="shared" si="4"/>
        <v>0</v>
      </c>
      <c r="H167" s="26">
        <f t="shared" si="5"/>
        <v>0</v>
      </c>
      <c r="I167" s="24">
        <f t="shared" si="6"/>
        <v>0</v>
      </c>
      <c r="J167" s="24">
        <f t="shared" si="7"/>
        <v>0</v>
      </c>
      <c r="K167" s="24"/>
      <c r="L167" s="24">
        <f t="shared" si="8"/>
        <v>512.9238074</v>
      </c>
      <c r="M167" s="14">
        <f t="shared" si="9"/>
        <v>437.3084291</v>
      </c>
      <c r="N167" s="27">
        <f t="shared" si="10"/>
        <v>75.61537833</v>
      </c>
      <c r="O167" s="24"/>
      <c r="P167" s="24"/>
      <c r="Q167" s="24"/>
      <c r="R167" s="26"/>
      <c r="S167" s="14">
        <f t="shared" si="13"/>
        <v>69.4373095</v>
      </c>
      <c r="U167" s="21"/>
      <c r="V167" s="21"/>
    </row>
    <row r="168">
      <c r="A168" s="11">
        <v>156.0</v>
      </c>
      <c r="B168" s="11">
        <v>1.42007391304347E9</v>
      </c>
      <c r="C168" s="2">
        <v>-101.6900177</v>
      </c>
      <c r="D168" s="24">
        <f t="shared" si="1"/>
        <v>-326086.9565</v>
      </c>
      <c r="E168" s="25">
        <f t="shared" si="2"/>
        <v>67.95391378</v>
      </c>
      <c r="F168" s="24">
        <f t="shared" si="3"/>
        <v>0.0002083920023</v>
      </c>
      <c r="G168" s="24">
        <f t="shared" si="4"/>
        <v>0</v>
      </c>
      <c r="H168" s="26">
        <f t="shared" si="5"/>
        <v>0</v>
      </c>
      <c r="I168" s="24">
        <f t="shared" si="6"/>
        <v>0</v>
      </c>
      <c r="J168" s="24">
        <f t="shared" si="7"/>
        <v>0</v>
      </c>
      <c r="K168" s="24"/>
      <c r="L168" s="24">
        <f t="shared" si="8"/>
        <v>515.3525121</v>
      </c>
      <c r="M168" s="14">
        <f t="shared" si="9"/>
        <v>437.2465116</v>
      </c>
      <c r="N168" s="27">
        <f t="shared" si="10"/>
        <v>78.10600047</v>
      </c>
      <c r="O168" s="24"/>
      <c r="P168" s="24"/>
      <c r="Q168" s="24"/>
      <c r="R168" s="26"/>
      <c r="S168" s="14">
        <f t="shared" si="13"/>
        <v>71.72443818</v>
      </c>
      <c r="U168" s="21"/>
      <c r="V168" s="21"/>
    </row>
    <row r="169">
      <c r="A169" s="11">
        <v>157.0</v>
      </c>
      <c r="B169" s="11">
        <v>1.42007826086956E9</v>
      </c>
      <c r="C169" s="2">
        <v>-101.6638794</v>
      </c>
      <c r="D169" s="24">
        <f t="shared" si="1"/>
        <v>-321739.1304</v>
      </c>
      <c r="E169" s="25">
        <f t="shared" si="2"/>
        <v>67.03561765</v>
      </c>
      <c r="F169" s="24">
        <f t="shared" si="3"/>
        <v>0.0002083539467</v>
      </c>
      <c r="G169" s="24">
        <f t="shared" si="4"/>
        <v>0</v>
      </c>
      <c r="H169" s="26">
        <f t="shared" si="5"/>
        <v>0</v>
      </c>
      <c r="I169" s="24">
        <f t="shared" si="6"/>
        <v>0</v>
      </c>
      <c r="J169" s="24">
        <f t="shared" si="7"/>
        <v>0</v>
      </c>
      <c r="K169" s="24"/>
      <c r="L169" s="24">
        <f t="shared" si="8"/>
        <v>518.4635478</v>
      </c>
      <c r="M169" s="14">
        <f t="shared" si="9"/>
        <v>437.1844564</v>
      </c>
      <c r="N169" s="27">
        <f t="shared" si="10"/>
        <v>81.2790914</v>
      </c>
      <c r="O169" s="24"/>
      <c r="P169" s="24"/>
      <c r="Q169" s="24"/>
      <c r="R169" s="26"/>
      <c r="S169" s="14">
        <f t="shared" si="13"/>
        <v>74.63827513</v>
      </c>
      <c r="U169" s="21"/>
      <c r="V169" s="21"/>
    </row>
    <row r="170">
      <c r="A170" s="11">
        <v>158.0</v>
      </c>
      <c r="B170" s="11">
        <v>1.42008260869565E9</v>
      </c>
      <c r="C170" s="2">
        <v>-101.6339493</v>
      </c>
      <c r="D170" s="24">
        <f t="shared" si="1"/>
        <v>-317391.3043</v>
      </c>
      <c r="E170" s="25">
        <f t="shared" si="2"/>
        <v>66.11732152</v>
      </c>
      <c r="F170" s="24">
        <f t="shared" si="3"/>
        <v>0.0002083148486</v>
      </c>
      <c r="G170" s="24">
        <f t="shared" si="4"/>
        <v>0</v>
      </c>
      <c r="H170" s="26">
        <f t="shared" si="5"/>
        <v>0</v>
      </c>
      <c r="I170" s="24">
        <f t="shared" si="6"/>
        <v>0</v>
      </c>
      <c r="J170" s="24">
        <f t="shared" si="7"/>
        <v>0</v>
      </c>
      <c r="K170" s="24"/>
      <c r="L170" s="24">
        <f t="shared" si="8"/>
        <v>522.048963</v>
      </c>
      <c r="M170" s="14">
        <f t="shared" si="9"/>
        <v>437.1222622</v>
      </c>
      <c r="N170" s="27">
        <f t="shared" si="10"/>
        <v>84.92670076</v>
      </c>
      <c r="O170" s="24"/>
      <c r="P170" s="24"/>
      <c r="Q170" s="24"/>
      <c r="R170" s="26"/>
      <c r="S170" s="14">
        <f t="shared" si="13"/>
        <v>77.98786088</v>
      </c>
      <c r="U170" s="21"/>
      <c r="V170" s="21"/>
    </row>
    <row r="171">
      <c r="A171" s="11">
        <v>159.0</v>
      </c>
      <c r="B171" s="11">
        <v>1.42008695652173E9</v>
      </c>
      <c r="C171" s="2">
        <v>-101.6788406</v>
      </c>
      <c r="D171" s="24">
        <f t="shared" si="1"/>
        <v>-313043.4783</v>
      </c>
      <c r="E171" s="25">
        <f t="shared" si="2"/>
        <v>65.19902538</v>
      </c>
      <c r="F171" s="24">
        <f t="shared" si="3"/>
        <v>0.0002082746644</v>
      </c>
      <c r="G171" s="24">
        <f t="shared" si="4"/>
        <v>0</v>
      </c>
      <c r="H171" s="26">
        <f t="shared" si="5"/>
        <v>0</v>
      </c>
      <c r="I171" s="24">
        <f t="shared" si="6"/>
        <v>0</v>
      </c>
      <c r="J171" s="24">
        <f t="shared" si="7"/>
        <v>0</v>
      </c>
      <c r="K171" s="24"/>
      <c r="L171" s="24">
        <f t="shared" si="8"/>
        <v>516.6805431</v>
      </c>
      <c r="M171" s="14">
        <f t="shared" si="9"/>
        <v>437.0599278</v>
      </c>
      <c r="N171" s="27">
        <f t="shared" si="10"/>
        <v>79.62061526</v>
      </c>
      <c r="O171" s="24"/>
      <c r="P171" s="24"/>
      <c r="Q171" s="24"/>
      <c r="R171" s="26"/>
      <c r="S171" s="14">
        <f t="shared" si="13"/>
        <v>73.11530308</v>
      </c>
      <c r="U171" s="21"/>
      <c r="V171" s="21"/>
    </row>
    <row r="172">
      <c r="A172" s="11">
        <v>160.0</v>
      </c>
      <c r="B172" s="11">
        <v>1.42009130434782E9</v>
      </c>
      <c r="C172" s="2">
        <v>-101.6714783</v>
      </c>
      <c r="D172" s="24">
        <f t="shared" si="1"/>
        <v>-308695.6522</v>
      </c>
      <c r="E172" s="25">
        <f t="shared" si="2"/>
        <v>64.28072925</v>
      </c>
      <c r="F172" s="24">
        <f t="shared" si="3"/>
        <v>0.0002082333483</v>
      </c>
      <c r="G172" s="24">
        <f t="shared" si="4"/>
        <v>0</v>
      </c>
      <c r="H172" s="26">
        <f t="shared" si="5"/>
        <v>0</v>
      </c>
      <c r="I172" s="24">
        <f t="shared" si="6"/>
        <v>0</v>
      </c>
      <c r="J172" s="24">
        <f t="shared" si="7"/>
        <v>0</v>
      </c>
      <c r="K172" s="24"/>
      <c r="L172" s="24">
        <f t="shared" si="8"/>
        <v>517.5571794</v>
      </c>
      <c r="M172" s="14">
        <f t="shared" si="9"/>
        <v>436.997452</v>
      </c>
      <c r="N172" s="27">
        <f t="shared" si="10"/>
        <v>80.55972739</v>
      </c>
      <c r="O172" s="24"/>
      <c r="P172" s="24"/>
      <c r="Q172" s="24"/>
      <c r="R172" s="26"/>
      <c r="S172" s="14">
        <f t="shared" si="13"/>
        <v>73.97768612</v>
      </c>
      <c r="U172" s="21"/>
      <c r="V172" s="21"/>
    </row>
    <row r="173">
      <c r="A173" s="11">
        <v>161.0</v>
      </c>
      <c r="B173" s="11">
        <v>1.42009565217391E9</v>
      </c>
      <c r="C173" s="2">
        <v>-101.7200165</v>
      </c>
      <c r="D173" s="24">
        <f t="shared" si="1"/>
        <v>-304347.8261</v>
      </c>
      <c r="E173" s="25">
        <f t="shared" si="2"/>
        <v>63.36243312</v>
      </c>
      <c r="F173" s="24">
        <f t="shared" si="3"/>
        <v>0.0002081908517</v>
      </c>
      <c r="G173" s="24">
        <f t="shared" si="4"/>
        <v>0</v>
      </c>
      <c r="H173" s="26">
        <f t="shared" si="5"/>
        <v>0</v>
      </c>
      <c r="I173" s="24">
        <f t="shared" si="6"/>
        <v>0</v>
      </c>
      <c r="J173" s="24">
        <f t="shared" si="7"/>
        <v>0</v>
      </c>
      <c r="K173" s="24"/>
      <c r="L173" s="24">
        <f t="shared" si="8"/>
        <v>511.8049918</v>
      </c>
      <c r="M173" s="14">
        <f t="shared" si="9"/>
        <v>436.9348336</v>
      </c>
      <c r="N173" s="27">
        <f t="shared" si="10"/>
        <v>74.87015815</v>
      </c>
      <c r="O173" s="24"/>
      <c r="P173" s="24"/>
      <c r="Q173" s="24"/>
      <c r="R173" s="26"/>
      <c r="S173" s="14">
        <f t="shared" si="13"/>
        <v>68.75297653</v>
      </c>
      <c r="U173" s="21"/>
      <c r="V173" s="21"/>
    </row>
    <row r="174">
      <c r="A174" s="11">
        <v>162.0</v>
      </c>
      <c r="B174" s="11">
        <v>1.4201E9</v>
      </c>
      <c r="C174" s="2">
        <v>-101.7069931</v>
      </c>
      <c r="D174" s="24">
        <f t="shared" si="1"/>
        <v>-300000</v>
      </c>
      <c r="E174" s="25">
        <f t="shared" si="2"/>
        <v>62.44413699</v>
      </c>
      <c r="F174" s="24">
        <f t="shared" si="3"/>
        <v>0.0002081471233</v>
      </c>
      <c r="G174" s="24">
        <f t="shared" si="4"/>
        <v>0</v>
      </c>
      <c r="H174" s="26">
        <f t="shared" si="5"/>
        <v>0</v>
      </c>
      <c r="I174" s="24">
        <f t="shared" si="6"/>
        <v>0</v>
      </c>
      <c r="J174" s="24">
        <f t="shared" si="7"/>
        <v>0</v>
      </c>
      <c r="K174" s="24"/>
      <c r="L174" s="24">
        <f t="shared" si="8"/>
        <v>513.3420698</v>
      </c>
      <c r="M174" s="14">
        <f t="shared" si="9"/>
        <v>436.8720715</v>
      </c>
      <c r="N174" s="27">
        <f t="shared" si="10"/>
        <v>76.46999837</v>
      </c>
      <c r="O174" s="24"/>
      <c r="P174" s="24"/>
      <c r="Q174" s="24"/>
      <c r="R174" s="26"/>
      <c r="S174" s="14">
        <f t="shared" si="13"/>
        <v>70.22210377</v>
      </c>
      <c r="U174" s="21"/>
      <c r="V174" s="21"/>
    </row>
    <row r="175">
      <c r="A175" s="11">
        <v>163.0</v>
      </c>
      <c r="B175" s="11">
        <v>1.42010434782608E9</v>
      </c>
      <c r="C175" s="2">
        <v>-101.675705</v>
      </c>
      <c r="D175" s="24">
        <f t="shared" si="1"/>
        <v>-295652.1739</v>
      </c>
      <c r="E175" s="25">
        <f t="shared" si="2"/>
        <v>61.52584085</v>
      </c>
      <c r="F175" s="24">
        <f t="shared" si="3"/>
        <v>0.0002081021088</v>
      </c>
      <c r="G175" s="24">
        <f t="shared" si="4"/>
        <v>0</v>
      </c>
      <c r="H175" s="26">
        <f t="shared" si="5"/>
        <v>0</v>
      </c>
      <c r="I175" s="24">
        <f t="shared" si="6"/>
        <v>0</v>
      </c>
      <c r="J175" s="24">
        <f t="shared" si="7"/>
        <v>0</v>
      </c>
      <c r="K175" s="24"/>
      <c r="L175" s="24">
        <f t="shared" si="8"/>
        <v>517.0537204</v>
      </c>
      <c r="M175" s="14">
        <f t="shared" si="9"/>
        <v>436.8091643</v>
      </c>
      <c r="N175" s="27">
        <f t="shared" si="10"/>
        <v>80.2445561</v>
      </c>
      <c r="O175" s="24"/>
      <c r="P175" s="24"/>
      <c r="Q175" s="24"/>
      <c r="R175" s="26"/>
      <c r="S175" s="14">
        <f t="shared" si="13"/>
        <v>73.68826555</v>
      </c>
      <c r="U175" s="21"/>
      <c r="V175" s="21"/>
    </row>
    <row r="176">
      <c r="A176" s="11">
        <v>164.0</v>
      </c>
      <c r="B176" s="11">
        <v>1.42010869565217E9</v>
      </c>
      <c r="C176" s="2">
        <v>-101.7229004</v>
      </c>
      <c r="D176" s="24">
        <f t="shared" si="1"/>
        <v>-291304.3478</v>
      </c>
      <c r="E176" s="25">
        <f t="shared" si="2"/>
        <v>60.60754472</v>
      </c>
      <c r="F176" s="24">
        <f t="shared" si="3"/>
        <v>0.0002080557505</v>
      </c>
      <c r="G176" s="24">
        <f t="shared" si="4"/>
        <v>0</v>
      </c>
      <c r="H176" s="26">
        <f t="shared" si="5"/>
        <v>0</v>
      </c>
      <c r="I176" s="24">
        <f t="shared" si="6"/>
        <v>0</v>
      </c>
      <c r="J176" s="24">
        <f t="shared" si="7"/>
        <v>0</v>
      </c>
      <c r="K176" s="24"/>
      <c r="L176" s="24">
        <f t="shared" si="8"/>
        <v>511.4652443</v>
      </c>
      <c r="M176" s="14">
        <f t="shared" si="9"/>
        <v>436.7461109</v>
      </c>
      <c r="N176" s="27">
        <f t="shared" si="10"/>
        <v>74.71913344</v>
      </c>
      <c r="O176" s="24"/>
      <c r="P176" s="24"/>
      <c r="Q176" s="24"/>
      <c r="R176" s="26"/>
      <c r="S176" s="14">
        <f t="shared" si="13"/>
        <v>68.61429112</v>
      </c>
      <c r="U176" s="21"/>
      <c r="V176" s="21"/>
    </row>
    <row r="177">
      <c r="A177" s="11">
        <v>165.0</v>
      </c>
      <c r="B177" s="11">
        <v>1.42011304347826E9</v>
      </c>
      <c r="C177" s="2">
        <v>-101.7158356</v>
      </c>
      <c r="D177" s="24">
        <f t="shared" si="1"/>
        <v>-286956.5217</v>
      </c>
      <c r="E177" s="25">
        <f t="shared" si="2"/>
        <v>59.68924859</v>
      </c>
      <c r="F177" s="24">
        <f t="shared" si="3"/>
        <v>0.0002080079875</v>
      </c>
      <c r="G177" s="24">
        <f t="shared" si="4"/>
        <v>0</v>
      </c>
      <c r="H177" s="26">
        <f t="shared" si="5"/>
        <v>0</v>
      </c>
      <c r="I177" s="24">
        <f t="shared" si="6"/>
        <v>0</v>
      </c>
      <c r="J177" s="24">
        <f t="shared" si="7"/>
        <v>0</v>
      </c>
      <c r="K177" s="24"/>
      <c r="L177" s="24">
        <f t="shared" si="8"/>
        <v>512.2979375</v>
      </c>
      <c r="M177" s="14">
        <f t="shared" si="9"/>
        <v>436.6829101</v>
      </c>
      <c r="N177" s="27">
        <f t="shared" si="10"/>
        <v>75.61502737</v>
      </c>
      <c r="O177" s="24"/>
      <c r="P177" s="24"/>
      <c r="Q177" s="24"/>
      <c r="R177" s="26"/>
      <c r="S177" s="14">
        <f t="shared" si="13"/>
        <v>69.43698721</v>
      </c>
      <c r="U177" s="21"/>
      <c r="V177" s="21"/>
    </row>
    <row r="178">
      <c r="A178" s="11">
        <v>166.0</v>
      </c>
      <c r="B178" s="11">
        <v>1.42011739130434E9</v>
      </c>
      <c r="C178" s="2">
        <v>-101.7176056</v>
      </c>
      <c r="D178" s="24">
        <f t="shared" si="1"/>
        <v>-282608.6957</v>
      </c>
      <c r="E178" s="25">
        <f t="shared" si="2"/>
        <v>58.77095246</v>
      </c>
      <c r="F178" s="24">
        <f t="shared" si="3"/>
        <v>0.0002079587548</v>
      </c>
      <c r="G178" s="24">
        <f t="shared" si="4"/>
        <v>0</v>
      </c>
      <c r="H178" s="26">
        <f t="shared" si="5"/>
        <v>0</v>
      </c>
      <c r="I178" s="24">
        <f t="shared" si="6"/>
        <v>0</v>
      </c>
      <c r="J178" s="24">
        <f t="shared" si="7"/>
        <v>0</v>
      </c>
      <c r="K178" s="24"/>
      <c r="L178" s="24">
        <f t="shared" si="8"/>
        <v>512.0891891</v>
      </c>
      <c r="M178" s="14">
        <f t="shared" si="9"/>
        <v>436.6195607</v>
      </c>
      <c r="N178" s="27">
        <f t="shared" si="10"/>
        <v>75.46962844</v>
      </c>
      <c r="O178" s="24"/>
      <c r="P178" s="24"/>
      <c r="Q178" s="24"/>
      <c r="R178" s="26"/>
      <c r="S178" s="14">
        <f t="shared" si="13"/>
        <v>69.30346794</v>
      </c>
      <c r="U178" s="21"/>
      <c r="V178" s="21"/>
    </row>
    <row r="179">
      <c r="A179" s="11">
        <v>167.0</v>
      </c>
      <c r="B179" s="11">
        <v>1.42012173913043E9</v>
      </c>
      <c r="C179" s="2">
        <v>-101.7380829</v>
      </c>
      <c r="D179" s="24">
        <f t="shared" si="1"/>
        <v>-278260.8696</v>
      </c>
      <c r="E179" s="25">
        <f t="shared" si="2"/>
        <v>57.85265632</v>
      </c>
      <c r="F179" s="24">
        <f t="shared" si="3"/>
        <v>0.0002079079837</v>
      </c>
      <c r="G179" s="24">
        <f t="shared" si="4"/>
        <v>0</v>
      </c>
      <c r="H179" s="26">
        <f t="shared" si="5"/>
        <v>0</v>
      </c>
      <c r="I179" s="24">
        <f t="shared" si="6"/>
        <v>0</v>
      </c>
      <c r="J179" s="24">
        <f t="shared" si="7"/>
        <v>0</v>
      </c>
      <c r="K179" s="24"/>
      <c r="L179" s="24">
        <f t="shared" si="8"/>
        <v>509.6803348</v>
      </c>
      <c r="M179" s="14">
        <f t="shared" si="9"/>
        <v>436.5560614</v>
      </c>
      <c r="N179" s="27">
        <f t="shared" si="10"/>
        <v>73.12427342</v>
      </c>
      <c r="O179" s="24"/>
      <c r="P179" s="24"/>
      <c r="Q179" s="24"/>
      <c r="R179" s="26"/>
      <c r="S179" s="14">
        <f t="shared" si="13"/>
        <v>67.14973734</v>
      </c>
      <c r="U179" s="21"/>
      <c r="V179" s="21"/>
    </row>
    <row r="180">
      <c r="A180" s="11">
        <v>168.0</v>
      </c>
      <c r="B180" s="11">
        <v>1.42012608695652E9</v>
      </c>
      <c r="C180" s="2">
        <v>-101.7494202</v>
      </c>
      <c r="D180" s="24">
        <f t="shared" si="1"/>
        <v>-273913.0435</v>
      </c>
      <c r="E180" s="25">
        <f t="shared" si="2"/>
        <v>56.93436019</v>
      </c>
      <c r="F180" s="24">
        <f t="shared" si="3"/>
        <v>0.0002078556007</v>
      </c>
      <c r="G180" s="24">
        <f t="shared" si="4"/>
        <v>0</v>
      </c>
      <c r="H180" s="26">
        <f t="shared" si="5"/>
        <v>0</v>
      </c>
      <c r="I180" s="24">
        <f t="shared" si="6"/>
        <v>0</v>
      </c>
      <c r="J180" s="24">
        <f t="shared" si="7"/>
        <v>0</v>
      </c>
      <c r="K180" s="24"/>
      <c r="L180" s="24">
        <f t="shared" si="8"/>
        <v>508.3515445</v>
      </c>
      <c r="M180" s="14">
        <f t="shared" si="9"/>
        <v>436.4924111</v>
      </c>
      <c r="N180" s="27">
        <f t="shared" si="10"/>
        <v>71.85913336</v>
      </c>
      <c r="O180" s="24"/>
      <c r="P180" s="24"/>
      <c r="Q180" s="24"/>
      <c r="R180" s="26"/>
      <c r="S180" s="14">
        <f t="shared" si="13"/>
        <v>65.98796427</v>
      </c>
      <c r="U180" s="21"/>
      <c r="V180" s="21"/>
    </row>
    <row r="181">
      <c r="A181" s="11">
        <v>169.0</v>
      </c>
      <c r="B181" s="11">
        <v>1.4201304347826E9</v>
      </c>
      <c r="C181" s="2">
        <v>-101.6863098</v>
      </c>
      <c r="D181" s="24">
        <f t="shared" si="1"/>
        <v>-269565.2174</v>
      </c>
      <c r="E181" s="25">
        <f t="shared" si="2"/>
        <v>56.01606406</v>
      </c>
      <c r="F181" s="24">
        <f t="shared" si="3"/>
        <v>0.000207801528</v>
      </c>
      <c r="G181" s="24">
        <f t="shared" si="4"/>
        <v>0</v>
      </c>
      <c r="H181" s="26">
        <f t="shared" si="5"/>
        <v>0</v>
      </c>
      <c r="I181" s="24">
        <f t="shared" si="6"/>
        <v>0</v>
      </c>
      <c r="J181" s="24">
        <f t="shared" si="7"/>
        <v>0</v>
      </c>
      <c r="K181" s="24"/>
      <c r="L181" s="24">
        <f t="shared" si="8"/>
        <v>515.7926954</v>
      </c>
      <c r="M181" s="14">
        <f t="shared" si="9"/>
        <v>436.4286086</v>
      </c>
      <c r="N181" s="27">
        <f t="shared" si="10"/>
        <v>79.36408675</v>
      </c>
      <c r="O181" s="24"/>
      <c r="P181" s="24"/>
      <c r="Q181" s="24"/>
      <c r="R181" s="26"/>
      <c r="S181" s="14">
        <f t="shared" si="13"/>
        <v>72.87973394</v>
      </c>
      <c r="U181" s="21"/>
      <c r="V181" s="21"/>
    </row>
    <row r="182">
      <c r="A182" s="11">
        <v>170.0</v>
      </c>
      <c r="B182" s="11">
        <v>1.42013478260869E9</v>
      </c>
      <c r="C182" s="2">
        <v>-101.7422409</v>
      </c>
      <c r="D182" s="24">
        <f t="shared" si="1"/>
        <v>-265217.3913</v>
      </c>
      <c r="E182" s="25">
        <f t="shared" si="2"/>
        <v>55.09776793</v>
      </c>
      <c r="F182" s="24">
        <f t="shared" si="3"/>
        <v>0.0002077456823</v>
      </c>
      <c r="G182" s="24">
        <f t="shared" si="4"/>
        <v>0</v>
      </c>
      <c r="H182" s="26">
        <f t="shared" si="5"/>
        <v>0</v>
      </c>
      <c r="I182" s="24">
        <f t="shared" si="6"/>
        <v>0</v>
      </c>
      <c r="J182" s="24">
        <f t="shared" si="7"/>
        <v>0</v>
      </c>
      <c r="K182" s="24"/>
      <c r="L182" s="24">
        <f t="shared" si="8"/>
        <v>509.1925928</v>
      </c>
      <c r="M182" s="14">
        <f t="shared" si="9"/>
        <v>436.3646526</v>
      </c>
      <c r="N182" s="27">
        <f t="shared" si="10"/>
        <v>72.82794017</v>
      </c>
      <c r="O182" s="24"/>
      <c r="P182" s="24"/>
      <c r="Q182" s="24"/>
      <c r="R182" s="26"/>
      <c r="S182" s="14">
        <f t="shared" si="13"/>
        <v>66.87761581</v>
      </c>
      <c r="U182" s="21"/>
      <c r="V182" s="21"/>
    </row>
    <row r="183">
      <c r="A183" s="11">
        <v>171.0</v>
      </c>
      <c r="B183" s="11">
        <v>1.42013913043478E9</v>
      </c>
      <c r="C183" s="2">
        <v>-101.6716766</v>
      </c>
      <c r="D183" s="24">
        <f t="shared" si="1"/>
        <v>-260869.5652</v>
      </c>
      <c r="E183" s="25">
        <f t="shared" si="2"/>
        <v>54.1794718</v>
      </c>
      <c r="F183" s="24">
        <f t="shared" si="3"/>
        <v>0.0002076879752</v>
      </c>
      <c r="G183" s="24">
        <f t="shared" si="4"/>
        <v>0</v>
      </c>
      <c r="H183" s="26">
        <f t="shared" si="5"/>
        <v>0</v>
      </c>
      <c r="I183" s="24">
        <f t="shared" si="6"/>
        <v>0</v>
      </c>
      <c r="J183" s="24">
        <f t="shared" si="7"/>
        <v>0</v>
      </c>
      <c r="K183" s="24"/>
      <c r="L183" s="24">
        <f t="shared" si="8"/>
        <v>517.5335482</v>
      </c>
      <c r="M183" s="14">
        <f t="shared" si="9"/>
        <v>436.300542</v>
      </c>
      <c r="N183" s="27">
        <f t="shared" si="10"/>
        <v>81.23300611</v>
      </c>
      <c r="O183" s="24"/>
      <c r="P183" s="24"/>
      <c r="Q183" s="24"/>
      <c r="R183" s="26"/>
      <c r="S183" s="14">
        <f t="shared" si="13"/>
        <v>74.5959552</v>
      </c>
      <c r="U183" s="21"/>
      <c r="V183" s="21"/>
    </row>
    <row r="184">
      <c r="A184" s="11">
        <v>172.0</v>
      </c>
      <c r="B184" s="11">
        <v>1.42014347826087E9</v>
      </c>
      <c r="C184" s="2">
        <v>-101.75457</v>
      </c>
      <c r="D184" s="24">
        <f t="shared" si="1"/>
        <v>-256521.7391</v>
      </c>
      <c r="E184" s="25">
        <f t="shared" si="2"/>
        <v>53.26117567</v>
      </c>
      <c r="F184" s="24">
        <f t="shared" si="3"/>
        <v>0.0002076283119</v>
      </c>
      <c r="G184" s="24">
        <f t="shared" si="4"/>
        <v>0</v>
      </c>
      <c r="H184" s="26">
        <f t="shared" si="5"/>
        <v>0</v>
      </c>
      <c r="I184" s="24">
        <f t="shared" si="6"/>
        <v>0</v>
      </c>
      <c r="J184" s="24">
        <f t="shared" si="7"/>
        <v>0</v>
      </c>
      <c r="K184" s="24"/>
      <c r="L184" s="24">
        <f t="shared" si="8"/>
        <v>507.749106</v>
      </c>
      <c r="M184" s="14">
        <f t="shared" si="9"/>
        <v>436.2362756</v>
      </c>
      <c r="N184" s="27">
        <f t="shared" si="10"/>
        <v>71.51283038</v>
      </c>
      <c r="O184" s="24"/>
      <c r="P184" s="24"/>
      <c r="Q184" s="24"/>
      <c r="R184" s="26"/>
      <c r="S184" s="14">
        <f t="shared" si="13"/>
        <v>65.66995558</v>
      </c>
      <c r="U184" s="21"/>
      <c r="V184" s="21"/>
    </row>
    <row r="185">
      <c r="A185" s="11">
        <v>173.0</v>
      </c>
      <c r="B185" s="11">
        <v>1.42014782608695E9</v>
      </c>
      <c r="C185" s="2">
        <v>-101.7422638</v>
      </c>
      <c r="D185" s="24">
        <f t="shared" si="1"/>
        <v>-252173.913</v>
      </c>
      <c r="E185" s="25">
        <f t="shared" si="2"/>
        <v>52.34287953</v>
      </c>
      <c r="F185" s="24">
        <f t="shared" si="3"/>
        <v>0.0002075665912</v>
      </c>
      <c r="G185" s="24">
        <f t="shared" si="4"/>
        <v>0</v>
      </c>
      <c r="H185" s="26">
        <f t="shared" si="5"/>
        <v>0</v>
      </c>
      <c r="I185" s="24">
        <f t="shared" si="6"/>
        <v>0</v>
      </c>
      <c r="J185" s="24">
        <f t="shared" si="7"/>
        <v>0</v>
      </c>
      <c r="K185" s="24"/>
      <c r="L185" s="24">
        <f t="shared" si="8"/>
        <v>509.1899079</v>
      </c>
      <c r="M185" s="14">
        <f t="shared" si="9"/>
        <v>436.1718521</v>
      </c>
      <c r="N185" s="27">
        <f t="shared" si="10"/>
        <v>73.01805582</v>
      </c>
      <c r="O185" s="24"/>
      <c r="P185" s="24"/>
      <c r="Q185" s="24"/>
      <c r="R185" s="26"/>
      <c r="S185" s="14">
        <f t="shared" si="13"/>
        <v>67.05219828</v>
      </c>
      <c r="U185" s="21"/>
      <c r="V185" s="21"/>
    </row>
    <row r="186">
      <c r="A186" s="11">
        <v>174.0</v>
      </c>
      <c r="B186" s="11">
        <v>1.42015217391304E9</v>
      </c>
      <c r="C186" s="2">
        <v>-101.6774139</v>
      </c>
      <c r="D186" s="24">
        <f t="shared" si="1"/>
        <v>-247826.087</v>
      </c>
      <c r="E186" s="25">
        <f t="shared" si="2"/>
        <v>51.4245834</v>
      </c>
      <c r="F186" s="24">
        <f t="shared" si="3"/>
        <v>0.0002075027049</v>
      </c>
      <c r="G186" s="24">
        <f t="shared" si="4"/>
        <v>0</v>
      </c>
      <c r="H186" s="26">
        <f t="shared" si="5"/>
        <v>0</v>
      </c>
      <c r="I186" s="24">
        <f t="shared" si="6"/>
        <v>0</v>
      </c>
      <c r="J186" s="24">
        <f t="shared" si="7"/>
        <v>0</v>
      </c>
      <c r="K186" s="24"/>
      <c r="L186" s="24">
        <f t="shared" si="8"/>
        <v>516.8503056</v>
      </c>
      <c r="M186" s="14">
        <f t="shared" si="9"/>
        <v>436.1072703</v>
      </c>
      <c r="N186" s="27">
        <f t="shared" si="10"/>
        <v>80.74303528</v>
      </c>
      <c r="O186" s="24"/>
      <c r="P186" s="24"/>
      <c r="Q186" s="24"/>
      <c r="R186" s="26"/>
      <c r="S186" s="14">
        <f t="shared" si="13"/>
        <v>74.14601688</v>
      </c>
      <c r="U186" s="21"/>
      <c r="V186" s="21"/>
    </row>
    <row r="187">
      <c r="A187" s="11">
        <v>175.0</v>
      </c>
      <c r="B187" s="11">
        <v>1.42015652173913E9</v>
      </c>
      <c r="C187" s="2">
        <v>-101.7393265</v>
      </c>
      <c r="D187" s="24">
        <f t="shared" si="1"/>
        <v>-243478.2609</v>
      </c>
      <c r="E187" s="25">
        <f t="shared" si="2"/>
        <v>50.50628727</v>
      </c>
      <c r="F187" s="24">
        <f t="shared" si="3"/>
        <v>0.000207436537</v>
      </c>
      <c r="G187" s="24">
        <f t="shared" si="4"/>
        <v>0</v>
      </c>
      <c r="H187" s="26">
        <f t="shared" si="5"/>
        <v>0</v>
      </c>
      <c r="I187" s="24">
        <f t="shared" si="6"/>
        <v>0</v>
      </c>
      <c r="J187" s="24">
        <f t="shared" si="7"/>
        <v>0</v>
      </c>
      <c r="K187" s="24"/>
      <c r="L187" s="24">
        <f t="shared" si="8"/>
        <v>509.534409</v>
      </c>
      <c r="M187" s="14">
        <f t="shared" si="9"/>
        <v>436.0425291</v>
      </c>
      <c r="N187" s="27">
        <f t="shared" si="10"/>
        <v>73.49187997</v>
      </c>
      <c r="O187" s="24"/>
      <c r="P187" s="24"/>
      <c r="Q187" s="24"/>
      <c r="R187" s="26"/>
      <c r="S187" s="14">
        <f t="shared" si="13"/>
        <v>67.48730916</v>
      </c>
      <c r="U187" s="21"/>
      <c r="V187" s="21"/>
    </row>
    <row r="188">
      <c r="A188" s="11">
        <v>176.0</v>
      </c>
      <c r="B188" s="11">
        <v>1.42016086956521E9</v>
      </c>
      <c r="C188" s="2">
        <v>-101.7417068</v>
      </c>
      <c r="D188" s="24">
        <f t="shared" si="1"/>
        <v>-239130.4348</v>
      </c>
      <c r="E188" s="25">
        <f t="shared" si="2"/>
        <v>49.58799114</v>
      </c>
      <c r="F188" s="24">
        <f t="shared" si="3"/>
        <v>0.0002073679629</v>
      </c>
      <c r="G188" s="24">
        <f t="shared" si="4"/>
        <v>0</v>
      </c>
      <c r="H188" s="26">
        <f t="shared" si="5"/>
        <v>0</v>
      </c>
      <c r="I188" s="24">
        <f t="shared" si="6"/>
        <v>0</v>
      </c>
      <c r="J188" s="24">
        <f t="shared" si="7"/>
        <v>0</v>
      </c>
      <c r="K188" s="24"/>
      <c r="L188" s="24">
        <f t="shared" si="8"/>
        <v>509.2552177</v>
      </c>
      <c r="M188" s="14">
        <f t="shared" si="9"/>
        <v>435.9776271</v>
      </c>
      <c r="N188" s="27">
        <f t="shared" si="10"/>
        <v>73.27759057</v>
      </c>
      <c r="O188" s="24"/>
      <c r="P188" s="24"/>
      <c r="Q188" s="24"/>
      <c r="R188" s="26"/>
      <c r="S188" s="14">
        <f t="shared" si="13"/>
        <v>67.29052805</v>
      </c>
      <c r="U188" s="21"/>
      <c r="V188" s="21"/>
    </row>
    <row r="189">
      <c r="A189" s="11">
        <v>177.0</v>
      </c>
      <c r="B189" s="11">
        <v>1.4201652173913E9</v>
      </c>
      <c r="C189" s="2">
        <v>-101.6942749</v>
      </c>
      <c r="D189" s="24">
        <f t="shared" si="1"/>
        <v>-234782.6087</v>
      </c>
      <c r="E189" s="25">
        <f t="shared" si="2"/>
        <v>48.669695</v>
      </c>
      <c r="F189" s="24">
        <f t="shared" si="3"/>
        <v>0.0002072968491</v>
      </c>
      <c r="G189" s="24">
        <f t="shared" si="4"/>
        <v>0</v>
      </c>
      <c r="H189" s="26">
        <f t="shared" si="5"/>
        <v>0</v>
      </c>
      <c r="I189" s="24">
        <f t="shared" si="6"/>
        <v>0</v>
      </c>
      <c r="J189" s="24">
        <f t="shared" si="7"/>
        <v>0</v>
      </c>
      <c r="K189" s="24"/>
      <c r="L189" s="24">
        <f t="shared" si="8"/>
        <v>514.847582</v>
      </c>
      <c r="M189" s="14">
        <f t="shared" si="9"/>
        <v>435.9125633</v>
      </c>
      <c r="N189" s="27">
        <f t="shared" si="10"/>
        <v>78.93501862</v>
      </c>
      <c r="O189" s="24"/>
      <c r="P189" s="24"/>
      <c r="Q189" s="24"/>
      <c r="R189" s="26"/>
      <c r="S189" s="14">
        <f t="shared" si="13"/>
        <v>72.48572217</v>
      </c>
      <c r="U189" s="21"/>
      <c r="V189" s="21"/>
    </row>
    <row r="190">
      <c r="A190" s="11">
        <v>178.0</v>
      </c>
      <c r="B190" s="11">
        <v>1.42016956521739E9</v>
      </c>
      <c r="C190" s="2">
        <v>-101.7178879</v>
      </c>
      <c r="D190" s="24">
        <f t="shared" si="1"/>
        <v>-230434.7826</v>
      </c>
      <c r="E190" s="25">
        <f t="shared" si="2"/>
        <v>47.75139887</v>
      </c>
      <c r="F190" s="24">
        <f t="shared" si="3"/>
        <v>0.0002072230517</v>
      </c>
      <c r="G190" s="24">
        <f t="shared" si="4"/>
        <v>0</v>
      </c>
      <c r="H190" s="26">
        <f t="shared" si="5"/>
        <v>0</v>
      </c>
      <c r="I190" s="24">
        <f t="shared" si="6"/>
        <v>0</v>
      </c>
      <c r="J190" s="24">
        <f t="shared" si="7"/>
        <v>0</v>
      </c>
      <c r="K190" s="24"/>
      <c r="L190" s="24">
        <f t="shared" si="8"/>
        <v>512.0559034</v>
      </c>
      <c r="M190" s="14">
        <f t="shared" si="9"/>
        <v>435.8473365</v>
      </c>
      <c r="N190" s="27">
        <f t="shared" si="10"/>
        <v>76.20856689</v>
      </c>
      <c r="O190" s="24"/>
      <c r="P190" s="24"/>
      <c r="Q190" s="24"/>
      <c r="R190" s="26"/>
      <c r="S190" s="14">
        <f t="shared" si="13"/>
        <v>69.98203227</v>
      </c>
      <c r="U190" s="21"/>
      <c r="V190" s="21"/>
    </row>
    <row r="191">
      <c r="A191" s="11">
        <v>179.0</v>
      </c>
      <c r="B191" s="11">
        <v>1.42017391304347E9</v>
      </c>
      <c r="C191" s="2">
        <v>-101.6609268</v>
      </c>
      <c r="D191" s="24">
        <f t="shared" si="1"/>
        <v>-226086.9565</v>
      </c>
      <c r="E191" s="25">
        <f t="shared" si="2"/>
        <v>46.83310274</v>
      </c>
      <c r="F191" s="24">
        <f t="shared" si="3"/>
        <v>0.000207146416</v>
      </c>
      <c r="G191" s="24">
        <f t="shared" si="4"/>
        <v>0</v>
      </c>
      <c r="H191" s="26">
        <f t="shared" si="5"/>
        <v>0</v>
      </c>
      <c r="I191" s="24">
        <f t="shared" si="6"/>
        <v>0</v>
      </c>
      <c r="J191" s="24">
        <f t="shared" si="7"/>
        <v>0</v>
      </c>
      <c r="K191" s="24"/>
      <c r="L191" s="24">
        <f t="shared" si="8"/>
        <v>518.8161509</v>
      </c>
      <c r="M191" s="14">
        <f t="shared" si="9"/>
        <v>435.7819453</v>
      </c>
      <c r="N191" s="27">
        <f t="shared" si="10"/>
        <v>83.03420564</v>
      </c>
      <c r="O191" s="24"/>
      <c r="P191" s="24"/>
      <c r="Q191" s="24"/>
      <c r="R191" s="26"/>
      <c r="S191" s="14">
        <f t="shared" si="13"/>
        <v>76.24998993</v>
      </c>
      <c r="U191" s="21"/>
      <c r="V191" s="21"/>
    </row>
    <row r="192">
      <c r="A192" s="11">
        <v>180.0</v>
      </c>
      <c r="B192" s="11">
        <v>1.42017826086956E9</v>
      </c>
      <c r="C192" s="2">
        <v>-101.6861191</v>
      </c>
      <c r="D192" s="24">
        <f t="shared" si="1"/>
        <v>-221739.1304</v>
      </c>
      <c r="E192" s="25">
        <f t="shared" si="2"/>
        <v>45.91480661</v>
      </c>
      <c r="F192" s="24">
        <f t="shared" si="3"/>
        <v>0.0002070667749</v>
      </c>
      <c r="G192" s="24">
        <f t="shared" si="4"/>
        <v>0</v>
      </c>
      <c r="H192" s="26">
        <f t="shared" si="5"/>
        <v>0</v>
      </c>
      <c r="I192" s="24">
        <f t="shared" si="6"/>
        <v>0</v>
      </c>
      <c r="J192" s="24">
        <f t="shared" si="7"/>
        <v>0</v>
      </c>
      <c r="K192" s="24"/>
      <c r="L192" s="24">
        <f t="shared" si="8"/>
        <v>515.8153445</v>
      </c>
      <c r="M192" s="14">
        <f t="shared" si="9"/>
        <v>435.7163887</v>
      </c>
      <c r="N192" s="27">
        <f t="shared" si="10"/>
        <v>80.09895581</v>
      </c>
      <c r="O192" s="24"/>
      <c r="P192" s="24"/>
      <c r="Q192" s="24"/>
      <c r="R192" s="26"/>
      <c r="S192" s="14">
        <f t="shared" si="13"/>
        <v>73.55456119</v>
      </c>
      <c r="U192" s="21"/>
      <c r="V192" s="21"/>
    </row>
    <row r="193">
      <c r="A193" s="11">
        <v>181.0</v>
      </c>
      <c r="B193" s="11">
        <v>1.42018260869565E9</v>
      </c>
      <c r="C193" s="2">
        <v>-101.7388</v>
      </c>
      <c r="D193" s="24">
        <f t="shared" si="1"/>
        <v>-217391.3043</v>
      </c>
      <c r="E193" s="25">
        <f t="shared" si="2"/>
        <v>44.99651048</v>
      </c>
      <c r="F193" s="24">
        <f t="shared" si="3"/>
        <v>0.0002069839482</v>
      </c>
      <c r="G193" s="24">
        <f t="shared" si="4"/>
        <v>0</v>
      </c>
      <c r="H193" s="26">
        <f t="shared" si="5"/>
        <v>0</v>
      </c>
      <c r="I193" s="24">
        <f t="shared" si="6"/>
        <v>0</v>
      </c>
      <c r="J193" s="24">
        <f t="shared" si="7"/>
        <v>0</v>
      </c>
      <c r="K193" s="24"/>
      <c r="L193" s="24">
        <f t="shared" si="8"/>
        <v>509.5961842</v>
      </c>
      <c r="M193" s="14">
        <f t="shared" si="9"/>
        <v>435.6506653</v>
      </c>
      <c r="N193" s="27">
        <f t="shared" si="10"/>
        <v>73.94551889</v>
      </c>
      <c r="O193" s="24"/>
      <c r="P193" s="24"/>
      <c r="Q193" s="24"/>
      <c r="R193" s="26"/>
      <c r="S193" s="14">
        <f t="shared" si="13"/>
        <v>67.90388403</v>
      </c>
      <c r="U193" s="21"/>
      <c r="V193" s="21"/>
    </row>
    <row r="194">
      <c r="A194" s="11">
        <v>182.0</v>
      </c>
      <c r="B194" s="11">
        <v>1.42018695652173E9</v>
      </c>
      <c r="C194" s="2">
        <v>-101.7228165</v>
      </c>
      <c r="D194" s="24">
        <f t="shared" si="1"/>
        <v>-213043.4783</v>
      </c>
      <c r="E194" s="25">
        <f t="shared" si="2"/>
        <v>44.07821434</v>
      </c>
      <c r="F194" s="24">
        <f t="shared" si="3"/>
        <v>0.0002068977408</v>
      </c>
      <c r="G194" s="24">
        <f t="shared" si="4"/>
        <v>0</v>
      </c>
      <c r="H194" s="26">
        <f t="shared" si="5"/>
        <v>0</v>
      </c>
      <c r="I194" s="24">
        <f t="shared" si="6"/>
        <v>0</v>
      </c>
      <c r="J194" s="24">
        <f t="shared" si="7"/>
        <v>0</v>
      </c>
      <c r="K194" s="24"/>
      <c r="L194" s="24">
        <f t="shared" si="8"/>
        <v>511.4751253</v>
      </c>
      <c r="M194" s="14">
        <f t="shared" si="9"/>
        <v>435.584774</v>
      </c>
      <c r="N194" s="27">
        <f t="shared" si="10"/>
        <v>75.89035123</v>
      </c>
      <c r="O194" s="24"/>
      <c r="P194" s="24"/>
      <c r="Q194" s="24"/>
      <c r="R194" s="26"/>
      <c r="S194" s="14">
        <f t="shared" si="13"/>
        <v>69.68981605</v>
      </c>
      <c r="U194" s="21"/>
      <c r="V194" s="21"/>
    </row>
    <row r="195">
      <c r="A195" s="11">
        <v>183.0</v>
      </c>
      <c r="B195" s="11">
        <v>1.42019130434782E9</v>
      </c>
      <c r="C195" s="2">
        <v>-101.6844788</v>
      </c>
      <c r="D195" s="24">
        <f t="shared" si="1"/>
        <v>-208695.6522</v>
      </c>
      <c r="E195" s="25">
        <f t="shared" si="2"/>
        <v>43.15991821</v>
      </c>
      <c r="F195" s="24">
        <f t="shared" si="3"/>
        <v>0.0002068079414</v>
      </c>
      <c r="G195" s="24">
        <f t="shared" si="4"/>
        <v>0</v>
      </c>
      <c r="H195" s="26">
        <f t="shared" si="5"/>
        <v>0</v>
      </c>
      <c r="I195" s="24">
        <f t="shared" si="6"/>
        <v>0</v>
      </c>
      <c r="J195" s="24">
        <f t="shared" si="7"/>
        <v>0</v>
      </c>
      <c r="K195" s="24"/>
      <c r="L195" s="24">
        <f t="shared" si="8"/>
        <v>516.0102011</v>
      </c>
      <c r="M195" s="14">
        <f t="shared" si="9"/>
        <v>435.5187137</v>
      </c>
      <c r="N195" s="27">
        <f t="shared" si="10"/>
        <v>80.49148745</v>
      </c>
      <c r="O195" s="24"/>
      <c r="P195" s="24"/>
      <c r="Q195" s="24"/>
      <c r="R195" s="26"/>
      <c r="S195" s="14">
        <f t="shared" si="13"/>
        <v>73.91502165</v>
      </c>
      <c r="U195" s="21"/>
      <c r="V195" s="21"/>
    </row>
    <row r="196">
      <c r="A196" s="11">
        <v>184.0</v>
      </c>
      <c r="B196" s="11">
        <v>1.42019565217391E9</v>
      </c>
      <c r="C196" s="2">
        <v>-101.7117538</v>
      </c>
      <c r="D196" s="24">
        <f t="shared" si="1"/>
        <v>-204347.8261</v>
      </c>
      <c r="E196" s="25">
        <f t="shared" si="2"/>
        <v>42.24162208</v>
      </c>
      <c r="F196" s="24">
        <f t="shared" si="3"/>
        <v>0.0002067143208</v>
      </c>
      <c r="G196" s="24">
        <f t="shared" si="4"/>
        <v>0</v>
      </c>
      <c r="H196" s="26">
        <f t="shared" si="5"/>
        <v>0</v>
      </c>
      <c r="I196" s="24">
        <f t="shared" si="6"/>
        <v>0</v>
      </c>
      <c r="J196" s="24">
        <f t="shared" si="7"/>
        <v>0</v>
      </c>
      <c r="K196" s="24"/>
      <c r="L196" s="24">
        <f t="shared" si="8"/>
        <v>512.7796568</v>
      </c>
      <c r="M196" s="14">
        <f t="shared" si="9"/>
        <v>435.452483</v>
      </c>
      <c r="N196" s="27">
        <f t="shared" si="10"/>
        <v>77.32717385</v>
      </c>
      <c r="O196" s="24"/>
      <c r="P196" s="24"/>
      <c r="Q196" s="24"/>
      <c r="R196" s="26"/>
      <c r="S196" s="14">
        <f t="shared" si="13"/>
        <v>71.00924454</v>
      </c>
      <c r="U196" s="21"/>
      <c r="V196" s="21"/>
    </row>
    <row r="197">
      <c r="A197" s="11">
        <v>185.0</v>
      </c>
      <c r="B197" s="11">
        <v>1.4202E9</v>
      </c>
      <c r="C197" s="2">
        <v>-101.7525787</v>
      </c>
      <c r="D197" s="24">
        <f t="shared" si="1"/>
        <v>-200000</v>
      </c>
      <c r="E197" s="25">
        <f t="shared" si="2"/>
        <v>41.32332595</v>
      </c>
      <c r="F197" s="24">
        <f t="shared" si="3"/>
        <v>0.0002066166297</v>
      </c>
      <c r="G197" s="24">
        <f t="shared" si="4"/>
        <v>0</v>
      </c>
      <c r="H197" s="26">
        <f t="shared" si="5"/>
        <v>0</v>
      </c>
      <c r="I197" s="24">
        <f t="shared" si="6"/>
        <v>0</v>
      </c>
      <c r="J197" s="24">
        <f t="shared" si="7"/>
        <v>0</v>
      </c>
      <c r="K197" s="24"/>
      <c r="L197" s="24">
        <f t="shared" si="8"/>
        <v>507.9819693</v>
      </c>
      <c r="M197" s="14">
        <f t="shared" si="9"/>
        <v>435.3860808</v>
      </c>
      <c r="N197" s="27">
        <f t="shared" si="10"/>
        <v>72.59588851</v>
      </c>
      <c r="O197" s="24"/>
      <c r="P197" s="24"/>
      <c r="Q197" s="24"/>
      <c r="R197" s="26"/>
      <c r="S197" s="14">
        <f t="shared" si="13"/>
        <v>66.66452368</v>
      </c>
      <c r="U197" s="21"/>
      <c r="V197" s="21"/>
    </row>
    <row r="198">
      <c r="A198" s="11">
        <v>186.0</v>
      </c>
      <c r="B198" s="11">
        <v>1.42020434782608E9</v>
      </c>
      <c r="C198" s="2">
        <v>-101.6669083</v>
      </c>
      <c r="D198" s="24">
        <f t="shared" si="1"/>
        <v>-195652.1739</v>
      </c>
      <c r="E198" s="25">
        <f t="shared" si="2"/>
        <v>40.40502981</v>
      </c>
      <c r="F198" s="24">
        <f t="shared" si="3"/>
        <v>0.0002065145968</v>
      </c>
      <c r="G198" s="24">
        <f t="shared" si="4"/>
        <v>0</v>
      </c>
      <c r="H198" s="26">
        <f t="shared" si="5"/>
        <v>0</v>
      </c>
      <c r="I198" s="24">
        <f t="shared" si="6"/>
        <v>0</v>
      </c>
      <c r="J198" s="24">
        <f t="shared" si="7"/>
        <v>0</v>
      </c>
      <c r="K198" s="24"/>
      <c r="L198" s="24">
        <f t="shared" si="8"/>
        <v>518.1020818</v>
      </c>
      <c r="M198" s="14">
        <f t="shared" si="9"/>
        <v>435.3195059</v>
      </c>
      <c r="N198" s="27">
        <f t="shared" si="10"/>
        <v>82.78257598</v>
      </c>
      <c r="O198" s="24"/>
      <c r="P198" s="24"/>
      <c r="Q198" s="24"/>
      <c r="R198" s="26"/>
      <c r="S198" s="14">
        <f t="shared" si="13"/>
        <v>76.01891939</v>
      </c>
      <c r="U198" s="21"/>
      <c r="V198" s="21"/>
    </row>
    <row r="199">
      <c r="A199" s="11">
        <v>187.0</v>
      </c>
      <c r="B199" s="11">
        <v>1.42020869565217E9</v>
      </c>
      <c r="C199" s="2">
        <v>-101.7313156</v>
      </c>
      <c r="D199" s="24">
        <f t="shared" si="1"/>
        <v>-191304.3478</v>
      </c>
      <c r="E199" s="25">
        <f t="shared" si="2"/>
        <v>39.48673368</v>
      </c>
      <c r="F199" s="24">
        <f t="shared" si="3"/>
        <v>0.0002064079261</v>
      </c>
      <c r="G199" s="24">
        <f t="shared" si="4"/>
        <v>0</v>
      </c>
      <c r="H199" s="26">
        <f t="shared" si="5"/>
        <v>0</v>
      </c>
      <c r="I199" s="24">
        <f t="shared" si="6"/>
        <v>0</v>
      </c>
      <c r="J199" s="24">
        <f t="shared" si="7"/>
        <v>0</v>
      </c>
      <c r="K199" s="24"/>
      <c r="L199" s="24">
        <f t="shared" si="8"/>
        <v>510.4751523</v>
      </c>
      <c r="M199" s="14">
        <f t="shared" si="9"/>
        <v>435.252757</v>
      </c>
      <c r="N199" s="27">
        <f t="shared" si="10"/>
        <v>75.22239529</v>
      </c>
      <c r="O199" s="24"/>
      <c r="P199" s="24"/>
      <c r="Q199" s="24"/>
      <c r="R199" s="26"/>
      <c r="S199" s="14">
        <f t="shared" si="13"/>
        <v>69.07643454</v>
      </c>
      <c r="U199" s="21"/>
      <c r="V199" s="21"/>
    </row>
    <row r="200">
      <c r="A200" s="11">
        <v>188.0</v>
      </c>
      <c r="B200" s="11">
        <v>1.42021304347826E9</v>
      </c>
      <c r="C200" s="2">
        <v>-101.7045517</v>
      </c>
      <c r="D200" s="24">
        <f t="shared" si="1"/>
        <v>-186956.5217</v>
      </c>
      <c r="E200" s="25">
        <f t="shared" si="2"/>
        <v>38.56843755</v>
      </c>
      <c r="F200" s="24">
        <f t="shared" si="3"/>
        <v>0.0002062962939</v>
      </c>
      <c r="G200" s="24">
        <f t="shared" si="4"/>
        <v>0</v>
      </c>
      <c r="H200" s="26">
        <f t="shared" si="5"/>
        <v>0</v>
      </c>
      <c r="I200" s="24">
        <f t="shared" si="6"/>
        <v>0</v>
      </c>
      <c r="J200" s="24">
        <f t="shared" si="7"/>
        <v>0</v>
      </c>
      <c r="K200" s="24"/>
      <c r="L200" s="24">
        <f t="shared" si="8"/>
        <v>513.6307278</v>
      </c>
      <c r="M200" s="14">
        <f t="shared" si="9"/>
        <v>435.185833</v>
      </c>
      <c r="N200" s="27">
        <f t="shared" si="10"/>
        <v>78.4448948</v>
      </c>
      <c r="O200" s="24"/>
      <c r="P200" s="24"/>
      <c r="Q200" s="24"/>
      <c r="R200" s="26"/>
      <c r="S200" s="14">
        <f t="shared" si="13"/>
        <v>72.03564353</v>
      </c>
      <c r="U200" s="21"/>
      <c r="V200" s="21"/>
    </row>
    <row r="201">
      <c r="A201" s="11">
        <v>189.0</v>
      </c>
      <c r="B201" s="11">
        <v>1.42021739130434E9</v>
      </c>
      <c r="C201" s="2">
        <v>-101.6735382</v>
      </c>
      <c r="D201" s="24">
        <f t="shared" si="1"/>
        <v>-182608.6957</v>
      </c>
      <c r="E201" s="25">
        <f t="shared" si="2"/>
        <v>37.65014142</v>
      </c>
      <c r="F201" s="24">
        <f t="shared" si="3"/>
        <v>0.0002061793459</v>
      </c>
      <c r="G201" s="24">
        <f t="shared" si="4"/>
        <v>0</v>
      </c>
      <c r="H201" s="26">
        <f t="shared" si="5"/>
        <v>0</v>
      </c>
      <c r="I201" s="24">
        <f t="shared" si="6"/>
        <v>0</v>
      </c>
      <c r="J201" s="24">
        <f t="shared" si="7"/>
        <v>0</v>
      </c>
      <c r="K201" s="24"/>
      <c r="L201" s="24">
        <f t="shared" si="8"/>
        <v>517.3117553</v>
      </c>
      <c r="M201" s="14">
        <f t="shared" si="9"/>
        <v>435.1187327</v>
      </c>
      <c r="N201" s="27">
        <f t="shared" si="10"/>
        <v>82.19302265</v>
      </c>
      <c r="O201" s="24"/>
      <c r="P201" s="24"/>
      <c r="Q201" s="24"/>
      <c r="R201" s="26"/>
      <c r="S201" s="14">
        <f t="shared" si="13"/>
        <v>75.47753484</v>
      </c>
      <c r="U201" s="21"/>
      <c r="V201" s="21"/>
    </row>
    <row r="202">
      <c r="A202" s="11">
        <v>190.0</v>
      </c>
      <c r="B202" s="11">
        <v>1.42022173913043E9</v>
      </c>
      <c r="C202" s="2">
        <v>-101.6651535</v>
      </c>
      <c r="D202" s="24">
        <f t="shared" si="1"/>
        <v>-178260.8696</v>
      </c>
      <c r="E202" s="25">
        <f t="shared" si="2"/>
        <v>36.73184529</v>
      </c>
      <c r="F202" s="24">
        <f t="shared" si="3"/>
        <v>0.0002060566931</v>
      </c>
      <c r="G202" s="24">
        <f t="shared" si="4"/>
        <v>0</v>
      </c>
      <c r="H202" s="26">
        <f t="shared" si="5"/>
        <v>0</v>
      </c>
      <c r="I202" s="24">
        <f t="shared" si="6"/>
        <v>0</v>
      </c>
      <c r="J202" s="24">
        <f t="shared" si="7"/>
        <v>0</v>
      </c>
      <c r="K202" s="24"/>
      <c r="L202" s="24">
        <f t="shared" si="8"/>
        <v>518.3114672</v>
      </c>
      <c r="M202" s="14">
        <f t="shared" si="9"/>
        <v>435.0514548</v>
      </c>
      <c r="N202" s="27">
        <f t="shared" si="10"/>
        <v>83.26001244</v>
      </c>
      <c r="O202" s="24"/>
      <c r="P202" s="24"/>
      <c r="Q202" s="24"/>
      <c r="R202" s="26"/>
      <c r="S202" s="14">
        <f t="shared" si="13"/>
        <v>76.45734726</v>
      </c>
      <c r="U202" s="21"/>
      <c r="V202" s="21"/>
    </row>
    <row r="203">
      <c r="A203" s="11">
        <v>191.0</v>
      </c>
      <c r="B203" s="11">
        <v>1.42022608695652E9</v>
      </c>
      <c r="C203" s="2">
        <v>-101.7199402</v>
      </c>
      <c r="D203" s="24">
        <f t="shared" si="1"/>
        <v>-173913.0435</v>
      </c>
      <c r="E203" s="25">
        <f t="shared" si="2"/>
        <v>35.81354916</v>
      </c>
      <c r="F203" s="24">
        <f t="shared" si="3"/>
        <v>0.0002059279076</v>
      </c>
      <c r="G203" s="24">
        <f t="shared" si="4"/>
        <v>0</v>
      </c>
      <c r="H203" s="26">
        <f t="shared" si="5"/>
        <v>0</v>
      </c>
      <c r="I203" s="24">
        <f t="shared" si="6"/>
        <v>0</v>
      </c>
      <c r="J203" s="24">
        <f t="shared" si="7"/>
        <v>0</v>
      </c>
      <c r="K203" s="24"/>
      <c r="L203" s="24">
        <f t="shared" si="8"/>
        <v>511.8139836</v>
      </c>
      <c r="M203" s="14">
        <f t="shared" si="9"/>
        <v>434.9839982</v>
      </c>
      <c r="N203" s="27">
        <f t="shared" si="10"/>
        <v>76.82998545</v>
      </c>
      <c r="O203" s="24"/>
      <c r="P203" s="24"/>
      <c r="Q203" s="24"/>
      <c r="R203" s="26"/>
      <c r="S203" s="14">
        <f t="shared" si="13"/>
        <v>70.55267853</v>
      </c>
      <c r="U203" s="21"/>
      <c r="V203" s="21"/>
    </row>
    <row r="204">
      <c r="A204" s="11">
        <v>192.0</v>
      </c>
      <c r="B204" s="11">
        <v>1.4202304347826E9</v>
      </c>
      <c r="C204" s="2">
        <v>-101.7034149</v>
      </c>
      <c r="D204" s="24">
        <f t="shared" si="1"/>
        <v>-169565.2174</v>
      </c>
      <c r="E204" s="25">
        <f t="shared" si="2"/>
        <v>34.89525302</v>
      </c>
      <c r="F204" s="24">
        <f t="shared" si="3"/>
        <v>0.0002057925178</v>
      </c>
      <c r="G204" s="24">
        <f t="shared" si="4"/>
        <v>0</v>
      </c>
      <c r="H204" s="26">
        <f t="shared" si="5"/>
        <v>0</v>
      </c>
      <c r="I204" s="24">
        <f t="shared" si="6"/>
        <v>0</v>
      </c>
      <c r="J204" s="24">
        <f t="shared" si="7"/>
        <v>0</v>
      </c>
      <c r="K204" s="24"/>
      <c r="L204" s="24">
        <f t="shared" si="8"/>
        <v>513.7651923</v>
      </c>
      <c r="M204" s="14">
        <f t="shared" si="9"/>
        <v>434.9163616</v>
      </c>
      <c r="N204" s="27">
        <f t="shared" si="10"/>
        <v>78.8488307</v>
      </c>
      <c r="O204" s="24"/>
      <c r="P204" s="24"/>
      <c r="Q204" s="24"/>
      <c r="R204" s="26"/>
      <c r="S204" s="14">
        <f t="shared" si="13"/>
        <v>72.4065763</v>
      </c>
      <c r="U204" s="21"/>
      <c r="V204" s="21"/>
    </row>
    <row r="205">
      <c r="A205" s="11">
        <v>193.0</v>
      </c>
      <c r="B205" s="11">
        <v>1.42023478260869E9</v>
      </c>
      <c r="C205" s="2">
        <v>-101.6977386</v>
      </c>
      <c r="D205" s="24">
        <f t="shared" si="1"/>
        <v>-165217.3913</v>
      </c>
      <c r="E205" s="25">
        <f t="shared" si="2"/>
        <v>33.97695689</v>
      </c>
      <c r="F205" s="24">
        <f t="shared" si="3"/>
        <v>0.0002056500022</v>
      </c>
      <c r="G205" s="24">
        <f t="shared" si="4"/>
        <v>0</v>
      </c>
      <c r="H205" s="26">
        <f t="shared" si="5"/>
        <v>0</v>
      </c>
      <c r="I205" s="24">
        <f t="shared" si="6"/>
        <v>0</v>
      </c>
      <c r="J205" s="24">
        <f t="shared" si="7"/>
        <v>0</v>
      </c>
      <c r="K205" s="24"/>
      <c r="L205" s="24">
        <f t="shared" si="8"/>
        <v>514.4371308</v>
      </c>
      <c r="M205" s="14">
        <f t="shared" si="9"/>
        <v>434.8485438</v>
      </c>
      <c r="N205" s="27">
        <f t="shared" si="10"/>
        <v>79.58858699</v>
      </c>
      <c r="O205" s="24"/>
      <c r="P205" s="24"/>
      <c r="Q205" s="24"/>
      <c r="R205" s="26"/>
      <c r="S205" s="14">
        <f t="shared" si="13"/>
        <v>73.08589165</v>
      </c>
      <c r="U205" s="21"/>
      <c r="V205" s="21"/>
    </row>
    <row r="206">
      <c r="A206" s="11">
        <v>194.0</v>
      </c>
      <c r="B206" s="11">
        <v>1.42023913043478E9</v>
      </c>
      <c r="C206" s="2">
        <v>-101.666153</v>
      </c>
      <c r="D206" s="24">
        <f t="shared" si="1"/>
        <v>-160869.5652</v>
      </c>
      <c r="E206" s="25">
        <f t="shared" si="2"/>
        <v>33.05866076</v>
      </c>
      <c r="F206" s="24">
        <f t="shared" si="3"/>
        <v>0.0002054997831</v>
      </c>
      <c r="G206" s="24">
        <f t="shared" si="4"/>
        <v>0</v>
      </c>
      <c r="H206" s="26">
        <f t="shared" si="5"/>
        <v>0</v>
      </c>
      <c r="I206" s="24">
        <f t="shared" si="6"/>
        <v>0</v>
      </c>
      <c r="J206" s="24">
        <f t="shared" si="7"/>
        <v>0</v>
      </c>
      <c r="K206" s="24"/>
      <c r="L206" s="24">
        <f t="shared" si="8"/>
        <v>518.192195</v>
      </c>
      <c r="M206" s="14">
        <f t="shared" si="9"/>
        <v>434.7805437</v>
      </c>
      <c r="N206" s="27">
        <f t="shared" si="10"/>
        <v>83.41165128</v>
      </c>
      <c r="O206" s="24"/>
      <c r="P206" s="24"/>
      <c r="Q206" s="24"/>
      <c r="R206" s="26"/>
      <c r="S206" s="14">
        <f t="shared" si="13"/>
        <v>76.59659663</v>
      </c>
      <c r="U206" s="21"/>
      <c r="V206" s="21"/>
    </row>
    <row r="207">
      <c r="A207" s="11">
        <v>195.0</v>
      </c>
      <c r="B207" s="11">
        <v>1.42024347826087E9</v>
      </c>
      <c r="C207" s="2">
        <v>-101.7126999</v>
      </c>
      <c r="D207" s="24">
        <f t="shared" si="1"/>
        <v>-156521.7391</v>
      </c>
      <c r="E207" s="25">
        <f t="shared" si="2"/>
        <v>32.14036463</v>
      </c>
      <c r="F207" s="24">
        <f t="shared" si="3"/>
        <v>0.0002053412184</v>
      </c>
      <c r="G207" s="24">
        <f t="shared" si="4"/>
        <v>0</v>
      </c>
      <c r="H207" s="26">
        <f t="shared" si="5"/>
        <v>0</v>
      </c>
      <c r="I207" s="24">
        <f t="shared" si="6"/>
        <v>0</v>
      </c>
      <c r="J207" s="24">
        <f t="shared" si="7"/>
        <v>0</v>
      </c>
      <c r="K207" s="24"/>
      <c r="L207" s="24">
        <f t="shared" si="8"/>
        <v>512.6679612</v>
      </c>
      <c r="M207" s="14">
        <f t="shared" si="9"/>
        <v>434.7123601</v>
      </c>
      <c r="N207" s="27">
        <f t="shared" si="10"/>
        <v>77.95560115</v>
      </c>
      <c r="O207" s="24"/>
      <c r="P207" s="24"/>
      <c r="Q207" s="24"/>
      <c r="R207" s="26"/>
      <c r="S207" s="14">
        <f t="shared" si="13"/>
        <v>71.58632706</v>
      </c>
      <c r="U207" s="21"/>
      <c r="V207" s="21"/>
    </row>
    <row r="208">
      <c r="A208" s="11">
        <v>196.0</v>
      </c>
      <c r="B208" s="11">
        <v>1.42024782608695E9</v>
      </c>
      <c r="C208" s="2">
        <v>-101.6765518</v>
      </c>
      <c r="D208" s="24">
        <f t="shared" si="1"/>
        <v>-152173.913</v>
      </c>
      <c r="E208" s="25">
        <f t="shared" si="2"/>
        <v>31.22206849</v>
      </c>
      <c r="F208" s="24">
        <f t="shared" si="3"/>
        <v>0.0002051735929</v>
      </c>
      <c r="G208" s="24">
        <f t="shared" si="4"/>
        <v>0</v>
      </c>
      <c r="H208" s="26">
        <f t="shared" si="5"/>
        <v>0</v>
      </c>
      <c r="I208" s="24">
        <f t="shared" si="6"/>
        <v>0</v>
      </c>
      <c r="J208" s="24">
        <f t="shared" si="7"/>
        <v>0</v>
      </c>
      <c r="K208" s="24"/>
      <c r="L208" s="24">
        <f t="shared" si="8"/>
        <v>516.9529136</v>
      </c>
      <c r="M208" s="14">
        <f t="shared" si="9"/>
        <v>434.6439916</v>
      </c>
      <c r="N208" s="27">
        <f t="shared" si="10"/>
        <v>82.30892199</v>
      </c>
      <c r="O208" s="24"/>
      <c r="P208" s="24"/>
      <c r="Q208" s="24"/>
      <c r="R208" s="26"/>
      <c r="S208" s="14">
        <f t="shared" si="13"/>
        <v>75.58396476</v>
      </c>
      <c r="U208" s="21"/>
      <c r="V208" s="21"/>
    </row>
    <row r="209">
      <c r="A209" s="11">
        <v>197.0</v>
      </c>
      <c r="B209" s="11">
        <v>1.42025217391304E9</v>
      </c>
      <c r="C209" s="2">
        <v>-101.663208</v>
      </c>
      <c r="D209" s="24">
        <f t="shared" si="1"/>
        <v>-147826.087</v>
      </c>
      <c r="E209" s="25">
        <f t="shared" si="2"/>
        <v>30.30377236</v>
      </c>
      <c r="F209" s="24">
        <f t="shared" si="3"/>
        <v>0.0002049961071</v>
      </c>
      <c r="G209" s="24">
        <f t="shared" si="4"/>
        <v>0</v>
      </c>
      <c r="H209" s="26">
        <f t="shared" si="5"/>
        <v>0</v>
      </c>
      <c r="I209" s="24">
        <f t="shared" si="6"/>
        <v>0</v>
      </c>
      <c r="J209" s="24">
        <f t="shared" si="7"/>
        <v>0</v>
      </c>
      <c r="K209" s="24"/>
      <c r="L209" s="24">
        <f t="shared" si="8"/>
        <v>518.5437062</v>
      </c>
      <c r="M209" s="14">
        <f t="shared" si="9"/>
        <v>434.5754371</v>
      </c>
      <c r="N209" s="27">
        <f t="shared" si="10"/>
        <v>83.96826902</v>
      </c>
      <c r="O209" s="24"/>
      <c r="P209" s="24"/>
      <c r="Q209" s="24"/>
      <c r="R209" s="26"/>
      <c r="S209" s="14">
        <f t="shared" si="13"/>
        <v>77.10773655</v>
      </c>
      <c r="U209" s="21"/>
      <c r="V209" s="21"/>
    </row>
    <row r="210">
      <c r="A210" s="11">
        <v>198.0</v>
      </c>
      <c r="B210" s="11">
        <v>1.42025652173913E9</v>
      </c>
      <c r="C210" s="2">
        <v>-101.632637</v>
      </c>
      <c r="D210" s="24">
        <f t="shared" si="1"/>
        <v>-143478.2609</v>
      </c>
      <c r="E210" s="25">
        <f t="shared" si="2"/>
        <v>29.38547623</v>
      </c>
      <c r="F210" s="24">
        <f t="shared" si="3"/>
        <v>0.0002048078646</v>
      </c>
      <c r="G210" s="24">
        <f t="shared" si="4"/>
        <v>0</v>
      </c>
      <c r="H210" s="26">
        <f t="shared" si="5"/>
        <v>0</v>
      </c>
      <c r="I210" s="24">
        <f t="shared" si="6"/>
        <v>0</v>
      </c>
      <c r="J210" s="24">
        <f t="shared" si="7"/>
        <v>0</v>
      </c>
      <c r="K210" s="24"/>
      <c r="L210" s="24">
        <f t="shared" si="8"/>
        <v>522.2067334</v>
      </c>
      <c r="M210" s="14">
        <f t="shared" si="9"/>
        <v>434.5066955</v>
      </c>
      <c r="N210" s="27">
        <f t="shared" si="10"/>
        <v>87.70003789</v>
      </c>
      <c r="O210" s="24"/>
      <c r="P210" s="24"/>
      <c r="Q210" s="24"/>
      <c r="R210" s="26"/>
      <c r="S210" s="14">
        <f t="shared" si="13"/>
        <v>80.53460564</v>
      </c>
      <c r="U210" s="21"/>
      <c r="V210" s="21"/>
    </row>
    <row r="211">
      <c r="A211" s="11">
        <v>199.0</v>
      </c>
      <c r="B211" s="11">
        <v>1.42026086956521E9</v>
      </c>
      <c r="C211" s="2">
        <v>-101.6719131</v>
      </c>
      <c r="D211" s="24">
        <f t="shared" si="1"/>
        <v>-139130.4348</v>
      </c>
      <c r="E211" s="25">
        <f t="shared" si="2"/>
        <v>28.4671801</v>
      </c>
      <c r="F211" s="24">
        <f t="shared" si="3"/>
        <v>0.0002046078569</v>
      </c>
      <c r="G211" s="24">
        <f t="shared" si="4"/>
        <v>0</v>
      </c>
      <c r="H211" s="26">
        <f t="shared" si="5"/>
        <v>0</v>
      </c>
      <c r="I211" s="24">
        <f t="shared" si="6"/>
        <v>0</v>
      </c>
      <c r="J211" s="24">
        <f t="shared" si="7"/>
        <v>0</v>
      </c>
      <c r="K211" s="24"/>
      <c r="L211" s="24">
        <f t="shared" si="8"/>
        <v>517.505366</v>
      </c>
      <c r="M211" s="14">
        <f t="shared" si="9"/>
        <v>434.4377655</v>
      </c>
      <c r="N211" s="27">
        <f t="shared" si="10"/>
        <v>83.06760055</v>
      </c>
      <c r="O211" s="24"/>
      <c r="P211" s="24"/>
      <c r="Q211" s="24"/>
      <c r="R211" s="26"/>
      <c r="S211" s="14">
        <f t="shared" si="13"/>
        <v>76.28065635</v>
      </c>
      <c r="U211" s="21"/>
      <c r="V211" s="21"/>
    </row>
    <row r="212">
      <c r="A212" s="11">
        <v>200.0</v>
      </c>
      <c r="B212" s="11">
        <v>1.4202652173913E9</v>
      </c>
      <c r="C212" s="2">
        <v>-101.6482162</v>
      </c>
      <c r="D212" s="24">
        <f t="shared" si="1"/>
        <v>-134782.6087</v>
      </c>
      <c r="E212" s="25">
        <f t="shared" si="2"/>
        <v>27.54888396</v>
      </c>
      <c r="F212" s="24">
        <f t="shared" si="3"/>
        <v>0.0002043949455</v>
      </c>
      <c r="G212" s="24">
        <f t="shared" si="4"/>
        <v>0</v>
      </c>
      <c r="H212" s="26">
        <f t="shared" si="5"/>
        <v>0</v>
      </c>
      <c r="I212" s="24">
        <f t="shared" si="6"/>
        <v>0</v>
      </c>
      <c r="J212" s="24">
        <f t="shared" si="7"/>
        <v>0</v>
      </c>
      <c r="K212" s="24"/>
      <c r="L212" s="24">
        <f t="shared" si="8"/>
        <v>520.3368067</v>
      </c>
      <c r="M212" s="14">
        <f t="shared" si="9"/>
        <v>434.3686459</v>
      </c>
      <c r="N212" s="27">
        <f t="shared" si="10"/>
        <v>85.96816084</v>
      </c>
      <c r="O212" s="24"/>
      <c r="P212" s="24"/>
      <c r="Q212" s="24"/>
      <c r="R212" s="26"/>
      <c r="S212" s="14">
        <f t="shared" si="13"/>
        <v>78.94422946</v>
      </c>
      <c r="U212" s="21"/>
      <c r="V212" s="21"/>
    </row>
    <row r="213">
      <c r="A213" s="11">
        <v>201.0</v>
      </c>
      <c r="B213" s="11">
        <v>1.42026956521739E9</v>
      </c>
      <c r="C213" s="2">
        <v>-101.6588821</v>
      </c>
      <c r="D213" s="24">
        <f t="shared" si="1"/>
        <v>-130434.7826</v>
      </c>
      <c r="E213" s="25">
        <f t="shared" si="2"/>
        <v>26.63058783</v>
      </c>
      <c r="F213" s="24">
        <f t="shared" si="3"/>
        <v>0.0002041678401</v>
      </c>
      <c r="G213" s="24">
        <f t="shared" si="4"/>
        <v>0</v>
      </c>
      <c r="H213" s="26">
        <f t="shared" si="5"/>
        <v>0</v>
      </c>
      <c r="I213" s="24">
        <f t="shared" si="6"/>
        <v>0</v>
      </c>
      <c r="J213" s="24">
        <f t="shared" si="7"/>
        <v>0</v>
      </c>
      <c r="K213" s="24"/>
      <c r="L213" s="24">
        <f t="shared" si="8"/>
        <v>519.0604721</v>
      </c>
      <c r="M213" s="14">
        <f t="shared" si="9"/>
        <v>434.2993355</v>
      </c>
      <c r="N213" s="27">
        <f t="shared" si="10"/>
        <v>84.76113662</v>
      </c>
      <c r="O213" s="24"/>
      <c r="P213" s="24"/>
      <c r="Q213" s="24"/>
      <c r="R213" s="26"/>
      <c r="S213" s="14">
        <f t="shared" si="13"/>
        <v>77.83582397</v>
      </c>
      <c r="U213" s="21"/>
      <c r="V213" s="21"/>
    </row>
    <row r="214">
      <c r="A214" s="11">
        <v>202.0</v>
      </c>
      <c r="B214" s="11">
        <v>1.42027391304347E9</v>
      </c>
      <c r="C214" s="2">
        <v>-101.622612</v>
      </c>
      <c r="D214" s="24">
        <f t="shared" si="1"/>
        <v>-126086.9565</v>
      </c>
      <c r="E214" s="25">
        <f t="shared" si="2"/>
        <v>25.7122917</v>
      </c>
      <c r="F214" s="24">
        <f t="shared" si="3"/>
        <v>0.0002039250721</v>
      </c>
      <c r="G214" s="24">
        <f t="shared" si="4"/>
        <v>0</v>
      </c>
      <c r="H214" s="26">
        <f t="shared" si="5"/>
        <v>0</v>
      </c>
      <c r="I214" s="24">
        <f t="shared" si="6"/>
        <v>0</v>
      </c>
      <c r="J214" s="24">
        <f t="shared" si="7"/>
        <v>0</v>
      </c>
      <c r="K214" s="24"/>
      <c r="L214" s="24">
        <f t="shared" si="8"/>
        <v>523.4135573</v>
      </c>
      <c r="M214" s="14">
        <f t="shared" si="9"/>
        <v>434.229833</v>
      </c>
      <c r="N214" s="27">
        <f t="shared" si="10"/>
        <v>89.18372424</v>
      </c>
      <c r="O214" s="24"/>
      <c r="P214" s="24"/>
      <c r="Q214" s="24"/>
      <c r="R214" s="26"/>
      <c r="S214" s="14">
        <f t="shared" si="13"/>
        <v>81.89706908</v>
      </c>
      <c r="U214" s="21"/>
      <c r="V214" s="21"/>
    </row>
    <row r="215">
      <c r="A215" s="11">
        <v>203.0</v>
      </c>
      <c r="B215" s="11">
        <v>1.42027826086956E9</v>
      </c>
      <c r="C215" s="2">
        <v>-101.598793</v>
      </c>
      <c r="D215" s="24">
        <f t="shared" si="1"/>
        <v>-121739.1304</v>
      </c>
      <c r="E215" s="25">
        <f t="shared" si="2"/>
        <v>24.79399557</v>
      </c>
      <c r="F215" s="24">
        <f t="shared" si="3"/>
        <v>0.0002036649636</v>
      </c>
      <c r="G215" s="24">
        <f t="shared" si="4"/>
        <v>0</v>
      </c>
      <c r="H215" s="26">
        <f t="shared" si="5"/>
        <v>0</v>
      </c>
      <c r="I215" s="24">
        <f t="shared" si="6"/>
        <v>0</v>
      </c>
      <c r="J215" s="24">
        <f t="shared" si="7"/>
        <v>0</v>
      </c>
      <c r="K215" s="24"/>
      <c r="L215" s="24">
        <f t="shared" si="8"/>
        <v>526.2921198</v>
      </c>
      <c r="M215" s="14">
        <f t="shared" si="9"/>
        <v>434.1601374</v>
      </c>
      <c r="N215" s="27">
        <f t="shared" si="10"/>
        <v>92.13198246</v>
      </c>
      <c r="O215" s="24"/>
      <c r="P215" s="24"/>
      <c r="Q215" s="24"/>
      <c r="R215" s="26"/>
      <c r="S215" s="14">
        <f t="shared" si="13"/>
        <v>84.604443</v>
      </c>
      <c r="U215" s="21"/>
      <c r="V215" s="21"/>
    </row>
    <row r="216">
      <c r="A216" s="11">
        <v>204.0</v>
      </c>
      <c r="B216" s="11">
        <v>1.42028260869565E9</v>
      </c>
      <c r="C216" s="2">
        <v>-101.5555725</v>
      </c>
      <c r="D216" s="24">
        <f t="shared" si="1"/>
        <v>-117391.3043</v>
      </c>
      <c r="E216" s="25">
        <f t="shared" si="2"/>
        <v>23.87569944</v>
      </c>
      <c r="F216" s="24">
        <f t="shared" si="3"/>
        <v>0.0002033855878</v>
      </c>
      <c r="G216" s="24">
        <f t="shared" si="4"/>
        <v>0</v>
      </c>
      <c r="H216" s="26">
        <f t="shared" si="5"/>
        <v>0</v>
      </c>
      <c r="I216" s="24">
        <f t="shared" si="6"/>
        <v>0</v>
      </c>
      <c r="J216" s="24">
        <f t="shared" si="7"/>
        <v>0</v>
      </c>
      <c r="K216" s="24"/>
      <c r="L216" s="24">
        <f t="shared" si="8"/>
        <v>531.5558687</v>
      </c>
      <c r="M216" s="14">
        <f t="shared" si="9"/>
        <v>434.0902473</v>
      </c>
      <c r="N216" s="27">
        <f t="shared" si="10"/>
        <v>97.46562138</v>
      </c>
      <c r="O216" s="24"/>
      <c r="P216" s="24"/>
      <c r="Q216" s="24"/>
      <c r="R216" s="26"/>
      <c r="S216" s="14">
        <f t="shared" si="13"/>
        <v>89.50230319</v>
      </c>
      <c r="U216" s="21"/>
      <c r="V216" s="21"/>
    </row>
    <row r="217">
      <c r="A217" s="11">
        <v>205.0</v>
      </c>
      <c r="B217" s="11">
        <v>1.42028695652173E9</v>
      </c>
      <c r="C217" s="2">
        <v>-101.5605469</v>
      </c>
      <c r="D217" s="24">
        <f t="shared" si="1"/>
        <v>-113043.4783</v>
      </c>
      <c r="E217" s="25">
        <f t="shared" si="2"/>
        <v>22.9574033</v>
      </c>
      <c r="F217" s="24">
        <f t="shared" si="3"/>
        <v>0.0002030847215</v>
      </c>
      <c r="G217" s="24">
        <f t="shared" si="4"/>
        <v>0</v>
      </c>
      <c r="H217" s="26">
        <f t="shared" si="5"/>
        <v>0</v>
      </c>
      <c r="I217" s="24">
        <f t="shared" si="6"/>
        <v>0</v>
      </c>
      <c r="J217" s="24">
        <f t="shared" si="7"/>
        <v>0</v>
      </c>
      <c r="K217" s="24"/>
      <c r="L217" s="24">
        <f t="shared" si="8"/>
        <v>530.9473742</v>
      </c>
      <c r="M217" s="14">
        <f t="shared" si="9"/>
        <v>434.0201616</v>
      </c>
      <c r="N217" s="27">
        <f t="shared" si="10"/>
        <v>96.92721263</v>
      </c>
      <c r="O217" s="24"/>
      <c r="P217" s="24"/>
      <c r="Q217" s="24"/>
      <c r="R217" s="26"/>
      <c r="S217" s="14">
        <f t="shared" si="13"/>
        <v>89.00788451</v>
      </c>
      <c r="U217" s="21"/>
      <c r="V217" s="21"/>
    </row>
    <row r="218">
      <c r="A218" s="11">
        <v>206.0</v>
      </c>
      <c r="B218" s="11">
        <v>1.42029130434782E9</v>
      </c>
      <c r="C218" s="2">
        <v>-101.5835114</v>
      </c>
      <c r="D218" s="24">
        <f t="shared" si="1"/>
        <v>-108695.6522</v>
      </c>
      <c r="E218" s="25">
        <f t="shared" si="2"/>
        <v>22.03910717</v>
      </c>
      <c r="F218" s="24">
        <f t="shared" si="3"/>
        <v>0.000202759786</v>
      </c>
      <c r="G218" s="24">
        <f t="shared" si="4"/>
        <v>0</v>
      </c>
      <c r="H218" s="26">
        <f t="shared" si="5"/>
        <v>0</v>
      </c>
      <c r="I218" s="24">
        <f t="shared" si="6"/>
        <v>0</v>
      </c>
      <c r="J218" s="24">
        <f t="shared" si="7"/>
        <v>0</v>
      </c>
      <c r="K218" s="24"/>
      <c r="L218" s="24">
        <f t="shared" si="8"/>
        <v>528.1472556</v>
      </c>
      <c r="M218" s="14">
        <f t="shared" si="9"/>
        <v>433.9498791</v>
      </c>
      <c r="N218" s="27">
        <f t="shared" si="10"/>
        <v>94.19737645</v>
      </c>
      <c r="O218" s="24"/>
      <c r="P218" s="24"/>
      <c r="Q218" s="24"/>
      <c r="R218" s="26"/>
      <c r="S218" s="14">
        <f t="shared" si="13"/>
        <v>86.50108651</v>
      </c>
      <c r="U218" s="21"/>
      <c r="V218" s="21"/>
    </row>
    <row r="219">
      <c r="A219" s="11">
        <v>207.0</v>
      </c>
      <c r="B219" s="11">
        <v>1.42029565217391E9</v>
      </c>
      <c r="C219" s="2">
        <v>-101.5478592</v>
      </c>
      <c r="D219" s="24">
        <f t="shared" si="1"/>
        <v>-104347.8261</v>
      </c>
      <c r="E219" s="25">
        <f t="shared" si="2"/>
        <v>21.12081104</v>
      </c>
      <c r="F219" s="24">
        <f t="shared" si="3"/>
        <v>0.0002024077725</v>
      </c>
      <c r="G219" s="24">
        <f t="shared" si="4"/>
        <v>0</v>
      </c>
      <c r="H219" s="26">
        <f t="shared" si="5"/>
        <v>0</v>
      </c>
      <c r="I219" s="24">
        <f t="shared" si="6"/>
        <v>0</v>
      </c>
      <c r="J219" s="24">
        <f t="shared" si="7"/>
        <v>0</v>
      </c>
      <c r="K219" s="24"/>
      <c r="L219" s="24">
        <f t="shared" si="8"/>
        <v>532.5007789</v>
      </c>
      <c r="M219" s="14">
        <f t="shared" si="9"/>
        <v>433.8793986</v>
      </c>
      <c r="N219" s="27">
        <f t="shared" si="10"/>
        <v>98.62138037</v>
      </c>
      <c r="O219" s="24"/>
      <c r="P219" s="24"/>
      <c r="Q219" s="24"/>
      <c r="R219" s="26"/>
      <c r="S219" s="14">
        <f t="shared" si="13"/>
        <v>90.56363199</v>
      </c>
      <c r="U219" s="21"/>
      <c r="V219" s="21"/>
    </row>
    <row r="220">
      <c r="A220" s="11">
        <v>208.0</v>
      </c>
      <c r="B220" s="11">
        <v>1.4203E9</v>
      </c>
      <c r="C220" s="2">
        <v>-101.5436783</v>
      </c>
      <c r="D220" s="24">
        <f t="shared" si="1"/>
        <v>-100000</v>
      </c>
      <c r="E220" s="25">
        <f t="shared" si="2"/>
        <v>20.20251491</v>
      </c>
      <c r="F220" s="24">
        <f t="shared" si="3"/>
        <v>0.0002020251491</v>
      </c>
      <c r="G220" s="24">
        <f t="shared" si="4"/>
        <v>0</v>
      </c>
      <c r="H220" s="26">
        <f t="shared" si="5"/>
        <v>0</v>
      </c>
      <c r="I220" s="24">
        <f t="shared" si="6"/>
        <v>0</v>
      </c>
      <c r="J220" s="24">
        <f t="shared" si="7"/>
        <v>0</v>
      </c>
      <c r="K220" s="24"/>
      <c r="L220" s="24">
        <f t="shared" si="8"/>
        <v>533.0136578</v>
      </c>
      <c r="M220" s="14">
        <f t="shared" si="9"/>
        <v>433.8087188</v>
      </c>
      <c r="N220" s="27">
        <f t="shared" si="10"/>
        <v>99.204939</v>
      </c>
      <c r="O220" s="24"/>
      <c r="P220" s="24"/>
      <c r="Q220" s="24"/>
      <c r="R220" s="26"/>
      <c r="S220" s="14">
        <f t="shared" si="13"/>
        <v>91.09951183</v>
      </c>
      <c r="U220" s="21"/>
      <c r="V220" s="21"/>
    </row>
    <row r="221">
      <c r="A221" s="11">
        <v>209.0</v>
      </c>
      <c r="B221" s="11">
        <v>1.42030434782608E9</v>
      </c>
      <c r="C221" s="2">
        <v>-101.5224075</v>
      </c>
      <c r="D221" s="24">
        <f t="shared" si="1"/>
        <v>-95652.17392</v>
      </c>
      <c r="E221" s="25">
        <f t="shared" si="2"/>
        <v>19.28421878</v>
      </c>
      <c r="F221" s="24">
        <f t="shared" si="3"/>
        <v>0.0002016077417</v>
      </c>
      <c r="G221" s="24">
        <f t="shared" si="4"/>
        <v>0</v>
      </c>
      <c r="H221" s="26">
        <f t="shared" si="5"/>
        <v>0</v>
      </c>
      <c r="I221" s="24">
        <f t="shared" si="6"/>
        <v>0</v>
      </c>
      <c r="J221" s="24">
        <f t="shared" si="7"/>
        <v>0</v>
      </c>
      <c r="K221" s="24"/>
      <c r="L221" s="24">
        <f t="shared" si="8"/>
        <v>535.6306463</v>
      </c>
      <c r="M221" s="14">
        <f t="shared" si="9"/>
        <v>433.7378385</v>
      </c>
      <c r="N221" s="27">
        <f t="shared" si="10"/>
        <v>101.8928078</v>
      </c>
      <c r="O221" s="24"/>
      <c r="P221" s="24"/>
      <c r="Q221" s="24"/>
      <c r="R221" s="26"/>
      <c r="S221" s="14">
        <f t="shared" si="13"/>
        <v>93.56777136</v>
      </c>
      <c r="U221" s="21"/>
      <c r="V221" s="21"/>
    </row>
    <row r="222">
      <c r="A222" s="11">
        <v>210.0</v>
      </c>
      <c r="B222" s="11">
        <v>1.42030869565217E9</v>
      </c>
      <c r="C222" s="2">
        <v>-101.4528198</v>
      </c>
      <c r="D222" s="24">
        <f t="shared" si="1"/>
        <v>-91304.34783</v>
      </c>
      <c r="E222" s="25">
        <f t="shared" si="2"/>
        <v>18.36592264</v>
      </c>
      <c r="F222" s="24">
        <f t="shared" si="3"/>
        <v>0.0002011505813</v>
      </c>
      <c r="G222" s="24">
        <f t="shared" si="4"/>
        <v>0</v>
      </c>
      <c r="H222" s="26">
        <f t="shared" si="5"/>
        <v>0</v>
      </c>
      <c r="I222" s="24">
        <f t="shared" si="6"/>
        <v>0</v>
      </c>
      <c r="J222" s="24">
        <f t="shared" si="7"/>
        <v>0</v>
      </c>
      <c r="K222" s="24"/>
      <c r="L222" s="24">
        <f t="shared" si="8"/>
        <v>544.28227</v>
      </c>
      <c r="M222" s="14">
        <f t="shared" si="9"/>
        <v>433.6667566</v>
      </c>
      <c r="N222" s="27">
        <f t="shared" si="10"/>
        <v>110.6155133</v>
      </c>
      <c r="O222" s="24"/>
      <c r="P222" s="24"/>
      <c r="Q222" s="24"/>
      <c r="R222" s="26"/>
      <c r="S222" s="14">
        <f t="shared" si="13"/>
        <v>101.5777979</v>
      </c>
      <c r="U222" s="21"/>
      <c r="V222" s="21"/>
    </row>
    <row r="223">
      <c r="A223" s="11">
        <v>211.0</v>
      </c>
      <c r="B223" s="11">
        <v>1.42031304347826E9</v>
      </c>
      <c r="C223" s="2">
        <v>-101.4506531</v>
      </c>
      <c r="D223" s="24">
        <f t="shared" si="1"/>
        <v>-86956.52174</v>
      </c>
      <c r="E223" s="25">
        <f t="shared" si="2"/>
        <v>17.44762651</v>
      </c>
      <c r="F223" s="24">
        <f t="shared" si="3"/>
        <v>0.0002006477049</v>
      </c>
      <c r="G223" s="24">
        <f t="shared" si="4"/>
        <v>0</v>
      </c>
      <c r="H223" s="26">
        <f t="shared" si="5"/>
        <v>0</v>
      </c>
      <c r="I223" s="24">
        <f t="shared" si="6"/>
        <v>0</v>
      </c>
      <c r="J223" s="24">
        <f t="shared" si="7"/>
        <v>0</v>
      </c>
      <c r="K223" s="24"/>
      <c r="L223" s="24">
        <f t="shared" si="8"/>
        <v>544.5538808</v>
      </c>
      <c r="M223" s="14">
        <f t="shared" si="9"/>
        <v>433.5954719</v>
      </c>
      <c r="N223" s="27">
        <f t="shared" si="10"/>
        <v>110.9584089</v>
      </c>
      <c r="O223" s="24"/>
      <c r="P223" s="24"/>
      <c r="Q223" s="24"/>
      <c r="R223" s="26"/>
      <c r="S223" s="14">
        <f t="shared" si="13"/>
        <v>101.8926778</v>
      </c>
      <c r="U223" s="21"/>
      <c r="V223" s="21"/>
    </row>
    <row r="224">
      <c r="A224" s="11">
        <v>212.0</v>
      </c>
      <c r="B224" s="11">
        <v>1.42031739130434E9</v>
      </c>
      <c r="C224" s="2">
        <v>-101.5442429</v>
      </c>
      <c r="D224" s="24">
        <f t="shared" si="1"/>
        <v>-82608.69566</v>
      </c>
      <c r="E224" s="25">
        <f t="shared" si="2"/>
        <v>16.52933038</v>
      </c>
      <c r="F224" s="24">
        <f t="shared" si="3"/>
        <v>0.000200091894</v>
      </c>
      <c r="G224" s="24">
        <f t="shared" si="4"/>
        <v>0</v>
      </c>
      <c r="H224" s="26">
        <f t="shared" si="5"/>
        <v>0</v>
      </c>
      <c r="I224" s="24">
        <f t="shared" si="6"/>
        <v>0</v>
      </c>
      <c r="J224" s="24">
        <f t="shared" si="7"/>
        <v>0</v>
      </c>
      <c r="K224" s="24"/>
      <c r="L224" s="24">
        <f t="shared" si="8"/>
        <v>532.9443684</v>
      </c>
      <c r="M224" s="14">
        <f t="shared" si="9"/>
        <v>433.5239831</v>
      </c>
      <c r="N224" s="27">
        <f t="shared" si="10"/>
        <v>99.42038528</v>
      </c>
      <c r="O224" s="24"/>
      <c r="P224" s="24"/>
      <c r="Q224" s="24"/>
      <c r="R224" s="26"/>
      <c r="S224" s="14">
        <f t="shared" si="13"/>
        <v>91.29735533</v>
      </c>
      <c r="U224" s="21"/>
      <c r="V224" s="21"/>
    </row>
    <row r="225">
      <c r="A225" s="11">
        <v>213.0</v>
      </c>
      <c r="B225" s="11">
        <v>1.42032173913043E9</v>
      </c>
      <c r="C225" s="2">
        <v>-101.4813004</v>
      </c>
      <c r="D225" s="24">
        <f t="shared" si="1"/>
        <v>-78260.86957</v>
      </c>
      <c r="E225" s="25">
        <f t="shared" si="2"/>
        <v>15.61103425</v>
      </c>
      <c r="F225" s="24">
        <f t="shared" si="3"/>
        <v>0.0001994743265</v>
      </c>
      <c r="G225" s="24">
        <f t="shared" si="4"/>
        <v>0</v>
      </c>
      <c r="H225" s="26">
        <f t="shared" si="5"/>
        <v>0</v>
      </c>
      <c r="I225" s="24">
        <f t="shared" si="6"/>
        <v>0</v>
      </c>
      <c r="J225" s="24">
        <f t="shared" si="7"/>
        <v>0</v>
      </c>
      <c r="K225" s="24"/>
      <c r="L225" s="24">
        <f t="shared" si="8"/>
        <v>540.7245992</v>
      </c>
      <c r="M225" s="14">
        <f t="shared" si="9"/>
        <v>433.452289</v>
      </c>
      <c r="N225" s="27">
        <f t="shared" si="10"/>
        <v>107.2723102</v>
      </c>
      <c r="O225" s="24"/>
      <c r="P225" s="24"/>
      <c r="Q225" s="24"/>
      <c r="R225" s="26"/>
      <c r="S225" s="14">
        <f t="shared" si="13"/>
        <v>98.50774734</v>
      </c>
      <c r="U225" s="21"/>
      <c r="V225" s="21"/>
    </row>
    <row r="226">
      <c r="A226" s="11">
        <v>214.0</v>
      </c>
      <c r="B226" s="11">
        <v>1.42032608695652E9</v>
      </c>
      <c r="C226" s="2">
        <v>-101.4300156</v>
      </c>
      <c r="D226" s="24">
        <f t="shared" si="1"/>
        <v>-73913.04348</v>
      </c>
      <c r="E226" s="25">
        <f t="shared" si="2"/>
        <v>14.69273812</v>
      </c>
      <c r="F226" s="24">
        <f t="shared" si="3"/>
        <v>0.0001987841039</v>
      </c>
      <c r="G226" s="24">
        <f t="shared" si="4"/>
        <v>0</v>
      </c>
      <c r="H226" s="26">
        <f t="shared" si="5"/>
        <v>0</v>
      </c>
      <c r="I226" s="24">
        <f t="shared" si="6"/>
        <v>0</v>
      </c>
      <c r="J226" s="24">
        <f t="shared" si="7"/>
        <v>0</v>
      </c>
      <c r="K226" s="24"/>
      <c r="L226" s="24">
        <f t="shared" si="8"/>
        <v>547.1477371</v>
      </c>
      <c r="M226" s="14">
        <f t="shared" si="9"/>
        <v>433.3803885</v>
      </c>
      <c r="N226" s="27">
        <f t="shared" si="10"/>
        <v>113.7673486</v>
      </c>
      <c r="O226" s="24"/>
      <c r="P226" s="24"/>
      <c r="Q226" s="24"/>
      <c r="R226" s="26"/>
      <c r="S226" s="14">
        <f t="shared" si="13"/>
        <v>104.4721162</v>
      </c>
      <c r="U226" s="21"/>
      <c r="V226" s="21"/>
    </row>
    <row r="227">
      <c r="A227" s="11">
        <v>215.0</v>
      </c>
      <c r="B227" s="11">
        <v>1.4203304347826E9</v>
      </c>
      <c r="C227" s="2">
        <v>-101.425499</v>
      </c>
      <c r="D227" s="24">
        <f t="shared" si="1"/>
        <v>-69565.2174</v>
      </c>
      <c r="E227" s="25">
        <f t="shared" si="2"/>
        <v>13.77444198</v>
      </c>
      <c r="F227" s="24">
        <f t="shared" si="3"/>
        <v>0.0001980076035</v>
      </c>
      <c r="G227" s="24">
        <f t="shared" si="4"/>
        <v>0</v>
      </c>
      <c r="H227" s="26">
        <f t="shared" si="5"/>
        <v>0</v>
      </c>
      <c r="I227" s="24">
        <f t="shared" si="6"/>
        <v>0</v>
      </c>
      <c r="J227" s="24">
        <f t="shared" si="7"/>
        <v>0</v>
      </c>
      <c r="K227" s="24"/>
      <c r="L227" s="24">
        <f t="shared" si="8"/>
        <v>547.7170588</v>
      </c>
      <c r="M227" s="14">
        <f t="shared" si="9"/>
        <v>433.3082803</v>
      </c>
      <c r="N227" s="27">
        <f t="shared" si="10"/>
        <v>114.4087786</v>
      </c>
      <c r="O227" s="24"/>
      <c r="P227" s="24"/>
      <c r="Q227" s="24"/>
      <c r="R227" s="26"/>
      <c r="S227" s="14">
        <f t="shared" si="13"/>
        <v>105.0611389</v>
      </c>
      <c r="U227" s="21"/>
      <c r="V227" s="21"/>
    </row>
    <row r="228">
      <c r="A228" s="11">
        <v>216.0</v>
      </c>
      <c r="B228" s="11">
        <v>1.42033478260869E9</v>
      </c>
      <c r="C228" s="2">
        <v>-101.4913559</v>
      </c>
      <c r="D228" s="24">
        <f t="shared" si="1"/>
        <v>-65217.39131</v>
      </c>
      <c r="E228" s="25">
        <f t="shared" si="2"/>
        <v>12.85614585</v>
      </c>
      <c r="F228" s="24">
        <f t="shared" si="3"/>
        <v>0.0001971275697</v>
      </c>
      <c r="G228" s="24">
        <f t="shared" si="4"/>
        <v>0</v>
      </c>
      <c r="H228" s="26">
        <f t="shared" si="5"/>
        <v>0</v>
      </c>
      <c r="I228" s="24">
        <f t="shared" si="6"/>
        <v>0</v>
      </c>
      <c r="J228" s="24">
        <f t="shared" si="7"/>
        <v>0</v>
      </c>
      <c r="K228" s="24"/>
      <c r="L228" s="24">
        <f t="shared" si="8"/>
        <v>539.4740729</v>
      </c>
      <c r="M228" s="14">
        <f t="shared" si="9"/>
        <v>433.2359632</v>
      </c>
      <c r="N228" s="27">
        <f t="shared" si="10"/>
        <v>106.2381098</v>
      </c>
      <c r="O228" s="24"/>
      <c r="P228" s="24"/>
      <c r="Q228" s="24"/>
      <c r="R228" s="26"/>
      <c r="S228" s="14">
        <f t="shared" si="13"/>
        <v>97.55804536</v>
      </c>
      <c r="U228" s="21"/>
      <c r="V228" s="21"/>
    </row>
    <row r="229">
      <c r="A229" s="11">
        <v>217.0</v>
      </c>
      <c r="B229" s="11">
        <v>1.42033913043478E9</v>
      </c>
      <c r="C229" s="2">
        <v>-101.3961716</v>
      </c>
      <c r="D229" s="24">
        <f t="shared" si="1"/>
        <v>-60869.56522</v>
      </c>
      <c r="E229" s="25">
        <f t="shared" si="2"/>
        <v>11.93784972</v>
      </c>
      <c r="F229" s="24">
        <f t="shared" si="3"/>
        <v>0.0001961218168</v>
      </c>
      <c r="G229" s="24">
        <f t="shared" si="4"/>
        <v>0</v>
      </c>
      <c r="H229" s="26">
        <f t="shared" si="5"/>
        <v>0</v>
      </c>
      <c r="I229" s="24">
        <f t="shared" si="6"/>
        <v>0</v>
      </c>
      <c r="J229" s="24">
        <f t="shared" si="7"/>
        <v>0</v>
      </c>
      <c r="K229" s="24"/>
      <c r="L229" s="24">
        <f t="shared" si="8"/>
        <v>551.4282448</v>
      </c>
      <c r="M229" s="14">
        <f t="shared" si="9"/>
        <v>433.163436</v>
      </c>
      <c r="N229" s="27">
        <f t="shared" si="10"/>
        <v>118.2648088</v>
      </c>
      <c r="O229" s="24"/>
      <c r="P229" s="24"/>
      <c r="Q229" s="24"/>
      <c r="R229" s="26"/>
      <c r="S229" s="14">
        <f t="shared" si="13"/>
        <v>108.6021163</v>
      </c>
      <c r="U229" s="21"/>
      <c r="V229" s="21"/>
    </row>
    <row r="230">
      <c r="A230" s="11">
        <v>218.0</v>
      </c>
      <c r="B230" s="11">
        <v>1.42034347826087E9</v>
      </c>
      <c r="C230" s="2">
        <v>-101.3650131</v>
      </c>
      <c r="D230" s="24">
        <f t="shared" si="1"/>
        <v>-56521.73913</v>
      </c>
      <c r="E230" s="25">
        <f t="shared" si="2"/>
        <v>11.01955359</v>
      </c>
      <c r="F230" s="24">
        <f t="shared" si="3"/>
        <v>0.0001949613327</v>
      </c>
      <c r="G230" s="24">
        <f t="shared" si="4"/>
        <v>0</v>
      </c>
      <c r="H230" s="26">
        <f t="shared" si="5"/>
        <v>0</v>
      </c>
      <c r="I230" s="24">
        <f t="shared" si="6"/>
        <v>0</v>
      </c>
      <c r="J230" s="24">
        <f t="shared" si="7"/>
        <v>0</v>
      </c>
      <c r="K230" s="24"/>
      <c r="L230" s="24">
        <f t="shared" si="8"/>
        <v>555.3986981</v>
      </c>
      <c r="M230" s="14">
        <f t="shared" si="9"/>
        <v>433.0906975</v>
      </c>
      <c r="N230" s="27">
        <f t="shared" si="10"/>
        <v>122.3080006</v>
      </c>
      <c r="O230" s="24"/>
      <c r="P230" s="24"/>
      <c r="Q230" s="24"/>
      <c r="R230" s="26"/>
      <c r="S230" s="14">
        <f t="shared" si="13"/>
        <v>112.3149639</v>
      </c>
      <c r="U230" s="21"/>
      <c r="V230" s="21"/>
    </row>
    <row r="231">
      <c r="A231" s="11">
        <v>219.0</v>
      </c>
      <c r="B231" s="11">
        <v>1.42034782608695E9</v>
      </c>
      <c r="C231" s="2">
        <v>-101.4468613</v>
      </c>
      <c r="D231" s="24">
        <f t="shared" si="1"/>
        <v>-52173.91305</v>
      </c>
      <c r="E231" s="25">
        <f t="shared" si="2"/>
        <v>10.10125745</v>
      </c>
      <c r="F231" s="24">
        <f t="shared" si="3"/>
        <v>0.0001936074345</v>
      </c>
      <c r="G231" s="24">
        <f t="shared" si="4"/>
        <v>0</v>
      </c>
      <c r="H231" s="26">
        <f t="shared" si="5"/>
        <v>0</v>
      </c>
      <c r="I231" s="24">
        <f t="shared" si="6"/>
        <v>0</v>
      </c>
      <c r="J231" s="24">
        <f t="shared" si="7"/>
        <v>0</v>
      </c>
      <c r="K231" s="24"/>
      <c r="L231" s="24">
        <f t="shared" si="8"/>
        <v>545.0295352</v>
      </c>
      <c r="M231" s="14">
        <f t="shared" si="9"/>
        <v>433.0177465</v>
      </c>
      <c r="N231" s="27">
        <f t="shared" si="10"/>
        <v>112.0117887</v>
      </c>
      <c r="O231" s="24"/>
      <c r="P231" s="24"/>
      <c r="Q231" s="24"/>
      <c r="R231" s="26"/>
      <c r="S231" s="14">
        <f t="shared" si="13"/>
        <v>102.8599924</v>
      </c>
      <c r="U231" s="21"/>
      <c r="V231" s="21"/>
    </row>
    <row r="232">
      <c r="A232" s="11">
        <v>220.0</v>
      </c>
      <c r="B232" s="11">
        <v>1.42035217391304E9</v>
      </c>
      <c r="C232" s="2">
        <v>-101.4024658</v>
      </c>
      <c r="D232" s="24">
        <f t="shared" si="1"/>
        <v>-47826.08696</v>
      </c>
      <c r="E232" s="25">
        <f t="shared" si="2"/>
        <v>9.182961321</v>
      </c>
      <c r="F232" s="24">
        <f t="shared" si="3"/>
        <v>0.0001920073731</v>
      </c>
      <c r="G232" s="24">
        <f t="shared" si="4"/>
        <v>0</v>
      </c>
      <c r="H232" s="26">
        <f t="shared" si="5"/>
        <v>0</v>
      </c>
      <c r="I232" s="24">
        <f t="shared" si="6"/>
        <v>0</v>
      </c>
      <c r="J232" s="24">
        <f t="shared" si="7"/>
        <v>0</v>
      </c>
      <c r="K232" s="24"/>
      <c r="L232" s="24">
        <f t="shared" si="8"/>
        <v>550.6296424</v>
      </c>
      <c r="M232" s="14">
        <f t="shared" si="9"/>
        <v>432.9445819</v>
      </c>
      <c r="N232" s="27">
        <f t="shared" si="10"/>
        <v>117.6850606</v>
      </c>
      <c r="O232" s="24"/>
      <c r="P232" s="24"/>
      <c r="Q232" s="24"/>
      <c r="R232" s="26"/>
      <c r="S232" s="14">
        <f t="shared" si="13"/>
        <v>108.0697358</v>
      </c>
      <c r="U232" s="21"/>
      <c r="V232" s="21"/>
    </row>
    <row r="233">
      <c r="A233" s="11">
        <v>221.0</v>
      </c>
      <c r="B233" s="11">
        <v>1.42035652173913E9</v>
      </c>
      <c r="C233" s="2">
        <v>-101.3996811</v>
      </c>
      <c r="D233" s="24">
        <f t="shared" si="1"/>
        <v>-43478.26087</v>
      </c>
      <c r="E233" s="25">
        <f t="shared" si="2"/>
        <v>8.264665191</v>
      </c>
      <c r="F233" s="24">
        <f t="shared" si="3"/>
        <v>0.0001900872994</v>
      </c>
      <c r="G233" s="24">
        <f t="shared" si="4"/>
        <v>0</v>
      </c>
      <c r="H233" s="26">
        <f t="shared" si="5"/>
        <v>0</v>
      </c>
      <c r="I233" s="24">
        <f t="shared" si="6"/>
        <v>0</v>
      </c>
      <c r="J233" s="24">
        <f t="shared" si="7"/>
        <v>0</v>
      </c>
      <c r="K233" s="24"/>
      <c r="L233" s="24">
        <f t="shared" si="8"/>
        <v>550.9828199</v>
      </c>
      <c r="M233" s="14">
        <f t="shared" si="9"/>
        <v>432.8712023</v>
      </c>
      <c r="N233" s="27">
        <f t="shared" si="10"/>
        <v>118.1116176</v>
      </c>
      <c r="O233" s="24"/>
      <c r="P233" s="24"/>
      <c r="Q233" s="24"/>
      <c r="R233" s="26"/>
      <c r="S233" s="14">
        <f t="shared" si="13"/>
        <v>108.4614417</v>
      </c>
      <c r="U233" s="21"/>
      <c r="V233" s="21"/>
    </row>
    <row r="234">
      <c r="A234" s="11">
        <v>222.0</v>
      </c>
      <c r="B234" s="11">
        <v>1.42036086956521E9</v>
      </c>
      <c r="C234" s="2">
        <v>-101.4298096</v>
      </c>
      <c r="D234" s="24">
        <f t="shared" si="1"/>
        <v>-39130.43479</v>
      </c>
      <c r="E234" s="25">
        <f t="shared" si="2"/>
        <v>7.346369058</v>
      </c>
      <c r="F234" s="24">
        <f t="shared" si="3"/>
        <v>0.0001877405426</v>
      </c>
      <c r="G234" s="24">
        <f t="shared" si="4"/>
        <v>0</v>
      </c>
      <c r="H234" s="26">
        <f t="shared" si="5"/>
        <v>0</v>
      </c>
      <c r="I234" s="24">
        <f t="shared" si="6"/>
        <v>0</v>
      </c>
      <c r="J234" s="24">
        <f t="shared" si="7"/>
        <v>0</v>
      </c>
      <c r="K234" s="24"/>
      <c r="L234" s="24">
        <f t="shared" si="8"/>
        <v>547.1736907</v>
      </c>
      <c r="M234" s="14">
        <f t="shared" si="9"/>
        <v>432.7976066</v>
      </c>
      <c r="N234" s="27">
        <f t="shared" si="10"/>
        <v>114.3760841</v>
      </c>
      <c r="O234" s="24"/>
      <c r="P234" s="24"/>
      <c r="Q234" s="24"/>
      <c r="R234" s="26"/>
      <c r="S234" s="14">
        <f t="shared" si="13"/>
        <v>105.0311157</v>
      </c>
      <c r="U234" s="21"/>
      <c r="V234" s="21"/>
    </row>
    <row r="235">
      <c r="A235" s="11">
        <v>223.0</v>
      </c>
      <c r="B235" s="11">
        <v>1.4203652173913E9</v>
      </c>
      <c r="C235" s="2">
        <v>-101.3912964</v>
      </c>
      <c r="D235" s="24">
        <f t="shared" si="1"/>
        <v>-34782.6087</v>
      </c>
      <c r="E235" s="25">
        <f t="shared" si="2"/>
        <v>6.428072925</v>
      </c>
      <c r="F235" s="24">
        <f t="shared" si="3"/>
        <v>0.0001848070966</v>
      </c>
      <c r="G235" s="24">
        <f t="shared" si="4"/>
        <v>0</v>
      </c>
      <c r="H235" s="26">
        <f t="shared" si="5"/>
        <v>0</v>
      </c>
      <c r="I235" s="24">
        <f t="shared" si="6"/>
        <v>0</v>
      </c>
      <c r="J235" s="24">
        <f t="shared" si="7"/>
        <v>0</v>
      </c>
      <c r="K235" s="24"/>
      <c r="L235" s="24">
        <f t="shared" si="8"/>
        <v>552.0476016</v>
      </c>
      <c r="M235" s="14">
        <f t="shared" si="9"/>
        <v>432.7237936</v>
      </c>
      <c r="N235" s="27">
        <f t="shared" si="10"/>
        <v>119.323808</v>
      </c>
      <c r="O235" s="24"/>
      <c r="P235" s="24"/>
      <c r="Q235" s="24"/>
      <c r="R235" s="26"/>
      <c r="S235" s="14">
        <f t="shared" si="13"/>
        <v>109.5745912</v>
      </c>
      <c r="U235" s="21"/>
      <c r="V235" s="21"/>
    </row>
    <row r="236">
      <c r="A236" s="11">
        <v>224.0</v>
      </c>
      <c r="B236" s="11">
        <v>1.42036956521739E9</v>
      </c>
      <c r="C236" s="2">
        <v>-101.3413086</v>
      </c>
      <c r="D236" s="24">
        <f t="shared" si="1"/>
        <v>-30434.78261</v>
      </c>
      <c r="E236" s="25">
        <f t="shared" si="2"/>
        <v>5.509776795</v>
      </c>
      <c r="F236" s="24">
        <f t="shared" si="3"/>
        <v>0.0001810355232</v>
      </c>
      <c r="G236" s="24">
        <f t="shared" si="4"/>
        <v>0</v>
      </c>
      <c r="H236" s="26">
        <f t="shared" si="5"/>
        <v>0</v>
      </c>
      <c r="I236" s="24">
        <f t="shared" si="6"/>
        <v>0</v>
      </c>
      <c r="J236" s="24">
        <f t="shared" si="7"/>
        <v>0</v>
      </c>
      <c r="K236" s="24"/>
      <c r="L236" s="24">
        <f t="shared" si="8"/>
        <v>558.4384428</v>
      </c>
      <c r="M236" s="14">
        <f t="shared" si="9"/>
        <v>432.649762</v>
      </c>
      <c r="N236" s="27">
        <f t="shared" si="10"/>
        <v>125.7886808</v>
      </c>
      <c r="O236" s="24"/>
      <c r="P236" s="24"/>
      <c r="Q236" s="24"/>
      <c r="R236" s="26"/>
      <c r="S236" s="14">
        <f t="shared" si="13"/>
        <v>115.5112591</v>
      </c>
      <c r="U236" s="21"/>
      <c r="V236" s="21"/>
    </row>
    <row r="237">
      <c r="A237" s="11">
        <v>225.0</v>
      </c>
      <c r="B237" s="11">
        <v>1.42037391304347E9</v>
      </c>
      <c r="C237" s="2">
        <v>-101.3217697</v>
      </c>
      <c r="D237" s="24">
        <f t="shared" si="1"/>
        <v>-26086.95653</v>
      </c>
      <c r="E237" s="25">
        <f t="shared" si="2"/>
        <v>4.591480662</v>
      </c>
      <c r="F237" s="24">
        <f t="shared" si="3"/>
        <v>0.0001760067586</v>
      </c>
      <c r="G237" s="24">
        <f t="shared" si="4"/>
        <v>0</v>
      </c>
      <c r="H237" s="26">
        <f t="shared" si="5"/>
        <v>0</v>
      </c>
      <c r="I237" s="24">
        <f t="shared" si="6"/>
        <v>0</v>
      </c>
      <c r="J237" s="24">
        <f t="shared" si="7"/>
        <v>0</v>
      </c>
      <c r="K237" s="24"/>
      <c r="L237" s="24">
        <f t="shared" si="8"/>
        <v>560.9565164</v>
      </c>
      <c r="M237" s="14">
        <f t="shared" si="9"/>
        <v>432.5755108</v>
      </c>
      <c r="N237" s="27">
        <f t="shared" si="10"/>
        <v>128.3810056</v>
      </c>
      <c r="O237" s="24"/>
      <c r="P237" s="24"/>
      <c r="Q237" s="24"/>
      <c r="R237" s="26"/>
      <c r="S237" s="14">
        <f t="shared" si="13"/>
        <v>117.891781</v>
      </c>
      <c r="U237" s="21"/>
      <c r="V237" s="21"/>
    </row>
    <row r="238">
      <c r="A238" s="11">
        <v>226.0</v>
      </c>
      <c r="B238" s="11">
        <v>1.42037826086956E9</v>
      </c>
      <c r="C238" s="2">
        <v>-101.270607</v>
      </c>
      <c r="D238" s="24">
        <f t="shared" si="1"/>
        <v>-21739.13044</v>
      </c>
      <c r="E238" s="25">
        <f t="shared" si="2"/>
        <v>3.673184529</v>
      </c>
      <c r="F238" s="24">
        <f t="shared" si="3"/>
        <v>0.0001689664883</v>
      </c>
      <c r="G238" s="24">
        <f t="shared" si="4"/>
        <v>0</v>
      </c>
      <c r="H238" s="26">
        <f t="shared" si="5"/>
        <v>0</v>
      </c>
      <c r="I238" s="24">
        <f t="shared" si="6"/>
        <v>0</v>
      </c>
      <c r="J238" s="24">
        <f t="shared" si="7"/>
        <v>0</v>
      </c>
      <c r="K238" s="24"/>
      <c r="L238" s="24">
        <f t="shared" si="8"/>
        <v>567.6040262</v>
      </c>
      <c r="M238" s="14">
        <f t="shared" si="9"/>
        <v>432.5010386</v>
      </c>
      <c r="N238" s="27">
        <f t="shared" si="10"/>
        <v>135.1029876</v>
      </c>
      <c r="O238" s="24"/>
      <c r="P238" s="24"/>
      <c r="Q238" s="24"/>
      <c r="R238" s="26"/>
      <c r="S238" s="14">
        <f t="shared" si="13"/>
        <v>124.0645508</v>
      </c>
      <c r="U238" s="21"/>
      <c r="V238" s="21"/>
    </row>
    <row r="239">
      <c r="A239" s="11">
        <v>227.0</v>
      </c>
      <c r="B239" s="11">
        <v>1.42038260869565E9</v>
      </c>
      <c r="C239" s="2">
        <v>-101.3000336</v>
      </c>
      <c r="D239" s="24">
        <f t="shared" si="1"/>
        <v>-17391.30435</v>
      </c>
      <c r="E239" s="25">
        <f t="shared" si="2"/>
        <v>2.754888398</v>
      </c>
      <c r="F239" s="24">
        <f t="shared" si="3"/>
        <v>0.0001584060829</v>
      </c>
      <c r="G239" s="24">
        <f t="shared" si="4"/>
        <v>0</v>
      </c>
      <c r="H239" s="26">
        <f t="shared" si="5"/>
        <v>0</v>
      </c>
      <c r="I239" s="24">
        <f t="shared" si="6"/>
        <v>0</v>
      </c>
      <c r="J239" s="24">
        <f t="shared" si="7"/>
        <v>0</v>
      </c>
      <c r="K239" s="24"/>
      <c r="L239" s="24">
        <f t="shared" si="8"/>
        <v>563.7710975</v>
      </c>
      <c r="M239" s="14">
        <f t="shared" si="9"/>
        <v>432.4263442</v>
      </c>
      <c r="N239" s="27">
        <f t="shared" si="10"/>
        <v>131.3447532</v>
      </c>
      <c r="O239" s="24"/>
      <c r="P239" s="24"/>
      <c r="Q239" s="24"/>
      <c r="R239" s="26"/>
      <c r="S239" s="14">
        <f t="shared" si="13"/>
        <v>120.613379</v>
      </c>
      <c r="U239" s="21"/>
      <c r="V239" s="21"/>
    </row>
    <row r="240">
      <c r="A240" s="11">
        <v>228.0</v>
      </c>
      <c r="B240" s="11">
        <v>1.42038695652173E9</v>
      </c>
      <c r="C240" s="2">
        <v>-101.2775955</v>
      </c>
      <c r="D240" s="24">
        <f t="shared" si="1"/>
        <v>-13043.47827</v>
      </c>
      <c r="E240" s="25">
        <f t="shared" si="2"/>
        <v>1.836592266</v>
      </c>
      <c r="F240" s="24">
        <f t="shared" si="3"/>
        <v>0.0001408054069</v>
      </c>
      <c r="G240" s="24">
        <f t="shared" si="4"/>
        <v>0</v>
      </c>
      <c r="H240" s="26">
        <f t="shared" si="5"/>
        <v>0</v>
      </c>
      <c r="I240" s="24">
        <f t="shared" si="6"/>
        <v>0</v>
      </c>
      <c r="J240" s="24">
        <f t="shared" si="7"/>
        <v>0</v>
      </c>
      <c r="K240" s="24"/>
      <c r="L240" s="24">
        <f t="shared" si="8"/>
        <v>566.6913941</v>
      </c>
      <c r="M240" s="14">
        <f t="shared" si="9"/>
        <v>432.3514265</v>
      </c>
      <c r="N240" s="27">
        <f t="shared" si="10"/>
        <v>134.3399675</v>
      </c>
      <c r="O240" s="24"/>
      <c r="P240" s="24"/>
      <c r="Q240" s="24"/>
      <c r="R240" s="26"/>
      <c r="S240" s="14">
        <f t="shared" si="13"/>
        <v>123.3638727</v>
      </c>
      <c r="U240" s="21"/>
      <c r="V240" s="21"/>
    </row>
    <row r="241">
      <c r="A241" s="11">
        <v>229.0</v>
      </c>
      <c r="B241" s="11">
        <v>1.42039130434782E9</v>
      </c>
      <c r="C241" s="2">
        <v>-101.2201004</v>
      </c>
      <c r="D241" s="24">
        <f t="shared" si="1"/>
        <v>-8695.65218</v>
      </c>
      <c r="E241" s="25">
        <f t="shared" si="2"/>
        <v>0.9182961328</v>
      </c>
      <c r="F241" s="24">
        <f t="shared" si="3"/>
        <v>0.0001056040552</v>
      </c>
      <c r="G241" s="24">
        <f t="shared" si="4"/>
        <v>0</v>
      </c>
      <c r="H241" s="26">
        <f t="shared" si="5"/>
        <v>0</v>
      </c>
      <c r="I241" s="24">
        <f t="shared" si="6"/>
        <v>0</v>
      </c>
      <c r="J241" s="24">
        <f t="shared" si="7"/>
        <v>0</v>
      </c>
      <c r="K241" s="24"/>
      <c r="L241" s="24">
        <f t="shared" si="8"/>
        <v>574.2435521</v>
      </c>
      <c r="M241" s="14">
        <f t="shared" si="9"/>
        <v>432.2762843</v>
      </c>
      <c r="N241" s="27">
        <f t="shared" si="10"/>
        <v>141.9672678</v>
      </c>
      <c r="O241" s="24"/>
      <c r="P241" s="24"/>
      <c r="Q241" s="24"/>
      <c r="R241" s="26"/>
      <c r="S241" s="14">
        <f t="shared" si="13"/>
        <v>130.367993</v>
      </c>
      <c r="U241" s="21"/>
      <c r="V241" s="21"/>
    </row>
    <row r="242">
      <c r="A242" s="11">
        <v>230.0</v>
      </c>
      <c r="B242" s="11">
        <v>1.42039565217391E9</v>
      </c>
      <c r="C242" s="2">
        <v>-101.1766891</v>
      </c>
      <c r="D242" s="24">
        <f t="shared" si="1"/>
        <v>-4347.82609</v>
      </c>
      <c r="E242" s="25">
        <f t="shared" si="2"/>
        <v>0</v>
      </c>
      <c r="F242" s="24">
        <f t="shared" si="3"/>
        <v>0</v>
      </c>
      <c r="G242" s="24">
        <f t="shared" si="4"/>
        <v>0</v>
      </c>
      <c r="H242" s="26">
        <f t="shared" si="5"/>
        <v>0</v>
      </c>
      <c r="I242" s="24">
        <f t="shared" si="6"/>
        <v>0</v>
      </c>
      <c r="J242" s="24" t="str">
        <f t="shared" si="7"/>
        <v>#DIV/0!</v>
      </c>
      <c r="K242" s="24"/>
      <c r="L242" s="24">
        <f t="shared" si="8"/>
        <v>580.012372</v>
      </c>
      <c r="M242" s="14">
        <f t="shared" si="9"/>
        <v>432.2009163</v>
      </c>
      <c r="N242" s="27">
        <f t="shared" si="10"/>
        <v>147.8114556</v>
      </c>
      <c r="O242" s="24"/>
      <c r="P242" s="24"/>
      <c r="Q242" s="24"/>
      <c r="R242" s="26"/>
      <c r="S242" s="14">
        <f t="shared" si="13"/>
        <v>135.7346878</v>
      </c>
      <c r="U242" s="21"/>
      <c r="V242" s="21"/>
    </row>
    <row r="243">
      <c r="A243" s="11">
        <v>231.0</v>
      </c>
      <c r="B243" s="11">
        <v>1.4204E9</v>
      </c>
      <c r="C243" s="2">
        <v>-101.1375961</v>
      </c>
      <c r="D243" s="24">
        <f t="shared" si="1"/>
        <v>0</v>
      </c>
      <c r="E243" s="25">
        <f t="shared" si="2"/>
        <v>-0.9182961307</v>
      </c>
      <c r="F243" s="24" t="str">
        <f t="shared" si="3"/>
        <v>#DIV/0!</v>
      </c>
      <c r="G243" s="24">
        <f t="shared" si="4"/>
        <v>0</v>
      </c>
      <c r="H243" s="26">
        <f t="shared" si="5"/>
        <v>0</v>
      </c>
      <c r="I243" s="24">
        <f t="shared" si="6"/>
        <v>0</v>
      </c>
      <c r="J243" s="24" t="str">
        <f t="shared" si="7"/>
        <v>#DIV/0!</v>
      </c>
      <c r="K243" s="24"/>
      <c r="L243" s="24">
        <f t="shared" si="8"/>
        <v>585.2569199</v>
      </c>
      <c r="M243" s="14">
        <f t="shared" si="9"/>
        <v>432.1253214</v>
      </c>
      <c r="N243" s="27">
        <f t="shared" si="10"/>
        <v>153.1315986</v>
      </c>
      <c r="O243" s="24"/>
      <c r="P243" s="24"/>
      <c r="Q243" s="24"/>
      <c r="R243" s="26"/>
      <c r="S243" s="14">
        <f t="shared" si="13"/>
        <v>140.6201548</v>
      </c>
      <c r="U243" s="21"/>
      <c r="V243" s="21"/>
    </row>
    <row r="244">
      <c r="A244" s="11">
        <v>232.0</v>
      </c>
      <c r="B244" s="11">
        <v>1.42040434782608E9</v>
      </c>
      <c r="C244" s="2">
        <v>-101.1456833</v>
      </c>
      <c r="D244" s="24">
        <f t="shared" si="1"/>
        <v>4347.82608</v>
      </c>
      <c r="E244" s="25">
        <f t="shared" si="2"/>
        <v>-1.836592263</v>
      </c>
      <c r="F244" s="24">
        <f t="shared" si="3"/>
        <v>0.0004224162213</v>
      </c>
      <c r="G244" s="24">
        <f t="shared" si="4"/>
        <v>0</v>
      </c>
      <c r="H244" s="26">
        <f t="shared" si="5"/>
        <v>0</v>
      </c>
      <c r="I244" s="24">
        <f t="shared" si="6"/>
        <v>0</v>
      </c>
      <c r="J244" s="24">
        <f t="shared" si="7"/>
        <v>0</v>
      </c>
      <c r="K244" s="24"/>
      <c r="L244" s="24">
        <f t="shared" si="8"/>
        <v>584.1680998</v>
      </c>
      <c r="M244" s="14">
        <f t="shared" si="9"/>
        <v>432.0494983</v>
      </c>
      <c r="N244" s="27">
        <f t="shared" si="10"/>
        <v>152.1186016</v>
      </c>
      <c r="O244" s="24"/>
      <c r="P244" s="24"/>
      <c r="Q244" s="24"/>
      <c r="R244" s="26"/>
      <c r="S244" s="14">
        <f t="shared" si="13"/>
        <v>139.6899235</v>
      </c>
      <c r="U244" s="21"/>
      <c r="V244" s="21"/>
    </row>
    <row r="245">
      <c r="A245" s="11">
        <v>233.0</v>
      </c>
      <c r="B245" s="11">
        <v>1.42040869565217E9</v>
      </c>
      <c r="C245" s="2">
        <v>-101.0802002</v>
      </c>
      <c r="D245" s="24">
        <f t="shared" si="1"/>
        <v>8695.65217</v>
      </c>
      <c r="E245" s="25">
        <f t="shared" si="2"/>
        <v>-2.754888396</v>
      </c>
      <c r="F245" s="24">
        <f t="shared" si="3"/>
        <v>0.0003168121657</v>
      </c>
      <c r="G245" s="24">
        <f t="shared" si="4"/>
        <v>0</v>
      </c>
      <c r="H245" s="26">
        <f t="shared" si="5"/>
        <v>0</v>
      </c>
      <c r="I245" s="24">
        <f t="shared" si="6"/>
        <v>0</v>
      </c>
      <c r="J245" s="24">
        <f t="shared" si="7"/>
        <v>0</v>
      </c>
      <c r="K245" s="24"/>
      <c r="L245" s="24">
        <f t="shared" si="8"/>
        <v>593.0429499</v>
      </c>
      <c r="M245" s="14">
        <f t="shared" si="9"/>
        <v>431.9734458</v>
      </c>
      <c r="N245" s="27">
        <f t="shared" si="10"/>
        <v>161.0695041</v>
      </c>
      <c r="O245" s="24"/>
      <c r="P245" s="24"/>
      <c r="Q245" s="24"/>
      <c r="R245" s="26"/>
      <c r="S245" s="14">
        <f t="shared" si="13"/>
        <v>147.9095024</v>
      </c>
      <c r="U245" s="21"/>
      <c r="V245" s="21"/>
    </row>
    <row r="246">
      <c r="A246" s="11">
        <v>234.0</v>
      </c>
      <c r="B246" s="11">
        <v>1.42041304347826E9</v>
      </c>
      <c r="C246" s="2">
        <v>-101.0397873</v>
      </c>
      <c r="D246" s="24">
        <f t="shared" si="1"/>
        <v>13043.47826</v>
      </c>
      <c r="E246" s="25">
        <f t="shared" si="2"/>
        <v>-3.673184527</v>
      </c>
      <c r="F246" s="24">
        <f t="shared" si="3"/>
        <v>0.0002816108137</v>
      </c>
      <c r="G246" s="24">
        <f t="shared" si="4"/>
        <v>0</v>
      </c>
      <c r="H246" s="26">
        <f t="shared" si="5"/>
        <v>0</v>
      </c>
      <c r="I246" s="24">
        <f t="shared" si="6"/>
        <v>0</v>
      </c>
      <c r="J246" s="24">
        <f t="shared" si="7"/>
        <v>0</v>
      </c>
      <c r="K246" s="24"/>
      <c r="L246" s="24">
        <f t="shared" si="8"/>
        <v>598.587216</v>
      </c>
      <c r="M246" s="14">
        <f t="shared" si="9"/>
        <v>431.8971627</v>
      </c>
      <c r="N246" s="27">
        <f t="shared" si="10"/>
        <v>166.6900533</v>
      </c>
      <c r="O246" s="24"/>
      <c r="P246" s="24"/>
      <c r="Q246" s="24"/>
      <c r="R246" s="26"/>
      <c r="S246" s="14">
        <f t="shared" si="13"/>
        <v>153.0708313</v>
      </c>
      <c r="U246" s="21"/>
      <c r="V246" s="21"/>
    </row>
    <row r="247">
      <c r="A247" s="11">
        <v>235.0</v>
      </c>
      <c r="B247" s="11">
        <v>1.42041739130434E9</v>
      </c>
      <c r="C247" s="2">
        <v>-101.0181503</v>
      </c>
      <c r="D247" s="24">
        <f t="shared" si="1"/>
        <v>17391.30434</v>
      </c>
      <c r="E247" s="25">
        <f t="shared" si="2"/>
        <v>-4.59148066</v>
      </c>
      <c r="F247" s="24">
        <f t="shared" si="3"/>
        <v>0.0002640101381</v>
      </c>
      <c r="G247" s="24">
        <f t="shared" si="4"/>
        <v>0</v>
      </c>
      <c r="H247" s="26">
        <f t="shared" si="5"/>
        <v>0</v>
      </c>
      <c r="I247" s="24">
        <f t="shared" si="6"/>
        <v>0</v>
      </c>
      <c r="J247" s="24">
        <f t="shared" si="7"/>
        <v>0</v>
      </c>
      <c r="K247" s="24"/>
      <c r="L247" s="24">
        <f t="shared" si="8"/>
        <v>601.5768806</v>
      </c>
      <c r="M247" s="14">
        <f t="shared" si="9"/>
        <v>431.8206479</v>
      </c>
      <c r="N247" s="27">
        <f t="shared" si="10"/>
        <v>169.7562327</v>
      </c>
      <c r="O247" s="24"/>
      <c r="P247" s="24"/>
      <c r="Q247" s="24"/>
      <c r="R247" s="26"/>
      <c r="S247" s="14">
        <f t="shared" si="13"/>
        <v>155.886492</v>
      </c>
      <c r="U247" s="21"/>
      <c r="V247" s="21"/>
    </row>
    <row r="248">
      <c r="A248" s="11">
        <v>236.0</v>
      </c>
      <c r="B248" s="11">
        <v>1.42042173913043E9</v>
      </c>
      <c r="C248" s="2">
        <v>-100.9615021</v>
      </c>
      <c r="D248" s="24">
        <f t="shared" si="1"/>
        <v>21739.13043</v>
      </c>
      <c r="E248" s="25">
        <f t="shared" si="2"/>
        <v>-5.509776792</v>
      </c>
      <c r="F248" s="24">
        <f t="shared" si="3"/>
        <v>0.0002534497325</v>
      </c>
      <c r="G248" s="24">
        <f t="shared" si="4"/>
        <v>0</v>
      </c>
      <c r="H248" s="26">
        <f t="shared" si="5"/>
        <v>0</v>
      </c>
      <c r="I248" s="24">
        <f t="shared" si="6"/>
        <v>0</v>
      </c>
      <c r="J248" s="24">
        <f t="shared" si="7"/>
        <v>0</v>
      </c>
      <c r="K248" s="24"/>
      <c r="L248" s="24">
        <f t="shared" si="8"/>
        <v>609.4750861</v>
      </c>
      <c r="M248" s="14">
        <f t="shared" si="9"/>
        <v>431.7439</v>
      </c>
      <c r="N248" s="27">
        <f t="shared" si="10"/>
        <v>177.731186</v>
      </c>
      <c r="O248" s="24"/>
      <c r="P248" s="24"/>
      <c r="Q248" s="24"/>
      <c r="R248" s="26"/>
      <c r="S248" s="14">
        <f t="shared" si="13"/>
        <v>163.2098604</v>
      </c>
      <c r="U248" s="21"/>
      <c r="V248" s="21"/>
    </row>
    <row r="249">
      <c r="A249" s="11">
        <v>237.0</v>
      </c>
      <c r="B249" s="11">
        <v>1.42042608695652E9</v>
      </c>
      <c r="C249" s="2">
        <v>-100.9077911</v>
      </c>
      <c r="D249" s="24">
        <f t="shared" si="1"/>
        <v>26086.95652</v>
      </c>
      <c r="E249" s="25">
        <f t="shared" si="2"/>
        <v>-6.428072923</v>
      </c>
      <c r="F249" s="24">
        <f t="shared" si="3"/>
        <v>0.0002464094621</v>
      </c>
      <c r="G249" s="24">
        <f t="shared" si="4"/>
        <v>0</v>
      </c>
      <c r="H249" s="26">
        <f t="shared" si="5"/>
        <v>0</v>
      </c>
      <c r="I249" s="24">
        <f t="shared" si="6"/>
        <v>0</v>
      </c>
      <c r="J249" s="24">
        <f t="shared" si="7"/>
        <v>0</v>
      </c>
      <c r="K249" s="24"/>
      <c r="L249" s="24">
        <f t="shared" si="8"/>
        <v>617.0595205</v>
      </c>
      <c r="M249" s="14">
        <f t="shared" si="9"/>
        <v>431.666918</v>
      </c>
      <c r="N249" s="27">
        <f t="shared" si="10"/>
        <v>185.3926025</v>
      </c>
      <c r="O249" s="24"/>
      <c r="P249" s="24"/>
      <c r="Q249" s="24"/>
      <c r="R249" s="26"/>
      <c r="S249" s="14">
        <f t="shared" si="13"/>
        <v>170.2453099</v>
      </c>
      <c r="U249" s="21"/>
      <c r="V249" s="21"/>
    </row>
    <row r="250">
      <c r="A250" s="11">
        <v>238.0</v>
      </c>
      <c r="B250" s="11">
        <v>1.4204304347826E9</v>
      </c>
      <c r="C250" s="2">
        <v>-100.9969788</v>
      </c>
      <c r="D250" s="24">
        <f t="shared" si="1"/>
        <v>30434.7826</v>
      </c>
      <c r="E250" s="25">
        <f t="shared" si="2"/>
        <v>-7.346369056</v>
      </c>
      <c r="F250" s="24">
        <f t="shared" si="3"/>
        <v>0.0002413806976</v>
      </c>
      <c r="G250" s="24">
        <f t="shared" si="4"/>
        <v>0</v>
      </c>
      <c r="H250" s="26">
        <f t="shared" si="5"/>
        <v>0</v>
      </c>
      <c r="I250" s="24">
        <f t="shared" si="6"/>
        <v>0</v>
      </c>
      <c r="J250" s="24">
        <f t="shared" si="7"/>
        <v>0</v>
      </c>
      <c r="K250" s="24"/>
      <c r="L250" s="24">
        <f t="shared" si="8"/>
        <v>604.5166784</v>
      </c>
      <c r="M250" s="14">
        <f t="shared" si="9"/>
        <v>431.5897006</v>
      </c>
      <c r="N250" s="27">
        <f t="shared" si="10"/>
        <v>172.9269778</v>
      </c>
      <c r="O250" s="24"/>
      <c r="P250" s="24"/>
      <c r="Q250" s="24"/>
      <c r="R250" s="26"/>
      <c r="S250" s="14">
        <f t="shared" si="13"/>
        <v>158.7981749</v>
      </c>
      <c r="U250" s="21"/>
      <c r="V250" s="21"/>
    </row>
    <row r="251">
      <c r="A251" s="11">
        <v>239.0</v>
      </c>
      <c r="B251" s="11">
        <v>1.42043478260869E9</v>
      </c>
      <c r="C251" s="2">
        <v>-100.9404526</v>
      </c>
      <c r="D251" s="24">
        <f t="shared" si="1"/>
        <v>34782.60869</v>
      </c>
      <c r="E251" s="25">
        <f t="shared" si="2"/>
        <v>-8.264665189</v>
      </c>
      <c r="F251" s="24">
        <f t="shared" si="3"/>
        <v>0.0002376091242</v>
      </c>
      <c r="G251" s="24">
        <f t="shared" si="4"/>
        <v>0</v>
      </c>
      <c r="H251" s="26">
        <f t="shared" si="5"/>
        <v>0</v>
      </c>
      <c r="I251" s="24">
        <f t="shared" si="6"/>
        <v>0</v>
      </c>
      <c r="J251" s="24">
        <f t="shared" si="7"/>
        <v>0</v>
      </c>
      <c r="K251" s="24"/>
      <c r="L251" s="24">
        <f t="shared" si="8"/>
        <v>612.4362765</v>
      </c>
      <c r="M251" s="14">
        <f t="shared" si="9"/>
        <v>431.5122466</v>
      </c>
      <c r="N251" s="27">
        <f t="shared" si="10"/>
        <v>180.9240299</v>
      </c>
      <c r="O251" s="24"/>
      <c r="P251" s="24"/>
      <c r="Q251" s="24"/>
      <c r="R251" s="26"/>
      <c r="S251" s="14">
        <f t="shared" si="13"/>
        <v>166.141837</v>
      </c>
      <c r="U251" s="21"/>
      <c r="V251" s="21"/>
    </row>
    <row r="252">
      <c r="A252" s="11">
        <v>240.0</v>
      </c>
      <c r="B252" s="11">
        <v>1.42043913043478E9</v>
      </c>
      <c r="C252" s="2">
        <v>-100.9304123</v>
      </c>
      <c r="D252" s="24">
        <f t="shared" si="1"/>
        <v>39130.43478</v>
      </c>
      <c r="E252" s="25">
        <f t="shared" si="2"/>
        <v>-9.182961321</v>
      </c>
      <c r="F252" s="24">
        <f t="shared" si="3"/>
        <v>0.0002346756782</v>
      </c>
      <c r="G252" s="24">
        <f t="shared" si="4"/>
        <v>0</v>
      </c>
      <c r="H252" s="26">
        <f t="shared" si="5"/>
        <v>0</v>
      </c>
      <c r="I252" s="24">
        <f t="shared" si="6"/>
        <v>0</v>
      </c>
      <c r="J252" s="24">
        <f t="shared" si="7"/>
        <v>0</v>
      </c>
      <c r="K252" s="24"/>
      <c r="L252" s="24">
        <f t="shared" si="8"/>
        <v>613.8537841</v>
      </c>
      <c r="M252" s="14">
        <f t="shared" si="9"/>
        <v>431.4345548</v>
      </c>
      <c r="N252" s="27">
        <f t="shared" si="10"/>
        <v>182.4192293</v>
      </c>
      <c r="O252" s="24"/>
      <c r="P252" s="24"/>
      <c r="Q252" s="24"/>
      <c r="R252" s="26"/>
      <c r="S252" s="14">
        <f t="shared" si="13"/>
        <v>167.5148724</v>
      </c>
      <c r="U252" s="21"/>
      <c r="V252" s="21"/>
    </row>
    <row r="253">
      <c r="A253" s="11">
        <v>241.0</v>
      </c>
      <c r="B253" s="11">
        <v>1.42044347826087E9</v>
      </c>
      <c r="C253" s="2">
        <v>-100.9210739</v>
      </c>
      <c r="D253" s="24">
        <f t="shared" si="1"/>
        <v>43478.26087</v>
      </c>
      <c r="E253" s="25">
        <f t="shared" si="2"/>
        <v>-10.10125745</v>
      </c>
      <c r="F253" s="24">
        <f t="shared" si="3"/>
        <v>0.0002323289214</v>
      </c>
      <c r="G253" s="24">
        <f t="shared" si="4"/>
        <v>0</v>
      </c>
      <c r="H253" s="26">
        <f t="shared" si="5"/>
        <v>0</v>
      </c>
      <c r="I253" s="24">
        <f t="shared" si="6"/>
        <v>0</v>
      </c>
      <c r="J253" s="24">
        <f t="shared" si="7"/>
        <v>0</v>
      </c>
      <c r="K253" s="24"/>
      <c r="L253" s="24">
        <f t="shared" si="8"/>
        <v>615.1751409</v>
      </c>
      <c r="M253" s="14">
        <f t="shared" si="9"/>
        <v>431.3566239</v>
      </c>
      <c r="N253" s="27">
        <f t="shared" si="10"/>
        <v>183.8185169</v>
      </c>
      <c r="O253" s="24"/>
      <c r="P253" s="24"/>
      <c r="Q253" s="24"/>
      <c r="R253" s="26"/>
      <c r="S253" s="14">
        <f t="shared" si="13"/>
        <v>168.7998332</v>
      </c>
      <c r="U253" s="21"/>
      <c r="V253" s="21"/>
    </row>
    <row r="254">
      <c r="A254" s="11">
        <v>242.0</v>
      </c>
      <c r="B254" s="11">
        <v>1.42044782608695E9</v>
      </c>
      <c r="C254" s="2">
        <v>-100.8860092</v>
      </c>
      <c r="D254" s="24">
        <f t="shared" si="1"/>
        <v>47826.08695</v>
      </c>
      <c r="E254" s="25">
        <f t="shared" si="2"/>
        <v>-11.01955358</v>
      </c>
      <c r="F254" s="24">
        <f t="shared" si="3"/>
        <v>0.0002304088477</v>
      </c>
      <c r="G254" s="24">
        <f t="shared" si="4"/>
        <v>0</v>
      </c>
      <c r="H254" s="26">
        <f t="shared" si="5"/>
        <v>0</v>
      </c>
      <c r="I254" s="24">
        <f t="shared" si="6"/>
        <v>0</v>
      </c>
      <c r="J254" s="24">
        <f t="shared" si="7"/>
        <v>0</v>
      </c>
      <c r="K254" s="24"/>
      <c r="L254" s="24">
        <f t="shared" si="8"/>
        <v>620.1621367</v>
      </c>
      <c r="M254" s="14">
        <f t="shared" si="9"/>
        <v>431.2784529</v>
      </c>
      <c r="N254" s="27">
        <f t="shared" si="10"/>
        <v>188.8836839</v>
      </c>
      <c r="O254" s="24"/>
      <c r="P254" s="24"/>
      <c r="Q254" s="24"/>
      <c r="R254" s="26"/>
      <c r="S254" s="14">
        <f t="shared" si="13"/>
        <v>173.4511564</v>
      </c>
      <c r="U254" s="21"/>
      <c r="V254" s="21"/>
    </row>
    <row r="255">
      <c r="A255" s="11">
        <v>243.0</v>
      </c>
      <c r="B255" s="11">
        <v>1.42045217391304E9</v>
      </c>
      <c r="C255" s="2">
        <v>-100.9116364</v>
      </c>
      <c r="D255" s="24">
        <f t="shared" si="1"/>
        <v>52173.91304</v>
      </c>
      <c r="E255" s="25">
        <f t="shared" si="2"/>
        <v>-11.93784972</v>
      </c>
      <c r="F255" s="24">
        <f t="shared" si="3"/>
        <v>0.0002288087863</v>
      </c>
      <c r="G255" s="24">
        <f t="shared" si="4"/>
        <v>0</v>
      </c>
      <c r="H255" s="26">
        <f t="shared" si="5"/>
        <v>0</v>
      </c>
      <c r="I255" s="24">
        <f t="shared" si="6"/>
        <v>0</v>
      </c>
      <c r="J255" s="24">
        <f t="shared" si="7"/>
        <v>0</v>
      </c>
      <c r="K255" s="24"/>
      <c r="L255" s="24">
        <f t="shared" si="8"/>
        <v>616.5134098</v>
      </c>
      <c r="M255" s="14">
        <f t="shared" si="9"/>
        <v>431.2000404</v>
      </c>
      <c r="N255" s="27">
        <f t="shared" si="10"/>
        <v>185.3133694</v>
      </c>
      <c r="O255" s="24"/>
      <c r="P255" s="24"/>
      <c r="Q255" s="24"/>
      <c r="R255" s="26"/>
      <c r="S255" s="14">
        <f t="shared" si="13"/>
        <v>170.1725501</v>
      </c>
      <c r="U255" s="21"/>
      <c r="V255" s="21"/>
    </row>
    <row r="256">
      <c r="A256" s="11">
        <v>244.0</v>
      </c>
      <c r="B256" s="11">
        <v>1.42045652173913E9</v>
      </c>
      <c r="C256" s="2">
        <v>-100.8628082</v>
      </c>
      <c r="D256" s="24">
        <f t="shared" si="1"/>
        <v>56521.73913</v>
      </c>
      <c r="E256" s="25">
        <f t="shared" si="2"/>
        <v>-12.85614585</v>
      </c>
      <c r="F256" s="24">
        <f t="shared" si="3"/>
        <v>0.0002274548881</v>
      </c>
      <c r="G256" s="24">
        <f t="shared" si="4"/>
        <v>0</v>
      </c>
      <c r="H256" s="26">
        <f t="shared" si="5"/>
        <v>0</v>
      </c>
      <c r="I256" s="24">
        <f t="shared" si="6"/>
        <v>0</v>
      </c>
      <c r="J256" s="24">
        <f t="shared" si="7"/>
        <v>0</v>
      </c>
      <c r="K256" s="24"/>
      <c r="L256" s="24">
        <f t="shared" si="8"/>
        <v>623.4840494</v>
      </c>
      <c r="M256" s="14">
        <f t="shared" si="9"/>
        <v>431.1213853</v>
      </c>
      <c r="N256" s="27">
        <f t="shared" si="10"/>
        <v>192.3626641</v>
      </c>
      <c r="O256" s="24"/>
      <c r="P256" s="24"/>
      <c r="Q256" s="24"/>
      <c r="R256" s="26"/>
      <c r="S256" s="14">
        <f t="shared" si="13"/>
        <v>176.6458905</v>
      </c>
      <c r="U256" s="21"/>
      <c r="V256" s="21"/>
    </row>
    <row r="257">
      <c r="A257" s="11">
        <v>245.0</v>
      </c>
      <c r="B257" s="11">
        <v>1.42046086956521E9</v>
      </c>
      <c r="C257" s="2">
        <v>-100.9008636</v>
      </c>
      <c r="D257" s="24">
        <f t="shared" si="1"/>
        <v>60869.56521</v>
      </c>
      <c r="E257" s="25">
        <f t="shared" si="2"/>
        <v>-13.77444198</v>
      </c>
      <c r="F257" s="24">
        <f t="shared" si="3"/>
        <v>0.000226294404</v>
      </c>
      <c r="G257" s="24">
        <f t="shared" si="4"/>
        <v>0</v>
      </c>
      <c r="H257" s="26">
        <f t="shared" si="5"/>
        <v>0</v>
      </c>
      <c r="I257" s="24">
        <f t="shared" si="6"/>
        <v>0</v>
      </c>
      <c r="J257" s="24">
        <f t="shared" si="7"/>
        <v>0</v>
      </c>
      <c r="K257" s="24"/>
      <c r="L257" s="24">
        <f t="shared" si="8"/>
        <v>618.0445874</v>
      </c>
      <c r="M257" s="14">
        <f t="shared" si="9"/>
        <v>431.0424864</v>
      </c>
      <c r="N257" s="27">
        <f t="shared" si="10"/>
        <v>187.002101</v>
      </c>
      <c r="O257" s="24"/>
      <c r="P257" s="24"/>
      <c r="Q257" s="24"/>
      <c r="R257" s="26"/>
      <c r="S257" s="14">
        <f t="shared" si="13"/>
        <v>171.7233062</v>
      </c>
      <c r="U257" s="21"/>
      <c r="V257" s="21"/>
    </row>
    <row r="258">
      <c r="A258" s="11">
        <v>246.0</v>
      </c>
      <c r="B258" s="11">
        <v>1.4204652173913E9</v>
      </c>
      <c r="C258" s="2">
        <v>-100.8970795</v>
      </c>
      <c r="D258" s="24">
        <f t="shared" si="1"/>
        <v>65217.3913</v>
      </c>
      <c r="E258" s="25">
        <f t="shared" si="2"/>
        <v>-14.69273811</v>
      </c>
      <c r="F258" s="24">
        <f t="shared" si="3"/>
        <v>0.0002252886511</v>
      </c>
      <c r="G258" s="24">
        <f t="shared" si="4"/>
        <v>0</v>
      </c>
      <c r="H258" s="26">
        <f t="shared" si="5"/>
        <v>0</v>
      </c>
      <c r="I258" s="24">
        <f t="shared" si="6"/>
        <v>0</v>
      </c>
      <c r="J258" s="24">
        <f t="shared" si="7"/>
        <v>0</v>
      </c>
      <c r="K258" s="24"/>
      <c r="L258" s="24">
        <f t="shared" si="8"/>
        <v>618.5833374</v>
      </c>
      <c r="M258" s="14">
        <f t="shared" si="9"/>
        <v>430.9633424</v>
      </c>
      <c r="N258" s="27">
        <f t="shared" si="10"/>
        <v>187.619995</v>
      </c>
      <c r="O258" s="24"/>
      <c r="P258" s="24"/>
      <c r="Q258" s="24"/>
      <c r="R258" s="26"/>
      <c r="S258" s="14">
        <f t="shared" si="13"/>
        <v>172.2907155</v>
      </c>
      <c r="U258" s="21"/>
      <c r="V258" s="21"/>
    </row>
    <row r="259">
      <c r="A259" s="11">
        <v>247.0</v>
      </c>
      <c r="B259" s="11">
        <v>1.42046956521739E9</v>
      </c>
      <c r="C259" s="2">
        <v>-100.9440079</v>
      </c>
      <c r="D259" s="24">
        <f t="shared" si="1"/>
        <v>69565.21739</v>
      </c>
      <c r="E259" s="25">
        <f t="shared" si="2"/>
        <v>-15.61103424</v>
      </c>
      <c r="F259" s="24">
        <f t="shared" si="3"/>
        <v>0.0002244086173</v>
      </c>
      <c r="G259" s="24">
        <f t="shared" si="4"/>
        <v>0</v>
      </c>
      <c r="H259" s="26">
        <f t="shared" si="5"/>
        <v>0</v>
      </c>
      <c r="I259" s="24">
        <f t="shared" si="6"/>
        <v>0</v>
      </c>
      <c r="J259" s="24">
        <f t="shared" si="7"/>
        <v>0</v>
      </c>
      <c r="K259" s="24"/>
      <c r="L259" s="24">
        <f t="shared" si="8"/>
        <v>611.935118</v>
      </c>
      <c r="M259" s="14">
        <f t="shared" si="9"/>
        <v>430.8839522</v>
      </c>
      <c r="N259" s="27">
        <f t="shared" si="10"/>
        <v>181.0511658</v>
      </c>
      <c r="O259" s="24"/>
      <c r="P259" s="24"/>
      <c r="Q259" s="24"/>
      <c r="R259" s="26"/>
      <c r="S259" s="14">
        <f t="shared" si="13"/>
        <v>166.2585854</v>
      </c>
      <c r="U259" s="21"/>
      <c r="V259" s="21"/>
    </row>
    <row r="260">
      <c r="A260" s="11">
        <v>248.0</v>
      </c>
      <c r="B260" s="11">
        <v>1.42047391304347E9</v>
      </c>
      <c r="C260" s="2">
        <v>-100.9631119</v>
      </c>
      <c r="D260" s="24">
        <f t="shared" si="1"/>
        <v>73913.04347</v>
      </c>
      <c r="E260" s="25">
        <f t="shared" si="2"/>
        <v>-16.52933038</v>
      </c>
      <c r="F260" s="24">
        <f t="shared" si="3"/>
        <v>0.0002236321169</v>
      </c>
      <c r="G260" s="24">
        <f t="shared" si="4"/>
        <v>0</v>
      </c>
      <c r="H260" s="26">
        <f t="shared" si="5"/>
        <v>0</v>
      </c>
      <c r="I260" s="24">
        <f t="shared" si="6"/>
        <v>0</v>
      </c>
      <c r="J260" s="24">
        <f t="shared" si="7"/>
        <v>0</v>
      </c>
      <c r="K260" s="24"/>
      <c r="L260" s="24">
        <f t="shared" si="8"/>
        <v>609.2492137</v>
      </c>
      <c r="M260" s="14">
        <f t="shared" si="9"/>
        <v>430.8043145</v>
      </c>
      <c r="N260" s="27">
        <f t="shared" si="10"/>
        <v>178.4448992</v>
      </c>
      <c r="O260" s="24"/>
      <c r="P260" s="24"/>
      <c r="Q260" s="24"/>
      <c r="R260" s="26"/>
      <c r="S260" s="14">
        <f t="shared" si="13"/>
        <v>163.8652609</v>
      </c>
      <c r="U260" s="21"/>
      <c r="V260" s="21"/>
    </row>
    <row r="261">
      <c r="A261" s="11">
        <v>249.0</v>
      </c>
      <c r="B261" s="11">
        <v>1.42047826086956E9</v>
      </c>
      <c r="C261" s="2">
        <v>-100.8987198</v>
      </c>
      <c r="D261" s="24">
        <f t="shared" si="1"/>
        <v>78260.86956</v>
      </c>
      <c r="E261" s="25">
        <f t="shared" si="2"/>
        <v>-17.44762651</v>
      </c>
      <c r="F261" s="24">
        <f t="shared" si="3"/>
        <v>0.0002229418943</v>
      </c>
      <c r="G261" s="24">
        <f t="shared" si="4"/>
        <v>0</v>
      </c>
      <c r="H261" s="26">
        <f t="shared" si="5"/>
        <v>0</v>
      </c>
      <c r="I261" s="24">
        <f t="shared" si="6"/>
        <v>0</v>
      </c>
      <c r="J261" s="24">
        <f t="shared" si="7"/>
        <v>0</v>
      </c>
      <c r="K261" s="24"/>
      <c r="L261" s="24">
        <f t="shared" si="8"/>
        <v>618.3497469</v>
      </c>
      <c r="M261" s="14">
        <f t="shared" si="9"/>
        <v>430.7244282</v>
      </c>
      <c r="N261" s="27">
        <f t="shared" si="10"/>
        <v>187.6253187</v>
      </c>
      <c r="O261" s="24"/>
      <c r="P261" s="24"/>
      <c r="Q261" s="24"/>
      <c r="R261" s="26"/>
      <c r="S261" s="14">
        <f t="shared" si="13"/>
        <v>172.2956042</v>
      </c>
      <c r="U261" s="21"/>
      <c r="V261" s="21"/>
    </row>
    <row r="262">
      <c r="A262" s="11">
        <v>250.0</v>
      </c>
      <c r="B262" s="11">
        <v>1.42048260869565E9</v>
      </c>
      <c r="C262" s="2">
        <v>-100.8989944</v>
      </c>
      <c r="D262" s="24">
        <f t="shared" si="1"/>
        <v>82608.69565</v>
      </c>
      <c r="E262" s="25">
        <f t="shared" si="2"/>
        <v>-18.36592264</v>
      </c>
      <c r="F262" s="24">
        <f t="shared" si="3"/>
        <v>0.0002223243267</v>
      </c>
      <c r="G262" s="24">
        <f t="shared" si="4"/>
        <v>0</v>
      </c>
      <c r="H262" s="26">
        <f t="shared" si="5"/>
        <v>0</v>
      </c>
      <c r="I262" s="24">
        <f t="shared" si="6"/>
        <v>0</v>
      </c>
      <c r="J262" s="24">
        <f t="shared" si="7"/>
        <v>0</v>
      </c>
      <c r="K262" s="24"/>
      <c r="L262" s="24">
        <f t="shared" si="8"/>
        <v>618.3106505</v>
      </c>
      <c r="M262" s="14">
        <f t="shared" si="9"/>
        <v>430.644292</v>
      </c>
      <c r="N262" s="27">
        <f t="shared" si="10"/>
        <v>187.6663585</v>
      </c>
      <c r="O262" s="24"/>
      <c r="P262" s="24"/>
      <c r="Q262" s="24"/>
      <c r="R262" s="26"/>
      <c r="S262" s="14">
        <f t="shared" si="13"/>
        <v>172.3332913</v>
      </c>
      <c r="U262" s="21"/>
      <c r="V262" s="21"/>
    </row>
    <row r="263">
      <c r="A263" s="11">
        <v>251.0</v>
      </c>
      <c r="B263" s="11">
        <v>1.42048695652173E9</v>
      </c>
      <c r="C263" s="2">
        <v>-100.973053</v>
      </c>
      <c r="D263" s="24">
        <f t="shared" si="1"/>
        <v>86956.52173</v>
      </c>
      <c r="E263" s="25">
        <f t="shared" si="2"/>
        <v>-19.28421877</v>
      </c>
      <c r="F263" s="24">
        <f t="shared" si="3"/>
        <v>0.0002217685159</v>
      </c>
      <c r="G263" s="24">
        <f t="shared" si="4"/>
        <v>0</v>
      </c>
      <c r="H263" s="26">
        <f t="shared" si="5"/>
        <v>0</v>
      </c>
      <c r="I263" s="24">
        <f t="shared" si="6"/>
        <v>0</v>
      </c>
      <c r="J263" s="24">
        <f t="shared" si="7"/>
        <v>0</v>
      </c>
      <c r="K263" s="24"/>
      <c r="L263" s="24">
        <f t="shared" si="8"/>
        <v>607.8562233</v>
      </c>
      <c r="M263" s="14">
        <f t="shared" si="9"/>
        <v>430.5639048</v>
      </c>
      <c r="N263" s="27">
        <f t="shared" si="10"/>
        <v>177.2923185</v>
      </c>
      <c r="O263" s="24"/>
      <c r="P263" s="24"/>
      <c r="Q263" s="24"/>
      <c r="R263" s="26"/>
      <c r="S263" s="14">
        <f t="shared" si="13"/>
        <v>162.8068504</v>
      </c>
      <c r="U263" s="21"/>
      <c r="V263" s="21"/>
    </row>
    <row r="264">
      <c r="A264" s="11">
        <v>252.0</v>
      </c>
      <c r="B264" s="11">
        <v>1.42049130434782E9</v>
      </c>
      <c r="C264" s="2">
        <v>-100.9438629</v>
      </c>
      <c r="D264" s="24">
        <f t="shared" si="1"/>
        <v>91304.34782</v>
      </c>
      <c r="E264" s="25">
        <f t="shared" si="2"/>
        <v>-20.20251491</v>
      </c>
      <c r="F264" s="24">
        <f t="shared" si="3"/>
        <v>0.0002212656395</v>
      </c>
      <c r="G264" s="24">
        <f t="shared" si="4"/>
        <v>0</v>
      </c>
      <c r="H264" s="26">
        <f t="shared" si="5"/>
        <v>0</v>
      </c>
      <c r="I264" s="24">
        <f t="shared" si="6"/>
        <v>0</v>
      </c>
      <c r="J264" s="24">
        <f t="shared" si="7"/>
        <v>0</v>
      </c>
      <c r="K264" s="24"/>
      <c r="L264" s="24">
        <f t="shared" si="8"/>
        <v>611.9555493</v>
      </c>
      <c r="M264" s="14">
        <f t="shared" si="9"/>
        <v>430.4832653</v>
      </c>
      <c r="N264" s="27">
        <f t="shared" si="10"/>
        <v>181.472284</v>
      </c>
      <c r="O264" s="24"/>
      <c r="P264" s="24"/>
      <c r="Q264" s="24"/>
      <c r="R264" s="26"/>
      <c r="S264" s="14">
        <f t="shared" si="13"/>
        <v>166.6452966</v>
      </c>
      <c r="U264" s="21"/>
      <c r="V264" s="21"/>
    </row>
    <row r="265">
      <c r="A265" s="11">
        <v>253.0</v>
      </c>
      <c r="B265" s="11">
        <v>1.42049565217391E9</v>
      </c>
      <c r="C265" s="2">
        <v>-100.9745865</v>
      </c>
      <c r="D265" s="24">
        <f t="shared" si="1"/>
        <v>95652.17391</v>
      </c>
      <c r="E265" s="25">
        <f t="shared" si="2"/>
        <v>-21.12081104</v>
      </c>
      <c r="F265" s="24">
        <f t="shared" si="3"/>
        <v>0.0002208084791</v>
      </c>
      <c r="G265" s="24">
        <f t="shared" si="4"/>
        <v>0</v>
      </c>
      <c r="H265" s="26">
        <f t="shared" si="5"/>
        <v>0</v>
      </c>
      <c r="I265" s="24">
        <f t="shared" si="6"/>
        <v>0</v>
      </c>
      <c r="J265" s="24">
        <f t="shared" si="7"/>
        <v>0</v>
      </c>
      <c r="K265" s="24"/>
      <c r="L265" s="24">
        <f t="shared" si="8"/>
        <v>607.6416262</v>
      </c>
      <c r="M265" s="14">
        <f t="shared" si="9"/>
        <v>430.4023723</v>
      </c>
      <c r="N265" s="27">
        <f t="shared" si="10"/>
        <v>177.239254</v>
      </c>
      <c r="O265" s="24"/>
      <c r="P265" s="24"/>
      <c r="Q265" s="24"/>
      <c r="R265" s="26"/>
      <c r="S265" s="14">
        <f t="shared" si="13"/>
        <v>162.7581211</v>
      </c>
      <c r="U265" s="21"/>
      <c r="V265" s="21"/>
    </row>
    <row r="266">
      <c r="A266" s="11">
        <v>254.0</v>
      </c>
      <c r="B266" s="11">
        <v>1.4205E9</v>
      </c>
      <c r="C266" s="2">
        <v>-100.9942017</v>
      </c>
      <c r="D266" s="24">
        <f t="shared" si="1"/>
        <v>100000</v>
      </c>
      <c r="E266" s="25">
        <f t="shared" si="2"/>
        <v>-22.03910717</v>
      </c>
      <c r="F266" s="24">
        <f t="shared" si="3"/>
        <v>0.0002203910717</v>
      </c>
      <c r="G266" s="24">
        <f t="shared" si="4"/>
        <v>0</v>
      </c>
      <c r="H266" s="26">
        <f t="shared" si="5"/>
        <v>0</v>
      </c>
      <c r="I266" s="24">
        <f t="shared" si="6"/>
        <v>0</v>
      </c>
      <c r="J266" s="24">
        <f t="shared" si="7"/>
        <v>0</v>
      </c>
      <c r="K266" s="24"/>
      <c r="L266" s="24">
        <f t="shared" si="8"/>
        <v>604.9033607</v>
      </c>
      <c r="M266" s="14">
        <f t="shared" si="9"/>
        <v>430.3212246</v>
      </c>
      <c r="N266" s="27">
        <f t="shared" si="10"/>
        <v>174.5821361</v>
      </c>
      <c r="O266" s="24"/>
      <c r="P266" s="24"/>
      <c r="Q266" s="24"/>
      <c r="R266" s="26"/>
      <c r="S266" s="14">
        <f t="shared" si="13"/>
        <v>160.3181005</v>
      </c>
      <c r="U266" s="21"/>
      <c r="V266" s="21"/>
    </row>
    <row r="267">
      <c r="A267" s="11">
        <v>255.0</v>
      </c>
      <c r="B267" s="11">
        <v>1.42050434782608E9</v>
      </c>
      <c r="C267" s="2">
        <v>-100.9744949</v>
      </c>
      <c r="D267" s="24">
        <f t="shared" si="1"/>
        <v>104347.8261</v>
      </c>
      <c r="E267" s="25">
        <f t="shared" si="2"/>
        <v>-22.9574033</v>
      </c>
      <c r="F267" s="24">
        <f t="shared" si="3"/>
        <v>0.0002200084483</v>
      </c>
      <c r="G267" s="24">
        <f t="shared" si="4"/>
        <v>0</v>
      </c>
      <c r="H267" s="26">
        <f t="shared" si="5"/>
        <v>0</v>
      </c>
      <c r="I267" s="24">
        <f t="shared" si="6"/>
        <v>0</v>
      </c>
      <c r="J267" s="24">
        <f t="shared" si="7"/>
        <v>0</v>
      </c>
      <c r="K267" s="24"/>
      <c r="L267" s="24">
        <f t="shared" si="8"/>
        <v>607.6544426</v>
      </c>
      <c r="M267" s="14">
        <f t="shared" si="9"/>
        <v>430.239821</v>
      </c>
      <c r="N267" s="27">
        <f t="shared" si="10"/>
        <v>177.4146215</v>
      </c>
      <c r="O267" s="24"/>
      <c r="P267" s="24"/>
      <c r="Q267" s="24"/>
      <c r="R267" s="26"/>
      <c r="S267" s="14">
        <f t="shared" si="13"/>
        <v>162.9191609</v>
      </c>
      <c r="U267" s="21"/>
      <c r="V267" s="21"/>
    </row>
    <row r="268">
      <c r="A268" s="11">
        <v>256.0</v>
      </c>
      <c r="B268" s="11">
        <v>1.42050869565217E9</v>
      </c>
      <c r="C268" s="2">
        <v>-100.9912033</v>
      </c>
      <c r="D268" s="24">
        <f t="shared" si="1"/>
        <v>108695.6522</v>
      </c>
      <c r="E268" s="25">
        <f t="shared" si="2"/>
        <v>-23.87569944</v>
      </c>
      <c r="F268" s="24">
        <f t="shared" si="3"/>
        <v>0.0002196564348</v>
      </c>
      <c r="G268" s="24">
        <f t="shared" si="4"/>
        <v>0</v>
      </c>
      <c r="H268" s="26">
        <f t="shared" si="5"/>
        <v>0</v>
      </c>
      <c r="I268" s="24">
        <f t="shared" si="6"/>
        <v>0</v>
      </c>
      <c r="J268" s="24">
        <f t="shared" si="7"/>
        <v>0</v>
      </c>
      <c r="K268" s="24"/>
      <c r="L268" s="24">
        <f t="shared" si="8"/>
        <v>605.3211345</v>
      </c>
      <c r="M268" s="14">
        <f t="shared" si="9"/>
        <v>430.1581604</v>
      </c>
      <c r="N268" s="27">
        <f t="shared" si="10"/>
        <v>175.1629741</v>
      </c>
      <c r="O268" s="24"/>
      <c r="P268" s="24"/>
      <c r="Q268" s="24"/>
      <c r="R268" s="26"/>
      <c r="S268" s="14">
        <f t="shared" si="13"/>
        <v>160.8514814</v>
      </c>
      <c r="U268" s="21"/>
      <c r="V268" s="21"/>
    </row>
    <row r="269">
      <c r="A269" s="11">
        <v>257.0</v>
      </c>
      <c r="B269" s="11">
        <v>1.42051304347826E9</v>
      </c>
      <c r="C269" s="2">
        <v>-100.9801407</v>
      </c>
      <c r="D269" s="24">
        <f t="shared" si="1"/>
        <v>113043.4783</v>
      </c>
      <c r="E269" s="25">
        <f t="shared" si="2"/>
        <v>-24.79399557</v>
      </c>
      <c r="F269" s="24">
        <f t="shared" si="3"/>
        <v>0.0002193314992</v>
      </c>
      <c r="G269" s="24">
        <f t="shared" si="4"/>
        <v>0</v>
      </c>
      <c r="H269" s="26">
        <f t="shared" si="5"/>
        <v>0</v>
      </c>
      <c r="I269" s="24">
        <f t="shared" si="6"/>
        <v>0</v>
      </c>
      <c r="J269" s="24">
        <f t="shared" si="7"/>
        <v>0</v>
      </c>
      <c r="K269" s="24"/>
      <c r="L269" s="24">
        <f t="shared" si="8"/>
        <v>606.865009</v>
      </c>
      <c r="M269" s="14">
        <f t="shared" si="9"/>
        <v>430.0762414</v>
      </c>
      <c r="N269" s="27">
        <f t="shared" si="10"/>
        <v>176.7887675</v>
      </c>
      <c r="O269" s="24"/>
      <c r="P269" s="24"/>
      <c r="Q269" s="24"/>
      <c r="R269" s="26"/>
      <c r="S269" s="14">
        <f t="shared" si="13"/>
        <v>162.3444416</v>
      </c>
      <c r="U269" s="21"/>
      <c r="V269" s="21"/>
    </row>
    <row r="270">
      <c r="A270" s="11">
        <v>258.0</v>
      </c>
      <c r="B270" s="11">
        <v>1.42051739130434E9</v>
      </c>
      <c r="C270" s="2">
        <v>-101.0535965</v>
      </c>
      <c r="D270" s="24">
        <f t="shared" si="1"/>
        <v>117391.3043</v>
      </c>
      <c r="E270" s="25">
        <f t="shared" si="2"/>
        <v>-25.7122917</v>
      </c>
      <c r="F270" s="24">
        <f t="shared" si="3"/>
        <v>0.000219030633</v>
      </c>
      <c r="G270" s="24">
        <f t="shared" si="4"/>
        <v>0</v>
      </c>
      <c r="H270" s="26">
        <f t="shared" si="5"/>
        <v>0</v>
      </c>
      <c r="I270" s="24">
        <f t="shared" si="6"/>
        <v>0</v>
      </c>
      <c r="J270" s="24">
        <f t="shared" si="7"/>
        <v>0</v>
      </c>
      <c r="K270" s="24"/>
      <c r="L270" s="24">
        <f t="shared" si="8"/>
        <v>596.6869195</v>
      </c>
      <c r="M270" s="14">
        <f t="shared" si="9"/>
        <v>429.994063</v>
      </c>
      <c r="N270" s="27">
        <f t="shared" si="10"/>
        <v>166.6928565</v>
      </c>
      <c r="O270" s="24"/>
      <c r="P270" s="24"/>
      <c r="Q270" s="24"/>
      <c r="R270" s="26"/>
      <c r="S270" s="14">
        <f t="shared" si="13"/>
        <v>153.0734055</v>
      </c>
      <c r="U270" s="21"/>
      <c r="V270" s="21"/>
    </row>
    <row r="271">
      <c r="A271" s="11">
        <v>259.0</v>
      </c>
      <c r="B271" s="11">
        <v>1.42052173913043E9</v>
      </c>
      <c r="C271" s="2">
        <v>-101.1252975</v>
      </c>
      <c r="D271" s="24">
        <f t="shared" si="1"/>
        <v>121739.1304</v>
      </c>
      <c r="E271" s="25">
        <f t="shared" si="2"/>
        <v>-26.63058783</v>
      </c>
      <c r="F271" s="24">
        <f t="shared" si="3"/>
        <v>0.0002187512572</v>
      </c>
      <c r="G271" s="24">
        <f t="shared" si="4"/>
        <v>0</v>
      </c>
      <c r="H271" s="26">
        <f t="shared" si="5"/>
        <v>0</v>
      </c>
      <c r="I271" s="24">
        <f t="shared" si="6"/>
        <v>0</v>
      </c>
      <c r="J271" s="24">
        <f t="shared" si="7"/>
        <v>0</v>
      </c>
      <c r="K271" s="24"/>
      <c r="L271" s="24">
        <f t="shared" si="8"/>
        <v>586.9166329</v>
      </c>
      <c r="M271" s="14">
        <f t="shared" si="9"/>
        <v>429.9116239</v>
      </c>
      <c r="N271" s="27">
        <f t="shared" si="10"/>
        <v>157.0050091</v>
      </c>
      <c r="O271" s="24"/>
      <c r="P271" s="24"/>
      <c r="Q271" s="24"/>
      <c r="R271" s="26"/>
      <c r="S271" s="14">
        <f t="shared" si="13"/>
        <v>144.1770923</v>
      </c>
      <c r="U271" s="21"/>
      <c r="V271" s="21"/>
    </row>
    <row r="272">
      <c r="A272" s="11">
        <v>260.0</v>
      </c>
      <c r="B272" s="11">
        <v>1.42052608695652E9</v>
      </c>
      <c r="C272" s="2">
        <v>-101.2790756</v>
      </c>
      <c r="D272" s="24">
        <f t="shared" si="1"/>
        <v>126086.9565</v>
      </c>
      <c r="E272" s="25">
        <f t="shared" si="2"/>
        <v>-27.54888396</v>
      </c>
      <c r="F272" s="24">
        <f t="shared" si="3"/>
        <v>0.0002184911487</v>
      </c>
      <c r="G272" s="24">
        <f t="shared" si="4"/>
        <v>0</v>
      </c>
      <c r="H272" s="26">
        <f t="shared" si="5"/>
        <v>0</v>
      </c>
      <c r="I272" s="24">
        <f t="shared" si="6"/>
        <v>0</v>
      </c>
      <c r="J272" s="24">
        <f t="shared" si="7"/>
        <v>0</v>
      </c>
      <c r="K272" s="24"/>
      <c r="L272" s="24">
        <f t="shared" si="8"/>
        <v>566.4982954</v>
      </c>
      <c r="M272" s="14">
        <f t="shared" si="9"/>
        <v>429.8289228</v>
      </c>
      <c r="N272" s="27">
        <f t="shared" si="10"/>
        <v>136.6693726</v>
      </c>
      <c r="O272" s="24"/>
      <c r="P272" s="24"/>
      <c r="Q272" s="24"/>
      <c r="R272" s="26"/>
      <c r="S272" s="14">
        <f t="shared" si="13"/>
        <v>125.5029563</v>
      </c>
      <c r="U272" s="21"/>
      <c r="V272" s="21"/>
    </row>
    <row r="273">
      <c r="A273" s="11">
        <v>261.0</v>
      </c>
      <c r="B273" s="11">
        <v>1.4205304347826E9</v>
      </c>
      <c r="C273" s="2">
        <v>-101.2935028</v>
      </c>
      <c r="D273" s="24">
        <f t="shared" si="1"/>
        <v>130434.7826</v>
      </c>
      <c r="E273" s="25">
        <f t="shared" si="2"/>
        <v>-28.4671801</v>
      </c>
      <c r="F273" s="24">
        <f t="shared" si="3"/>
        <v>0.0002182483807</v>
      </c>
      <c r="G273" s="24">
        <f t="shared" si="4"/>
        <v>0</v>
      </c>
      <c r="H273" s="26">
        <f t="shared" si="5"/>
        <v>0</v>
      </c>
      <c r="I273" s="24">
        <f t="shared" si="6"/>
        <v>0</v>
      </c>
      <c r="J273" s="24">
        <f t="shared" si="7"/>
        <v>0</v>
      </c>
      <c r="K273" s="24"/>
      <c r="L273" s="24">
        <f t="shared" si="8"/>
        <v>564.6195186</v>
      </c>
      <c r="M273" s="14">
        <f t="shared" si="9"/>
        <v>429.7459586</v>
      </c>
      <c r="N273" s="27">
        <f t="shared" si="10"/>
        <v>134.87356</v>
      </c>
      <c r="O273" s="24"/>
      <c r="P273" s="24"/>
      <c r="Q273" s="24"/>
      <c r="R273" s="26"/>
      <c r="S273" s="14">
        <f t="shared" si="13"/>
        <v>123.8538685</v>
      </c>
      <c r="U273" s="21"/>
      <c r="V273" s="21"/>
    </row>
    <row r="274">
      <c r="A274" s="11">
        <v>262.0</v>
      </c>
      <c r="B274" s="11">
        <v>1.42053478260869E9</v>
      </c>
      <c r="C274" s="2">
        <v>-101.4519653</v>
      </c>
      <c r="D274" s="24">
        <f t="shared" si="1"/>
        <v>134782.6087</v>
      </c>
      <c r="E274" s="25">
        <f t="shared" si="2"/>
        <v>-29.38547623</v>
      </c>
      <c r="F274" s="24">
        <f t="shared" si="3"/>
        <v>0.0002180212752</v>
      </c>
      <c r="G274" s="24">
        <f t="shared" si="4"/>
        <v>0</v>
      </c>
      <c r="H274" s="26">
        <f t="shared" si="5"/>
        <v>0</v>
      </c>
      <c r="I274" s="24">
        <f t="shared" si="6"/>
        <v>0</v>
      </c>
      <c r="J274" s="24">
        <f t="shared" si="7"/>
        <v>0</v>
      </c>
      <c r="K274" s="24"/>
      <c r="L274" s="24">
        <f t="shared" si="8"/>
        <v>544.3893713</v>
      </c>
      <c r="M274" s="14">
        <f t="shared" si="9"/>
        <v>429.6627301</v>
      </c>
      <c r="N274" s="27">
        <f t="shared" si="10"/>
        <v>114.7266411</v>
      </c>
      <c r="O274" s="24"/>
      <c r="P274" s="24"/>
      <c r="Q274" s="24"/>
      <c r="R274" s="26"/>
      <c r="S274" s="14">
        <f t="shared" si="13"/>
        <v>105.3530309</v>
      </c>
      <c r="U274" s="21"/>
      <c r="V274" s="21"/>
    </row>
    <row r="275">
      <c r="A275" s="11">
        <v>263.0</v>
      </c>
      <c r="B275" s="11">
        <v>1.42053913043478E9</v>
      </c>
      <c r="C275" s="2">
        <v>-101.5281296</v>
      </c>
      <c r="D275" s="24">
        <f t="shared" si="1"/>
        <v>139130.4348</v>
      </c>
      <c r="E275" s="25">
        <f t="shared" si="2"/>
        <v>-30.30377236</v>
      </c>
      <c r="F275" s="24">
        <f t="shared" si="3"/>
        <v>0.0002178083638</v>
      </c>
      <c r="G275" s="24">
        <f t="shared" si="4"/>
        <v>0</v>
      </c>
      <c r="H275" s="26">
        <f t="shared" si="5"/>
        <v>0</v>
      </c>
      <c r="I275" s="24">
        <f t="shared" si="6"/>
        <v>0</v>
      </c>
      <c r="J275" s="24">
        <f t="shared" si="7"/>
        <v>0</v>
      </c>
      <c r="K275" s="24"/>
      <c r="L275" s="24">
        <f t="shared" si="8"/>
        <v>534.9253843</v>
      </c>
      <c r="M275" s="14">
        <f t="shared" si="9"/>
        <v>429.5792361</v>
      </c>
      <c r="N275" s="27">
        <f t="shared" si="10"/>
        <v>105.3461482</v>
      </c>
      <c r="O275" s="24"/>
      <c r="P275" s="24"/>
      <c r="Q275" s="24"/>
      <c r="R275" s="26"/>
      <c r="S275" s="14">
        <f t="shared" si="13"/>
        <v>96.73896031</v>
      </c>
      <c r="U275" s="21"/>
      <c r="V275" s="21"/>
    </row>
    <row r="276">
      <c r="A276" s="11">
        <v>264.0</v>
      </c>
      <c r="B276" s="11">
        <v>1.42054347826087E9</v>
      </c>
      <c r="C276" s="2">
        <v>-101.6592789</v>
      </c>
      <c r="D276" s="24">
        <f t="shared" si="1"/>
        <v>143478.2609</v>
      </c>
      <c r="E276" s="25">
        <f t="shared" si="2"/>
        <v>-31.22206849</v>
      </c>
      <c r="F276" s="24">
        <f t="shared" si="3"/>
        <v>0.0002176083562</v>
      </c>
      <c r="G276" s="24">
        <f t="shared" si="4"/>
        <v>0</v>
      </c>
      <c r="H276" s="26">
        <f t="shared" si="5"/>
        <v>0</v>
      </c>
      <c r="I276" s="24">
        <f t="shared" si="6"/>
        <v>0</v>
      </c>
      <c r="J276" s="24">
        <f t="shared" si="7"/>
        <v>0</v>
      </c>
      <c r="K276" s="24"/>
      <c r="L276" s="24">
        <f t="shared" si="8"/>
        <v>519.0130495</v>
      </c>
      <c r="M276" s="14">
        <f t="shared" si="9"/>
        <v>429.4954753</v>
      </c>
      <c r="N276" s="27">
        <f t="shared" si="10"/>
        <v>89.51757413</v>
      </c>
      <c r="O276" s="24"/>
      <c r="P276" s="24"/>
      <c r="Q276" s="24"/>
      <c r="R276" s="26"/>
      <c r="S276" s="14">
        <f t="shared" si="13"/>
        <v>82.20364214</v>
      </c>
      <c r="U276" s="21"/>
      <c r="V276" s="21"/>
    </row>
    <row r="277">
      <c r="A277" s="11">
        <v>265.0</v>
      </c>
      <c r="B277" s="11">
        <v>1.42054782608695E9</v>
      </c>
      <c r="C277" s="2">
        <v>-101.7035522</v>
      </c>
      <c r="D277" s="24">
        <f t="shared" si="1"/>
        <v>147826.087</v>
      </c>
      <c r="E277" s="25">
        <f t="shared" si="2"/>
        <v>-32.14036462</v>
      </c>
      <c r="F277" s="24">
        <f t="shared" si="3"/>
        <v>0.0002174201136</v>
      </c>
      <c r="G277" s="24">
        <f t="shared" si="4"/>
        <v>0</v>
      </c>
      <c r="H277" s="26">
        <f t="shared" si="5"/>
        <v>0</v>
      </c>
      <c r="I277" s="24">
        <f t="shared" si="6"/>
        <v>0</v>
      </c>
      <c r="J277" s="24">
        <f t="shared" si="7"/>
        <v>0</v>
      </c>
      <c r="K277" s="24"/>
      <c r="L277" s="24">
        <f t="shared" si="8"/>
        <v>513.7489501</v>
      </c>
      <c r="M277" s="14">
        <f t="shared" si="9"/>
        <v>429.4114466</v>
      </c>
      <c r="N277" s="27">
        <f t="shared" si="10"/>
        <v>84.33750349</v>
      </c>
      <c r="O277" s="24"/>
      <c r="P277" s="24"/>
      <c r="Q277" s="24"/>
      <c r="R277" s="26"/>
      <c r="S277" s="14">
        <f t="shared" si="13"/>
        <v>77.44680331</v>
      </c>
      <c r="U277" s="21"/>
      <c r="V277" s="21"/>
    </row>
    <row r="278">
      <c r="A278" s="11">
        <v>266.0</v>
      </c>
      <c r="B278" s="11">
        <v>1.42055217391304E9</v>
      </c>
      <c r="C278" s="2">
        <v>-101.8206329</v>
      </c>
      <c r="D278" s="24">
        <f t="shared" si="1"/>
        <v>152173.913</v>
      </c>
      <c r="E278" s="25">
        <f t="shared" si="2"/>
        <v>-33.05866076</v>
      </c>
      <c r="F278" s="24">
        <f t="shared" si="3"/>
        <v>0.0002172426278</v>
      </c>
      <c r="G278" s="24">
        <f t="shared" si="4"/>
        <v>0</v>
      </c>
      <c r="H278" s="26">
        <f t="shared" si="5"/>
        <v>0</v>
      </c>
      <c r="I278" s="24">
        <f t="shared" si="6"/>
        <v>0</v>
      </c>
      <c r="J278" s="24">
        <f t="shared" si="7"/>
        <v>0</v>
      </c>
      <c r="K278" s="24"/>
      <c r="L278" s="24">
        <f t="shared" si="8"/>
        <v>500.0839052</v>
      </c>
      <c r="M278" s="14">
        <f t="shared" si="9"/>
        <v>429.3271488</v>
      </c>
      <c r="N278" s="27">
        <f t="shared" si="10"/>
        <v>70.75675644</v>
      </c>
      <c r="O278" s="24"/>
      <c r="P278" s="24"/>
      <c r="Q278" s="24"/>
      <c r="R278" s="26"/>
      <c r="S278" s="14">
        <f t="shared" si="13"/>
        <v>64.97565566</v>
      </c>
      <c r="U278" s="21"/>
      <c r="V278" s="21"/>
    </row>
    <row r="279">
      <c r="A279" s="11">
        <v>267.0</v>
      </c>
      <c r="B279" s="11">
        <v>1.42055652173913E9</v>
      </c>
      <c r="C279" s="2">
        <v>-101.9160004</v>
      </c>
      <c r="D279" s="24">
        <f t="shared" si="1"/>
        <v>156521.7391</v>
      </c>
      <c r="E279" s="25">
        <f t="shared" si="2"/>
        <v>-33.97695689</v>
      </c>
      <c r="F279" s="24">
        <f t="shared" si="3"/>
        <v>0.0002170750023</v>
      </c>
      <c r="G279" s="24">
        <f t="shared" si="4"/>
        <v>0</v>
      </c>
      <c r="H279" s="26">
        <f t="shared" si="5"/>
        <v>0</v>
      </c>
      <c r="I279" s="24">
        <f t="shared" si="6"/>
        <v>0</v>
      </c>
      <c r="J279" s="24">
        <f t="shared" si="7"/>
        <v>0</v>
      </c>
      <c r="K279" s="24"/>
      <c r="L279" s="24">
        <f t="shared" si="8"/>
        <v>489.2221674</v>
      </c>
      <c r="M279" s="14">
        <f t="shared" si="9"/>
        <v>429.2425806</v>
      </c>
      <c r="N279" s="27">
        <f t="shared" si="10"/>
        <v>59.97958683</v>
      </c>
      <c r="O279" s="24"/>
      <c r="P279" s="24"/>
      <c r="Q279" s="24"/>
      <c r="R279" s="26"/>
      <c r="S279" s="14">
        <f t="shared" si="13"/>
        <v>55.07902263</v>
      </c>
      <c r="U279" s="21"/>
      <c r="V279" s="21"/>
    </row>
    <row r="280">
      <c r="A280" s="11">
        <v>268.0</v>
      </c>
      <c r="B280" s="11">
        <v>1.42056086956521E9</v>
      </c>
      <c r="C280" s="2">
        <v>-101.8768463</v>
      </c>
      <c r="D280" s="24">
        <f t="shared" si="1"/>
        <v>160869.5652</v>
      </c>
      <c r="E280" s="25">
        <f t="shared" si="2"/>
        <v>-34.89525302</v>
      </c>
      <c r="F280" s="24">
        <f t="shared" si="3"/>
        <v>0.0002169164377</v>
      </c>
      <c r="G280" s="24">
        <f t="shared" si="4"/>
        <v>0</v>
      </c>
      <c r="H280" s="26">
        <f t="shared" si="5"/>
        <v>0</v>
      </c>
      <c r="I280" s="24">
        <f t="shared" si="6"/>
        <v>0</v>
      </c>
      <c r="J280" s="24">
        <f t="shared" si="7"/>
        <v>0</v>
      </c>
      <c r="K280" s="24"/>
      <c r="L280" s="24">
        <f t="shared" si="8"/>
        <v>493.6527235</v>
      </c>
      <c r="M280" s="14">
        <f t="shared" si="9"/>
        <v>429.1577409</v>
      </c>
      <c r="N280" s="27">
        <f t="shared" si="10"/>
        <v>64.49498265</v>
      </c>
      <c r="O280" s="24"/>
      <c r="P280" s="24"/>
      <c r="Q280" s="24"/>
      <c r="R280" s="26"/>
      <c r="S280" s="14">
        <f t="shared" si="13"/>
        <v>59.22549315</v>
      </c>
      <c r="U280" s="21"/>
      <c r="V280" s="21"/>
    </row>
    <row r="281">
      <c r="A281" s="11">
        <v>269.0</v>
      </c>
      <c r="B281" s="11">
        <v>1.4205652173913E9</v>
      </c>
      <c r="C281" s="2">
        <v>-101.9496841</v>
      </c>
      <c r="D281" s="24">
        <f t="shared" si="1"/>
        <v>165217.3913</v>
      </c>
      <c r="E281" s="25">
        <f t="shared" si="2"/>
        <v>-35.81354915</v>
      </c>
      <c r="F281" s="24">
        <f t="shared" si="3"/>
        <v>0.0002167662186</v>
      </c>
      <c r="G281" s="24">
        <f t="shared" si="4"/>
        <v>0</v>
      </c>
      <c r="H281" s="26">
        <f t="shared" si="5"/>
        <v>0</v>
      </c>
      <c r="I281" s="24">
        <f t="shared" si="6"/>
        <v>0</v>
      </c>
      <c r="J281" s="24">
        <f t="shared" si="7"/>
        <v>0</v>
      </c>
      <c r="K281" s="24"/>
      <c r="L281" s="24">
        <f t="shared" si="8"/>
        <v>485.4424572</v>
      </c>
      <c r="M281" s="14">
        <f t="shared" si="9"/>
        <v>429.0726284</v>
      </c>
      <c r="N281" s="27">
        <f t="shared" si="10"/>
        <v>56.36982881</v>
      </c>
      <c r="O281" s="24"/>
      <c r="P281" s="24"/>
      <c r="Q281" s="24"/>
      <c r="R281" s="26"/>
      <c r="S281" s="14">
        <f t="shared" si="13"/>
        <v>51.76419568</v>
      </c>
      <c r="U281" s="21"/>
      <c r="V281" s="21"/>
    </row>
    <row r="282">
      <c r="A282" s="11">
        <v>270.0</v>
      </c>
      <c r="B282" s="11">
        <v>1.42056956521739E9</v>
      </c>
      <c r="C282" s="2">
        <v>-101.9877625</v>
      </c>
      <c r="D282" s="24">
        <f t="shared" si="1"/>
        <v>169565.2174</v>
      </c>
      <c r="E282" s="25">
        <f t="shared" si="2"/>
        <v>-36.73184528</v>
      </c>
      <c r="F282" s="24">
        <f t="shared" si="3"/>
        <v>0.000216623703</v>
      </c>
      <c r="G282" s="24">
        <f t="shared" si="4"/>
        <v>0</v>
      </c>
      <c r="H282" s="26">
        <f t="shared" si="5"/>
        <v>0</v>
      </c>
      <c r="I282" s="24">
        <f t="shared" si="6"/>
        <v>0</v>
      </c>
      <c r="J282" s="24">
        <f t="shared" si="7"/>
        <v>0</v>
      </c>
      <c r="K282" s="24"/>
      <c r="L282" s="24">
        <f t="shared" si="8"/>
        <v>481.204763</v>
      </c>
      <c r="M282" s="14">
        <f t="shared" si="9"/>
        <v>428.9872419</v>
      </c>
      <c r="N282" s="27">
        <f t="shared" si="10"/>
        <v>52.21752112</v>
      </c>
      <c r="O282" s="24"/>
      <c r="P282" s="24"/>
      <c r="Q282" s="24"/>
      <c r="R282" s="26"/>
      <c r="S282" s="14">
        <f t="shared" si="13"/>
        <v>47.95114771</v>
      </c>
      <c r="U282" s="21"/>
      <c r="V282" s="21"/>
    </row>
    <row r="283">
      <c r="A283" s="11">
        <v>271.0</v>
      </c>
      <c r="B283" s="11">
        <v>1.42057391304347E9</v>
      </c>
      <c r="C283" s="2">
        <v>-102.0193863</v>
      </c>
      <c r="D283" s="24">
        <f t="shared" si="1"/>
        <v>173913.0435</v>
      </c>
      <c r="E283" s="25">
        <f t="shared" si="2"/>
        <v>-37.65014142</v>
      </c>
      <c r="F283" s="24">
        <f t="shared" si="3"/>
        <v>0.0002164883132</v>
      </c>
      <c r="G283" s="24">
        <f t="shared" si="4"/>
        <v>0</v>
      </c>
      <c r="H283" s="26">
        <f t="shared" si="5"/>
        <v>0</v>
      </c>
      <c r="I283" s="24">
        <f t="shared" si="6"/>
        <v>0</v>
      </c>
      <c r="J283" s="24">
        <f t="shared" si="7"/>
        <v>0</v>
      </c>
      <c r="K283" s="24"/>
      <c r="L283" s="24">
        <f t="shared" si="8"/>
        <v>477.7135252</v>
      </c>
      <c r="M283" s="14">
        <f t="shared" si="9"/>
        <v>428.9015803</v>
      </c>
      <c r="N283" s="27">
        <f t="shared" si="10"/>
        <v>48.81194496</v>
      </c>
      <c r="O283" s="24"/>
      <c r="P283" s="24"/>
      <c r="Q283" s="24"/>
      <c r="R283" s="26"/>
      <c r="S283" s="14">
        <f t="shared" si="13"/>
        <v>44.82382029</v>
      </c>
      <c r="U283" s="21"/>
      <c r="V283" s="21"/>
    </row>
    <row r="284">
      <c r="A284" s="11">
        <v>272.0</v>
      </c>
      <c r="B284" s="11">
        <v>1.42057826086956E9</v>
      </c>
      <c r="C284" s="2">
        <v>-101.9884415</v>
      </c>
      <c r="D284" s="24">
        <f t="shared" si="1"/>
        <v>178260.8696</v>
      </c>
      <c r="E284" s="25">
        <f t="shared" si="2"/>
        <v>-38.56843755</v>
      </c>
      <c r="F284" s="24">
        <f t="shared" si="3"/>
        <v>0.0002163595277</v>
      </c>
      <c r="G284" s="24">
        <f t="shared" si="4"/>
        <v>0</v>
      </c>
      <c r="H284" s="26">
        <f t="shared" si="5"/>
        <v>0</v>
      </c>
      <c r="I284" s="24">
        <f t="shared" si="6"/>
        <v>0</v>
      </c>
      <c r="J284" s="24">
        <f t="shared" si="7"/>
        <v>0</v>
      </c>
      <c r="K284" s="24"/>
      <c r="L284" s="24">
        <f t="shared" si="8"/>
        <v>481.1295347</v>
      </c>
      <c r="M284" s="14">
        <f t="shared" si="9"/>
        <v>428.8156423</v>
      </c>
      <c r="N284" s="27">
        <f t="shared" si="10"/>
        <v>52.31389243</v>
      </c>
      <c r="O284" s="24"/>
      <c r="P284" s="24"/>
      <c r="Q284" s="24"/>
      <c r="R284" s="26"/>
      <c r="S284" s="14">
        <f t="shared" si="13"/>
        <v>48.039645</v>
      </c>
      <c r="U284" s="21"/>
      <c r="V284" s="21"/>
    </row>
    <row r="285">
      <c r="A285" s="11">
        <v>273.0</v>
      </c>
      <c r="B285" s="11">
        <v>1.42058260869565E9</v>
      </c>
      <c r="C285" s="2">
        <v>-101.9748993</v>
      </c>
      <c r="D285" s="24">
        <f t="shared" si="1"/>
        <v>182608.6957</v>
      </c>
      <c r="E285" s="25">
        <f t="shared" si="2"/>
        <v>-39.48673368</v>
      </c>
      <c r="F285" s="24">
        <f t="shared" si="3"/>
        <v>0.0002162368749</v>
      </c>
      <c r="G285" s="24">
        <f t="shared" si="4"/>
        <v>0</v>
      </c>
      <c r="H285" s="26">
        <f t="shared" si="5"/>
        <v>0</v>
      </c>
      <c r="I285" s="24">
        <f t="shared" si="6"/>
        <v>0</v>
      </c>
      <c r="J285" s="24">
        <f t="shared" si="7"/>
        <v>0</v>
      </c>
      <c r="K285" s="24"/>
      <c r="L285" s="24">
        <f t="shared" si="8"/>
        <v>482.6321376</v>
      </c>
      <c r="M285" s="14">
        <f t="shared" si="9"/>
        <v>428.7294267</v>
      </c>
      <c r="N285" s="27">
        <f t="shared" si="10"/>
        <v>53.90271089</v>
      </c>
      <c r="O285" s="24"/>
      <c r="P285" s="24"/>
      <c r="Q285" s="24"/>
      <c r="R285" s="26"/>
      <c r="S285" s="14">
        <f t="shared" si="13"/>
        <v>49.49865096</v>
      </c>
      <c r="U285" s="21"/>
      <c r="V285" s="21"/>
    </row>
    <row r="286">
      <c r="A286" s="11">
        <v>274.0</v>
      </c>
      <c r="B286" s="11">
        <v>1.42058695652173E9</v>
      </c>
      <c r="C286" s="2">
        <v>-102.0073471</v>
      </c>
      <c r="D286" s="24">
        <f t="shared" si="1"/>
        <v>186956.5217</v>
      </c>
      <c r="E286" s="25">
        <f t="shared" si="2"/>
        <v>-40.40502981</v>
      </c>
      <c r="F286" s="24">
        <f t="shared" si="3"/>
        <v>0.0002161199269</v>
      </c>
      <c r="G286" s="24">
        <f t="shared" si="4"/>
        <v>0</v>
      </c>
      <c r="H286" s="26">
        <f t="shared" si="5"/>
        <v>0</v>
      </c>
      <c r="I286" s="24">
        <f t="shared" si="6"/>
        <v>0</v>
      </c>
      <c r="J286" s="24">
        <f t="shared" si="7"/>
        <v>0</v>
      </c>
      <c r="K286" s="24"/>
      <c r="L286" s="24">
        <f t="shared" si="8"/>
        <v>479.0396456</v>
      </c>
      <c r="M286" s="14">
        <f t="shared" si="9"/>
        <v>428.6429323</v>
      </c>
      <c r="N286" s="27">
        <f t="shared" si="10"/>
        <v>50.39671332</v>
      </c>
      <c r="O286" s="24"/>
      <c r="P286" s="24"/>
      <c r="Q286" s="24"/>
      <c r="R286" s="26"/>
      <c r="S286" s="14">
        <f t="shared" si="13"/>
        <v>46.27910695</v>
      </c>
      <c r="U286" s="21"/>
      <c r="V286" s="21"/>
    </row>
    <row r="287">
      <c r="A287" s="11">
        <v>275.0</v>
      </c>
      <c r="B287" s="11">
        <v>1.42059130434782E9</v>
      </c>
      <c r="C287" s="2">
        <v>-102.0058823</v>
      </c>
      <c r="D287" s="24">
        <f t="shared" si="1"/>
        <v>191304.3478</v>
      </c>
      <c r="E287" s="25">
        <f t="shared" si="2"/>
        <v>-41.32332595</v>
      </c>
      <c r="F287" s="24">
        <f t="shared" si="3"/>
        <v>0.0002160082947</v>
      </c>
      <c r="G287" s="24">
        <f t="shared" si="4"/>
        <v>0</v>
      </c>
      <c r="H287" s="26">
        <f t="shared" si="5"/>
        <v>0</v>
      </c>
      <c r="I287" s="24">
        <f t="shared" si="6"/>
        <v>0</v>
      </c>
      <c r="J287" s="24">
        <f t="shared" si="7"/>
        <v>0</v>
      </c>
      <c r="K287" s="24"/>
      <c r="L287" s="24">
        <f t="shared" si="8"/>
        <v>479.2012446</v>
      </c>
      <c r="M287" s="14">
        <f t="shared" si="9"/>
        <v>428.5561579</v>
      </c>
      <c r="N287" s="27">
        <f t="shared" si="10"/>
        <v>50.64508671</v>
      </c>
      <c r="O287" s="24"/>
      <c r="P287" s="24"/>
      <c r="Q287" s="24"/>
      <c r="R287" s="26"/>
      <c r="S287" s="14">
        <f t="shared" si="13"/>
        <v>46.50718727</v>
      </c>
      <c r="U287" s="21"/>
      <c r="V287" s="21"/>
    </row>
    <row r="288">
      <c r="A288" s="11">
        <v>276.0</v>
      </c>
      <c r="B288" s="11">
        <v>1.42059565217391E9</v>
      </c>
      <c r="C288" s="2">
        <v>-102.0522232</v>
      </c>
      <c r="D288" s="24">
        <f t="shared" si="1"/>
        <v>195652.1739</v>
      </c>
      <c r="E288" s="25">
        <f t="shared" si="2"/>
        <v>-42.24162208</v>
      </c>
      <c r="F288" s="24">
        <f t="shared" si="3"/>
        <v>0.000215901624</v>
      </c>
      <c r="G288" s="24">
        <f t="shared" si="4"/>
        <v>0</v>
      </c>
      <c r="H288" s="26">
        <f t="shared" si="5"/>
        <v>0</v>
      </c>
      <c r="I288" s="24">
        <f t="shared" si="6"/>
        <v>0</v>
      </c>
      <c r="J288" s="24">
        <f t="shared" si="7"/>
        <v>0</v>
      </c>
      <c r="K288" s="24"/>
      <c r="L288" s="24">
        <f t="shared" si="8"/>
        <v>474.1151656</v>
      </c>
      <c r="M288" s="14">
        <f t="shared" si="9"/>
        <v>428.4691024</v>
      </c>
      <c r="N288" s="27">
        <f t="shared" si="10"/>
        <v>45.64606322</v>
      </c>
      <c r="O288" s="24"/>
      <c r="P288" s="24"/>
      <c r="Q288" s="24"/>
      <c r="R288" s="26"/>
      <c r="S288" s="14">
        <f t="shared" si="13"/>
        <v>41.91660323</v>
      </c>
      <c r="U288" s="21"/>
      <c r="V288" s="21"/>
    </row>
    <row r="289">
      <c r="A289" s="11">
        <v>277.0</v>
      </c>
      <c r="B289" s="11">
        <v>1.4206E9</v>
      </c>
      <c r="C289" s="2">
        <v>-101.9732666</v>
      </c>
      <c r="D289" s="24">
        <f t="shared" si="1"/>
        <v>200000</v>
      </c>
      <c r="E289" s="25">
        <f t="shared" si="2"/>
        <v>-43.15991821</v>
      </c>
      <c r="F289" s="24">
        <f t="shared" si="3"/>
        <v>0.000215799591</v>
      </c>
      <c r="G289" s="24">
        <f t="shared" si="4"/>
        <v>0</v>
      </c>
      <c r="H289" s="26">
        <f t="shared" si="5"/>
        <v>0</v>
      </c>
      <c r="I289" s="24">
        <f t="shared" si="6"/>
        <v>0</v>
      </c>
      <c r="J289" s="24">
        <f t="shared" si="7"/>
        <v>0</v>
      </c>
      <c r="K289" s="24"/>
      <c r="L289" s="24">
        <f t="shared" si="8"/>
        <v>482.8136139</v>
      </c>
      <c r="M289" s="14">
        <f t="shared" si="9"/>
        <v>428.3817644</v>
      </c>
      <c r="N289" s="27">
        <f t="shared" si="10"/>
        <v>54.43184946</v>
      </c>
      <c r="O289" s="24"/>
      <c r="P289" s="24"/>
      <c r="Q289" s="24"/>
      <c r="R289" s="26"/>
      <c r="S289" s="14">
        <f t="shared" si="13"/>
        <v>49.98455686</v>
      </c>
      <c r="U289" s="21"/>
      <c r="V289" s="21"/>
    </row>
    <row r="290">
      <c r="A290" s="11">
        <v>278.0</v>
      </c>
      <c r="B290" s="11">
        <v>1.42060434782608E9</v>
      </c>
      <c r="C290" s="2">
        <v>-102.0391388</v>
      </c>
      <c r="D290" s="24">
        <f t="shared" si="1"/>
        <v>204347.8261</v>
      </c>
      <c r="E290" s="25">
        <f t="shared" si="2"/>
        <v>-44.07821434</v>
      </c>
      <c r="F290" s="24">
        <f t="shared" si="3"/>
        <v>0.0002157019</v>
      </c>
      <c r="G290" s="24">
        <f t="shared" si="4"/>
        <v>0</v>
      </c>
      <c r="H290" s="26">
        <f t="shared" si="5"/>
        <v>0</v>
      </c>
      <c r="I290" s="24">
        <f t="shared" si="6"/>
        <v>0</v>
      </c>
      <c r="J290" s="24">
        <f t="shared" si="7"/>
        <v>0</v>
      </c>
      <c r="K290" s="24"/>
      <c r="L290" s="24">
        <f t="shared" si="8"/>
        <v>475.545731</v>
      </c>
      <c r="M290" s="14">
        <f t="shared" si="9"/>
        <v>428.2941428</v>
      </c>
      <c r="N290" s="27">
        <f t="shared" si="10"/>
        <v>47.25158819</v>
      </c>
      <c r="O290" s="24"/>
      <c r="P290" s="24"/>
      <c r="Q290" s="24"/>
      <c r="R290" s="26"/>
      <c r="S290" s="14">
        <f t="shared" si="13"/>
        <v>43.39095071</v>
      </c>
      <c r="U290" s="21"/>
      <c r="V290" s="21"/>
    </row>
    <row r="291">
      <c r="A291" s="11">
        <v>279.0</v>
      </c>
      <c r="B291" s="11">
        <v>1.42060869565217E9</v>
      </c>
      <c r="C291" s="2">
        <v>-102.0015945</v>
      </c>
      <c r="D291" s="24">
        <f t="shared" si="1"/>
        <v>208695.6522</v>
      </c>
      <c r="E291" s="25">
        <f t="shared" si="2"/>
        <v>-44.99651047</v>
      </c>
      <c r="F291" s="24">
        <f t="shared" si="3"/>
        <v>0.0002156082794</v>
      </c>
      <c r="G291" s="24">
        <f t="shared" si="4"/>
        <v>0</v>
      </c>
      <c r="H291" s="26">
        <f t="shared" si="5"/>
        <v>0</v>
      </c>
      <c r="I291" s="24">
        <f t="shared" si="6"/>
        <v>0</v>
      </c>
      <c r="J291" s="24">
        <f t="shared" si="7"/>
        <v>0</v>
      </c>
      <c r="K291" s="24"/>
      <c r="L291" s="24">
        <f t="shared" si="8"/>
        <v>479.6745948</v>
      </c>
      <c r="M291" s="14">
        <f t="shared" si="9"/>
        <v>428.2062365</v>
      </c>
      <c r="N291" s="27">
        <f t="shared" si="10"/>
        <v>51.46835835</v>
      </c>
      <c r="O291" s="24"/>
      <c r="P291" s="24"/>
      <c r="Q291" s="24"/>
      <c r="R291" s="26"/>
      <c r="S291" s="14">
        <f t="shared" si="13"/>
        <v>47.26319432</v>
      </c>
      <c r="U291" s="21"/>
      <c r="V291" s="21"/>
    </row>
    <row r="292">
      <c r="A292" s="11">
        <v>280.0</v>
      </c>
      <c r="B292" s="11">
        <v>1.42061304347826E9</v>
      </c>
      <c r="C292" s="2">
        <v>-102.0494003</v>
      </c>
      <c r="D292" s="24">
        <f t="shared" si="1"/>
        <v>213043.4783</v>
      </c>
      <c r="E292" s="25">
        <f t="shared" si="2"/>
        <v>-45.91480661</v>
      </c>
      <c r="F292" s="24">
        <f t="shared" si="3"/>
        <v>0.00021551848</v>
      </c>
      <c r="G292" s="24">
        <f t="shared" si="4"/>
        <v>0</v>
      </c>
      <c r="H292" s="26">
        <f t="shared" si="5"/>
        <v>0</v>
      </c>
      <c r="I292" s="24">
        <f t="shared" si="6"/>
        <v>0</v>
      </c>
      <c r="J292" s="24">
        <f t="shared" si="7"/>
        <v>0</v>
      </c>
      <c r="K292" s="24"/>
      <c r="L292" s="24">
        <f t="shared" si="8"/>
        <v>474.4234391</v>
      </c>
      <c r="M292" s="14">
        <f t="shared" si="9"/>
        <v>428.1180441</v>
      </c>
      <c r="N292" s="27">
        <f t="shared" si="10"/>
        <v>46.305395</v>
      </c>
      <c r="O292" s="24"/>
      <c r="P292" s="24"/>
      <c r="Q292" s="24"/>
      <c r="R292" s="26"/>
      <c r="S292" s="14">
        <f t="shared" si="13"/>
        <v>42.52206516</v>
      </c>
      <c r="U292" s="21"/>
      <c r="V292" s="21"/>
    </row>
    <row r="293">
      <c r="A293" s="11">
        <v>281.0</v>
      </c>
      <c r="B293" s="11">
        <v>1.42061739130434E9</v>
      </c>
      <c r="C293" s="2">
        <v>-101.9491119</v>
      </c>
      <c r="D293" s="24">
        <f t="shared" si="1"/>
        <v>217391.3043</v>
      </c>
      <c r="E293" s="25">
        <f t="shared" si="2"/>
        <v>-46.83310274</v>
      </c>
      <c r="F293" s="24">
        <f t="shared" si="3"/>
        <v>0.0002154322726</v>
      </c>
      <c r="G293" s="24">
        <f t="shared" si="4"/>
        <v>0</v>
      </c>
      <c r="H293" s="26">
        <f t="shared" si="5"/>
        <v>0</v>
      </c>
      <c r="I293" s="24">
        <f t="shared" si="6"/>
        <v>0</v>
      </c>
      <c r="J293" s="24">
        <f t="shared" si="7"/>
        <v>0</v>
      </c>
      <c r="K293" s="24"/>
      <c r="L293" s="24">
        <f t="shared" si="8"/>
        <v>485.5064203</v>
      </c>
      <c r="M293" s="14">
        <f t="shared" si="9"/>
        <v>428.0295645</v>
      </c>
      <c r="N293" s="27">
        <f t="shared" si="10"/>
        <v>57.47685585</v>
      </c>
      <c r="O293" s="24"/>
      <c r="P293" s="24"/>
      <c r="Q293" s="24"/>
      <c r="R293" s="26"/>
      <c r="S293" s="14">
        <f t="shared" si="13"/>
        <v>52.78077446</v>
      </c>
      <c r="U293" s="21"/>
      <c r="V293" s="21"/>
    </row>
    <row r="294">
      <c r="A294" s="11">
        <v>282.0</v>
      </c>
      <c r="B294" s="11">
        <v>1.42062173913043E9</v>
      </c>
      <c r="C294" s="2">
        <v>-101.985733</v>
      </c>
      <c r="D294" s="24">
        <f t="shared" si="1"/>
        <v>221739.1304</v>
      </c>
      <c r="E294" s="25">
        <f t="shared" si="2"/>
        <v>-47.75139887</v>
      </c>
      <c r="F294" s="24">
        <f t="shared" si="3"/>
        <v>0.0002153494459</v>
      </c>
      <c r="G294" s="24">
        <f t="shared" si="4"/>
        <v>0</v>
      </c>
      <c r="H294" s="26">
        <f t="shared" si="5"/>
        <v>0</v>
      </c>
      <c r="I294" s="24">
        <f t="shared" si="6"/>
        <v>0</v>
      </c>
      <c r="J294" s="24">
        <f t="shared" si="7"/>
        <v>0</v>
      </c>
      <c r="K294" s="24"/>
      <c r="L294" s="24">
        <f t="shared" si="8"/>
        <v>481.4296872</v>
      </c>
      <c r="M294" s="14">
        <f t="shared" si="9"/>
        <v>427.9407964</v>
      </c>
      <c r="N294" s="27">
        <f t="shared" si="10"/>
        <v>53.48889076</v>
      </c>
      <c r="O294" s="24"/>
      <c r="P294" s="24"/>
      <c r="Q294" s="24"/>
      <c r="R294" s="26"/>
      <c r="S294" s="14">
        <f t="shared" si="13"/>
        <v>49.11864142</v>
      </c>
      <c r="U294" s="21"/>
      <c r="V294" s="21"/>
    </row>
    <row r="295">
      <c r="A295" s="11">
        <v>283.0</v>
      </c>
      <c r="B295" s="11">
        <v>1.42062608695652E9</v>
      </c>
      <c r="C295" s="2">
        <v>-102.0117416</v>
      </c>
      <c r="D295" s="24">
        <f t="shared" si="1"/>
        <v>226086.9565</v>
      </c>
      <c r="E295" s="25">
        <f t="shared" si="2"/>
        <v>-48.669695</v>
      </c>
      <c r="F295" s="24">
        <f t="shared" si="3"/>
        <v>0.0002152698048</v>
      </c>
      <c r="G295" s="24">
        <f t="shared" si="4"/>
        <v>0</v>
      </c>
      <c r="H295" s="26">
        <f t="shared" si="5"/>
        <v>0</v>
      </c>
      <c r="I295" s="24">
        <f t="shared" si="6"/>
        <v>0</v>
      </c>
      <c r="J295" s="24">
        <f t="shared" si="7"/>
        <v>0</v>
      </c>
      <c r="K295" s="24"/>
      <c r="L295" s="24">
        <f t="shared" si="8"/>
        <v>478.5551644</v>
      </c>
      <c r="M295" s="14">
        <f t="shared" si="9"/>
        <v>427.8517388</v>
      </c>
      <c r="N295" s="27">
        <f t="shared" si="10"/>
        <v>50.70342568</v>
      </c>
      <c r="O295" s="24"/>
      <c r="P295" s="24"/>
      <c r="Q295" s="24"/>
      <c r="R295" s="26"/>
      <c r="S295" s="14">
        <f t="shared" si="13"/>
        <v>46.56075972</v>
      </c>
      <c r="U295" s="21"/>
      <c r="V295" s="21"/>
    </row>
    <row r="296">
      <c r="A296" s="11">
        <v>284.0</v>
      </c>
      <c r="B296" s="11">
        <v>1.4206304347826E9</v>
      </c>
      <c r="C296" s="2">
        <v>-101.9940186</v>
      </c>
      <c r="D296" s="24">
        <f t="shared" si="1"/>
        <v>230434.7826</v>
      </c>
      <c r="E296" s="25">
        <f t="shared" si="2"/>
        <v>-49.58799113</v>
      </c>
      <c r="F296" s="24">
        <f t="shared" si="3"/>
        <v>0.0002151931691</v>
      </c>
      <c r="G296" s="24">
        <f t="shared" si="4"/>
        <v>0</v>
      </c>
      <c r="H296" s="26">
        <f t="shared" si="5"/>
        <v>0</v>
      </c>
      <c r="I296" s="24">
        <f t="shared" si="6"/>
        <v>0</v>
      </c>
      <c r="J296" s="24">
        <f t="shared" si="7"/>
        <v>0</v>
      </c>
      <c r="K296" s="24"/>
      <c r="L296" s="24">
        <f t="shared" si="8"/>
        <v>480.5120768</v>
      </c>
      <c r="M296" s="14">
        <f t="shared" si="9"/>
        <v>427.7623903</v>
      </c>
      <c r="N296" s="27">
        <f t="shared" si="10"/>
        <v>52.74968659</v>
      </c>
      <c r="O296" s="24"/>
      <c r="P296" s="24"/>
      <c r="Q296" s="24"/>
      <c r="R296" s="26"/>
      <c r="S296" s="14">
        <f t="shared" si="13"/>
        <v>48.4398332</v>
      </c>
      <c r="U296" s="21"/>
      <c r="V296" s="21"/>
    </row>
    <row r="297">
      <c r="A297" s="11">
        <v>285.0</v>
      </c>
      <c r="B297" s="11">
        <v>1.42063478260869E9</v>
      </c>
      <c r="C297" s="2">
        <v>-102.0097504</v>
      </c>
      <c r="D297" s="24">
        <f t="shared" si="1"/>
        <v>234782.6087</v>
      </c>
      <c r="E297" s="25">
        <f t="shared" si="2"/>
        <v>-50.50628727</v>
      </c>
      <c r="F297" s="24">
        <f t="shared" si="3"/>
        <v>0.0002151193717</v>
      </c>
      <c r="G297" s="24">
        <f t="shared" si="4"/>
        <v>0</v>
      </c>
      <c r="H297" s="26">
        <f t="shared" si="5"/>
        <v>0</v>
      </c>
      <c r="I297" s="24">
        <f t="shared" si="6"/>
        <v>0</v>
      </c>
      <c r="J297" s="24">
        <f t="shared" si="7"/>
        <v>0</v>
      </c>
      <c r="K297" s="24"/>
      <c r="L297" s="24">
        <f t="shared" si="8"/>
        <v>478.7746279</v>
      </c>
      <c r="M297" s="14">
        <f t="shared" si="9"/>
        <v>427.6727497</v>
      </c>
      <c r="N297" s="27">
        <f t="shared" si="10"/>
        <v>51.10187816</v>
      </c>
      <c r="O297" s="24"/>
      <c r="P297" s="24"/>
      <c r="Q297" s="24"/>
      <c r="R297" s="26"/>
      <c r="S297" s="14">
        <f t="shared" si="13"/>
        <v>46.92665709</v>
      </c>
      <c r="U297" s="21"/>
      <c r="V297" s="21"/>
    </row>
    <row r="298">
      <c r="A298" s="11">
        <v>286.0</v>
      </c>
      <c r="B298" s="11">
        <v>1.42063913043478E9</v>
      </c>
      <c r="C298" s="2">
        <v>-102.0036011</v>
      </c>
      <c r="D298" s="24">
        <f t="shared" si="1"/>
        <v>239130.4348</v>
      </c>
      <c r="E298" s="25">
        <f t="shared" si="2"/>
        <v>-51.4245834</v>
      </c>
      <c r="F298" s="24">
        <f t="shared" si="3"/>
        <v>0.0002150482579</v>
      </c>
      <c r="G298" s="24">
        <f t="shared" si="4"/>
        <v>0</v>
      </c>
      <c r="H298" s="26">
        <f t="shared" si="5"/>
        <v>0</v>
      </c>
      <c r="I298" s="24">
        <f t="shared" si="6"/>
        <v>0</v>
      </c>
      <c r="J298" s="24">
        <f t="shared" si="7"/>
        <v>0</v>
      </c>
      <c r="K298" s="24"/>
      <c r="L298" s="24">
        <f t="shared" si="8"/>
        <v>479.4530187</v>
      </c>
      <c r="M298" s="14">
        <f t="shared" si="9"/>
        <v>427.5828159</v>
      </c>
      <c r="N298" s="27">
        <f t="shared" si="10"/>
        <v>51.87020283</v>
      </c>
      <c r="O298" s="24"/>
      <c r="P298" s="24"/>
      <c r="Q298" s="24"/>
      <c r="R298" s="26"/>
      <c r="S298" s="14">
        <f t="shared" si="13"/>
        <v>47.63220656</v>
      </c>
      <c r="U298" s="21"/>
      <c r="V298" s="21"/>
    </row>
    <row r="299">
      <c r="A299" s="11">
        <v>287.0</v>
      </c>
      <c r="B299" s="11">
        <v>1.42064347826087E9</v>
      </c>
      <c r="C299" s="2">
        <v>-101.973526</v>
      </c>
      <c r="D299" s="24">
        <f t="shared" si="1"/>
        <v>243478.2609</v>
      </c>
      <c r="E299" s="25">
        <f t="shared" si="2"/>
        <v>-52.34287953</v>
      </c>
      <c r="F299" s="24">
        <f t="shared" si="3"/>
        <v>0.0002149796838</v>
      </c>
      <c r="G299" s="24">
        <f t="shared" si="4"/>
        <v>0</v>
      </c>
      <c r="H299" s="26">
        <f t="shared" si="5"/>
        <v>0</v>
      </c>
      <c r="I299" s="24">
        <f t="shared" si="6"/>
        <v>0</v>
      </c>
      <c r="J299" s="24">
        <f t="shared" si="7"/>
        <v>0</v>
      </c>
      <c r="K299" s="24"/>
      <c r="L299" s="24">
        <f t="shared" si="8"/>
        <v>482.7847767</v>
      </c>
      <c r="M299" s="14">
        <f t="shared" si="9"/>
        <v>427.4925877</v>
      </c>
      <c r="N299" s="27">
        <f t="shared" si="10"/>
        <v>55.29218908</v>
      </c>
      <c r="O299" s="24"/>
      <c r="P299" s="24"/>
      <c r="Q299" s="24"/>
      <c r="R299" s="26"/>
      <c r="S299" s="14">
        <f t="shared" si="13"/>
        <v>50.7746034</v>
      </c>
      <c r="U299" s="21"/>
      <c r="V299" s="21"/>
    </row>
    <row r="300">
      <c r="A300" s="11">
        <v>288.0</v>
      </c>
      <c r="B300" s="11">
        <v>1.42064782608695E9</v>
      </c>
      <c r="C300" s="2">
        <v>-101.9861832</v>
      </c>
      <c r="D300" s="24">
        <f t="shared" si="1"/>
        <v>247826.087</v>
      </c>
      <c r="E300" s="25">
        <f t="shared" si="2"/>
        <v>-53.26117566</v>
      </c>
      <c r="F300" s="24">
        <f t="shared" si="3"/>
        <v>0.0002149135158</v>
      </c>
      <c r="G300" s="24">
        <f t="shared" si="4"/>
        <v>0</v>
      </c>
      <c r="H300" s="26">
        <f t="shared" si="5"/>
        <v>0</v>
      </c>
      <c r="I300" s="24">
        <f t="shared" si="6"/>
        <v>0</v>
      </c>
      <c r="J300" s="24">
        <f t="shared" si="7"/>
        <v>0</v>
      </c>
      <c r="K300" s="24"/>
      <c r="L300" s="24">
        <f t="shared" si="8"/>
        <v>481.3797836</v>
      </c>
      <c r="M300" s="14">
        <f t="shared" si="9"/>
        <v>427.4020637</v>
      </c>
      <c r="N300" s="27">
        <f t="shared" si="10"/>
        <v>53.97771989</v>
      </c>
      <c r="O300" s="24"/>
      <c r="P300" s="24"/>
      <c r="Q300" s="24"/>
      <c r="R300" s="26"/>
      <c r="S300" s="14">
        <f t="shared" si="13"/>
        <v>49.56753143</v>
      </c>
      <c r="U300" s="21"/>
      <c r="V300" s="21"/>
    </row>
    <row r="301">
      <c r="A301" s="11">
        <v>289.0</v>
      </c>
      <c r="B301" s="11">
        <v>1.42065217391304E9</v>
      </c>
      <c r="C301" s="2">
        <v>-101.9501419</v>
      </c>
      <c r="D301" s="24">
        <f t="shared" si="1"/>
        <v>252173.913</v>
      </c>
      <c r="E301" s="25">
        <f t="shared" si="2"/>
        <v>-54.1794718</v>
      </c>
      <c r="F301" s="24">
        <f t="shared" si="3"/>
        <v>0.0002148496295</v>
      </c>
      <c r="G301" s="24">
        <f t="shared" si="4"/>
        <v>0</v>
      </c>
      <c r="H301" s="26">
        <f t="shared" si="5"/>
        <v>0</v>
      </c>
      <c r="I301" s="24">
        <f t="shared" si="6"/>
        <v>0</v>
      </c>
      <c r="J301" s="24">
        <f t="shared" si="7"/>
        <v>0</v>
      </c>
      <c r="K301" s="24"/>
      <c r="L301" s="24">
        <f t="shared" si="8"/>
        <v>485.3912882</v>
      </c>
      <c r="M301" s="14">
        <f t="shared" si="9"/>
        <v>427.311243</v>
      </c>
      <c r="N301" s="27">
        <f t="shared" si="10"/>
        <v>58.08004526</v>
      </c>
      <c r="O301" s="24"/>
      <c r="P301" s="24"/>
      <c r="Q301" s="24"/>
      <c r="R301" s="26"/>
      <c r="S301" s="14">
        <f t="shared" si="13"/>
        <v>53.33468083</v>
      </c>
      <c r="U301" s="21"/>
      <c r="V301" s="21"/>
    </row>
    <row r="302">
      <c r="A302" s="11">
        <v>290.0</v>
      </c>
      <c r="B302" s="11">
        <v>1.42065652173913E9</v>
      </c>
      <c r="C302" s="2">
        <v>-101.9895248</v>
      </c>
      <c r="D302" s="24">
        <f t="shared" si="1"/>
        <v>256521.7391</v>
      </c>
      <c r="E302" s="25">
        <f t="shared" si="2"/>
        <v>-55.09776793</v>
      </c>
      <c r="F302" s="24">
        <f t="shared" si="3"/>
        <v>0.0002147879089</v>
      </c>
      <c r="G302" s="24">
        <f t="shared" si="4"/>
        <v>0</v>
      </c>
      <c r="H302" s="26">
        <f t="shared" si="5"/>
        <v>0</v>
      </c>
      <c r="I302" s="24">
        <f t="shared" si="6"/>
        <v>0</v>
      </c>
      <c r="J302" s="24">
        <f t="shared" si="7"/>
        <v>0</v>
      </c>
      <c r="K302" s="24"/>
      <c r="L302" s="24">
        <f t="shared" si="8"/>
        <v>481.0095372</v>
      </c>
      <c r="M302" s="14">
        <f t="shared" si="9"/>
        <v>427.2201241</v>
      </c>
      <c r="N302" s="27">
        <f t="shared" si="10"/>
        <v>53.78941303</v>
      </c>
      <c r="O302" s="24"/>
      <c r="P302" s="24"/>
      <c r="Q302" s="24"/>
      <c r="R302" s="26"/>
      <c r="S302" s="14">
        <f t="shared" si="13"/>
        <v>49.39460997</v>
      </c>
      <c r="U302" s="21"/>
      <c r="V302" s="21"/>
    </row>
    <row r="303">
      <c r="A303" s="11">
        <v>291.0</v>
      </c>
      <c r="B303" s="11">
        <v>1.42066086956521E9</v>
      </c>
      <c r="C303" s="2">
        <v>-101.9472198</v>
      </c>
      <c r="D303" s="24">
        <f t="shared" si="1"/>
        <v>260869.5652</v>
      </c>
      <c r="E303" s="25">
        <f t="shared" si="2"/>
        <v>-56.01606406</v>
      </c>
      <c r="F303" s="24">
        <f t="shared" si="3"/>
        <v>0.0002147282456</v>
      </c>
      <c r="G303" s="24">
        <f t="shared" si="4"/>
        <v>0</v>
      </c>
      <c r="H303" s="26">
        <f t="shared" si="5"/>
        <v>0</v>
      </c>
      <c r="I303" s="24">
        <f t="shared" si="6"/>
        <v>0</v>
      </c>
      <c r="J303" s="24">
        <f t="shared" si="7"/>
        <v>0</v>
      </c>
      <c r="K303" s="24"/>
      <c r="L303" s="24">
        <f t="shared" si="8"/>
        <v>485.717988</v>
      </c>
      <c r="M303" s="14">
        <f t="shared" si="9"/>
        <v>427.128706</v>
      </c>
      <c r="N303" s="27">
        <f t="shared" si="10"/>
        <v>58.589282</v>
      </c>
      <c r="O303" s="24"/>
      <c r="P303" s="24"/>
      <c r="Q303" s="24"/>
      <c r="R303" s="26"/>
      <c r="S303" s="14">
        <f t="shared" si="13"/>
        <v>53.80231109</v>
      </c>
      <c r="U303" s="21"/>
      <c r="V303" s="21"/>
    </row>
    <row r="304">
      <c r="A304" s="11">
        <v>292.0</v>
      </c>
      <c r="B304" s="11">
        <v>1.4206652173913E9</v>
      </c>
      <c r="C304" s="2">
        <v>-101.9417343</v>
      </c>
      <c r="D304" s="24">
        <f t="shared" si="1"/>
        <v>265217.3913</v>
      </c>
      <c r="E304" s="25">
        <f t="shared" si="2"/>
        <v>-56.93436019</v>
      </c>
      <c r="F304" s="24">
        <f t="shared" si="3"/>
        <v>0.0002146705384</v>
      </c>
      <c r="G304" s="24">
        <f t="shared" si="4"/>
        <v>0</v>
      </c>
      <c r="H304" s="26">
        <f t="shared" si="5"/>
        <v>0</v>
      </c>
      <c r="I304" s="24">
        <f t="shared" si="6"/>
        <v>0</v>
      </c>
      <c r="J304" s="24">
        <f t="shared" si="7"/>
        <v>0</v>
      </c>
      <c r="K304" s="24"/>
      <c r="L304" s="24">
        <f t="shared" si="8"/>
        <v>486.3318778</v>
      </c>
      <c r="M304" s="14">
        <f t="shared" si="9"/>
        <v>427.0369874</v>
      </c>
      <c r="N304" s="27">
        <f t="shared" si="10"/>
        <v>59.29489037</v>
      </c>
      <c r="O304" s="24"/>
      <c r="P304" s="24"/>
      <c r="Q304" s="24"/>
      <c r="R304" s="26"/>
      <c r="S304" s="14">
        <f t="shared" si="13"/>
        <v>54.45026839</v>
      </c>
      <c r="U304" s="21"/>
      <c r="V304" s="21"/>
    </row>
    <row r="305">
      <c r="A305" s="11">
        <v>293.0</v>
      </c>
      <c r="B305" s="11">
        <v>1.42066956521739E9</v>
      </c>
      <c r="C305" s="2">
        <v>-101.9769592</v>
      </c>
      <c r="D305" s="24">
        <f t="shared" si="1"/>
        <v>269565.2174</v>
      </c>
      <c r="E305" s="25">
        <f t="shared" si="2"/>
        <v>-57.85265632</v>
      </c>
      <c r="F305" s="24">
        <f t="shared" si="3"/>
        <v>0.0002146146928</v>
      </c>
      <c r="G305" s="24">
        <f t="shared" si="4"/>
        <v>0</v>
      </c>
      <c r="H305" s="26">
        <f t="shared" si="5"/>
        <v>0</v>
      </c>
      <c r="I305" s="24">
        <f t="shared" si="6"/>
        <v>0</v>
      </c>
      <c r="J305" s="24">
        <f t="shared" si="7"/>
        <v>0</v>
      </c>
      <c r="K305" s="24"/>
      <c r="L305" s="24">
        <f t="shared" si="8"/>
        <v>482.4032748</v>
      </c>
      <c r="M305" s="14">
        <f t="shared" si="9"/>
        <v>426.9449671</v>
      </c>
      <c r="N305" s="27">
        <f t="shared" si="10"/>
        <v>55.45830768</v>
      </c>
      <c r="O305" s="24"/>
      <c r="P305" s="24"/>
      <c r="Q305" s="24"/>
      <c r="R305" s="26"/>
      <c r="S305" s="14">
        <f t="shared" si="13"/>
        <v>50.92714947</v>
      </c>
      <c r="U305" s="21"/>
      <c r="V305" s="21"/>
    </row>
    <row r="306">
      <c r="A306" s="11">
        <v>294.0</v>
      </c>
      <c r="B306" s="11">
        <v>1.42067391304347E9</v>
      </c>
      <c r="C306" s="2">
        <v>-101.9260101</v>
      </c>
      <c r="D306" s="24">
        <f t="shared" si="1"/>
        <v>273913.0435</v>
      </c>
      <c r="E306" s="25">
        <f t="shared" si="2"/>
        <v>-58.77095246</v>
      </c>
      <c r="F306" s="24">
        <f t="shared" si="3"/>
        <v>0.0002145606201</v>
      </c>
      <c r="G306" s="24">
        <f t="shared" si="4"/>
        <v>0</v>
      </c>
      <c r="H306" s="26">
        <f t="shared" si="5"/>
        <v>0</v>
      </c>
      <c r="I306" s="24">
        <f t="shared" si="6"/>
        <v>0</v>
      </c>
      <c r="J306" s="24">
        <f t="shared" si="7"/>
        <v>0</v>
      </c>
      <c r="K306" s="24"/>
      <c r="L306" s="24">
        <f t="shared" si="8"/>
        <v>488.0958975</v>
      </c>
      <c r="M306" s="14">
        <f t="shared" si="9"/>
        <v>426.852644</v>
      </c>
      <c r="N306" s="27">
        <f t="shared" si="10"/>
        <v>61.24325352</v>
      </c>
      <c r="O306" s="24"/>
      <c r="P306" s="24"/>
      <c r="Q306" s="24"/>
      <c r="R306" s="26"/>
      <c r="S306" s="14">
        <f t="shared" si="13"/>
        <v>56.23944287</v>
      </c>
      <c r="U306" s="21"/>
      <c r="V306" s="21"/>
    </row>
    <row r="307">
      <c r="A307" s="11">
        <v>295.0</v>
      </c>
      <c r="B307" s="11">
        <v>1.42067826086956E9</v>
      </c>
      <c r="C307" s="2">
        <v>-101.9391708</v>
      </c>
      <c r="D307" s="24">
        <f t="shared" si="1"/>
        <v>278260.8696</v>
      </c>
      <c r="E307" s="25">
        <f t="shared" si="2"/>
        <v>-59.68924859</v>
      </c>
      <c r="F307" s="24">
        <f t="shared" si="3"/>
        <v>0.0002145082371</v>
      </c>
      <c r="G307" s="24">
        <f t="shared" si="4"/>
        <v>0</v>
      </c>
      <c r="H307" s="26">
        <f t="shared" si="5"/>
        <v>0</v>
      </c>
      <c r="I307" s="24">
        <f t="shared" si="6"/>
        <v>0</v>
      </c>
      <c r="J307" s="24">
        <f t="shared" si="7"/>
        <v>0</v>
      </c>
      <c r="K307" s="24"/>
      <c r="L307" s="24">
        <f t="shared" si="8"/>
        <v>486.6190285</v>
      </c>
      <c r="M307" s="14">
        <f t="shared" si="9"/>
        <v>426.7600167</v>
      </c>
      <c r="N307" s="27">
        <f t="shared" si="10"/>
        <v>59.85901181</v>
      </c>
      <c r="O307" s="24"/>
      <c r="P307" s="24"/>
      <c r="Q307" s="24"/>
      <c r="R307" s="26"/>
      <c r="S307" s="14">
        <f t="shared" si="13"/>
        <v>54.96829893</v>
      </c>
      <c r="U307" s="21"/>
      <c r="V307" s="21"/>
    </row>
    <row r="308">
      <c r="A308" s="11">
        <v>296.0</v>
      </c>
      <c r="B308" s="11">
        <v>1.42068260869565E9</v>
      </c>
      <c r="C308" s="2">
        <v>-101.9013062</v>
      </c>
      <c r="D308" s="24">
        <f t="shared" si="1"/>
        <v>282608.6957</v>
      </c>
      <c r="E308" s="25">
        <f t="shared" si="2"/>
        <v>-60.60754472</v>
      </c>
      <c r="F308" s="24">
        <f t="shared" si="3"/>
        <v>0.0002144574659</v>
      </c>
      <c r="G308" s="24">
        <f t="shared" si="4"/>
        <v>0</v>
      </c>
      <c r="H308" s="26">
        <f t="shared" si="5"/>
        <v>0</v>
      </c>
      <c r="I308" s="24">
        <f t="shared" si="6"/>
        <v>0</v>
      </c>
      <c r="J308" s="24">
        <f t="shared" si="7"/>
        <v>0</v>
      </c>
      <c r="K308" s="24"/>
      <c r="L308" s="24">
        <f t="shared" si="8"/>
        <v>490.8802367</v>
      </c>
      <c r="M308" s="14">
        <f t="shared" si="9"/>
        <v>426.6670842</v>
      </c>
      <c r="N308" s="27">
        <f t="shared" si="10"/>
        <v>64.21315258</v>
      </c>
      <c r="O308" s="24"/>
      <c r="P308" s="24"/>
      <c r="Q308" s="24"/>
      <c r="R308" s="26"/>
      <c r="S308" s="14">
        <f t="shared" si="13"/>
        <v>58.96668969</v>
      </c>
      <c r="U308" s="21"/>
      <c r="V308" s="21"/>
    </row>
    <row r="309">
      <c r="A309" s="11">
        <v>297.0</v>
      </c>
      <c r="B309" s="11">
        <v>1.42068695652173E9</v>
      </c>
      <c r="C309" s="2">
        <v>-101.9207535</v>
      </c>
      <c r="D309" s="24">
        <f t="shared" si="1"/>
        <v>286956.5217</v>
      </c>
      <c r="E309" s="25">
        <f t="shared" si="2"/>
        <v>-61.52584085</v>
      </c>
      <c r="F309" s="24">
        <f t="shared" si="3"/>
        <v>0.0002144082333</v>
      </c>
      <c r="G309" s="24">
        <f t="shared" si="4"/>
        <v>0</v>
      </c>
      <c r="H309" s="26">
        <f t="shared" si="5"/>
        <v>0</v>
      </c>
      <c r="I309" s="24">
        <f t="shared" si="6"/>
        <v>0</v>
      </c>
      <c r="J309" s="24">
        <f t="shared" si="7"/>
        <v>0</v>
      </c>
      <c r="K309" s="24"/>
      <c r="L309" s="24">
        <f t="shared" si="8"/>
        <v>488.6870352</v>
      </c>
      <c r="M309" s="14">
        <f t="shared" si="9"/>
        <v>426.5738451</v>
      </c>
      <c r="N309" s="27">
        <f t="shared" si="10"/>
        <v>62.11319008</v>
      </c>
      <c r="O309" s="24"/>
      <c r="P309" s="24"/>
      <c r="Q309" s="24"/>
      <c r="R309" s="26"/>
      <c r="S309" s="14">
        <f t="shared" si="13"/>
        <v>57.03830224</v>
      </c>
      <c r="U309" s="21"/>
      <c r="V309" s="21"/>
    </row>
    <row r="310">
      <c r="A310" s="11">
        <v>298.0</v>
      </c>
      <c r="B310" s="11">
        <v>1.42069130434782E9</v>
      </c>
      <c r="C310" s="2">
        <v>-101.9418945</v>
      </c>
      <c r="D310" s="24">
        <f t="shared" si="1"/>
        <v>291304.3478</v>
      </c>
      <c r="E310" s="25">
        <f t="shared" si="2"/>
        <v>-62.44413698</v>
      </c>
      <c r="F310" s="24">
        <f t="shared" si="3"/>
        <v>0.0002143604703</v>
      </c>
      <c r="G310" s="24">
        <f t="shared" si="4"/>
        <v>0</v>
      </c>
      <c r="H310" s="26">
        <f t="shared" si="5"/>
        <v>0</v>
      </c>
      <c r="I310" s="24">
        <f t="shared" si="6"/>
        <v>0</v>
      </c>
      <c r="J310" s="24">
        <f t="shared" si="7"/>
        <v>0</v>
      </c>
      <c r="K310" s="24"/>
      <c r="L310" s="24">
        <f t="shared" si="8"/>
        <v>486.3139386</v>
      </c>
      <c r="M310" s="14">
        <f t="shared" si="9"/>
        <v>426.4802983</v>
      </c>
      <c r="N310" s="27">
        <f t="shared" si="10"/>
        <v>59.83364029</v>
      </c>
      <c r="O310" s="24"/>
      <c r="P310" s="24"/>
      <c r="Q310" s="24"/>
      <c r="R310" s="26"/>
      <c r="S310" s="14">
        <f t="shared" si="13"/>
        <v>54.94500049</v>
      </c>
      <c r="U310" s="21"/>
      <c r="V310" s="21"/>
    </row>
    <row r="311">
      <c r="A311" s="11">
        <v>299.0</v>
      </c>
      <c r="B311" s="11">
        <v>1.42069565217391E9</v>
      </c>
      <c r="C311" s="2">
        <v>-101.904068</v>
      </c>
      <c r="D311" s="24">
        <f t="shared" si="1"/>
        <v>295652.1739</v>
      </c>
      <c r="E311" s="25">
        <f t="shared" si="2"/>
        <v>-63.36243312</v>
      </c>
      <c r="F311" s="24">
        <f t="shared" si="3"/>
        <v>0.000214314112</v>
      </c>
      <c r="G311" s="24">
        <f t="shared" si="4"/>
        <v>0</v>
      </c>
      <c r="H311" s="26">
        <f t="shared" si="5"/>
        <v>0</v>
      </c>
      <c r="I311" s="24">
        <f t="shared" si="6"/>
        <v>0</v>
      </c>
      <c r="J311" s="24">
        <f t="shared" si="7"/>
        <v>0</v>
      </c>
      <c r="K311" s="24"/>
      <c r="L311" s="24">
        <f t="shared" si="8"/>
        <v>490.5681715</v>
      </c>
      <c r="M311" s="14">
        <f t="shared" si="9"/>
        <v>426.3864426</v>
      </c>
      <c r="N311" s="27">
        <f t="shared" si="10"/>
        <v>64.18172889</v>
      </c>
      <c r="O311" s="24"/>
      <c r="P311" s="24"/>
      <c r="Q311" s="24"/>
      <c r="R311" s="26"/>
      <c r="S311" s="14">
        <f t="shared" si="13"/>
        <v>58.9378333</v>
      </c>
      <c r="U311" s="21"/>
      <c r="V311" s="21"/>
    </row>
    <row r="312">
      <c r="A312" s="11">
        <v>300.0</v>
      </c>
      <c r="B312" s="11">
        <v>1.4207E9</v>
      </c>
      <c r="C312" s="2">
        <v>-101.902153</v>
      </c>
      <c r="D312" s="24">
        <f t="shared" si="1"/>
        <v>300000</v>
      </c>
      <c r="E312" s="25">
        <f t="shared" si="2"/>
        <v>-64.28072925</v>
      </c>
      <c r="F312" s="24">
        <f t="shared" si="3"/>
        <v>0.0002142690975</v>
      </c>
      <c r="G312" s="24">
        <f t="shared" si="4"/>
        <v>0</v>
      </c>
      <c r="H312" s="26">
        <f t="shared" si="5"/>
        <v>0</v>
      </c>
      <c r="I312" s="24">
        <f t="shared" si="6"/>
        <v>0</v>
      </c>
      <c r="J312" s="24">
        <f t="shared" si="7"/>
        <v>0</v>
      </c>
      <c r="K312" s="24"/>
      <c r="L312" s="24">
        <f t="shared" si="8"/>
        <v>490.7845328</v>
      </c>
      <c r="M312" s="14">
        <f t="shared" si="9"/>
        <v>426.2922768</v>
      </c>
      <c r="N312" s="27">
        <f t="shared" si="10"/>
        <v>64.492256</v>
      </c>
      <c r="O312" s="24"/>
      <c r="P312" s="24"/>
      <c r="Q312" s="24"/>
      <c r="R312" s="26"/>
      <c r="S312" s="14">
        <f t="shared" si="13"/>
        <v>59.22298928</v>
      </c>
      <c r="U312" s="21"/>
      <c r="V312" s="21"/>
    </row>
    <row r="313">
      <c r="A313" s="11">
        <v>301.0</v>
      </c>
      <c r="B313" s="11">
        <v>1.42070434782608E9</v>
      </c>
      <c r="C313" s="2">
        <v>-101.8949814</v>
      </c>
      <c r="D313" s="24">
        <f t="shared" si="1"/>
        <v>304347.8261</v>
      </c>
      <c r="E313" s="25">
        <f t="shared" si="2"/>
        <v>-65.19902538</v>
      </c>
      <c r="F313" s="24">
        <f t="shared" si="3"/>
        <v>0.0002142253691</v>
      </c>
      <c r="G313" s="24">
        <f t="shared" si="4"/>
        <v>0</v>
      </c>
      <c r="H313" s="26">
        <f t="shared" si="5"/>
        <v>0</v>
      </c>
      <c r="I313" s="24">
        <f t="shared" si="6"/>
        <v>0</v>
      </c>
      <c r="J313" s="24">
        <f t="shared" si="7"/>
        <v>0</v>
      </c>
      <c r="K313" s="24"/>
      <c r="L313" s="24">
        <f t="shared" si="8"/>
        <v>491.5956456</v>
      </c>
      <c r="M313" s="14">
        <f t="shared" si="9"/>
        <v>426.1977997</v>
      </c>
      <c r="N313" s="27">
        <f t="shared" si="10"/>
        <v>65.39784592</v>
      </c>
      <c r="O313" s="24"/>
      <c r="P313" s="24"/>
      <c r="Q313" s="24"/>
      <c r="R313" s="26"/>
      <c r="S313" s="14">
        <f t="shared" si="13"/>
        <v>60.054589</v>
      </c>
      <c r="U313" s="21"/>
      <c r="V313" s="21"/>
    </row>
    <row r="314">
      <c r="A314" s="11">
        <v>302.0</v>
      </c>
      <c r="B314" s="11">
        <v>1.42070869565217E9</v>
      </c>
      <c r="C314" s="2">
        <v>-101.8972473</v>
      </c>
      <c r="D314" s="24">
        <f t="shared" si="1"/>
        <v>308695.6522</v>
      </c>
      <c r="E314" s="25">
        <f t="shared" si="2"/>
        <v>-66.11732151</v>
      </c>
      <c r="F314" s="24">
        <f t="shared" si="3"/>
        <v>0.0002141828725</v>
      </c>
      <c r="G314" s="24">
        <f t="shared" si="4"/>
        <v>0</v>
      </c>
      <c r="H314" s="26">
        <f t="shared" si="5"/>
        <v>0</v>
      </c>
      <c r="I314" s="24">
        <f t="shared" si="6"/>
        <v>0</v>
      </c>
      <c r="J314" s="24">
        <f t="shared" si="7"/>
        <v>0</v>
      </c>
      <c r="K314" s="24"/>
      <c r="L314" s="24">
        <f t="shared" si="8"/>
        <v>491.339226</v>
      </c>
      <c r="M314" s="14">
        <f t="shared" si="9"/>
        <v>426.10301</v>
      </c>
      <c r="N314" s="27">
        <f t="shared" si="10"/>
        <v>65.23621602</v>
      </c>
      <c r="O314" s="24"/>
      <c r="P314" s="24"/>
      <c r="Q314" s="24"/>
      <c r="R314" s="26"/>
      <c r="S314" s="14">
        <f t="shared" si="13"/>
        <v>59.90616475</v>
      </c>
      <c r="U314" s="21"/>
      <c r="V314" s="21"/>
    </row>
    <row r="315">
      <c r="A315" s="11">
        <v>303.0</v>
      </c>
      <c r="B315" s="11">
        <v>1.42071304347826E9</v>
      </c>
      <c r="C315" s="2">
        <v>-101.952034</v>
      </c>
      <c r="D315" s="24">
        <f t="shared" si="1"/>
        <v>313043.4783</v>
      </c>
      <c r="E315" s="25">
        <f t="shared" si="2"/>
        <v>-67.03561764</v>
      </c>
      <c r="F315" s="24">
        <f t="shared" si="3"/>
        <v>0.0002141415564</v>
      </c>
      <c r="G315" s="24">
        <f t="shared" si="4"/>
        <v>0</v>
      </c>
      <c r="H315" s="26">
        <f t="shared" si="5"/>
        <v>0</v>
      </c>
      <c r="I315" s="24">
        <f t="shared" si="6"/>
        <v>0</v>
      </c>
      <c r="J315" s="24">
        <f t="shared" si="7"/>
        <v>0</v>
      </c>
      <c r="K315" s="24"/>
      <c r="L315" s="24">
        <f t="shared" si="8"/>
        <v>485.1798628</v>
      </c>
      <c r="M315" s="14">
        <f t="shared" si="9"/>
        <v>426.0079066</v>
      </c>
      <c r="N315" s="27">
        <f t="shared" si="10"/>
        <v>59.17195624</v>
      </c>
      <c r="O315" s="24"/>
      <c r="P315" s="24"/>
      <c r="Q315" s="24"/>
      <c r="R315" s="26"/>
      <c r="S315" s="14">
        <f t="shared" si="13"/>
        <v>54.33737859</v>
      </c>
      <c r="U315" s="21"/>
      <c r="V315" s="21"/>
    </row>
    <row r="316">
      <c r="A316" s="11">
        <v>304.0</v>
      </c>
      <c r="B316" s="11">
        <v>1.42071739130434E9</v>
      </c>
      <c r="C316" s="2">
        <v>-101.9821396</v>
      </c>
      <c r="D316" s="24">
        <f t="shared" si="1"/>
        <v>317391.3043</v>
      </c>
      <c r="E316" s="25">
        <f t="shared" si="2"/>
        <v>-67.95391378</v>
      </c>
      <c r="F316" s="24">
        <f t="shared" si="3"/>
        <v>0.0002141013722</v>
      </c>
      <c r="G316" s="24">
        <f t="shared" si="4"/>
        <v>0</v>
      </c>
      <c r="H316" s="26">
        <f t="shared" si="5"/>
        <v>0</v>
      </c>
      <c r="I316" s="24">
        <f t="shared" si="6"/>
        <v>0</v>
      </c>
      <c r="J316" s="24">
        <f t="shared" si="7"/>
        <v>0</v>
      </c>
      <c r="K316" s="24"/>
      <c r="L316" s="24">
        <f t="shared" si="8"/>
        <v>481.8281922</v>
      </c>
      <c r="M316" s="14">
        <f t="shared" si="9"/>
        <v>425.9124882</v>
      </c>
      <c r="N316" s="27">
        <f t="shared" si="10"/>
        <v>55.91570397</v>
      </c>
      <c r="O316" s="24"/>
      <c r="P316" s="24"/>
      <c r="Q316" s="24"/>
      <c r="R316" s="26"/>
      <c r="S316" s="14">
        <f t="shared" si="13"/>
        <v>51.34717472</v>
      </c>
      <c r="U316" s="21"/>
      <c r="V316" s="21"/>
    </row>
    <row r="317">
      <c r="A317" s="11">
        <v>305.0</v>
      </c>
      <c r="B317" s="11">
        <v>1.42072173913043E9</v>
      </c>
      <c r="C317" s="2">
        <v>-101.9802246</v>
      </c>
      <c r="D317" s="24">
        <f t="shared" si="1"/>
        <v>321739.1304</v>
      </c>
      <c r="E317" s="25">
        <f t="shared" si="2"/>
        <v>-68.87220991</v>
      </c>
      <c r="F317" s="24">
        <f t="shared" si="3"/>
        <v>0.000214062274</v>
      </c>
      <c r="G317" s="24">
        <f t="shared" si="4"/>
        <v>0</v>
      </c>
      <c r="H317" s="26">
        <f t="shared" si="5"/>
        <v>0</v>
      </c>
      <c r="I317" s="24">
        <f t="shared" si="6"/>
        <v>0</v>
      </c>
      <c r="J317" s="24">
        <f t="shared" si="7"/>
        <v>0</v>
      </c>
      <c r="K317" s="24"/>
      <c r="L317" s="24">
        <f t="shared" si="8"/>
        <v>482.0406988</v>
      </c>
      <c r="M317" s="14">
        <f t="shared" si="9"/>
        <v>425.8167538</v>
      </c>
      <c r="N317" s="27">
        <f t="shared" si="10"/>
        <v>56.22394506</v>
      </c>
      <c r="O317" s="24"/>
      <c r="P317" s="24"/>
      <c r="Q317" s="24"/>
      <c r="R317" s="26"/>
      <c r="S317" s="14">
        <f t="shared" si="13"/>
        <v>51.6302312</v>
      </c>
      <c r="U317" s="21"/>
      <c r="V317" s="21"/>
    </row>
    <row r="318">
      <c r="A318" s="11">
        <v>306.0</v>
      </c>
      <c r="B318" s="11">
        <v>1.42072608695652E9</v>
      </c>
      <c r="C318" s="2">
        <v>-101.9959183</v>
      </c>
      <c r="D318" s="24">
        <f t="shared" si="1"/>
        <v>326086.9565</v>
      </c>
      <c r="E318" s="25">
        <f t="shared" si="2"/>
        <v>-69.79050604</v>
      </c>
      <c r="F318" s="24">
        <f t="shared" si="3"/>
        <v>0.0002140242185</v>
      </c>
      <c r="G318" s="24">
        <f t="shared" si="4"/>
        <v>0</v>
      </c>
      <c r="H318" s="26">
        <f t="shared" si="5"/>
        <v>0</v>
      </c>
      <c r="I318" s="24">
        <f t="shared" si="6"/>
        <v>0</v>
      </c>
      <c r="J318" s="24">
        <f t="shared" si="7"/>
        <v>0</v>
      </c>
      <c r="K318" s="24"/>
      <c r="L318" s="24">
        <f t="shared" si="8"/>
        <v>480.3019362</v>
      </c>
      <c r="M318" s="14">
        <f t="shared" si="9"/>
        <v>425.7207019</v>
      </c>
      <c r="N318" s="27">
        <f t="shared" si="10"/>
        <v>54.5812343</v>
      </c>
      <c r="O318" s="24"/>
      <c r="P318" s="24"/>
      <c r="Q318" s="24"/>
      <c r="R318" s="26"/>
      <c r="S318" s="14">
        <f t="shared" si="13"/>
        <v>50.12173638</v>
      </c>
      <c r="U318" s="21"/>
      <c r="V318" s="21"/>
    </row>
    <row r="319">
      <c r="A319" s="11">
        <v>307.0</v>
      </c>
      <c r="B319" s="11">
        <v>1.4207304347826E9</v>
      </c>
      <c r="C319" s="2">
        <v>-101.9543457</v>
      </c>
      <c r="D319" s="24">
        <f t="shared" si="1"/>
        <v>330434.7826</v>
      </c>
      <c r="E319" s="25">
        <f t="shared" si="2"/>
        <v>-70.70880217</v>
      </c>
      <c r="F319" s="24">
        <f t="shared" si="3"/>
        <v>0.0002139871645</v>
      </c>
      <c r="G319" s="24">
        <f t="shared" si="4"/>
        <v>0</v>
      </c>
      <c r="H319" s="26">
        <f t="shared" si="5"/>
        <v>0</v>
      </c>
      <c r="I319" s="24">
        <f t="shared" si="6"/>
        <v>0</v>
      </c>
      <c r="J319" s="24">
        <f t="shared" si="7"/>
        <v>0</v>
      </c>
      <c r="K319" s="24"/>
      <c r="L319" s="24">
        <f t="shared" si="8"/>
        <v>484.9216759</v>
      </c>
      <c r="M319" s="14">
        <f t="shared" si="9"/>
        <v>425.6243315</v>
      </c>
      <c r="N319" s="27">
        <f t="shared" si="10"/>
        <v>59.29734435</v>
      </c>
      <c r="O319" s="24"/>
      <c r="P319" s="24"/>
      <c r="Q319" s="24"/>
      <c r="R319" s="26"/>
      <c r="S319" s="14">
        <f t="shared" si="13"/>
        <v>54.452522</v>
      </c>
      <c r="U319" s="21"/>
      <c r="V319" s="21"/>
    </row>
    <row r="320">
      <c r="A320" s="11">
        <v>308.0</v>
      </c>
      <c r="B320" s="11">
        <v>1.42073478260869E9</v>
      </c>
      <c r="C320" s="2">
        <v>-101.9729691</v>
      </c>
      <c r="D320" s="24">
        <f t="shared" si="1"/>
        <v>334782.6087</v>
      </c>
      <c r="E320" s="25">
        <f t="shared" si="2"/>
        <v>-71.62709831</v>
      </c>
      <c r="F320" s="24">
        <f t="shared" si="3"/>
        <v>0.0002139510729</v>
      </c>
      <c r="G320" s="24">
        <f t="shared" si="4"/>
        <v>0</v>
      </c>
      <c r="H320" s="26">
        <f t="shared" si="5"/>
        <v>0</v>
      </c>
      <c r="I320" s="24">
        <f t="shared" si="6"/>
        <v>0</v>
      </c>
      <c r="J320" s="24">
        <f t="shared" si="7"/>
        <v>0</v>
      </c>
      <c r="K320" s="24"/>
      <c r="L320" s="24">
        <f t="shared" si="8"/>
        <v>482.8466887</v>
      </c>
      <c r="M320" s="14">
        <f t="shared" si="9"/>
        <v>425.5276413</v>
      </c>
      <c r="N320" s="27">
        <f t="shared" si="10"/>
        <v>57.31904732</v>
      </c>
      <c r="O320" s="24"/>
      <c r="P320" s="24"/>
      <c r="Q320" s="24"/>
      <c r="R320" s="26"/>
      <c r="S320" s="14">
        <f t="shared" si="13"/>
        <v>52.63585949</v>
      </c>
      <c r="U320" s="21"/>
      <c r="V320" s="21"/>
    </row>
    <row r="321">
      <c r="A321" s="11">
        <v>309.0</v>
      </c>
      <c r="B321" s="11">
        <v>1.42073913043478E9</v>
      </c>
      <c r="C321" s="2">
        <v>-101.9982147</v>
      </c>
      <c r="D321" s="24">
        <f t="shared" si="1"/>
        <v>339130.4348</v>
      </c>
      <c r="E321" s="25">
        <f t="shared" si="2"/>
        <v>-72.54539444</v>
      </c>
      <c r="F321" s="24">
        <f t="shared" si="3"/>
        <v>0.0002139159067</v>
      </c>
      <c r="G321" s="24">
        <f t="shared" si="4"/>
        <v>0</v>
      </c>
      <c r="H321" s="26">
        <f t="shared" si="5"/>
        <v>0</v>
      </c>
      <c r="I321" s="24">
        <f t="shared" si="6"/>
        <v>0</v>
      </c>
      <c r="J321" s="24">
        <f t="shared" si="7"/>
        <v>0</v>
      </c>
      <c r="K321" s="24"/>
      <c r="L321" s="24">
        <f t="shared" si="8"/>
        <v>480.0480362</v>
      </c>
      <c r="M321" s="14">
        <f t="shared" si="9"/>
        <v>425.4306302</v>
      </c>
      <c r="N321" s="27">
        <f t="shared" si="10"/>
        <v>54.61740597</v>
      </c>
      <c r="O321" s="24"/>
      <c r="P321" s="24"/>
      <c r="Q321" s="24"/>
      <c r="R321" s="26"/>
      <c r="S321" s="14">
        <f t="shared" si="13"/>
        <v>50.15495257</v>
      </c>
      <c r="U321" s="21"/>
      <c r="V321" s="21"/>
    </row>
    <row r="322">
      <c r="A322" s="11">
        <v>310.0</v>
      </c>
      <c r="B322" s="11">
        <v>1.42074347826087E9</v>
      </c>
      <c r="C322" s="2">
        <v>-102.0178146</v>
      </c>
      <c r="D322" s="24">
        <f t="shared" si="1"/>
        <v>343478.2609</v>
      </c>
      <c r="E322" s="25">
        <f t="shared" si="2"/>
        <v>-73.46369057</v>
      </c>
      <c r="F322" s="24">
        <f t="shared" si="3"/>
        <v>0.0002138816308</v>
      </c>
      <c r="G322" s="24">
        <f t="shared" si="4"/>
        <v>0</v>
      </c>
      <c r="H322" s="26">
        <f t="shared" si="5"/>
        <v>0</v>
      </c>
      <c r="I322" s="24">
        <f t="shared" si="6"/>
        <v>0</v>
      </c>
      <c r="J322" s="24">
        <f t="shared" si="7"/>
        <v>0</v>
      </c>
      <c r="K322" s="24"/>
      <c r="L322" s="24">
        <f t="shared" si="8"/>
        <v>477.8864397</v>
      </c>
      <c r="M322" s="14">
        <f t="shared" si="9"/>
        <v>425.3332969</v>
      </c>
      <c r="N322" s="27">
        <f t="shared" si="10"/>
        <v>52.55314285</v>
      </c>
      <c r="O322" s="24"/>
      <c r="P322" s="24"/>
      <c r="Q322" s="24"/>
      <c r="R322" s="26"/>
      <c r="S322" s="14">
        <f t="shared" si="13"/>
        <v>48.25934784</v>
      </c>
      <c r="U322" s="21"/>
      <c r="V322" s="21"/>
    </row>
    <row r="323">
      <c r="A323" s="11">
        <v>311.0</v>
      </c>
      <c r="B323" s="11">
        <v>1.42074782608695E9</v>
      </c>
      <c r="C323" s="2">
        <v>-102.1296921</v>
      </c>
      <c r="D323" s="24">
        <f t="shared" si="1"/>
        <v>347826.087</v>
      </c>
      <c r="E323" s="25">
        <f t="shared" si="2"/>
        <v>-74.3819867</v>
      </c>
      <c r="F323" s="24">
        <f t="shared" si="3"/>
        <v>0.0002138482118</v>
      </c>
      <c r="G323" s="24">
        <f t="shared" si="4"/>
        <v>0</v>
      </c>
      <c r="H323" s="26">
        <f t="shared" si="5"/>
        <v>0</v>
      </c>
      <c r="I323" s="24">
        <f t="shared" si="6"/>
        <v>0</v>
      </c>
      <c r="J323" s="24">
        <f t="shared" si="7"/>
        <v>0</v>
      </c>
      <c r="K323" s="24"/>
      <c r="L323" s="24">
        <f t="shared" si="8"/>
        <v>465.7329421</v>
      </c>
      <c r="M323" s="14">
        <f t="shared" si="9"/>
        <v>425.2356402</v>
      </c>
      <c r="N323" s="27">
        <f t="shared" si="10"/>
        <v>40.49730185</v>
      </c>
      <c r="O323" s="24"/>
      <c r="P323" s="24"/>
      <c r="Q323" s="24"/>
      <c r="R323" s="26"/>
      <c r="S323" s="14">
        <f t="shared" si="13"/>
        <v>37.18851567</v>
      </c>
      <c r="U323" s="21"/>
      <c r="V323" s="21"/>
    </row>
    <row r="324">
      <c r="A324" s="11">
        <v>312.0</v>
      </c>
      <c r="B324" s="11">
        <v>1.42075217391304E9</v>
      </c>
      <c r="C324" s="2">
        <v>-102.1110306</v>
      </c>
      <c r="D324" s="24">
        <f t="shared" si="1"/>
        <v>352173.913</v>
      </c>
      <c r="E324" s="25">
        <f t="shared" si="2"/>
        <v>-75.30028284</v>
      </c>
      <c r="F324" s="24">
        <f t="shared" si="3"/>
        <v>0.0002138156179</v>
      </c>
      <c r="G324" s="24">
        <f t="shared" si="4"/>
        <v>0</v>
      </c>
      <c r="H324" s="26">
        <f t="shared" si="5"/>
        <v>0</v>
      </c>
      <c r="I324" s="24">
        <f t="shared" si="6"/>
        <v>0</v>
      </c>
      <c r="J324" s="24">
        <f t="shared" si="7"/>
        <v>0</v>
      </c>
      <c r="K324" s="24"/>
      <c r="L324" s="24">
        <f t="shared" si="8"/>
        <v>467.7384879</v>
      </c>
      <c r="M324" s="14">
        <f t="shared" si="9"/>
        <v>425.1376589</v>
      </c>
      <c r="N324" s="27">
        <f t="shared" si="10"/>
        <v>42.60082901</v>
      </c>
      <c r="O324" s="24"/>
      <c r="P324" s="24"/>
      <c r="Q324" s="24"/>
      <c r="R324" s="26"/>
      <c r="S324" s="14">
        <f t="shared" si="13"/>
        <v>39.12017644</v>
      </c>
      <c r="U324" s="21"/>
      <c r="V324" s="21"/>
    </row>
    <row r="325">
      <c r="A325" s="11">
        <v>313.0</v>
      </c>
      <c r="B325" s="11">
        <v>1.42075652173913E9</v>
      </c>
      <c r="C325" s="2">
        <v>-102.1244431</v>
      </c>
      <c r="D325" s="24">
        <f t="shared" si="1"/>
        <v>356521.7391</v>
      </c>
      <c r="E325" s="25">
        <f t="shared" si="2"/>
        <v>-76.21857897</v>
      </c>
      <c r="F325" s="24">
        <f t="shared" si="3"/>
        <v>0.0002137838191</v>
      </c>
      <c r="G325" s="24">
        <f t="shared" si="4"/>
        <v>0</v>
      </c>
      <c r="H325" s="26">
        <f t="shared" si="5"/>
        <v>0</v>
      </c>
      <c r="I325" s="24">
        <f t="shared" si="6"/>
        <v>0</v>
      </c>
      <c r="J325" s="24">
        <f t="shared" si="7"/>
        <v>0</v>
      </c>
      <c r="K325" s="24"/>
      <c r="L325" s="24">
        <f t="shared" si="8"/>
        <v>466.2961797</v>
      </c>
      <c r="M325" s="14">
        <f t="shared" si="9"/>
        <v>425.0393519</v>
      </c>
      <c r="N325" s="27">
        <f t="shared" si="10"/>
        <v>41.25682785</v>
      </c>
      <c r="O325" s="24"/>
      <c r="P325" s="24"/>
      <c r="Q325" s="24"/>
      <c r="R325" s="26"/>
      <c r="S325" s="14">
        <f t="shared" si="13"/>
        <v>37.88598546</v>
      </c>
      <c r="U325" s="21"/>
      <c r="V325" s="21"/>
    </row>
    <row r="326">
      <c r="A326" s="11">
        <v>314.0</v>
      </c>
      <c r="B326" s="11">
        <v>1.42076086956521E9</v>
      </c>
      <c r="C326" s="2">
        <v>-102.171051</v>
      </c>
      <c r="D326" s="24">
        <f t="shared" si="1"/>
        <v>360869.5652</v>
      </c>
      <c r="E326" s="25">
        <f t="shared" si="2"/>
        <v>-77.1368751</v>
      </c>
      <c r="F326" s="24">
        <f t="shared" si="3"/>
        <v>0.0002137527864</v>
      </c>
      <c r="G326" s="24">
        <f t="shared" si="4"/>
        <v>0</v>
      </c>
      <c r="H326" s="26">
        <f t="shared" si="5"/>
        <v>0</v>
      </c>
      <c r="I326" s="24">
        <f t="shared" si="6"/>
        <v>0</v>
      </c>
      <c r="J326" s="24">
        <f t="shared" si="7"/>
        <v>0</v>
      </c>
      <c r="K326" s="24"/>
      <c r="L326" s="24">
        <f t="shared" si="8"/>
        <v>461.3187084</v>
      </c>
      <c r="M326" s="14">
        <f t="shared" si="9"/>
        <v>424.9407178</v>
      </c>
      <c r="N326" s="27">
        <f t="shared" si="10"/>
        <v>36.37799053</v>
      </c>
      <c r="O326" s="24"/>
      <c r="P326" s="24"/>
      <c r="Q326" s="24"/>
      <c r="R326" s="26"/>
      <c r="S326" s="14">
        <f t="shared" si="13"/>
        <v>33.40576802</v>
      </c>
      <c r="U326" s="21"/>
      <c r="V326" s="21"/>
    </row>
    <row r="327">
      <c r="A327" s="11">
        <v>315.0</v>
      </c>
      <c r="B327" s="11">
        <v>1.4207652173913E9</v>
      </c>
      <c r="C327" s="2">
        <v>-102.2355194</v>
      </c>
      <c r="D327" s="24">
        <f t="shared" si="1"/>
        <v>365217.3913</v>
      </c>
      <c r="E327" s="25">
        <f t="shared" si="2"/>
        <v>-78.05517123</v>
      </c>
      <c r="F327" s="24">
        <f t="shared" si="3"/>
        <v>0.0002137224927</v>
      </c>
      <c r="G327" s="24">
        <f t="shared" si="4"/>
        <v>0</v>
      </c>
      <c r="H327" s="26">
        <f t="shared" si="5"/>
        <v>0</v>
      </c>
      <c r="I327" s="24">
        <f t="shared" si="6"/>
        <v>0</v>
      </c>
      <c r="J327" s="24">
        <f t="shared" si="7"/>
        <v>0</v>
      </c>
      <c r="K327" s="24"/>
      <c r="L327" s="24">
        <f t="shared" si="8"/>
        <v>454.5212866</v>
      </c>
      <c r="M327" s="14">
        <f t="shared" si="9"/>
        <v>424.8417556</v>
      </c>
      <c r="N327" s="27">
        <f t="shared" si="10"/>
        <v>29.67953105</v>
      </c>
      <c r="O327" s="24"/>
      <c r="P327" s="24"/>
      <c r="Q327" s="24"/>
      <c r="R327" s="26"/>
      <c r="S327" s="14">
        <f t="shared" si="13"/>
        <v>27.25459852</v>
      </c>
      <c r="U327" s="21"/>
      <c r="V327" s="21"/>
    </row>
    <row r="328">
      <c r="A328" s="11">
        <v>316.0</v>
      </c>
      <c r="B328" s="11">
        <v>1.42076956521739E9</v>
      </c>
      <c r="C328" s="2">
        <v>-102.2256165</v>
      </c>
      <c r="D328" s="24">
        <f t="shared" si="1"/>
        <v>369565.2174</v>
      </c>
      <c r="E328" s="25">
        <f t="shared" si="2"/>
        <v>-78.97346736</v>
      </c>
      <c r="F328" s="24">
        <f t="shared" si="3"/>
        <v>0.0002136929117</v>
      </c>
      <c r="G328" s="24">
        <f t="shared" si="4"/>
        <v>0</v>
      </c>
      <c r="H328" s="26">
        <f t="shared" si="5"/>
        <v>0</v>
      </c>
      <c r="I328" s="24">
        <f t="shared" si="6"/>
        <v>0</v>
      </c>
      <c r="J328" s="24">
        <f t="shared" si="7"/>
        <v>0</v>
      </c>
      <c r="K328" s="24"/>
      <c r="L328" s="24">
        <f t="shared" si="8"/>
        <v>455.5588809</v>
      </c>
      <c r="M328" s="14">
        <f t="shared" si="9"/>
        <v>424.7424639</v>
      </c>
      <c r="N328" s="27">
        <f t="shared" si="10"/>
        <v>30.81641694</v>
      </c>
      <c r="O328" s="24"/>
      <c r="P328" s="24"/>
      <c r="Q328" s="24"/>
      <c r="R328" s="26"/>
      <c r="S328" s="14">
        <f t="shared" si="13"/>
        <v>28.2985965</v>
      </c>
      <c r="U328" s="21"/>
      <c r="V328" s="21"/>
    </row>
    <row r="329">
      <c r="A329" s="11">
        <v>317.0</v>
      </c>
      <c r="B329" s="11">
        <v>1.42077391304347E9</v>
      </c>
      <c r="C329" s="2">
        <v>-102.2991867</v>
      </c>
      <c r="D329" s="24">
        <f t="shared" si="1"/>
        <v>373913.0435</v>
      </c>
      <c r="E329" s="25">
        <f t="shared" si="2"/>
        <v>-79.89176349</v>
      </c>
      <c r="F329" s="24">
        <f t="shared" si="3"/>
        <v>0.0002136640187</v>
      </c>
      <c r="G329" s="24">
        <f t="shared" si="4"/>
        <v>0</v>
      </c>
      <c r="H329" s="26">
        <f t="shared" si="5"/>
        <v>0</v>
      </c>
      <c r="I329" s="24">
        <f t="shared" si="6"/>
        <v>0</v>
      </c>
      <c r="J329" s="24">
        <f t="shared" si="7"/>
        <v>0</v>
      </c>
      <c r="K329" s="24"/>
      <c r="L329" s="24">
        <f t="shared" si="8"/>
        <v>447.9066366</v>
      </c>
      <c r="M329" s="14">
        <f t="shared" si="9"/>
        <v>424.6428417</v>
      </c>
      <c r="N329" s="27">
        <f t="shared" si="10"/>
        <v>23.26379492</v>
      </c>
      <c r="O329" s="24"/>
      <c r="P329" s="24"/>
      <c r="Q329" s="24"/>
      <c r="R329" s="26"/>
      <c r="S329" s="14">
        <f t="shared" si="13"/>
        <v>21.36305291</v>
      </c>
      <c r="U329" s="21"/>
      <c r="V329" s="21"/>
    </row>
    <row r="330">
      <c r="A330" s="11">
        <v>318.0</v>
      </c>
      <c r="B330" s="11">
        <v>1.42077826086956E9</v>
      </c>
      <c r="C330" s="2">
        <v>-102.2988968</v>
      </c>
      <c r="D330" s="24">
        <f t="shared" si="1"/>
        <v>378260.8696</v>
      </c>
      <c r="E330" s="25">
        <f t="shared" si="2"/>
        <v>-80.81005963</v>
      </c>
      <c r="F330" s="24">
        <f t="shared" si="3"/>
        <v>0.0002136357898</v>
      </c>
      <c r="G330" s="24">
        <f t="shared" si="4"/>
        <v>0</v>
      </c>
      <c r="H330" s="26">
        <f t="shared" si="5"/>
        <v>0</v>
      </c>
      <c r="I330" s="24">
        <f t="shared" si="6"/>
        <v>0</v>
      </c>
      <c r="J330" s="24">
        <f t="shared" si="7"/>
        <v>0</v>
      </c>
      <c r="K330" s="24"/>
      <c r="L330" s="24">
        <f t="shared" si="8"/>
        <v>447.9365362</v>
      </c>
      <c r="M330" s="14">
        <f t="shared" si="9"/>
        <v>424.5428876</v>
      </c>
      <c r="N330" s="27">
        <f t="shared" si="10"/>
        <v>23.39364864</v>
      </c>
      <c r="O330" s="24"/>
      <c r="P330" s="24"/>
      <c r="Q330" s="24"/>
      <c r="R330" s="26"/>
      <c r="S330" s="14">
        <f t="shared" si="13"/>
        <v>21.48229702</v>
      </c>
      <c r="U330" s="21"/>
      <c r="V330" s="21"/>
    </row>
    <row r="331">
      <c r="A331" s="11">
        <v>319.0</v>
      </c>
      <c r="B331" s="11">
        <v>1.42078260869565E9</v>
      </c>
      <c r="C331" s="2">
        <v>-102.2840958</v>
      </c>
      <c r="D331" s="24">
        <f t="shared" si="1"/>
        <v>382608.6957</v>
      </c>
      <c r="E331" s="25">
        <f t="shared" si="2"/>
        <v>-81.72835576</v>
      </c>
      <c r="F331" s="24">
        <f t="shared" si="3"/>
        <v>0.0002136082026</v>
      </c>
      <c r="G331" s="24">
        <f t="shared" si="4"/>
        <v>0</v>
      </c>
      <c r="H331" s="26">
        <f t="shared" si="5"/>
        <v>0</v>
      </c>
      <c r="I331" s="24">
        <f t="shared" si="6"/>
        <v>0</v>
      </c>
      <c r="J331" s="24">
        <f t="shared" si="7"/>
        <v>0</v>
      </c>
      <c r="K331" s="24"/>
      <c r="L331" s="24">
        <f t="shared" si="8"/>
        <v>449.4657334</v>
      </c>
      <c r="M331" s="14">
        <f t="shared" si="9"/>
        <v>424.4426005</v>
      </c>
      <c r="N331" s="27">
        <f t="shared" si="10"/>
        <v>25.02313294</v>
      </c>
      <c r="O331" s="24"/>
      <c r="P331" s="24"/>
      <c r="Q331" s="24"/>
      <c r="R331" s="26"/>
      <c r="S331" s="14">
        <f t="shared" si="13"/>
        <v>22.97864621</v>
      </c>
      <c r="U331" s="21"/>
      <c r="V331" s="21"/>
    </row>
    <row r="332">
      <c r="A332" s="11">
        <v>320.0</v>
      </c>
      <c r="B332" s="11">
        <v>1.42078695652173E9</v>
      </c>
      <c r="C332" s="2">
        <v>-102.3015289</v>
      </c>
      <c r="D332" s="24">
        <f t="shared" si="1"/>
        <v>386956.5217</v>
      </c>
      <c r="E332" s="25">
        <f t="shared" si="2"/>
        <v>-82.64665189</v>
      </c>
      <c r="F332" s="24">
        <f t="shared" si="3"/>
        <v>0.0002135812352</v>
      </c>
      <c r="G332" s="24">
        <f t="shared" si="4"/>
        <v>0</v>
      </c>
      <c r="H332" s="26">
        <f t="shared" si="5"/>
        <v>0</v>
      </c>
      <c r="I332" s="24">
        <f t="shared" si="6"/>
        <v>0</v>
      </c>
      <c r="J332" s="24">
        <f t="shared" si="7"/>
        <v>0</v>
      </c>
      <c r="K332" s="24"/>
      <c r="L332" s="24">
        <f t="shared" si="8"/>
        <v>447.6651405</v>
      </c>
      <c r="M332" s="14">
        <f t="shared" si="9"/>
        <v>424.3419792</v>
      </c>
      <c r="N332" s="27">
        <f t="shared" si="10"/>
        <v>23.32316136</v>
      </c>
      <c r="O332" s="24"/>
      <c r="P332" s="24"/>
      <c r="Q332" s="24"/>
      <c r="R332" s="26"/>
      <c r="S332" s="14">
        <f t="shared" si="13"/>
        <v>21.41756888</v>
      </c>
      <c r="U332" s="21"/>
      <c r="V332" s="21"/>
    </row>
    <row r="333">
      <c r="A333" s="11">
        <v>321.0</v>
      </c>
      <c r="B333" s="11">
        <v>1.42079130434782E9</v>
      </c>
      <c r="C333" s="2">
        <v>-102.3805923</v>
      </c>
      <c r="D333" s="24">
        <f t="shared" si="1"/>
        <v>391304.3478</v>
      </c>
      <c r="E333" s="25">
        <f t="shared" si="2"/>
        <v>-83.56494802</v>
      </c>
      <c r="F333" s="24">
        <f t="shared" si="3"/>
        <v>0.0002135548672</v>
      </c>
      <c r="G333" s="24">
        <f t="shared" si="4"/>
        <v>0</v>
      </c>
      <c r="H333" s="26">
        <f t="shared" si="5"/>
        <v>0</v>
      </c>
      <c r="I333" s="24">
        <f t="shared" si="6"/>
        <v>0</v>
      </c>
      <c r="J333" s="24">
        <f t="shared" si="7"/>
        <v>0</v>
      </c>
      <c r="K333" s="24"/>
      <c r="L333" s="24">
        <f t="shared" si="8"/>
        <v>439.5891225</v>
      </c>
      <c r="M333" s="14">
        <f t="shared" si="9"/>
        <v>424.2410224</v>
      </c>
      <c r="N333" s="27">
        <f t="shared" si="10"/>
        <v>15.34810009</v>
      </c>
      <c r="O333" s="24"/>
      <c r="P333" s="24"/>
      <c r="Q333" s="24"/>
      <c r="R333" s="26"/>
      <c r="S333" s="14">
        <f t="shared" si="13"/>
        <v>14.09410095</v>
      </c>
      <c r="U333" s="21"/>
      <c r="V333" s="21"/>
    </row>
    <row r="334">
      <c r="A334" s="11">
        <v>322.0</v>
      </c>
      <c r="B334" s="11">
        <v>1.42079565217391E9</v>
      </c>
      <c r="C334" s="2">
        <v>-102.4433823</v>
      </c>
      <c r="D334" s="24">
        <f t="shared" si="1"/>
        <v>395652.1739</v>
      </c>
      <c r="E334" s="25">
        <f t="shared" si="2"/>
        <v>-84.48324416</v>
      </c>
      <c r="F334" s="24">
        <f t="shared" si="3"/>
        <v>0.0002135290786</v>
      </c>
      <c r="G334" s="24">
        <f t="shared" si="4"/>
        <v>0</v>
      </c>
      <c r="H334" s="26">
        <f t="shared" si="5"/>
        <v>0</v>
      </c>
      <c r="I334" s="24">
        <f t="shared" si="6"/>
        <v>0</v>
      </c>
      <c r="J334" s="24">
        <f t="shared" si="7"/>
        <v>0</v>
      </c>
      <c r="K334" s="24"/>
      <c r="L334" s="24">
        <f t="shared" si="8"/>
        <v>433.2792964</v>
      </c>
      <c r="M334" s="14">
        <f t="shared" si="9"/>
        <v>424.139729</v>
      </c>
      <c r="N334" s="27">
        <f t="shared" si="10"/>
        <v>9.139567355</v>
      </c>
      <c r="O334" s="24"/>
      <c r="P334" s="24"/>
      <c r="Q334" s="24"/>
      <c r="R334" s="26"/>
      <c r="S334" s="14">
        <f t="shared" si="13"/>
        <v>8.392829338</v>
      </c>
      <c r="U334" s="21"/>
      <c r="V334" s="21"/>
    </row>
    <row r="335">
      <c r="A335" s="11">
        <v>323.0</v>
      </c>
      <c r="B335" s="11">
        <v>1.4208E9</v>
      </c>
      <c r="C335" s="2">
        <v>-102.412262</v>
      </c>
      <c r="D335" s="24">
        <f t="shared" si="1"/>
        <v>400000</v>
      </c>
      <c r="E335" s="25">
        <f t="shared" si="2"/>
        <v>-85.40154029</v>
      </c>
      <c r="F335" s="24">
        <f t="shared" si="3"/>
        <v>0.0002135038507</v>
      </c>
      <c r="G335" s="24">
        <f t="shared" si="4"/>
        <v>0</v>
      </c>
      <c r="H335" s="26">
        <f t="shared" si="5"/>
        <v>0</v>
      </c>
      <c r="I335" s="24">
        <f t="shared" si="6"/>
        <v>0</v>
      </c>
      <c r="J335" s="24">
        <f t="shared" si="7"/>
        <v>0</v>
      </c>
      <c r="K335" s="24"/>
      <c r="L335" s="24">
        <f t="shared" si="8"/>
        <v>436.3952023</v>
      </c>
      <c r="M335" s="14">
        <f t="shared" si="9"/>
        <v>424.0380978</v>
      </c>
      <c r="N335" s="27">
        <f t="shared" si="10"/>
        <v>12.35710457</v>
      </c>
      <c r="O335" s="24"/>
      <c r="P335" s="24"/>
      <c r="Q335" s="24"/>
      <c r="R335" s="26"/>
      <c r="S335" s="14">
        <f t="shared" si="13"/>
        <v>11.34748134</v>
      </c>
      <c r="U335" s="21"/>
      <c r="V335" s="21"/>
    </row>
    <row r="336">
      <c r="A336" s="11">
        <v>324.0</v>
      </c>
      <c r="B336" s="11">
        <v>1.42080434782608E9</v>
      </c>
      <c r="C336" s="2">
        <v>-102.4109268</v>
      </c>
      <c r="D336" s="24">
        <f t="shared" si="1"/>
        <v>404347.8261</v>
      </c>
      <c r="E336" s="25">
        <f t="shared" si="2"/>
        <v>-86.31983642</v>
      </c>
      <c r="F336" s="24">
        <f t="shared" si="3"/>
        <v>0.0002134791653</v>
      </c>
      <c r="G336" s="24">
        <f t="shared" si="4"/>
        <v>0</v>
      </c>
      <c r="H336" s="26">
        <f t="shared" si="5"/>
        <v>0</v>
      </c>
      <c r="I336" s="24">
        <f t="shared" si="6"/>
        <v>0</v>
      </c>
      <c r="J336" s="24">
        <f t="shared" si="7"/>
        <v>0</v>
      </c>
      <c r="K336" s="24"/>
      <c r="L336" s="24">
        <f t="shared" si="8"/>
        <v>436.5293888</v>
      </c>
      <c r="M336" s="14">
        <f t="shared" si="9"/>
        <v>423.9361275</v>
      </c>
      <c r="N336" s="27">
        <f t="shared" si="10"/>
        <v>12.59326132</v>
      </c>
      <c r="O336" s="24"/>
      <c r="P336" s="24"/>
      <c r="Q336" s="24"/>
      <c r="R336" s="26"/>
      <c r="S336" s="14">
        <f t="shared" si="13"/>
        <v>11.56434317</v>
      </c>
      <c r="U336" s="21"/>
      <c r="V336" s="21"/>
    </row>
    <row r="337">
      <c r="A337" s="11">
        <v>325.0</v>
      </c>
      <c r="B337" s="11">
        <v>1.42080869565217E9</v>
      </c>
      <c r="C337" s="2">
        <v>-102.4786224</v>
      </c>
      <c r="D337" s="24">
        <f t="shared" si="1"/>
        <v>408695.6522</v>
      </c>
      <c r="E337" s="25">
        <f t="shared" si="2"/>
        <v>-87.23813255</v>
      </c>
      <c r="F337" s="24">
        <f t="shared" si="3"/>
        <v>0.0002134550052</v>
      </c>
      <c r="G337" s="24">
        <f t="shared" si="4"/>
        <v>0</v>
      </c>
      <c r="H337" s="26">
        <f t="shared" si="5"/>
        <v>0</v>
      </c>
      <c r="I337" s="24">
        <f t="shared" si="6"/>
        <v>0</v>
      </c>
      <c r="J337" s="24">
        <f t="shared" si="7"/>
        <v>0</v>
      </c>
      <c r="K337" s="24"/>
      <c r="L337" s="24">
        <f t="shared" si="8"/>
        <v>429.7777495</v>
      </c>
      <c r="M337" s="14">
        <f t="shared" si="9"/>
        <v>423.833817</v>
      </c>
      <c r="N337" s="27">
        <f t="shared" si="10"/>
        <v>5.943932522</v>
      </c>
      <c r="O337" s="24"/>
      <c r="P337" s="24"/>
      <c r="Q337" s="24"/>
      <c r="R337" s="26"/>
      <c r="S337" s="14">
        <f t="shared" si="13"/>
        <v>5.458290235</v>
      </c>
      <c r="U337" s="21"/>
      <c r="V337" s="21"/>
    </row>
    <row r="338">
      <c r="A338" s="11">
        <v>326.0</v>
      </c>
      <c r="B338" s="11">
        <v>1.42081304347826E9</v>
      </c>
      <c r="C338" s="2">
        <v>-102.4948883</v>
      </c>
      <c r="D338" s="24">
        <f t="shared" si="1"/>
        <v>413043.4783</v>
      </c>
      <c r="E338" s="25">
        <f t="shared" si="2"/>
        <v>-88.15642868</v>
      </c>
      <c r="F338" s="24">
        <f t="shared" si="3"/>
        <v>0.0002134313537</v>
      </c>
      <c r="G338" s="24">
        <f t="shared" si="4"/>
        <v>0</v>
      </c>
      <c r="H338" s="26">
        <f t="shared" si="5"/>
        <v>0</v>
      </c>
      <c r="I338" s="24">
        <f t="shared" si="6"/>
        <v>0</v>
      </c>
      <c r="J338" s="24">
        <f t="shared" si="7"/>
        <v>0</v>
      </c>
      <c r="K338" s="24"/>
      <c r="L338" s="24">
        <f t="shared" si="8"/>
        <v>428.1710869</v>
      </c>
      <c r="M338" s="14">
        <f t="shared" si="9"/>
        <v>423.731165</v>
      </c>
      <c r="N338" s="27">
        <f t="shared" si="10"/>
        <v>4.439921951</v>
      </c>
      <c r="O338" s="24"/>
      <c r="P338" s="24"/>
      <c r="Q338" s="24"/>
      <c r="R338" s="26"/>
      <c r="S338" s="14">
        <f t="shared" si="13"/>
        <v>4.077163157</v>
      </c>
      <c r="U338" s="21"/>
      <c r="V338" s="21"/>
    </row>
    <row r="339">
      <c r="A339" s="11">
        <v>327.0</v>
      </c>
      <c r="B339" s="11">
        <v>1.42081739130434E9</v>
      </c>
      <c r="C339" s="2">
        <v>-102.5116272</v>
      </c>
      <c r="D339" s="24">
        <f t="shared" si="1"/>
        <v>417391.3043</v>
      </c>
      <c r="E339" s="25">
        <f t="shared" si="2"/>
        <v>-89.07472482</v>
      </c>
      <c r="F339" s="24">
        <f t="shared" si="3"/>
        <v>0.0002134081949</v>
      </c>
      <c r="G339" s="24">
        <f t="shared" si="4"/>
        <v>0</v>
      </c>
      <c r="H339" s="26">
        <f t="shared" si="5"/>
        <v>0</v>
      </c>
      <c r="I339" s="24">
        <f t="shared" si="6"/>
        <v>0</v>
      </c>
      <c r="J339" s="24">
        <f t="shared" si="7"/>
        <v>0</v>
      </c>
      <c r="K339" s="24"/>
      <c r="L339" s="24">
        <f t="shared" si="8"/>
        <v>426.5239744</v>
      </c>
      <c r="M339" s="14">
        <f t="shared" si="9"/>
        <v>423.6281703</v>
      </c>
      <c r="N339" s="27">
        <f t="shared" si="10"/>
        <v>2.895804094</v>
      </c>
      <c r="O339" s="24"/>
      <c r="P339" s="24"/>
      <c r="Q339" s="24"/>
      <c r="R339" s="26"/>
      <c r="S339" s="14">
        <f t="shared" si="13"/>
        <v>2.659205701</v>
      </c>
      <c r="U339" s="21"/>
      <c r="V339" s="21"/>
    </row>
    <row r="340">
      <c r="A340" s="11">
        <v>328.0</v>
      </c>
      <c r="B340" s="11">
        <v>1.42082173913043E9</v>
      </c>
      <c r="C340" s="2">
        <v>-102.4803696</v>
      </c>
      <c r="D340" s="24">
        <f t="shared" si="1"/>
        <v>421739.1304</v>
      </c>
      <c r="E340" s="25">
        <f t="shared" si="2"/>
        <v>-89.99302095</v>
      </c>
      <c r="F340" s="24">
        <f t="shared" si="3"/>
        <v>0.0002133855136</v>
      </c>
      <c r="G340" s="24">
        <f t="shared" si="4"/>
        <v>0</v>
      </c>
      <c r="H340" s="26">
        <f t="shared" si="5"/>
        <v>0</v>
      </c>
      <c r="I340" s="24">
        <f t="shared" si="6"/>
        <v>0</v>
      </c>
      <c r="J340" s="24">
        <f t="shared" si="7"/>
        <v>0</v>
      </c>
      <c r="K340" s="24"/>
      <c r="L340" s="24">
        <f t="shared" si="8"/>
        <v>429.6048814</v>
      </c>
      <c r="M340" s="14">
        <f t="shared" si="9"/>
        <v>423.5248318</v>
      </c>
      <c r="N340" s="27">
        <f t="shared" si="10"/>
        <v>6.080049566</v>
      </c>
      <c r="O340" s="24"/>
      <c r="P340" s="24"/>
      <c r="Q340" s="24"/>
      <c r="R340" s="26"/>
      <c r="S340" s="14">
        <f t="shared" si="13"/>
        <v>5.58328599</v>
      </c>
      <c r="U340" s="21"/>
      <c r="V340" s="21"/>
    </row>
    <row r="341">
      <c r="A341" s="11">
        <v>329.0</v>
      </c>
      <c r="B341" s="11">
        <v>1.42082608695652E9</v>
      </c>
      <c r="C341" s="2">
        <v>-102.4878464</v>
      </c>
      <c r="D341" s="24">
        <f t="shared" si="1"/>
        <v>426086.9565</v>
      </c>
      <c r="E341" s="25">
        <f t="shared" si="2"/>
        <v>-90.91131708</v>
      </c>
      <c r="F341" s="24">
        <f t="shared" si="3"/>
        <v>0.0002133632952</v>
      </c>
      <c r="G341" s="24">
        <f t="shared" si="4"/>
        <v>0</v>
      </c>
      <c r="H341" s="26">
        <f t="shared" si="5"/>
        <v>0</v>
      </c>
      <c r="I341" s="24">
        <f t="shared" si="6"/>
        <v>0</v>
      </c>
      <c r="J341" s="24">
        <f t="shared" si="7"/>
        <v>0</v>
      </c>
      <c r="K341" s="24"/>
      <c r="L341" s="24">
        <f t="shared" si="8"/>
        <v>428.8659113</v>
      </c>
      <c r="M341" s="14">
        <f t="shared" si="9"/>
        <v>423.4211482</v>
      </c>
      <c r="N341" s="27">
        <f t="shared" si="10"/>
        <v>5.444763042</v>
      </c>
      <c r="O341" s="24"/>
      <c r="P341" s="24"/>
      <c r="Q341" s="24"/>
      <c r="R341" s="26"/>
      <c r="S341" s="14">
        <f t="shared" si="13"/>
        <v>4.999904846</v>
      </c>
      <c r="U341" s="21"/>
      <c r="V341" s="21"/>
    </row>
    <row r="342">
      <c r="A342" s="11">
        <v>330.0</v>
      </c>
      <c r="B342" s="11">
        <v>1.4208304347826E9</v>
      </c>
      <c r="C342" s="2">
        <v>-102.4920807</v>
      </c>
      <c r="D342" s="24">
        <f t="shared" si="1"/>
        <v>430434.7826</v>
      </c>
      <c r="E342" s="25">
        <f t="shared" si="2"/>
        <v>-91.82961321</v>
      </c>
      <c r="F342" s="24">
        <f t="shared" si="3"/>
        <v>0.0002133415256</v>
      </c>
      <c r="G342" s="24">
        <f t="shared" si="4"/>
        <v>0</v>
      </c>
      <c r="H342" s="26">
        <f t="shared" si="5"/>
        <v>0</v>
      </c>
      <c r="I342" s="24">
        <f t="shared" si="6"/>
        <v>0</v>
      </c>
      <c r="J342" s="24">
        <f t="shared" si="7"/>
        <v>0</v>
      </c>
      <c r="K342" s="24"/>
      <c r="L342" s="24">
        <f t="shared" si="8"/>
        <v>428.4479778</v>
      </c>
      <c r="M342" s="14">
        <f t="shared" si="9"/>
        <v>423.3171184</v>
      </c>
      <c r="N342" s="27">
        <f t="shared" si="10"/>
        <v>5.130859448</v>
      </c>
      <c r="O342" s="24"/>
      <c r="P342" s="24"/>
      <c r="Q342" s="24"/>
      <c r="R342" s="26"/>
      <c r="S342" s="14">
        <f t="shared" si="13"/>
        <v>4.711648389</v>
      </c>
      <c r="U342" s="21"/>
      <c r="V342" s="21"/>
    </row>
    <row r="343">
      <c r="A343" s="11">
        <v>331.0</v>
      </c>
      <c r="B343" s="11">
        <v>1.42083478260869E9</v>
      </c>
      <c r="C343" s="2">
        <v>-102.5278549</v>
      </c>
      <c r="D343" s="24">
        <f t="shared" si="1"/>
        <v>434782.6087</v>
      </c>
      <c r="E343" s="25">
        <f t="shared" si="2"/>
        <v>-92.74790935</v>
      </c>
      <c r="F343" s="24">
        <f t="shared" si="3"/>
        <v>0.0002133201915</v>
      </c>
      <c r="G343" s="24">
        <f t="shared" si="4"/>
        <v>0</v>
      </c>
      <c r="H343" s="26">
        <f t="shared" si="5"/>
        <v>0</v>
      </c>
      <c r="I343" s="24">
        <f t="shared" si="6"/>
        <v>0</v>
      </c>
      <c r="J343" s="24">
        <f t="shared" si="7"/>
        <v>0</v>
      </c>
      <c r="K343" s="24"/>
      <c r="L343" s="24">
        <f t="shared" si="8"/>
        <v>424.9332133</v>
      </c>
      <c r="M343" s="14">
        <f t="shared" si="9"/>
        <v>423.212741</v>
      </c>
      <c r="N343" s="27">
        <f t="shared" si="10"/>
        <v>1.720472271</v>
      </c>
      <c r="O343" s="24"/>
      <c r="P343" s="24"/>
      <c r="Q343" s="24"/>
      <c r="R343" s="26"/>
      <c r="S343" s="14">
        <f t="shared" si="13"/>
        <v>1.579903033</v>
      </c>
      <c r="U343" s="21"/>
      <c r="V343" s="21"/>
    </row>
    <row r="344">
      <c r="A344" s="11">
        <v>332.0</v>
      </c>
      <c r="B344" s="11">
        <v>1.42083913043478E9</v>
      </c>
      <c r="C344" s="2">
        <v>-102.472374</v>
      </c>
      <c r="D344" s="24">
        <f t="shared" si="1"/>
        <v>439130.4348</v>
      </c>
      <c r="E344" s="25">
        <f t="shared" si="2"/>
        <v>-93.66620548</v>
      </c>
      <c r="F344" s="24">
        <f t="shared" si="3"/>
        <v>0.0002132992798</v>
      </c>
      <c r="G344" s="24">
        <f t="shared" si="4"/>
        <v>0</v>
      </c>
      <c r="H344" s="26">
        <f t="shared" si="5"/>
        <v>0</v>
      </c>
      <c r="I344" s="24">
        <f t="shared" si="6"/>
        <v>0</v>
      </c>
      <c r="J344" s="24">
        <f t="shared" si="7"/>
        <v>0</v>
      </c>
      <c r="K344" s="24"/>
      <c r="L344" s="24">
        <f t="shared" si="8"/>
        <v>430.3965361</v>
      </c>
      <c r="M344" s="14">
        <f t="shared" si="9"/>
        <v>423.108015</v>
      </c>
      <c r="N344" s="27">
        <f t="shared" si="10"/>
        <v>7.288521111</v>
      </c>
      <c r="O344" s="24"/>
      <c r="P344" s="24"/>
      <c r="Q344" s="24"/>
      <c r="R344" s="26"/>
      <c r="S344" s="14">
        <f t="shared" si="13"/>
        <v>6.693020735</v>
      </c>
      <c r="U344" s="21"/>
      <c r="V344" s="21"/>
    </row>
    <row r="345">
      <c r="A345" s="11">
        <v>333.0</v>
      </c>
      <c r="B345" s="11">
        <v>1.42084347826087E9</v>
      </c>
      <c r="C345" s="2">
        <v>-102.493782</v>
      </c>
      <c r="D345" s="24">
        <f t="shared" si="1"/>
        <v>443478.2609</v>
      </c>
      <c r="E345" s="25">
        <f t="shared" si="2"/>
        <v>-94.58450161</v>
      </c>
      <c r="F345" s="24">
        <f t="shared" si="3"/>
        <v>0.0002132787781</v>
      </c>
      <c r="G345" s="24">
        <f t="shared" si="4"/>
        <v>0</v>
      </c>
      <c r="H345" s="26">
        <f t="shared" si="5"/>
        <v>0</v>
      </c>
      <c r="I345" s="24">
        <f t="shared" si="6"/>
        <v>0</v>
      </c>
      <c r="J345" s="24">
        <f t="shared" si="7"/>
        <v>0</v>
      </c>
      <c r="K345" s="24"/>
      <c r="L345" s="24">
        <f t="shared" si="8"/>
        <v>428.280171</v>
      </c>
      <c r="M345" s="14">
        <f t="shared" si="9"/>
        <v>423.002939</v>
      </c>
      <c r="N345" s="27">
        <f t="shared" si="10"/>
        <v>5.277231938</v>
      </c>
      <c r="O345" s="24"/>
      <c r="P345" s="24"/>
      <c r="Q345" s="24"/>
      <c r="R345" s="26"/>
      <c r="S345" s="14">
        <f t="shared" si="13"/>
        <v>4.84606168</v>
      </c>
      <c r="U345" s="21"/>
      <c r="V345" s="21"/>
    </row>
    <row r="346">
      <c r="A346" s="11">
        <v>334.0</v>
      </c>
      <c r="B346" s="11">
        <v>1.42084782608695E9</v>
      </c>
      <c r="C346" s="2">
        <v>-102.5175705</v>
      </c>
      <c r="D346" s="24">
        <f t="shared" si="1"/>
        <v>447826.087</v>
      </c>
      <c r="E346" s="25">
        <f t="shared" si="2"/>
        <v>-95.50279774</v>
      </c>
      <c r="F346" s="24">
        <f t="shared" si="3"/>
        <v>0.0002132586746</v>
      </c>
      <c r="G346" s="24">
        <f t="shared" si="4"/>
        <v>0</v>
      </c>
      <c r="H346" s="26">
        <f t="shared" si="5"/>
        <v>0</v>
      </c>
      <c r="I346" s="24">
        <f t="shared" si="6"/>
        <v>0</v>
      </c>
      <c r="J346" s="24">
        <f t="shared" si="7"/>
        <v>0</v>
      </c>
      <c r="K346" s="24"/>
      <c r="L346" s="24">
        <f t="shared" si="8"/>
        <v>425.9406775</v>
      </c>
      <c r="M346" s="14">
        <f t="shared" si="9"/>
        <v>422.897512</v>
      </c>
      <c r="N346" s="27">
        <f t="shared" si="10"/>
        <v>3.043165525</v>
      </c>
      <c r="O346" s="24"/>
      <c r="P346" s="24"/>
      <c r="Q346" s="24"/>
      <c r="R346" s="26"/>
      <c r="S346" s="14">
        <f t="shared" si="13"/>
        <v>2.794527133</v>
      </c>
      <c r="U346" s="21"/>
      <c r="V346" s="21"/>
    </row>
    <row r="347">
      <c r="A347" s="11">
        <v>335.0</v>
      </c>
      <c r="B347" s="11">
        <v>1.42085217391304E9</v>
      </c>
      <c r="C347" s="2">
        <v>-102.5125046</v>
      </c>
      <c r="D347" s="24">
        <f t="shared" si="1"/>
        <v>452173.913</v>
      </c>
      <c r="E347" s="25">
        <f t="shared" si="2"/>
        <v>-96.42109387</v>
      </c>
      <c r="F347" s="24">
        <f t="shared" si="3"/>
        <v>0.0002132389576</v>
      </c>
      <c r="G347" s="24">
        <f t="shared" si="4"/>
        <v>0</v>
      </c>
      <c r="H347" s="26">
        <f t="shared" si="5"/>
        <v>0</v>
      </c>
      <c r="I347" s="24">
        <f t="shared" si="6"/>
        <v>0</v>
      </c>
      <c r="J347" s="24">
        <f t="shared" si="7"/>
        <v>0</v>
      </c>
      <c r="K347" s="24"/>
      <c r="L347" s="24">
        <f t="shared" si="8"/>
        <v>426.437813</v>
      </c>
      <c r="M347" s="14">
        <f t="shared" si="9"/>
        <v>422.7917327</v>
      </c>
      <c r="N347" s="27">
        <f t="shared" si="10"/>
        <v>3.646080313</v>
      </c>
      <c r="O347" s="24"/>
      <c r="P347" s="24"/>
      <c r="Q347" s="24"/>
      <c r="R347" s="26"/>
      <c r="S347" s="14">
        <f t="shared" si="13"/>
        <v>3.348181444</v>
      </c>
      <c r="U347" s="21"/>
      <c r="V347" s="21"/>
    </row>
    <row r="348">
      <c r="A348" s="11">
        <v>336.0</v>
      </c>
      <c r="B348" s="11">
        <v>1.42085652173913E9</v>
      </c>
      <c r="C348" s="2">
        <v>-102.4748154</v>
      </c>
      <c r="D348" s="24">
        <f t="shared" si="1"/>
        <v>456521.7391</v>
      </c>
      <c r="E348" s="25">
        <f t="shared" si="2"/>
        <v>-97.33939</v>
      </c>
      <c r="F348" s="24">
        <f t="shared" si="3"/>
        <v>0.0002132196162</v>
      </c>
      <c r="G348" s="24">
        <f t="shared" si="4"/>
        <v>0</v>
      </c>
      <c r="H348" s="26">
        <f t="shared" si="5"/>
        <v>0</v>
      </c>
      <c r="I348" s="24">
        <f t="shared" si="6"/>
        <v>0</v>
      </c>
      <c r="J348" s="24">
        <f t="shared" si="7"/>
        <v>0</v>
      </c>
      <c r="K348" s="24"/>
      <c r="L348" s="24">
        <f t="shared" si="8"/>
        <v>430.1546553</v>
      </c>
      <c r="M348" s="14">
        <f t="shared" si="9"/>
        <v>422.6855998</v>
      </c>
      <c r="N348" s="27">
        <f t="shared" si="10"/>
        <v>7.46905548</v>
      </c>
      <c r="O348" s="24"/>
      <c r="P348" s="24"/>
      <c r="Q348" s="24"/>
      <c r="R348" s="26"/>
      <c r="S348" s="14">
        <f t="shared" si="13"/>
        <v>6.858804763</v>
      </c>
      <c r="U348" s="21"/>
      <c r="V348" s="21"/>
    </row>
    <row r="349">
      <c r="A349" s="11">
        <v>337.0</v>
      </c>
      <c r="B349" s="11">
        <v>1.42086086956521E9</v>
      </c>
      <c r="C349" s="2">
        <v>-102.5295105</v>
      </c>
      <c r="D349" s="24">
        <f t="shared" si="1"/>
        <v>460869.5652</v>
      </c>
      <c r="E349" s="25">
        <f t="shared" si="2"/>
        <v>-98.25768614</v>
      </c>
      <c r="F349" s="24">
        <f t="shared" si="3"/>
        <v>0.0002132006397</v>
      </c>
      <c r="G349" s="24">
        <f t="shared" si="4"/>
        <v>0</v>
      </c>
      <c r="H349" s="26">
        <f t="shared" si="5"/>
        <v>0</v>
      </c>
      <c r="I349" s="24">
        <f t="shared" si="6"/>
        <v>0</v>
      </c>
      <c r="J349" s="24">
        <f t="shared" si="7"/>
        <v>0</v>
      </c>
      <c r="K349" s="24"/>
      <c r="L349" s="24">
        <f t="shared" si="8"/>
        <v>424.7712528</v>
      </c>
      <c r="M349" s="14">
        <f t="shared" si="9"/>
        <v>422.5791123</v>
      </c>
      <c r="N349" s="27">
        <f t="shared" si="10"/>
        <v>2.192140536</v>
      </c>
      <c r="O349" s="24"/>
      <c r="P349" s="24"/>
      <c r="Q349" s="24"/>
      <c r="R349" s="26"/>
      <c r="S349" s="14">
        <f t="shared" si="13"/>
        <v>2.013034177</v>
      </c>
      <c r="U349" s="21"/>
      <c r="V349" s="21"/>
    </row>
    <row r="350">
      <c r="A350" s="11">
        <v>338.0</v>
      </c>
      <c r="B350" s="11">
        <v>1.4208652173913E9</v>
      </c>
      <c r="C350" s="2">
        <v>-102.5161209</v>
      </c>
      <c r="D350" s="24">
        <f t="shared" si="1"/>
        <v>465217.3913</v>
      </c>
      <c r="E350" s="25">
        <f t="shared" si="2"/>
        <v>-99.17598227</v>
      </c>
      <c r="F350" s="24">
        <f t="shared" si="3"/>
        <v>0.000213182018</v>
      </c>
      <c r="G350" s="24">
        <f t="shared" si="4"/>
        <v>0</v>
      </c>
      <c r="H350" s="26">
        <f t="shared" si="5"/>
        <v>0</v>
      </c>
      <c r="I350" s="24">
        <f t="shared" si="6"/>
        <v>0</v>
      </c>
      <c r="J350" s="24">
        <f t="shared" si="7"/>
        <v>0</v>
      </c>
      <c r="K350" s="24"/>
      <c r="L350" s="24">
        <f t="shared" si="8"/>
        <v>426.0828729</v>
      </c>
      <c r="M350" s="14">
        <f t="shared" si="9"/>
        <v>422.4722688</v>
      </c>
      <c r="N350" s="27">
        <f t="shared" si="10"/>
        <v>3.610604105</v>
      </c>
      <c r="O350" s="24"/>
      <c r="P350" s="24"/>
      <c r="Q350" s="24"/>
      <c r="R350" s="26"/>
      <c r="S350" s="14">
        <f t="shared" si="13"/>
        <v>3.315603778</v>
      </c>
      <c r="U350" s="21"/>
      <c r="V350" s="21"/>
    </row>
    <row r="351">
      <c r="A351" s="11">
        <v>339.0</v>
      </c>
      <c r="B351" s="11">
        <v>1.42086956521739E9</v>
      </c>
      <c r="C351" s="2">
        <v>-102.5913391</v>
      </c>
      <c r="D351" s="24">
        <f t="shared" si="1"/>
        <v>469565.2174</v>
      </c>
      <c r="E351" s="25">
        <f t="shared" si="2"/>
        <v>-100.0942784</v>
      </c>
      <c r="F351" s="24">
        <f t="shared" si="3"/>
        <v>0.000213163741</v>
      </c>
      <c r="G351" s="24">
        <f t="shared" si="4"/>
        <v>0</v>
      </c>
      <c r="H351" s="26">
        <f t="shared" si="5"/>
        <v>0</v>
      </c>
      <c r="I351" s="24">
        <f t="shared" si="6"/>
        <v>0</v>
      </c>
      <c r="J351" s="24">
        <f t="shared" si="7"/>
        <v>0</v>
      </c>
      <c r="K351" s="24"/>
      <c r="L351" s="24">
        <f t="shared" si="8"/>
        <v>418.7668135</v>
      </c>
      <c r="M351" s="14">
        <f t="shared" si="9"/>
        <v>422.3650682</v>
      </c>
      <c r="N351" s="27">
        <f t="shared" si="10"/>
        <v>-3.598254656</v>
      </c>
      <c r="O351" s="24"/>
      <c r="P351" s="24"/>
      <c r="Q351" s="24"/>
      <c r="R351" s="26"/>
      <c r="S351" s="14">
        <f t="shared" si="13"/>
        <v>-3.304263336</v>
      </c>
      <c r="U351" s="21"/>
      <c r="V351" s="21"/>
    </row>
    <row r="352">
      <c r="A352" s="11">
        <v>340.0</v>
      </c>
      <c r="B352" s="11">
        <v>1.42087391304347E9</v>
      </c>
      <c r="C352" s="2">
        <v>-102.5605698</v>
      </c>
      <c r="D352" s="24">
        <f t="shared" si="1"/>
        <v>473913.0435</v>
      </c>
      <c r="E352" s="25">
        <f t="shared" si="2"/>
        <v>-101.0125745</v>
      </c>
      <c r="F352" s="24">
        <f t="shared" si="3"/>
        <v>0.0002131457995</v>
      </c>
      <c r="G352" s="24">
        <f t="shared" si="4"/>
        <v>0</v>
      </c>
      <c r="H352" s="26">
        <f t="shared" si="5"/>
        <v>0</v>
      </c>
      <c r="I352" s="24">
        <f t="shared" si="6"/>
        <v>0</v>
      </c>
      <c r="J352" s="24">
        <f t="shared" si="7"/>
        <v>0</v>
      </c>
      <c r="K352" s="24"/>
      <c r="L352" s="24">
        <f t="shared" si="8"/>
        <v>421.7442667</v>
      </c>
      <c r="M352" s="14">
        <f t="shared" si="9"/>
        <v>422.2575093</v>
      </c>
      <c r="N352" s="27">
        <f t="shared" si="10"/>
        <v>-0.5132425834</v>
      </c>
      <c r="O352" s="24"/>
      <c r="P352" s="24"/>
      <c r="Q352" s="24"/>
      <c r="R352" s="26"/>
      <c r="S352" s="14">
        <f t="shared" si="13"/>
        <v>-0.4713086796</v>
      </c>
      <c r="U352" s="21"/>
      <c r="V352" s="21"/>
    </row>
    <row r="353">
      <c r="A353" s="11">
        <v>341.0</v>
      </c>
      <c r="B353" s="11">
        <v>1.42087826086956E9</v>
      </c>
      <c r="C353" s="2">
        <v>-102.5780869</v>
      </c>
      <c r="D353" s="24">
        <f t="shared" si="1"/>
        <v>478260.8696</v>
      </c>
      <c r="E353" s="25">
        <f t="shared" si="2"/>
        <v>-101.9308707</v>
      </c>
      <c r="F353" s="24">
        <f t="shared" si="3"/>
        <v>0.0002131281841</v>
      </c>
      <c r="G353" s="24">
        <f t="shared" si="4"/>
        <v>0</v>
      </c>
      <c r="H353" s="26">
        <f t="shared" si="5"/>
        <v>0</v>
      </c>
      <c r="I353" s="24">
        <f t="shared" si="6"/>
        <v>0</v>
      </c>
      <c r="J353" s="24">
        <f t="shared" si="7"/>
        <v>0</v>
      </c>
      <c r="K353" s="24"/>
      <c r="L353" s="24">
        <f t="shared" si="8"/>
        <v>420.0466035</v>
      </c>
      <c r="M353" s="14">
        <f t="shared" si="9"/>
        <v>422.1495908</v>
      </c>
      <c r="N353" s="27">
        <f t="shared" si="10"/>
        <v>-2.10298728</v>
      </c>
      <c r="O353" s="24"/>
      <c r="P353" s="24"/>
      <c r="Q353" s="24"/>
      <c r="R353" s="26"/>
      <c r="S353" s="14">
        <f t="shared" si="13"/>
        <v>-1.931165082</v>
      </c>
      <c r="U353" s="21"/>
      <c r="V353" s="21"/>
    </row>
    <row r="354">
      <c r="A354" s="11">
        <v>342.0</v>
      </c>
      <c r="B354" s="11">
        <v>1.42088260869565E9</v>
      </c>
      <c r="C354" s="2">
        <v>-102.5406418</v>
      </c>
      <c r="D354" s="24">
        <f t="shared" si="1"/>
        <v>482608.6957</v>
      </c>
      <c r="E354" s="25">
        <f t="shared" si="2"/>
        <v>-102.8491668</v>
      </c>
      <c r="F354" s="24">
        <f t="shared" si="3"/>
        <v>0.0002131108862</v>
      </c>
      <c r="G354" s="24">
        <f t="shared" si="4"/>
        <v>0</v>
      </c>
      <c r="H354" s="26">
        <f t="shared" si="5"/>
        <v>0</v>
      </c>
      <c r="I354" s="24">
        <f t="shared" si="6"/>
        <v>0</v>
      </c>
      <c r="J354" s="24">
        <f t="shared" si="7"/>
        <v>0</v>
      </c>
      <c r="K354" s="24"/>
      <c r="L354" s="24">
        <f t="shared" si="8"/>
        <v>423.6839256</v>
      </c>
      <c r="M354" s="14">
        <f t="shared" si="9"/>
        <v>422.0413116</v>
      </c>
      <c r="N354" s="27">
        <f t="shared" si="10"/>
        <v>1.642614023</v>
      </c>
      <c r="O354" s="24"/>
      <c r="P354" s="24"/>
      <c r="Q354" s="24"/>
      <c r="R354" s="26"/>
      <c r="S354" s="14">
        <f t="shared" si="13"/>
        <v>1.508406105</v>
      </c>
      <c r="U354" s="21"/>
      <c r="V354" s="21"/>
    </row>
    <row r="355">
      <c r="A355" s="11">
        <v>343.0</v>
      </c>
      <c r="B355" s="11">
        <v>1.42088695652173E9</v>
      </c>
      <c r="C355" s="2">
        <v>-102.5594025</v>
      </c>
      <c r="D355" s="24">
        <f t="shared" si="1"/>
        <v>486956.5217</v>
      </c>
      <c r="E355" s="25">
        <f t="shared" si="2"/>
        <v>-103.7674629</v>
      </c>
      <c r="F355" s="24">
        <f t="shared" si="3"/>
        <v>0.0002130938971</v>
      </c>
      <c r="G355" s="24">
        <f t="shared" si="4"/>
        <v>0</v>
      </c>
      <c r="H355" s="26">
        <f t="shared" si="5"/>
        <v>0</v>
      </c>
      <c r="I355" s="24">
        <f t="shared" si="6"/>
        <v>0</v>
      </c>
      <c r="J355" s="24">
        <f t="shared" si="7"/>
        <v>0</v>
      </c>
      <c r="K355" s="24"/>
      <c r="L355" s="24">
        <f t="shared" si="8"/>
        <v>421.8576387</v>
      </c>
      <c r="M355" s="14">
        <f t="shared" si="9"/>
        <v>421.9326705</v>
      </c>
      <c r="N355" s="27">
        <f t="shared" si="10"/>
        <v>-0.07503178308</v>
      </c>
      <c r="O355" s="24"/>
      <c r="P355" s="24"/>
      <c r="Q355" s="24"/>
      <c r="R355" s="26"/>
      <c r="S355" s="14">
        <f t="shared" si="13"/>
        <v>-0.06890139624</v>
      </c>
      <c r="U355" s="21"/>
      <c r="V355" s="21"/>
    </row>
    <row r="356">
      <c r="A356" s="11">
        <v>344.0</v>
      </c>
      <c r="B356" s="11">
        <v>1.42089130434782E9</v>
      </c>
      <c r="C356" s="2">
        <v>-102.5209732</v>
      </c>
      <c r="D356" s="24">
        <f t="shared" si="1"/>
        <v>491304.3478</v>
      </c>
      <c r="E356" s="25">
        <f t="shared" si="2"/>
        <v>-104.6857591</v>
      </c>
      <c r="F356" s="24">
        <f t="shared" si="3"/>
        <v>0.0002130772087</v>
      </c>
      <c r="G356" s="24">
        <f t="shared" si="4"/>
        <v>0</v>
      </c>
      <c r="H356" s="26">
        <f t="shared" si="5"/>
        <v>0</v>
      </c>
      <c r="I356" s="24">
        <f t="shared" si="6"/>
        <v>0</v>
      </c>
      <c r="J356" s="24">
        <f t="shared" si="7"/>
        <v>0</v>
      </c>
      <c r="K356" s="24"/>
      <c r="L356" s="24">
        <f t="shared" si="8"/>
        <v>425.6070834</v>
      </c>
      <c r="M356" s="14">
        <f t="shared" si="9"/>
        <v>421.8236661</v>
      </c>
      <c r="N356" s="27">
        <f t="shared" si="10"/>
        <v>3.783417297</v>
      </c>
      <c r="O356" s="24"/>
      <c r="P356" s="24"/>
      <c r="Q356" s="24"/>
      <c r="R356" s="26"/>
      <c r="S356" s="14">
        <f t="shared" si="13"/>
        <v>3.474297473</v>
      </c>
      <c r="U356" s="21"/>
      <c r="V356" s="21"/>
    </row>
    <row r="357">
      <c r="A357" s="11">
        <v>345.0</v>
      </c>
      <c r="B357" s="11">
        <v>1.42089565217391E9</v>
      </c>
      <c r="C357" s="2">
        <v>-102.5361023</v>
      </c>
      <c r="D357" s="24">
        <f t="shared" si="1"/>
        <v>495652.1739</v>
      </c>
      <c r="E357" s="25">
        <f t="shared" si="2"/>
        <v>-105.6040552</v>
      </c>
      <c r="F357" s="24">
        <f t="shared" si="3"/>
        <v>0.0002130608131</v>
      </c>
      <c r="G357" s="24">
        <f t="shared" si="4"/>
        <v>0</v>
      </c>
      <c r="H357" s="26">
        <f t="shared" si="5"/>
        <v>0</v>
      </c>
      <c r="I357" s="24">
        <f t="shared" si="6"/>
        <v>0</v>
      </c>
      <c r="J357" s="24">
        <f t="shared" si="7"/>
        <v>0</v>
      </c>
      <c r="K357" s="24"/>
      <c r="L357" s="24">
        <f t="shared" si="8"/>
        <v>424.1270164</v>
      </c>
      <c r="M357" s="14">
        <f t="shared" si="9"/>
        <v>421.7142975</v>
      </c>
      <c r="N357" s="27">
        <f t="shared" si="10"/>
        <v>2.412718891</v>
      </c>
      <c r="O357" s="24"/>
      <c r="P357" s="24"/>
      <c r="Q357" s="24"/>
      <c r="R357" s="26"/>
      <c r="S357" s="14">
        <f t="shared" si="13"/>
        <v>2.215590422</v>
      </c>
      <c r="U357" s="21"/>
      <c r="V357" s="21"/>
    </row>
    <row r="358">
      <c r="A358" s="11">
        <v>346.0</v>
      </c>
      <c r="B358" s="11">
        <v>1.4209E9</v>
      </c>
      <c r="C358" s="2">
        <v>-102.582077</v>
      </c>
      <c r="D358" s="24">
        <f t="shared" si="1"/>
        <v>500000</v>
      </c>
      <c r="E358" s="25">
        <f t="shared" si="2"/>
        <v>-106.5223513</v>
      </c>
      <c r="F358" s="24">
        <f t="shared" si="3"/>
        <v>0.0002130447027</v>
      </c>
      <c r="G358" s="24">
        <f t="shared" si="4"/>
        <v>0</v>
      </c>
      <c r="H358" s="26">
        <f t="shared" si="5"/>
        <v>0</v>
      </c>
      <c r="I358" s="24">
        <f t="shared" si="6"/>
        <v>0</v>
      </c>
      <c r="J358" s="24">
        <f t="shared" si="7"/>
        <v>0</v>
      </c>
      <c r="K358" s="24"/>
      <c r="L358" s="24">
        <f t="shared" si="8"/>
        <v>419.6608611</v>
      </c>
      <c r="M358" s="14">
        <f t="shared" si="9"/>
        <v>421.6045633</v>
      </c>
      <c r="N358" s="27">
        <f t="shared" si="10"/>
        <v>-1.943702214</v>
      </c>
      <c r="O358" s="24"/>
      <c r="P358" s="24"/>
      <c r="Q358" s="24"/>
      <c r="R358" s="26"/>
      <c r="S358" s="14">
        <f t="shared" si="13"/>
        <v>-1.784894227</v>
      </c>
      <c r="U358" s="21"/>
      <c r="V358" s="21"/>
    </row>
    <row r="359">
      <c r="A359" s="11">
        <v>347.0</v>
      </c>
      <c r="B359" s="11">
        <v>1.42090434782608E9</v>
      </c>
      <c r="C359" s="2">
        <v>-102.5460739</v>
      </c>
      <c r="D359" s="24">
        <f t="shared" si="1"/>
        <v>504347.8261</v>
      </c>
      <c r="E359" s="25">
        <f t="shared" si="2"/>
        <v>-107.4406475</v>
      </c>
      <c r="F359" s="24">
        <f t="shared" si="3"/>
        <v>0.00021302887</v>
      </c>
      <c r="G359" s="24">
        <f t="shared" si="4"/>
        <v>0</v>
      </c>
      <c r="H359" s="26">
        <f t="shared" si="5"/>
        <v>0</v>
      </c>
      <c r="I359" s="24">
        <f t="shared" si="6"/>
        <v>0</v>
      </c>
      <c r="J359" s="24">
        <f t="shared" si="7"/>
        <v>0</v>
      </c>
      <c r="K359" s="24"/>
      <c r="L359" s="24">
        <f t="shared" si="8"/>
        <v>423.1543185</v>
      </c>
      <c r="M359" s="14">
        <f t="shared" si="9"/>
        <v>421.4944623</v>
      </c>
      <c r="N359" s="27">
        <f t="shared" si="10"/>
        <v>1.659856169</v>
      </c>
      <c r="O359" s="24"/>
      <c r="P359" s="24"/>
      <c r="Q359" s="24"/>
      <c r="R359" s="26"/>
      <c r="S359" s="14">
        <f t="shared" si="13"/>
        <v>1.524239501</v>
      </c>
      <c r="U359" s="21"/>
      <c r="V359" s="21"/>
    </row>
    <row r="360">
      <c r="A360" s="11">
        <v>348.0</v>
      </c>
      <c r="B360" s="11">
        <v>1.42090869565217E9</v>
      </c>
      <c r="C360" s="2">
        <v>-102.5667419</v>
      </c>
      <c r="D360" s="24">
        <f t="shared" si="1"/>
        <v>508695.6522</v>
      </c>
      <c r="E360" s="25">
        <f t="shared" si="2"/>
        <v>-108.3589436</v>
      </c>
      <c r="F360" s="24">
        <f t="shared" si="3"/>
        <v>0.0002130133079</v>
      </c>
      <c r="G360" s="24">
        <f t="shared" si="4"/>
        <v>0</v>
      </c>
      <c r="H360" s="26">
        <f t="shared" si="5"/>
        <v>0</v>
      </c>
      <c r="I360" s="24">
        <f t="shared" si="6"/>
        <v>0</v>
      </c>
      <c r="J360" s="24">
        <f t="shared" si="7"/>
        <v>0</v>
      </c>
      <c r="K360" s="24"/>
      <c r="L360" s="24">
        <f t="shared" si="8"/>
        <v>421.1453185</v>
      </c>
      <c r="M360" s="14">
        <f t="shared" si="9"/>
        <v>421.3839933</v>
      </c>
      <c r="N360" s="27">
        <f t="shared" si="10"/>
        <v>-0.238674837</v>
      </c>
      <c r="O360" s="24"/>
      <c r="P360" s="24"/>
      <c r="Q360" s="24"/>
      <c r="R360" s="26"/>
      <c r="S360" s="14">
        <f t="shared" si="13"/>
        <v>-0.2191741793</v>
      </c>
      <c r="U360" s="21"/>
      <c r="V360" s="21"/>
    </row>
    <row r="361">
      <c r="A361" s="11">
        <v>349.0</v>
      </c>
      <c r="B361" s="11">
        <v>1.42091304347826E9</v>
      </c>
      <c r="C361" s="2">
        <v>-102.5823975</v>
      </c>
      <c r="D361" s="24">
        <f t="shared" si="1"/>
        <v>513043.4783</v>
      </c>
      <c r="E361" s="25">
        <f t="shared" si="2"/>
        <v>-109.2772397</v>
      </c>
      <c r="F361" s="24">
        <f t="shared" si="3"/>
        <v>0.0002129980096</v>
      </c>
      <c r="G361" s="24">
        <f t="shared" si="4"/>
        <v>0</v>
      </c>
      <c r="H361" s="26">
        <f t="shared" si="5"/>
        <v>0</v>
      </c>
      <c r="I361" s="24">
        <f t="shared" si="6"/>
        <v>0</v>
      </c>
      <c r="J361" s="24">
        <f t="shared" si="7"/>
        <v>0</v>
      </c>
      <c r="K361" s="24"/>
      <c r="L361" s="24">
        <f t="shared" si="8"/>
        <v>419.6298921</v>
      </c>
      <c r="M361" s="14">
        <f t="shared" si="9"/>
        <v>421.2731552</v>
      </c>
      <c r="N361" s="27">
        <f t="shared" si="10"/>
        <v>-1.643263065</v>
      </c>
      <c r="O361" s="24"/>
      <c r="P361" s="24"/>
      <c r="Q361" s="24"/>
      <c r="R361" s="26"/>
      <c r="S361" s="14">
        <f t="shared" si="13"/>
        <v>-1.509002118</v>
      </c>
      <c r="U361" s="21"/>
      <c r="V361" s="21"/>
    </row>
    <row r="362">
      <c r="A362" s="11">
        <v>350.0</v>
      </c>
      <c r="B362" s="11">
        <v>1.42091739130434E9</v>
      </c>
      <c r="C362" s="2">
        <v>-102.6378708</v>
      </c>
      <c r="D362" s="24">
        <f t="shared" si="1"/>
        <v>517391.3043</v>
      </c>
      <c r="E362" s="25">
        <f t="shared" si="2"/>
        <v>-110.1955359</v>
      </c>
      <c r="F362" s="24">
        <f t="shared" si="3"/>
        <v>0.0002129829685</v>
      </c>
      <c r="G362" s="24">
        <f t="shared" si="4"/>
        <v>0</v>
      </c>
      <c r="H362" s="26">
        <f t="shared" si="5"/>
        <v>0</v>
      </c>
      <c r="I362" s="24">
        <f t="shared" si="6"/>
        <v>0</v>
      </c>
      <c r="J362" s="24">
        <f t="shared" si="7"/>
        <v>0</v>
      </c>
      <c r="K362" s="24"/>
      <c r="L362" s="24">
        <f t="shared" si="8"/>
        <v>414.3039629</v>
      </c>
      <c r="M362" s="14">
        <f t="shared" si="9"/>
        <v>421.1619467</v>
      </c>
      <c r="N362" s="27">
        <f t="shared" si="10"/>
        <v>-6.857983829</v>
      </c>
      <c r="O362" s="24"/>
      <c r="P362" s="24"/>
      <c r="Q362" s="24"/>
      <c r="R362" s="26"/>
      <c r="S362" s="14">
        <f t="shared" si="13"/>
        <v>-6.297660029</v>
      </c>
      <c r="U362" s="21"/>
      <c r="V362" s="21"/>
    </row>
    <row r="363">
      <c r="A363" s="11">
        <v>351.0</v>
      </c>
      <c r="B363" s="11">
        <v>1.42092173913043E9</v>
      </c>
      <c r="C363" s="2">
        <v>-102.5821381</v>
      </c>
      <c r="D363" s="24">
        <f t="shared" si="1"/>
        <v>521739.1304</v>
      </c>
      <c r="E363" s="25">
        <f t="shared" si="2"/>
        <v>-111.113832</v>
      </c>
      <c r="F363" s="24">
        <f t="shared" si="3"/>
        <v>0.000212968178</v>
      </c>
      <c r="G363" s="24">
        <f t="shared" si="4"/>
        <v>0</v>
      </c>
      <c r="H363" s="26">
        <f t="shared" si="5"/>
        <v>0</v>
      </c>
      <c r="I363" s="24">
        <f t="shared" si="6"/>
        <v>0</v>
      </c>
      <c r="J363" s="24">
        <f t="shared" si="7"/>
        <v>0</v>
      </c>
      <c r="K363" s="24"/>
      <c r="L363" s="24">
        <f t="shared" si="8"/>
        <v>419.654957</v>
      </c>
      <c r="M363" s="14">
        <f t="shared" si="9"/>
        <v>421.0503666</v>
      </c>
      <c r="N363" s="27">
        <f t="shared" si="10"/>
        <v>-1.395409598</v>
      </c>
      <c r="O363" s="24"/>
      <c r="P363" s="24"/>
      <c r="Q363" s="24"/>
      <c r="R363" s="26"/>
      <c r="S363" s="14">
        <f t="shared" si="13"/>
        <v>-1.281399234</v>
      </c>
      <c r="U363" s="21"/>
      <c r="V363" s="21"/>
    </row>
    <row r="364">
      <c r="A364" s="11">
        <v>352.0</v>
      </c>
      <c r="B364" s="11">
        <v>1.42092608695652E9</v>
      </c>
      <c r="C364" s="2">
        <v>-102.5005646</v>
      </c>
      <c r="D364" s="24">
        <f t="shared" si="1"/>
        <v>526086.9565</v>
      </c>
      <c r="E364" s="25">
        <f t="shared" si="2"/>
        <v>-112.0321281</v>
      </c>
      <c r="F364" s="24">
        <f t="shared" si="3"/>
        <v>0.000212953632</v>
      </c>
      <c r="G364" s="24">
        <f t="shared" si="4"/>
        <v>0</v>
      </c>
      <c r="H364" s="26">
        <f t="shared" si="5"/>
        <v>0</v>
      </c>
      <c r="I364" s="24">
        <f t="shared" si="6"/>
        <v>0</v>
      </c>
      <c r="J364" s="24">
        <f t="shared" si="7"/>
        <v>0</v>
      </c>
      <c r="K364" s="24"/>
      <c r="L364" s="24">
        <f t="shared" si="8"/>
        <v>427.6118259</v>
      </c>
      <c r="M364" s="14">
        <f t="shared" si="9"/>
        <v>420.9384137</v>
      </c>
      <c r="N364" s="27">
        <f t="shared" si="10"/>
        <v>6.673412185</v>
      </c>
      <c r="O364" s="24"/>
      <c r="P364" s="24"/>
      <c r="Q364" s="24"/>
      <c r="R364" s="26"/>
      <c r="S364" s="14">
        <f t="shared" si="13"/>
        <v>6.128168602</v>
      </c>
      <c r="U364" s="21"/>
      <c r="V364" s="21"/>
    </row>
    <row r="365">
      <c r="A365" s="11">
        <v>353.0</v>
      </c>
      <c r="B365" s="11">
        <v>1.4209304347826E9</v>
      </c>
      <c r="C365" s="2">
        <v>-102.5886002</v>
      </c>
      <c r="D365" s="24">
        <f t="shared" si="1"/>
        <v>530434.7826</v>
      </c>
      <c r="E365" s="25">
        <f t="shared" si="2"/>
        <v>-112.9504243</v>
      </c>
      <c r="F365" s="24">
        <f t="shared" si="3"/>
        <v>0.0002129393244</v>
      </c>
      <c r="G365" s="24">
        <f t="shared" si="4"/>
        <v>0</v>
      </c>
      <c r="H365" s="26">
        <f t="shared" si="5"/>
        <v>0</v>
      </c>
      <c r="I365" s="24">
        <f t="shared" si="6"/>
        <v>0</v>
      </c>
      <c r="J365" s="24">
        <f t="shared" si="7"/>
        <v>0</v>
      </c>
      <c r="K365" s="24"/>
      <c r="L365" s="24">
        <f t="shared" si="8"/>
        <v>419.0309942</v>
      </c>
      <c r="M365" s="14">
        <f t="shared" si="9"/>
        <v>420.8260868</v>
      </c>
      <c r="N365" s="27">
        <f t="shared" si="10"/>
        <v>-1.795092546</v>
      </c>
      <c r="O365" s="24"/>
      <c r="P365" s="24"/>
      <c r="Q365" s="24"/>
      <c r="R365" s="26"/>
      <c r="S365" s="14">
        <f t="shared" si="13"/>
        <v>-1.648426543</v>
      </c>
      <c r="U365" s="21"/>
      <c r="V365" s="21"/>
    </row>
    <row r="366">
      <c r="A366" s="11">
        <v>354.0</v>
      </c>
      <c r="B366" s="11">
        <v>1.42093478260869E9</v>
      </c>
      <c r="C366" s="2">
        <v>-102.5680084</v>
      </c>
      <c r="D366" s="24">
        <f t="shared" si="1"/>
        <v>534782.6087</v>
      </c>
      <c r="E366" s="25">
        <f t="shared" si="2"/>
        <v>-113.8687204</v>
      </c>
      <c r="F366" s="24">
        <f t="shared" si="3"/>
        <v>0.0002129252495</v>
      </c>
      <c r="G366" s="24">
        <f t="shared" si="4"/>
        <v>0</v>
      </c>
      <c r="H366" s="26">
        <f t="shared" si="5"/>
        <v>0</v>
      </c>
      <c r="I366" s="24">
        <f t="shared" si="6"/>
        <v>0</v>
      </c>
      <c r="J366" s="24">
        <f t="shared" si="7"/>
        <v>0</v>
      </c>
      <c r="K366" s="24"/>
      <c r="L366" s="24">
        <f t="shared" si="8"/>
        <v>421.022521</v>
      </c>
      <c r="M366" s="14">
        <f t="shared" si="9"/>
        <v>420.7133847</v>
      </c>
      <c r="N366" s="27">
        <f t="shared" si="10"/>
        <v>0.3091363024</v>
      </c>
      <c r="O366" s="24"/>
      <c r="P366" s="24"/>
      <c r="Q366" s="24"/>
      <c r="R366" s="26"/>
      <c r="S366" s="14">
        <f t="shared" si="13"/>
        <v>0.283878671</v>
      </c>
      <c r="U366" s="21"/>
      <c r="V366" s="21"/>
    </row>
    <row r="367">
      <c r="A367" s="11">
        <v>355.0</v>
      </c>
      <c r="B367" s="11">
        <v>1.42093913043478E9</v>
      </c>
      <c r="C367" s="2">
        <v>-102.5587387</v>
      </c>
      <c r="D367" s="24">
        <f t="shared" si="1"/>
        <v>539130.4348</v>
      </c>
      <c r="E367" s="25">
        <f t="shared" si="2"/>
        <v>-114.7870165</v>
      </c>
      <c r="F367" s="24">
        <f t="shared" si="3"/>
        <v>0.0002129114016</v>
      </c>
      <c r="G367" s="24">
        <f t="shared" si="4"/>
        <v>0</v>
      </c>
      <c r="H367" s="26">
        <f t="shared" si="5"/>
        <v>0</v>
      </c>
      <c r="I367" s="24">
        <f t="shared" si="6"/>
        <v>0</v>
      </c>
      <c r="J367" s="24">
        <f t="shared" si="7"/>
        <v>0</v>
      </c>
      <c r="K367" s="24"/>
      <c r="L367" s="24">
        <f t="shared" si="8"/>
        <v>421.9221227</v>
      </c>
      <c r="M367" s="14">
        <f t="shared" si="9"/>
        <v>420.6003062</v>
      </c>
      <c r="N367" s="27">
        <f t="shared" si="10"/>
        <v>1.321816498</v>
      </c>
      <c r="O367" s="24"/>
      <c r="P367" s="24"/>
      <c r="Q367" s="24"/>
      <c r="R367" s="26"/>
      <c r="S367" s="14">
        <f t="shared" si="13"/>
        <v>1.213818976</v>
      </c>
      <c r="U367" s="21"/>
      <c r="V367" s="21"/>
    </row>
    <row r="368">
      <c r="A368" s="11">
        <v>356.0</v>
      </c>
      <c r="B368" s="11">
        <v>1.42094347826087E9</v>
      </c>
      <c r="C368" s="2">
        <v>-102.5803909</v>
      </c>
      <c r="D368" s="24">
        <f t="shared" si="1"/>
        <v>543478.2609</v>
      </c>
      <c r="E368" s="25">
        <f t="shared" si="2"/>
        <v>-115.7053126</v>
      </c>
      <c r="F368" s="24">
        <f t="shared" si="3"/>
        <v>0.0002128977753</v>
      </c>
      <c r="G368" s="24">
        <f t="shared" si="4"/>
        <v>0</v>
      </c>
      <c r="H368" s="26">
        <f t="shared" si="5"/>
        <v>0</v>
      </c>
      <c r="I368" s="24">
        <f t="shared" si="6"/>
        <v>0</v>
      </c>
      <c r="J368" s="24">
        <f t="shared" si="7"/>
        <v>0</v>
      </c>
      <c r="K368" s="24"/>
      <c r="L368" s="24">
        <f t="shared" si="8"/>
        <v>419.8238214</v>
      </c>
      <c r="M368" s="14">
        <f t="shared" si="9"/>
        <v>420.4868501</v>
      </c>
      <c r="N368" s="27">
        <f t="shared" si="10"/>
        <v>-0.6630287125</v>
      </c>
      <c r="O368" s="24"/>
      <c r="P368" s="24"/>
      <c r="Q368" s="24"/>
      <c r="R368" s="26"/>
      <c r="S368" s="14">
        <f t="shared" si="13"/>
        <v>-0.6088567026</v>
      </c>
      <c r="U368" s="21"/>
      <c r="V368" s="21"/>
    </row>
    <row r="369">
      <c r="A369" s="11">
        <v>357.0</v>
      </c>
      <c r="B369" s="11">
        <v>1.42094782608695E9</v>
      </c>
      <c r="C369" s="2">
        <v>-102.5749817</v>
      </c>
      <c r="D369" s="24">
        <f t="shared" si="1"/>
        <v>547826.087</v>
      </c>
      <c r="E369" s="25">
        <f t="shared" si="2"/>
        <v>-116.6236088</v>
      </c>
      <c r="F369" s="24">
        <f t="shared" si="3"/>
        <v>0.0002128843652</v>
      </c>
      <c r="G369" s="24">
        <f t="shared" si="4"/>
        <v>0</v>
      </c>
      <c r="H369" s="26">
        <f t="shared" si="5"/>
        <v>0</v>
      </c>
      <c r="I369" s="24">
        <f t="shared" si="6"/>
        <v>0</v>
      </c>
      <c r="J369" s="24">
        <f t="shared" si="7"/>
        <v>0</v>
      </c>
      <c r="K369" s="24"/>
      <c r="L369" s="24">
        <f t="shared" si="8"/>
        <v>420.3470437</v>
      </c>
      <c r="M369" s="14">
        <f t="shared" si="9"/>
        <v>420.3730151</v>
      </c>
      <c r="N369" s="27">
        <f t="shared" si="10"/>
        <v>-0.02597141656</v>
      </c>
      <c r="O369" s="24"/>
      <c r="P369" s="24"/>
      <c r="Q369" s="24"/>
      <c r="R369" s="26"/>
      <c r="S369" s="14">
        <f t="shared" si="13"/>
        <v>-0.02384945139</v>
      </c>
      <c r="U369" s="21"/>
      <c r="V369" s="21"/>
    </row>
    <row r="370">
      <c r="A370" s="11">
        <v>358.0</v>
      </c>
      <c r="B370" s="11">
        <v>1.42095217391304E9</v>
      </c>
      <c r="C370" s="2">
        <v>-102.5667648</v>
      </c>
      <c r="D370" s="24">
        <f t="shared" si="1"/>
        <v>552173.913</v>
      </c>
      <c r="E370" s="25">
        <f t="shared" si="2"/>
        <v>-117.5419049</v>
      </c>
      <c r="F370" s="24">
        <f t="shared" si="3"/>
        <v>0.0002128711664</v>
      </c>
      <c r="G370" s="24">
        <f t="shared" si="4"/>
        <v>0</v>
      </c>
      <c r="H370" s="26">
        <f t="shared" si="5"/>
        <v>0</v>
      </c>
      <c r="I370" s="24">
        <f t="shared" si="6"/>
        <v>0</v>
      </c>
      <c r="J370" s="24">
        <f t="shared" si="7"/>
        <v>0</v>
      </c>
      <c r="K370" s="24"/>
      <c r="L370" s="24">
        <f t="shared" si="8"/>
        <v>421.1430978</v>
      </c>
      <c r="M370" s="14">
        <f t="shared" si="9"/>
        <v>420.2588002</v>
      </c>
      <c r="N370" s="27">
        <f t="shared" si="10"/>
        <v>0.8842976713</v>
      </c>
      <c r="O370" s="24"/>
      <c r="P370" s="24"/>
      <c r="Q370" s="24"/>
      <c r="R370" s="26"/>
      <c r="S370" s="14">
        <f t="shared" si="13"/>
        <v>0.8120471299</v>
      </c>
      <c r="U370" s="21"/>
      <c r="V370" s="21"/>
    </row>
    <row r="371">
      <c r="A371" s="11">
        <v>359.0</v>
      </c>
      <c r="B371" s="11">
        <v>1.42095652173913E9</v>
      </c>
      <c r="C371" s="2">
        <v>-102.6220474</v>
      </c>
      <c r="D371" s="24">
        <f t="shared" si="1"/>
        <v>556521.7391</v>
      </c>
      <c r="E371" s="25">
        <f t="shared" si="2"/>
        <v>-118.460201</v>
      </c>
      <c r="F371" s="24">
        <f t="shared" si="3"/>
        <v>0.0002128581738</v>
      </c>
      <c r="G371" s="24">
        <f t="shared" si="4"/>
        <v>0</v>
      </c>
      <c r="H371" s="26">
        <f t="shared" si="5"/>
        <v>0</v>
      </c>
      <c r="I371" s="24">
        <f t="shared" si="6"/>
        <v>0</v>
      </c>
      <c r="J371" s="24">
        <f t="shared" si="7"/>
        <v>0</v>
      </c>
      <c r="K371" s="24"/>
      <c r="L371" s="24">
        <f t="shared" si="8"/>
        <v>415.8162212</v>
      </c>
      <c r="M371" s="14">
        <f t="shared" si="9"/>
        <v>420.144204</v>
      </c>
      <c r="N371" s="27">
        <f t="shared" si="10"/>
        <v>-4.327982764</v>
      </c>
      <c r="O371" s="24"/>
      <c r="P371" s="24"/>
      <c r="Q371" s="24"/>
      <c r="R371" s="26"/>
      <c r="S371" s="14">
        <f t="shared" si="13"/>
        <v>-3.974369835</v>
      </c>
      <c r="U371" s="21"/>
      <c r="V371" s="21"/>
    </row>
    <row r="372">
      <c r="A372" s="11">
        <v>360.0</v>
      </c>
      <c r="B372" s="11">
        <v>1.42096086956521E9</v>
      </c>
      <c r="C372" s="2">
        <v>-102.6492157</v>
      </c>
      <c r="D372" s="24">
        <f t="shared" si="1"/>
        <v>560869.5652</v>
      </c>
      <c r="E372" s="25">
        <f t="shared" si="2"/>
        <v>-119.3784972</v>
      </c>
      <c r="F372" s="24">
        <f t="shared" si="3"/>
        <v>0.0002128453826</v>
      </c>
      <c r="G372" s="24">
        <f t="shared" si="4"/>
        <v>0</v>
      </c>
      <c r="H372" s="26">
        <f t="shared" si="5"/>
        <v>0</v>
      </c>
      <c r="I372" s="24">
        <f t="shared" si="6"/>
        <v>0</v>
      </c>
      <c r="J372" s="24">
        <f t="shared" si="7"/>
        <v>0</v>
      </c>
      <c r="K372" s="24"/>
      <c r="L372" s="24">
        <f t="shared" si="8"/>
        <v>413.2231056</v>
      </c>
      <c r="M372" s="14">
        <f t="shared" si="9"/>
        <v>420.0292253</v>
      </c>
      <c r="N372" s="27">
        <f t="shared" si="10"/>
        <v>-6.806119711</v>
      </c>
      <c r="O372" s="24"/>
      <c r="P372" s="24"/>
      <c r="Q372" s="24"/>
      <c r="R372" s="26"/>
      <c r="S372" s="14">
        <f t="shared" si="13"/>
        <v>-6.25003341</v>
      </c>
      <c r="U372" s="21"/>
      <c r="V372" s="21"/>
    </row>
    <row r="373">
      <c r="A373" s="11">
        <v>361.0</v>
      </c>
      <c r="B373" s="11">
        <v>1.4209652173913E9</v>
      </c>
      <c r="C373" s="2">
        <v>-102.576149</v>
      </c>
      <c r="D373" s="24">
        <f t="shared" si="1"/>
        <v>565217.3913</v>
      </c>
      <c r="E373" s="25">
        <f t="shared" si="2"/>
        <v>-120.2967933</v>
      </c>
      <c r="F373" s="24">
        <f t="shared" si="3"/>
        <v>0.0002128327882</v>
      </c>
      <c r="G373" s="24">
        <f t="shared" si="4"/>
        <v>0</v>
      </c>
      <c r="H373" s="26">
        <f t="shared" si="5"/>
        <v>0</v>
      </c>
      <c r="I373" s="24">
        <f t="shared" si="6"/>
        <v>0</v>
      </c>
      <c r="J373" s="24">
        <f t="shared" si="7"/>
        <v>0</v>
      </c>
      <c r="K373" s="24"/>
      <c r="L373" s="24">
        <f t="shared" si="8"/>
        <v>420.2340777</v>
      </c>
      <c r="M373" s="14">
        <f t="shared" si="9"/>
        <v>419.9138631</v>
      </c>
      <c r="N373" s="27">
        <f t="shared" si="10"/>
        <v>0.3202146135</v>
      </c>
      <c r="O373" s="24"/>
      <c r="P373" s="24"/>
      <c r="Q373" s="24"/>
      <c r="R373" s="26"/>
      <c r="S373" s="14">
        <f t="shared" si="13"/>
        <v>0.2940518406</v>
      </c>
      <c r="U373" s="21"/>
      <c r="V373" s="21"/>
    </row>
    <row r="374">
      <c r="A374" s="11">
        <v>362.0</v>
      </c>
      <c r="B374" s="11">
        <v>1.42096956521739E9</v>
      </c>
      <c r="C374" s="2">
        <v>-102.5837708</v>
      </c>
      <c r="D374" s="24">
        <f t="shared" si="1"/>
        <v>569565.2174</v>
      </c>
      <c r="E374" s="25">
        <f t="shared" si="2"/>
        <v>-121.2150894</v>
      </c>
      <c r="F374" s="24">
        <f t="shared" si="3"/>
        <v>0.000212820386</v>
      </c>
      <c r="G374" s="24">
        <f t="shared" si="4"/>
        <v>0</v>
      </c>
      <c r="H374" s="26">
        <f t="shared" si="5"/>
        <v>0</v>
      </c>
      <c r="I374" s="24">
        <f t="shared" si="6"/>
        <v>0</v>
      </c>
      <c r="J374" s="24">
        <f t="shared" si="7"/>
        <v>0</v>
      </c>
      <c r="K374" s="24"/>
      <c r="L374" s="24">
        <f t="shared" si="8"/>
        <v>419.4972203</v>
      </c>
      <c r="M374" s="14">
        <f t="shared" si="9"/>
        <v>419.798116</v>
      </c>
      <c r="N374" s="27">
        <f t="shared" si="10"/>
        <v>-0.3008957118</v>
      </c>
      <c r="O374" s="24"/>
      <c r="P374" s="24"/>
      <c r="Q374" s="24"/>
      <c r="R374" s="26"/>
      <c r="S374" s="14">
        <f t="shared" si="13"/>
        <v>-0.2763113685</v>
      </c>
    </row>
    <row r="375">
      <c r="A375" s="11">
        <v>363.0</v>
      </c>
      <c r="B375" s="11">
        <v>1.42097391304347E9</v>
      </c>
      <c r="C375" s="2">
        <v>-102.6056595</v>
      </c>
      <c r="D375" s="24">
        <f t="shared" si="1"/>
        <v>573913.0435</v>
      </c>
      <c r="E375" s="25">
        <f t="shared" si="2"/>
        <v>-122.1333856</v>
      </c>
      <c r="F375" s="24">
        <f t="shared" si="3"/>
        <v>0.0002128081718</v>
      </c>
      <c r="G375" s="24">
        <f t="shared" si="4"/>
        <v>0</v>
      </c>
      <c r="H375" s="26">
        <f t="shared" si="5"/>
        <v>0</v>
      </c>
      <c r="I375" s="24">
        <f t="shared" si="6"/>
        <v>0</v>
      </c>
      <c r="J375" s="24">
        <f t="shared" si="7"/>
        <v>0</v>
      </c>
      <c r="K375" s="24"/>
      <c r="L375" s="24">
        <f t="shared" si="8"/>
        <v>417.3882485</v>
      </c>
      <c r="M375" s="14">
        <f t="shared" si="9"/>
        <v>419.6819828</v>
      </c>
      <c r="N375" s="27">
        <f t="shared" si="10"/>
        <v>-2.293734337</v>
      </c>
      <c r="O375" s="24"/>
      <c r="P375" s="24"/>
      <c r="Q375" s="24"/>
      <c r="R375" s="26"/>
      <c r="S375" s="14">
        <f t="shared" si="13"/>
        <v>-2.106327371</v>
      </c>
    </row>
    <row r="376">
      <c r="A376" s="11">
        <v>364.0</v>
      </c>
      <c r="B376" s="11">
        <v>1.42097826086956E9</v>
      </c>
      <c r="C376" s="2">
        <v>-102.562767</v>
      </c>
      <c r="D376" s="24">
        <f t="shared" si="1"/>
        <v>578260.8696</v>
      </c>
      <c r="E376" s="25">
        <f t="shared" si="2"/>
        <v>-123.0516817</v>
      </c>
      <c r="F376" s="24">
        <f t="shared" si="3"/>
        <v>0.0002127961413</v>
      </c>
      <c r="G376" s="24">
        <f t="shared" si="4"/>
        <v>0</v>
      </c>
      <c r="H376" s="26">
        <f t="shared" si="5"/>
        <v>0</v>
      </c>
      <c r="I376" s="24">
        <f t="shared" si="6"/>
        <v>0</v>
      </c>
      <c r="J376" s="24">
        <f t="shared" si="7"/>
        <v>0</v>
      </c>
      <c r="K376" s="24"/>
      <c r="L376" s="24">
        <f t="shared" si="8"/>
        <v>421.5309501</v>
      </c>
      <c r="M376" s="14">
        <f t="shared" si="9"/>
        <v>419.5654624</v>
      </c>
      <c r="N376" s="27">
        <f t="shared" si="10"/>
        <v>1.965487718</v>
      </c>
      <c r="O376" s="24"/>
      <c r="P376" s="24"/>
      <c r="Q376" s="24"/>
      <c r="R376" s="26"/>
      <c r="S376" s="14">
        <f t="shared" si="13"/>
        <v>1.804899766</v>
      </c>
    </row>
    <row r="377">
      <c r="A377" s="11">
        <v>365.0</v>
      </c>
      <c r="B377" s="11">
        <v>1.42098260869565E9</v>
      </c>
      <c r="C377" s="2">
        <v>-102.5630951</v>
      </c>
      <c r="D377" s="24">
        <f t="shared" si="1"/>
        <v>582608.6957</v>
      </c>
      <c r="E377" s="25">
        <f t="shared" si="2"/>
        <v>-123.9699778</v>
      </c>
      <c r="F377" s="24">
        <f t="shared" si="3"/>
        <v>0.0002127842903</v>
      </c>
      <c r="G377" s="24">
        <f t="shared" si="4"/>
        <v>0</v>
      </c>
      <c r="H377" s="26">
        <f t="shared" si="5"/>
        <v>0</v>
      </c>
      <c r="I377" s="24">
        <f t="shared" si="6"/>
        <v>0</v>
      </c>
      <c r="J377" s="24">
        <f t="shared" si="7"/>
        <v>0</v>
      </c>
      <c r="K377" s="24"/>
      <c r="L377" s="24">
        <f t="shared" si="8"/>
        <v>421.4991056</v>
      </c>
      <c r="M377" s="14">
        <f t="shared" si="9"/>
        <v>419.4485535</v>
      </c>
      <c r="N377" s="27">
        <f t="shared" si="10"/>
        <v>2.050552054</v>
      </c>
      <c r="O377" s="24"/>
      <c r="P377" s="24"/>
      <c r="Q377" s="24"/>
      <c r="R377" s="26"/>
      <c r="S377" s="14">
        <f t="shared" si="13"/>
        <v>1.883014021</v>
      </c>
    </row>
    <row r="378">
      <c r="A378" s="11">
        <v>366.0</v>
      </c>
      <c r="B378" s="11">
        <v>1.42098695652173E9</v>
      </c>
      <c r="C378" s="2">
        <v>-102.5630188</v>
      </c>
      <c r="D378" s="24">
        <f t="shared" si="1"/>
        <v>586956.5217</v>
      </c>
      <c r="E378" s="25">
        <f t="shared" si="2"/>
        <v>-124.888274</v>
      </c>
      <c r="F378" s="24">
        <f t="shared" si="3"/>
        <v>0.0002127726149</v>
      </c>
      <c r="G378" s="24">
        <f t="shared" si="4"/>
        <v>0</v>
      </c>
      <c r="H378" s="26">
        <f t="shared" si="5"/>
        <v>0</v>
      </c>
      <c r="I378" s="24">
        <f t="shared" si="6"/>
        <v>0</v>
      </c>
      <c r="J378" s="24">
        <f t="shared" si="7"/>
        <v>0</v>
      </c>
      <c r="K378" s="24"/>
      <c r="L378" s="24">
        <f t="shared" si="8"/>
        <v>421.5065108</v>
      </c>
      <c r="M378" s="14">
        <f t="shared" si="9"/>
        <v>419.331255</v>
      </c>
      <c r="N378" s="27">
        <f t="shared" si="10"/>
        <v>2.175255863</v>
      </c>
      <c r="O378" s="24"/>
      <c r="P378" s="24"/>
      <c r="Q378" s="24"/>
      <c r="R378" s="26"/>
      <c r="S378" s="14">
        <f t="shared" si="13"/>
        <v>1.997529047</v>
      </c>
    </row>
    <row r="379">
      <c r="A379" s="11">
        <v>367.0</v>
      </c>
      <c r="B379" s="11">
        <v>1.42099130434782E9</v>
      </c>
      <c r="C379" s="2">
        <v>-102.6221085</v>
      </c>
      <c r="D379" s="24">
        <f t="shared" si="1"/>
        <v>591304.3478</v>
      </c>
      <c r="E379" s="25">
        <f t="shared" si="2"/>
        <v>-125.8065701</v>
      </c>
      <c r="F379" s="24">
        <f t="shared" si="3"/>
        <v>0.0002127611112</v>
      </c>
      <c r="G379" s="24">
        <f t="shared" si="4"/>
        <v>0</v>
      </c>
      <c r="H379" s="26">
        <f t="shared" si="5"/>
        <v>0</v>
      </c>
      <c r="I379" s="24">
        <f t="shared" si="6"/>
        <v>0</v>
      </c>
      <c r="J379" s="24">
        <f t="shared" si="7"/>
        <v>0</v>
      </c>
      <c r="K379" s="24"/>
      <c r="L379" s="24">
        <f t="shared" si="8"/>
        <v>415.8103712</v>
      </c>
      <c r="M379" s="14">
        <f t="shared" si="9"/>
        <v>419.2135656</v>
      </c>
      <c r="N379" s="27">
        <f t="shared" si="10"/>
        <v>-3.403194345</v>
      </c>
      <c r="O379" s="24"/>
      <c r="P379" s="24"/>
      <c r="Q379" s="24"/>
      <c r="R379" s="26"/>
      <c r="S379" s="14">
        <f t="shared" si="13"/>
        <v>-3.125140206</v>
      </c>
    </row>
    <row r="380">
      <c r="A380" s="11">
        <v>368.0</v>
      </c>
      <c r="B380" s="11">
        <v>1.42099565217391E9</v>
      </c>
      <c r="C380" s="2">
        <v>-102.58358</v>
      </c>
      <c r="D380" s="24">
        <f t="shared" si="1"/>
        <v>595652.1739</v>
      </c>
      <c r="E380" s="25">
        <f t="shared" si="2"/>
        <v>-126.7248662</v>
      </c>
      <c r="F380" s="24">
        <f t="shared" si="3"/>
        <v>0.0002127497754</v>
      </c>
      <c r="G380" s="24">
        <f t="shared" si="4"/>
        <v>0</v>
      </c>
      <c r="H380" s="26">
        <f t="shared" si="5"/>
        <v>0</v>
      </c>
      <c r="I380" s="24">
        <f t="shared" si="6"/>
        <v>0</v>
      </c>
      <c r="J380" s="24">
        <f t="shared" si="7"/>
        <v>0</v>
      </c>
      <c r="K380" s="24"/>
      <c r="L380" s="24">
        <f t="shared" si="8"/>
        <v>419.5156506</v>
      </c>
      <c r="M380" s="14">
        <f t="shared" si="9"/>
        <v>419.0954841</v>
      </c>
      <c r="N380" s="27">
        <f t="shared" si="10"/>
        <v>0.4201664993</v>
      </c>
      <c r="O380" s="24"/>
      <c r="P380" s="24"/>
      <c r="Q380" s="24"/>
      <c r="R380" s="26"/>
      <c r="S380" s="14">
        <f t="shared" si="13"/>
        <v>0.3858372706</v>
      </c>
    </row>
    <row r="381">
      <c r="A381" s="11">
        <v>369.0</v>
      </c>
      <c r="B381" s="11">
        <v>1.421E9</v>
      </c>
      <c r="C381" s="2">
        <v>-102.5959549</v>
      </c>
      <c r="D381" s="24">
        <f t="shared" si="1"/>
        <v>600000</v>
      </c>
      <c r="E381" s="25">
        <f t="shared" si="2"/>
        <v>-127.6431624</v>
      </c>
      <c r="F381" s="24">
        <f t="shared" si="3"/>
        <v>0.0002127386039</v>
      </c>
      <c r="G381" s="24">
        <f t="shared" si="4"/>
        <v>0</v>
      </c>
      <c r="H381" s="26">
        <f t="shared" si="5"/>
        <v>0</v>
      </c>
      <c r="I381" s="24">
        <f t="shared" si="6"/>
        <v>0</v>
      </c>
      <c r="J381" s="24">
        <f t="shared" si="7"/>
        <v>0</v>
      </c>
      <c r="K381" s="24"/>
      <c r="L381" s="24">
        <f t="shared" si="8"/>
        <v>418.3219732</v>
      </c>
      <c r="M381" s="14">
        <f t="shared" si="9"/>
        <v>418.9770093</v>
      </c>
      <c r="N381" s="27">
        <f t="shared" si="10"/>
        <v>-0.6550360876</v>
      </c>
      <c r="O381" s="24"/>
      <c r="P381" s="24"/>
      <c r="Q381" s="24"/>
      <c r="R381" s="26"/>
      <c r="S381" s="14">
        <f t="shared" si="13"/>
        <v>-0.601517106</v>
      </c>
    </row>
    <row r="382">
      <c r="A382" s="11">
        <v>370.0</v>
      </c>
      <c r="B382" s="11">
        <v>1.42100434782608E9</v>
      </c>
      <c r="C382" s="2">
        <v>-102.6085968</v>
      </c>
      <c r="D382" s="24">
        <f t="shared" si="1"/>
        <v>604347.8261</v>
      </c>
      <c r="E382" s="25">
        <f t="shared" si="2"/>
        <v>-128.5614585</v>
      </c>
      <c r="F382" s="24">
        <f t="shared" si="3"/>
        <v>0.0002127275932</v>
      </c>
      <c r="G382" s="24">
        <f t="shared" si="4"/>
        <v>0</v>
      </c>
      <c r="H382" s="26">
        <f t="shared" si="5"/>
        <v>0</v>
      </c>
      <c r="I382" s="24">
        <f t="shared" si="6"/>
        <v>0</v>
      </c>
      <c r="J382" s="24">
        <f t="shared" si="7"/>
        <v>0</v>
      </c>
      <c r="K382" s="24"/>
      <c r="L382" s="24">
        <f t="shared" si="8"/>
        <v>417.1060482</v>
      </c>
      <c r="M382" s="14">
        <f t="shared" si="9"/>
        <v>418.85814</v>
      </c>
      <c r="N382" s="27">
        <f t="shared" si="10"/>
        <v>-1.752091794</v>
      </c>
      <c r="O382" s="24"/>
      <c r="P382" s="24"/>
      <c r="Q382" s="24"/>
      <c r="R382" s="26"/>
      <c r="S382" s="14">
        <f t="shared" si="13"/>
        <v>-1.608939118</v>
      </c>
    </row>
    <row r="383">
      <c r="A383" s="11">
        <v>371.0</v>
      </c>
      <c r="B383" s="11">
        <v>1.42100869565217E9</v>
      </c>
      <c r="C383" s="2">
        <v>-102.6093903</v>
      </c>
      <c r="D383" s="24">
        <f t="shared" si="1"/>
        <v>608695.6522</v>
      </c>
      <c r="E383" s="25">
        <f t="shared" si="2"/>
        <v>-129.4797546</v>
      </c>
      <c r="F383" s="24">
        <f t="shared" si="3"/>
        <v>0.0002127167398</v>
      </c>
      <c r="G383" s="24">
        <f t="shared" si="4"/>
        <v>0</v>
      </c>
      <c r="H383" s="26">
        <f t="shared" si="5"/>
        <v>0</v>
      </c>
      <c r="I383" s="24">
        <f t="shared" si="6"/>
        <v>0</v>
      </c>
      <c r="J383" s="24">
        <f t="shared" si="7"/>
        <v>0</v>
      </c>
      <c r="K383" s="24"/>
      <c r="L383" s="24">
        <f t="shared" si="8"/>
        <v>417.0298457</v>
      </c>
      <c r="M383" s="14">
        <f t="shared" si="9"/>
        <v>418.7388751</v>
      </c>
      <c r="N383" s="27">
        <f t="shared" si="10"/>
        <v>-1.709029381</v>
      </c>
      <c r="O383" s="24"/>
      <c r="P383" s="24"/>
      <c r="Q383" s="24"/>
      <c r="R383" s="26"/>
      <c r="S383" s="14">
        <f t="shared" si="13"/>
        <v>-1.569395068</v>
      </c>
    </row>
    <row r="384">
      <c r="A384" s="11">
        <v>372.0</v>
      </c>
      <c r="B384" s="11">
        <v>1.42101304347826E9</v>
      </c>
      <c r="C384" s="2">
        <v>-102.6181717</v>
      </c>
      <c r="D384" s="24">
        <f t="shared" si="1"/>
        <v>613043.4783</v>
      </c>
      <c r="E384" s="25">
        <f t="shared" si="2"/>
        <v>-130.3980508</v>
      </c>
      <c r="F384" s="24">
        <f t="shared" si="3"/>
        <v>0.0002127060402</v>
      </c>
      <c r="G384" s="24">
        <f t="shared" si="4"/>
        <v>0</v>
      </c>
      <c r="H384" s="26">
        <f t="shared" si="5"/>
        <v>0</v>
      </c>
      <c r="I384" s="24">
        <f t="shared" si="6"/>
        <v>0</v>
      </c>
      <c r="J384" s="24">
        <f t="shared" si="7"/>
        <v>0</v>
      </c>
      <c r="K384" s="24"/>
      <c r="L384" s="24">
        <f t="shared" si="8"/>
        <v>416.1874666</v>
      </c>
      <c r="M384" s="14">
        <f t="shared" si="9"/>
        <v>418.6192132</v>
      </c>
      <c r="N384" s="27">
        <f t="shared" si="10"/>
        <v>-2.431746647</v>
      </c>
      <c r="O384" s="24"/>
      <c r="P384" s="24"/>
      <c r="Q384" s="24"/>
      <c r="R384" s="26"/>
      <c r="S384" s="14">
        <f t="shared" si="13"/>
        <v>-2.233063542</v>
      </c>
    </row>
    <row r="385">
      <c r="A385" s="11">
        <v>373.0</v>
      </c>
      <c r="B385" s="11">
        <v>1.42101739130434E9</v>
      </c>
      <c r="C385" s="2">
        <v>-102.6567612</v>
      </c>
      <c r="D385" s="24">
        <f t="shared" si="1"/>
        <v>617391.3043</v>
      </c>
      <c r="E385" s="25">
        <f t="shared" si="2"/>
        <v>-131.3163469</v>
      </c>
      <c r="F385" s="24">
        <f t="shared" si="3"/>
        <v>0.0002126954915</v>
      </c>
      <c r="G385" s="24">
        <f t="shared" si="4"/>
        <v>0</v>
      </c>
      <c r="H385" s="26">
        <f t="shared" si="5"/>
        <v>0</v>
      </c>
      <c r="I385" s="24">
        <f t="shared" si="6"/>
        <v>0</v>
      </c>
      <c r="J385" s="24">
        <f t="shared" si="7"/>
        <v>0</v>
      </c>
      <c r="K385" s="24"/>
      <c r="L385" s="24">
        <f t="shared" si="8"/>
        <v>412.5057887</v>
      </c>
      <c r="M385" s="14">
        <f t="shared" si="9"/>
        <v>418.4991533</v>
      </c>
      <c r="N385" s="27">
        <f t="shared" si="10"/>
        <v>-5.993364603</v>
      </c>
      <c r="O385" s="24"/>
      <c r="P385" s="24"/>
      <c r="Q385" s="24"/>
      <c r="R385" s="26"/>
      <c r="S385" s="14">
        <f t="shared" si="13"/>
        <v>-5.503683538</v>
      </c>
    </row>
    <row r="386">
      <c r="A386" s="11">
        <v>374.0</v>
      </c>
      <c r="B386" s="11">
        <v>1.42102173913043E9</v>
      </c>
      <c r="C386" s="2">
        <v>-102.5576553</v>
      </c>
      <c r="D386" s="24">
        <f t="shared" si="1"/>
        <v>621739.1304</v>
      </c>
      <c r="E386" s="25">
        <f t="shared" si="2"/>
        <v>-132.234643</v>
      </c>
      <c r="F386" s="24">
        <f t="shared" si="3"/>
        <v>0.0002126850902</v>
      </c>
      <c r="G386" s="24">
        <f t="shared" si="4"/>
        <v>0</v>
      </c>
      <c r="H386" s="26">
        <f t="shared" si="5"/>
        <v>0</v>
      </c>
      <c r="I386" s="24">
        <f t="shared" si="6"/>
        <v>0</v>
      </c>
      <c r="J386" s="24">
        <f t="shared" si="7"/>
        <v>0</v>
      </c>
      <c r="K386" s="24"/>
      <c r="L386" s="24">
        <f t="shared" si="8"/>
        <v>422.0273894</v>
      </c>
      <c r="M386" s="14">
        <f t="shared" si="9"/>
        <v>418.378694</v>
      </c>
      <c r="N386" s="27">
        <f t="shared" si="10"/>
        <v>3.648695339</v>
      </c>
      <c r="O386" s="24"/>
      <c r="P386" s="24"/>
      <c r="Q386" s="24"/>
      <c r="R386" s="26"/>
      <c r="S386" s="14">
        <f t="shared" si="13"/>
        <v>3.350582811</v>
      </c>
    </row>
    <row r="387">
      <c r="A387" s="11">
        <v>375.0</v>
      </c>
      <c r="B387" s="11">
        <v>1.42102608695652E9</v>
      </c>
      <c r="C387" s="2">
        <v>-102.6326828</v>
      </c>
      <c r="D387" s="24">
        <f t="shared" si="1"/>
        <v>626086.9565</v>
      </c>
      <c r="E387" s="25">
        <f t="shared" si="2"/>
        <v>-133.1529392</v>
      </c>
      <c r="F387" s="24">
        <f t="shared" si="3"/>
        <v>0.0002126748334</v>
      </c>
      <c r="G387" s="24">
        <f t="shared" si="4"/>
        <v>0</v>
      </c>
      <c r="H387" s="26">
        <f t="shared" si="5"/>
        <v>0</v>
      </c>
      <c r="I387" s="24">
        <f t="shared" si="6"/>
        <v>0</v>
      </c>
      <c r="J387" s="24">
        <f t="shared" si="7"/>
        <v>0</v>
      </c>
      <c r="K387" s="24"/>
      <c r="L387" s="24">
        <f t="shared" si="8"/>
        <v>414.7991783</v>
      </c>
      <c r="M387" s="14">
        <f t="shared" si="9"/>
        <v>418.2578343</v>
      </c>
      <c r="N387" s="27">
        <f t="shared" si="10"/>
        <v>-3.458655984</v>
      </c>
      <c r="O387" s="24"/>
      <c r="P387" s="24"/>
      <c r="Q387" s="24"/>
      <c r="R387" s="26"/>
      <c r="S387" s="14">
        <f t="shared" si="13"/>
        <v>-3.176070415</v>
      </c>
    </row>
    <row r="388">
      <c r="A388" s="11">
        <v>376.0</v>
      </c>
      <c r="B388" s="11">
        <v>1.4210304347826E9</v>
      </c>
      <c r="C388" s="2">
        <v>-102.6054153</v>
      </c>
      <c r="D388" s="24">
        <f t="shared" si="1"/>
        <v>630434.7826</v>
      </c>
      <c r="E388" s="25">
        <f t="shared" si="2"/>
        <v>-134.0712353</v>
      </c>
      <c r="F388" s="24">
        <f t="shared" si="3"/>
        <v>0.0002126647181</v>
      </c>
      <c r="G388" s="24">
        <f t="shared" si="4"/>
        <v>0</v>
      </c>
      <c r="H388" s="26">
        <f t="shared" si="5"/>
        <v>0</v>
      </c>
      <c r="I388" s="24">
        <f t="shared" si="6"/>
        <v>0</v>
      </c>
      <c r="J388" s="24">
        <f t="shared" si="7"/>
        <v>0</v>
      </c>
      <c r="K388" s="24"/>
      <c r="L388" s="24">
        <f t="shared" si="8"/>
        <v>417.4117185</v>
      </c>
      <c r="M388" s="14">
        <f t="shared" si="9"/>
        <v>418.1365728</v>
      </c>
      <c r="N388" s="27">
        <f t="shared" si="10"/>
        <v>-0.724854269</v>
      </c>
      <c r="O388" s="24"/>
      <c r="P388" s="24"/>
      <c r="Q388" s="24"/>
      <c r="R388" s="26"/>
      <c r="S388" s="14">
        <f t="shared" si="13"/>
        <v>-0.665630872</v>
      </c>
    </row>
    <row r="389">
      <c r="A389" s="11">
        <v>377.0</v>
      </c>
      <c r="B389" s="11">
        <v>1.42103478260869E9</v>
      </c>
      <c r="C389" s="2">
        <v>-102.6317368</v>
      </c>
      <c r="D389" s="24">
        <f t="shared" si="1"/>
        <v>634782.6087</v>
      </c>
      <c r="E389" s="25">
        <f t="shared" si="2"/>
        <v>-134.9895314</v>
      </c>
      <c r="F389" s="24">
        <f t="shared" si="3"/>
        <v>0.0002126547413</v>
      </c>
      <c r="G389" s="24">
        <f t="shared" si="4"/>
        <v>0</v>
      </c>
      <c r="H389" s="26">
        <f t="shared" si="5"/>
        <v>0</v>
      </c>
      <c r="I389" s="24">
        <f t="shared" si="6"/>
        <v>0</v>
      </c>
      <c r="J389" s="24">
        <f t="shared" si="7"/>
        <v>0</v>
      </c>
      <c r="K389" s="24"/>
      <c r="L389" s="24">
        <f t="shared" si="8"/>
        <v>414.8895416</v>
      </c>
      <c r="M389" s="14">
        <f t="shared" si="9"/>
        <v>418.0149084</v>
      </c>
      <c r="N389" s="27">
        <f t="shared" si="10"/>
        <v>-3.125366798</v>
      </c>
      <c r="O389" s="24"/>
      <c r="P389" s="24"/>
      <c r="Q389" s="24"/>
      <c r="R389" s="26"/>
      <c r="S389" s="14">
        <f t="shared" si="13"/>
        <v>-2.870012244</v>
      </c>
    </row>
    <row r="390">
      <c r="A390" s="11">
        <v>378.0</v>
      </c>
      <c r="B390" s="11">
        <v>1.42103913043478E9</v>
      </c>
      <c r="C390" s="2">
        <v>-102.6290894</v>
      </c>
      <c r="D390" s="24">
        <f t="shared" si="1"/>
        <v>639130.4348</v>
      </c>
      <c r="E390" s="25">
        <f t="shared" si="2"/>
        <v>-135.9078276</v>
      </c>
      <c r="F390" s="24">
        <f t="shared" si="3"/>
        <v>0.0002126449003</v>
      </c>
      <c r="G390" s="24">
        <f t="shared" si="4"/>
        <v>0</v>
      </c>
      <c r="H390" s="26">
        <f t="shared" si="5"/>
        <v>0</v>
      </c>
      <c r="I390" s="24">
        <f t="shared" si="6"/>
        <v>0</v>
      </c>
      <c r="J390" s="24">
        <f t="shared" si="7"/>
        <v>0</v>
      </c>
      <c r="K390" s="24"/>
      <c r="L390" s="24">
        <f t="shared" si="8"/>
        <v>415.1425297</v>
      </c>
      <c r="M390" s="14">
        <f t="shared" si="9"/>
        <v>417.8928398</v>
      </c>
      <c r="N390" s="27">
        <f t="shared" si="10"/>
        <v>-2.750310144</v>
      </c>
      <c r="O390" s="24"/>
      <c r="P390" s="24"/>
      <c r="Q390" s="24"/>
      <c r="R390" s="26"/>
      <c r="S390" s="14">
        <f t="shared" si="13"/>
        <v>-2.525599163</v>
      </c>
    </row>
    <row r="391">
      <c r="A391" s="11">
        <v>379.0</v>
      </c>
      <c r="B391" s="11">
        <v>1.42104347826087E9</v>
      </c>
      <c r="C391" s="2">
        <v>-102.6043015</v>
      </c>
      <c r="D391" s="24">
        <f t="shared" si="1"/>
        <v>643478.2609</v>
      </c>
      <c r="E391" s="25">
        <f t="shared" si="2"/>
        <v>-136.8261237</v>
      </c>
      <c r="F391" s="24">
        <f t="shared" si="3"/>
        <v>0.0002126351922</v>
      </c>
      <c r="G391" s="24">
        <f t="shared" si="4"/>
        <v>0</v>
      </c>
      <c r="H391" s="26">
        <f t="shared" si="5"/>
        <v>0</v>
      </c>
      <c r="I391" s="24">
        <f t="shared" si="6"/>
        <v>0</v>
      </c>
      <c r="J391" s="24">
        <f t="shared" si="7"/>
        <v>0</v>
      </c>
      <c r="K391" s="24"/>
      <c r="L391" s="24">
        <f t="shared" si="8"/>
        <v>417.5187825</v>
      </c>
      <c r="M391" s="14">
        <f t="shared" si="9"/>
        <v>417.770366</v>
      </c>
      <c r="N391" s="27">
        <f t="shared" si="10"/>
        <v>-0.2515835004</v>
      </c>
      <c r="O391" s="24"/>
      <c r="P391" s="24"/>
      <c r="Q391" s="24"/>
      <c r="R391" s="26"/>
      <c r="S391" s="14">
        <f t="shared" si="13"/>
        <v>-0.2310281554</v>
      </c>
    </row>
    <row r="392">
      <c r="A392" s="11">
        <v>380.0</v>
      </c>
      <c r="B392" s="11">
        <v>1.42104782608695E9</v>
      </c>
      <c r="C392" s="2">
        <v>-102.5905685</v>
      </c>
      <c r="D392" s="24">
        <f t="shared" si="1"/>
        <v>647826.087</v>
      </c>
      <c r="E392" s="25">
        <f t="shared" si="2"/>
        <v>-137.7444198</v>
      </c>
      <c r="F392" s="24">
        <f t="shared" si="3"/>
        <v>0.0002126256145</v>
      </c>
      <c r="G392" s="24">
        <f t="shared" si="4"/>
        <v>0</v>
      </c>
      <c r="H392" s="26">
        <f t="shared" si="5"/>
        <v>0</v>
      </c>
      <c r="I392" s="24">
        <f t="shared" si="6"/>
        <v>0</v>
      </c>
      <c r="J392" s="24">
        <f t="shared" si="7"/>
        <v>0</v>
      </c>
      <c r="K392" s="24"/>
      <c r="L392" s="24">
        <f t="shared" si="8"/>
        <v>418.841125</v>
      </c>
      <c r="M392" s="14">
        <f t="shared" si="9"/>
        <v>417.6474855</v>
      </c>
      <c r="N392" s="27">
        <f t="shared" si="10"/>
        <v>1.193639415</v>
      </c>
      <c r="O392" s="24"/>
      <c r="P392" s="24"/>
      <c r="Q392" s="24"/>
      <c r="R392" s="26"/>
      <c r="S392" s="14">
        <f t="shared" si="13"/>
        <v>1.096114459</v>
      </c>
    </row>
    <row r="393">
      <c r="A393" s="11">
        <v>381.0</v>
      </c>
      <c r="B393" s="11">
        <v>1.42105217391304E9</v>
      </c>
      <c r="C393" s="2">
        <v>-102.6075211</v>
      </c>
      <c r="D393" s="24">
        <f t="shared" si="1"/>
        <v>652173.913</v>
      </c>
      <c r="E393" s="25">
        <f t="shared" si="2"/>
        <v>-138.662716</v>
      </c>
      <c r="F393" s="24">
        <f t="shared" si="3"/>
        <v>0.0002126161645</v>
      </c>
      <c r="G393" s="24">
        <f t="shared" si="4"/>
        <v>0</v>
      </c>
      <c r="H393" s="26">
        <f t="shared" si="5"/>
        <v>0</v>
      </c>
      <c r="I393" s="24">
        <f t="shared" si="6"/>
        <v>0</v>
      </c>
      <c r="J393" s="24">
        <f t="shared" si="7"/>
        <v>0</v>
      </c>
      <c r="K393" s="24"/>
      <c r="L393" s="24">
        <f t="shared" si="8"/>
        <v>417.2093737</v>
      </c>
      <c r="M393" s="14">
        <f t="shared" si="9"/>
        <v>417.5241974</v>
      </c>
      <c r="N393" s="27">
        <f t="shared" si="10"/>
        <v>-0.3148237246</v>
      </c>
      <c r="O393" s="24"/>
      <c r="P393" s="24"/>
      <c r="Q393" s="24"/>
      <c r="R393" s="26"/>
      <c r="S393" s="14">
        <f t="shared" si="13"/>
        <v>-0.2891014082</v>
      </c>
    </row>
    <row r="394">
      <c r="A394" s="11">
        <v>382.0</v>
      </c>
      <c r="B394" s="11">
        <v>1.42105652173913E9</v>
      </c>
      <c r="C394" s="2">
        <v>-102.589119</v>
      </c>
      <c r="D394" s="24">
        <f t="shared" si="1"/>
        <v>656521.7391</v>
      </c>
      <c r="E394" s="25">
        <f t="shared" si="2"/>
        <v>-139.5810121</v>
      </c>
      <c r="F394" s="24">
        <f t="shared" si="3"/>
        <v>0.0002126068396</v>
      </c>
      <c r="G394" s="24">
        <f t="shared" si="4"/>
        <v>0</v>
      </c>
      <c r="H394" s="26">
        <f t="shared" si="5"/>
        <v>0</v>
      </c>
      <c r="I394" s="24">
        <f t="shared" si="6"/>
        <v>0</v>
      </c>
      <c r="J394" s="24">
        <f t="shared" si="7"/>
        <v>0</v>
      </c>
      <c r="K394" s="24"/>
      <c r="L394" s="24">
        <f t="shared" si="8"/>
        <v>418.9809406</v>
      </c>
      <c r="M394" s="14">
        <f t="shared" si="9"/>
        <v>417.4005003</v>
      </c>
      <c r="N394" s="27">
        <f t="shared" si="10"/>
        <v>1.580440303</v>
      </c>
      <c r="O394" s="24"/>
      <c r="P394" s="24"/>
      <c r="Q394" s="24"/>
      <c r="R394" s="26"/>
      <c r="S394" s="14">
        <f t="shared" si="13"/>
        <v>1.451312218</v>
      </c>
    </row>
    <row r="395">
      <c r="A395" s="11">
        <v>383.0</v>
      </c>
      <c r="B395" s="11">
        <v>1.42106086956521E9</v>
      </c>
      <c r="C395" s="2">
        <v>-102.594574</v>
      </c>
      <c r="D395" s="24">
        <f t="shared" si="1"/>
        <v>660869.5652</v>
      </c>
      <c r="E395" s="25">
        <f t="shared" si="2"/>
        <v>-140.4993082</v>
      </c>
      <c r="F395" s="24">
        <f t="shared" si="3"/>
        <v>0.0002125976374</v>
      </c>
      <c r="G395" s="24">
        <f t="shared" si="4"/>
        <v>0</v>
      </c>
      <c r="H395" s="26">
        <f t="shared" si="5"/>
        <v>0</v>
      </c>
      <c r="I395" s="24">
        <f t="shared" si="6"/>
        <v>0</v>
      </c>
      <c r="J395" s="24">
        <f t="shared" si="7"/>
        <v>0</v>
      </c>
      <c r="K395" s="24"/>
      <c r="L395" s="24">
        <f t="shared" si="8"/>
        <v>418.4550057</v>
      </c>
      <c r="M395" s="14">
        <f t="shared" si="9"/>
        <v>417.276393</v>
      </c>
      <c r="N395" s="27">
        <f t="shared" si="10"/>
        <v>1.178612666</v>
      </c>
      <c r="O395" s="24"/>
      <c r="P395" s="24"/>
      <c r="Q395" s="24"/>
      <c r="R395" s="26"/>
      <c r="S395" s="14">
        <f t="shared" si="13"/>
        <v>1.082315453</v>
      </c>
    </row>
    <row r="396">
      <c r="A396" s="11">
        <v>384.0</v>
      </c>
      <c r="B396" s="11">
        <v>1.4210652173913E9</v>
      </c>
      <c r="C396" s="2">
        <v>-102.5671158</v>
      </c>
      <c r="D396" s="24">
        <f t="shared" si="1"/>
        <v>665217.3913</v>
      </c>
      <c r="E396" s="25">
        <f t="shared" si="2"/>
        <v>-141.4176043</v>
      </c>
      <c r="F396" s="24">
        <f t="shared" si="3"/>
        <v>0.0002125885556</v>
      </c>
      <c r="G396" s="24">
        <f t="shared" si="4"/>
        <v>0</v>
      </c>
      <c r="H396" s="26">
        <f t="shared" si="5"/>
        <v>0</v>
      </c>
      <c r="I396" s="24">
        <f t="shared" si="6"/>
        <v>0</v>
      </c>
      <c r="J396" s="24">
        <f t="shared" si="7"/>
        <v>0</v>
      </c>
      <c r="K396" s="24"/>
      <c r="L396" s="24">
        <f t="shared" si="8"/>
        <v>421.1090621</v>
      </c>
      <c r="M396" s="14">
        <f t="shared" si="9"/>
        <v>417.1518744</v>
      </c>
      <c r="N396" s="27">
        <f t="shared" si="10"/>
        <v>3.957187723</v>
      </c>
      <c r="O396" s="24"/>
      <c r="P396" s="24"/>
      <c r="Q396" s="24"/>
      <c r="R396" s="26"/>
      <c r="S396" s="14">
        <f t="shared" si="13"/>
        <v>3.633870175</v>
      </c>
    </row>
    <row r="397">
      <c r="A397" s="11">
        <v>385.0</v>
      </c>
      <c r="B397" s="11">
        <v>1.42106956521739E9</v>
      </c>
      <c r="C397" s="2">
        <v>-102.6341095</v>
      </c>
      <c r="D397" s="24">
        <f t="shared" si="1"/>
        <v>669565.2174</v>
      </c>
      <c r="E397" s="25">
        <f t="shared" si="2"/>
        <v>-142.3359005</v>
      </c>
      <c r="F397" s="24">
        <f t="shared" si="3"/>
        <v>0.0002125795916</v>
      </c>
      <c r="G397" s="24">
        <f t="shared" si="4"/>
        <v>0</v>
      </c>
      <c r="H397" s="26">
        <f t="shared" si="5"/>
        <v>0</v>
      </c>
      <c r="I397" s="24">
        <f t="shared" si="6"/>
        <v>0</v>
      </c>
      <c r="J397" s="24">
        <f t="shared" si="7"/>
        <v>0</v>
      </c>
      <c r="K397" s="24"/>
      <c r="L397" s="24">
        <f t="shared" si="8"/>
        <v>414.6629351</v>
      </c>
      <c r="M397" s="14">
        <f t="shared" si="9"/>
        <v>417.0269432</v>
      </c>
      <c r="N397" s="27">
        <f t="shared" si="10"/>
        <v>-2.364008143</v>
      </c>
      <c r="O397" s="24"/>
      <c r="P397" s="24"/>
      <c r="Q397" s="24"/>
      <c r="R397" s="26"/>
      <c r="S397" s="14">
        <f t="shared" si="13"/>
        <v>-2.170859535</v>
      </c>
    </row>
    <row r="398">
      <c r="A398" s="11">
        <v>386.0</v>
      </c>
      <c r="B398" s="11">
        <v>1.42107391304347E9</v>
      </c>
      <c r="C398" s="2">
        <v>-102.6038818</v>
      </c>
      <c r="D398" s="24">
        <f t="shared" si="1"/>
        <v>673913.0435</v>
      </c>
      <c r="E398" s="25">
        <f t="shared" si="2"/>
        <v>-143.2541966</v>
      </c>
      <c r="F398" s="24">
        <f t="shared" si="3"/>
        <v>0.0002125707434</v>
      </c>
      <c r="G398" s="24">
        <f t="shared" si="4"/>
        <v>0</v>
      </c>
      <c r="H398" s="26">
        <f t="shared" si="5"/>
        <v>0</v>
      </c>
      <c r="I398" s="24">
        <f t="shared" si="6"/>
        <v>0</v>
      </c>
      <c r="J398" s="24">
        <f t="shared" si="7"/>
        <v>0</v>
      </c>
      <c r="K398" s="24"/>
      <c r="L398" s="24">
        <f t="shared" si="8"/>
        <v>417.5591332</v>
      </c>
      <c r="M398" s="14">
        <f t="shared" si="9"/>
        <v>416.9015982</v>
      </c>
      <c r="N398" s="27">
        <f t="shared" si="10"/>
        <v>0.6575349597</v>
      </c>
      <c r="O398" s="24"/>
      <c r="P398" s="24"/>
      <c r="Q398" s="24"/>
      <c r="R398" s="26"/>
      <c r="S398" s="14">
        <f t="shared" si="13"/>
        <v>0.6038118107</v>
      </c>
    </row>
    <row r="399">
      <c r="A399" s="11">
        <v>387.0</v>
      </c>
      <c r="B399" s="11">
        <v>1.42107826086956E9</v>
      </c>
      <c r="C399" s="2">
        <v>-102.606842</v>
      </c>
      <c r="D399" s="24">
        <f t="shared" si="1"/>
        <v>678260.8696</v>
      </c>
      <c r="E399" s="25">
        <f t="shared" si="2"/>
        <v>-144.1724927</v>
      </c>
      <c r="F399" s="24">
        <f t="shared" si="3"/>
        <v>0.0002125620085</v>
      </c>
      <c r="G399" s="24">
        <f t="shared" si="4"/>
        <v>0</v>
      </c>
      <c r="H399" s="26">
        <f t="shared" si="5"/>
        <v>0</v>
      </c>
      <c r="I399" s="24">
        <f t="shared" si="6"/>
        <v>0</v>
      </c>
      <c r="J399" s="24">
        <f t="shared" si="7"/>
        <v>0</v>
      </c>
      <c r="K399" s="24"/>
      <c r="L399" s="24">
        <f t="shared" si="8"/>
        <v>417.2746172</v>
      </c>
      <c r="M399" s="14">
        <f t="shared" si="9"/>
        <v>416.7758383</v>
      </c>
      <c r="N399" s="27">
        <f t="shared" si="10"/>
        <v>0.4987788702</v>
      </c>
      <c r="O399" s="24"/>
      <c r="P399" s="24"/>
      <c r="Q399" s="24"/>
      <c r="R399" s="26"/>
      <c r="S399" s="14">
        <f t="shared" si="13"/>
        <v>0.4580267065</v>
      </c>
    </row>
    <row r="400">
      <c r="A400" s="11">
        <v>388.0</v>
      </c>
      <c r="B400" s="11">
        <v>1.42108260869565E9</v>
      </c>
      <c r="C400" s="2">
        <v>-102.6049652</v>
      </c>
      <c r="D400" s="24">
        <f t="shared" si="1"/>
        <v>682608.6957</v>
      </c>
      <c r="E400" s="25">
        <f t="shared" si="2"/>
        <v>-145.0907889</v>
      </c>
      <c r="F400" s="24">
        <f t="shared" si="3"/>
        <v>0.000212553385</v>
      </c>
      <c r="G400" s="24">
        <f t="shared" si="4"/>
        <v>0</v>
      </c>
      <c r="H400" s="26">
        <f t="shared" si="5"/>
        <v>0</v>
      </c>
      <c r="I400" s="24">
        <f t="shared" si="6"/>
        <v>0</v>
      </c>
      <c r="J400" s="24">
        <f t="shared" si="7"/>
        <v>0</v>
      </c>
      <c r="K400" s="24"/>
      <c r="L400" s="24">
        <f t="shared" si="8"/>
        <v>417.454981</v>
      </c>
      <c r="M400" s="14">
        <f t="shared" si="9"/>
        <v>416.6496622</v>
      </c>
      <c r="N400" s="27">
        <f t="shared" si="10"/>
        <v>0.8053188326</v>
      </c>
      <c r="O400" s="24"/>
      <c r="P400" s="24"/>
      <c r="Q400" s="24"/>
      <c r="R400" s="26"/>
      <c r="S400" s="14">
        <f t="shared" si="13"/>
        <v>0.7395211697</v>
      </c>
    </row>
    <row r="401">
      <c r="A401" s="11">
        <v>389.0</v>
      </c>
      <c r="B401" s="11">
        <v>1.42108695652173E9</v>
      </c>
      <c r="C401" s="2">
        <v>-102.6406784</v>
      </c>
      <c r="D401" s="24">
        <f t="shared" si="1"/>
        <v>686956.5217</v>
      </c>
      <c r="E401" s="25">
        <f t="shared" si="2"/>
        <v>-146.009085</v>
      </c>
      <c r="F401" s="24">
        <f t="shared" si="3"/>
        <v>0.0002125448706</v>
      </c>
      <c r="G401" s="24">
        <f t="shared" si="4"/>
        <v>0</v>
      </c>
      <c r="H401" s="26">
        <f t="shared" si="5"/>
        <v>0</v>
      </c>
      <c r="I401" s="24">
        <f t="shared" si="6"/>
        <v>0</v>
      </c>
      <c r="J401" s="24">
        <f t="shared" si="7"/>
        <v>0</v>
      </c>
      <c r="K401" s="24"/>
      <c r="L401" s="24">
        <f t="shared" si="8"/>
        <v>414.0362128</v>
      </c>
      <c r="M401" s="14">
        <f t="shared" si="9"/>
        <v>416.5230687</v>
      </c>
      <c r="N401" s="27">
        <f t="shared" si="10"/>
        <v>-2.486855946</v>
      </c>
      <c r="O401" s="24"/>
      <c r="P401" s="24"/>
      <c r="Q401" s="24"/>
      <c r="R401" s="26"/>
      <c r="S401" s="14">
        <f t="shared" si="13"/>
        <v>-2.283670198</v>
      </c>
    </row>
    <row r="402">
      <c r="A402" s="11">
        <v>390.0</v>
      </c>
      <c r="B402" s="11">
        <v>1.42109130434782E9</v>
      </c>
      <c r="C402" s="2">
        <v>-102.5952148</v>
      </c>
      <c r="D402" s="24">
        <f t="shared" si="1"/>
        <v>691304.3478</v>
      </c>
      <c r="E402" s="25">
        <f t="shared" si="2"/>
        <v>-146.9273811</v>
      </c>
      <c r="F402" s="24">
        <f t="shared" si="3"/>
        <v>0.0002125364633</v>
      </c>
      <c r="G402" s="24">
        <f t="shared" si="4"/>
        <v>0</v>
      </c>
      <c r="H402" s="26">
        <f t="shared" si="5"/>
        <v>0</v>
      </c>
      <c r="I402" s="24">
        <f t="shared" si="6"/>
        <v>0</v>
      </c>
      <c r="J402" s="24">
        <f t="shared" si="7"/>
        <v>0</v>
      </c>
      <c r="K402" s="24"/>
      <c r="L402" s="24">
        <f t="shared" si="8"/>
        <v>418.3932673</v>
      </c>
      <c r="M402" s="14">
        <f t="shared" si="9"/>
        <v>416.3960566</v>
      </c>
      <c r="N402" s="27">
        <f t="shared" si="10"/>
        <v>1.997210734</v>
      </c>
      <c r="O402" s="24"/>
      <c r="P402" s="24"/>
      <c r="Q402" s="24"/>
      <c r="R402" s="26"/>
      <c r="S402" s="14">
        <f t="shared" si="13"/>
        <v>1.834030893</v>
      </c>
    </row>
    <row r="403">
      <c r="A403" s="11">
        <v>391.0</v>
      </c>
      <c r="B403" s="11">
        <v>1.42109565217391E9</v>
      </c>
      <c r="C403" s="2">
        <v>-102.6444168</v>
      </c>
      <c r="D403" s="24">
        <f t="shared" si="1"/>
        <v>695652.1739</v>
      </c>
      <c r="E403" s="25">
        <f t="shared" si="2"/>
        <v>-147.8456773</v>
      </c>
      <c r="F403" s="24">
        <f t="shared" si="3"/>
        <v>0.0002125281611</v>
      </c>
      <c r="G403" s="24">
        <f t="shared" si="4"/>
        <v>0</v>
      </c>
      <c r="H403" s="26">
        <f t="shared" si="5"/>
        <v>0</v>
      </c>
      <c r="I403" s="24">
        <f t="shared" si="6"/>
        <v>0</v>
      </c>
      <c r="J403" s="24">
        <f t="shared" si="7"/>
        <v>0</v>
      </c>
      <c r="K403" s="24"/>
      <c r="L403" s="24">
        <f t="shared" si="8"/>
        <v>413.6799644</v>
      </c>
      <c r="M403" s="14">
        <f t="shared" si="9"/>
        <v>416.2686247</v>
      </c>
      <c r="N403" s="27">
        <f t="shared" si="10"/>
        <v>-2.58866033</v>
      </c>
      <c r="O403" s="24"/>
      <c r="P403" s="24"/>
      <c r="Q403" s="24"/>
      <c r="R403" s="26"/>
      <c r="S403" s="14">
        <f t="shared" si="13"/>
        <v>-2.377156764</v>
      </c>
    </row>
    <row r="404">
      <c r="A404" s="11">
        <v>392.0</v>
      </c>
      <c r="B404" s="11">
        <v>1.4211E9</v>
      </c>
      <c r="C404" s="2">
        <v>-102.7189331</v>
      </c>
      <c r="D404" s="24">
        <f t="shared" si="1"/>
        <v>700000</v>
      </c>
      <c r="E404" s="25">
        <f t="shared" si="2"/>
        <v>-148.7639734</v>
      </c>
      <c r="F404" s="24">
        <f t="shared" si="3"/>
        <v>0.000212519962</v>
      </c>
      <c r="G404" s="24">
        <f t="shared" si="4"/>
        <v>0</v>
      </c>
      <c r="H404" s="26">
        <f t="shared" si="5"/>
        <v>0</v>
      </c>
      <c r="I404" s="24">
        <f t="shared" si="6"/>
        <v>0</v>
      </c>
      <c r="J404" s="24">
        <f t="shared" si="7"/>
        <v>0</v>
      </c>
      <c r="K404" s="24"/>
      <c r="L404" s="24">
        <f t="shared" si="8"/>
        <v>406.6425849</v>
      </c>
      <c r="M404" s="14">
        <f t="shared" si="9"/>
        <v>416.1407718</v>
      </c>
      <c r="N404" s="27">
        <f t="shared" si="10"/>
        <v>-9.498186929</v>
      </c>
      <c r="O404" s="24"/>
      <c r="P404" s="24"/>
      <c r="Q404" s="24"/>
      <c r="R404" s="26"/>
      <c r="S404" s="14">
        <f t="shared" si="13"/>
        <v>-8.722148325</v>
      </c>
    </row>
    <row r="405">
      <c r="A405" s="11">
        <v>393.0</v>
      </c>
      <c r="B405" s="11">
        <v>1.42110434782608E9</v>
      </c>
      <c r="C405" s="2">
        <v>-102.6362534</v>
      </c>
      <c r="D405" s="24">
        <f t="shared" si="1"/>
        <v>704347.8261</v>
      </c>
      <c r="E405" s="25">
        <f t="shared" si="2"/>
        <v>-149.6822695</v>
      </c>
      <c r="F405" s="24">
        <f t="shared" si="3"/>
        <v>0.0002125118642</v>
      </c>
      <c r="G405" s="24">
        <f t="shared" si="4"/>
        <v>0</v>
      </c>
      <c r="H405" s="26">
        <f t="shared" si="5"/>
        <v>0</v>
      </c>
      <c r="I405" s="24">
        <f t="shared" si="6"/>
        <v>0</v>
      </c>
      <c r="J405" s="24">
        <f t="shared" si="7"/>
        <v>0</v>
      </c>
      <c r="K405" s="24"/>
      <c r="L405" s="24">
        <f t="shared" si="8"/>
        <v>414.4582867</v>
      </c>
      <c r="M405" s="14">
        <f t="shared" si="9"/>
        <v>416.0124967</v>
      </c>
      <c r="N405" s="27">
        <f t="shared" si="10"/>
        <v>-1.55421002</v>
      </c>
      <c r="O405" s="24"/>
      <c r="P405" s="24"/>
      <c r="Q405" s="24"/>
      <c r="R405" s="26"/>
      <c r="S405" s="14">
        <f t="shared" si="13"/>
        <v>-1.427225051</v>
      </c>
    </row>
    <row r="406">
      <c r="A406" s="11">
        <v>394.0</v>
      </c>
      <c r="B406" s="11">
        <v>1.42110869565217E9</v>
      </c>
      <c r="C406" s="2">
        <v>-102.6142654</v>
      </c>
      <c r="D406" s="24">
        <f t="shared" si="1"/>
        <v>708695.6522</v>
      </c>
      <c r="E406" s="25">
        <f t="shared" si="2"/>
        <v>-150.6005657</v>
      </c>
      <c r="F406" s="24">
        <f t="shared" si="3"/>
        <v>0.0002125038657</v>
      </c>
      <c r="G406" s="24">
        <f t="shared" si="4"/>
        <v>0</v>
      </c>
      <c r="H406" s="26">
        <f t="shared" si="5"/>
        <v>0</v>
      </c>
      <c r="I406" s="24">
        <f t="shared" si="6"/>
        <v>0</v>
      </c>
      <c r="J406" s="24">
        <f t="shared" si="7"/>
        <v>0</v>
      </c>
      <c r="K406" s="24"/>
      <c r="L406" s="24">
        <f t="shared" si="8"/>
        <v>416.5619785</v>
      </c>
      <c r="M406" s="14">
        <f t="shared" si="9"/>
        <v>415.8837982</v>
      </c>
      <c r="N406" s="27">
        <f t="shared" si="10"/>
        <v>0.6781802609</v>
      </c>
      <c r="O406" s="24"/>
      <c r="P406" s="24"/>
      <c r="Q406" s="24"/>
      <c r="R406" s="26"/>
      <c r="S406" s="14">
        <f t="shared" si="13"/>
        <v>0.6227703094</v>
      </c>
    </row>
    <row r="407">
      <c r="A407" s="11">
        <v>395.0</v>
      </c>
      <c r="B407" s="11">
        <v>1.42111304347826E9</v>
      </c>
      <c r="C407" s="2">
        <v>-102.5947266</v>
      </c>
      <c r="D407" s="24">
        <f t="shared" si="1"/>
        <v>713043.4783</v>
      </c>
      <c r="E407" s="25">
        <f t="shared" si="2"/>
        <v>-151.5188618</v>
      </c>
      <c r="F407" s="24">
        <f t="shared" si="3"/>
        <v>0.0002124959647</v>
      </c>
      <c r="G407" s="24">
        <f t="shared" si="4"/>
        <v>0</v>
      </c>
      <c r="H407" s="26">
        <f t="shared" si="5"/>
        <v>0</v>
      </c>
      <c r="I407" s="24">
        <f t="shared" si="6"/>
        <v>0</v>
      </c>
      <c r="J407" s="24">
        <f t="shared" si="7"/>
        <v>0</v>
      </c>
      <c r="K407" s="24"/>
      <c r="L407" s="24">
        <f t="shared" si="8"/>
        <v>418.4403025</v>
      </c>
      <c r="M407" s="14">
        <f t="shared" si="9"/>
        <v>415.7546751</v>
      </c>
      <c r="N407" s="27">
        <f t="shared" si="10"/>
        <v>2.685627396</v>
      </c>
      <c r="O407" s="24"/>
      <c r="P407" s="24"/>
      <c r="Q407" s="24"/>
      <c r="R407" s="26"/>
      <c r="S407" s="14">
        <f t="shared" si="13"/>
        <v>2.466201252</v>
      </c>
    </row>
    <row r="408">
      <c r="A408" s="11">
        <v>396.0</v>
      </c>
      <c r="B408" s="11">
        <v>1.42111739130434E9</v>
      </c>
      <c r="C408" s="2">
        <v>-102.6170959</v>
      </c>
      <c r="D408" s="24">
        <f t="shared" si="1"/>
        <v>717391.3043</v>
      </c>
      <c r="E408" s="25">
        <f t="shared" si="2"/>
        <v>-152.4371579</v>
      </c>
      <c r="F408" s="24">
        <f t="shared" si="3"/>
        <v>0.0002124881595</v>
      </c>
      <c r="G408" s="24">
        <f t="shared" si="4"/>
        <v>0</v>
      </c>
      <c r="H408" s="26">
        <f t="shared" si="5"/>
        <v>0</v>
      </c>
      <c r="I408" s="24">
        <f t="shared" si="6"/>
        <v>0</v>
      </c>
      <c r="J408" s="24">
        <f t="shared" si="7"/>
        <v>0</v>
      </c>
      <c r="K408" s="24"/>
      <c r="L408" s="24">
        <f t="shared" si="8"/>
        <v>416.290574</v>
      </c>
      <c r="M408" s="14">
        <f t="shared" si="9"/>
        <v>415.6251261</v>
      </c>
      <c r="N408" s="27">
        <f t="shared" si="10"/>
        <v>0.66544789</v>
      </c>
      <c r="O408" s="24"/>
      <c r="P408" s="24"/>
      <c r="Q408" s="24"/>
      <c r="R408" s="26"/>
      <c r="S408" s="14">
        <f t="shared" si="13"/>
        <v>0.611078224</v>
      </c>
    </row>
    <row r="409">
      <c r="A409" s="11">
        <v>397.0</v>
      </c>
      <c r="B409" s="11">
        <v>1.42112173913043E9</v>
      </c>
      <c r="C409" s="2">
        <v>-102.5793457</v>
      </c>
      <c r="D409" s="24">
        <f t="shared" si="1"/>
        <v>721739.1304</v>
      </c>
      <c r="E409" s="25">
        <f t="shared" si="2"/>
        <v>-153.3554541</v>
      </c>
      <c r="F409" s="24">
        <f t="shared" si="3"/>
        <v>0.0002124804484</v>
      </c>
      <c r="G409" s="24">
        <f t="shared" si="4"/>
        <v>0</v>
      </c>
      <c r="H409" s="26">
        <f t="shared" si="5"/>
        <v>0</v>
      </c>
      <c r="I409" s="24">
        <f t="shared" si="6"/>
        <v>0</v>
      </c>
      <c r="J409" s="24">
        <f t="shared" si="7"/>
        <v>0</v>
      </c>
      <c r="K409" s="24"/>
      <c r="L409" s="24">
        <f t="shared" si="8"/>
        <v>419.9248709</v>
      </c>
      <c r="M409" s="14">
        <f t="shared" si="9"/>
        <v>415.4951502</v>
      </c>
      <c r="N409" s="27">
        <f t="shared" si="10"/>
        <v>4.429720738</v>
      </c>
      <c r="O409" s="24"/>
      <c r="P409" s="24"/>
      <c r="Q409" s="24"/>
      <c r="R409" s="26"/>
      <c r="S409" s="14">
        <f t="shared" si="13"/>
        <v>4.067795414</v>
      </c>
    </row>
    <row r="410">
      <c r="A410" s="11">
        <v>398.0</v>
      </c>
      <c r="B410" s="11">
        <v>1.42112608695652E9</v>
      </c>
      <c r="C410" s="2">
        <v>-102.6503067</v>
      </c>
      <c r="D410" s="24">
        <f t="shared" si="1"/>
        <v>726086.9565</v>
      </c>
      <c r="E410" s="25">
        <f t="shared" si="2"/>
        <v>-154.2737502</v>
      </c>
      <c r="F410" s="24">
        <f t="shared" si="3"/>
        <v>0.0002124728296</v>
      </c>
      <c r="G410" s="24">
        <f t="shared" si="4"/>
        <v>0</v>
      </c>
      <c r="H410" s="26">
        <f t="shared" si="5"/>
        <v>0</v>
      </c>
      <c r="I410" s="24">
        <f t="shared" si="6"/>
        <v>0</v>
      </c>
      <c r="J410" s="24">
        <f t="shared" si="7"/>
        <v>0</v>
      </c>
      <c r="K410" s="24"/>
      <c r="L410" s="24">
        <f t="shared" si="8"/>
        <v>413.1193121</v>
      </c>
      <c r="M410" s="14">
        <f t="shared" si="9"/>
        <v>415.364746</v>
      </c>
      <c r="N410" s="27">
        <f t="shared" si="10"/>
        <v>-2.245433908</v>
      </c>
      <c r="O410" s="24"/>
      <c r="P410" s="24"/>
      <c r="Q410" s="24"/>
      <c r="R410" s="26"/>
      <c r="S410" s="14">
        <f t="shared" si="13"/>
        <v>-2.061973274</v>
      </c>
    </row>
    <row r="411">
      <c r="A411" s="11">
        <v>399.0</v>
      </c>
      <c r="B411" s="11">
        <v>1.4211304347826E9</v>
      </c>
      <c r="C411" s="2">
        <v>-102.6235962</v>
      </c>
      <c r="D411" s="24">
        <f t="shared" si="1"/>
        <v>730434.7826</v>
      </c>
      <c r="E411" s="25">
        <f t="shared" si="2"/>
        <v>-155.1920463</v>
      </c>
      <c r="F411" s="24">
        <f t="shared" si="3"/>
        <v>0.0002124653015</v>
      </c>
      <c r="G411" s="24">
        <f t="shared" si="4"/>
        <v>0</v>
      </c>
      <c r="H411" s="26">
        <f t="shared" si="5"/>
        <v>0</v>
      </c>
      <c r="I411" s="24">
        <f t="shared" si="6"/>
        <v>0</v>
      </c>
      <c r="J411" s="24">
        <f t="shared" si="7"/>
        <v>0</v>
      </c>
      <c r="K411" s="24"/>
      <c r="L411" s="24">
        <f t="shared" si="8"/>
        <v>415.6679574</v>
      </c>
      <c r="M411" s="14">
        <f t="shared" si="9"/>
        <v>415.2339123</v>
      </c>
      <c r="N411" s="27">
        <f t="shared" si="10"/>
        <v>0.4340451305</v>
      </c>
      <c r="O411" s="24"/>
      <c r="P411" s="24"/>
      <c r="Q411" s="24"/>
      <c r="R411" s="26"/>
      <c r="S411" s="14">
        <f t="shared" si="13"/>
        <v>0.3985819648</v>
      </c>
    </row>
    <row r="412">
      <c r="A412" s="11">
        <v>400.0</v>
      </c>
      <c r="B412" s="11">
        <v>1.42113478260869E9</v>
      </c>
      <c r="C412" s="2">
        <v>-102.6098785</v>
      </c>
      <c r="D412" s="24">
        <f t="shared" si="1"/>
        <v>734782.6087</v>
      </c>
      <c r="E412" s="25">
        <f t="shared" si="2"/>
        <v>-156.1103425</v>
      </c>
      <c r="F412" s="24">
        <f t="shared" si="3"/>
        <v>0.0002124578625</v>
      </c>
      <c r="G412" s="24">
        <f t="shared" si="4"/>
        <v>0</v>
      </c>
      <c r="H412" s="26">
        <f t="shared" si="5"/>
        <v>0</v>
      </c>
      <c r="I412" s="24">
        <f t="shared" si="6"/>
        <v>0</v>
      </c>
      <c r="J412" s="24">
        <f t="shared" si="7"/>
        <v>0</v>
      </c>
      <c r="K412" s="24"/>
      <c r="L412" s="24">
        <f t="shared" si="8"/>
        <v>416.9829691</v>
      </c>
      <c r="M412" s="14">
        <f t="shared" si="9"/>
        <v>415.102648</v>
      </c>
      <c r="N412" s="27">
        <f t="shared" si="10"/>
        <v>1.880321079</v>
      </c>
      <c r="O412" s="24"/>
      <c r="P412" s="24"/>
      <c r="Q412" s="24"/>
      <c r="R412" s="26"/>
      <c r="S412" s="14">
        <f t="shared" si="13"/>
        <v>1.726691575</v>
      </c>
    </row>
    <row r="413">
      <c r="A413" s="11">
        <v>401.0</v>
      </c>
      <c r="B413" s="11">
        <v>1.42113913043478E9</v>
      </c>
      <c r="C413" s="2">
        <v>-102.6679916</v>
      </c>
      <c r="D413" s="24">
        <f t="shared" si="1"/>
        <v>739130.4348</v>
      </c>
      <c r="E413" s="25">
        <f t="shared" si="2"/>
        <v>-157.0286386</v>
      </c>
      <c r="F413" s="24">
        <f t="shared" si="3"/>
        <v>0.000212450511</v>
      </c>
      <c r="G413" s="24">
        <f t="shared" si="4"/>
        <v>0</v>
      </c>
      <c r="H413" s="26">
        <f t="shared" si="5"/>
        <v>0</v>
      </c>
      <c r="I413" s="24">
        <f t="shared" si="6"/>
        <v>0</v>
      </c>
      <c r="J413" s="24">
        <f t="shared" si="7"/>
        <v>0</v>
      </c>
      <c r="K413" s="24"/>
      <c r="L413" s="24">
        <f t="shared" si="8"/>
        <v>411.44047</v>
      </c>
      <c r="M413" s="14">
        <f t="shared" si="9"/>
        <v>414.9709519</v>
      </c>
      <c r="N413" s="27">
        <f t="shared" si="10"/>
        <v>-3.530481919</v>
      </c>
      <c r="O413" s="24"/>
      <c r="P413" s="24"/>
      <c r="Q413" s="24"/>
      <c r="R413" s="26"/>
      <c r="S413" s="14">
        <f t="shared" si="13"/>
        <v>-3.242027885</v>
      </c>
    </row>
    <row r="414">
      <c r="A414" s="11">
        <v>402.0</v>
      </c>
      <c r="B414" s="11">
        <v>1.42114347826087E9</v>
      </c>
      <c r="C414" s="2">
        <v>-102.6182098</v>
      </c>
      <c r="D414" s="24">
        <f t="shared" si="1"/>
        <v>743478.2609</v>
      </c>
      <c r="E414" s="25">
        <f t="shared" si="2"/>
        <v>-157.9469347</v>
      </c>
      <c r="F414" s="24">
        <f t="shared" si="3"/>
        <v>0.0002124432455</v>
      </c>
      <c r="G414" s="24">
        <f t="shared" si="4"/>
        <v>0</v>
      </c>
      <c r="H414" s="26">
        <f t="shared" si="5"/>
        <v>0</v>
      </c>
      <c r="I414" s="24">
        <f t="shared" si="6"/>
        <v>0</v>
      </c>
      <c r="J414" s="24">
        <f t="shared" si="7"/>
        <v>0</v>
      </c>
      <c r="K414" s="24"/>
      <c r="L414" s="24">
        <f t="shared" si="8"/>
        <v>416.1838155</v>
      </c>
      <c r="M414" s="14">
        <f t="shared" si="9"/>
        <v>414.8388227</v>
      </c>
      <c r="N414" s="27">
        <f t="shared" si="10"/>
        <v>1.344992777</v>
      </c>
      <c r="O414" s="24"/>
      <c r="P414" s="24"/>
      <c r="Q414" s="24"/>
      <c r="R414" s="26"/>
      <c r="S414" s="14">
        <f t="shared" si="13"/>
        <v>1.235101666</v>
      </c>
    </row>
    <row r="415">
      <c r="A415" s="11">
        <v>403.0</v>
      </c>
      <c r="B415" s="11">
        <v>1.42114782608695E9</v>
      </c>
      <c r="C415" s="2">
        <v>-102.6192322</v>
      </c>
      <c r="D415" s="24">
        <f t="shared" si="1"/>
        <v>747826.087</v>
      </c>
      <c r="E415" s="25">
        <f t="shared" si="2"/>
        <v>-158.8652309</v>
      </c>
      <c r="F415" s="24">
        <f t="shared" si="3"/>
        <v>0.0002124360645</v>
      </c>
      <c r="G415" s="24">
        <f t="shared" si="4"/>
        <v>0</v>
      </c>
      <c r="H415" s="26">
        <f t="shared" si="5"/>
        <v>0</v>
      </c>
      <c r="I415" s="24">
        <f t="shared" si="6"/>
        <v>0</v>
      </c>
      <c r="J415" s="24">
        <f t="shared" si="7"/>
        <v>0</v>
      </c>
      <c r="K415" s="24"/>
      <c r="L415" s="24">
        <f t="shared" si="8"/>
        <v>416.0858505</v>
      </c>
      <c r="M415" s="14">
        <f t="shared" si="9"/>
        <v>414.7062592</v>
      </c>
      <c r="N415" s="27">
        <f t="shared" si="10"/>
        <v>1.379591309</v>
      </c>
      <c r="O415" s="24"/>
      <c r="P415" s="24"/>
      <c r="Q415" s="24"/>
      <c r="R415" s="26"/>
      <c r="S415" s="14">
        <f t="shared" si="13"/>
        <v>1.266873364</v>
      </c>
    </row>
    <row r="416">
      <c r="A416" s="11">
        <v>404.0</v>
      </c>
      <c r="B416" s="11">
        <v>1.42115217391304E9</v>
      </c>
      <c r="C416" s="2">
        <v>-102.6412201</v>
      </c>
      <c r="D416" s="24">
        <f t="shared" si="1"/>
        <v>752173.913</v>
      </c>
      <c r="E416" s="25">
        <f t="shared" si="2"/>
        <v>-159.783527</v>
      </c>
      <c r="F416" s="24">
        <f t="shared" si="3"/>
        <v>0.0002124289665</v>
      </c>
      <c r="G416" s="24">
        <f t="shared" si="4"/>
        <v>0</v>
      </c>
      <c r="H416" s="26">
        <f t="shared" si="5"/>
        <v>0</v>
      </c>
      <c r="I416" s="24">
        <f t="shared" si="6"/>
        <v>0</v>
      </c>
      <c r="J416" s="24">
        <f t="shared" si="7"/>
        <v>0</v>
      </c>
      <c r="K416" s="24"/>
      <c r="L416" s="24">
        <f t="shared" si="8"/>
        <v>413.9845728</v>
      </c>
      <c r="M416" s="14">
        <f t="shared" si="9"/>
        <v>414.5732603</v>
      </c>
      <c r="N416" s="27">
        <f t="shared" si="10"/>
        <v>-0.5886875032</v>
      </c>
      <c r="O416" s="24"/>
      <c r="P416" s="24"/>
      <c r="Q416" s="24"/>
      <c r="R416" s="26"/>
      <c r="S416" s="14">
        <f t="shared" si="13"/>
        <v>-0.5405894563</v>
      </c>
    </row>
    <row r="417">
      <c r="A417" s="11">
        <v>405.0</v>
      </c>
      <c r="B417" s="11">
        <v>1.42115652173913E9</v>
      </c>
      <c r="C417" s="2">
        <v>-102.6199493</v>
      </c>
      <c r="D417" s="3">
        <f t="shared" si="1"/>
        <v>756521.7391</v>
      </c>
      <c r="E417" s="4">
        <f t="shared" si="2"/>
        <v>-160.7018231</v>
      </c>
      <c r="F417" s="3">
        <f t="shared" si="3"/>
        <v>0.0002124219501</v>
      </c>
      <c r="G417" s="3">
        <f t="shared" si="4"/>
        <v>0</v>
      </c>
      <c r="H417" s="2">
        <f t="shared" si="5"/>
        <v>0</v>
      </c>
      <c r="I417" s="3">
        <f t="shared" si="6"/>
        <v>0</v>
      </c>
      <c r="J417" s="3">
        <f t="shared" si="7"/>
        <v>0</v>
      </c>
      <c r="K417" s="3"/>
      <c r="L417" s="3">
        <f t="shared" si="8"/>
        <v>416.0171528</v>
      </c>
      <c r="M417" s="14">
        <f t="shared" si="9"/>
        <v>414.4398247</v>
      </c>
      <c r="N417" s="14">
        <f t="shared" si="10"/>
        <v>1.577328068</v>
      </c>
      <c r="O417" s="3"/>
      <c r="P417" s="3"/>
      <c r="Q417" s="3"/>
      <c r="R417" s="2"/>
      <c r="S417" s="14">
        <f t="shared" si="13"/>
        <v>1.448454265</v>
      </c>
    </row>
    <row r="418">
      <c r="A418" s="11">
        <v>406.0</v>
      </c>
      <c r="B418" s="11">
        <v>1.42116086956521E9</v>
      </c>
      <c r="C418" s="2">
        <v>-102.6251221</v>
      </c>
      <c r="D418" s="3">
        <f t="shared" si="1"/>
        <v>760869.5652</v>
      </c>
      <c r="E418" s="4">
        <f t="shared" si="2"/>
        <v>-161.6201193</v>
      </c>
      <c r="F418" s="3">
        <f t="shared" si="3"/>
        <v>0.0002124150139</v>
      </c>
      <c r="G418" s="3">
        <f t="shared" si="4"/>
        <v>0</v>
      </c>
      <c r="H418" s="2">
        <f t="shared" si="5"/>
        <v>0</v>
      </c>
      <c r="I418" s="3">
        <f t="shared" si="6"/>
        <v>0</v>
      </c>
      <c r="J418" s="3">
        <f t="shared" si="7"/>
        <v>0</v>
      </c>
      <c r="K418" s="3"/>
      <c r="L418" s="3">
        <f t="shared" si="8"/>
        <v>415.5219376</v>
      </c>
      <c r="M418" s="14">
        <f t="shared" si="9"/>
        <v>414.3059513</v>
      </c>
      <c r="N418" s="14">
        <f t="shared" si="10"/>
        <v>1.215986295</v>
      </c>
      <c r="O418" s="3"/>
      <c r="P418" s="3"/>
      <c r="Q418" s="3"/>
      <c r="R418" s="2"/>
      <c r="S418" s="14">
        <f t="shared" si="13"/>
        <v>1.116635512</v>
      </c>
    </row>
    <row r="419">
      <c r="A419" s="11">
        <v>407.0</v>
      </c>
      <c r="B419" s="11">
        <v>1.4211652173913E9</v>
      </c>
      <c r="C419" s="2">
        <v>-102.5920563</v>
      </c>
      <c r="D419" s="3">
        <f t="shared" si="1"/>
        <v>765217.3913</v>
      </c>
      <c r="E419" s="4">
        <f t="shared" si="2"/>
        <v>-162.5384154</v>
      </c>
      <c r="F419" s="3">
        <f t="shared" si="3"/>
        <v>0.0002124081565</v>
      </c>
      <c r="G419" s="3">
        <f t="shared" si="4"/>
        <v>0</v>
      </c>
      <c r="H419" s="2">
        <f t="shared" si="5"/>
        <v>0</v>
      </c>
      <c r="I419" s="3">
        <f t="shared" si="6"/>
        <v>0</v>
      </c>
      <c r="J419" s="3">
        <f t="shared" si="7"/>
        <v>0</v>
      </c>
      <c r="K419" s="3"/>
      <c r="L419" s="3">
        <f t="shared" si="8"/>
        <v>418.6976635</v>
      </c>
      <c r="M419" s="14">
        <f t="shared" si="9"/>
        <v>414.1716387</v>
      </c>
      <c r="N419" s="14">
        <f t="shared" si="10"/>
        <v>4.526024802</v>
      </c>
      <c r="O419" s="3"/>
      <c r="P419" s="3"/>
      <c r="Q419" s="3"/>
      <c r="R419" s="2"/>
      <c r="S419" s="14">
        <f t="shared" si="13"/>
        <v>4.156231063</v>
      </c>
    </row>
    <row r="420">
      <c r="A420" s="11">
        <v>408.0</v>
      </c>
      <c r="B420" s="11">
        <v>1.42116956521739E9</v>
      </c>
      <c r="C420" s="2">
        <v>-102.6751709</v>
      </c>
      <c r="D420" s="3">
        <f t="shared" si="1"/>
        <v>769565.2174</v>
      </c>
      <c r="E420" s="4">
        <f t="shared" si="2"/>
        <v>-163.4567115</v>
      </c>
      <c r="F420" s="3">
        <f t="shared" si="3"/>
        <v>0.0002124013765</v>
      </c>
      <c r="G420" s="3">
        <f t="shared" si="4"/>
        <v>0</v>
      </c>
      <c r="H420" s="2">
        <f t="shared" si="5"/>
        <v>0</v>
      </c>
      <c r="I420" s="3">
        <f t="shared" si="6"/>
        <v>0</v>
      </c>
      <c r="J420" s="3">
        <f t="shared" si="7"/>
        <v>0</v>
      </c>
      <c r="K420" s="3"/>
      <c r="L420" s="3">
        <f t="shared" si="8"/>
        <v>410.7608817</v>
      </c>
      <c r="M420" s="14">
        <f t="shared" si="9"/>
        <v>414.0368859</v>
      </c>
      <c r="N420" s="14">
        <f t="shared" si="10"/>
        <v>-3.276004207</v>
      </c>
      <c r="O420" s="3"/>
      <c r="P420" s="3"/>
      <c r="Q420" s="3"/>
      <c r="R420" s="2"/>
      <c r="S420" s="14">
        <f t="shared" si="13"/>
        <v>-3.008341994</v>
      </c>
    </row>
    <row r="421">
      <c r="A421" s="11">
        <v>409.0</v>
      </c>
      <c r="B421" s="11">
        <v>1.42117391304347E9</v>
      </c>
      <c r="C421" s="2">
        <v>-102.6454163</v>
      </c>
      <c r="D421" s="3">
        <f t="shared" si="1"/>
        <v>773913.0435</v>
      </c>
      <c r="E421" s="4">
        <f t="shared" si="2"/>
        <v>-164.3750077</v>
      </c>
      <c r="F421" s="3">
        <f t="shared" si="3"/>
        <v>0.0002123946728</v>
      </c>
      <c r="G421" s="3">
        <f t="shared" si="4"/>
        <v>0</v>
      </c>
      <c r="H421" s="2">
        <f t="shared" si="5"/>
        <v>0</v>
      </c>
      <c r="I421" s="3">
        <f t="shared" si="6"/>
        <v>0</v>
      </c>
      <c r="J421" s="3">
        <f t="shared" si="7"/>
        <v>0</v>
      </c>
      <c r="K421" s="3"/>
      <c r="L421" s="3">
        <f t="shared" si="8"/>
        <v>413.5847696</v>
      </c>
      <c r="M421" s="14">
        <f t="shared" si="9"/>
        <v>413.9016916</v>
      </c>
      <c r="N421" s="14">
        <f t="shared" si="10"/>
        <v>-0.3169219268</v>
      </c>
      <c r="O421" s="3"/>
      <c r="P421" s="3"/>
      <c r="Q421" s="3"/>
      <c r="R421" s="2"/>
      <c r="S421" s="14">
        <f t="shared" si="13"/>
        <v>-0.2910281797</v>
      </c>
    </row>
    <row r="422">
      <c r="A422" s="11">
        <v>410.0</v>
      </c>
      <c r="B422" s="11">
        <v>1.42117826086956E9</v>
      </c>
      <c r="C422" s="2">
        <v>-102.6531601</v>
      </c>
      <c r="D422" s="3">
        <f t="shared" si="1"/>
        <v>778260.8696</v>
      </c>
      <c r="E422" s="4">
        <f t="shared" si="2"/>
        <v>-165.2933038</v>
      </c>
      <c r="F422" s="3">
        <f t="shared" si="3"/>
        <v>0.000212388044</v>
      </c>
      <c r="G422" s="3">
        <f t="shared" si="4"/>
        <v>0</v>
      </c>
      <c r="H422" s="2">
        <f t="shared" si="5"/>
        <v>0</v>
      </c>
      <c r="I422" s="3">
        <f t="shared" si="6"/>
        <v>0</v>
      </c>
      <c r="J422" s="3">
        <f t="shared" si="7"/>
        <v>0</v>
      </c>
      <c r="K422" s="3"/>
      <c r="L422" s="3">
        <f t="shared" si="8"/>
        <v>412.8479737</v>
      </c>
      <c r="M422" s="14">
        <f t="shared" si="9"/>
        <v>413.7660546</v>
      </c>
      <c r="N422" s="14">
        <f t="shared" si="10"/>
        <v>-0.9180808463</v>
      </c>
      <c r="O422" s="3"/>
      <c r="P422" s="3"/>
      <c r="Q422" s="3"/>
      <c r="R422" s="2"/>
      <c r="S422" s="14">
        <f t="shared" si="13"/>
        <v>-0.8430700888</v>
      </c>
    </row>
    <row r="423">
      <c r="A423" s="11">
        <v>411.0</v>
      </c>
      <c r="B423" s="11">
        <v>1.42118260869565E9</v>
      </c>
      <c r="C423" s="2">
        <v>-102.6013336</v>
      </c>
      <c r="D423" s="3">
        <f t="shared" si="1"/>
        <v>782608.6957</v>
      </c>
      <c r="E423" s="4">
        <f t="shared" si="2"/>
        <v>-166.2115999</v>
      </c>
      <c r="F423" s="3">
        <f t="shared" si="3"/>
        <v>0.0002123814888</v>
      </c>
      <c r="G423" s="3">
        <f t="shared" si="4"/>
        <v>0</v>
      </c>
      <c r="H423" s="2">
        <f t="shared" si="5"/>
        <v>0</v>
      </c>
      <c r="I423" s="3">
        <f t="shared" si="6"/>
        <v>0</v>
      </c>
      <c r="J423" s="3">
        <f t="shared" si="7"/>
        <v>0</v>
      </c>
      <c r="K423" s="3"/>
      <c r="L423" s="3">
        <f t="shared" si="8"/>
        <v>417.8042057</v>
      </c>
      <c r="M423" s="14">
        <f t="shared" si="9"/>
        <v>413.6299736</v>
      </c>
      <c r="N423" s="14">
        <f t="shared" si="10"/>
        <v>4.174232085</v>
      </c>
      <c r="O423" s="3"/>
      <c r="P423" s="3"/>
      <c r="Q423" s="3"/>
      <c r="R423" s="2"/>
      <c r="S423" s="14">
        <f t="shared" si="13"/>
        <v>3.833181181</v>
      </c>
    </row>
    <row r="424">
      <c r="A424" s="11">
        <v>412.0</v>
      </c>
      <c r="B424" s="11">
        <v>1.42118695652173E9</v>
      </c>
      <c r="C424" s="2">
        <v>-102.6808929</v>
      </c>
      <c r="D424" s="3">
        <f t="shared" si="1"/>
        <v>786956.5217</v>
      </c>
      <c r="E424" s="4">
        <f t="shared" si="2"/>
        <v>-167.129896</v>
      </c>
      <c r="F424" s="3">
        <f t="shared" si="3"/>
        <v>0.000212375006</v>
      </c>
      <c r="G424" s="3">
        <f t="shared" si="4"/>
        <v>0</v>
      </c>
      <c r="H424" s="2">
        <f t="shared" si="5"/>
        <v>0</v>
      </c>
      <c r="I424" s="3">
        <f t="shared" si="6"/>
        <v>0</v>
      </c>
      <c r="J424" s="3">
        <f t="shared" si="7"/>
        <v>0</v>
      </c>
      <c r="K424" s="3"/>
      <c r="L424" s="3">
        <f t="shared" si="8"/>
        <v>410.2200445</v>
      </c>
      <c r="M424" s="14">
        <f t="shared" si="9"/>
        <v>413.4934476</v>
      </c>
      <c r="N424" s="14">
        <f t="shared" si="10"/>
        <v>-3.273403125</v>
      </c>
      <c r="O424" s="3"/>
      <c r="P424" s="3"/>
      <c r="Q424" s="3"/>
      <c r="R424" s="2"/>
      <c r="S424" s="14">
        <f t="shared" si="13"/>
        <v>-3.00595343</v>
      </c>
    </row>
    <row r="425">
      <c r="A425" s="11">
        <v>413.0</v>
      </c>
      <c r="B425" s="11">
        <v>1.42119130434782E9</v>
      </c>
      <c r="C425" s="2">
        <v>-102.6491165</v>
      </c>
      <c r="D425" s="3">
        <f t="shared" si="1"/>
        <v>791304.3478</v>
      </c>
      <c r="E425" s="4">
        <f t="shared" si="2"/>
        <v>-168.0481922</v>
      </c>
      <c r="F425" s="3">
        <f t="shared" si="3"/>
        <v>0.0002123685945</v>
      </c>
      <c r="G425" s="3">
        <f t="shared" si="4"/>
        <v>0</v>
      </c>
      <c r="H425" s="2">
        <f t="shared" si="5"/>
        <v>0</v>
      </c>
      <c r="I425" s="3">
        <f t="shared" si="6"/>
        <v>0</v>
      </c>
      <c r="J425" s="3">
        <f t="shared" si="7"/>
        <v>0</v>
      </c>
      <c r="K425" s="3"/>
      <c r="L425" s="3">
        <f t="shared" si="8"/>
        <v>413.2325444</v>
      </c>
      <c r="M425" s="14">
        <f t="shared" si="9"/>
        <v>413.3564753</v>
      </c>
      <c r="N425" s="14">
        <f t="shared" si="10"/>
        <v>-0.1239308381</v>
      </c>
      <c r="O425" s="3"/>
      <c r="P425" s="3"/>
      <c r="Q425" s="3"/>
      <c r="R425" s="2"/>
      <c r="S425" s="14">
        <f t="shared" si="13"/>
        <v>-0.1138052093</v>
      </c>
    </row>
    <row r="426">
      <c r="A426" s="11">
        <v>414.0</v>
      </c>
      <c r="B426" s="11">
        <v>1.42119565217391E9</v>
      </c>
      <c r="C426" s="2">
        <v>-102.6130447</v>
      </c>
      <c r="D426" s="3">
        <f t="shared" si="1"/>
        <v>795652.1739</v>
      </c>
      <c r="E426" s="4">
        <f t="shared" si="2"/>
        <v>-168.9664883</v>
      </c>
      <c r="F426" s="3">
        <f t="shared" si="3"/>
        <v>0.0002123622531</v>
      </c>
      <c r="G426" s="3">
        <f t="shared" si="4"/>
        <v>0</v>
      </c>
      <c r="H426" s="2">
        <f t="shared" si="5"/>
        <v>0</v>
      </c>
      <c r="I426" s="3">
        <f t="shared" si="6"/>
        <v>0</v>
      </c>
      <c r="J426" s="3">
        <f t="shared" si="7"/>
        <v>0</v>
      </c>
      <c r="K426" s="3"/>
      <c r="L426" s="3">
        <f t="shared" si="8"/>
        <v>416.6790808</v>
      </c>
      <c r="M426" s="14">
        <f t="shared" si="9"/>
        <v>413.2190554</v>
      </c>
      <c r="N426" s="14">
        <f t="shared" si="10"/>
        <v>3.460025328</v>
      </c>
      <c r="O426" s="3"/>
      <c r="P426" s="3"/>
      <c r="Q426" s="3"/>
      <c r="R426" s="2"/>
      <c r="S426" s="14">
        <f t="shared" si="13"/>
        <v>3.177327871</v>
      </c>
    </row>
    <row r="427">
      <c r="A427" s="11">
        <v>415.0</v>
      </c>
      <c r="B427" s="11">
        <v>1.4212E9</v>
      </c>
      <c r="C427" s="2">
        <v>-102.6951904</v>
      </c>
      <c r="D427" s="3">
        <f t="shared" si="1"/>
        <v>800000</v>
      </c>
      <c r="E427" s="4">
        <f t="shared" si="2"/>
        <v>-169.8847844</v>
      </c>
      <c r="F427" s="3">
        <f t="shared" si="3"/>
        <v>0.0002123559806</v>
      </c>
      <c r="G427" s="3">
        <f t="shared" si="4"/>
        <v>0</v>
      </c>
      <c r="H427" s="2">
        <f t="shared" si="5"/>
        <v>0</v>
      </c>
      <c r="I427" s="3">
        <f t="shared" si="6"/>
        <v>0</v>
      </c>
      <c r="J427" s="3">
        <f t="shared" si="7"/>
        <v>0</v>
      </c>
      <c r="K427" s="3"/>
      <c r="L427" s="3">
        <f t="shared" si="8"/>
        <v>408.871771</v>
      </c>
      <c r="M427" s="14">
        <f t="shared" si="9"/>
        <v>413.0811868</v>
      </c>
      <c r="N427" s="14">
        <f t="shared" si="10"/>
        <v>-4.209415844</v>
      </c>
      <c r="O427" s="3"/>
      <c r="P427" s="3"/>
      <c r="Q427" s="3"/>
      <c r="R427" s="2"/>
      <c r="S427" s="14">
        <f t="shared" si="13"/>
        <v>-3.865490291</v>
      </c>
    </row>
    <row r="428">
      <c r="A428" s="11">
        <v>416.0</v>
      </c>
      <c r="B428" s="11">
        <v>1.42120434782608E9</v>
      </c>
      <c r="C428" s="2">
        <v>-102.6701736</v>
      </c>
      <c r="D428" s="3">
        <f t="shared" si="1"/>
        <v>804347.8261</v>
      </c>
      <c r="E428" s="4">
        <f t="shared" si="2"/>
        <v>-170.8030806</v>
      </c>
      <c r="F428" s="3">
        <f t="shared" si="3"/>
        <v>0.0002123497759</v>
      </c>
      <c r="G428" s="3">
        <f t="shared" si="4"/>
        <v>0</v>
      </c>
      <c r="H428" s="2">
        <f t="shared" si="5"/>
        <v>0</v>
      </c>
      <c r="I428" s="3">
        <f t="shared" si="6"/>
        <v>0</v>
      </c>
      <c r="J428" s="3">
        <f t="shared" si="7"/>
        <v>0</v>
      </c>
      <c r="K428" s="3"/>
      <c r="L428" s="3">
        <f t="shared" si="8"/>
        <v>411.2338043</v>
      </c>
      <c r="M428" s="14">
        <f t="shared" si="9"/>
        <v>412.9428683</v>
      </c>
      <c r="N428" s="14">
        <f t="shared" si="10"/>
        <v>-1.709064059</v>
      </c>
      <c r="O428" s="3"/>
      <c r="P428" s="3"/>
      <c r="Q428" s="3"/>
      <c r="R428" s="2"/>
      <c r="S428" s="14">
        <f t="shared" si="13"/>
        <v>-1.569426916</v>
      </c>
    </row>
    <row r="429">
      <c r="A429" s="11">
        <v>417.0</v>
      </c>
      <c r="B429" s="11">
        <v>1.42120869565217E9</v>
      </c>
      <c r="C429" s="2">
        <v>-102.6524734</v>
      </c>
      <c r="D429" s="3">
        <f t="shared" si="1"/>
        <v>808695.6522</v>
      </c>
      <c r="E429" s="4">
        <f t="shared" si="2"/>
        <v>-171.7213767</v>
      </c>
      <c r="F429" s="3">
        <f t="shared" si="3"/>
        <v>0.0002123436379</v>
      </c>
      <c r="G429" s="3">
        <f t="shared" si="4"/>
        <v>0</v>
      </c>
      <c r="H429" s="2">
        <f t="shared" si="5"/>
        <v>0</v>
      </c>
      <c r="I429" s="3">
        <f t="shared" si="6"/>
        <v>0</v>
      </c>
      <c r="J429" s="3">
        <f t="shared" si="7"/>
        <v>0</v>
      </c>
      <c r="K429" s="3"/>
      <c r="L429" s="3">
        <f t="shared" si="8"/>
        <v>412.9132578</v>
      </c>
      <c r="M429" s="14">
        <f t="shared" si="9"/>
        <v>412.8040987</v>
      </c>
      <c r="N429" s="14">
        <f t="shared" si="10"/>
        <v>0.1091590611</v>
      </c>
      <c r="O429" s="3"/>
      <c r="P429" s="3"/>
      <c r="Q429" s="3"/>
      <c r="R429" s="2"/>
      <c r="S429" s="14">
        <f t="shared" si="13"/>
        <v>0.1002403435</v>
      </c>
    </row>
    <row r="430">
      <c r="A430" s="11">
        <v>418.0</v>
      </c>
      <c r="B430" s="11">
        <v>1.42121304347826E9</v>
      </c>
      <c r="C430" s="2">
        <v>-102.6965637</v>
      </c>
      <c r="D430" s="3">
        <f t="shared" si="1"/>
        <v>813043.4783</v>
      </c>
      <c r="E430" s="4">
        <f t="shared" si="2"/>
        <v>-172.6396728</v>
      </c>
      <c r="F430" s="3">
        <f t="shared" si="3"/>
        <v>0.0002123375655</v>
      </c>
      <c r="G430" s="3">
        <f t="shared" si="4"/>
        <v>0</v>
      </c>
      <c r="H430" s="2">
        <f t="shared" si="5"/>
        <v>0</v>
      </c>
      <c r="I430" s="3">
        <f t="shared" si="6"/>
        <v>0</v>
      </c>
      <c r="J430" s="3">
        <f t="shared" si="7"/>
        <v>0</v>
      </c>
      <c r="K430" s="3"/>
      <c r="L430" s="3">
        <f t="shared" si="8"/>
        <v>408.7425005</v>
      </c>
      <c r="M430" s="14">
        <f t="shared" si="9"/>
        <v>412.6648767</v>
      </c>
      <c r="N430" s="14">
        <f t="shared" si="10"/>
        <v>-3.922376281</v>
      </c>
      <c r="O430" s="3"/>
      <c r="P430" s="3"/>
      <c r="Q430" s="3"/>
      <c r="R430" s="2"/>
      <c r="S430" s="14">
        <f t="shared" si="13"/>
        <v>-3.60190297</v>
      </c>
    </row>
    <row r="431">
      <c r="A431" s="11">
        <v>419.0</v>
      </c>
      <c r="B431" s="11">
        <v>1.42121739130434E9</v>
      </c>
      <c r="C431" s="2">
        <v>-102.7074966</v>
      </c>
      <c r="D431" s="3">
        <f t="shared" si="1"/>
        <v>817391.3043</v>
      </c>
      <c r="E431" s="4">
        <f t="shared" si="2"/>
        <v>-173.557969</v>
      </c>
      <c r="F431" s="3">
        <f t="shared" si="3"/>
        <v>0.0002123315578</v>
      </c>
      <c r="G431" s="3">
        <f t="shared" si="4"/>
        <v>0</v>
      </c>
      <c r="H431" s="2">
        <f t="shared" si="5"/>
        <v>0</v>
      </c>
      <c r="I431" s="3">
        <f t="shared" si="6"/>
        <v>0</v>
      </c>
      <c r="J431" s="3">
        <f t="shared" si="7"/>
        <v>0</v>
      </c>
      <c r="K431" s="3"/>
      <c r="L431" s="3">
        <f t="shared" si="8"/>
        <v>407.7148289</v>
      </c>
      <c r="M431" s="14">
        <f t="shared" si="9"/>
        <v>412.5252012</v>
      </c>
      <c r="N431" s="14">
        <f t="shared" si="10"/>
        <v>-4.810372311</v>
      </c>
      <c r="O431" s="3"/>
      <c r="P431" s="3"/>
      <c r="Q431" s="3"/>
      <c r="R431" s="2"/>
      <c r="S431" s="14">
        <f t="shared" si="13"/>
        <v>-4.417346291</v>
      </c>
    </row>
    <row r="432">
      <c r="A432" s="11">
        <v>420.0</v>
      </c>
      <c r="B432" s="11">
        <v>1.42122173913043E9</v>
      </c>
      <c r="C432" s="2">
        <v>-102.6666031</v>
      </c>
      <c r="D432" s="3">
        <f t="shared" si="1"/>
        <v>821739.1304</v>
      </c>
      <c r="E432" s="4">
        <f t="shared" si="2"/>
        <v>-174.4762651</v>
      </c>
      <c r="F432" s="3">
        <f t="shared" si="3"/>
        <v>0.0002123256136</v>
      </c>
      <c r="G432" s="3">
        <f t="shared" si="4"/>
        <v>0</v>
      </c>
      <c r="H432" s="2">
        <f t="shared" si="5"/>
        <v>0</v>
      </c>
      <c r="I432" s="3">
        <f t="shared" si="6"/>
        <v>0</v>
      </c>
      <c r="J432" s="3">
        <f t="shared" si="7"/>
        <v>0</v>
      </c>
      <c r="K432" s="3"/>
      <c r="L432" s="3">
        <f t="shared" si="8"/>
        <v>411.5720342</v>
      </c>
      <c r="M432" s="14">
        <f t="shared" si="9"/>
        <v>412.385071</v>
      </c>
      <c r="N432" s="14">
        <f t="shared" si="10"/>
        <v>-0.8130367196</v>
      </c>
      <c r="O432" s="3"/>
      <c r="P432" s="3"/>
      <c r="Q432" s="3"/>
      <c r="R432" s="2"/>
      <c r="S432" s="14">
        <f t="shared" si="13"/>
        <v>-0.7466084737</v>
      </c>
    </row>
    <row r="433">
      <c r="A433" s="11">
        <v>421.0</v>
      </c>
      <c r="B433" s="11">
        <v>1.42122608695652E9</v>
      </c>
      <c r="C433" s="2">
        <v>-102.6761475</v>
      </c>
      <c r="D433" s="3">
        <f t="shared" si="1"/>
        <v>826086.9565</v>
      </c>
      <c r="E433" s="4">
        <f t="shared" si="2"/>
        <v>-175.3945612</v>
      </c>
      <c r="F433" s="3">
        <f t="shared" si="3"/>
        <v>0.000212319732</v>
      </c>
      <c r="G433" s="3">
        <f t="shared" si="4"/>
        <v>0</v>
      </c>
      <c r="H433" s="2">
        <f t="shared" si="5"/>
        <v>0</v>
      </c>
      <c r="I433" s="3">
        <f t="shared" si="6"/>
        <v>0</v>
      </c>
      <c r="J433" s="3">
        <f t="shared" si="7"/>
        <v>0</v>
      </c>
      <c r="K433" s="3"/>
      <c r="L433" s="3">
        <f t="shared" si="8"/>
        <v>410.6685241</v>
      </c>
      <c r="M433" s="14">
        <f t="shared" si="9"/>
        <v>412.2444847</v>
      </c>
      <c r="N433" s="14">
        <f t="shared" si="10"/>
        <v>-1.575960674</v>
      </c>
      <c r="O433" s="3"/>
      <c r="P433" s="3"/>
      <c r="Q433" s="3"/>
      <c r="R433" s="2"/>
      <c r="S433" s="14">
        <f t="shared" si="13"/>
        <v>-1.447198592</v>
      </c>
    </row>
    <row r="434">
      <c r="A434" s="11">
        <v>422.0</v>
      </c>
      <c r="B434" s="11">
        <v>1.4212304347826E9</v>
      </c>
      <c r="C434" s="2">
        <v>-102.7138214</v>
      </c>
      <c r="D434" s="3">
        <f t="shared" si="1"/>
        <v>830434.7826</v>
      </c>
      <c r="E434" s="4">
        <f t="shared" si="2"/>
        <v>-176.3128574</v>
      </c>
      <c r="F434" s="3">
        <f t="shared" si="3"/>
        <v>0.000212313912</v>
      </c>
      <c r="G434" s="3">
        <f t="shared" si="4"/>
        <v>0</v>
      </c>
      <c r="H434" s="2">
        <f t="shared" si="5"/>
        <v>0</v>
      </c>
      <c r="I434" s="3">
        <f t="shared" si="6"/>
        <v>0</v>
      </c>
      <c r="J434" s="3">
        <f t="shared" si="7"/>
        <v>0</v>
      </c>
      <c r="K434" s="3"/>
      <c r="L434" s="3">
        <f t="shared" si="8"/>
        <v>407.1214901</v>
      </c>
      <c r="M434" s="14">
        <f t="shared" si="9"/>
        <v>412.1034414</v>
      </c>
      <c r="N434" s="14">
        <f t="shared" si="10"/>
        <v>-4.981951316</v>
      </c>
      <c r="O434" s="3"/>
      <c r="P434" s="3"/>
      <c r="Q434" s="3"/>
      <c r="R434" s="2"/>
      <c r="S434" s="14">
        <f t="shared" si="13"/>
        <v>-4.574906627</v>
      </c>
    </row>
    <row r="435">
      <c r="A435" s="11">
        <v>423.0</v>
      </c>
      <c r="B435" s="11">
        <v>1.42123478260869E9</v>
      </c>
      <c r="C435" s="2">
        <v>-102.6376801</v>
      </c>
      <c r="D435" s="3">
        <f t="shared" si="1"/>
        <v>834782.6087</v>
      </c>
      <c r="E435" s="4">
        <f t="shared" si="2"/>
        <v>-177.2311535</v>
      </c>
      <c r="F435" s="3">
        <f t="shared" si="3"/>
        <v>0.0002123081526</v>
      </c>
      <c r="G435" s="3">
        <f t="shared" si="4"/>
        <v>0</v>
      </c>
      <c r="H435" s="2">
        <f t="shared" si="5"/>
        <v>0</v>
      </c>
      <c r="I435" s="3">
        <f t="shared" si="6"/>
        <v>0</v>
      </c>
      <c r="J435" s="3">
        <f t="shared" si="7"/>
        <v>0</v>
      </c>
      <c r="K435" s="3"/>
      <c r="L435" s="3">
        <f t="shared" si="8"/>
        <v>414.3221555</v>
      </c>
      <c r="M435" s="14">
        <f t="shared" si="9"/>
        <v>411.9619396</v>
      </c>
      <c r="N435" s="14">
        <f t="shared" si="10"/>
        <v>2.360215824</v>
      </c>
      <c r="O435" s="3"/>
      <c r="P435" s="3"/>
      <c r="Q435" s="3"/>
      <c r="R435" s="2"/>
      <c r="S435" s="14">
        <f t="shared" si="13"/>
        <v>2.167377064</v>
      </c>
    </row>
    <row r="436">
      <c r="A436" s="11">
        <v>424.0</v>
      </c>
      <c r="B436" s="11">
        <v>1.42123913043478E9</v>
      </c>
      <c r="C436" s="2">
        <v>-102.6115723</v>
      </c>
      <c r="D436" s="3">
        <f t="shared" si="1"/>
        <v>839130.4348</v>
      </c>
      <c r="E436" s="4">
        <f t="shared" si="2"/>
        <v>-178.1494496</v>
      </c>
      <c r="F436" s="3">
        <f t="shared" si="3"/>
        <v>0.0002123024529</v>
      </c>
      <c r="G436" s="3">
        <f t="shared" si="4"/>
        <v>0</v>
      </c>
      <c r="H436" s="2">
        <f t="shared" si="5"/>
        <v>0</v>
      </c>
      <c r="I436" s="3">
        <f t="shared" si="6"/>
        <v>0</v>
      </c>
      <c r="J436" s="3">
        <f t="shared" si="7"/>
        <v>0</v>
      </c>
      <c r="K436" s="3"/>
      <c r="L436" s="3">
        <f t="shared" si="8"/>
        <v>416.8203725</v>
      </c>
      <c r="M436" s="14">
        <f t="shared" si="9"/>
        <v>411.8199783</v>
      </c>
      <c r="N436" s="14">
        <f t="shared" si="10"/>
        <v>5.000394177</v>
      </c>
      <c r="O436" s="3"/>
      <c r="P436" s="3"/>
      <c r="Q436" s="3"/>
      <c r="R436" s="2"/>
      <c r="S436" s="14">
        <f t="shared" si="13"/>
        <v>4.591842624</v>
      </c>
    </row>
    <row r="437">
      <c r="A437" s="11">
        <v>425.0</v>
      </c>
      <c r="B437" s="11">
        <v>1.42124347826087E9</v>
      </c>
      <c r="C437" s="2">
        <v>-102.6296692</v>
      </c>
      <c r="D437" s="3">
        <f t="shared" si="1"/>
        <v>843478.2609</v>
      </c>
      <c r="E437" s="4">
        <f t="shared" si="2"/>
        <v>-179.0677458</v>
      </c>
      <c r="F437" s="3">
        <f t="shared" si="3"/>
        <v>0.000212296812</v>
      </c>
      <c r="G437" s="3">
        <f t="shared" si="4"/>
        <v>0</v>
      </c>
      <c r="H437" s="2">
        <f t="shared" si="5"/>
        <v>0</v>
      </c>
      <c r="I437" s="3">
        <f t="shared" si="6"/>
        <v>0</v>
      </c>
      <c r="J437" s="3">
        <f t="shared" si="7"/>
        <v>0</v>
      </c>
      <c r="K437" s="3"/>
      <c r="L437" s="3">
        <f t="shared" si="8"/>
        <v>415.0871102</v>
      </c>
      <c r="M437" s="14">
        <f t="shared" si="9"/>
        <v>411.6775562</v>
      </c>
      <c r="N437" s="14">
        <f t="shared" si="10"/>
        <v>3.409553994</v>
      </c>
      <c r="O437" s="3"/>
      <c r="P437" s="3"/>
      <c r="Q437" s="3"/>
      <c r="R437" s="2"/>
      <c r="S437" s="14">
        <f t="shared" si="13"/>
        <v>3.130980247</v>
      </c>
    </row>
    <row r="438">
      <c r="A438" s="11">
        <v>426.0</v>
      </c>
      <c r="B438" s="11">
        <v>1.42124782608695E9</v>
      </c>
      <c r="C438" s="2">
        <v>-102.6786575</v>
      </c>
      <c r="D438" s="3">
        <f t="shared" si="1"/>
        <v>847826.087</v>
      </c>
      <c r="E438" s="4">
        <f t="shared" si="2"/>
        <v>-179.9860419</v>
      </c>
      <c r="F438" s="3">
        <f t="shared" si="3"/>
        <v>0.0002122912289</v>
      </c>
      <c r="G438" s="3">
        <f t="shared" si="4"/>
        <v>0</v>
      </c>
      <c r="H438" s="2">
        <f t="shared" si="5"/>
        <v>0</v>
      </c>
      <c r="I438" s="3">
        <f t="shared" si="6"/>
        <v>0</v>
      </c>
      <c r="J438" s="3">
        <f t="shared" si="7"/>
        <v>0</v>
      </c>
      <c r="K438" s="3"/>
      <c r="L438" s="3">
        <f t="shared" si="8"/>
        <v>410.4312472</v>
      </c>
      <c r="M438" s="14">
        <f t="shared" si="9"/>
        <v>411.5346722</v>
      </c>
      <c r="N438" s="14">
        <f t="shared" si="10"/>
        <v>-1.10342494</v>
      </c>
      <c r="O438" s="3"/>
      <c r="P438" s="3"/>
      <c r="Q438" s="3"/>
      <c r="R438" s="2"/>
      <c r="S438" s="14">
        <f t="shared" si="13"/>
        <v>-1.013270856</v>
      </c>
    </row>
    <row r="439">
      <c r="A439" s="11">
        <v>427.0</v>
      </c>
      <c r="B439" s="11">
        <v>1.42125217391304E9</v>
      </c>
      <c r="C439" s="2">
        <v>-102.6625061</v>
      </c>
      <c r="D439" s="3">
        <f t="shared" si="1"/>
        <v>852173.913</v>
      </c>
      <c r="E439" s="4">
        <f t="shared" si="2"/>
        <v>-180.904338</v>
      </c>
      <c r="F439" s="3">
        <f t="shared" si="3"/>
        <v>0.0002122857028</v>
      </c>
      <c r="G439" s="3">
        <f t="shared" si="4"/>
        <v>0</v>
      </c>
      <c r="H439" s="2">
        <f t="shared" si="5"/>
        <v>0</v>
      </c>
      <c r="I439" s="3">
        <f t="shared" si="6"/>
        <v>0</v>
      </c>
      <c r="J439" s="3">
        <f t="shared" si="7"/>
        <v>0</v>
      </c>
      <c r="K439" s="3"/>
      <c r="L439" s="3">
        <f t="shared" si="8"/>
        <v>411.9604818</v>
      </c>
      <c r="M439" s="14">
        <f t="shared" si="9"/>
        <v>411.3913249</v>
      </c>
      <c r="N439" s="14">
        <f t="shared" si="10"/>
        <v>0.569156848</v>
      </c>
      <c r="O439" s="3"/>
      <c r="P439" s="3"/>
      <c r="Q439" s="3"/>
      <c r="R439" s="2"/>
      <c r="S439" s="14">
        <f t="shared" si="13"/>
        <v>0.5226545313</v>
      </c>
    </row>
    <row r="440">
      <c r="A440" s="11">
        <v>428.0</v>
      </c>
      <c r="B440" s="11">
        <v>1.42125652173913E9</v>
      </c>
      <c r="C440" s="2">
        <v>-102.6637268</v>
      </c>
      <c r="D440" s="3">
        <f t="shared" si="1"/>
        <v>856521.7391</v>
      </c>
      <c r="E440" s="4">
        <f t="shared" si="2"/>
        <v>-181.8226342</v>
      </c>
      <c r="F440" s="3">
        <f t="shared" si="3"/>
        <v>0.0002122802328</v>
      </c>
      <c r="G440" s="3">
        <f t="shared" si="4"/>
        <v>0</v>
      </c>
      <c r="H440" s="2">
        <f t="shared" si="5"/>
        <v>0</v>
      </c>
      <c r="I440" s="3">
        <f t="shared" si="6"/>
        <v>0</v>
      </c>
      <c r="J440" s="3">
        <f t="shared" si="7"/>
        <v>0</v>
      </c>
      <c r="K440" s="3"/>
      <c r="L440" s="3">
        <f t="shared" si="8"/>
        <v>411.8447056</v>
      </c>
      <c r="M440" s="14">
        <f t="shared" si="9"/>
        <v>411.2475133</v>
      </c>
      <c r="N440" s="14">
        <f t="shared" si="10"/>
        <v>0.5971923199</v>
      </c>
      <c r="O440" s="3"/>
      <c r="P440" s="3"/>
      <c r="Q440" s="3"/>
      <c r="R440" s="2"/>
      <c r="S440" s="14">
        <f t="shared" si="13"/>
        <v>0.5483993979</v>
      </c>
    </row>
    <row r="441">
      <c r="A441" s="11">
        <v>429.0</v>
      </c>
      <c r="B441" s="11">
        <v>1.42126086956521E9</v>
      </c>
      <c r="C441" s="2">
        <v>-102.6867828</v>
      </c>
      <c r="D441" s="3">
        <f t="shared" si="1"/>
        <v>860869.5652</v>
      </c>
      <c r="E441" s="4">
        <f t="shared" si="2"/>
        <v>-182.7409303</v>
      </c>
      <c r="F441" s="3">
        <f t="shared" si="3"/>
        <v>0.000212274818</v>
      </c>
      <c r="G441" s="3">
        <f t="shared" si="4"/>
        <v>0</v>
      </c>
      <c r="H441" s="2">
        <f t="shared" si="5"/>
        <v>0</v>
      </c>
      <c r="I441" s="3">
        <f t="shared" si="6"/>
        <v>0</v>
      </c>
      <c r="J441" s="3">
        <f t="shared" si="7"/>
        <v>0</v>
      </c>
      <c r="K441" s="3"/>
      <c r="L441" s="3">
        <f t="shared" si="8"/>
        <v>409.6640813</v>
      </c>
      <c r="M441" s="14">
        <f t="shared" si="9"/>
        <v>411.1032361</v>
      </c>
      <c r="N441" s="14">
        <f t="shared" si="10"/>
        <v>-1.439154759</v>
      </c>
      <c r="O441" s="3"/>
      <c r="P441" s="3"/>
      <c r="Q441" s="3"/>
      <c r="R441" s="2"/>
      <c r="S441" s="14">
        <f t="shared" si="13"/>
        <v>-1.32157025</v>
      </c>
    </row>
    <row r="442">
      <c r="A442" s="11">
        <v>430.0</v>
      </c>
      <c r="B442" s="11">
        <v>1.4212652173913E9</v>
      </c>
      <c r="C442" s="2">
        <v>-102.7177124</v>
      </c>
      <c r="D442" s="3">
        <f t="shared" si="1"/>
        <v>865217.3913</v>
      </c>
      <c r="E442" s="4">
        <f t="shared" si="2"/>
        <v>-183.6592264</v>
      </c>
      <c r="F442" s="3">
        <f t="shared" si="3"/>
        <v>0.0002122694577</v>
      </c>
      <c r="G442" s="3">
        <f t="shared" si="4"/>
        <v>0</v>
      </c>
      <c r="H442" s="2">
        <f t="shared" si="5"/>
        <v>0</v>
      </c>
      <c r="I442" s="3">
        <f t="shared" si="6"/>
        <v>0</v>
      </c>
      <c r="J442" s="3">
        <f t="shared" si="7"/>
        <v>0</v>
      </c>
      <c r="K442" s="3"/>
      <c r="L442" s="3">
        <f t="shared" si="8"/>
        <v>406.7568987</v>
      </c>
      <c r="M442" s="14">
        <f t="shared" si="9"/>
        <v>410.958492</v>
      </c>
      <c r="N442" s="14">
        <f t="shared" si="10"/>
        <v>-4.201593372</v>
      </c>
      <c r="O442" s="3"/>
      <c r="P442" s="3"/>
      <c r="Q442" s="3"/>
      <c r="R442" s="2"/>
      <c r="S442" s="14">
        <f t="shared" si="13"/>
        <v>-3.858306936</v>
      </c>
    </row>
    <row r="443">
      <c r="A443" s="11">
        <v>431.0</v>
      </c>
      <c r="B443" s="11">
        <v>1.42126956521739E9</v>
      </c>
      <c r="C443" s="2">
        <v>-102.7287445</v>
      </c>
      <c r="D443" s="3">
        <f t="shared" si="1"/>
        <v>869565.2174</v>
      </c>
      <c r="E443" s="4">
        <f t="shared" si="2"/>
        <v>-184.5775226</v>
      </c>
      <c r="F443" s="3">
        <f t="shared" si="3"/>
        <v>0.0002122641509</v>
      </c>
      <c r="G443" s="3">
        <f t="shared" si="4"/>
        <v>0</v>
      </c>
      <c r="H443" s="2">
        <f t="shared" si="5"/>
        <v>0</v>
      </c>
      <c r="I443" s="3">
        <f t="shared" si="6"/>
        <v>0</v>
      </c>
      <c r="J443" s="3">
        <f t="shared" si="7"/>
        <v>0</v>
      </c>
      <c r="K443" s="3"/>
      <c r="L443" s="3">
        <f t="shared" si="8"/>
        <v>405.7249518</v>
      </c>
      <c r="M443" s="14">
        <f t="shared" si="9"/>
        <v>410.81328</v>
      </c>
      <c r="N443" s="14">
        <f t="shared" si="10"/>
        <v>-5.088328156</v>
      </c>
      <c r="O443" s="3"/>
      <c r="P443" s="3"/>
      <c r="Q443" s="3"/>
      <c r="R443" s="2"/>
      <c r="S443" s="14">
        <f t="shared" si="13"/>
        <v>-4.672592068</v>
      </c>
    </row>
    <row r="444">
      <c r="A444" s="11">
        <v>432.0</v>
      </c>
      <c r="B444" s="11">
        <v>1.42127391304347E9</v>
      </c>
      <c r="C444" s="2">
        <v>-102.6602554</v>
      </c>
      <c r="D444" s="3">
        <f t="shared" si="1"/>
        <v>873913.0435</v>
      </c>
      <c r="E444" s="4">
        <f t="shared" si="2"/>
        <v>-185.4958187</v>
      </c>
      <c r="F444" s="3">
        <f t="shared" si="3"/>
        <v>0.000212258897</v>
      </c>
      <c r="G444" s="3">
        <f t="shared" si="4"/>
        <v>0</v>
      </c>
      <c r="H444" s="2">
        <f t="shared" si="5"/>
        <v>0</v>
      </c>
      <c r="I444" s="3">
        <f t="shared" si="6"/>
        <v>0</v>
      </c>
      <c r="J444" s="3">
        <f t="shared" si="7"/>
        <v>0</v>
      </c>
      <c r="K444" s="3"/>
      <c r="L444" s="3">
        <f t="shared" si="8"/>
        <v>412.1740327</v>
      </c>
      <c r="M444" s="14">
        <f t="shared" si="9"/>
        <v>410.6675988</v>
      </c>
      <c r="N444" s="14">
        <f t="shared" si="10"/>
        <v>1.50643393</v>
      </c>
      <c r="O444" s="3"/>
      <c r="P444" s="3"/>
      <c r="Q444" s="3"/>
      <c r="R444" s="2"/>
      <c r="S444" s="14">
        <f t="shared" si="13"/>
        <v>1.383352452</v>
      </c>
    </row>
    <row r="445">
      <c r="A445" s="11">
        <v>433.0</v>
      </c>
      <c r="B445" s="11">
        <v>1.42127826086956E9</v>
      </c>
      <c r="C445" s="2">
        <v>-102.6672134</v>
      </c>
      <c r="D445" s="3">
        <f t="shared" si="1"/>
        <v>878260.8696</v>
      </c>
      <c r="E445" s="4">
        <f t="shared" si="2"/>
        <v>-186.4141148</v>
      </c>
      <c r="F445" s="3">
        <f t="shared" si="3"/>
        <v>0.0002122536951</v>
      </c>
      <c r="G445" s="3">
        <f t="shared" si="4"/>
        <v>0</v>
      </c>
      <c r="H445" s="2">
        <f t="shared" si="5"/>
        <v>0</v>
      </c>
      <c r="I445" s="3">
        <f t="shared" si="6"/>
        <v>0</v>
      </c>
      <c r="J445" s="3">
        <f t="shared" si="7"/>
        <v>0</v>
      </c>
      <c r="K445" s="3"/>
      <c r="L445" s="3">
        <f t="shared" si="8"/>
        <v>411.5142014</v>
      </c>
      <c r="M445" s="14">
        <f t="shared" si="9"/>
        <v>410.5214471</v>
      </c>
      <c r="N445" s="14">
        <f t="shared" si="10"/>
        <v>0.992754335</v>
      </c>
      <c r="O445" s="3"/>
      <c r="P445" s="3"/>
      <c r="Q445" s="3"/>
      <c r="R445" s="2"/>
      <c r="S445" s="14">
        <f t="shared" si="13"/>
        <v>0.9116424645</v>
      </c>
    </row>
    <row r="446">
      <c r="A446" s="11">
        <v>434.0</v>
      </c>
      <c r="B446" s="11">
        <v>1.42128260869565E9</v>
      </c>
      <c r="C446" s="2">
        <v>-102.6804657</v>
      </c>
      <c r="D446" s="3">
        <f t="shared" si="1"/>
        <v>882608.6957</v>
      </c>
      <c r="E446" s="4">
        <f t="shared" si="2"/>
        <v>-187.332411</v>
      </c>
      <c r="F446" s="3">
        <f t="shared" si="3"/>
        <v>0.0002122485444</v>
      </c>
      <c r="G446" s="3">
        <f t="shared" si="4"/>
        <v>0</v>
      </c>
      <c r="H446" s="2">
        <f t="shared" si="5"/>
        <v>0</v>
      </c>
      <c r="I446" s="3">
        <f t="shared" si="6"/>
        <v>0</v>
      </c>
      <c r="J446" s="3">
        <f t="shared" si="7"/>
        <v>0</v>
      </c>
      <c r="K446" s="3"/>
      <c r="L446" s="3">
        <f t="shared" si="8"/>
        <v>410.2603984</v>
      </c>
      <c r="M446" s="14">
        <f t="shared" si="9"/>
        <v>410.3748238</v>
      </c>
      <c r="N446" s="14">
        <f t="shared" si="10"/>
        <v>-0.1144254471</v>
      </c>
      <c r="O446" s="3"/>
      <c r="P446" s="3"/>
      <c r="Q446" s="3"/>
      <c r="R446" s="2"/>
      <c r="S446" s="14">
        <f t="shared" si="13"/>
        <v>-0.1050764456</v>
      </c>
    </row>
    <row r="447">
      <c r="A447" s="11">
        <v>435.0</v>
      </c>
      <c r="B447" s="11">
        <v>1.42128695652173E9</v>
      </c>
      <c r="C447" s="2">
        <v>-102.6637802</v>
      </c>
      <c r="D447" s="3">
        <f t="shared" si="1"/>
        <v>886956.5217</v>
      </c>
      <c r="E447" s="4">
        <f t="shared" si="2"/>
        <v>-188.2507071</v>
      </c>
      <c r="F447" s="3">
        <f t="shared" si="3"/>
        <v>0.0002122434443</v>
      </c>
      <c r="G447" s="3">
        <f t="shared" si="4"/>
        <v>0</v>
      </c>
      <c r="H447" s="2">
        <f t="shared" si="5"/>
        <v>0</v>
      </c>
      <c r="I447" s="3">
        <f t="shared" si="6"/>
        <v>0</v>
      </c>
      <c r="J447" s="3">
        <f t="shared" si="7"/>
        <v>0</v>
      </c>
      <c r="K447" s="3"/>
      <c r="L447" s="3">
        <f t="shared" si="8"/>
        <v>411.8396417</v>
      </c>
      <c r="M447" s="14">
        <f t="shared" si="9"/>
        <v>410.2277277</v>
      </c>
      <c r="N447" s="14">
        <f t="shared" si="10"/>
        <v>1.611914004</v>
      </c>
      <c r="O447" s="3"/>
      <c r="P447" s="3"/>
      <c r="Q447" s="3"/>
      <c r="R447" s="2"/>
      <c r="S447" s="14">
        <f t="shared" si="13"/>
        <v>1.480214396</v>
      </c>
    </row>
    <row r="448">
      <c r="A448" s="11">
        <v>436.0</v>
      </c>
      <c r="B448" s="11">
        <v>1.42129130434782E9</v>
      </c>
      <c r="C448" s="2">
        <v>-102.6270523</v>
      </c>
      <c r="D448" s="3">
        <f t="shared" si="1"/>
        <v>891304.3478</v>
      </c>
      <c r="E448" s="4">
        <f t="shared" si="2"/>
        <v>-189.1690032</v>
      </c>
      <c r="F448" s="3">
        <f t="shared" si="3"/>
        <v>0.0002122383939</v>
      </c>
      <c r="G448" s="3">
        <f t="shared" si="4"/>
        <v>0</v>
      </c>
      <c r="H448" s="2">
        <f t="shared" si="5"/>
        <v>0</v>
      </c>
      <c r="I448" s="3">
        <f t="shared" si="6"/>
        <v>0</v>
      </c>
      <c r="J448" s="3">
        <f t="shared" si="7"/>
        <v>0</v>
      </c>
      <c r="K448" s="3"/>
      <c r="L448" s="3">
        <f t="shared" si="8"/>
        <v>415.337302</v>
      </c>
      <c r="M448" s="14">
        <f t="shared" si="9"/>
        <v>410.0801575</v>
      </c>
      <c r="N448" s="14">
        <f t="shared" si="10"/>
        <v>5.257144408</v>
      </c>
      <c r="O448" s="3"/>
      <c r="P448" s="3"/>
      <c r="Q448" s="3"/>
      <c r="R448" s="2"/>
      <c r="S448" s="14">
        <f t="shared" si="13"/>
        <v>4.82761538</v>
      </c>
    </row>
    <row r="449">
      <c r="A449" s="11">
        <v>437.0</v>
      </c>
      <c r="B449" s="11">
        <v>1.42129565217391E9</v>
      </c>
      <c r="C449" s="2">
        <v>-102.6816254</v>
      </c>
      <c r="D449" s="3">
        <f t="shared" si="1"/>
        <v>895652.1739</v>
      </c>
      <c r="E449" s="4">
        <f t="shared" si="2"/>
        <v>-190.0872994</v>
      </c>
      <c r="F449" s="3">
        <f t="shared" si="3"/>
        <v>0.0002122333925</v>
      </c>
      <c r="G449" s="3">
        <f t="shared" si="4"/>
        <v>0</v>
      </c>
      <c r="H449" s="2">
        <f t="shared" si="5"/>
        <v>0</v>
      </c>
      <c r="I449" s="3">
        <f t="shared" si="6"/>
        <v>0</v>
      </c>
      <c r="J449" s="3">
        <f t="shared" si="7"/>
        <v>0</v>
      </c>
      <c r="K449" s="3"/>
      <c r="L449" s="3">
        <f t="shared" si="8"/>
        <v>410.1508608</v>
      </c>
      <c r="M449" s="14">
        <f t="shared" si="9"/>
        <v>409.9321122</v>
      </c>
      <c r="N449" s="14">
        <f t="shared" si="10"/>
        <v>0.218748659</v>
      </c>
      <c r="O449" s="3"/>
      <c r="P449" s="3"/>
      <c r="Q449" s="3"/>
      <c r="R449" s="2"/>
      <c r="S449" s="14">
        <f t="shared" si="13"/>
        <v>0.2008760471</v>
      </c>
    </row>
    <row r="450">
      <c r="A450" s="11">
        <v>438.0</v>
      </c>
      <c r="B450" s="11">
        <v>1.4213E9</v>
      </c>
      <c r="C450" s="2">
        <v>-102.657753</v>
      </c>
      <c r="D450" s="3">
        <f t="shared" si="1"/>
        <v>900000</v>
      </c>
      <c r="E450" s="4">
        <f t="shared" si="2"/>
        <v>-191.0055955</v>
      </c>
      <c r="F450" s="3">
        <f t="shared" si="3"/>
        <v>0.0002122284394</v>
      </c>
      <c r="G450" s="3">
        <f t="shared" si="4"/>
        <v>0</v>
      </c>
      <c r="H450" s="2">
        <f t="shared" si="5"/>
        <v>0</v>
      </c>
      <c r="I450" s="3">
        <f t="shared" si="6"/>
        <v>0</v>
      </c>
      <c r="J450" s="3">
        <f t="shared" si="7"/>
        <v>0</v>
      </c>
      <c r="K450" s="3"/>
      <c r="L450" s="3">
        <f t="shared" si="8"/>
        <v>412.4115953</v>
      </c>
      <c r="M450" s="14">
        <f t="shared" si="9"/>
        <v>409.7835903</v>
      </c>
      <c r="N450" s="14">
        <f t="shared" si="10"/>
        <v>2.628005002</v>
      </c>
      <c r="O450" s="3"/>
      <c r="P450" s="3"/>
      <c r="Q450" s="3"/>
      <c r="R450" s="2"/>
      <c r="S450" s="14">
        <f t="shared" si="13"/>
        <v>2.41328683</v>
      </c>
    </row>
    <row r="451">
      <c r="A451" s="11">
        <v>439.0</v>
      </c>
      <c r="B451" s="11">
        <v>1.42130434782608E9</v>
      </c>
      <c r="C451" s="2">
        <v>-102.6718063</v>
      </c>
      <c r="D451" s="3">
        <f t="shared" si="1"/>
        <v>904347.8261</v>
      </c>
      <c r="E451" s="4">
        <f t="shared" si="2"/>
        <v>-191.9238916</v>
      </c>
      <c r="F451" s="3">
        <f t="shared" si="3"/>
        <v>0.000212223534</v>
      </c>
      <c r="G451" s="3">
        <f t="shared" si="4"/>
        <v>0</v>
      </c>
      <c r="H451" s="2">
        <f t="shared" si="5"/>
        <v>0</v>
      </c>
      <c r="I451" s="3">
        <f t="shared" si="6"/>
        <v>0</v>
      </c>
      <c r="J451" s="3">
        <f t="shared" si="7"/>
        <v>0</v>
      </c>
      <c r="K451" s="3"/>
      <c r="L451" s="3">
        <f t="shared" si="8"/>
        <v>411.0792328</v>
      </c>
      <c r="M451" s="14">
        <f t="shared" si="9"/>
        <v>409.6345909</v>
      </c>
      <c r="N451" s="14">
        <f t="shared" si="10"/>
        <v>1.444641983</v>
      </c>
      <c r="O451" s="3"/>
      <c r="P451" s="3"/>
      <c r="Q451" s="3"/>
      <c r="R451" s="2"/>
      <c r="S451" s="14">
        <f t="shared" si="13"/>
        <v>1.326609146</v>
      </c>
    </row>
    <row r="452">
      <c r="A452" s="11">
        <v>440.0</v>
      </c>
      <c r="B452" s="11">
        <v>1.42130869565217E9</v>
      </c>
      <c r="C452" s="2">
        <v>-102.6564331</v>
      </c>
      <c r="D452" s="3">
        <f t="shared" si="1"/>
        <v>908695.6522</v>
      </c>
      <c r="E452" s="4">
        <f t="shared" si="2"/>
        <v>-192.8421877</v>
      </c>
      <c r="F452" s="3">
        <f t="shared" si="3"/>
        <v>0.0002122186755</v>
      </c>
      <c r="G452" s="3">
        <f t="shared" si="4"/>
        <v>0</v>
      </c>
      <c r="H452" s="2">
        <f t="shared" si="5"/>
        <v>0</v>
      </c>
      <c r="I452" s="3">
        <f t="shared" si="6"/>
        <v>0</v>
      </c>
      <c r="J452" s="3">
        <f t="shared" si="7"/>
        <v>0</v>
      </c>
      <c r="K452" s="3"/>
      <c r="L452" s="3">
        <f t="shared" si="8"/>
        <v>412.5369538</v>
      </c>
      <c r="M452" s="14">
        <f t="shared" si="9"/>
        <v>409.4851125</v>
      </c>
      <c r="N452" s="14">
        <f t="shared" si="10"/>
        <v>3.05184124</v>
      </c>
      <c r="O452" s="3"/>
      <c r="P452" s="3"/>
      <c r="Q452" s="3"/>
      <c r="R452" s="2"/>
      <c r="S452" s="14">
        <f t="shared" si="13"/>
        <v>2.802494002</v>
      </c>
    </row>
    <row r="453">
      <c r="A453" s="11">
        <v>441.0</v>
      </c>
      <c r="B453" s="11">
        <v>1.42131304347826E9</v>
      </c>
      <c r="C453" s="2">
        <v>-102.6556625</v>
      </c>
      <c r="D453" s="3">
        <f t="shared" si="1"/>
        <v>913043.4783</v>
      </c>
      <c r="E453" s="4">
        <f t="shared" si="2"/>
        <v>-193.7604839</v>
      </c>
      <c r="F453" s="3">
        <f t="shared" si="3"/>
        <v>0.0002122138633</v>
      </c>
      <c r="G453" s="3">
        <f t="shared" si="4"/>
        <v>0</v>
      </c>
      <c r="H453" s="2">
        <f t="shared" si="5"/>
        <v>0</v>
      </c>
      <c r="I453" s="3">
        <f t="shared" si="6"/>
        <v>0</v>
      </c>
      <c r="J453" s="3">
        <f t="shared" si="7"/>
        <v>0</v>
      </c>
      <c r="K453" s="3"/>
      <c r="L453" s="3">
        <f t="shared" si="8"/>
        <v>412.6101597</v>
      </c>
      <c r="M453" s="14">
        <f t="shared" si="9"/>
        <v>409.3351542</v>
      </c>
      <c r="N453" s="14">
        <f t="shared" si="10"/>
        <v>3.275005521</v>
      </c>
      <c r="O453" s="3"/>
      <c r="P453" s="3"/>
      <c r="Q453" s="3"/>
      <c r="R453" s="2"/>
      <c r="S453" s="14">
        <f t="shared" si="13"/>
        <v>3.007424905</v>
      </c>
    </row>
    <row r="454">
      <c r="A454" s="11">
        <v>442.0</v>
      </c>
      <c r="B454" s="11">
        <v>1.42131739130434E9</v>
      </c>
      <c r="C454" s="2">
        <v>-102.690712</v>
      </c>
      <c r="D454" s="3">
        <f t="shared" si="1"/>
        <v>917391.3043</v>
      </c>
      <c r="E454" s="4">
        <f t="shared" si="2"/>
        <v>-194.67878</v>
      </c>
      <c r="F454" s="3">
        <f t="shared" si="3"/>
        <v>0.0002122090967</v>
      </c>
      <c r="G454" s="3">
        <f t="shared" si="4"/>
        <v>0</v>
      </c>
      <c r="H454" s="2">
        <f t="shared" si="5"/>
        <v>0</v>
      </c>
      <c r="I454" s="3">
        <f t="shared" si="6"/>
        <v>0</v>
      </c>
      <c r="J454" s="3">
        <f t="shared" si="7"/>
        <v>0</v>
      </c>
      <c r="K454" s="3"/>
      <c r="L454" s="3">
        <f t="shared" si="8"/>
        <v>409.2936128</v>
      </c>
      <c r="M454" s="14">
        <f t="shared" si="9"/>
        <v>409.1847145</v>
      </c>
      <c r="N454" s="14">
        <f t="shared" si="10"/>
        <v>0.1088983172</v>
      </c>
      <c r="O454" s="3"/>
      <c r="P454" s="3"/>
      <c r="Q454" s="3"/>
      <c r="R454" s="2"/>
      <c r="S454" s="14">
        <f t="shared" si="13"/>
        <v>0.1000009036</v>
      </c>
    </row>
    <row r="455">
      <c r="A455" s="11">
        <v>443.0</v>
      </c>
      <c r="B455" s="11">
        <v>1.42132173913043E9</v>
      </c>
      <c r="C455" s="2">
        <v>-102.7219849</v>
      </c>
      <c r="D455" s="3">
        <f t="shared" si="1"/>
        <v>921739.1304</v>
      </c>
      <c r="E455" s="4">
        <f t="shared" si="2"/>
        <v>-195.5970761</v>
      </c>
      <c r="F455" s="3">
        <f t="shared" si="3"/>
        <v>0.0002122043751</v>
      </c>
      <c r="G455" s="3">
        <f t="shared" si="4"/>
        <v>0</v>
      </c>
      <c r="H455" s="2">
        <f t="shared" si="5"/>
        <v>0</v>
      </c>
      <c r="I455" s="3">
        <f t="shared" si="6"/>
        <v>0</v>
      </c>
      <c r="J455" s="3">
        <f t="shared" si="7"/>
        <v>0</v>
      </c>
      <c r="K455" s="3"/>
      <c r="L455" s="3">
        <f t="shared" si="8"/>
        <v>406.3569363</v>
      </c>
      <c r="M455" s="14">
        <f t="shared" si="9"/>
        <v>409.0337924</v>
      </c>
      <c r="N455" s="14">
        <f t="shared" si="10"/>
        <v>-2.676856052</v>
      </c>
      <c r="O455" s="3"/>
      <c r="P455" s="3"/>
      <c r="Q455" s="3"/>
      <c r="R455" s="2"/>
      <c r="S455" s="14">
        <f t="shared" si="13"/>
        <v>-2.458146555</v>
      </c>
    </row>
    <row r="456">
      <c r="A456" s="11">
        <v>444.0</v>
      </c>
      <c r="B456" s="11">
        <v>1.42132608695652E9</v>
      </c>
      <c r="C456" s="2">
        <v>-102.6999969</v>
      </c>
      <c r="D456" s="3">
        <f t="shared" si="1"/>
        <v>926086.9565</v>
      </c>
      <c r="E456" s="4">
        <f t="shared" si="2"/>
        <v>-196.5153723</v>
      </c>
      <c r="F456" s="3">
        <f t="shared" si="3"/>
        <v>0.0002121996978</v>
      </c>
      <c r="G456" s="3">
        <f t="shared" si="4"/>
        <v>0</v>
      </c>
      <c r="H456" s="2">
        <f t="shared" si="5"/>
        <v>0</v>
      </c>
      <c r="I456" s="3">
        <f t="shared" si="6"/>
        <v>0</v>
      </c>
      <c r="J456" s="3">
        <f t="shared" si="7"/>
        <v>0</v>
      </c>
      <c r="K456" s="3"/>
      <c r="L456" s="3">
        <f t="shared" si="8"/>
        <v>408.4195076</v>
      </c>
      <c r="M456" s="14">
        <f t="shared" si="9"/>
        <v>408.8823866</v>
      </c>
      <c r="N456" s="14">
        <f t="shared" si="10"/>
        <v>-0.4628790222</v>
      </c>
      <c r="O456" s="3"/>
      <c r="P456" s="3"/>
      <c r="Q456" s="3"/>
      <c r="R456" s="2"/>
      <c r="S456" s="14">
        <f t="shared" si="13"/>
        <v>-0.4250600161</v>
      </c>
    </row>
    <row r="457">
      <c r="A457" s="11">
        <v>445.0</v>
      </c>
      <c r="B457" s="11">
        <v>1.4213304347826E9</v>
      </c>
      <c r="C457" s="2">
        <v>-102.6893158</v>
      </c>
      <c r="D457" s="3">
        <f t="shared" si="1"/>
        <v>930434.7826</v>
      </c>
      <c r="E457" s="4">
        <f t="shared" si="2"/>
        <v>-197.4336684</v>
      </c>
      <c r="F457" s="3">
        <f t="shared" si="3"/>
        <v>0.0002121950642</v>
      </c>
      <c r="G457" s="3">
        <f t="shared" si="4"/>
        <v>0</v>
      </c>
      <c r="H457" s="2">
        <f t="shared" si="5"/>
        <v>0</v>
      </c>
      <c r="I457" s="3">
        <f t="shared" si="6"/>
        <v>0</v>
      </c>
      <c r="J457" s="3">
        <f t="shared" si="7"/>
        <v>0</v>
      </c>
      <c r="K457" s="3"/>
      <c r="L457" s="3">
        <f t="shared" si="8"/>
        <v>409.4252165</v>
      </c>
      <c r="M457" s="14">
        <f t="shared" si="9"/>
        <v>408.7304959</v>
      </c>
      <c r="N457" s="14">
        <f t="shared" si="10"/>
        <v>0.6947205869</v>
      </c>
      <c r="O457" s="3"/>
      <c r="P457" s="3"/>
      <c r="Q457" s="3"/>
      <c r="R457" s="2"/>
      <c r="S457" s="14">
        <f t="shared" si="13"/>
        <v>0.6379592283</v>
      </c>
    </row>
    <row r="458">
      <c r="A458" s="11">
        <v>446.0</v>
      </c>
      <c r="B458" s="11">
        <v>1.42133478260869E9</v>
      </c>
      <c r="C458" s="2">
        <v>-102.6895981</v>
      </c>
      <c r="D458" s="3">
        <f t="shared" si="1"/>
        <v>934782.6087</v>
      </c>
      <c r="E458" s="4">
        <f t="shared" si="2"/>
        <v>-198.3519645</v>
      </c>
      <c r="F458" s="3">
        <f t="shared" si="3"/>
        <v>0.0002121904737</v>
      </c>
      <c r="G458" s="3">
        <f t="shared" si="4"/>
        <v>0</v>
      </c>
      <c r="H458" s="2">
        <f t="shared" si="5"/>
        <v>0</v>
      </c>
      <c r="I458" s="3">
        <f t="shared" si="6"/>
        <v>0</v>
      </c>
      <c r="J458" s="3">
        <f t="shared" si="7"/>
        <v>0</v>
      </c>
      <c r="K458" s="3"/>
      <c r="L458" s="3">
        <f t="shared" si="8"/>
        <v>409.3986039</v>
      </c>
      <c r="M458" s="14">
        <f t="shared" si="9"/>
        <v>408.5781192</v>
      </c>
      <c r="N458" s="14">
        <f t="shared" si="10"/>
        <v>0.8204847543</v>
      </c>
      <c r="O458" s="3"/>
      <c r="P458" s="3"/>
      <c r="Q458" s="3"/>
      <c r="R458" s="2"/>
      <c r="S458" s="14">
        <f t="shared" si="13"/>
        <v>0.7534479769</v>
      </c>
    </row>
    <row r="459">
      <c r="A459" s="11">
        <v>447.0</v>
      </c>
      <c r="B459" s="11">
        <v>1.42133913043478E9</v>
      </c>
      <c r="C459" s="2">
        <v>-102.6461868</v>
      </c>
      <c r="D459" s="3">
        <f t="shared" si="1"/>
        <v>939130.4348</v>
      </c>
      <c r="E459" s="4">
        <f t="shared" si="2"/>
        <v>-199.2702607</v>
      </c>
      <c r="F459" s="3">
        <f t="shared" si="3"/>
        <v>0.0002121859257</v>
      </c>
      <c r="G459" s="3">
        <f t="shared" si="4"/>
        <v>0</v>
      </c>
      <c r="H459" s="2">
        <f t="shared" si="5"/>
        <v>0</v>
      </c>
      <c r="I459" s="3">
        <f t="shared" si="6"/>
        <v>0</v>
      </c>
      <c r="J459" s="3">
        <f t="shared" si="7"/>
        <v>0</v>
      </c>
      <c r="K459" s="3"/>
      <c r="L459" s="3">
        <f t="shared" si="8"/>
        <v>413.5114003</v>
      </c>
      <c r="M459" s="14">
        <f t="shared" si="9"/>
        <v>408.4252552</v>
      </c>
      <c r="N459" s="14">
        <f t="shared" si="10"/>
        <v>5.086145194</v>
      </c>
      <c r="O459" s="3"/>
      <c r="P459" s="3"/>
      <c r="Q459" s="3"/>
      <c r="R459" s="2"/>
      <c r="S459" s="14">
        <f t="shared" si="13"/>
        <v>4.670587451</v>
      </c>
    </row>
    <row r="460">
      <c r="A460" s="11">
        <v>448.0</v>
      </c>
      <c r="B460" s="11">
        <v>1.42134347826087E9</v>
      </c>
      <c r="C460" s="2">
        <v>-102.7478027</v>
      </c>
      <c r="D460" s="3">
        <f t="shared" si="1"/>
        <v>943478.2609</v>
      </c>
      <c r="E460" s="4">
        <f t="shared" si="2"/>
        <v>-200.1885568</v>
      </c>
      <c r="F460" s="3">
        <f t="shared" si="3"/>
        <v>0.0002121814197</v>
      </c>
      <c r="G460" s="3">
        <f t="shared" si="4"/>
        <v>0</v>
      </c>
      <c r="H460" s="2">
        <f t="shared" si="5"/>
        <v>0</v>
      </c>
      <c r="I460" s="3">
        <f t="shared" si="6"/>
        <v>0</v>
      </c>
      <c r="J460" s="3">
        <f t="shared" si="7"/>
        <v>0</v>
      </c>
      <c r="K460" s="3"/>
      <c r="L460" s="3">
        <f t="shared" si="8"/>
        <v>403.9484048</v>
      </c>
      <c r="M460" s="14">
        <f t="shared" si="9"/>
        <v>408.2719026</v>
      </c>
      <c r="N460" s="14">
        <f t="shared" si="10"/>
        <v>-4.323497866</v>
      </c>
      <c r="O460" s="3"/>
      <c r="P460" s="3"/>
      <c r="Q460" s="3"/>
      <c r="R460" s="2"/>
      <c r="S460" s="14">
        <f t="shared" si="13"/>
        <v>-3.970251371</v>
      </c>
    </row>
    <row r="461">
      <c r="A461" s="11">
        <v>449.0</v>
      </c>
      <c r="B461" s="11">
        <v>1.42134782608695E9</v>
      </c>
      <c r="C461" s="2">
        <v>-102.6908112</v>
      </c>
      <c r="D461" s="3">
        <f t="shared" si="1"/>
        <v>947826.087</v>
      </c>
      <c r="E461" s="4">
        <f t="shared" si="2"/>
        <v>-201.1068529</v>
      </c>
      <c r="F461" s="3">
        <f t="shared" si="3"/>
        <v>0.0002121769549</v>
      </c>
      <c r="G461" s="3">
        <f t="shared" si="4"/>
        <v>0</v>
      </c>
      <c r="H461" s="2">
        <f t="shared" si="5"/>
        <v>0</v>
      </c>
      <c r="I461" s="3">
        <f t="shared" si="6"/>
        <v>0</v>
      </c>
      <c r="J461" s="3">
        <f t="shared" si="7"/>
        <v>0</v>
      </c>
      <c r="K461" s="3"/>
      <c r="L461" s="3">
        <f t="shared" si="8"/>
        <v>409.284264</v>
      </c>
      <c r="M461" s="14">
        <f t="shared" si="9"/>
        <v>408.1180604</v>
      </c>
      <c r="N461" s="14">
        <f t="shared" si="10"/>
        <v>1.166203615</v>
      </c>
      <c r="O461" s="3"/>
      <c r="P461" s="3"/>
      <c r="Q461" s="3"/>
      <c r="R461" s="2"/>
      <c r="S461" s="14">
        <f t="shared" si="13"/>
        <v>1.07092027</v>
      </c>
    </row>
    <row r="462">
      <c r="A462" s="11">
        <v>450.0</v>
      </c>
      <c r="B462" s="11">
        <v>1.42135217391304E9</v>
      </c>
      <c r="C462" s="2">
        <v>-102.7420044</v>
      </c>
      <c r="D462" s="3">
        <f t="shared" si="1"/>
        <v>952173.913</v>
      </c>
      <c r="E462" s="4">
        <f t="shared" si="2"/>
        <v>-202.0251491</v>
      </c>
      <c r="F462" s="3">
        <f t="shared" si="3"/>
        <v>0.000212172531</v>
      </c>
      <c r="G462" s="3">
        <f t="shared" si="4"/>
        <v>0</v>
      </c>
      <c r="H462" s="2">
        <f t="shared" si="5"/>
        <v>0</v>
      </c>
      <c r="I462" s="3">
        <f t="shared" si="6"/>
        <v>0</v>
      </c>
      <c r="J462" s="3">
        <f t="shared" si="7"/>
        <v>0</v>
      </c>
      <c r="K462" s="3"/>
      <c r="L462" s="3">
        <f t="shared" si="8"/>
        <v>404.4880796</v>
      </c>
      <c r="M462" s="14">
        <f t="shared" si="9"/>
        <v>407.9637272</v>
      </c>
      <c r="N462" s="14">
        <f t="shared" si="10"/>
        <v>-3.475647597</v>
      </c>
      <c r="O462" s="3"/>
      <c r="P462" s="3"/>
      <c r="Q462" s="3"/>
      <c r="R462" s="2"/>
      <c r="S462" s="14">
        <f t="shared" si="13"/>
        <v>-3.19167374</v>
      </c>
    </row>
    <row r="463">
      <c r="A463" s="11">
        <v>451.0</v>
      </c>
      <c r="B463" s="11">
        <v>1.42135652173913E9</v>
      </c>
      <c r="C463" s="2">
        <v>-102.7099686</v>
      </c>
      <c r="D463" s="3">
        <f t="shared" si="1"/>
        <v>956521.7391</v>
      </c>
      <c r="E463" s="4">
        <f t="shared" si="2"/>
        <v>-202.9434452</v>
      </c>
      <c r="F463" s="3">
        <f t="shared" si="3"/>
        <v>0.0002121681473</v>
      </c>
      <c r="G463" s="3">
        <f t="shared" si="4"/>
        <v>0</v>
      </c>
      <c r="H463" s="2">
        <f t="shared" si="5"/>
        <v>0</v>
      </c>
      <c r="I463" s="3">
        <f t="shared" si="6"/>
        <v>0</v>
      </c>
      <c r="J463" s="3">
        <f t="shared" si="7"/>
        <v>0</v>
      </c>
      <c r="K463" s="3"/>
      <c r="L463" s="3">
        <f t="shared" si="8"/>
        <v>407.4828241</v>
      </c>
      <c r="M463" s="14">
        <f t="shared" si="9"/>
        <v>407.808902</v>
      </c>
      <c r="N463" s="14">
        <f t="shared" si="10"/>
        <v>-0.3260779273</v>
      </c>
      <c r="O463" s="3"/>
      <c r="P463" s="3"/>
      <c r="Q463" s="3"/>
      <c r="R463" s="2"/>
      <c r="S463" s="14">
        <f t="shared" si="13"/>
        <v>-0.2994360996</v>
      </c>
    </row>
    <row r="464">
      <c r="A464" s="11">
        <v>452.0</v>
      </c>
      <c r="B464" s="11">
        <v>1.42136086956521E9</v>
      </c>
      <c r="C464" s="2">
        <v>-102.7193298</v>
      </c>
      <c r="D464" s="3">
        <f t="shared" si="1"/>
        <v>960869.5652</v>
      </c>
      <c r="E464" s="4">
        <f t="shared" si="2"/>
        <v>-203.8617413</v>
      </c>
      <c r="F464" s="3">
        <f t="shared" si="3"/>
        <v>0.0002121638032</v>
      </c>
      <c r="G464" s="3">
        <f t="shared" si="4"/>
        <v>0</v>
      </c>
      <c r="H464" s="2">
        <f t="shared" si="5"/>
        <v>0</v>
      </c>
      <c r="I464" s="3">
        <f t="shared" si="6"/>
        <v>0</v>
      </c>
      <c r="J464" s="3">
        <f t="shared" si="7"/>
        <v>0</v>
      </c>
      <c r="K464" s="3"/>
      <c r="L464" s="3">
        <f t="shared" si="8"/>
        <v>406.6054424</v>
      </c>
      <c r="M464" s="14">
        <f t="shared" si="9"/>
        <v>407.6535834</v>
      </c>
      <c r="N464" s="14">
        <f t="shared" si="10"/>
        <v>-1.048141005</v>
      </c>
      <c r="O464" s="3"/>
      <c r="P464" s="3"/>
      <c r="Q464" s="3"/>
      <c r="R464" s="2"/>
      <c r="S464" s="14">
        <f t="shared" si="13"/>
        <v>-0.9625038319</v>
      </c>
    </row>
    <row r="465">
      <c r="A465" s="11">
        <v>453.0</v>
      </c>
      <c r="B465" s="11">
        <v>1.4213652173913E9</v>
      </c>
      <c r="C465" s="2">
        <v>-102.7075348</v>
      </c>
      <c r="D465" s="3">
        <f t="shared" si="1"/>
        <v>965217.3913</v>
      </c>
      <c r="E465" s="4">
        <f t="shared" si="2"/>
        <v>-204.7800375</v>
      </c>
      <c r="F465" s="3">
        <f t="shared" si="3"/>
        <v>0.0002121594983</v>
      </c>
      <c r="G465" s="3">
        <f t="shared" si="4"/>
        <v>0</v>
      </c>
      <c r="H465" s="2">
        <f t="shared" si="5"/>
        <v>0</v>
      </c>
      <c r="I465" s="3">
        <f t="shared" si="6"/>
        <v>0</v>
      </c>
      <c r="J465" s="3">
        <f t="shared" si="7"/>
        <v>0</v>
      </c>
      <c r="K465" s="3"/>
      <c r="L465" s="3">
        <f t="shared" si="8"/>
        <v>407.7112427</v>
      </c>
      <c r="M465" s="14">
        <f t="shared" si="9"/>
        <v>407.4977703</v>
      </c>
      <c r="N465" s="14">
        <f t="shared" si="10"/>
        <v>0.2134723845</v>
      </c>
      <c r="O465" s="3"/>
      <c r="P465" s="3"/>
      <c r="Q465" s="3"/>
      <c r="R465" s="2"/>
      <c r="S465" s="14">
        <f t="shared" si="13"/>
        <v>0.1960308647</v>
      </c>
    </row>
    <row r="466">
      <c r="A466" s="11">
        <v>454.0</v>
      </c>
      <c r="B466" s="11">
        <v>1.42136956521739E9</v>
      </c>
      <c r="C466" s="2">
        <v>-102.7366028</v>
      </c>
      <c r="D466" s="3">
        <f t="shared" si="1"/>
        <v>969565.2174</v>
      </c>
      <c r="E466" s="4">
        <f t="shared" si="2"/>
        <v>-205.6983336</v>
      </c>
      <c r="F466" s="3">
        <f t="shared" si="3"/>
        <v>0.000212155232</v>
      </c>
      <c r="G466" s="3">
        <f t="shared" si="4"/>
        <v>0</v>
      </c>
      <c r="H466" s="2">
        <f t="shared" si="5"/>
        <v>0</v>
      </c>
      <c r="I466" s="3">
        <f t="shared" si="6"/>
        <v>0</v>
      </c>
      <c r="J466" s="3">
        <f t="shared" si="7"/>
        <v>0</v>
      </c>
      <c r="K466" s="3"/>
      <c r="L466" s="3">
        <f t="shared" si="8"/>
        <v>404.9914805</v>
      </c>
      <c r="M466" s="14">
        <f t="shared" si="9"/>
        <v>407.3414615</v>
      </c>
      <c r="N466" s="14">
        <f t="shared" si="10"/>
        <v>-2.349981033</v>
      </c>
      <c r="O466" s="3"/>
      <c r="P466" s="3"/>
      <c r="Q466" s="3"/>
      <c r="R466" s="2"/>
      <c r="S466" s="14">
        <f t="shared" si="13"/>
        <v>-2.157978495</v>
      </c>
    </row>
    <row r="467">
      <c r="A467" s="11">
        <v>455.0</v>
      </c>
      <c r="B467" s="11">
        <v>1.42137391304347E9</v>
      </c>
      <c r="C467" s="2">
        <v>-102.7252808</v>
      </c>
      <c r="D467" s="3">
        <f t="shared" si="1"/>
        <v>973913.0435</v>
      </c>
      <c r="E467" s="4">
        <f t="shared" si="2"/>
        <v>-206.6166297</v>
      </c>
      <c r="F467" s="3">
        <f t="shared" si="3"/>
        <v>0.0002121510037</v>
      </c>
      <c r="G467" s="3">
        <f t="shared" si="4"/>
        <v>0</v>
      </c>
      <c r="H467" s="2">
        <f t="shared" si="5"/>
        <v>0</v>
      </c>
      <c r="I467" s="3">
        <f t="shared" si="6"/>
        <v>0</v>
      </c>
      <c r="J467" s="3">
        <f t="shared" si="7"/>
        <v>0</v>
      </c>
      <c r="K467" s="3"/>
      <c r="L467" s="3">
        <f t="shared" si="8"/>
        <v>406.0486654</v>
      </c>
      <c r="M467" s="14">
        <f t="shared" si="9"/>
        <v>407.1846558</v>
      </c>
      <c r="N467" s="14">
        <f t="shared" si="10"/>
        <v>-1.135990394</v>
      </c>
      <c r="O467" s="3"/>
      <c r="P467" s="3"/>
      <c r="Q467" s="3"/>
      <c r="R467" s="2"/>
      <c r="S467" s="14">
        <f t="shared" si="13"/>
        <v>-1.043175585</v>
      </c>
    </row>
    <row r="468">
      <c r="A468" s="11">
        <v>456.0</v>
      </c>
      <c r="B468" s="11">
        <v>1.42137826086956E9</v>
      </c>
      <c r="C468" s="2">
        <v>-102.7125549</v>
      </c>
      <c r="D468" s="3">
        <f t="shared" si="1"/>
        <v>978260.8696</v>
      </c>
      <c r="E468" s="4">
        <f t="shared" si="2"/>
        <v>-207.5349259</v>
      </c>
      <c r="F468" s="3">
        <f t="shared" si="3"/>
        <v>0.0002121468131</v>
      </c>
      <c r="G468" s="3">
        <f t="shared" si="4"/>
        <v>0</v>
      </c>
      <c r="H468" s="2">
        <f t="shared" si="5"/>
        <v>0</v>
      </c>
      <c r="I468" s="3">
        <f t="shared" si="6"/>
        <v>0</v>
      </c>
      <c r="J468" s="3">
        <f t="shared" si="7"/>
        <v>0</v>
      </c>
      <c r="K468" s="3"/>
      <c r="L468" s="3">
        <f t="shared" si="8"/>
        <v>407.2402331</v>
      </c>
      <c r="M468" s="14">
        <f t="shared" si="9"/>
        <v>407.0273519</v>
      </c>
      <c r="N468" s="14">
        <f t="shared" si="10"/>
        <v>0.2128812153</v>
      </c>
      <c r="O468" s="3"/>
      <c r="P468" s="3"/>
      <c r="Q468" s="3"/>
      <c r="R468" s="2"/>
      <c r="S468" s="14">
        <f t="shared" si="13"/>
        <v>0.1954879963</v>
      </c>
    </row>
    <row r="469">
      <c r="A469" s="11">
        <v>457.0</v>
      </c>
      <c r="B469" s="11">
        <v>1.42138260869565E9</v>
      </c>
      <c r="C469" s="2">
        <v>-102.7266846</v>
      </c>
      <c r="D469" s="3">
        <f t="shared" si="1"/>
        <v>982608.6957</v>
      </c>
      <c r="E469" s="4">
        <f t="shared" si="2"/>
        <v>-208.453222</v>
      </c>
      <c r="F469" s="3">
        <f t="shared" si="3"/>
        <v>0.0002121426596</v>
      </c>
      <c r="G469" s="3">
        <f t="shared" si="4"/>
        <v>0</v>
      </c>
      <c r="H469" s="2">
        <f t="shared" si="5"/>
        <v>0</v>
      </c>
      <c r="I469" s="3">
        <f t="shared" si="6"/>
        <v>0</v>
      </c>
      <c r="J469" s="3">
        <f t="shared" si="7"/>
        <v>0</v>
      </c>
      <c r="K469" s="3"/>
      <c r="L469" s="3">
        <f t="shared" si="8"/>
        <v>405.9174367</v>
      </c>
      <c r="M469" s="14">
        <f t="shared" si="9"/>
        <v>406.8695487</v>
      </c>
      <c r="N469" s="14">
        <f t="shared" si="10"/>
        <v>-0.9521119919</v>
      </c>
      <c r="O469" s="3"/>
      <c r="P469" s="3"/>
      <c r="Q469" s="3"/>
      <c r="R469" s="2"/>
      <c r="S469" s="14">
        <f t="shared" si="13"/>
        <v>-0.8743207601</v>
      </c>
    </row>
    <row r="470">
      <c r="A470" s="11">
        <v>458.0</v>
      </c>
      <c r="B470" s="11">
        <v>1.42138695652173E9</v>
      </c>
      <c r="C470" s="2">
        <v>-102.6772766</v>
      </c>
      <c r="D470" s="3">
        <f t="shared" si="1"/>
        <v>986956.5217</v>
      </c>
      <c r="E470" s="4">
        <f t="shared" si="2"/>
        <v>-209.3715181</v>
      </c>
      <c r="F470" s="3">
        <f t="shared" si="3"/>
        <v>0.0002121385426</v>
      </c>
      <c r="G470" s="3">
        <f t="shared" si="4"/>
        <v>0</v>
      </c>
      <c r="H470" s="2">
        <f t="shared" si="5"/>
        <v>0</v>
      </c>
      <c r="I470" s="3">
        <f t="shared" si="6"/>
        <v>0</v>
      </c>
      <c r="J470" s="3">
        <f t="shared" si="7"/>
        <v>0</v>
      </c>
      <c r="K470" s="3"/>
      <c r="L470" s="3">
        <f t="shared" si="8"/>
        <v>410.5617703</v>
      </c>
      <c r="M470" s="14">
        <f t="shared" si="9"/>
        <v>406.7112449</v>
      </c>
      <c r="N470" s="14">
        <f t="shared" si="10"/>
        <v>3.850525432</v>
      </c>
      <c r="O470" s="3"/>
      <c r="P470" s="3"/>
      <c r="Q470" s="3"/>
      <c r="R470" s="2"/>
      <c r="S470" s="14">
        <f t="shared" si="13"/>
        <v>3.535922613</v>
      </c>
    </row>
    <row r="471">
      <c r="A471" s="11">
        <v>459.0</v>
      </c>
      <c r="B471" s="11">
        <v>1.42139130434782E9</v>
      </c>
      <c r="C471" s="2">
        <v>-102.711319</v>
      </c>
      <c r="D471" s="3">
        <f t="shared" si="1"/>
        <v>991304.3478</v>
      </c>
      <c r="E471" s="4">
        <f t="shared" si="2"/>
        <v>-210.2898143</v>
      </c>
      <c r="F471" s="3">
        <f t="shared" si="3"/>
        <v>0.0002121344618</v>
      </c>
      <c r="G471" s="3">
        <f t="shared" si="4"/>
        <v>0</v>
      </c>
      <c r="H471" s="2">
        <f t="shared" si="5"/>
        <v>0</v>
      </c>
      <c r="I471" s="3">
        <f t="shared" si="6"/>
        <v>0</v>
      </c>
      <c r="J471" s="3">
        <f t="shared" si="7"/>
        <v>0</v>
      </c>
      <c r="K471" s="3"/>
      <c r="L471" s="3">
        <f t="shared" si="8"/>
        <v>407.3561406</v>
      </c>
      <c r="M471" s="14">
        <f t="shared" si="9"/>
        <v>406.5524394</v>
      </c>
      <c r="N471" s="14">
        <f t="shared" si="10"/>
        <v>0.8037012144</v>
      </c>
      <c r="O471" s="3"/>
      <c r="P471" s="3"/>
      <c r="Q471" s="3"/>
      <c r="R471" s="2"/>
      <c r="S471" s="14">
        <f t="shared" si="13"/>
        <v>0.7380357171</v>
      </c>
    </row>
    <row r="472">
      <c r="A472" s="11">
        <v>460.0</v>
      </c>
      <c r="B472" s="11">
        <v>1.42139565217391E9</v>
      </c>
      <c r="C472" s="2">
        <v>-102.7435913</v>
      </c>
      <c r="D472" s="3">
        <f t="shared" si="1"/>
        <v>995652.1739</v>
      </c>
      <c r="E472" s="4">
        <f t="shared" si="2"/>
        <v>-211.2081104</v>
      </c>
      <c r="F472" s="3">
        <f t="shared" si="3"/>
        <v>0.0002121304166</v>
      </c>
      <c r="G472" s="3">
        <f t="shared" si="4"/>
        <v>0</v>
      </c>
      <c r="H472" s="2">
        <f t="shared" si="5"/>
        <v>0</v>
      </c>
      <c r="I472" s="3">
        <f t="shared" si="6"/>
        <v>0</v>
      </c>
      <c r="J472" s="3">
        <f t="shared" si="7"/>
        <v>0</v>
      </c>
      <c r="K472" s="3"/>
      <c r="L472" s="3">
        <f t="shared" si="8"/>
        <v>404.3403078</v>
      </c>
      <c r="M472" s="14">
        <f t="shared" si="9"/>
        <v>406.3931309</v>
      </c>
      <c r="N472" s="14">
        <f t="shared" si="10"/>
        <v>-2.052823094</v>
      </c>
      <c r="O472" s="3"/>
      <c r="P472" s="3"/>
      <c r="Q472" s="3"/>
      <c r="R472" s="2"/>
      <c r="S472" s="14">
        <f t="shared" si="13"/>
        <v>-1.625609277</v>
      </c>
    </row>
    <row r="473">
      <c r="A473" s="11">
        <v>461.0</v>
      </c>
      <c r="B473" s="11">
        <v>1.4214E9</v>
      </c>
      <c r="C473" s="2">
        <v>-102.6993637</v>
      </c>
      <c r="D473" s="3">
        <f t="shared" si="1"/>
        <v>1000000</v>
      </c>
      <c r="E473" s="29">
        <f>-0.000212*D473</f>
        <v>-212</v>
      </c>
      <c r="F473" s="3">
        <f t="shared" si="3"/>
        <v>0.000212</v>
      </c>
      <c r="G473" s="3">
        <f t="shared" si="4"/>
        <v>0</v>
      </c>
      <c r="H473" s="2">
        <f t="shared" si="5"/>
        <v>0</v>
      </c>
      <c r="I473" s="3">
        <f t="shared" si="6"/>
        <v>0</v>
      </c>
      <c r="J473" s="3">
        <f t="shared" si="7"/>
        <v>0</v>
      </c>
      <c r="K473" s="3"/>
      <c r="L473" s="3">
        <f t="shared" si="8"/>
        <v>408.4790594</v>
      </c>
      <c r="M473" s="14">
        <f t="shared" si="9"/>
        <v>406.255347</v>
      </c>
      <c r="N473" s="14">
        <f t="shared" si="10"/>
        <v>2.223712381</v>
      </c>
      <c r="O473" s="3"/>
      <c r="P473" s="3"/>
      <c r="Q473" s="3"/>
      <c r="R473" s="2"/>
      <c r="S473" s="14"/>
    </row>
    <row r="474">
      <c r="A474" s="11" t="s">
        <v>40</v>
      </c>
      <c r="D474" s="3"/>
      <c r="E474" s="4"/>
      <c r="F474" s="3"/>
      <c r="G474" s="3"/>
      <c r="H474" s="3"/>
      <c r="I474" s="3"/>
      <c r="J474" s="3"/>
      <c r="K474" s="3"/>
      <c r="L474" s="3"/>
      <c r="M474" s="5"/>
      <c r="N474" s="3"/>
      <c r="O474" s="3"/>
      <c r="P474" s="3"/>
      <c r="Q474" s="3"/>
      <c r="R474" s="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0</v>
      </c>
      <c r="B1" s="11" t="s">
        <v>1</v>
      </c>
    </row>
    <row r="2">
      <c r="A2" s="11" t="s">
        <v>2</v>
      </c>
      <c r="B2" s="11" t="s">
        <v>3</v>
      </c>
    </row>
    <row r="3">
      <c r="A3" s="11" t="s">
        <v>5</v>
      </c>
      <c r="B3" s="11" t="s">
        <v>6</v>
      </c>
    </row>
    <row r="4">
      <c r="A4" s="11" t="s">
        <v>7</v>
      </c>
      <c r="B4" s="11">
        <v>1.4204E9</v>
      </c>
      <c r="C4" s="11" t="s">
        <v>8</v>
      </c>
    </row>
    <row r="5">
      <c r="A5" s="11" t="s">
        <v>9</v>
      </c>
      <c r="B5" s="11">
        <v>2000000.0</v>
      </c>
      <c r="C5" s="11" t="s">
        <v>8</v>
      </c>
    </row>
    <row r="6">
      <c r="A6" s="11" t="s">
        <v>10</v>
      </c>
      <c r="B6" s="11">
        <v>30000.0</v>
      </c>
      <c r="C6" s="11" t="s">
        <v>8</v>
      </c>
    </row>
    <row r="7">
      <c r="A7" s="11" t="s">
        <v>11</v>
      </c>
      <c r="B7" s="11">
        <v>30000.0</v>
      </c>
      <c r="C7" s="11" t="s">
        <v>8</v>
      </c>
    </row>
    <row r="8">
      <c r="A8" s="11" t="s">
        <v>12</v>
      </c>
      <c r="B8" s="11">
        <v>-97.0</v>
      </c>
      <c r="C8" s="11" t="s">
        <v>13</v>
      </c>
    </row>
    <row r="9">
      <c r="A9" s="11" t="s">
        <v>14</v>
      </c>
      <c r="B9" s="11">
        <v>1.0</v>
      </c>
      <c r="C9" s="11" t="s">
        <v>15</v>
      </c>
    </row>
    <row r="10">
      <c r="A10" s="11" t="s">
        <v>16</v>
      </c>
      <c r="B10" s="11">
        <v>461.0</v>
      </c>
    </row>
    <row r="11">
      <c r="A11" s="11" t="s">
        <v>17</v>
      </c>
      <c r="B11" s="11" t="s">
        <v>8</v>
      </c>
      <c r="C11" s="11" t="s">
        <v>13</v>
      </c>
      <c r="D11" s="2" t="s">
        <v>18</v>
      </c>
      <c r="E11" s="1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26</v>
      </c>
      <c r="M11" s="6" t="s">
        <v>27</v>
      </c>
      <c r="N11" s="2" t="s">
        <v>28</v>
      </c>
      <c r="O11" s="3"/>
      <c r="P11" s="2" t="s">
        <v>29</v>
      </c>
      <c r="Q11" s="2" t="s">
        <v>30</v>
      </c>
      <c r="R11" s="2"/>
      <c r="S11" s="2" t="s">
        <v>31</v>
      </c>
      <c r="V11" s="13" t="s">
        <v>32</v>
      </c>
    </row>
    <row r="12">
      <c r="A12" s="11" t="s">
        <v>33</v>
      </c>
      <c r="B12" s="11" t="s">
        <v>34</v>
      </c>
      <c r="C12" s="11" t="s">
        <v>35</v>
      </c>
      <c r="D12" s="3"/>
      <c r="E12" s="4"/>
      <c r="F12" s="3"/>
      <c r="G12" s="2" t="s">
        <v>36</v>
      </c>
      <c r="H12" s="2" t="s">
        <v>37</v>
      </c>
      <c r="I12" s="3"/>
      <c r="J12" s="3"/>
      <c r="K12" s="3"/>
      <c r="L12" s="3"/>
      <c r="M12" s="5"/>
      <c r="N12" s="3"/>
      <c r="O12" s="3"/>
      <c r="P12" s="3"/>
      <c r="Q12" s="3"/>
      <c r="R12" s="3"/>
      <c r="S12" s="3"/>
    </row>
    <row r="13">
      <c r="A13" s="11">
        <v>1.0</v>
      </c>
      <c r="B13" s="11">
        <v>1.4194E9</v>
      </c>
      <c r="C13" s="2">
        <v>-102.3394775</v>
      </c>
      <c r="D13" s="3">
        <f t="shared" ref="D13:D473" si="1">B13-$B$4</f>
        <v>-1000000</v>
      </c>
      <c r="E13" s="4">
        <f t="shared" ref="E13:E472" si="2">-((B14-$B$4)/$B$4)*(3*10^5)</f>
        <v>210.2898143</v>
      </c>
      <c r="F13" s="3">
        <f t="shared" ref="F13:F473" si="3">-E13/D13</f>
        <v>0.0002102898143</v>
      </c>
      <c r="G13" s="3">
        <f t="shared" ref="G13:G473" si="4">(10^(C13/10))/1000</f>
        <v>0</v>
      </c>
      <c r="H13" s="2">
        <f t="shared" ref="H13:H473" si="5">G13/30000</f>
        <v>0</v>
      </c>
      <c r="I13" s="3">
        <f t="shared" ref="I13:I473" si="6">0.0063*H13</f>
        <v>0</v>
      </c>
      <c r="J13" s="3">
        <f t="shared" ref="J13:J473" si="7">(1/F13^2)*I13</f>
        <v>0</v>
      </c>
      <c r="K13" s="22">
        <f>1.38064852E-23</f>
        <v>0</v>
      </c>
      <c r="L13" s="3">
        <f t="shared" ref="L13:L473" si="8">(1/(2*$K$13))*(I13)</f>
        <v>443.7704883</v>
      </c>
      <c r="M13" s="14">
        <f t="shared" ref="M13:M473" si="9"> 0.0000005121*E13^3 - 0.0000786038*E13^2 + 0.0711345686*E13 + 428.1775267151
</f>
        <v>444.4226203</v>
      </c>
      <c r="N13" s="14">
        <f t="shared" ref="N13:N473" si="10">L13-(M13)</f>
        <v>-0.652131958</v>
      </c>
      <c r="O13" s="3"/>
      <c r="P13" s="23">
        <f t="shared" ref="P13:P67" si="11">-((B14-$B$4)/$B$4)*(3*10^5)</f>
        <v>210.2898143</v>
      </c>
      <c r="Q13" s="14">
        <f t="shared" ref="Q13:Q67" si="12">(1/(2*$K$13))*(I13)</f>
        <v>443.7704883</v>
      </c>
      <c r="R13" s="2"/>
      <c r="S13" s="14">
        <f t="shared" ref="S13:S472" si="13">(N13 * ABS(E14-E13))</f>
        <v>-0.5988502551</v>
      </c>
      <c r="V13" s="3">
        <f>1822400000000000000 * SUM(S13:S473)</f>
        <v>2.92404E+22</v>
      </c>
    </row>
    <row r="14">
      <c r="A14" s="11">
        <v>2.0</v>
      </c>
      <c r="B14" s="11">
        <v>1.41940434782608E9</v>
      </c>
      <c r="C14" s="2">
        <v>-102.3201065</v>
      </c>
      <c r="D14" s="3">
        <f t="shared" si="1"/>
        <v>-995652.1739</v>
      </c>
      <c r="E14" s="4">
        <f t="shared" si="2"/>
        <v>209.3715181</v>
      </c>
      <c r="F14" s="3">
        <f t="shared" si="3"/>
        <v>0.0002102858042</v>
      </c>
      <c r="G14" s="3">
        <f t="shared" si="4"/>
        <v>0</v>
      </c>
      <c r="H14" s="2">
        <f t="shared" si="5"/>
        <v>0</v>
      </c>
      <c r="I14" s="3">
        <f t="shared" si="6"/>
        <v>0</v>
      </c>
      <c r="J14" s="3">
        <f t="shared" si="7"/>
        <v>0</v>
      </c>
      <c r="K14" s="3"/>
      <c r="L14" s="3">
        <f t="shared" si="8"/>
        <v>445.7542754</v>
      </c>
      <c r="M14" s="14">
        <f t="shared" si="9"/>
        <v>444.3254744</v>
      </c>
      <c r="N14" s="14">
        <f t="shared" si="10"/>
        <v>1.428801038</v>
      </c>
      <c r="O14" s="3"/>
      <c r="P14" s="23">
        <f t="shared" si="11"/>
        <v>209.3715181</v>
      </c>
      <c r="Q14" s="14">
        <f t="shared" si="12"/>
        <v>445.7542754</v>
      </c>
      <c r="R14" s="2"/>
      <c r="S14" s="14">
        <f t="shared" si="13"/>
        <v>1.312062468</v>
      </c>
    </row>
    <row r="15">
      <c r="A15" s="11">
        <v>3.0</v>
      </c>
      <c r="B15" s="11">
        <v>1.41940869565217E9</v>
      </c>
      <c r="C15" s="2">
        <v>-102.3449554</v>
      </c>
      <c r="D15" s="3">
        <f t="shared" si="1"/>
        <v>-991304.3478</v>
      </c>
      <c r="E15" s="4">
        <f t="shared" si="2"/>
        <v>208.453222</v>
      </c>
      <c r="F15" s="3">
        <f t="shared" si="3"/>
        <v>0.000210281759</v>
      </c>
      <c r="G15" s="3">
        <f t="shared" si="4"/>
        <v>0</v>
      </c>
      <c r="H15" s="2">
        <f t="shared" si="5"/>
        <v>0</v>
      </c>
      <c r="I15" s="3">
        <f t="shared" si="6"/>
        <v>0</v>
      </c>
      <c r="J15" s="3">
        <f t="shared" si="7"/>
        <v>0</v>
      </c>
      <c r="K15" s="3"/>
      <c r="L15" s="3">
        <f t="shared" si="8"/>
        <v>443.2110988</v>
      </c>
      <c r="M15" s="14">
        <f t="shared" si="9"/>
        <v>444.2287384</v>
      </c>
      <c r="N15" s="14">
        <f t="shared" si="10"/>
        <v>-1.01763958</v>
      </c>
      <c r="O15" s="3"/>
      <c r="P15" s="23">
        <f t="shared" si="11"/>
        <v>208.453222</v>
      </c>
      <c r="Q15" s="14">
        <f t="shared" si="12"/>
        <v>443.2110988</v>
      </c>
      <c r="R15" s="2"/>
      <c r="S15" s="14">
        <f t="shared" si="13"/>
        <v>-0.934494489</v>
      </c>
    </row>
    <row r="16">
      <c r="A16" s="11">
        <v>4.0</v>
      </c>
      <c r="B16" s="11">
        <v>1.41941304347826E9</v>
      </c>
      <c r="C16" s="2">
        <v>-102.3071518</v>
      </c>
      <c r="D16" s="3">
        <f t="shared" si="1"/>
        <v>-986956.5217</v>
      </c>
      <c r="E16" s="4">
        <f t="shared" si="2"/>
        <v>207.5349259</v>
      </c>
      <c r="F16" s="3">
        <f t="shared" si="3"/>
        <v>0.0002102776782</v>
      </c>
      <c r="G16" s="3">
        <f t="shared" si="4"/>
        <v>0</v>
      </c>
      <c r="H16" s="2">
        <f t="shared" si="5"/>
        <v>0</v>
      </c>
      <c r="I16" s="3">
        <f t="shared" si="6"/>
        <v>0</v>
      </c>
      <c r="J16" s="3">
        <f t="shared" si="7"/>
        <v>0</v>
      </c>
      <c r="K16" s="3"/>
      <c r="L16" s="3">
        <f t="shared" si="8"/>
        <v>447.0859143</v>
      </c>
      <c r="M16" s="14">
        <f t="shared" si="9"/>
        <v>444.1324099</v>
      </c>
      <c r="N16" s="14">
        <f t="shared" si="10"/>
        <v>2.953504362</v>
      </c>
      <c r="O16" s="3"/>
      <c r="P16" s="23">
        <f t="shared" si="11"/>
        <v>207.5349259</v>
      </c>
      <c r="Q16" s="14">
        <f t="shared" si="12"/>
        <v>447.0859143</v>
      </c>
      <c r="R16" s="2"/>
      <c r="S16" s="14">
        <f t="shared" si="13"/>
        <v>2.712191634</v>
      </c>
    </row>
    <row r="17">
      <c r="A17" s="11">
        <v>5.0</v>
      </c>
      <c r="B17" s="11">
        <v>1.41941739130434E9</v>
      </c>
      <c r="C17" s="2">
        <v>-102.356102</v>
      </c>
      <c r="D17" s="3">
        <f t="shared" si="1"/>
        <v>-982608.6957</v>
      </c>
      <c r="E17" s="4">
        <f t="shared" si="2"/>
        <v>206.6166297</v>
      </c>
      <c r="F17" s="3">
        <f t="shared" si="3"/>
        <v>0.0002102735612</v>
      </c>
      <c r="G17" s="3">
        <f t="shared" si="4"/>
        <v>0</v>
      </c>
      <c r="H17" s="2">
        <f t="shared" si="5"/>
        <v>0</v>
      </c>
      <c r="I17" s="3">
        <f t="shared" si="6"/>
        <v>0</v>
      </c>
      <c r="J17" s="3">
        <f t="shared" si="7"/>
        <v>0</v>
      </c>
      <c r="K17" s="3"/>
      <c r="L17" s="3">
        <f t="shared" si="8"/>
        <v>442.075012</v>
      </c>
      <c r="M17" s="14">
        <f t="shared" si="9"/>
        <v>444.0364866</v>
      </c>
      <c r="N17" s="14">
        <f t="shared" si="10"/>
        <v>-1.961474643</v>
      </c>
      <c r="O17" s="3"/>
      <c r="P17" s="23">
        <f t="shared" si="11"/>
        <v>206.6166297</v>
      </c>
      <c r="Q17" s="14">
        <f t="shared" si="12"/>
        <v>442.075012</v>
      </c>
      <c r="R17" s="2"/>
      <c r="S17" s="14">
        <f t="shared" si="13"/>
        <v>-1.801214579</v>
      </c>
    </row>
    <row r="18">
      <c r="A18" s="11">
        <v>6.0</v>
      </c>
      <c r="B18" s="11">
        <v>1.41942173913043E9</v>
      </c>
      <c r="C18" s="2">
        <v>-102.3471832</v>
      </c>
      <c r="D18" s="3">
        <f t="shared" si="1"/>
        <v>-978260.8696</v>
      </c>
      <c r="E18" s="4">
        <f t="shared" si="2"/>
        <v>205.6983336</v>
      </c>
      <c r="F18" s="3">
        <f t="shared" si="3"/>
        <v>0.0002102694077</v>
      </c>
      <c r="G18" s="3">
        <f t="shared" si="4"/>
        <v>0</v>
      </c>
      <c r="H18" s="2">
        <f t="shared" si="5"/>
        <v>0</v>
      </c>
      <c r="I18" s="3">
        <f t="shared" si="6"/>
        <v>0</v>
      </c>
      <c r="J18" s="3">
        <f t="shared" si="7"/>
        <v>0</v>
      </c>
      <c r="K18" s="3"/>
      <c r="L18" s="3">
        <f t="shared" si="8"/>
        <v>442.9838032</v>
      </c>
      <c r="M18" s="14">
        <f t="shared" si="9"/>
        <v>443.9409661</v>
      </c>
      <c r="N18" s="14">
        <f t="shared" si="10"/>
        <v>-0.9571629567</v>
      </c>
      <c r="O18" s="3"/>
      <c r="P18" s="23">
        <f t="shared" si="11"/>
        <v>205.6983336</v>
      </c>
      <c r="Q18" s="14">
        <f t="shared" si="12"/>
        <v>442.9838032</v>
      </c>
      <c r="R18" s="2"/>
      <c r="S18" s="14">
        <f t="shared" si="13"/>
        <v>-0.8789590395</v>
      </c>
    </row>
    <row r="19">
      <c r="A19" s="11">
        <v>7.0</v>
      </c>
      <c r="B19" s="11">
        <v>1.41942608695652E9</v>
      </c>
      <c r="C19" s="2">
        <v>-102.3529663</v>
      </c>
      <c r="D19" s="3">
        <f t="shared" si="1"/>
        <v>-973913.0435</v>
      </c>
      <c r="E19" s="4">
        <f t="shared" si="2"/>
        <v>204.7800375</v>
      </c>
      <c r="F19" s="3">
        <f t="shared" si="3"/>
        <v>0.000210265217</v>
      </c>
      <c r="G19" s="3">
        <f t="shared" si="4"/>
        <v>0</v>
      </c>
      <c r="H19" s="2">
        <f t="shared" si="5"/>
        <v>0</v>
      </c>
      <c r="I19" s="3">
        <f t="shared" si="6"/>
        <v>0</v>
      </c>
      <c r="J19" s="3">
        <f t="shared" si="7"/>
        <v>0</v>
      </c>
      <c r="K19" s="3"/>
      <c r="L19" s="3">
        <f t="shared" si="8"/>
        <v>442.394315</v>
      </c>
      <c r="M19" s="14">
        <f t="shared" si="9"/>
        <v>443.845846</v>
      </c>
      <c r="N19" s="14">
        <f t="shared" si="10"/>
        <v>-1.451531039</v>
      </c>
      <c r="O19" s="3"/>
      <c r="P19" s="23">
        <f t="shared" si="11"/>
        <v>204.7800375</v>
      </c>
      <c r="Q19" s="14">
        <f t="shared" si="12"/>
        <v>442.394315</v>
      </c>
      <c r="R19" s="2"/>
      <c r="S19" s="14">
        <f t="shared" si="13"/>
        <v>-1.332935339</v>
      </c>
    </row>
    <row r="20">
      <c r="A20" s="11">
        <v>8.0</v>
      </c>
      <c r="B20" s="11">
        <v>1.4194304347826E9</v>
      </c>
      <c r="C20" s="2">
        <v>-102.3506775</v>
      </c>
      <c r="D20" s="3">
        <f t="shared" si="1"/>
        <v>-969565.2174</v>
      </c>
      <c r="E20" s="4">
        <f t="shared" si="2"/>
        <v>203.8617413</v>
      </c>
      <c r="F20" s="3">
        <f t="shared" si="3"/>
        <v>0.0002102609888</v>
      </c>
      <c r="G20" s="3">
        <f t="shared" si="4"/>
        <v>0</v>
      </c>
      <c r="H20" s="2">
        <f t="shared" si="5"/>
        <v>0</v>
      </c>
      <c r="I20" s="3">
        <f t="shared" si="6"/>
        <v>0</v>
      </c>
      <c r="J20" s="3">
        <f t="shared" si="7"/>
        <v>0</v>
      </c>
      <c r="K20" s="3"/>
      <c r="L20" s="3">
        <f t="shared" si="8"/>
        <v>442.6275251</v>
      </c>
      <c r="M20" s="14">
        <f t="shared" si="9"/>
        <v>443.7511239</v>
      </c>
      <c r="N20" s="14">
        <f t="shared" si="10"/>
        <v>-1.123598757</v>
      </c>
      <c r="O20" s="3"/>
      <c r="P20" s="23">
        <f t="shared" si="11"/>
        <v>203.8617413</v>
      </c>
      <c r="Q20" s="14">
        <f t="shared" si="12"/>
        <v>442.6275251</v>
      </c>
      <c r="R20" s="2"/>
      <c r="S20" s="14">
        <f t="shared" si="13"/>
        <v>-1.031796393</v>
      </c>
    </row>
    <row r="21">
      <c r="A21" s="11">
        <v>9.0</v>
      </c>
      <c r="B21" s="11">
        <v>1.41943478260869E9</v>
      </c>
      <c r="C21" s="2">
        <v>-102.3594742</v>
      </c>
      <c r="D21" s="3">
        <f t="shared" si="1"/>
        <v>-965217.3913</v>
      </c>
      <c r="E21" s="4">
        <f t="shared" si="2"/>
        <v>202.9434452</v>
      </c>
      <c r="F21" s="3">
        <f t="shared" si="3"/>
        <v>0.0002102567225</v>
      </c>
      <c r="G21" s="3">
        <f t="shared" si="4"/>
        <v>0</v>
      </c>
      <c r="H21" s="2">
        <f t="shared" si="5"/>
        <v>0</v>
      </c>
      <c r="I21" s="3">
        <f t="shared" si="6"/>
        <v>0</v>
      </c>
      <c r="J21" s="3">
        <f t="shared" si="7"/>
        <v>0</v>
      </c>
      <c r="K21" s="3"/>
      <c r="L21" s="3">
        <f t="shared" si="8"/>
        <v>441.7318838</v>
      </c>
      <c r="M21" s="14">
        <f t="shared" si="9"/>
        <v>443.6567975</v>
      </c>
      <c r="N21" s="14">
        <f t="shared" si="10"/>
        <v>-1.924913635</v>
      </c>
      <c r="O21" s="3"/>
      <c r="P21" s="23">
        <f t="shared" si="11"/>
        <v>202.9434452</v>
      </c>
      <c r="Q21" s="14">
        <f t="shared" si="12"/>
        <v>441.7318838</v>
      </c>
      <c r="R21" s="2"/>
      <c r="S21" s="14">
        <f t="shared" si="13"/>
        <v>-1.767640747</v>
      </c>
    </row>
    <row r="22">
      <c r="A22" s="11">
        <v>10.0</v>
      </c>
      <c r="B22" s="11">
        <v>1.41943913043478E9</v>
      </c>
      <c r="C22" s="2">
        <v>-102.3465881</v>
      </c>
      <c r="D22" s="3">
        <f t="shared" si="1"/>
        <v>-960869.5652</v>
      </c>
      <c r="E22" s="4">
        <f t="shared" si="2"/>
        <v>202.0251491</v>
      </c>
      <c r="F22" s="3">
        <f t="shared" si="3"/>
        <v>0.0002102524176</v>
      </c>
      <c r="G22" s="3">
        <f t="shared" si="4"/>
        <v>0</v>
      </c>
      <c r="H22" s="2">
        <f t="shared" si="5"/>
        <v>0</v>
      </c>
      <c r="I22" s="3">
        <f t="shared" si="6"/>
        <v>0</v>
      </c>
      <c r="J22" s="3">
        <f t="shared" si="7"/>
        <v>0</v>
      </c>
      <c r="K22" s="3"/>
      <c r="L22" s="3">
        <f t="shared" si="8"/>
        <v>443.044508</v>
      </c>
      <c r="M22" s="14">
        <f t="shared" si="9"/>
        <v>443.5628643</v>
      </c>
      <c r="N22" s="14">
        <f t="shared" si="10"/>
        <v>-0.5183562735</v>
      </c>
      <c r="O22" s="3"/>
      <c r="P22" s="23">
        <f t="shared" si="11"/>
        <v>202.0251491</v>
      </c>
      <c r="Q22" s="14">
        <f t="shared" si="12"/>
        <v>443.044508</v>
      </c>
      <c r="R22" s="2"/>
      <c r="S22" s="14">
        <f t="shared" si="13"/>
        <v>-0.4760045603</v>
      </c>
      <c r="U22" s="11">
        <v>1.0</v>
      </c>
    </row>
    <row r="23">
      <c r="A23" s="11">
        <v>11.0</v>
      </c>
      <c r="B23" s="11">
        <v>1.41944347826087E9</v>
      </c>
      <c r="C23" s="2">
        <v>-102.354126</v>
      </c>
      <c r="D23" s="3">
        <f t="shared" si="1"/>
        <v>-956521.7391</v>
      </c>
      <c r="E23" s="4">
        <f t="shared" si="2"/>
        <v>201.1068529</v>
      </c>
      <c r="F23" s="3">
        <f t="shared" si="3"/>
        <v>0.0002102480735</v>
      </c>
      <c r="G23" s="3">
        <f t="shared" si="4"/>
        <v>0</v>
      </c>
      <c r="H23" s="2">
        <f t="shared" si="5"/>
        <v>0</v>
      </c>
      <c r="I23" s="3">
        <f t="shared" si="6"/>
        <v>0</v>
      </c>
      <c r="J23" s="3">
        <f t="shared" si="7"/>
        <v>0</v>
      </c>
      <c r="K23" s="3"/>
      <c r="L23" s="3">
        <f t="shared" si="8"/>
        <v>442.2761978</v>
      </c>
      <c r="M23" s="14">
        <f t="shared" si="9"/>
        <v>443.469322</v>
      </c>
      <c r="N23" s="14">
        <f t="shared" si="10"/>
        <v>-1.19312413</v>
      </c>
      <c r="O23" s="3"/>
      <c r="P23" s="23">
        <f t="shared" si="11"/>
        <v>201.1068529</v>
      </c>
      <c r="Q23" s="14">
        <f t="shared" si="12"/>
        <v>442.2761978</v>
      </c>
      <c r="R23" s="2"/>
      <c r="S23" s="14">
        <f t="shared" si="13"/>
        <v>-1.095641275</v>
      </c>
    </row>
    <row r="24">
      <c r="A24" s="11">
        <v>12.0</v>
      </c>
      <c r="B24" s="11">
        <v>1.41944782608695E9</v>
      </c>
      <c r="C24" s="2">
        <v>-102.3609924</v>
      </c>
      <c r="D24" s="3">
        <f t="shared" si="1"/>
        <v>-952173.913</v>
      </c>
      <c r="E24" s="4">
        <f t="shared" si="2"/>
        <v>200.1885568</v>
      </c>
      <c r="F24" s="3">
        <f t="shared" si="3"/>
        <v>0.0002102436898</v>
      </c>
      <c r="G24" s="3">
        <f t="shared" si="4"/>
        <v>0</v>
      </c>
      <c r="H24" s="2">
        <f t="shared" si="5"/>
        <v>0</v>
      </c>
      <c r="I24" s="3">
        <f t="shared" si="6"/>
        <v>0</v>
      </c>
      <c r="J24" s="3">
        <f t="shared" si="7"/>
        <v>0</v>
      </c>
      <c r="K24" s="3"/>
      <c r="L24" s="3">
        <f t="shared" si="8"/>
        <v>441.5774908</v>
      </c>
      <c r="M24" s="14">
        <f t="shared" si="9"/>
        <v>443.3761682</v>
      </c>
      <c r="N24" s="14">
        <f t="shared" si="10"/>
        <v>-1.798677308</v>
      </c>
      <c r="O24" s="3"/>
      <c r="P24" s="23">
        <f t="shared" si="11"/>
        <v>200.1885568</v>
      </c>
      <c r="Q24" s="14">
        <f t="shared" si="12"/>
        <v>441.5774908</v>
      </c>
      <c r="R24" s="2"/>
      <c r="S24" s="14">
        <f t="shared" si="13"/>
        <v>-1.651718416</v>
      </c>
    </row>
    <row r="25">
      <c r="A25" s="11">
        <v>13.0</v>
      </c>
      <c r="B25" s="11">
        <v>1.41945217391304E9</v>
      </c>
      <c r="C25" s="2">
        <v>-102.3750992</v>
      </c>
      <c r="D25" s="3">
        <f t="shared" si="1"/>
        <v>-947826.087</v>
      </c>
      <c r="E25" s="4">
        <f t="shared" si="2"/>
        <v>199.2702607</v>
      </c>
      <c r="F25" s="3">
        <f t="shared" si="3"/>
        <v>0.0002102392658</v>
      </c>
      <c r="G25" s="3">
        <f t="shared" si="4"/>
        <v>0</v>
      </c>
      <c r="H25" s="2">
        <f t="shared" si="5"/>
        <v>0</v>
      </c>
      <c r="I25" s="3">
        <f t="shared" si="6"/>
        <v>0</v>
      </c>
      <c r="J25" s="3">
        <f t="shared" si="7"/>
        <v>0</v>
      </c>
      <c r="K25" s="3"/>
      <c r="L25" s="3">
        <f t="shared" si="8"/>
        <v>440.1454811</v>
      </c>
      <c r="M25" s="14">
        <f t="shared" si="9"/>
        <v>443.2834005</v>
      </c>
      <c r="N25" s="14">
        <f t="shared" si="10"/>
        <v>-3.137919387</v>
      </c>
      <c r="O25" s="3"/>
      <c r="P25" s="23">
        <f t="shared" si="11"/>
        <v>199.2702607</v>
      </c>
      <c r="Q25" s="14">
        <f t="shared" si="12"/>
        <v>440.1454811</v>
      </c>
      <c r="R25" s="2"/>
      <c r="S25" s="14">
        <f t="shared" si="13"/>
        <v>-2.881539232</v>
      </c>
    </row>
    <row r="26">
      <c r="A26" s="11">
        <v>14.0</v>
      </c>
      <c r="B26" s="11">
        <v>1.41945652173913E9</v>
      </c>
      <c r="C26" s="2">
        <v>-102.2977829</v>
      </c>
      <c r="D26" s="3">
        <f t="shared" si="1"/>
        <v>-943478.2609</v>
      </c>
      <c r="E26" s="4">
        <f t="shared" si="2"/>
        <v>198.3519645</v>
      </c>
      <c r="F26" s="3">
        <f t="shared" si="3"/>
        <v>0.0002102348011</v>
      </c>
      <c r="G26" s="3">
        <f t="shared" si="4"/>
        <v>0</v>
      </c>
      <c r="H26" s="2">
        <f t="shared" si="5"/>
        <v>0</v>
      </c>
      <c r="I26" s="3">
        <f t="shared" si="6"/>
        <v>0</v>
      </c>
      <c r="J26" s="3">
        <f t="shared" si="7"/>
        <v>0</v>
      </c>
      <c r="K26" s="3"/>
      <c r="L26" s="3">
        <f t="shared" si="8"/>
        <v>448.0514399</v>
      </c>
      <c r="M26" s="14">
        <f t="shared" si="9"/>
        <v>443.1910166</v>
      </c>
      <c r="N26" s="14">
        <f t="shared" si="10"/>
        <v>4.860423378</v>
      </c>
      <c r="O26" s="3"/>
      <c r="P26" s="23">
        <f t="shared" si="11"/>
        <v>198.3519645</v>
      </c>
      <c r="Q26" s="14">
        <f t="shared" si="12"/>
        <v>448.0514399</v>
      </c>
      <c r="R26" s="2"/>
      <c r="S26" s="14">
        <f t="shared" si="13"/>
        <v>4.463307991</v>
      </c>
    </row>
    <row r="27">
      <c r="A27" s="11">
        <v>15.0</v>
      </c>
      <c r="B27" s="11">
        <v>1.41946086956521E9</v>
      </c>
      <c r="C27" s="2">
        <v>-102.3377838</v>
      </c>
      <c r="D27" s="3">
        <f t="shared" si="1"/>
        <v>-939130.4348</v>
      </c>
      <c r="E27" s="4">
        <f t="shared" si="2"/>
        <v>197.4336684</v>
      </c>
      <c r="F27" s="3">
        <f t="shared" si="3"/>
        <v>0.0002102302951</v>
      </c>
      <c r="G27" s="3">
        <f t="shared" si="4"/>
        <v>0</v>
      </c>
      <c r="H27" s="2">
        <f t="shared" si="5"/>
        <v>0</v>
      </c>
      <c r="I27" s="3">
        <f t="shared" si="6"/>
        <v>0</v>
      </c>
      <c r="J27" s="3">
        <f t="shared" si="7"/>
        <v>0</v>
      </c>
      <c r="K27" s="3"/>
      <c r="L27" s="3">
        <f t="shared" si="8"/>
        <v>443.9435876</v>
      </c>
      <c r="M27" s="14">
        <f t="shared" si="9"/>
        <v>443.099014</v>
      </c>
      <c r="N27" s="14">
        <f t="shared" si="10"/>
        <v>0.8445736482</v>
      </c>
      <c r="O27" s="3"/>
      <c r="P27" s="23">
        <f t="shared" si="11"/>
        <v>197.4336684</v>
      </c>
      <c r="Q27" s="14">
        <f t="shared" si="12"/>
        <v>443.9435876</v>
      </c>
      <c r="R27" s="2"/>
      <c r="S27" s="14">
        <f t="shared" si="13"/>
        <v>0.775568715</v>
      </c>
    </row>
    <row r="28">
      <c r="A28" s="11">
        <v>16.0</v>
      </c>
      <c r="B28" s="11">
        <v>1.4194652173913E9</v>
      </c>
      <c r="C28" s="2">
        <v>-102.3433762</v>
      </c>
      <c r="D28" s="3">
        <f t="shared" si="1"/>
        <v>-934782.6087</v>
      </c>
      <c r="E28" s="4">
        <f t="shared" si="2"/>
        <v>196.5153723</v>
      </c>
      <c r="F28" s="3">
        <f t="shared" si="3"/>
        <v>0.0002102257471</v>
      </c>
      <c r="G28" s="3">
        <f t="shared" si="4"/>
        <v>0</v>
      </c>
      <c r="H28" s="2">
        <f t="shared" si="5"/>
        <v>0</v>
      </c>
      <c r="I28" s="3">
        <f t="shared" si="6"/>
        <v>0</v>
      </c>
      <c r="J28" s="3">
        <f t="shared" si="7"/>
        <v>0</v>
      </c>
      <c r="K28" s="3"/>
      <c r="L28" s="3">
        <f t="shared" si="8"/>
        <v>443.3722904</v>
      </c>
      <c r="M28" s="14">
        <f t="shared" si="9"/>
        <v>443.0073904</v>
      </c>
      <c r="N28" s="14">
        <f t="shared" si="10"/>
        <v>0.3649</v>
      </c>
      <c r="O28" s="3"/>
      <c r="P28" s="23">
        <f t="shared" si="11"/>
        <v>196.5153723</v>
      </c>
      <c r="Q28" s="14">
        <f t="shared" si="12"/>
        <v>443.3722904</v>
      </c>
      <c r="R28" s="2"/>
      <c r="S28" s="14">
        <f t="shared" si="13"/>
        <v>0.3350862581</v>
      </c>
    </row>
    <row r="29">
      <c r="A29" s="11">
        <v>17.0</v>
      </c>
      <c r="B29" s="11">
        <v>1.41946956521739E9</v>
      </c>
      <c r="C29" s="2">
        <v>-102.328064</v>
      </c>
      <c r="D29" s="3">
        <f t="shared" si="1"/>
        <v>-930434.7826</v>
      </c>
      <c r="E29" s="4">
        <f t="shared" si="2"/>
        <v>195.5970761</v>
      </c>
      <c r="F29" s="3">
        <f t="shared" si="3"/>
        <v>0.0002102211566</v>
      </c>
      <c r="G29" s="3">
        <f t="shared" si="4"/>
        <v>0</v>
      </c>
      <c r="H29" s="2">
        <f t="shared" si="5"/>
        <v>0</v>
      </c>
      <c r="I29" s="3">
        <f t="shared" si="6"/>
        <v>0</v>
      </c>
      <c r="J29" s="3">
        <f t="shared" si="7"/>
        <v>0</v>
      </c>
      <c r="K29" s="3"/>
      <c r="L29" s="3">
        <f t="shared" si="8"/>
        <v>444.9382757</v>
      </c>
      <c r="M29" s="14">
        <f t="shared" si="9"/>
        <v>442.9161434</v>
      </c>
      <c r="N29" s="14">
        <f t="shared" si="10"/>
        <v>2.022132206</v>
      </c>
      <c r="O29" s="3"/>
      <c r="P29" s="23">
        <f t="shared" si="11"/>
        <v>195.5970761</v>
      </c>
      <c r="Q29" s="14">
        <f t="shared" si="12"/>
        <v>444.9382757</v>
      </c>
      <c r="R29" s="2"/>
      <c r="S29" s="14">
        <f t="shared" si="13"/>
        <v>1.856916184</v>
      </c>
    </row>
    <row r="30">
      <c r="A30" s="11">
        <v>18.0</v>
      </c>
      <c r="B30" s="11">
        <v>1.41947391304347E9</v>
      </c>
      <c r="C30" s="2">
        <v>-102.3595734</v>
      </c>
      <c r="D30" s="3">
        <f t="shared" si="1"/>
        <v>-926086.9565</v>
      </c>
      <c r="E30" s="4">
        <f t="shared" si="2"/>
        <v>194.67878</v>
      </c>
      <c r="F30" s="3">
        <f t="shared" si="3"/>
        <v>0.000210216523</v>
      </c>
      <c r="G30" s="3">
        <f t="shared" si="4"/>
        <v>0</v>
      </c>
      <c r="H30" s="2">
        <f t="shared" si="5"/>
        <v>0</v>
      </c>
      <c r="I30" s="3">
        <f t="shared" si="6"/>
        <v>0</v>
      </c>
      <c r="J30" s="3">
        <f t="shared" si="7"/>
        <v>0</v>
      </c>
      <c r="K30" s="3"/>
      <c r="L30" s="3">
        <f t="shared" si="8"/>
        <v>441.721794</v>
      </c>
      <c r="M30" s="14">
        <f t="shared" si="9"/>
        <v>442.8252707</v>
      </c>
      <c r="N30" s="14">
        <f t="shared" si="10"/>
        <v>-1.103476662</v>
      </c>
      <c r="O30" s="3"/>
      <c r="P30" s="23">
        <f t="shared" si="11"/>
        <v>194.67878</v>
      </c>
      <c r="Q30" s="14">
        <f t="shared" si="12"/>
        <v>441.721794</v>
      </c>
      <c r="R30" s="2"/>
      <c r="S30" s="14">
        <f t="shared" si="13"/>
        <v>-1.013318351</v>
      </c>
    </row>
    <row r="31">
      <c r="A31" s="11">
        <v>19.0</v>
      </c>
      <c r="B31" s="11">
        <v>1.41947826086956E9</v>
      </c>
      <c r="C31" s="2">
        <v>-102.3269577</v>
      </c>
      <c r="D31" s="3">
        <f t="shared" si="1"/>
        <v>-921739.1304</v>
      </c>
      <c r="E31" s="4">
        <f t="shared" si="2"/>
        <v>193.7604839</v>
      </c>
      <c r="F31" s="3">
        <f t="shared" si="3"/>
        <v>0.0002102118457</v>
      </c>
      <c r="G31" s="3">
        <f t="shared" si="4"/>
        <v>0</v>
      </c>
      <c r="H31" s="2">
        <f t="shared" si="5"/>
        <v>0</v>
      </c>
      <c r="I31" s="3">
        <f t="shared" si="6"/>
        <v>0</v>
      </c>
      <c r="J31" s="3">
        <f t="shared" si="7"/>
        <v>0</v>
      </c>
      <c r="K31" s="3"/>
      <c r="L31" s="3">
        <f t="shared" si="8"/>
        <v>445.0516314</v>
      </c>
      <c r="M31" s="14">
        <f t="shared" si="9"/>
        <v>442.7347698</v>
      </c>
      <c r="N31" s="14">
        <f t="shared" si="10"/>
        <v>2.316861616</v>
      </c>
      <c r="O31" s="3"/>
      <c r="P31" s="23">
        <f t="shared" si="11"/>
        <v>193.7604839</v>
      </c>
      <c r="Q31" s="14">
        <f t="shared" si="12"/>
        <v>445.0516314</v>
      </c>
      <c r="R31" s="2"/>
      <c r="S31" s="14">
        <f t="shared" si="13"/>
        <v>2.127565058</v>
      </c>
    </row>
    <row r="32">
      <c r="A32" s="11">
        <v>20.0</v>
      </c>
      <c r="B32" s="11">
        <v>1.41948260869565E9</v>
      </c>
      <c r="C32" s="2">
        <v>-102.2963333</v>
      </c>
      <c r="D32" s="3">
        <f t="shared" si="1"/>
        <v>-917391.3043</v>
      </c>
      <c r="E32" s="4">
        <f t="shared" si="2"/>
        <v>192.8421878</v>
      </c>
      <c r="F32" s="3">
        <f t="shared" si="3"/>
        <v>0.0002102071241</v>
      </c>
      <c r="G32" s="3">
        <f t="shared" si="4"/>
        <v>0</v>
      </c>
      <c r="H32" s="2">
        <f t="shared" si="5"/>
        <v>0</v>
      </c>
      <c r="I32" s="3">
        <f t="shared" si="6"/>
        <v>0</v>
      </c>
      <c r="J32" s="3">
        <f t="shared" si="7"/>
        <v>0</v>
      </c>
      <c r="K32" s="3"/>
      <c r="L32" s="3">
        <f t="shared" si="8"/>
        <v>448.2010167</v>
      </c>
      <c r="M32" s="14">
        <f t="shared" si="9"/>
        <v>442.6446384</v>
      </c>
      <c r="N32" s="14">
        <f t="shared" si="10"/>
        <v>5.556378324</v>
      </c>
      <c r="O32" s="3"/>
      <c r="P32" s="23">
        <f t="shared" si="11"/>
        <v>192.8421878</v>
      </c>
      <c r="Q32" s="14">
        <f t="shared" si="12"/>
        <v>448.2010167</v>
      </c>
      <c r="R32" s="2"/>
      <c r="S32" s="14">
        <f t="shared" si="13"/>
        <v>5.102400727</v>
      </c>
    </row>
    <row r="33">
      <c r="A33" s="11">
        <v>21.0</v>
      </c>
      <c r="B33" s="11">
        <v>1.41948695652173E9</v>
      </c>
      <c r="C33" s="2">
        <v>-102.3486633</v>
      </c>
      <c r="D33" s="3">
        <f t="shared" si="1"/>
        <v>-913043.4783</v>
      </c>
      <c r="E33" s="4">
        <f t="shared" si="2"/>
        <v>191.9238916</v>
      </c>
      <c r="F33" s="3">
        <f t="shared" si="3"/>
        <v>0.0002102023575</v>
      </c>
      <c r="G33" s="3">
        <f t="shared" si="4"/>
        <v>0</v>
      </c>
      <c r="H33" s="2">
        <f t="shared" si="5"/>
        <v>0</v>
      </c>
      <c r="I33" s="3">
        <f t="shared" si="6"/>
        <v>0</v>
      </c>
      <c r="J33" s="3">
        <f t="shared" si="7"/>
        <v>0</v>
      </c>
      <c r="K33" s="3"/>
      <c r="L33" s="3">
        <f t="shared" si="8"/>
        <v>442.8328575</v>
      </c>
      <c r="M33" s="14">
        <f t="shared" si="9"/>
        <v>442.5548741</v>
      </c>
      <c r="N33" s="14">
        <f t="shared" si="10"/>
        <v>0.2779834375</v>
      </c>
      <c r="O33" s="3"/>
      <c r="P33" s="23">
        <f t="shared" si="11"/>
        <v>191.9238916</v>
      </c>
      <c r="Q33" s="14">
        <f t="shared" si="12"/>
        <v>442.8328575</v>
      </c>
      <c r="R33" s="2"/>
      <c r="S33" s="14">
        <f t="shared" si="13"/>
        <v>0.2552711156</v>
      </c>
    </row>
    <row r="34">
      <c r="A34" s="11">
        <v>22.0</v>
      </c>
      <c r="B34" s="11">
        <v>1.41949130434782E9</v>
      </c>
      <c r="C34" s="2">
        <v>-102.3891449</v>
      </c>
      <c r="D34" s="3">
        <f t="shared" si="1"/>
        <v>-908695.6522</v>
      </c>
      <c r="E34" s="4">
        <f t="shared" si="2"/>
        <v>191.0055955</v>
      </c>
      <c r="F34" s="3">
        <f t="shared" si="3"/>
        <v>0.0002101975453</v>
      </c>
      <c r="G34" s="3">
        <f t="shared" si="4"/>
        <v>0</v>
      </c>
      <c r="H34" s="2">
        <f t="shared" si="5"/>
        <v>0</v>
      </c>
      <c r="I34" s="3">
        <f t="shared" si="6"/>
        <v>0</v>
      </c>
      <c r="J34" s="3">
        <f t="shared" si="7"/>
        <v>0</v>
      </c>
      <c r="K34" s="3"/>
      <c r="L34" s="3">
        <f t="shared" si="8"/>
        <v>438.7242875</v>
      </c>
      <c r="M34" s="14">
        <f t="shared" si="9"/>
        <v>442.4654745</v>
      </c>
      <c r="N34" s="14">
        <f t="shared" si="10"/>
        <v>-3.741186917</v>
      </c>
      <c r="O34" s="3"/>
      <c r="P34" s="23">
        <f t="shared" si="11"/>
        <v>191.0055955</v>
      </c>
      <c r="Q34" s="14">
        <f t="shared" si="12"/>
        <v>438.7242875</v>
      </c>
      <c r="R34" s="2"/>
      <c r="S34" s="14">
        <f t="shared" si="13"/>
        <v>-3.435517478</v>
      </c>
    </row>
    <row r="35">
      <c r="A35" s="11">
        <v>23.0</v>
      </c>
      <c r="B35" s="11">
        <v>1.41949565217391E9</v>
      </c>
      <c r="C35" s="2">
        <v>-102.3803787</v>
      </c>
      <c r="D35" s="3">
        <f t="shared" si="1"/>
        <v>-904347.8261</v>
      </c>
      <c r="E35" s="4">
        <f t="shared" si="2"/>
        <v>190.0872994</v>
      </c>
      <c r="F35" s="3">
        <f t="shared" si="3"/>
        <v>0.0002101926868</v>
      </c>
      <c r="G35" s="3">
        <f t="shared" si="4"/>
        <v>0</v>
      </c>
      <c r="H35" s="2">
        <f t="shared" si="5"/>
        <v>0</v>
      </c>
      <c r="I35" s="3">
        <f t="shared" si="6"/>
        <v>0</v>
      </c>
      <c r="J35" s="3">
        <f t="shared" si="7"/>
        <v>0</v>
      </c>
      <c r="K35" s="3"/>
      <c r="L35" s="3">
        <f t="shared" si="8"/>
        <v>439.6107434</v>
      </c>
      <c r="M35" s="14">
        <f t="shared" si="9"/>
        <v>442.3764372</v>
      </c>
      <c r="N35" s="14">
        <f t="shared" si="10"/>
        <v>-2.765693753</v>
      </c>
      <c r="O35" s="3"/>
      <c r="P35" s="23">
        <f t="shared" si="11"/>
        <v>190.0872994</v>
      </c>
      <c r="Q35" s="14">
        <f t="shared" si="12"/>
        <v>439.6107434</v>
      </c>
      <c r="R35" s="2"/>
      <c r="S35" s="14">
        <f t="shared" si="13"/>
        <v>-2.539725872</v>
      </c>
    </row>
    <row r="36">
      <c r="A36" s="11">
        <v>24.0</v>
      </c>
      <c r="B36" s="11">
        <v>1.4195E9</v>
      </c>
      <c r="C36" s="2">
        <v>-102.3390274</v>
      </c>
      <c r="D36" s="3">
        <f t="shared" si="1"/>
        <v>-900000</v>
      </c>
      <c r="E36" s="4">
        <f t="shared" si="2"/>
        <v>189.1690032</v>
      </c>
      <c r="F36" s="3">
        <f t="shared" si="3"/>
        <v>0.0002101877814</v>
      </c>
      <c r="G36" s="3">
        <f t="shared" si="4"/>
        <v>0</v>
      </c>
      <c r="H36" s="2">
        <f t="shared" si="5"/>
        <v>0</v>
      </c>
      <c r="I36" s="3">
        <f t="shared" si="6"/>
        <v>0</v>
      </c>
      <c r="J36" s="3">
        <f t="shared" si="7"/>
        <v>0</v>
      </c>
      <c r="K36" s="3"/>
      <c r="L36" s="3">
        <f t="shared" si="8"/>
        <v>443.8164828</v>
      </c>
      <c r="M36" s="14">
        <f t="shared" si="9"/>
        <v>442.2877598</v>
      </c>
      <c r="N36" s="14">
        <f t="shared" si="10"/>
        <v>1.528722978</v>
      </c>
      <c r="O36" s="3"/>
      <c r="P36" s="23">
        <f t="shared" si="11"/>
        <v>189.1690032</v>
      </c>
      <c r="Q36" s="14">
        <f t="shared" si="12"/>
        <v>443.8164828</v>
      </c>
      <c r="R36" s="2"/>
      <c r="S36" s="14">
        <f t="shared" si="13"/>
        <v>1.403820399</v>
      </c>
    </row>
    <row r="37">
      <c r="A37" s="11">
        <v>25.0</v>
      </c>
      <c r="B37" s="11">
        <v>1.41950434782608E9</v>
      </c>
      <c r="C37" s="2">
        <v>-102.3360519</v>
      </c>
      <c r="D37" s="3">
        <f t="shared" si="1"/>
        <v>-895652.1739</v>
      </c>
      <c r="E37" s="4">
        <f t="shared" si="2"/>
        <v>188.2507071</v>
      </c>
      <c r="F37" s="3">
        <f t="shared" si="3"/>
        <v>0.0002101828283</v>
      </c>
      <c r="G37" s="3">
        <f t="shared" si="4"/>
        <v>0</v>
      </c>
      <c r="H37" s="2">
        <f t="shared" si="5"/>
        <v>0</v>
      </c>
      <c r="I37" s="3">
        <f t="shared" si="6"/>
        <v>0</v>
      </c>
      <c r="J37" s="3">
        <f t="shared" si="7"/>
        <v>0</v>
      </c>
      <c r="K37" s="3"/>
      <c r="L37" s="3">
        <f t="shared" si="8"/>
        <v>444.1206609</v>
      </c>
      <c r="M37" s="14">
        <f t="shared" si="9"/>
        <v>442.1994401</v>
      </c>
      <c r="N37" s="14">
        <f t="shared" si="10"/>
        <v>1.921220774</v>
      </c>
      <c r="O37" s="3"/>
      <c r="P37" s="23">
        <f t="shared" si="11"/>
        <v>188.2507071</v>
      </c>
      <c r="Q37" s="14">
        <f t="shared" si="12"/>
        <v>444.1206609</v>
      </c>
      <c r="R37" s="2"/>
      <c r="S37" s="14">
        <f t="shared" si="13"/>
        <v>1.764249607</v>
      </c>
    </row>
    <row r="38">
      <c r="A38" s="11">
        <v>26.0</v>
      </c>
      <c r="B38" s="11">
        <v>1.41950869565217E9</v>
      </c>
      <c r="C38" s="2">
        <v>-102.3285217</v>
      </c>
      <c r="D38" s="3">
        <f t="shared" si="1"/>
        <v>-891304.3478</v>
      </c>
      <c r="E38" s="4">
        <f t="shared" si="2"/>
        <v>187.332411</v>
      </c>
      <c r="F38" s="3">
        <f t="shared" si="3"/>
        <v>0.0002101778269</v>
      </c>
      <c r="G38" s="3">
        <f t="shared" si="4"/>
        <v>0</v>
      </c>
      <c r="H38" s="2">
        <f t="shared" si="5"/>
        <v>0</v>
      </c>
      <c r="I38" s="3">
        <f t="shared" si="6"/>
        <v>0</v>
      </c>
      <c r="J38" s="3">
        <f t="shared" si="7"/>
        <v>0</v>
      </c>
      <c r="K38" s="3"/>
      <c r="L38" s="3">
        <f t="shared" si="8"/>
        <v>444.8913864</v>
      </c>
      <c r="M38" s="14">
        <f t="shared" si="9"/>
        <v>442.1114755</v>
      </c>
      <c r="N38" s="14">
        <f t="shared" si="10"/>
        <v>2.779910862</v>
      </c>
      <c r="O38" s="3"/>
      <c r="P38" s="23">
        <f t="shared" si="11"/>
        <v>187.332411</v>
      </c>
      <c r="Q38" s="14">
        <f t="shared" si="12"/>
        <v>444.8913864</v>
      </c>
      <c r="R38" s="2"/>
      <c r="S38" s="14">
        <f t="shared" si="13"/>
        <v>2.552781388</v>
      </c>
    </row>
    <row r="39">
      <c r="A39" s="11">
        <v>27.0</v>
      </c>
      <c r="B39" s="11">
        <v>1.41951304347826E9</v>
      </c>
      <c r="C39" s="2">
        <v>-102.3264084</v>
      </c>
      <c r="D39" s="3">
        <f t="shared" si="1"/>
        <v>-886956.5217</v>
      </c>
      <c r="E39" s="4">
        <f t="shared" si="2"/>
        <v>186.4141148</v>
      </c>
      <c r="F39" s="3">
        <f t="shared" si="3"/>
        <v>0.0002101727765</v>
      </c>
      <c r="G39" s="3">
        <f t="shared" si="4"/>
        <v>0</v>
      </c>
      <c r="H39" s="2">
        <f t="shared" si="5"/>
        <v>0</v>
      </c>
      <c r="I39" s="3">
        <f t="shared" si="6"/>
        <v>0</v>
      </c>
      <c r="J39" s="3">
        <f t="shared" si="7"/>
        <v>0</v>
      </c>
      <c r="K39" s="3"/>
      <c r="L39" s="3">
        <f t="shared" si="8"/>
        <v>445.1079256</v>
      </c>
      <c r="M39" s="14">
        <f t="shared" si="9"/>
        <v>442.0238638</v>
      </c>
      <c r="N39" s="14">
        <f t="shared" si="10"/>
        <v>3.084061802</v>
      </c>
      <c r="O39" s="3"/>
      <c r="P39" s="23">
        <f t="shared" si="11"/>
        <v>186.4141148</v>
      </c>
      <c r="Q39" s="14">
        <f t="shared" si="12"/>
        <v>445.1079256</v>
      </c>
      <c r="R39" s="2"/>
      <c r="S39" s="14">
        <f t="shared" si="13"/>
        <v>2.832082026</v>
      </c>
    </row>
    <row r="40">
      <c r="A40" s="11">
        <v>28.0</v>
      </c>
      <c r="B40" s="11">
        <v>1.41951739130434E9</v>
      </c>
      <c r="C40" s="2">
        <v>-102.3603745</v>
      </c>
      <c r="D40" s="3">
        <f t="shared" si="1"/>
        <v>-882608.6957</v>
      </c>
      <c r="E40" s="4">
        <f t="shared" si="2"/>
        <v>185.4958187</v>
      </c>
      <c r="F40" s="3">
        <f t="shared" si="3"/>
        <v>0.0002101676763</v>
      </c>
      <c r="G40" s="3">
        <f t="shared" si="4"/>
        <v>0</v>
      </c>
      <c r="H40" s="2">
        <f t="shared" si="5"/>
        <v>0</v>
      </c>
      <c r="I40" s="3">
        <f t="shared" si="6"/>
        <v>0</v>
      </c>
      <c r="J40" s="3">
        <f t="shared" si="7"/>
        <v>0</v>
      </c>
      <c r="K40" s="3"/>
      <c r="L40" s="3">
        <f t="shared" si="8"/>
        <v>441.6403215</v>
      </c>
      <c r="M40" s="14">
        <f t="shared" si="9"/>
        <v>441.9366025</v>
      </c>
      <c r="N40" s="14">
        <f t="shared" si="10"/>
        <v>-0.2962809369</v>
      </c>
      <c r="O40" s="3"/>
      <c r="P40" s="23">
        <f t="shared" si="11"/>
        <v>185.4958187</v>
      </c>
      <c r="Q40" s="14">
        <f t="shared" si="12"/>
        <v>441.6403215</v>
      </c>
      <c r="R40" s="2"/>
      <c r="S40" s="14">
        <f t="shared" si="13"/>
        <v>-0.2720736386</v>
      </c>
    </row>
    <row r="41">
      <c r="A41" s="11">
        <v>29.0</v>
      </c>
      <c r="B41" s="11">
        <v>1.41952173913043E9</v>
      </c>
      <c r="C41" s="2">
        <v>-102.3461304</v>
      </c>
      <c r="D41" s="3">
        <f t="shared" si="1"/>
        <v>-878260.8696</v>
      </c>
      <c r="E41" s="4">
        <f t="shared" si="2"/>
        <v>184.5775226</v>
      </c>
      <c r="F41" s="3">
        <f t="shared" si="3"/>
        <v>0.0002101625257</v>
      </c>
      <c r="G41" s="3">
        <f t="shared" si="4"/>
        <v>0</v>
      </c>
      <c r="H41" s="2">
        <f t="shared" si="5"/>
        <v>0</v>
      </c>
      <c r="I41" s="3">
        <f t="shared" si="6"/>
        <v>0</v>
      </c>
      <c r="J41" s="3">
        <f t="shared" si="7"/>
        <v>0</v>
      </c>
      <c r="K41" s="3"/>
      <c r="L41" s="3">
        <f t="shared" si="8"/>
        <v>443.0912026</v>
      </c>
      <c r="M41" s="14">
        <f t="shared" si="9"/>
        <v>441.8496892</v>
      </c>
      <c r="N41" s="14">
        <f t="shared" si="10"/>
        <v>1.241513409</v>
      </c>
      <c r="O41" s="3"/>
      <c r="P41" s="23">
        <f t="shared" si="11"/>
        <v>184.5775226</v>
      </c>
      <c r="Q41" s="14">
        <f t="shared" si="12"/>
        <v>443.0912026</v>
      </c>
      <c r="R41" s="2"/>
      <c r="S41" s="14">
        <f t="shared" si="13"/>
        <v>1.140076959</v>
      </c>
    </row>
    <row r="42">
      <c r="A42" s="11">
        <v>30.0</v>
      </c>
      <c r="B42" s="11">
        <v>1.41952608695652E9</v>
      </c>
      <c r="C42" s="2">
        <v>-102.3306351</v>
      </c>
      <c r="D42" s="3">
        <f t="shared" si="1"/>
        <v>-873913.0435</v>
      </c>
      <c r="E42" s="4">
        <f t="shared" si="2"/>
        <v>183.6592264</v>
      </c>
      <c r="F42" s="3">
        <f t="shared" si="3"/>
        <v>0.0002101573238</v>
      </c>
      <c r="G42" s="3">
        <f t="shared" si="4"/>
        <v>0</v>
      </c>
      <c r="H42" s="2">
        <f t="shared" si="5"/>
        <v>0</v>
      </c>
      <c r="I42" s="3">
        <f t="shared" si="6"/>
        <v>0</v>
      </c>
      <c r="J42" s="3">
        <f t="shared" si="7"/>
        <v>0</v>
      </c>
      <c r="K42" s="3"/>
      <c r="L42" s="3">
        <f t="shared" si="8"/>
        <v>444.6749423</v>
      </c>
      <c r="M42" s="14">
        <f t="shared" si="9"/>
        <v>441.7631216</v>
      </c>
      <c r="N42" s="14">
        <f t="shared" si="10"/>
        <v>2.911820678</v>
      </c>
      <c r="O42" s="3"/>
      <c r="P42" s="23">
        <f t="shared" si="11"/>
        <v>183.6592264</v>
      </c>
      <c r="Q42" s="14">
        <f t="shared" si="12"/>
        <v>444.6749423</v>
      </c>
      <c r="R42" s="2"/>
      <c r="S42" s="14">
        <f t="shared" si="13"/>
        <v>2.673913668</v>
      </c>
    </row>
    <row r="43">
      <c r="A43" s="11">
        <v>31.0</v>
      </c>
      <c r="B43" s="11">
        <v>1.4195304347826E9</v>
      </c>
      <c r="C43" s="2">
        <v>-102.3330841</v>
      </c>
      <c r="D43" s="3">
        <f t="shared" si="1"/>
        <v>-869565.2174</v>
      </c>
      <c r="E43" s="4">
        <f t="shared" si="2"/>
        <v>182.7409303</v>
      </c>
      <c r="F43" s="3">
        <f t="shared" si="3"/>
        <v>0.0002101520698</v>
      </c>
      <c r="G43" s="3">
        <f t="shared" si="4"/>
        <v>0</v>
      </c>
      <c r="H43" s="2">
        <f t="shared" si="5"/>
        <v>0</v>
      </c>
      <c r="I43" s="3">
        <f t="shared" si="6"/>
        <v>0</v>
      </c>
      <c r="J43" s="3">
        <f t="shared" si="7"/>
        <v>0</v>
      </c>
      <c r="K43" s="3"/>
      <c r="L43" s="3">
        <f t="shared" si="8"/>
        <v>444.4242594</v>
      </c>
      <c r="M43" s="14">
        <f t="shared" si="9"/>
        <v>441.6768973</v>
      </c>
      <c r="N43" s="14">
        <f t="shared" si="10"/>
        <v>2.747362075</v>
      </c>
      <c r="O43" s="3"/>
      <c r="P43" s="23">
        <f t="shared" si="11"/>
        <v>182.7409303</v>
      </c>
      <c r="Q43" s="14">
        <f t="shared" si="12"/>
        <v>444.4242594</v>
      </c>
      <c r="R43" s="2"/>
      <c r="S43" s="14">
        <f t="shared" si="13"/>
        <v>2.522891969</v>
      </c>
    </row>
    <row r="44">
      <c r="A44" s="11">
        <v>32.0</v>
      </c>
      <c r="B44" s="11">
        <v>1.41953478260869E9</v>
      </c>
      <c r="C44" s="2">
        <v>-102.3652115</v>
      </c>
      <c r="D44" s="3">
        <f t="shared" si="1"/>
        <v>-865217.3913</v>
      </c>
      <c r="E44" s="4">
        <f t="shared" si="2"/>
        <v>181.8226342</v>
      </c>
      <c r="F44" s="3">
        <f t="shared" si="3"/>
        <v>0.0002101467631</v>
      </c>
      <c r="G44" s="3">
        <f t="shared" si="4"/>
        <v>0</v>
      </c>
      <c r="H44" s="2">
        <f t="shared" si="5"/>
        <v>0</v>
      </c>
      <c r="I44" s="3">
        <f t="shared" si="6"/>
        <v>0</v>
      </c>
      <c r="J44" s="3">
        <f t="shared" si="7"/>
        <v>0</v>
      </c>
      <c r="K44" s="3"/>
      <c r="L44" s="3">
        <f t="shared" si="8"/>
        <v>441.1487138</v>
      </c>
      <c r="M44" s="14">
        <f t="shared" si="9"/>
        <v>441.591014</v>
      </c>
      <c r="N44" s="14">
        <f t="shared" si="10"/>
        <v>-0.4423001375</v>
      </c>
      <c r="O44" s="3"/>
      <c r="P44" s="23">
        <f t="shared" si="11"/>
        <v>181.8226342</v>
      </c>
      <c r="Q44" s="14">
        <f t="shared" si="12"/>
        <v>441.1487138</v>
      </c>
      <c r="R44" s="2"/>
      <c r="S44" s="14">
        <f t="shared" si="13"/>
        <v>-0.4061625058</v>
      </c>
    </row>
    <row r="45">
      <c r="A45" s="11">
        <v>33.0</v>
      </c>
      <c r="B45" s="11">
        <v>1.41953913043478E9</v>
      </c>
      <c r="C45" s="2">
        <v>-102.3692856</v>
      </c>
      <c r="D45" s="3">
        <f t="shared" si="1"/>
        <v>-860869.5652</v>
      </c>
      <c r="E45" s="4">
        <f t="shared" si="2"/>
        <v>180.904338</v>
      </c>
      <c r="F45" s="3">
        <f t="shared" si="3"/>
        <v>0.0002101414028</v>
      </c>
      <c r="G45" s="3">
        <f t="shared" si="4"/>
        <v>0</v>
      </c>
      <c r="H45" s="2">
        <f t="shared" si="5"/>
        <v>0</v>
      </c>
      <c r="I45" s="3">
        <f t="shared" si="6"/>
        <v>0</v>
      </c>
      <c r="J45" s="3">
        <f t="shared" si="7"/>
        <v>0</v>
      </c>
      <c r="K45" s="3"/>
      <c r="L45" s="3">
        <f t="shared" si="8"/>
        <v>440.735068</v>
      </c>
      <c r="M45" s="14">
        <f t="shared" si="9"/>
        <v>441.5054691</v>
      </c>
      <c r="N45" s="14">
        <f t="shared" si="10"/>
        <v>-0.7704011897</v>
      </c>
      <c r="O45" s="3"/>
      <c r="P45" s="23">
        <f t="shared" si="11"/>
        <v>180.904338</v>
      </c>
      <c r="Q45" s="14">
        <f t="shared" si="12"/>
        <v>440.735068</v>
      </c>
      <c r="R45" s="2"/>
      <c r="S45" s="14">
        <f t="shared" si="13"/>
        <v>-0.7074564316</v>
      </c>
    </row>
    <row r="46">
      <c r="A46" s="11">
        <v>34.0</v>
      </c>
      <c r="B46" s="11">
        <v>1.41954347826087E9</v>
      </c>
      <c r="C46" s="2">
        <v>-102.3880005</v>
      </c>
      <c r="D46" s="3">
        <f t="shared" si="1"/>
        <v>-856521.7391</v>
      </c>
      <c r="E46" s="4">
        <f t="shared" si="2"/>
        <v>179.9860419</v>
      </c>
      <c r="F46" s="3">
        <f t="shared" si="3"/>
        <v>0.000210135988</v>
      </c>
      <c r="G46" s="3">
        <f t="shared" si="4"/>
        <v>0</v>
      </c>
      <c r="H46" s="2">
        <f t="shared" si="5"/>
        <v>0</v>
      </c>
      <c r="I46" s="3">
        <f t="shared" si="6"/>
        <v>0</v>
      </c>
      <c r="J46" s="3">
        <f t="shared" si="7"/>
        <v>0</v>
      </c>
      <c r="K46" s="3"/>
      <c r="L46" s="3">
        <f t="shared" si="8"/>
        <v>438.8399101</v>
      </c>
      <c r="M46" s="14">
        <f t="shared" si="9"/>
        <v>441.4202605</v>
      </c>
      <c r="N46" s="14">
        <f t="shared" si="10"/>
        <v>-2.580350413</v>
      </c>
      <c r="O46" s="3"/>
      <c r="P46" s="23">
        <f t="shared" si="11"/>
        <v>179.9860419</v>
      </c>
      <c r="Q46" s="14">
        <f t="shared" si="12"/>
        <v>438.8399101</v>
      </c>
      <c r="R46" s="2"/>
      <c r="S46" s="14">
        <f t="shared" si="13"/>
        <v>-2.369525806</v>
      </c>
    </row>
    <row r="47">
      <c r="A47" s="11">
        <v>35.0</v>
      </c>
      <c r="B47" s="11">
        <v>1.41954782608695E9</v>
      </c>
      <c r="C47" s="2">
        <v>-102.4053192</v>
      </c>
      <c r="D47" s="3">
        <f t="shared" si="1"/>
        <v>-852173.913</v>
      </c>
      <c r="E47" s="4">
        <f t="shared" si="2"/>
        <v>179.0677458</v>
      </c>
      <c r="F47" s="3">
        <f t="shared" si="3"/>
        <v>0.000210130518</v>
      </c>
      <c r="G47" s="3">
        <f t="shared" si="4"/>
        <v>0</v>
      </c>
      <c r="H47" s="2">
        <f t="shared" si="5"/>
        <v>0</v>
      </c>
      <c r="I47" s="3">
        <f t="shared" si="6"/>
        <v>0</v>
      </c>
      <c r="J47" s="3">
        <f t="shared" si="7"/>
        <v>0</v>
      </c>
      <c r="K47" s="3"/>
      <c r="L47" s="3">
        <f t="shared" si="8"/>
        <v>437.0933986</v>
      </c>
      <c r="M47" s="14">
        <f t="shared" si="9"/>
        <v>441.3353856</v>
      </c>
      <c r="N47" s="14">
        <f t="shared" si="10"/>
        <v>-4.24198702</v>
      </c>
      <c r="O47" s="3"/>
      <c r="P47" s="23">
        <f t="shared" si="11"/>
        <v>179.0677458</v>
      </c>
      <c r="Q47" s="14">
        <f t="shared" si="12"/>
        <v>437.0933986</v>
      </c>
      <c r="R47" s="2"/>
      <c r="S47" s="14">
        <f t="shared" si="13"/>
        <v>-3.895400276</v>
      </c>
    </row>
    <row r="48">
      <c r="A48" s="11">
        <v>36.0</v>
      </c>
      <c r="B48" s="11">
        <v>1.41955217391304E9</v>
      </c>
      <c r="C48" s="2">
        <v>-102.351593</v>
      </c>
      <c r="D48" s="3">
        <f t="shared" si="1"/>
        <v>-847826.087</v>
      </c>
      <c r="E48" s="4">
        <f t="shared" si="2"/>
        <v>178.1494496</v>
      </c>
      <c r="F48" s="3">
        <f t="shared" si="3"/>
        <v>0.0002101249919</v>
      </c>
      <c r="G48" s="3">
        <f t="shared" si="4"/>
        <v>0</v>
      </c>
      <c r="H48" s="2">
        <f t="shared" si="5"/>
        <v>0</v>
      </c>
      <c r="I48" s="3">
        <f t="shared" si="6"/>
        <v>0</v>
      </c>
      <c r="J48" s="3">
        <f t="shared" si="7"/>
        <v>0</v>
      </c>
      <c r="K48" s="3"/>
      <c r="L48" s="3">
        <f t="shared" si="8"/>
        <v>442.5342284</v>
      </c>
      <c r="M48" s="14">
        <f t="shared" si="9"/>
        <v>441.2508421</v>
      </c>
      <c r="N48" s="14">
        <f t="shared" si="10"/>
        <v>1.283386257</v>
      </c>
      <c r="O48" s="3"/>
      <c r="P48" s="23">
        <f t="shared" si="11"/>
        <v>178.1494496</v>
      </c>
      <c r="Q48" s="14">
        <f t="shared" si="12"/>
        <v>442.5342284</v>
      </c>
      <c r="R48" s="2"/>
      <c r="S48" s="14">
        <f t="shared" si="13"/>
        <v>1.178528634</v>
      </c>
    </row>
    <row r="49">
      <c r="A49" s="11">
        <v>37.0</v>
      </c>
      <c r="B49" s="11">
        <v>1.41955652173913E9</v>
      </c>
      <c r="C49" s="2">
        <v>-102.3723145</v>
      </c>
      <c r="D49" s="3">
        <f t="shared" si="1"/>
        <v>-843478.2609</v>
      </c>
      <c r="E49" s="4">
        <f t="shared" si="2"/>
        <v>177.2311535</v>
      </c>
      <c r="F49" s="3">
        <f t="shared" si="3"/>
        <v>0.0002101194088</v>
      </c>
      <c r="G49" s="3">
        <f t="shared" si="4"/>
        <v>0</v>
      </c>
      <c r="H49" s="2">
        <f t="shared" si="5"/>
        <v>0</v>
      </c>
      <c r="I49" s="3">
        <f t="shared" si="6"/>
        <v>0</v>
      </c>
      <c r="J49" s="3">
        <f t="shared" si="7"/>
        <v>0</v>
      </c>
      <c r="K49" s="3"/>
      <c r="L49" s="3">
        <f t="shared" si="8"/>
        <v>440.4277933</v>
      </c>
      <c r="M49" s="14">
        <f t="shared" si="9"/>
        <v>441.1666276</v>
      </c>
      <c r="N49" s="14">
        <f t="shared" si="10"/>
        <v>-0.7388343797</v>
      </c>
      <c r="O49" s="3"/>
      <c r="P49" s="23">
        <f t="shared" si="11"/>
        <v>177.2311535</v>
      </c>
      <c r="Q49" s="14">
        <f t="shared" si="12"/>
        <v>440.4277933</v>
      </c>
      <c r="R49" s="2"/>
      <c r="S49" s="14">
        <f t="shared" si="13"/>
        <v>-0.6784687536</v>
      </c>
    </row>
    <row r="50">
      <c r="A50" s="11">
        <v>38.0</v>
      </c>
      <c r="B50" s="11">
        <v>1.41956086956521E9</v>
      </c>
      <c r="C50" s="2">
        <v>-102.3685074</v>
      </c>
      <c r="D50" s="3">
        <f t="shared" si="1"/>
        <v>-839130.4348</v>
      </c>
      <c r="E50" s="4">
        <f t="shared" si="2"/>
        <v>176.3128574</v>
      </c>
      <c r="F50" s="3">
        <f t="shared" si="3"/>
        <v>0.0002101137678</v>
      </c>
      <c r="G50" s="3">
        <f t="shared" si="4"/>
        <v>0</v>
      </c>
      <c r="H50" s="2">
        <f t="shared" si="5"/>
        <v>0</v>
      </c>
      <c r="I50" s="3">
        <f t="shared" si="6"/>
        <v>0</v>
      </c>
      <c r="J50" s="3">
        <f t="shared" si="7"/>
        <v>0</v>
      </c>
      <c r="K50" s="3"/>
      <c r="L50" s="3">
        <f t="shared" si="8"/>
        <v>440.8140491</v>
      </c>
      <c r="M50" s="14">
        <f t="shared" si="9"/>
        <v>441.0827398</v>
      </c>
      <c r="N50" s="14">
        <f t="shared" si="10"/>
        <v>-0.2686907167</v>
      </c>
      <c r="O50" s="3"/>
      <c r="P50" s="23">
        <f t="shared" si="11"/>
        <v>176.3128574</v>
      </c>
      <c r="Q50" s="14">
        <f t="shared" si="12"/>
        <v>440.8140491</v>
      </c>
      <c r="R50" s="2"/>
      <c r="S50" s="14">
        <f t="shared" si="13"/>
        <v>-0.2467376461</v>
      </c>
    </row>
    <row r="51">
      <c r="A51" s="11">
        <v>39.0</v>
      </c>
      <c r="B51" s="11">
        <v>1.4195652173913E9</v>
      </c>
      <c r="C51" s="2">
        <v>-102.3610992</v>
      </c>
      <c r="D51" s="3">
        <f t="shared" si="1"/>
        <v>-834782.6087</v>
      </c>
      <c r="E51" s="4">
        <f t="shared" si="2"/>
        <v>175.3945612</v>
      </c>
      <c r="F51" s="3">
        <f t="shared" si="3"/>
        <v>0.0002101080681</v>
      </c>
      <c r="G51" s="3">
        <f t="shared" si="4"/>
        <v>0</v>
      </c>
      <c r="H51" s="2">
        <f t="shared" si="5"/>
        <v>0</v>
      </c>
      <c r="I51" s="3">
        <f t="shared" si="6"/>
        <v>0</v>
      </c>
      <c r="J51" s="3">
        <f t="shared" si="7"/>
        <v>0</v>
      </c>
      <c r="K51" s="3"/>
      <c r="L51" s="3">
        <f t="shared" si="8"/>
        <v>441.5666319</v>
      </c>
      <c r="M51" s="14">
        <f t="shared" si="9"/>
        <v>440.9991763</v>
      </c>
      <c r="N51" s="14">
        <f t="shared" si="10"/>
        <v>0.5674556234</v>
      </c>
      <c r="O51" s="3"/>
      <c r="P51" s="23">
        <f t="shared" si="11"/>
        <v>175.3945612</v>
      </c>
      <c r="Q51" s="14">
        <f t="shared" si="12"/>
        <v>441.5666319</v>
      </c>
      <c r="R51" s="2"/>
      <c r="S51" s="14">
        <f t="shared" si="13"/>
        <v>0.5210923033</v>
      </c>
    </row>
    <row r="52">
      <c r="A52" s="11">
        <v>40.0</v>
      </c>
      <c r="B52" s="11">
        <v>1.41956956521739E9</v>
      </c>
      <c r="C52" s="2">
        <v>-102.4144211</v>
      </c>
      <c r="D52" s="3">
        <f t="shared" si="1"/>
        <v>-830434.7826</v>
      </c>
      <c r="E52" s="4">
        <f t="shared" si="2"/>
        <v>174.4762651</v>
      </c>
      <c r="F52" s="3">
        <f t="shared" si="3"/>
        <v>0.0002101023088</v>
      </c>
      <c r="G52" s="3">
        <f t="shared" si="4"/>
        <v>0</v>
      </c>
      <c r="H52" s="2">
        <f t="shared" si="5"/>
        <v>0</v>
      </c>
      <c r="I52" s="3">
        <f t="shared" si="6"/>
        <v>0</v>
      </c>
      <c r="J52" s="3">
        <f t="shared" si="7"/>
        <v>0</v>
      </c>
      <c r="K52" s="3"/>
      <c r="L52" s="3">
        <f t="shared" si="8"/>
        <v>436.1783019</v>
      </c>
      <c r="M52" s="14">
        <f t="shared" si="9"/>
        <v>440.9159346</v>
      </c>
      <c r="N52" s="14">
        <f t="shared" si="10"/>
        <v>-4.737632693</v>
      </c>
      <c r="O52" s="3"/>
      <c r="P52" s="23">
        <f t="shared" si="11"/>
        <v>174.4762651</v>
      </c>
      <c r="Q52" s="14">
        <f t="shared" si="12"/>
        <v>436.1783019</v>
      </c>
      <c r="R52" s="2"/>
      <c r="S52" s="14">
        <f t="shared" si="13"/>
        <v>-4.350549781</v>
      </c>
    </row>
    <row r="53">
      <c r="A53" s="11">
        <v>41.0</v>
      </c>
      <c r="B53" s="11">
        <v>1.41957391304347E9</v>
      </c>
      <c r="C53" s="2">
        <v>-102.3544769</v>
      </c>
      <c r="D53" s="3">
        <f t="shared" si="1"/>
        <v>-826086.9565</v>
      </c>
      <c r="E53" s="4">
        <f t="shared" si="2"/>
        <v>173.557969</v>
      </c>
      <c r="F53" s="3">
        <f t="shared" si="3"/>
        <v>0.0002100964888</v>
      </c>
      <c r="G53" s="3">
        <f t="shared" si="4"/>
        <v>0</v>
      </c>
      <c r="H53" s="2">
        <f t="shared" si="5"/>
        <v>0</v>
      </c>
      <c r="I53" s="3">
        <f t="shared" si="6"/>
        <v>0</v>
      </c>
      <c r="J53" s="3">
        <f t="shared" si="7"/>
        <v>0</v>
      </c>
      <c r="K53" s="3"/>
      <c r="L53" s="3">
        <f t="shared" si="8"/>
        <v>442.2404644</v>
      </c>
      <c r="M53" s="14">
        <f t="shared" si="9"/>
        <v>440.8330124</v>
      </c>
      <c r="N53" s="14">
        <f t="shared" si="10"/>
        <v>1.407451956</v>
      </c>
      <c r="O53" s="3"/>
      <c r="P53" s="23">
        <f t="shared" si="11"/>
        <v>173.557969</v>
      </c>
      <c r="Q53" s="14">
        <f t="shared" si="12"/>
        <v>442.2404644</v>
      </c>
      <c r="R53" s="2"/>
      <c r="S53" s="14">
        <f t="shared" si="13"/>
        <v>1.292457688</v>
      </c>
    </row>
    <row r="54">
      <c r="A54" s="11">
        <v>42.0</v>
      </c>
      <c r="B54" s="11">
        <v>1.41957826086956E9</v>
      </c>
      <c r="C54" s="2">
        <v>-102.4443741</v>
      </c>
      <c r="D54" s="3">
        <f t="shared" si="1"/>
        <v>-821739.1304</v>
      </c>
      <c r="E54" s="4">
        <f t="shared" si="2"/>
        <v>172.6396728</v>
      </c>
      <c r="F54" s="3">
        <f t="shared" si="3"/>
        <v>0.0002100906072</v>
      </c>
      <c r="G54" s="3">
        <f t="shared" si="4"/>
        <v>0</v>
      </c>
      <c r="H54" s="2">
        <f t="shared" si="5"/>
        <v>0</v>
      </c>
      <c r="I54" s="3">
        <f t="shared" si="6"/>
        <v>0</v>
      </c>
      <c r="J54" s="3">
        <f t="shared" si="7"/>
        <v>0</v>
      </c>
      <c r="K54" s="3"/>
      <c r="L54" s="3">
        <f t="shared" si="8"/>
        <v>433.1803595</v>
      </c>
      <c r="M54" s="14">
        <f t="shared" si="9"/>
        <v>440.7504074</v>
      </c>
      <c r="N54" s="14">
        <f t="shared" si="10"/>
        <v>-7.570047867</v>
      </c>
      <c r="O54" s="3"/>
      <c r="P54" s="23">
        <f t="shared" si="11"/>
        <v>172.6396728</v>
      </c>
      <c r="Q54" s="14">
        <f t="shared" si="12"/>
        <v>433.1803595</v>
      </c>
      <c r="R54" s="2"/>
      <c r="S54" s="14">
        <f t="shared" si="13"/>
        <v>-6.951545665</v>
      </c>
    </row>
    <row r="55">
      <c r="A55" s="11">
        <v>43.0</v>
      </c>
      <c r="B55" s="11">
        <v>1.41958260869565E9</v>
      </c>
      <c r="C55" s="2">
        <v>-102.3610458</v>
      </c>
      <c r="D55" s="3">
        <f t="shared" si="1"/>
        <v>-817391.3043</v>
      </c>
      <c r="E55" s="4">
        <f t="shared" si="2"/>
        <v>171.7213767</v>
      </c>
      <c r="F55" s="3">
        <f t="shared" si="3"/>
        <v>0.000210084663</v>
      </c>
      <c r="G55" s="3">
        <f t="shared" si="4"/>
        <v>0</v>
      </c>
      <c r="H55" s="2">
        <f t="shared" si="5"/>
        <v>0</v>
      </c>
      <c r="I55" s="3">
        <f t="shared" si="6"/>
        <v>0</v>
      </c>
      <c r="J55" s="3">
        <f t="shared" si="7"/>
        <v>0</v>
      </c>
      <c r="K55" s="3"/>
      <c r="L55" s="3">
        <f t="shared" si="8"/>
        <v>441.5720613</v>
      </c>
      <c r="M55" s="14">
        <f t="shared" si="9"/>
        <v>440.6681171</v>
      </c>
      <c r="N55" s="14">
        <f t="shared" si="10"/>
        <v>0.9039442696</v>
      </c>
      <c r="O55" s="3"/>
      <c r="P55" s="23">
        <f t="shared" si="11"/>
        <v>171.7213767</v>
      </c>
      <c r="Q55" s="14">
        <f t="shared" si="12"/>
        <v>441.5720613</v>
      </c>
      <c r="R55" s="2"/>
      <c r="S55" s="14">
        <f t="shared" si="13"/>
        <v>0.830088527</v>
      </c>
    </row>
    <row r="56">
      <c r="A56" s="11">
        <v>44.0</v>
      </c>
      <c r="B56" s="11">
        <v>1.41958695652173E9</v>
      </c>
      <c r="C56" s="2">
        <v>-102.3883286</v>
      </c>
      <c r="D56" s="3">
        <f t="shared" si="1"/>
        <v>-813043.4783</v>
      </c>
      <c r="E56" s="4">
        <f t="shared" si="2"/>
        <v>170.8030806</v>
      </c>
      <c r="F56" s="3">
        <f t="shared" si="3"/>
        <v>0.0002100786553</v>
      </c>
      <c r="G56" s="3">
        <f t="shared" si="4"/>
        <v>0</v>
      </c>
      <c r="H56" s="2">
        <f t="shared" si="5"/>
        <v>0</v>
      </c>
      <c r="I56" s="3">
        <f t="shared" si="6"/>
        <v>0</v>
      </c>
      <c r="J56" s="3">
        <f t="shared" si="7"/>
        <v>0</v>
      </c>
      <c r="K56" s="3"/>
      <c r="L56" s="3">
        <f t="shared" si="8"/>
        <v>438.8067579</v>
      </c>
      <c r="M56" s="14">
        <f t="shared" si="9"/>
        <v>440.5861391</v>
      </c>
      <c r="N56" s="14">
        <f t="shared" si="10"/>
        <v>-1.779381208</v>
      </c>
      <c r="O56" s="3"/>
      <c r="P56" s="23">
        <f t="shared" si="11"/>
        <v>170.8030806</v>
      </c>
      <c r="Q56" s="14">
        <f t="shared" si="12"/>
        <v>438.8067579</v>
      </c>
      <c r="R56" s="2"/>
      <c r="S56" s="14">
        <f t="shared" si="13"/>
        <v>-1.633998882</v>
      </c>
    </row>
    <row r="57">
      <c r="A57" s="11">
        <v>45.0</v>
      </c>
      <c r="B57" s="11">
        <v>1.41959130434782E9</v>
      </c>
      <c r="C57" s="2">
        <v>-102.3521957</v>
      </c>
      <c r="D57" s="3">
        <f t="shared" si="1"/>
        <v>-808695.6522</v>
      </c>
      <c r="E57" s="4">
        <f t="shared" si="2"/>
        <v>169.8847844</v>
      </c>
      <c r="F57" s="3">
        <f t="shared" si="3"/>
        <v>0.0002100725829</v>
      </c>
      <c r="G57" s="3">
        <f t="shared" si="4"/>
        <v>0</v>
      </c>
      <c r="H57" s="2">
        <f t="shared" si="5"/>
        <v>0</v>
      </c>
      <c r="I57" s="3">
        <f t="shared" si="6"/>
        <v>0</v>
      </c>
      <c r="J57" s="3">
        <f t="shared" si="7"/>
        <v>0</v>
      </c>
      <c r="K57" s="3"/>
      <c r="L57" s="3">
        <f t="shared" si="8"/>
        <v>442.4728191</v>
      </c>
      <c r="M57" s="14">
        <f t="shared" si="9"/>
        <v>440.5044712</v>
      </c>
      <c r="N57" s="14">
        <f t="shared" si="10"/>
        <v>1.968347959</v>
      </c>
      <c r="O57" s="3"/>
      <c r="P57" s="23">
        <f t="shared" si="11"/>
        <v>169.8847844</v>
      </c>
      <c r="Q57" s="14">
        <f t="shared" si="12"/>
        <v>442.4728191</v>
      </c>
      <c r="R57" s="2"/>
      <c r="S57" s="14">
        <f t="shared" si="13"/>
        <v>1.807526318</v>
      </c>
    </row>
    <row r="58">
      <c r="A58" s="11">
        <v>46.0</v>
      </c>
      <c r="B58" s="11">
        <v>1.41959565217391E9</v>
      </c>
      <c r="C58" s="2">
        <v>-102.3744965</v>
      </c>
      <c r="D58" s="3">
        <f t="shared" si="1"/>
        <v>-804347.8261</v>
      </c>
      <c r="E58" s="4">
        <f t="shared" si="2"/>
        <v>168.9664883</v>
      </c>
      <c r="F58" s="3">
        <f t="shared" si="3"/>
        <v>0.0002100664449</v>
      </c>
      <c r="G58" s="3">
        <f t="shared" si="4"/>
        <v>0</v>
      </c>
      <c r="H58" s="2">
        <f t="shared" si="5"/>
        <v>0</v>
      </c>
      <c r="I58" s="3">
        <f t="shared" si="6"/>
        <v>0</v>
      </c>
      <c r="J58" s="3">
        <f t="shared" si="7"/>
        <v>0</v>
      </c>
      <c r="K58" s="3"/>
      <c r="L58" s="3">
        <f t="shared" si="8"/>
        <v>440.2065673</v>
      </c>
      <c r="M58" s="14">
        <f t="shared" si="9"/>
        <v>440.4231108</v>
      </c>
      <c r="N58" s="14">
        <f t="shared" si="10"/>
        <v>-0.2165435215</v>
      </c>
      <c r="O58" s="3"/>
      <c r="P58" s="23">
        <f t="shared" si="11"/>
        <v>168.9664883</v>
      </c>
      <c r="Q58" s="14">
        <f t="shared" si="12"/>
        <v>440.2065673</v>
      </c>
      <c r="R58" s="2"/>
      <c r="S58" s="14">
        <f t="shared" si="13"/>
        <v>-0.1988510779</v>
      </c>
    </row>
    <row r="59">
      <c r="A59" s="11">
        <v>47.0</v>
      </c>
      <c r="B59" s="11">
        <v>1.4196E9</v>
      </c>
      <c r="C59" s="2">
        <v>-102.4160767</v>
      </c>
      <c r="D59" s="3">
        <f t="shared" si="1"/>
        <v>-800000</v>
      </c>
      <c r="E59" s="4">
        <f t="shared" si="2"/>
        <v>168.0481922</v>
      </c>
      <c r="F59" s="3">
        <f t="shared" si="3"/>
        <v>0.0002100602402</v>
      </c>
      <c r="G59" s="3">
        <f t="shared" si="4"/>
        <v>0</v>
      </c>
      <c r="H59" s="2">
        <f t="shared" si="5"/>
        <v>0</v>
      </c>
      <c r="I59" s="3">
        <f t="shared" si="6"/>
        <v>0</v>
      </c>
      <c r="J59" s="3">
        <f t="shared" si="7"/>
        <v>0</v>
      </c>
      <c r="K59" s="3"/>
      <c r="L59" s="3">
        <f t="shared" si="8"/>
        <v>436.0120554</v>
      </c>
      <c r="M59" s="14">
        <f t="shared" si="9"/>
        <v>440.3420557</v>
      </c>
      <c r="N59" s="14">
        <f t="shared" si="10"/>
        <v>-4.330000289</v>
      </c>
      <c r="O59" s="3"/>
      <c r="P59" s="23">
        <f t="shared" si="11"/>
        <v>168.0481922</v>
      </c>
      <c r="Q59" s="14">
        <f t="shared" si="12"/>
        <v>436.0120554</v>
      </c>
      <c r="R59" s="2"/>
      <c r="S59" s="14">
        <f t="shared" si="13"/>
        <v>-3.97622252</v>
      </c>
    </row>
    <row r="60">
      <c r="A60" s="11">
        <v>48.0</v>
      </c>
      <c r="B60" s="11">
        <v>1.41960434782608E9</v>
      </c>
      <c r="C60" s="2">
        <v>-102.3927536</v>
      </c>
      <c r="D60" s="3">
        <f t="shared" si="1"/>
        <v>-795652.1739</v>
      </c>
      <c r="E60" s="4">
        <f t="shared" si="2"/>
        <v>167.129896</v>
      </c>
      <c r="F60" s="3">
        <f t="shared" si="3"/>
        <v>0.0002100539677</v>
      </c>
      <c r="G60" s="3">
        <f t="shared" si="4"/>
        <v>0</v>
      </c>
      <c r="H60" s="2">
        <f t="shared" si="5"/>
        <v>0</v>
      </c>
      <c r="I60" s="3">
        <f t="shared" si="6"/>
        <v>0</v>
      </c>
      <c r="J60" s="3">
        <f t="shared" si="7"/>
        <v>0</v>
      </c>
      <c r="K60" s="3"/>
      <c r="L60" s="3">
        <f t="shared" si="8"/>
        <v>438.3598881</v>
      </c>
      <c r="M60" s="14">
        <f t="shared" si="9"/>
        <v>440.2613035</v>
      </c>
      <c r="N60" s="14">
        <f t="shared" si="10"/>
        <v>-1.901415378</v>
      </c>
      <c r="O60" s="3"/>
      <c r="P60" s="23">
        <f t="shared" si="11"/>
        <v>167.129896</v>
      </c>
      <c r="Q60" s="14">
        <f t="shared" si="12"/>
        <v>438.3598881</v>
      </c>
      <c r="R60" s="2"/>
      <c r="S60" s="14">
        <f t="shared" si="13"/>
        <v>-1.746062388</v>
      </c>
    </row>
    <row r="61">
      <c r="A61" s="11">
        <v>49.0</v>
      </c>
      <c r="B61" s="11">
        <v>1.41960869565217E9</v>
      </c>
      <c r="C61" s="2">
        <v>-102.3602295</v>
      </c>
      <c r="D61" s="3">
        <f t="shared" si="1"/>
        <v>-791304.3478</v>
      </c>
      <c r="E61" s="4">
        <f t="shared" si="2"/>
        <v>166.2115999</v>
      </c>
      <c r="F61" s="3">
        <f t="shared" si="3"/>
        <v>0.0002100476263</v>
      </c>
      <c r="G61" s="3">
        <f t="shared" si="4"/>
        <v>0</v>
      </c>
      <c r="H61" s="2">
        <f t="shared" si="5"/>
        <v>0</v>
      </c>
      <c r="I61" s="3">
        <f t="shared" si="6"/>
        <v>0</v>
      </c>
      <c r="J61" s="3">
        <f t="shared" si="7"/>
        <v>0</v>
      </c>
      <c r="K61" s="3"/>
      <c r="L61" s="3">
        <f t="shared" si="8"/>
        <v>441.655067</v>
      </c>
      <c r="M61" s="14">
        <f t="shared" si="9"/>
        <v>440.1808517</v>
      </c>
      <c r="N61" s="14">
        <f t="shared" si="10"/>
        <v>1.474215359</v>
      </c>
      <c r="O61" s="3"/>
      <c r="P61" s="23">
        <f t="shared" si="11"/>
        <v>166.2115999</v>
      </c>
      <c r="Q61" s="14">
        <f t="shared" si="12"/>
        <v>441.655067</v>
      </c>
      <c r="R61" s="2"/>
      <c r="S61" s="14">
        <f t="shared" si="13"/>
        <v>1.35376626</v>
      </c>
    </row>
    <row r="62">
      <c r="A62" s="11">
        <v>50.0</v>
      </c>
      <c r="B62" s="11">
        <v>1.41961304347826E9</v>
      </c>
      <c r="C62" s="2">
        <v>-102.3930969</v>
      </c>
      <c r="D62" s="3">
        <f t="shared" si="1"/>
        <v>-786956.5217</v>
      </c>
      <c r="E62" s="4">
        <f t="shared" si="2"/>
        <v>165.2933038</v>
      </c>
      <c r="F62" s="3">
        <f t="shared" si="3"/>
        <v>0.0002100412148</v>
      </c>
      <c r="G62" s="3">
        <f t="shared" si="4"/>
        <v>0</v>
      </c>
      <c r="H62" s="2">
        <f t="shared" si="5"/>
        <v>0</v>
      </c>
      <c r="I62" s="3">
        <f t="shared" si="6"/>
        <v>0</v>
      </c>
      <c r="J62" s="3">
        <f t="shared" si="7"/>
        <v>0</v>
      </c>
      <c r="K62" s="3"/>
      <c r="L62" s="3">
        <f t="shared" si="8"/>
        <v>438.3252381</v>
      </c>
      <c r="M62" s="14">
        <f t="shared" si="9"/>
        <v>440.100698</v>
      </c>
      <c r="N62" s="14">
        <f t="shared" si="10"/>
        <v>-1.775459872</v>
      </c>
      <c r="O62" s="3"/>
      <c r="P62" s="23">
        <f t="shared" si="11"/>
        <v>165.2933038</v>
      </c>
      <c r="Q62" s="14">
        <f t="shared" si="12"/>
        <v>438.3252381</v>
      </c>
      <c r="R62" s="2"/>
      <c r="S62" s="14">
        <f t="shared" si="13"/>
        <v>-1.630397934</v>
      </c>
    </row>
    <row r="63">
      <c r="A63" s="11">
        <v>51.0</v>
      </c>
      <c r="B63" s="11">
        <v>1.41961739130434E9</v>
      </c>
      <c r="C63" s="2">
        <v>-102.4208527</v>
      </c>
      <c r="D63" s="3">
        <f t="shared" si="1"/>
        <v>-782608.6957</v>
      </c>
      <c r="E63" s="4">
        <f t="shared" si="2"/>
        <v>164.3750077</v>
      </c>
      <c r="F63" s="3">
        <f t="shared" si="3"/>
        <v>0.000210034732</v>
      </c>
      <c r="G63" s="3">
        <f t="shared" si="4"/>
        <v>0</v>
      </c>
      <c r="H63" s="2">
        <f t="shared" si="5"/>
        <v>0</v>
      </c>
      <c r="I63" s="3">
        <f t="shared" si="6"/>
        <v>0</v>
      </c>
      <c r="J63" s="3">
        <f t="shared" si="7"/>
        <v>0</v>
      </c>
      <c r="K63" s="3"/>
      <c r="L63" s="3">
        <f t="shared" si="8"/>
        <v>435.5328301</v>
      </c>
      <c r="M63" s="14">
        <f t="shared" si="9"/>
        <v>440.02084</v>
      </c>
      <c r="N63" s="14">
        <f t="shared" si="10"/>
        <v>-4.488009821</v>
      </c>
      <c r="O63" s="3"/>
      <c r="P63" s="23">
        <f t="shared" si="11"/>
        <v>164.3750077</v>
      </c>
      <c r="Q63" s="14">
        <f t="shared" si="12"/>
        <v>435.5328301</v>
      </c>
      <c r="R63" s="2"/>
      <c r="S63" s="14">
        <f t="shared" si="13"/>
        <v>-4.121322063</v>
      </c>
    </row>
    <row r="64">
      <c r="A64" s="11">
        <v>52.0</v>
      </c>
      <c r="B64" s="11">
        <v>1.41962173913043E9</v>
      </c>
      <c r="C64" s="2">
        <v>-102.3599319</v>
      </c>
      <c r="D64" s="3">
        <f t="shared" si="1"/>
        <v>-778260.8696</v>
      </c>
      <c r="E64" s="4">
        <f t="shared" si="2"/>
        <v>163.4567115</v>
      </c>
      <c r="F64" s="3">
        <f t="shared" si="3"/>
        <v>0.0002100281768</v>
      </c>
      <c r="G64" s="3">
        <f t="shared" si="4"/>
        <v>0</v>
      </c>
      <c r="H64" s="2">
        <f t="shared" si="5"/>
        <v>0</v>
      </c>
      <c r="I64" s="3">
        <f t="shared" si="6"/>
        <v>0</v>
      </c>
      <c r="J64" s="3">
        <f t="shared" si="7"/>
        <v>0</v>
      </c>
      <c r="K64" s="3"/>
      <c r="L64" s="3">
        <f t="shared" si="8"/>
        <v>441.6853324</v>
      </c>
      <c r="M64" s="14">
        <f t="shared" si="9"/>
        <v>439.9412753</v>
      </c>
      <c r="N64" s="14">
        <f t="shared" si="10"/>
        <v>1.744057137</v>
      </c>
      <c r="O64" s="3"/>
      <c r="P64" s="23">
        <f t="shared" si="11"/>
        <v>163.4567115</v>
      </c>
      <c r="Q64" s="14">
        <f t="shared" si="12"/>
        <v>441.6853324</v>
      </c>
      <c r="R64" s="2"/>
      <c r="S64" s="14">
        <f t="shared" si="13"/>
        <v>1.601560921</v>
      </c>
    </row>
    <row r="65">
      <c r="A65" s="11">
        <v>53.0</v>
      </c>
      <c r="B65" s="11">
        <v>1.41962608695652E9</v>
      </c>
      <c r="C65" s="2">
        <v>-102.3743973</v>
      </c>
      <c r="D65" s="3">
        <f t="shared" si="1"/>
        <v>-773913.0435</v>
      </c>
      <c r="E65" s="4">
        <f t="shared" si="2"/>
        <v>162.5384154</v>
      </c>
      <c r="F65" s="3">
        <f t="shared" si="3"/>
        <v>0.000210021548</v>
      </c>
      <c r="G65" s="3">
        <f t="shared" si="4"/>
        <v>0</v>
      </c>
      <c r="H65" s="2">
        <f t="shared" si="5"/>
        <v>0</v>
      </c>
      <c r="I65" s="3">
        <f t="shared" si="6"/>
        <v>0</v>
      </c>
      <c r="J65" s="3">
        <f t="shared" si="7"/>
        <v>0</v>
      </c>
      <c r="K65" s="3"/>
      <c r="L65" s="3">
        <f t="shared" si="8"/>
        <v>440.2166225</v>
      </c>
      <c r="M65" s="14">
        <f t="shared" si="9"/>
        <v>439.8620016</v>
      </c>
      <c r="N65" s="14">
        <f t="shared" si="10"/>
        <v>0.3546208723</v>
      </c>
      <c r="O65" s="3"/>
      <c r="P65" s="23">
        <f t="shared" si="11"/>
        <v>162.5384154</v>
      </c>
      <c r="Q65" s="14">
        <f t="shared" si="12"/>
        <v>440.2166225</v>
      </c>
      <c r="R65" s="2"/>
      <c r="S65" s="14">
        <f t="shared" si="13"/>
        <v>0.3256469756</v>
      </c>
    </row>
    <row r="66">
      <c r="A66" s="11">
        <v>54.0</v>
      </c>
      <c r="B66" s="11">
        <v>1.4196304347826E9</v>
      </c>
      <c r="C66" s="2">
        <v>-102.3477173</v>
      </c>
      <c r="D66" s="3">
        <f t="shared" si="1"/>
        <v>-769565.2174</v>
      </c>
      <c r="E66" s="4">
        <f t="shared" si="2"/>
        <v>161.6201193</v>
      </c>
      <c r="F66" s="3">
        <f t="shared" si="3"/>
        <v>0.0002100148442</v>
      </c>
      <c r="G66" s="3">
        <f t="shared" si="4"/>
        <v>0</v>
      </c>
      <c r="H66" s="2">
        <f t="shared" si="5"/>
        <v>0</v>
      </c>
      <c r="I66" s="3">
        <f t="shared" si="6"/>
        <v>0</v>
      </c>
      <c r="J66" s="3">
        <f t="shared" si="7"/>
        <v>0</v>
      </c>
      <c r="K66" s="3"/>
      <c r="L66" s="3">
        <f t="shared" si="8"/>
        <v>442.9293279</v>
      </c>
      <c r="M66" s="14">
        <f t="shared" si="9"/>
        <v>439.7830165</v>
      </c>
      <c r="N66" s="14">
        <f t="shared" si="10"/>
        <v>3.146311423</v>
      </c>
      <c r="O66" s="3"/>
      <c r="P66" s="23">
        <f t="shared" si="11"/>
        <v>161.6201193</v>
      </c>
      <c r="Q66" s="14">
        <f t="shared" si="12"/>
        <v>442.9293279</v>
      </c>
      <c r="R66" s="2"/>
      <c r="S66" s="14">
        <f t="shared" si="13"/>
        <v>2.889245612</v>
      </c>
    </row>
    <row r="67">
      <c r="A67" s="11">
        <v>55.0</v>
      </c>
      <c r="B67" s="11">
        <v>1.41963478260869E9</v>
      </c>
      <c r="C67" s="2">
        <v>-102.3026199</v>
      </c>
      <c r="D67" s="3">
        <f t="shared" si="1"/>
        <v>-765217.3913</v>
      </c>
      <c r="E67" s="4">
        <f t="shared" si="2"/>
        <v>160.7018231</v>
      </c>
      <c r="F67" s="3">
        <f t="shared" si="3"/>
        <v>0.0002100080643</v>
      </c>
      <c r="G67" s="3">
        <f t="shared" si="4"/>
        <v>0</v>
      </c>
      <c r="H67" s="2">
        <f t="shared" si="5"/>
        <v>0</v>
      </c>
      <c r="I67" s="3">
        <f t="shared" si="6"/>
        <v>0</v>
      </c>
      <c r="J67" s="3">
        <f t="shared" si="7"/>
        <v>0</v>
      </c>
      <c r="K67" s="3"/>
      <c r="L67" s="3">
        <f t="shared" si="8"/>
        <v>447.5526958</v>
      </c>
      <c r="M67" s="14">
        <f t="shared" si="9"/>
        <v>439.7043175</v>
      </c>
      <c r="N67" s="14">
        <f t="shared" si="10"/>
        <v>7.848378246</v>
      </c>
      <c r="O67" s="3"/>
      <c r="P67" s="23">
        <f t="shared" si="11"/>
        <v>160.7018231</v>
      </c>
      <c r="Q67" s="14">
        <f t="shared" si="12"/>
        <v>447.5526958</v>
      </c>
      <c r="R67" s="2"/>
      <c r="S67" s="14">
        <f t="shared" si="13"/>
        <v>7.207135392</v>
      </c>
    </row>
    <row r="68">
      <c r="A68" s="11">
        <v>56.0</v>
      </c>
      <c r="B68" s="11">
        <v>1.41963913043478E9</v>
      </c>
      <c r="C68" s="2">
        <v>-102.3667679</v>
      </c>
      <c r="D68" s="24">
        <f t="shared" si="1"/>
        <v>-760869.5652</v>
      </c>
      <c r="E68" s="25">
        <f t="shared" si="2"/>
        <v>159.783527</v>
      </c>
      <c r="F68" s="24">
        <f t="shared" si="3"/>
        <v>0.0002100012069</v>
      </c>
      <c r="G68" s="24">
        <f t="shared" si="4"/>
        <v>0</v>
      </c>
      <c r="H68" s="26">
        <f t="shared" si="5"/>
        <v>0</v>
      </c>
      <c r="I68" s="24">
        <f t="shared" si="6"/>
        <v>0</v>
      </c>
      <c r="J68" s="24">
        <f t="shared" si="7"/>
        <v>0</v>
      </c>
      <c r="K68" s="24"/>
      <c r="L68" s="24">
        <f t="shared" si="8"/>
        <v>440.9906458</v>
      </c>
      <c r="M68" s="14">
        <f t="shared" si="9"/>
        <v>439.6259024</v>
      </c>
      <c r="N68" s="27">
        <f t="shared" si="10"/>
        <v>1.364743384</v>
      </c>
      <c r="O68" s="24"/>
      <c r="P68" s="28">
        <f t="shared" ref="P68:P123" si="14">-((B418-$B$4)/$B$4)*(3*10^5)</f>
        <v>-160.7018231</v>
      </c>
      <c r="Q68" s="27">
        <f t="shared" ref="Q68:Q123" si="15">(1/(2*$K$13))*(I417)</f>
        <v>407.9885241</v>
      </c>
      <c r="R68" s="26"/>
      <c r="S68" s="14">
        <f t="shared" si="13"/>
        <v>1.253238569</v>
      </c>
    </row>
    <row r="69">
      <c r="A69" s="11">
        <v>57.0</v>
      </c>
      <c r="B69" s="11">
        <v>1.41964347826087E9</v>
      </c>
      <c r="C69" s="2">
        <v>-102.370491</v>
      </c>
      <c r="D69" s="24">
        <f t="shared" si="1"/>
        <v>-756521.7391</v>
      </c>
      <c r="E69" s="25">
        <f t="shared" si="2"/>
        <v>158.8652309</v>
      </c>
      <c r="F69" s="24">
        <f t="shared" si="3"/>
        <v>0.0002099942707</v>
      </c>
      <c r="G69" s="24">
        <f t="shared" si="4"/>
        <v>0</v>
      </c>
      <c r="H69" s="26">
        <f t="shared" si="5"/>
        <v>0</v>
      </c>
      <c r="I69" s="24">
        <f t="shared" si="6"/>
        <v>0</v>
      </c>
      <c r="J69" s="24">
        <f t="shared" si="7"/>
        <v>0</v>
      </c>
      <c r="K69" s="24"/>
      <c r="L69" s="24">
        <f t="shared" si="8"/>
        <v>440.6127573</v>
      </c>
      <c r="M69" s="14">
        <f t="shared" si="9"/>
        <v>439.5477687</v>
      </c>
      <c r="N69" s="27">
        <f t="shared" si="10"/>
        <v>1.064988621</v>
      </c>
      <c r="O69" s="24"/>
      <c r="P69" s="28">
        <f t="shared" si="14"/>
        <v>-161.6201193</v>
      </c>
      <c r="Q69" s="27">
        <f t="shared" si="15"/>
        <v>413.9373046</v>
      </c>
      <c r="R69" s="26"/>
      <c r="S69" s="14">
        <f t="shared" si="13"/>
        <v>0.977974932</v>
      </c>
    </row>
    <row r="70">
      <c r="A70" s="11">
        <v>58.0</v>
      </c>
      <c r="B70" s="11">
        <v>1.41964782608695E9</v>
      </c>
      <c r="C70" s="2">
        <v>-102.3912354</v>
      </c>
      <c r="D70" s="24">
        <f t="shared" si="1"/>
        <v>-752173.913</v>
      </c>
      <c r="E70" s="25">
        <f t="shared" si="2"/>
        <v>157.9469347</v>
      </c>
      <c r="F70" s="24">
        <f t="shared" si="3"/>
        <v>0.0002099872543</v>
      </c>
      <c r="G70" s="24">
        <f t="shared" si="4"/>
        <v>0</v>
      </c>
      <c r="H70" s="26">
        <f t="shared" si="5"/>
        <v>0</v>
      </c>
      <c r="I70" s="24">
        <f t="shared" si="6"/>
        <v>0</v>
      </c>
      <c r="J70" s="24">
        <f t="shared" si="7"/>
        <v>0</v>
      </c>
      <c r="K70" s="24"/>
      <c r="L70" s="24">
        <f t="shared" si="8"/>
        <v>438.513156</v>
      </c>
      <c r="M70" s="14">
        <f t="shared" si="9"/>
        <v>439.4699141</v>
      </c>
      <c r="N70" s="27">
        <f t="shared" si="10"/>
        <v>-0.9567580123</v>
      </c>
      <c r="O70" s="24"/>
      <c r="P70" s="28">
        <f t="shared" si="14"/>
        <v>-162.5384154</v>
      </c>
      <c r="Q70" s="27">
        <f t="shared" si="15"/>
        <v>413.6625239</v>
      </c>
      <c r="R70" s="26"/>
      <c r="S70" s="14">
        <f t="shared" si="13"/>
        <v>-0.8785871827</v>
      </c>
    </row>
    <row r="71">
      <c r="A71" s="11">
        <v>59.0</v>
      </c>
      <c r="B71" s="11">
        <v>1.41965217391304E9</v>
      </c>
      <c r="C71" s="2">
        <v>-102.3892899</v>
      </c>
      <c r="D71" s="24">
        <f t="shared" si="1"/>
        <v>-747826.087</v>
      </c>
      <c r="E71" s="25">
        <f t="shared" si="2"/>
        <v>157.0286386</v>
      </c>
      <c r="F71" s="24">
        <f t="shared" si="3"/>
        <v>0.0002099801563</v>
      </c>
      <c r="G71" s="24">
        <f t="shared" si="4"/>
        <v>0</v>
      </c>
      <c r="H71" s="26">
        <f t="shared" si="5"/>
        <v>0</v>
      </c>
      <c r="I71" s="24">
        <f t="shared" si="6"/>
        <v>0</v>
      </c>
      <c r="J71" s="24">
        <f t="shared" si="7"/>
        <v>0</v>
      </c>
      <c r="K71" s="24"/>
      <c r="L71" s="24">
        <f t="shared" si="8"/>
        <v>438.7096399</v>
      </c>
      <c r="M71" s="14">
        <f t="shared" si="9"/>
        <v>439.3923361</v>
      </c>
      <c r="N71" s="27">
        <f t="shared" si="10"/>
        <v>-0.6826962141</v>
      </c>
      <c r="O71" s="24"/>
      <c r="P71" s="28">
        <f t="shared" si="14"/>
        <v>-163.4567115</v>
      </c>
      <c r="Q71" s="27">
        <f t="shared" si="15"/>
        <v>411.0842874</v>
      </c>
      <c r="R71" s="26"/>
      <c r="S71" s="14">
        <f t="shared" si="13"/>
        <v>-0.6269172919</v>
      </c>
    </row>
    <row r="72">
      <c r="A72" s="11">
        <v>60.0</v>
      </c>
      <c r="B72" s="11">
        <v>1.41965652173913E9</v>
      </c>
      <c r="C72" s="2">
        <v>-102.3470459</v>
      </c>
      <c r="D72" s="24">
        <f t="shared" si="1"/>
        <v>-743478.2609</v>
      </c>
      <c r="E72" s="25">
        <f t="shared" si="2"/>
        <v>156.1103425</v>
      </c>
      <c r="F72" s="24">
        <f t="shared" si="3"/>
        <v>0.0002099729752</v>
      </c>
      <c r="G72" s="24">
        <f t="shared" si="4"/>
        <v>0</v>
      </c>
      <c r="H72" s="26">
        <f t="shared" si="5"/>
        <v>0</v>
      </c>
      <c r="I72" s="24">
        <f t="shared" si="6"/>
        <v>0</v>
      </c>
      <c r="J72" s="24">
        <f t="shared" si="7"/>
        <v>0</v>
      </c>
      <c r="K72" s="24"/>
      <c r="L72" s="24">
        <f t="shared" si="8"/>
        <v>442.9978081</v>
      </c>
      <c r="M72" s="14">
        <f t="shared" si="9"/>
        <v>439.3150324</v>
      </c>
      <c r="N72" s="27">
        <f t="shared" si="10"/>
        <v>3.682775653</v>
      </c>
      <c r="O72" s="24"/>
      <c r="P72" s="28">
        <f t="shared" si="14"/>
        <v>-164.3750077</v>
      </c>
      <c r="Q72" s="27">
        <f t="shared" si="15"/>
        <v>413.6588854</v>
      </c>
      <c r="R72" s="26"/>
      <c r="S72" s="14">
        <f t="shared" si="13"/>
        <v>3.38187864</v>
      </c>
    </row>
    <row r="73">
      <c r="A73" s="11">
        <v>61.0</v>
      </c>
      <c r="B73" s="11">
        <v>1.41966086956521E9</v>
      </c>
      <c r="C73" s="2">
        <v>-102.3924866</v>
      </c>
      <c r="D73" s="24">
        <f t="shared" si="1"/>
        <v>-739130.4348</v>
      </c>
      <c r="E73" s="25">
        <f t="shared" si="2"/>
        <v>155.1920463</v>
      </c>
      <c r="F73" s="24">
        <f t="shared" si="3"/>
        <v>0.0002099657097</v>
      </c>
      <c r="G73" s="24">
        <f t="shared" si="4"/>
        <v>0</v>
      </c>
      <c r="H73" s="26">
        <f t="shared" si="5"/>
        <v>0</v>
      </c>
      <c r="I73" s="24">
        <f t="shared" si="6"/>
        <v>0</v>
      </c>
      <c r="J73" s="24">
        <f t="shared" si="7"/>
        <v>0</v>
      </c>
      <c r="K73" s="24"/>
      <c r="L73" s="24">
        <f t="shared" si="8"/>
        <v>438.3868388</v>
      </c>
      <c r="M73" s="14">
        <f t="shared" si="9"/>
        <v>439.2380007</v>
      </c>
      <c r="N73" s="27">
        <f t="shared" si="10"/>
        <v>-0.8511618405</v>
      </c>
      <c r="O73" s="24"/>
      <c r="P73" s="28">
        <f t="shared" si="14"/>
        <v>-165.2933038</v>
      </c>
      <c r="Q73" s="27">
        <f t="shared" si="15"/>
        <v>409.0758085</v>
      </c>
      <c r="R73" s="26"/>
      <c r="S73" s="14">
        <f t="shared" si="13"/>
        <v>-0.7816186265</v>
      </c>
    </row>
    <row r="74">
      <c r="A74" s="11">
        <v>62.0</v>
      </c>
      <c r="B74" s="11">
        <v>1.4196652173913E9</v>
      </c>
      <c r="C74" s="2">
        <v>-102.3835449</v>
      </c>
      <c r="D74" s="24">
        <f t="shared" si="1"/>
        <v>-734782.6087</v>
      </c>
      <c r="E74" s="25">
        <f t="shared" si="2"/>
        <v>154.2737502</v>
      </c>
      <c r="F74" s="24">
        <f t="shared" si="3"/>
        <v>0.0002099583583</v>
      </c>
      <c r="G74" s="24">
        <f t="shared" si="4"/>
        <v>0</v>
      </c>
      <c r="H74" s="26">
        <f t="shared" si="5"/>
        <v>0</v>
      </c>
      <c r="I74" s="24">
        <f t="shared" si="6"/>
        <v>0</v>
      </c>
      <c r="J74" s="24">
        <f t="shared" si="7"/>
        <v>0</v>
      </c>
      <c r="K74" s="24"/>
      <c r="L74" s="24">
        <f t="shared" si="8"/>
        <v>439.2903644</v>
      </c>
      <c r="M74" s="14">
        <f t="shared" si="9"/>
        <v>439.1612385</v>
      </c>
      <c r="N74" s="27">
        <f t="shared" si="10"/>
        <v>0.1291259485</v>
      </c>
      <c r="O74" s="24"/>
      <c r="P74" s="28">
        <f t="shared" si="14"/>
        <v>-166.2115999</v>
      </c>
      <c r="Q74" s="27">
        <f t="shared" si="15"/>
        <v>410.2135554</v>
      </c>
      <c r="R74" s="26"/>
      <c r="S74" s="14">
        <f t="shared" si="13"/>
        <v>0.1185758589</v>
      </c>
    </row>
    <row r="75">
      <c r="A75" s="11">
        <v>63.0</v>
      </c>
      <c r="B75" s="11">
        <v>1.41966956521739E9</v>
      </c>
      <c r="C75" s="2">
        <v>-102.4249725</v>
      </c>
      <c r="D75" s="24">
        <f t="shared" si="1"/>
        <v>-730434.7826</v>
      </c>
      <c r="E75" s="25">
        <f t="shared" si="2"/>
        <v>153.3554541</v>
      </c>
      <c r="F75" s="24">
        <f t="shared" si="3"/>
        <v>0.0002099509193</v>
      </c>
      <c r="G75" s="24">
        <f t="shared" si="4"/>
        <v>0</v>
      </c>
      <c r="H75" s="26">
        <f t="shared" si="5"/>
        <v>0</v>
      </c>
      <c r="I75" s="24">
        <f t="shared" si="6"/>
        <v>0</v>
      </c>
      <c r="J75" s="24">
        <f t="shared" si="7"/>
        <v>0</v>
      </c>
      <c r="K75" s="24"/>
      <c r="L75" s="24">
        <f t="shared" si="8"/>
        <v>435.1198713</v>
      </c>
      <c r="M75" s="14">
        <f t="shared" si="9"/>
        <v>439.0847434</v>
      </c>
      <c r="N75" s="27">
        <f t="shared" si="10"/>
        <v>-3.964872102</v>
      </c>
      <c r="O75" s="24"/>
      <c r="P75" s="28">
        <f t="shared" si="14"/>
        <v>-167.129896</v>
      </c>
      <c r="Q75" s="27">
        <f t="shared" si="15"/>
        <v>414.3607375</v>
      </c>
      <c r="R75" s="26"/>
      <c r="S75" s="14">
        <f t="shared" si="13"/>
        <v>-3.640926718</v>
      </c>
    </row>
    <row r="76">
      <c r="A76" s="11">
        <v>64.0</v>
      </c>
      <c r="B76" s="11">
        <v>1.41967391304347E9</v>
      </c>
      <c r="C76" s="2">
        <v>-102.3805847</v>
      </c>
      <c r="D76" s="24">
        <f t="shared" si="1"/>
        <v>-726086.9565</v>
      </c>
      <c r="E76" s="25">
        <f t="shared" si="2"/>
        <v>152.4371579</v>
      </c>
      <c r="F76" s="24">
        <f t="shared" si="3"/>
        <v>0.0002099433912</v>
      </c>
      <c r="G76" s="24">
        <f t="shared" si="4"/>
        <v>0</v>
      </c>
      <c r="H76" s="26">
        <f t="shared" si="5"/>
        <v>0</v>
      </c>
      <c r="I76" s="24">
        <f t="shared" si="6"/>
        <v>0</v>
      </c>
      <c r="J76" s="24">
        <f t="shared" si="7"/>
        <v>0</v>
      </c>
      <c r="K76" s="24"/>
      <c r="L76" s="24">
        <f t="shared" si="8"/>
        <v>439.5898917</v>
      </c>
      <c r="M76" s="14">
        <f t="shared" si="9"/>
        <v>439.0085132</v>
      </c>
      <c r="N76" s="27">
        <f t="shared" si="10"/>
        <v>0.5813785865</v>
      </c>
      <c r="O76" s="24"/>
      <c r="P76" s="28">
        <f t="shared" si="14"/>
        <v>-168.0481922</v>
      </c>
      <c r="Q76" s="27">
        <f t="shared" si="15"/>
        <v>412.1776486</v>
      </c>
      <c r="R76" s="26"/>
      <c r="S76" s="14">
        <f t="shared" si="13"/>
        <v>0.5338777077</v>
      </c>
    </row>
    <row r="77">
      <c r="A77" s="11">
        <v>65.0</v>
      </c>
      <c r="B77" s="11">
        <v>1.41967826086956E9</v>
      </c>
      <c r="C77" s="2">
        <v>-102.4067307</v>
      </c>
      <c r="D77" s="24">
        <f t="shared" si="1"/>
        <v>-721739.1304</v>
      </c>
      <c r="E77" s="25">
        <f t="shared" si="2"/>
        <v>151.5188618</v>
      </c>
      <c r="F77" s="24">
        <f t="shared" si="3"/>
        <v>0.0002099357724</v>
      </c>
      <c r="G77" s="24">
        <f t="shared" si="4"/>
        <v>0</v>
      </c>
      <c r="H77" s="26">
        <f t="shared" si="5"/>
        <v>0</v>
      </c>
      <c r="I77" s="24">
        <f t="shared" si="6"/>
        <v>0</v>
      </c>
      <c r="J77" s="24">
        <f t="shared" si="7"/>
        <v>0</v>
      </c>
      <c r="K77" s="24"/>
      <c r="L77" s="24">
        <f t="shared" si="8"/>
        <v>436.951362</v>
      </c>
      <c r="M77" s="14">
        <f t="shared" si="9"/>
        <v>438.9325453</v>
      </c>
      <c r="N77" s="27">
        <f t="shared" si="10"/>
        <v>-1.981183315</v>
      </c>
      <c r="O77" s="24"/>
      <c r="P77" s="28">
        <f t="shared" si="14"/>
        <v>-168.9664883</v>
      </c>
      <c r="Q77" s="27">
        <f t="shared" si="15"/>
        <v>407.8179783</v>
      </c>
      <c r="R77" s="26"/>
      <c r="S77" s="14">
        <f t="shared" si="13"/>
        <v>-1.819312972</v>
      </c>
    </row>
    <row r="78">
      <c r="A78" s="11">
        <v>66.0</v>
      </c>
      <c r="B78" s="11">
        <v>1.41968260869565E9</v>
      </c>
      <c r="C78" s="2">
        <v>-102.4339981</v>
      </c>
      <c r="D78" s="24">
        <f t="shared" si="1"/>
        <v>-717391.3043</v>
      </c>
      <c r="E78" s="25">
        <f t="shared" si="2"/>
        <v>150.6005657</v>
      </c>
      <c r="F78" s="24">
        <f t="shared" si="3"/>
        <v>0.0002099280612</v>
      </c>
      <c r="G78" s="24">
        <f t="shared" si="4"/>
        <v>0</v>
      </c>
      <c r="H78" s="26">
        <f t="shared" si="5"/>
        <v>0</v>
      </c>
      <c r="I78" s="24">
        <f t="shared" si="6"/>
        <v>0</v>
      </c>
      <c r="J78" s="24">
        <f t="shared" si="7"/>
        <v>0</v>
      </c>
      <c r="K78" s="24"/>
      <c r="L78" s="24">
        <f t="shared" si="8"/>
        <v>434.216535</v>
      </c>
      <c r="M78" s="14">
        <f t="shared" si="9"/>
        <v>438.8568374</v>
      </c>
      <c r="N78" s="27">
        <f t="shared" si="10"/>
        <v>-4.640302464</v>
      </c>
      <c r="O78" s="24"/>
      <c r="P78" s="28">
        <f t="shared" si="14"/>
        <v>-169.8847844</v>
      </c>
      <c r="Q78" s="27">
        <f t="shared" si="15"/>
        <v>417.9312033</v>
      </c>
      <c r="R78" s="26"/>
      <c r="S78" s="14">
        <f t="shared" si="13"/>
        <v>-4.261171808</v>
      </c>
    </row>
    <row r="79">
      <c r="A79" s="11">
        <v>67.0</v>
      </c>
      <c r="B79" s="11">
        <v>1.41968695652173E9</v>
      </c>
      <c r="C79" s="2">
        <v>-102.3911743</v>
      </c>
      <c r="D79" s="24">
        <f t="shared" si="1"/>
        <v>-713043.4783</v>
      </c>
      <c r="E79" s="25">
        <f t="shared" si="2"/>
        <v>149.6822695</v>
      </c>
      <c r="F79" s="24">
        <f t="shared" si="3"/>
        <v>0.0002099202561</v>
      </c>
      <c r="G79" s="24">
        <f t="shared" si="4"/>
        <v>0</v>
      </c>
      <c r="H79" s="26">
        <f t="shared" si="5"/>
        <v>0</v>
      </c>
      <c r="I79" s="24">
        <f t="shared" si="6"/>
        <v>0</v>
      </c>
      <c r="J79" s="24">
        <f t="shared" si="7"/>
        <v>0</v>
      </c>
      <c r="K79" s="24"/>
      <c r="L79" s="24">
        <f t="shared" si="8"/>
        <v>438.5193254</v>
      </c>
      <c r="M79" s="14">
        <f t="shared" si="9"/>
        <v>438.7813872</v>
      </c>
      <c r="N79" s="27">
        <f t="shared" si="10"/>
        <v>-0.2620617916</v>
      </c>
      <c r="O79" s="24"/>
      <c r="P79" s="28">
        <f t="shared" si="14"/>
        <v>-170.8030806</v>
      </c>
      <c r="Q79" s="27">
        <f t="shared" si="15"/>
        <v>410.5105637</v>
      </c>
      <c r="R79" s="26"/>
      <c r="S79" s="14">
        <f t="shared" si="13"/>
        <v>-0.2406503297</v>
      </c>
    </row>
    <row r="80">
      <c r="A80" s="11">
        <v>68.0</v>
      </c>
      <c r="B80" s="11">
        <v>1.41969130434782E9</v>
      </c>
      <c r="C80" s="2">
        <v>-102.3635406</v>
      </c>
      <c r="D80" s="24">
        <f t="shared" si="1"/>
        <v>-708695.6522</v>
      </c>
      <c r="E80" s="25">
        <f t="shared" si="2"/>
        <v>148.7639734</v>
      </c>
      <c r="F80" s="24">
        <f t="shared" si="3"/>
        <v>0.0002099123551</v>
      </c>
      <c r="G80" s="24">
        <f t="shared" si="4"/>
        <v>0</v>
      </c>
      <c r="H80" s="26">
        <f t="shared" si="5"/>
        <v>0</v>
      </c>
      <c r="I80" s="24">
        <f t="shared" si="6"/>
        <v>0</v>
      </c>
      <c r="J80" s="24">
        <f t="shared" si="7"/>
        <v>0</v>
      </c>
      <c r="K80" s="24"/>
      <c r="L80" s="24">
        <f t="shared" si="8"/>
        <v>441.3184736</v>
      </c>
      <c r="M80" s="14">
        <f t="shared" si="9"/>
        <v>438.7061923</v>
      </c>
      <c r="N80" s="27">
        <f t="shared" si="10"/>
        <v>2.612281285</v>
      </c>
      <c r="O80" s="24"/>
      <c r="P80" s="28">
        <f t="shared" si="14"/>
        <v>-171.7213767</v>
      </c>
      <c r="Q80" s="27">
        <f t="shared" si="15"/>
        <v>411.4317921</v>
      </c>
      <c r="R80" s="26"/>
      <c r="S80" s="14">
        <f t="shared" si="13"/>
        <v>2.398847802</v>
      </c>
    </row>
    <row r="81">
      <c r="A81" s="11">
        <v>69.0</v>
      </c>
      <c r="B81" s="11">
        <v>1.41969565217391E9</v>
      </c>
      <c r="C81" s="2">
        <v>-102.3934479</v>
      </c>
      <c r="D81" s="24">
        <f t="shared" si="1"/>
        <v>-704347.8261</v>
      </c>
      <c r="E81" s="25">
        <f t="shared" si="2"/>
        <v>147.8456773</v>
      </c>
      <c r="F81" s="24">
        <f t="shared" si="3"/>
        <v>0.0002099043566</v>
      </c>
      <c r="G81" s="24">
        <f t="shared" si="4"/>
        <v>0</v>
      </c>
      <c r="H81" s="26">
        <f t="shared" si="5"/>
        <v>0</v>
      </c>
      <c r="I81" s="24">
        <f t="shared" si="6"/>
        <v>0</v>
      </c>
      <c r="J81" s="24">
        <f t="shared" si="7"/>
        <v>0</v>
      </c>
      <c r="K81" s="24"/>
      <c r="L81" s="24">
        <f t="shared" si="8"/>
        <v>438.2898138</v>
      </c>
      <c r="M81" s="14">
        <f t="shared" si="9"/>
        <v>438.6312502</v>
      </c>
      <c r="N81" s="27">
        <f t="shared" si="10"/>
        <v>-0.3414364757</v>
      </c>
      <c r="O81" s="24"/>
      <c r="P81" s="28">
        <f t="shared" si="14"/>
        <v>-172.6396728</v>
      </c>
      <c r="Q81" s="27">
        <f t="shared" si="15"/>
        <v>412.4949228</v>
      </c>
      <c r="R81" s="26"/>
      <c r="S81" s="14">
        <f t="shared" si="13"/>
        <v>-0.3135397945</v>
      </c>
    </row>
    <row r="82">
      <c r="A82" s="11">
        <v>70.0</v>
      </c>
      <c r="B82" s="11">
        <v>1.4197E9</v>
      </c>
      <c r="C82" s="2">
        <v>-102.3774185</v>
      </c>
      <c r="D82" s="24">
        <f t="shared" si="1"/>
        <v>-700000</v>
      </c>
      <c r="E82" s="25">
        <f t="shared" si="2"/>
        <v>146.9273811</v>
      </c>
      <c r="F82" s="24">
        <f t="shared" si="3"/>
        <v>0.0002098962588</v>
      </c>
      <c r="G82" s="24">
        <f t="shared" si="4"/>
        <v>0</v>
      </c>
      <c r="H82" s="26">
        <f t="shared" si="5"/>
        <v>0</v>
      </c>
      <c r="I82" s="24">
        <f t="shared" si="6"/>
        <v>0</v>
      </c>
      <c r="J82" s="24">
        <f t="shared" si="7"/>
        <v>0</v>
      </c>
      <c r="K82" s="24"/>
      <c r="L82" s="24">
        <f t="shared" si="8"/>
        <v>439.9104892</v>
      </c>
      <c r="M82" s="14">
        <f t="shared" si="9"/>
        <v>438.5565587</v>
      </c>
      <c r="N82" s="27">
        <f t="shared" si="10"/>
        <v>1.353930516</v>
      </c>
      <c r="O82" s="24"/>
      <c r="P82" s="28">
        <f t="shared" si="14"/>
        <v>-173.557969</v>
      </c>
      <c r="Q82" s="27">
        <f t="shared" si="15"/>
        <v>409.2569444</v>
      </c>
      <c r="R82" s="26"/>
      <c r="S82" s="14">
        <f t="shared" si="13"/>
        <v>1.243309157</v>
      </c>
    </row>
    <row r="83">
      <c r="A83" s="11">
        <v>71.0</v>
      </c>
      <c r="B83" s="11">
        <v>1.41970434782608E9</v>
      </c>
      <c r="C83" s="2">
        <v>-102.4392776</v>
      </c>
      <c r="D83" s="24">
        <f t="shared" si="1"/>
        <v>-695652.1739</v>
      </c>
      <c r="E83" s="25">
        <f t="shared" si="2"/>
        <v>146.009085</v>
      </c>
      <c r="F83" s="24">
        <f t="shared" si="3"/>
        <v>0.0002098880597</v>
      </c>
      <c r="G83" s="24">
        <f t="shared" si="4"/>
        <v>0</v>
      </c>
      <c r="H83" s="26">
        <f t="shared" si="5"/>
        <v>0</v>
      </c>
      <c r="I83" s="24">
        <f t="shared" si="6"/>
        <v>0</v>
      </c>
      <c r="J83" s="24">
        <f t="shared" si="7"/>
        <v>0</v>
      </c>
      <c r="K83" s="24"/>
      <c r="L83" s="24">
        <f t="shared" si="8"/>
        <v>433.6890004</v>
      </c>
      <c r="M83" s="14">
        <f t="shared" si="9"/>
        <v>438.4821152</v>
      </c>
      <c r="N83" s="27">
        <f t="shared" si="10"/>
        <v>-4.79311479</v>
      </c>
      <c r="O83" s="24"/>
      <c r="P83" s="28">
        <f t="shared" si="14"/>
        <v>-174.4762651</v>
      </c>
      <c r="Q83" s="27">
        <f t="shared" si="15"/>
        <v>416.6036853</v>
      </c>
      <c r="R83" s="26"/>
      <c r="S83" s="14">
        <f t="shared" si="13"/>
        <v>-4.401498776</v>
      </c>
    </row>
    <row r="84">
      <c r="A84" s="11">
        <v>72.0</v>
      </c>
      <c r="B84" s="11">
        <v>1.41970869565217E9</v>
      </c>
      <c r="C84" s="2">
        <v>-102.3890228</v>
      </c>
      <c r="D84" s="24">
        <f t="shared" si="1"/>
        <v>-691304.3478</v>
      </c>
      <c r="E84" s="25">
        <f t="shared" si="2"/>
        <v>145.0907889</v>
      </c>
      <c r="F84" s="24">
        <f t="shared" si="3"/>
        <v>0.0002098797575</v>
      </c>
      <c r="G84" s="24">
        <f t="shared" si="4"/>
        <v>0</v>
      </c>
      <c r="H84" s="26">
        <f t="shared" si="5"/>
        <v>0</v>
      </c>
      <c r="I84" s="24">
        <f t="shared" si="6"/>
        <v>0</v>
      </c>
      <c r="J84" s="24">
        <f t="shared" si="7"/>
        <v>0</v>
      </c>
      <c r="K84" s="24"/>
      <c r="L84" s="24">
        <f t="shared" si="8"/>
        <v>438.7366223</v>
      </c>
      <c r="M84" s="14">
        <f t="shared" si="9"/>
        <v>438.4079175</v>
      </c>
      <c r="N84" s="27">
        <f t="shared" si="10"/>
        <v>0.3287047072</v>
      </c>
      <c r="O84" s="24"/>
      <c r="P84" s="28">
        <f t="shared" si="14"/>
        <v>-175.3945612</v>
      </c>
      <c r="Q84" s="27">
        <f t="shared" si="15"/>
        <v>408.9414451</v>
      </c>
      <c r="R84" s="26"/>
      <c r="S84" s="14">
        <f t="shared" si="13"/>
        <v>0.3018482607</v>
      </c>
    </row>
    <row r="85">
      <c r="A85" s="11">
        <v>73.0</v>
      </c>
      <c r="B85" s="11">
        <v>1.41971304347826E9</v>
      </c>
      <c r="C85" s="2">
        <v>-102.3603821</v>
      </c>
      <c r="D85" s="24">
        <f t="shared" si="1"/>
        <v>-686956.5217</v>
      </c>
      <c r="E85" s="25">
        <f t="shared" si="2"/>
        <v>144.1724927</v>
      </c>
      <c r="F85" s="24">
        <f t="shared" si="3"/>
        <v>0.0002098713502</v>
      </c>
      <c r="G85" s="24">
        <f t="shared" si="4"/>
        <v>0</v>
      </c>
      <c r="H85" s="26">
        <f t="shared" si="5"/>
        <v>0</v>
      </c>
      <c r="I85" s="24">
        <f t="shared" si="6"/>
        <v>0</v>
      </c>
      <c r="J85" s="24">
        <f t="shared" si="7"/>
        <v>0</v>
      </c>
      <c r="K85" s="24"/>
      <c r="L85" s="24">
        <f t="shared" si="8"/>
        <v>441.6395487</v>
      </c>
      <c r="M85" s="14">
        <f t="shared" si="9"/>
        <v>438.3339632</v>
      </c>
      <c r="N85" s="27">
        <f t="shared" si="10"/>
        <v>3.305585439</v>
      </c>
      <c r="O85" s="24"/>
      <c r="P85" s="28">
        <f t="shared" si="14"/>
        <v>-176.3128574</v>
      </c>
      <c r="Q85" s="27">
        <f t="shared" si="15"/>
        <v>411.6899046</v>
      </c>
      <c r="R85" s="26"/>
      <c r="S85" s="14">
        <f t="shared" si="13"/>
        <v>3.035506325</v>
      </c>
    </row>
    <row r="86">
      <c r="A86" s="11">
        <v>74.0</v>
      </c>
      <c r="B86" s="11">
        <v>1.41971739130434E9</v>
      </c>
      <c r="C86" s="2">
        <v>-102.3639984</v>
      </c>
      <c r="D86" s="24">
        <f t="shared" si="1"/>
        <v>-682608.6957</v>
      </c>
      <c r="E86" s="25">
        <f t="shared" si="2"/>
        <v>143.2541966</v>
      </c>
      <c r="F86" s="24">
        <f t="shared" si="3"/>
        <v>0.0002098628358</v>
      </c>
      <c r="G86" s="24">
        <f t="shared" si="4"/>
        <v>0</v>
      </c>
      <c r="H86" s="26">
        <f t="shared" si="5"/>
        <v>0</v>
      </c>
      <c r="I86" s="24">
        <f t="shared" si="6"/>
        <v>0</v>
      </c>
      <c r="J86" s="24">
        <f t="shared" si="7"/>
        <v>0</v>
      </c>
      <c r="K86" s="24"/>
      <c r="L86" s="24">
        <f t="shared" si="8"/>
        <v>441.2719556</v>
      </c>
      <c r="M86" s="14">
        <f t="shared" si="9"/>
        <v>438.2602499</v>
      </c>
      <c r="N86" s="27">
        <f t="shared" si="10"/>
        <v>3.011705722</v>
      </c>
      <c r="O86" s="24"/>
      <c r="P86" s="28">
        <f t="shared" si="14"/>
        <v>-177.2311535</v>
      </c>
      <c r="Q86" s="27">
        <f t="shared" si="15"/>
        <v>410.2913938</v>
      </c>
      <c r="R86" s="26"/>
      <c r="S86" s="14">
        <f t="shared" si="13"/>
        <v>2.765637718</v>
      </c>
    </row>
    <row r="87">
      <c r="A87" s="11">
        <v>75.0</v>
      </c>
      <c r="B87" s="11">
        <v>1.41972173913043E9</v>
      </c>
      <c r="C87" s="2">
        <v>-102.4400024</v>
      </c>
      <c r="D87" s="24">
        <f t="shared" si="1"/>
        <v>-678260.8696</v>
      </c>
      <c r="E87" s="25">
        <f t="shared" si="2"/>
        <v>142.3359005</v>
      </c>
      <c r="F87" s="24">
        <f t="shared" si="3"/>
        <v>0.0002098542122</v>
      </c>
      <c r="G87" s="24">
        <f t="shared" si="4"/>
        <v>0</v>
      </c>
      <c r="H87" s="26">
        <f t="shared" si="5"/>
        <v>0</v>
      </c>
      <c r="I87" s="24">
        <f t="shared" si="6"/>
        <v>0</v>
      </c>
      <c r="J87" s="24">
        <f t="shared" si="7"/>
        <v>0</v>
      </c>
      <c r="K87" s="24"/>
      <c r="L87" s="24">
        <f t="shared" si="8"/>
        <v>433.6166275</v>
      </c>
      <c r="M87" s="14">
        <f t="shared" si="9"/>
        <v>438.1867752</v>
      </c>
      <c r="N87" s="27">
        <f t="shared" si="10"/>
        <v>-4.570147624</v>
      </c>
      <c r="O87" s="24"/>
      <c r="P87" s="28">
        <f t="shared" si="14"/>
        <v>-178.1494496</v>
      </c>
      <c r="Q87" s="27">
        <f t="shared" si="15"/>
        <v>406.5768693</v>
      </c>
      <c r="R87" s="26"/>
      <c r="S87" s="14">
        <f t="shared" si="13"/>
        <v>-4.196748879</v>
      </c>
    </row>
    <row r="88">
      <c r="A88" s="11">
        <v>76.0</v>
      </c>
      <c r="B88" s="11">
        <v>1.41972608695652E9</v>
      </c>
      <c r="C88" s="2">
        <v>-102.3518753</v>
      </c>
      <c r="D88" s="24">
        <f t="shared" si="1"/>
        <v>-673913.0435</v>
      </c>
      <c r="E88" s="25">
        <f t="shared" si="2"/>
        <v>141.4176044</v>
      </c>
      <c r="F88" s="24">
        <f t="shared" si="3"/>
        <v>0.0002098454774</v>
      </c>
      <c r="G88" s="24">
        <f t="shared" si="4"/>
        <v>0</v>
      </c>
      <c r="H88" s="26">
        <f t="shared" si="5"/>
        <v>0</v>
      </c>
      <c r="I88" s="24">
        <f t="shared" si="6"/>
        <v>0</v>
      </c>
      <c r="J88" s="24">
        <f t="shared" si="7"/>
        <v>0</v>
      </c>
      <c r="K88" s="24"/>
      <c r="L88" s="24">
        <f t="shared" si="8"/>
        <v>442.5054637</v>
      </c>
      <c r="M88" s="14">
        <f t="shared" si="9"/>
        <v>438.1135367</v>
      </c>
      <c r="N88" s="27">
        <f t="shared" si="10"/>
        <v>4.391927036</v>
      </c>
      <c r="O88" s="24"/>
      <c r="P88" s="28">
        <f t="shared" si="14"/>
        <v>-179.0677458</v>
      </c>
      <c r="Q88" s="27">
        <f t="shared" si="15"/>
        <v>407.1751334</v>
      </c>
      <c r="R88" s="26"/>
      <c r="S88" s="14">
        <f t="shared" si="13"/>
        <v>4.033089613</v>
      </c>
    </row>
    <row r="89">
      <c r="A89" s="11">
        <v>77.0</v>
      </c>
      <c r="B89" s="11">
        <v>1.4197304347826E9</v>
      </c>
      <c r="C89" s="2">
        <v>-102.3867798</v>
      </c>
      <c r="D89" s="24">
        <f t="shared" si="1"/>
        <v>-669565.2174</v>
      </c>
      <c r="E89" s="25">
        <f t="shared" si="2"/>
        <v>140.4993082</v>
      </c>
      <c r="F89" s="24">
        <f t="shared" si="3"/>
        <v>0.0002098366292</v>
      </c>
      <c r="G89" s="24">
        <f t="shared" si="4"/>
        <v>0</v>
      </c>
      <c r="H89" s="26">
        <f t="shared" si="5"/>
        <v>0</v>
      </c>
      <c r="I89" s="24">
        <f t="shared" si="6"/>
        <v>0</v>
      </c>
      <c r="J89" s="24">
        <f t="shared" si="7"/>
        <v>0</v>
      </c>
      <c r="K89" s="24"/>
      <c r="L89" s="24">
        <f t="shared" si="8"/>
        <v>438.963275</v>
      </c>
      <c r="M89" s="14">
        <f t="shared" si="9"/>
        <v>438.040532</v>
      </c>
      <c r="N89" s="27">
        <f t="shared" si="10"/>
        <v>0.9227430068</v>
      </c>
      <c r="O89" s="24"/>
      <c r="P89" s="28">
        <f t="shared" si="14"/>
        <v>-179.9860419</v>
      </c>
      <c r="Q89" s="27">
        <f t="shared" si="15"/>
        <v>407.8165416</v>
      </c>
      <c r="R89" s="26"/>
      <c r="S89" s="14">
        <f t="shared" si="13"/>
        <v>0.8473513347</v>
      </c>
    </row>
    <row r="90">
      <c r="A90" s="11">
        <v>78.0</v>
      </c>
      <c r="B90" s="11">
        <v>1.41973478260869E9</v>
      </c>
      <c r="C90" s="2">
        <v>-102.4099884</v>
      </c>
      <c r="D90" s="24">
        <f t="shared" si="1"/>
        <v>-665217.3913</v>
      </c>
      <c r="E90" s="25">
        <f t="shared" si="2"/>
        <v>139.5810121</v>
      </c>
      <c r="F90" s="24">
        <f t="shared" si="3"/>
        <v>0.0002098276652</v>
      </c>
      <c r="G90" s="24">
        <f t="shared" si="4"/>
        <v>0</v>
      </c>
      <c r="H90" s="26">
        <f t="shared" si="5"/>
        <v>0</v>
      </c>
      <c r="I90" s="24">
        <f t="shared" si="6"/>
        <v>0</v>
      </c>
      <c r="J90" s="24">
        <f t="shared" si="7"/>
        <v>0</v>
      </c>
      <c r="K90" s="24"/>
      <c r="L90" s="24">
        <f t="shared" si="8"/>
        <v>436.6237219</v>
      </c>
      <c r="M90" s="14">
        <f t="shared" si="9"/>
        <v>437.9677588</v>
      </c>
      <c r="N90" s="27">
        <f t="shared" si="10"/>
        <v>-1.344036907</v>
      </c>
      <c r="O90" s="24"/>
      <c r="P90" s="28">
        <f t="shared" si="14"/>
        <v>-180.904338</v>
      </c>
      <c r="Q90" s="27">
        <f t="shared" si="15"/>
        <v>410.2784134</v>
      </c>
      <c r="R90" s="26"/>
      <c r="S90" s="14">
        <f t="shared" si="13"/>
        <v>-1.234223894</v>
      </c>
    </row>
    <row r="91">
      <c r="A91" s="11">
        <v>79.0</v>
      </c>
      <c r="B91" s="11">
        <v>1.41973913043478E9</v>
      </c>
      <c r="C91" s="2">
        <v>-102.3742905</v>
      </c>
      <c r="D91" s="24">
        <f t="shared" si="1"/>
        <v>-660869.5652</v>
      </c>
      <c r="E91" s="25">
        <f t="shared" si="2"/>
        <v>138.662716</v>
      </c>
      <c r="F91" s="24">
        <f t="shared" si="3"/>
        <v>0.0002098185833</v>
      </c>
      <c r="G91" s="24">
        <f t="shared" si="4"/>
        <v>0</v>
      </c>
      <c r="H91" s="26">
        <f t="shared" si="5"/>
        <v>0</v>
      </c>
      <c r="I91" s="24">
        <f t="shared" si="6"/>
        <v>0</v>
      </c>
      <c r="J91" s="24">
        <f t="shared" si="7"/>
        <v>0</v>
      </c>
      <c r="K91" s="24"/>
      <c r="L91" s="24">
        <f t="shared" si="8"/>
        <v>440.2274482</v>
      </c>
      <c r="M91" s="14">
        <f t="shared" si="9"/>
        <v>437.8952147</v>
      </c>
      <c r="N91" s="27">
        <f t="shared" si="10"/>
        <v>2.332233513</v>
      </c>
      <c r="O91" s="24"/>
      <c r="P91" s="28">
        <f t="shared" si="14"/>
        <v>-181.8226342</v>
      </c>
      <c r="Q91" s="27">
        <f t="shared" si="15"/>
        <v>409.1239629</v>
      </c>
      <c r="R91" s="26"/>
      <c r="S91" s="14">
        <f t="shared" si="13"/>
        <v>2.14168101</v>
      </c>
    </row>
    <row r="92">
      <c r="A92" s="11">
        <v>80.0</v>
      </c>
      <c r="B92" s="11">
        <v>1.41974347826087E9</v>
      </c>
      <c r="C92" s="2">
        <v>-102.3722687</v>
      </c>
      <c r="D92" s="24">
        <f t="shared" si="1"/>
        <v>-656521.7391</v>
      </c>
      <c r="E92" s="25">
        <f t="shared" si="2"/>
        <v>137.7444198</v>
      </c>
      <c r="F92" s="24">
        <f t="shared" si="3"/>
        <v>0.0002098093812</v>
      </c>
      <c r="G92" s="24">
        <f t="shared" si="4"/>
        <v>0</v>
      </c>
      <c r="H92" s="26">
        <f t="shared" si="5"/>
        <v>0</v>
      </c>
      <c r="I92" s="24">
        <f t="shared" si="6"/>
        <v>0</v>
      </c>
      <c r="J92" s="24">
        <f t="shared" si="7"/>
        <v>0</v>
      </c>
      <c r="K92" s="24"/>
      <c r="L92" s="24">
        <f t="shared" si="8"/>
        <v>440.432438</v>
      </c>
      <c r="M92" s="14">
        <f t="shared" si="9"/>
        <v>437.8228973</v>
      </c>
      <c r="N92" s="27">
        <f t="shared" si="10"/>
        <v>2.609540621</v>
      </c>
      <c r="O92" s="24"/>
      <c r="P92" s="28">
        <f t="shared" si="14"/>
        <v>-182.7409303</v>
      </c>
      <c r="Q92" s="27">
        <f t="shared" si="15"/>
        <v>407.8093768</v>
      </c>
      <c r="R92" s="26"/>
      <c r="S92" s="14">
        <f t="shared" si="13"/>
        <v>2.396331061</v>
      </c>
    </row>
    <row r="93">
      <c r="A93" s="11">
        <v>81.0</v>
      </c>
      <c r="B93" s="11">
        <v>1.41974782608695E9</v>
      </c>
      <c r="C93" s="2">
        <v>-102.3967209</v>
      </c>
      <c r="D93" s="24">
        <f t="shared" si="1"/>
        <v>-652173.913</v>
      </c>
      <c r="E93" s="25">
        <f t="shared" si="2"/>
        <v>136.8261237</v>
      </c>
      <c r="F93" s="24">
        <f t="shared" si="3"/>
        <v>0.0002098000563</v>
      </c>
      <c r="G93" s="24">
        <f t="shared" si="4"/>
        <v>0</v>
      </c>
      <c r="H93" s="26">
        <f t="shared" si="5"/>
        <v>0</v>
      </c>
      <c r="I93" s="24">
        <f t="shared" si="6"/>
        <v>0</v>
      </c>
      <c r="J93" s="24">
        <f t="shared" si="7"/>
        <v>0</v>
      </c>
      <c r="K93" s="24"/>
      <c r="L93" s="24">
        <f t="shared" si="8"/>
        <v>437.9596272</v>
      </c>
      <c r="M93" s="14">
        <f t="shared" si="9"/>
        <v>437.7508043</v>
      </c>
      <c r="N93" s="27">
        <f t="shared" si="10"/>
        <v>0.2088228732</v>
      </c>
      <c r="O93" s="24"/>
      <c r="P93" s="28">
        <f t="shared" si="14"/>
        <v>-183.6592264</v>
      </c>
      <c r="Q93" s="27">
        <f t="shared" si="15"/>
        <v>408.636238</v>
      </c>
      <c r="R93" s="26"/>
      <c r="S93" s="14">
        <f t="shared" si="13"/>
        <v>0.1917612369</v>
      </c>
    </row>
    <row r="94">
      <c r="A94" s="11">
        <v>82.0</v>
      </c>
      <c r="B94" s="11">
        <v>1.41975217391304E9</v>
      </c>
      <c r="C94" s="2">
        <v>-102.3957291</v>
      </c>
      <c r="D94" s="24">
        <f t="shared" si="1"/>
        <v>-647826.087</v>
      </c>
      <c r="E94" s="25">
        <f t="shared" si="2"/>
        <v>135.9078276</v>
      </c>
      <c r="F94" s="24">
        <f t="shared" si="3"/>
        <v>0.0002097906063</v>
      </c>
      <c r="G94" s="24">
        <f t="shared" si="4"/>
        <v>0</v>
      </c>
      <c r="H94" s="26">
        <f t="shared" si="5"/>
        <v>0</v>
      </c>
      <c r="I94" s="24">
        <f t="shared" si="6"/>
        <v>0</v>
      </c>
      <c r="J94" s="24">
        <f t="shared" si="7"/>
        <v>0</v>
      </c>
      <c r="K94" s="24"/>
      <c r="L94" s="24">
        <f t="shared" si="8"/>
        <v>438.0596556</v>
      </c>
      <c r="M94" s="14">
        <f t="shared" si="9"/>
        <v>437.6789332</v>
      </c>
      <c r="N94" s="27">
        <f t="shared" si="10"/>
        <v>0.3807224065</v>
      </c>
      <c r="O94" s="24"/>
      <c r="P94" s="28">
        <f t="shared" si="14"/>
        <v>-184.5775226</v>
      </c>
      <c r="Q94" s="27">
        <f t="shared" si="15"/>
        <v>406.7261702</v>
      </c>
      <c r="R94" s="26"/>
      <c r="S94" s="14">
        <f t="shared" si="13"/>
        <v>0.3496159127</v>
      </c>
    </row>
    <row r="95">
      <c r="A95" s="11">
        <v>83.0</v>
      </c>
      <c r="B95" s="11">
        <v>1.41975652173913E9</v>
      </c>
      <c r="C95" s="2">
        <v>-102.3717575</v>
      </c>
      <c r="D95" s="24">
        <f t="shared" si="1"/>
        <v>-643478.2609</v>
      </c>
      <c r="E95" s="25">
        <f t="shared" si="2"/>
        <v>134.9895314</v>
      </c>
      <c r="F95" s="24">
        <f t="shared" si="3"/>
        <v>0.0002097810286</v>
      </c>
      <c r="G95" s="24">
        <f t="shared" si="4"/>
        <v>0</v>
      </c>
      <c r="H95" s="26">
        <f t="shared" si="5"/>
        <v>0</v>
      </c>
      <c r="I95" s="24">
        <f t="shared" si="6"/>
        <v>0</v>
      </c>
      <c r="J95" s="24">
        <f t="shared" si="7"/>
        <v>0</v>
      </c>
      <c r="K95" s="24"/>
      <c r="L95" s="24">
        <f t="shared" si="8"/>
        <v>440.4842835</v>
      </c>
      <c r="M95" s="14">
        <f t="shared" si="9"/>
        <v>437.6072817</v>
      </c>
      <c r="N95" s="27">
        <f t="shared" si="10"/>
        <v>2.877001843</v>
      </c>
      <c r="O95" s="24"/>
      <c r="P95" s="28">
        <f t="shared" si="14"/>
        <v>-185.4958187</v>
      </c>
      <c r="Q95" s="27">
        <f t="shared" si="15"/>
        <v>408.9263606</v>
      </c>
      <c r="R95" s="26"/>
      <c r="S95" s="14">
        <f t="shared" si="13"/>
        <v>2.641939666</v>
      </c>
    </row>
    <row r="96">
      <c r="A96" s="11">
        <v>84.0</v>
      </c>
      <c r="B96" s="11">
        <v>1.41976086956521E9</v>
      </c>
      <c r="C96" s="2">
        <v>-102.4308701</v>
      </c>
      <c r="D96" s="24">
        <f t="shared" si="1"/>
        <v>-639130.4348</v>
      </c>
      <c r="E96" s="25">
        <f t="shared" si="2"/>
        <v>134.0712353</v>
      </c>
      <c r="F96" s="24">
        <f t="shared" si="3"/>
        <v>0.0002097713205</v>
      </c>
      <c r="G96" s="24">
        <f t="shared" si="4"/>
        <v>0</v>
      </c>
      <c r="H96" s="26">
        <f t="shared" si="5"/>
        <v>0</v>
      </c>
      <c r="I96" s="24">
        <f t="shared" si="6"/>
        <v>0</v>
      </c>
      <c r="J96" s="24">
        <f t="shared" si="7"/>
        <v>0</v>
      </c>
      <c r="K96" s="24"/>
      <c r="L96" s="24">
        <f t="shared" si="8"/>
        <v>434.5293915</v>
      </c>
      <c r="M96" s="14">
        <f t="shared" si="9"/>
        <v>437.5358473</v>
      </c>
      <c r="N96" s="27">
        <f t="shared" si="10"/>
        <v>-3.006455833</v>
      </c>
      <c r="O96" s="24"/>
      <c r="P96" s="28">
        <f t="shared" si="14"/>
        <v>-186.4141148</v>
      </c>
      <c r="Q96" s="27">
        <f t="shared" si="15"/>
        <v>409.4266589</v>
      </c>
      <c r="R96" s="26"/>
      <c r="S96" s="14">
        <f t="shared" si="13"/>
        <v>-2.760816765</v>
      </c>
    </row>
    <row r="97">
      <c r="A97" s="11">
        <v>85.0</v>
      </c>
      <c r="B97" s="11">
        <v>1.4197652173913E9</v>
      </c>
      <c r="C97" s="2">
        <v>-102.3247604</v>
      </c>
      <c r="D97" s="24">
        <f t="shared" si="1"/>
        <v>-634782.6087</v>
      </c>
      <c r="E97" s="25">
        <f t="shared" si="2"/>
        <v>133.1529392</v>
      </c>
      <c r="F97" s="24">
        <f t="shared" si="3"/>
        <v>0.0002097614795</v>
      </c>
      <c r="G97" s="24">
        <f t="shared" si="4"/>
        <v>0</v>
      </c>
      <c r="H97" s="26">
        <f t="shared" si="5"/>
        <v>0</v>
      </c>
      <c r="I97" s="24">
        <f t="shared" si="6"/>
        <v>0</v>
      </c>
      <c r="J97" s="24">
        <f t="shared" si="7"/>
        <v>0</v>
      </c>
      <c r="K97" s="24"/>
      <c r="L97" s="24">
        <f t="shared" si="8"/>
        <v>445.276861</v>
      </c>
      <c r="M97" s="14">
        <f t="shared" si="9"/>
        <v>437.4646278</v>
      </c>
      <c r="N97" s="27">
        <f t="shared" si="10"/>
        <v>7.812233155</v>
      </c>
      <c r="O97" s="24"/>
      <c r="P97" s="28">
        <f t="shared" si="14"/>
        <v>-187.332411</v>
      </c>
      <c r="Q97" s="27">
        <f t="shared" si="15"/>
        <v>408.2043114</v>
      </c>
      <c r="R97" s="26"/>
      <c r="S97" s="14">
        <f t="shared" si="13"/>
        <v>7.173943478</v>
      </c>
    </row>
    <row r="98">
      <c r="A98" s="11">
        <v>86.0</v>
      </c>
      <c r="B98" s="11">
        <v>1.41976956521739E9</v>
      </c>
      <c r="C98" s="2">
        <v>-102.3444138</v>
      </c>
      <c r="D98" s="24">
        <f t="shared" si="1"/>
        <v>-630434.7826</v>
      </c>
      <c r="E98" s="25">
        <f t="shared" si="2"/>
        <v>132.234643</v>
      </c>
      <c r="F98" s="24">
        <f t="shared" si="3"/>
        <v>0.0002097515027</v>
      </c>
      <c r="G98" s="24">
        <f t="shared" si="4"/>
        <v>0</v>
      </c>
      <c r="H98" s="26">
        <f t="shared" si="5"/>
        <v>0</v>
      </c>
      <c r="I98" s="24">
        <f t="shared" si="6"/>
        <v>0</v>
      </c>
      <c r="J98" s="24">
        <f t="shared" si="7"/>
        <v>0</v>
      </c>
      <c r="K98" s="24"/>
      <c r="L98" s="24">
        <f t="shared" si="8"/>
        <v>443.2663742</v>
      </c>
      <c r="M98" s="14">
        <f t="shared" si="9"/>
        <v>437.3936207</v>
      </c>
      <c r="N98" s="27">
        <f t="shared" si="10"/>
        <v>5.872753517</v>
      </c>
      <c r="O98" s="24"/>
      <c r="P98" s="28">
        <f t="shared" si="14"/>
        <v>-188.2507071</v>
      </c>
      <c r="Q98" s="27">
        <f t="shared" si="15"/>
        <v>405.2626383</v>
      </c>
      <c r="R98" s="26"/>
      <c r="S98" s="14">
        <f t="shared" si="13"/>
        <v>5.392926844</v>
      </c>
    </row>
    <row r="99">
      <c r="A99" s="11">
        <v>87.0</v>
      </c>
      <c r="B99" s="11">
        <v>1.41977391304347E9</v>
      </c>
      <c r="C99" s="2">
        <v>-102.3518829</v>
      </c>
      <c r="D99" s="24">
        <f t="shared" si="1"/>
        <v>-626086.9565</v>
      </c>
      <c r="E99" s="25">
        <f t="shared" si="2"/>
        <v>131.3163469</v>
      </c>
      <c r="F99" s="24">
        <f t="shared" si="3"/>
        <v>0.0002097413874</v>
      </c>
      <c r="G99" s="24">
        <f t="shared" si="4"/>
        <v>0</v>
      </c>
      <c r="H99" s="26">
        <f t="shared" si="5"/>
        <v>0</v>
      </c>
      <c r="I99" s="24">
        <f t="shared" si="6"/>
        <v>0</v>
      </c>
      <c r="J99" s="24">
        <f t="shared" si="7"/>
        <v>0</v>
      </c>
      <c r="K99" s="24"/>
      <c r="L99" s="24">
        <f t="shared" si="8"/>
        <v>442.5046893</v>
      </c>
      <c r="M99" s="14">
        <f t="shared" si="9"/>
        <v>437.3228237</v>
      </c>
      <c r="N99" s="27">
        <f t="shared" si="10"/>
        <v>5.181865645</v>
      </c>
      <c r="O99" s="24"/>
      <c r="P99" s="28">
        <f t="shared" si="14"/>
        <v>-189.1690032</v>
      </c>
      <c r="Q99" s="27">
        <f t="shared" si="15"/>
        <v>412.0958371</v>
      </c>
      <c r="R99" s="26"/>
      <c r="S99" s="14">
        <f t="shared" si="13"/>
        <v>4.758487183</v>
      </c>
    </row>
    <row r="100">
      <c r="A100" s="11">
        <v>88.0</v>
      </c>
      <c r="B100" s="11">
        <v>1.41977826086956E9</v>
      </c>
      <c r="C100" s="2">
        <v>-102.3749542</v>
      </c>
      <c r="D100" s="24">
        <f t="shared" si="1"/>
        <v>-621739.1304</v>
      </c>
      <c r="E100" s="25">
        <f t="shared" si="2"/>
        <v>130.3980508</v>
      </c>
      <c r="F100" s="24">
        <f t="shared" si="3"/>
        <v>0.0002097311306</v>
      </c>
      <c r="G100" s="24">
        <f t="shared" si="4"/>
        <v>0</v>
      </c>
      <c r="H100" s="26">
        <f t="shared" si="5"/>
        <v>0</v>
      </c>
      <c r="I100" s="24">
        <f t="shared" si="6"/>
        <v>0</v>
      </c>
      <c r="J100" s="24">
        <f t="shared" si="7"/>
        <v>0</v>
      </c>
      <c r="K100" s="24"/>
      <c r="L100" s="24">
        <f t="shared" si="8"/>
        <v>440.1601767</v>
      </c>
      <c r="M100" s="14">
        <f t="shared" si="9"/>
        <v>437.2522343</v>
      </c>
      <c r="N100" s="27">
        <f t="shared" si="10"/>
        <v>2.907942363</v>
      </c>
      <c r="O100" s="24"/>
      <c r="P100" s="28">
        <f t="shared" si="14"/>
        <v>-190.0872994</v>
      </c>
      <c r="Q100" s="27">
        <f t="shared" si="15"/>
        <v>409.5100999</v>
      </c>
      <c r="R100" s="26"/>
      <c r="S100" s="14">
        <f t="shared" si="13"/>
        <v>2.67035222</v>
      </c>
    </row>
    <row r="101">
      <c r="A101" s="11">
        <v>89.0</v>
      </c>
      <c r="B101" s="11">
        <v>1.41978260869565E9</v>
      </c>
      <c r="C101" s="2">
        <v>-102.404007</v>
      </c>
      <c r="D101" s="24">
        <f t="shared" si="1"/>
        <v>-617391.3043</v>
      </c>
      <c r="E101" s="25">
        <f t="shared" si="2"/>
        <v>129.4797546</v>
      </c>
      <c r="F101" s="24">
        <f t="shared" si="3"/>
        <v>0.0002097207293</v>
      </c>
      <c r="G101" s="24">
        <f t="shared" si="4"/>
        <v>0</v>
      </c>
      <c r="H101" s="26">
        <f t="shared" si="5"/>
        <v>0</v>
      </c>
      <c r="I101" s="24">
        <f t="shared" si="6"/>
        <v>0</v>
      </c>
      <c r="J101" s="24">
        <f t="shared" si="7"/>
        <v>0</v>
      </c>
      <c r="K101" s="24"/>
      <c r="L101" s="24">
        <f t="shared" si="8"/>
        <v>437.2254842</v>
      </c>
      <c r="M101" s="14">
        <f t="shared" si="9"/>
        <v>437.1818503</v>
      </c>
      <c r="N101" s="27">
        <f t="shared" si="10"/>
        <v>0.04363393612</v>
      </c>
      <c r="O101" s="24"/>
      <c r="P101" s="28">
        <f t="shared" si="14"/>
        <v>-191.0055955</v>
      </c>
      <c r="Q101" s="27">
        <f t="shared" si="15"/>
        <v>407.0971738</v>
      </c>
      <c r="R101" s="26"/>
      <c r="S101" s="14">
        <f t="shared" si="13"/>
        <v>0.04006887479</v>
      </c>
    </row>
    <row r="102">
      <c r="A102" s="11">
        <v>90.0</v>
      </c>
      <c r="B102" s="11">
        <v>1.41978695652173E9</v>
      </c>
      <c r="C102" s="2">
        <v>-102.4093781</v>
      </c>
      <c r="D102" s="24">
        <f t="shared" si="1"/>
        <v>-613043.4783</v>
      </c>
      <c r="E102" s="25">
        <f t="shared" si="2"/>
        <v>128.5614585</v>
      </c>
      <c r="F102" s="24">
        <f t="shared" si="3"/>
        <v>0.0002097101805</v>
      </c>
      <c r="G102" s="24">
        <f t="shared" si="4"/>
        <v>0</v>
      </c>
      <c r="H102" s="26">
        <f t="shared" si="5"/>
        <v>0</v>
      </c>
      <c r="I102" s="24">
        <f t="shared" si="6"/>
        <v>0</v>
      </c>
      <c r="J102" s="24">
        <f t="shared" si="7"/>
        <v>0</v>
      </c>
      <c r="K102" s="24"/>
      <c r="L102" s="24">
        <f t="shared" si="8"/>
        <v>436.6850835</v>
      </c>
      <c r="M102" s="14">
        <f t="shared" si="9"/>
        <v>437.1116691</v>
      </c>
      <c r="N102" s="27">
        <f t="shared" si="10"/>
        <v>-0.426585576</v>
      </c>
      <c r="O102" s="24"/>
      <c r="P102" s="28">
        <f t="shared" si="14"/>
        <v>-191.9238916</v>
      </c>
      <c r="Q102" s="27">
        <f t="shared" si="15"/>
        <v>409.8526782</v>
      </c>
      <c r="R102" s="26"/>
      <c r="S102" s="14">
        <f t="shared" si="13"/>
        <v>-0.3917318848</v>
      </c>
    </row>
    <row r="103">
      <c r="A103" s="11">
        <v>91.0</v>
      </c>
      <c r="B103" s="11">
        <v>1.41979130434782E9</v>
      </c>
      <c r="C103" s="2">
        <v>-102.3319092</v>
      </c>
      <c r="D103" s="24">
        <f t="shared" si="1"/>
        <v>-608695.6522</v>
      </c>
      <c r="E103" s="25">
        <f t="shared" si="2"/>
        <v>127.6431624</v>
      </c>
      <c r="F103" s="24">
        <f t="shared" si="3"/>
        <v>0.000209699481</v>
      </c>
      <c r="G103" s="24">
        <f t="shared" si="4"/>
        <v>0</v>
      </c>
      <c r="H103" s="26">
        <f t="shared" si="5"/>
        <v>0</v>
      </c>
      <c r="I103" s="24">
        <f t="shared" si="6"/>
        <v>0</v>
      </c>
      <c r="J103" s="24">
        <f t="shared" si="7"/>
        <v>0</v>
      </c>
      <c r="K103" s="24"/>
      <c r="L103" s="24">
        <f t="shared" si="8"/>
        <v>444.5445061</v>
      </c>
      <c r="M103" s="14">
        <f t="shared" si="9"/>
        <v>437.0416885</v>
      </c>
      <c r="N103" s="27">
        <f t="shared" si="10"/>
        <v>7.502817573</v>
      </c>
      <c r="O103" s="24"/>
      <c r="P103" s="28">
        <f t="shared" si="14"/>
        <v>-192.8421877</v>
      </c>
      <c r="Q103" s="27">
        <f t="shared" si="15"/>
        <v>409.4043637</v>
      </c>
      <c r="R103" s="26"/>
      <c r="S103" s="14">
        <f t="shared" si="13"/>
        <v>6.889808363</v>
      </c>
    </row>
    <row r="104">
      <c r="A104" s="11">
        <v>92.0</v>
      </c>
      <c r="B104" s="11">
        <v>1.41979565217391E9</v>
      </c>
      <c r="C104" s="2">
        <v>-102.3772507</v>
      </c>
      <c r="D104" s="24">
        <f t="shared" si="1"/>
        <v>-604347.8261</v>
      </c>
      <c r="E104" s="25">
        <f t="shared" si="2"/>
        <v>126.7248662</v>
      </c>
      <c r="F104" s="24">
        <f t="shared" si="3"/>
        <v>0.0002096886276</v>
      </c>
      <c r="G104" s="24">
        <f t="shared" si="4"/>
        <v>0</v>
      </c>
      <c r="H104" s="26">
        <f t="shared" si="5"/>
        <v>0</v>
      </c>
      <c r="I104" s="24">
        <f t="shared" si="6"/>
        <v>0</v>
      </c>
      <c r="J104" s="24">
        <f t="shared" si="7"/>
        <v>0</v>
      </c>
      <c r="K104" s="24"/>
      <c r="L104" s="24">
        <f t="shared" si="8"/>
        <v>439.9274865</v>
      </c>
      <c r="M104" s="14">
        <f t="shared" si="9"/>
        <v>436.9719061</v>
      </c>
      <c r="N104" s="27">
        <f t="shared" si="10"/>
        <v>2.955580433</v>
      </c>
      <c r="O104" s="24"/>
      <c r="P104" s="28">
        <f t="shared" si="14"/>
        <v>-193.7604839</v>
      </c>
      <c r="Q104" s="27">
        <f t="shared" si="15"/>
        <v>408.9974849</v>
      </c>
      <c r="R104" s="26"/>
      <c r="S104" s="14">
        <f t="shared" si="13"/>
        <v>2.714098076</v>
      </c>
    </row>
    <row r="105">
      <c r="A105" s="11">
        <v>93.0</v>
      </c>
      <c r="B105" s="11">
        <v>1.4198E9</v>
      </c>
      <c r="C105" s="2">
        <v>-102.4011993</v>
      </c>
      <c r="D105" s="24">
        <f t="shared" si="1"/>
        <v>-600000</v>
      </c>
      <c r="E105" s="25">
        <f t="shared" si="2"/>
        <v>125.8065701</v>
      </c>
      <c r="F105" s="24">
        <f t="shared" si="3"/>
        <v>0.0002096776168</v>
      </c>
      <c r="G105" s="24">
        <f t="shared" si="4"/>
        <v>0</v>
      </c>
      <c r="H105" s="26">
        <f t="shared" si="5"/>
        <v>0</v>
      </c>
      <c r="I105" s="24">
        <f t="shared" si="6"/>
        <v>0</v>
      </c>
      <c r="J105" s="24">
        <f t="shared" si="7"/>
        <v>0</v>
      </c>
      <c r="K105" s="24"/>
      <c r="L105" s="24">
        <f t="shared" si="8"/>
        <v>437.5082405</v>
      </c>
      <c r="M105" s="14">
        <f t="shared" si="9"/>
        <v>436.9023194</v>
      </c>
      <c r="N105" s="27">
        <f t="shared" si="10"/>
        <v>0.6059210734</v>
      </c>
      <c r="O105" s="24"/>
      <c r="P105" s="28">
        <f t="shared" si="14"/>
        <v>-194.67878</v>
      </c>
      <c r="Q105" s="27">
        <f t="shared" si="15"/>
        <v>411.419505</v>
      </c>
      <c r="R105" s="26"/>
      <c r="S105" s="14">
        <f t="shared" si="13"/>
        <v>0.5564149784</v>
      </c>
    </row>
    <row r="106">
      <c r="A106" s="11">
        <v>94.0</v>
      </c>
      <c r="B106" s="11">
        <v>1.41980434782608E9</v>
      </c>
      <c r="C106" s="2">
        <v>-102.3632965</v>
      </c>
      <c r="D106" s="24">
        <f t="shared" si="1"/>
        <v>-595652.1739</v>
      </c>
      <c r="E106" s="25">
        <f t="shared" si="2"/>
        <v>124.888274</v>
      </c>
      <c r="F106" s="24">
        <f t="shared" si="3"/>
        <v>0.0002096664454</v>
      </c>
      <c r="G106" s="24">
        <f t="shared" si="4"/>
        <v>0</v>
      </c>
      <c r="H106" s="26">
        <f t="shared" si="5"/>
        <v>0</v>
      </c>
      <c r="I106" s="24">
        <f t="shared" si="6"/>
        <v>0</v>
      </c>
      <c r="J106" s="24">
        <f t="shared" si="7"/>
        <v>0</v>
      </c>
      <c r="K106" s="24"/>
      <c r="L106" s="24">
        <f t="shared" si="8"/>
        <v>441.3432791</v>
      </c>
      <c r="M106" s="14">
        <f t="shared" si="9"/>
        <v>436.8329261</v>
      </c>
      <c r="N106" s="27">
        <f t="shared" si="10"/>
        <v>4.51035293</v>
      </c>
      <c r="O106" s="24"/>
      <c r="P106" s="28">
        <f t="shared" si="14"/>
        <v>-195.5970761</v>
      </c>
      <c r="Q106" s="27">
        <f t="shared" si="15"/>
        <v>411.722449</v>
      </c>
      <c r="R106" s="26"/>
      <c r="S106" s="14">
        <f t="shared" si="13"/>
        <v>4.141839653</v>
      </c>
    </row>
    <row r="107">
      <c r="A107" s="11">
        <v>95.0</v>
      </c>
      <c r="B107" s="11">
        <v>1.41980869565217E9</v>
      </c>
      <c r="C107" s="2">
        <v>-102.3937607</v>
      </c>
      <c r="D107" s="24">
        <f t="shared" si="1"/>
        <v>-591304.3478</v>
      </c>
      <c r="E107" s="25">
        <f t="shared" si="2"/>
        <v>123.9699778</v>
      </c>
      <c r="F107" s="24">
        <f t="shared" si="3"/>
        <v>0.0002096551096</v>
      </c>
      <c r="G107" s="24">
        <f t="shared" si="4"/>
        <v>0</v>
      </c>
      <c r="H107" s="26">
        <f t="shared" si="5"/>
        <v>0</v>
      </c>
      <c r="I107" s="24">
        <f t="shared" si="6"/>
        <v>0</v>
      </c>
      <c r="J107" s="24">
        <f t="shared" si="7"/>
        <v>0</v>
      </c>
      <c r="K107" s="24"/>
      <c r="L107" s="24">
        <f t="shared" si="8"/>
        <v>438.2582471</v>
      </c>
      <c r="M107" s="14">
        <f t="shared" si="9"/>
        <v>436.7637239</v>
      </c>
      <c r="N107" s="27">
        <f t="shared" si="10"/>
        <v>1.49452324</v>
      </c>
      <c r="O107" s="24"/>
      <c r="P107" s="28">
        <f t="shared" si="14"/>
        <v>-196.5153723</v>
      </c>
      <c r="Q107" s="27">
        <f t="shared" si="15"/>
        <v>409.8829162</v>
      </c>
      <c r="R107" s="26"/>
      <c r="S107" s="14">
        <f t="shared" si="13"/>
        <v>1.372414909</v>
      </c>
    </row>
    <row r="108">
      <c r="A108" s="11">
        <v>96.0</v>
      </c>
      <c r="B108" s="11">
        <v>1.41981304347826E9</v>
      </c>
      <c r="C108" s="2">
        <v>-102.4277267</v>
      </c>
      <c r="D108" s="24">
        <f t="shared" si="1"/>
        <v>-586956.5217</v>
      </c>
      <c r="E108" s="25">
        <f t="shared" si="2"/>
        <v>123.0516817</v>
      </c>
      <c r="F108" s="24">
        <f t="shared" si="3"/>
        <v>0.0002096436059</v>
      </c>
      <c r="G108" s="24">
        <f t="shared" si="4"/>
        <v>0</v>
      </c>
      <c r="H108" s="26">
        <f t="shared" si="5"/>
        <v>0</v>
      </c>
      <c r="I108" s="24">
        <f t="shared" si="6"/>
        <v>0</v>
      </c>
      <c r="J108" s="24">
        <f t="shared" si="7"/>
        <v>0</v>
      </c>
      <c r="K108" s="24"/>
      <c r="L108" s="24">
        <f t="shared" si="8"/>
        <v>434.8440154</v>
      </c>
      <c r="M108" s="14">
        <f t="shared" si="9"/>
        <v>436.6947103</v>
      </c>
      <c r="N108" s="27">
        <f t="shared" si="10"/>
        <v>-1.850694916</v>
      </c>
      <c r="O108" s="24"/>
      <c r="P108" s="28">
        <f t="shared" si="14"/>
        <v>-197.4336684</v>
      </c>
      <c r="Q108" s="27">
        <f t="shared" si="15"/>
        <v>406.805492</v>
      </c>
      <c r="R108" s="26"/>
      <c r="S108" s="14">
        <f t="shared" si="13"/>
        <v>-1.699485984</v>
      </c>
    </row>
    <row r="109">
      <c r="A109" s="11">
        <v>97.0</v>
      </c>
      <c r="B109" s="11">
        <v>1.41981739130434E9</v>
      </c>
      <c r="C109" s="2">
        <v>-102.4011154</v>
      </c>
      <c r="D109" s="24">
        <f t="shared" si="1"/>
        <v>-582608.6957</v>
      </c>
      <c r="E109" s="25">
        <f t="shared" si="2"/>
        <v>122.1333856</v>
      </c>
      <c r="F109" s="24">
        <f t="shared" si="3"/>
        <v>0.0002096319305</v>
      </c>
      <c r="G109" s="24">
        <f t="shared" si="4"/>
        <v>0</v>
      </c>
      <c r="H109" s="26">
        <f t="shared" si="5"/>
        <v>0</v>
      </c>
      <c r="I109" s="24">
        <f t="shared" si="6"/>
        <v>0</v>
      </c>
      <c r="J109" s="24">
        <f t="shared" si="7"/>
        <v>0</v>
      </c>
      <c r="K109" s="24"/>
      <c r="L109" s="24">
        <f t="shared" si="8"/>
        <v>437.5166926</v>
      </c>
      <c r="M109" s="14">
        <f t="shared" si="9"/>
        <v>436.6258829</v>
      </c>
      <c r="N109" s="27">
        <f t="shared" si="10"/>
        <v>0.8908097066</v>
      </c>
      <c r="O109" s="24"/>
      <c r="P109" s="28">
        <f t="shared" si="14"/>
        <v>-198.3519645</v>
      </c>
      <c r="Q109" s="27">
        <f t="shared" si="15"/>
        <v>404.5179218</v>
      </c>
      <c r="R109" s="26"/>
      <c r="S109" s="14">
        <f t="shared" si="13"/>
        <v>0.8180271086</v>
      </c>
    </row>
    <row r="110">
      <c r="A110" s="11">
        <v>98.0</v>
      </c>
      <c r="B110" s="11">
        <v>1.41982173913043E9</v>
      </c>
      <c r="C110" s="2">
        <v>-102.4640274</v>
      </c>
      <c r="D110" s="24">
        <f t="shared" si="1"/>
        <v>-578260.8696</v>
      </c>
      <c r="E110" s="25">
        <f t="shared" si="2"/>
        <v>121.2150894</v>
      </c>
      <c r="F110" s="24">
        <f t="shared" si="3"/>
        <v>0.0002096200795</v>
      </c>
      <c r="G110" s="24">
        <f t="shared" si="4"/>
        <v>0</v>
      </c>
      <c r="H110" s="26">
        <f t="shared" si="5"/>
        <v>0</v>
      </c>
      <c r="I110" s="24">
        <f t="shared" si="6"/>
        <v>0</v>
      </c>
      <c r="J110" s="24">
        <f t="shared" si="7"/>
        <v>0</v>
      </c>
      <c r="K110" s="24"/>
      <c r="L110" s="24">
        <f t="shared" si="8"/>
        <v>431.2245001</v>
      </c>
      <c r="M110" s="14">
        <f t="shared" si="9"/>
        <v>436.5572395</v>
      </c>
      <c r="N110" s="27">
        <f t="shared" si="10"/>
        <v>-5.332739396</v>
      </c>
      <c r="O110" s="24"/>
      <c r="P110" s="28">
        <f t="shared" si="14"/>
        <v>-199.2702607</v>
      </c>
      <c r="Q110" s="27">
        <f t="shared" si="15"/>
        <v>404.3587798</v>
      </c>
      <c r="R110" s="26"/>
      <c r="S110" s="14">
        <f t="shared" si="13"/>
        <v>-4.897033953</v>
      </c>
    </row>
    <row r="111">
      <c r="A111" s="11">
        <v>99.0</v>
      </c>
      <c r="B111" s="11">
        <v>1.41982608695652E9</v>
      </c>
      <c r="C111" s="2">
        <v>-102.428421</v>
      </c>
      <c r="D111" s="24">
        <f t="shared" si="1"/>
        <v>-573913.0435</v>
      </c>
      <c r="E111" s="25">
        <f t="shared" si="2"/>
        <v>120.2967933</v>
      </c>
      <c r="F111" s="24">
        <f t="shared" si="3"/>
        <v>0.000209608049</v>
      </c>
      <c r="G111" s="24">
        <f t="shared" si="4"/>
        <v>0</v>
      </c>
      <c r="H111" s="26">
        <f t="shared" si="5"/>
        <v>0</v>
      </c>
      <c r="I111" s="24">
        <f t="shared" si="6"/>
        <v>0</v>
      </c>
      <c r="J111" s="24">
        <f t="shared" si="7"/>
        <v>0</v>
      </c>
      <c r="K111" s="24"/>
      <c r="L111" s="24">
        <f t="shared" si="8"/>
        <v>434.7745031</v>
      </c>
      <c r="M111" s="14">
        <f t="shared" si="9"/>
        <v>436.4887775</v>
      </c>
      <c r="N111" s="27">
        <f t="shared" si="10"/>
        <v>-1.714274447</v>
      </c>
      <c r="O111" s="24"/>
      <c r="P111" s="28">
        <f t="shared" si="14"/>
        <v>-200.1885568</v>
      </c>
      <c r="Q111" s="27">
        <f t="shared" si="15"/>
        <v>406.1849402</v>
      </c>
      <c r="R111" s="26"/>
      <c r="S111" s="14">
        <f t="shared" si="13"/>
        <v>-1.574211596</v>
      </c>
    </row>
    <row r="112">
      <c r="A112" s="11">
        <v>100.0</v>
      </c>
      <c r="B112" s="11">
        <v>1.4198304347826E9</v>
      </c>
      <c r="C112" s="2">
        <v>-102.3668823</v>
      </c>
      <c r="D112" s="24">
        <f t="shared" si="1"/>
        <v>-569565.2174</v>
      </c>
      <c r="E112" s="25">
        <f t="shared" si="2"/>
        <v>119.3784972</v>
      </c>
      <c r="F112" s="24">
        <f t="shared" si="3"/>
        <v>0.0002095958347</v>
      </c>
      <c r="G112" s="24">
        <f t="shared" si="4"/>
        <v>0</v>
      </c>
      <c r="H112" s="26">
        <f t="shared" si="5"/>
        <v>0</v>
      </c>
      <c r="I112" s="24">
        <f t="shared" si="6"/>
        <v>0</v>
      </c>
      <c r="J112" s="24">
        <f t="shared" si="7"/>
        <v>0</v>
      </c>
      <c r="K112" s="24"/>
      <c r="L112" s="24">
        <f t="shared" si="8"/>
        <v>440.9790295</v>
      </c>
      <c r="M112" s="14">
        <f t="shared" si="9"/>
        <v>436.4204947</v>
      </c>
      <c r="N112" s="27">
        <f t="shared" si="10"/>
        <v>4.558534861</v>
      </c>
      <c r="O112" s="24"/>
      <c r="P112" s="28">
        <f t="shared" si="14"/>
        <v>-201.1068529</v>
      </c>
      <c r="Q112" s="27">
        <f t="shared" si="15"/>
        <v>411.6993083</v>
      </c>
      <c r="R112" s="26"/>
      <c r="S112" s="14">
        <f t="shared" si="13"/>
        <v>4.186084934</v>
      </c>
      <c r="U112" s="21"/>
      <c r="V112" s="21"/>
    </row>
    <row r="113">
      <c r="A113" s="11">
        <v>101.0</v>
      </c>
      <c r="B113" s="11">
        <v>1.41983478260869E9</v>
      </c>
      <c r="C113" s="2">
        <v>-102.3950806</v>
      </c>
      <c r="D113" s="24">
        <f t="shared" si="1"/>
        <v>-565217.3913</v>
      </c>
      <c r="E113" s="25">
        <f t="shared" si="2"/>
        <v>118.460201</v>
      </c>
      <c r="F113" s="24">
        <f t="shared" si="3"/>
        <v>0.0002095834326</v>
      </c>
      <c r="G113" s="24">
        <f t="shared" si="4"/>
        <v>0</v>
      </c>
      <c r="H113" s="26">
        <f t="shared" si="5"/>
        <v>0</v>
      </c>
      <c r="I113" s="24">
        <f t="shared" si="6"/>
        <v>0</v>
      </c>
      <c r="J113" s="24">
        <f t="shared" si="7"/>
        <v>0</v>
      </c>
      <c r="K113" s="24"/>
      <c r="L113" s="24">
        <f t="shared" si="8"/>
        <v>438.1250727</v>
      </c>
      <c r="M113" s="14">
        <f t="shared" si="9"/>
        <v>436.3523886</v>
      </c>
      <c r="N113" s="27">
        <f t="shared" si="10"/>
        <v>1.772684114</v>
      </c>
      <c r="O113" s="24"/>
      <c r="P113" s="28">
        <f t="shared" si="14"/>
        <v>-202.0251491</v>
      </c>
      <c r="Q113" s="27">
        <f t="shared" si="15"/>
        <v>404.4653456</v>
      </c>
      <c r="R113" s="26"/>
      <c r="S113" s="14">
        <f t="shared" si="13"/>
        <v>1.627848967</v>
      </c>
      <c r="U113" s="21"/>
      <c r="V113" s="21"/>
    </row>
    <row r="114">
      <c r="A114" s="11">
        <v>102.0</v>
      </c>
      <c r="B114" s="11">
        <v>1.41983913043478E9</v>
      </c>
      <c r="C114" s="2">
        <v>-102.4107285</v>
      </c>
      <c r="D114" s="24">
        <f t="shared" si="1"/>
        <v>-560869.5652</v>
      </c>
      <c r="E114" s="25">
        <f t="shared" si="2"/>
        <v>117.5419049</v>
      </c>
      <c r="F114" s="24">
        <f t="shared" si="3"/>
        <v>0.0002095708382</v>
      </c>
      <c r="G114" s="24">
        <f t="shared" si="4"/>
        <v>0</v>
      </c>
      <c r="H114" s="26">
        <f t="shared" si="5"/>
        <v>0</v>
      </c>
      <c r="I114" s="24">
        <f t="shared" si="6"/>
        <v>0</v>
      </c>
      <c r="J114" s="24">
        <f t="shared" si="7"/>
        <v>0</v>
      </c>
      <c r="K114" s="24"/>
      <c r="L114" s="24">
        <f t="shared" si="8"/>
        <v>436.5493213</v>
      </c>
      <c r="M114" s="14">
        <f t="shared" si="9"/>
        <v>436.2844569</v>
      </c>
      <c r="N114" s="27">
        <f t="shared" si="10"/>
        <v>0.2648644527</v>
      </c>
      <c r="O114" s="24"/>
      <c r="P114" s="28">
        <f t="shared" si="14"/>
        <v>-202.9434452</v>
      </c>
      <c r="Q114" s="27">
        <f t="shared" si="15"/>
        <v>408.3262379</v>
      </c>
      <c r="R114" s="26"/>
      <c r="S114" s="14">
        <f t="shared" si="13"/>
        <v>0.243224002</v>
      </c>
      <c r="U114" s="21"/>
      <c r="V114" s="21"/>
    </row>
    <row r="115">
      <c r="A115" s="11">
        <v>103.0</v>
      </c>
      <c r="B115" s="11">
        <v>1.41984347826087E9</v>
      </c>
      <c r="C115" s="2">
        <v>-102.4484406</v>
      </c>
      <c r="D115" s="24">
        <f t="shared" si="1"/>
        <v>-556521.7391</v>
      </c>
      <c r="E115" s="25">
        <f t="shared" si="2"/>
        <v>116.6236088</v>
      </c>
      <c r="F115" s="24">
        <f t="shared" si="3"/>
        <v>0.000209558047</v>
      </c>
      <c r="G115" s="24">
        <f t="shared" si="4"/>
        <v>0</v>
      </c>
      <c r="H115" s="26">
        <f t="shared" si="5"/>
        <v>0</v>
      </c>
      <c r="I115" s="24">
        <f t="shared" si="6"/>
        <v>0</v>
      </c>
      <c r="J115" s="24">
        <f t="shared" si="7"/>
        <v>0</v>
      </c>
      <c r="K115" s="24"/>
      <c r="L115" s="24">
        <f t="shared" si="8"/>
        <v>432.7749425</v>
      </c>
      <c r="M115" s="14">
        <f t="shared" si="9"/>
        <v>436.2166971</v>
      </c>
      <c r="N115" s="27">
        <f t="shared" si="10"/>
        <v>-3.441754592</v>
      </c>
      <c r="O115" s="24"/>
      <c r="P115" s="28">
        <f t="shared" si="14"/>
        <v>-203.8617413</v>
      </c>
      <c r="Q115" s="27">
        <f t="shared" si="15"/>
        <v>399.5831051</v>
      </c>
      <c r="R115" s="26"/>
      <c r="S115" s="14">
        <f t="shared" si="13"/>
        <v>-3.160549932</v>
      </c>
      <c r="U115" s="21"/>
      <c r="V115" s="21"/>
    </row>
    <row r="116">
      <c r="A116" s="11">
        <v>104.0</v>
      </c>
      <c r="B116" s="11">
        <v>1.41984782608695E9</v>
      </c>
      <c r="C116" s="2">
        <v>-102.4006729</v>
      </c>
      <c r="D116" s="24">
        <f t="shared" si="1"/>
        <v>-552173.913</v>
      </c>
      <c r="E116" s="25">
        <f t="shared" si="2"/>
        <v>115.7053126</v>
      </c>
      <c r="F116" s="24">
        <f t="shared" si="3"/>
        <v>0.0002095450544</v>
      </c>
      <c r="G116" s="24">
        <f t="shared" si="4"/>
        <v>0</v>
      </c>
      <c r="H116" s="26">
        <f t="shared" si="5"/>
        <v>0</v>
      </c>
      <c r="I116" s="24">
        <f t="shared" si="6"/>
        <v>0</v>
      </c>
      <c r="J116" s="24">
        <f t="shared" si="7"/>
        <v>0</v>
      </c>
      <c r="K116" s="24"/>
      <c r="L116" s="24">
        <f t="shared" si="8"/>
        <v>437.5612732</v>
      </c>
      <c r="M116" s="14">
        <f t="shared" si="9"/>
        <v>436.149107</v>
      </c>
      <c r="N116" s="27">
        <f t="shared" si="10"/>
        <v>1.41216623</v>
      </c>
      <c r="O116" s="24"/>
      <c r="P116" s="28">
        <f t="shared" si="14"/>
        <v>-204.7800375</v>
      </c>
      <c r="Q116" s="27">
        <f t="shared" si="15"/>
        <v>405.4463615</v>
      </c>
      <c r="R116" s="26"/>
      <c r="S116" s="14">
        <f t="shared" si="13"/>
        <v>1.296786788</v>
      </c>
      <c r="U116" s="21"/>
      <c r="V116" s="21"/>
    </row>
    <row r="117">
      <c r="A117" s="11">
        <v>105.0</v>
      </c>
      <c r="B117" s="11">
        <v>1.41985217391304E9</v>
      </c>
      <c r="C117" s="2">
        <v>-102.3703156</v>
      </c>
      <c r="D117" s="24">
        <f t="shared" si="1"/>
        <v>-547826.087</v>
      </c>
      <c r="E117" s="25">
        <f t="shared" si="2"/>
        <v>114.7870165</v>
      </c>
      <c r="F117" s="24">
        <f t="shared" si="3"/>
        <v>0.0002095318555</v>
      </c>
      <c r="G117" s="24">
        <f t="shared" si="4"/>
        <v>0</v>
      </c>
      <c r="H117" s="26">
        <f t="shared" si="5"/>
        <v>0</v>
      </c>
      <c r="I117" s="24">
        <f t="shared" si="6"/>
        <v>0</v>
      </c>
      <c r="J117" s="24">
        <f t="shared" si="7"/>
        <v>0</v>
      </c>
      <c r="K117" s="24"/>
      <c r="L117" s="24">
        <f t="shared" si="8"/>
        <v>440.6305529</v>
      </c>
      <c r="M117" s="14">
        <f t="shared" si="9"/>
        <v>436.0816841</v>
      </c>
      <c r="N117" s="27">
        <f t="shared" si="10"/>
        <v>4.54886877</v>
      </c>
      <c r="O117" s="24"/>
      <c r="P117" s="28">
        <f t="shared" si="14"/>
        <v>-205.6983336</v>
      </c>
      <c r="Q117" s="27">
        <f t="shared" si="15"/>
        <v>405.6337265</v>
      </c>
      <c r="R117" s="26"/>
      <c r="S117" s="14">
        <f t="shared" si="13"/>
        <v>4.17720859</v>
      </c>
      <c r="U117" s="21"/>
      <c r="V117" s="21"/>
    </row>
    <row r="118">
      <c r="A118" s="11">
        <v>106.0</v>
      </c>
      <c r="B118" s="11">
        <v>1.41985652173913E9</v>
      </c>
      <c r="C118" s="2">
        <v>-102.4202042</v>
      </c>
      <c r="D118" s="24">
        <f t="shared" si="1"/>
        <v>-543478.2609</v>
      </c>
      <c r="E118" s="25">
        <f t="shared" si="2"/>
        <v>113.8687204</v>
      </c>
      <c r="F118" s="24">
        <f t="shared" si="3"/>
        <v>0.0002095184455</v>
      </c>
      <c r="G118" s="24">
        <f t="shared" si="4"/>
        <v>0</v>
      </c>
      <c r="H118" s="26">
        <f t="shared" si="5"/>
        <v>0</v>
      </c>
      <c r="I118" s="24">
        <f t="shared" si="6"/>
        <v>0</v>
      </c>
      <c r="J118" s="24">
        <f t="shared" si="7"/>
        <v>0</v>
      </c>
      <c r="K118" s="24"/>
      <c r="L118" s="24">
        <f t="shared" si="8"/>
        <v>435.5978699</v>
      </c>
      <c r="M118" s="14">
        <f t="shared" si="9"/>
        <v>436.014426</v>
      </c>
      <c r="N118" s="27">
        <f t="shared" si="10"/>
        <v>-0.4165561127</v>
      </c>
      <c r="O118" s="24"/>
      <c r="P118" s="28">
        <f t="shared" si="14"/>
        <v>-206.6166297</v>
      </c>
      <c r="Q118" s="27">
        <f t="shared" si="15"/>
        <v>406.260583</v>
      </c>
      <c r="R118" s="26"/>
      <c r="S118" s="14">
        <f t="shared" si="13"/>
        <v>-0.3825218674</v>
      </c>
      <c r="U118" s="21"/>
      <c r="V118" s="21"/>
    </row>
    <row r="119">
      <c r="A119" s="11">
        <v>107.0</v>
      </c>
      <c r="B119" s="11">
        <v>1.41986086956521E9</v>
      </c>
      <c r="C119" s="2">
        <v>-102.4140854</v>
      </c>
      <c r="D119" s="24">
        <f t="shared" si="1"/>
        <v>-539130.4348</v>
      </c>
      <c r="E119" s="25">
        <f t="shared" si="2"/>
        <v>112.9504243</v>
      </c>
      <c r="F119" s="24">
        <f t="shared" si="3"/>
        <v>0.0002095048192</v>
      </c>
      <c r="G119" s="24">
        <f t="shared" si="4"/>
        <v>0</v>
      </c>
      <c r="H119" s="26">
        <f t="shared" si="5"/>
        <v>0</v>
      </c>
      <c r="I119" s="24">
        <f t="shared" si="6"/>
        <v>0</v>
      </c>
      <c r="J119" s="24">
        <f t="shared" si="7"/>
        <v>0</v>
      </c>
      <c r="K119" s="24"/>
      <c r="L119" s="24">
        <f t="shared" si="8"/>
        <v>436.2120188</v>
      </c>
      <c r="M119" s="14">
        <f t="shared" si="9"/>
        <v>435.9473304</v>
      </c>
      <c r="N119" s="27">
        <f t="shared" si="10"/>
        <v>0.2646883647</v>
      </c>
      <c r="O119" s="24"/>
      <c r="P119" s="28">
        <f t="shared" si="14"/>
        <v>-207.5349259</v>
      </c>
      <c r="Q119" s="27">
        <f t="shared" si="15"/>
        <v>405.7598744</v>
      </c>
      <c r="R119" s="26"/>
      <c r="S119" s="14">
        <f t="shared" si="13"/>
        <v>0.2430623017</v>
      </c>
      <c r="U119" s="21"/>
      <c r="V119" s="21"/>
    </row>
    <row r="120">
      <c r="A120" s="11">
        <v>108.0</v>
      </c>
      <c r="B120" s="11">
        <v>1.4198652173913E9</v>
      </c>
      <c r="C120" s="2">
        <v>-102.3635559</v>
      </c>
      <c r="D120" s="24">
        <f t="shared" si="1"/>
        <v>-534782.6087</v>
      </c>
      <c r="E120" s="25">
        <f t="shared" si="2"/>
        <v>112.0321281</v>
      </c>
      <c r="F120" s="24">
        <f t="shared" si="3"/>
        <v>0.0002094909713</v>
      </c>
      <c r="G120" s="24">
        <f t="shared" si="4"/>
        <v>0</v>
      </c>
      <c r="H120" s="26">
        <f t="shared" si="5"/>
        <v>0</v>
      </c>
      <c r="I120" s="24">
        <f t="shared" si="6"/>
        <v>0</v>
      </c>
      <c r="J120" s="24">
        <f t="shared" si="7"/>
        <v>0</v>
      </c>
      <c r="K120" s="24"/>
      <c r="L120" s="24">
        <f t="shared" si="8"/>
        <v>441.3169188</v>
      </c>
      <c r="M120" s="14">
        <f t="shared" si="9"/>
        <v>435.8803949</v>
      </c>
      <c r="N120" s="27">
        <f t="shared" si="10"/>
        <v>5.436523893</v>
      </c>
      <c r="O120" s="24"/>
      <c r="P120" s="28">
        <f t="shared" si="14"/>
        <v>-208.453222</v>
      </c>
      <c r="Q120" s="27">
        <f t="shared" si="15"/>
        <v>403.1303145</v>
      </c>
      <c r="R120" s="26"/>
      <c r="S120" s="14">
        <f t="shared" si="13"/>
        <v>4.992338855</v>
      </c>
      <c r="U120" s="21"/>
      <c r="V120" s="21"/>
    </row>
    <row r="121">
      <c r="A121" s="11">
        <v>109.0</v>
      </c>
      <c r="B121" s="11">
        <v>1.41986956521739E9</v>
      </c>
      <c r="C121" s="2">
        <v>-102.3829575</v>
      </c>
      <c r="D121" s="24">
        <f t="shared" si="1"/>
        <v>-530434.7826</v>
      </c>
      <c r="E121" s="25">
        <f t="shared" si="2"/>
        <v>111.113832</v>
      </c>
      <c r="F121" s="24">
        <f t="shared" si="3"/>
        <v>0.0002094768964</v>
      </c>
      <c r="G121" s="24">
        <f t="shared" si="4"/>
        <v>0</v>
      </c>
      <c r="H121" s="26">
        <f t="shared" si="5"/>
        <v>0</v>
      </c>
      <c r="I121" s="24">
        <f t="shared" si="6"/>
        <v>0</v>
      </c>
      <c r="J121" s="24">
        <f t="shared" si="7"/>
        <v>0</v>
      </c>
      <c r="K121" s="24"/>
      <c r="L121" s="24">
        <f t="shared" si="8"/>
        <v>439.3497842</v>
      </c>
      <c r="M121" s="14">
        <f t="shared" si="9"/>
        <v>435.8136172</v>
      </c>
      <c r="N121" s="27">
        <f t="shared" si="10"/>
        <v>3.536167008</v>
      </c>
      <c r="O121" s="24"/>
      <c r="P121" s="28">
        <f t="shared" si="14"/>
        <v>-209.3715181</v>
      </c>
      <c r="Q121" s="27">
        <f t="shared" si="15"/>
        <v>404.9281668</v>
      </c>
      <c r="R121" s="26"/>
      <c r="S121" s="14">
        <f t="shared" si="13"/>
        <v>3.247248488</v>
      </c>
      <c r="U121" s="21"/>
      <c r="V121" s="21"/>
    </row>
    <row r="122">
      <c r="A122" s="11">
        <v>110.0</v>
      </c>
      <c r="B122" s="11">
        <v>1.41987391304347E9</v>
      </c>
      <c r="C122" s="2">
        <v>-102.4278641</v>
      </c>
      <c r="D122" s="24">
        <f t="shared" si="1"/>
        <v>-526086.9565</v>
      </c>
      <c r="E122" s="25">
        <f t="shared" si="2"/>
        <v>110.1955359</v>
      </c>
      <c r="F122" s="24">
        <f t="shared" si="3"/>
        <v>0.0002094625888</v>
      </c>
      <c r="G122" s="24">
        <f t="shared" si="4"/>
        <v>0</v>
      </c>
      <c r="H122" s="26">
        <f t="shared" si="5"/>
        <v>0</v>
      </c>
      <c r="I122" s="24">
        <f t="shared" si="6"/>
        <v>0</v>
      </c>
      <c r="J122" s="24">
        <f t="shared" si="7"/>
        <v>0</v>
      </c>
      <c r="K122" s="24"/>
      <c r="L122" s="24">
        <f t="shared" si="8"/>
        <v>434.8302582</v>
      </c>
      <c r="M122" s="14">
        <f t="shared" si="9"/>
        <v>435.7469947</v>
      </c>
      <c r="N122" s="27">
        <f t="shared" si="10"/>
        <v>-0.9167364947</v>
      </c>
      <c r="O122" s="24"/>
      <c r="P122" s="28">
        <f t="shared" si="14"/>
        <v>-210.2898143</v>
      </c>
      <c r="Q122" s="27">
        <f t="shared" si="15"/>
        <v>406.1385532</v>
      </c>
      <c r="R122" s="26"/>
      <c r="S122" s="14">
        <f t="shared" si="13"/>
        <v>-0.8418355779</v>
      </c>
      <c r="U122" s="21"/>
      <c r="V122" s="21"/>
    </row>
    <row r="123">
      <c r="A123" s="11">
        <v>111.0</v>
      </c>
      <c r="B123" s="11">
        <v>1.41987826086956E9</v>
      </c>
      <c r="C123" s="2">
        <v>-102.4645615</v>
      </c>
      <c r="D123" s="24">
        <f t="shared" si="1"/>
        <v>-521739.1304</v>
      </c>
      <c r="E123" s="25">
        <f t="shared" si="2"/>
        <v>109.2772397</v>
      </c>
      <c r="F123" s="24">
        <f t="shared" si="3"/>
        <v>0.0002094480428</v>
      </c>
      <c r="G123" s="24">
        <f t="shared" si="4"/>
        <v>0</v>
      </c>
      <c r="H123" s="26">
        <f t="shared" si="5"/>
        <v>0</v>
      </c>
      <c r="I123" s="24">
        <f t="shared" si="6"/>
        <v>0</v>
      </c>
      <c r="J123" s="24">
        <f t="shared" si="7"/>
        <v>0</v>
      </c>
      <c r="K123" s="24"/>
      <c r="L123" s="24">
        <f t="shared" si="8"/>
        <v>431.1714709</v>
      </c>
      <c r="M123" s="14">
        <f t="shared" si="9"/>
        <v>435.6805252</v>
      </c>
      <c r="N123" s="27">
        <f t="shared" si="10"/>
        <v>-4.509054294</v>
      </c>
      <c r="O123" s="24"/>
      <c r="P123" s="28">
        <f t="shared" si="14"/>
        <v>-211.2081104</v>
      </c>
      <c r="Q123" s="27">
        <f t="shared" si="15"/>
        <v>404.3410154</v>
      </c>
      <c r="R123" s="26"/>
      <c r="S123" s="14">
        <f t="shared" si="13"/>
        <v>-4.140647111</v>
      </c>
      <c r="U123" s="21"/>
      <c r="V123" s="21"/>
    </row>
    <row r="124">
      <c r="A124" s="11">
        <v>112.0</v>
      </c>
      <c r="B124" s="11">
        <v>1.41988260869565E9</v>
      </c>
      <c r="C124" s="2">
        <v>-102.3717575</v>
      </c>
      <c r="D124" s="24">
        <f t="shared" si="1"/>
        <v>-517391.3043</v>
      </c>
      <c r="E124" s="25">
        <f t="shared" si="2"/>
        <v>108.3589436</v>
      </c>
      <c r="F124" s="24">
        <f t="shared" si="3"/>
        <v>0.0002094332523</v>
      </c>
      <c r="G124" s="24">
        <f t="shared" si="4"/>
        <v>0</v>
      </c>
      <c r="H124" s="26">
        <f t="shared" si="5"/>
        <v>0</v>
      </c>
      <c r="I124" s="24">
        <f t="shared" si="6"/>
        <v>0</v>
      </c>
      <c r="J124" s="24">
        <f t="shared" si="7"/>
        <v>0</v>
      </c>
      <c r="K124" s="24"/>
      <c r="L124" s="24">
        <f t="shared" si="8"/>
        <v>440.4842835</v>
      </c>
      <c r="M124" s="14">
        <f t="shared" si="9"/>
        <v>435.6142062</v>
      </c>
      <c r="N124" s="27">
        <f t="shared" si="10"/>
        <v>4.870077256</v>
      </c>
      <c r="O124" s="24"/>
      <c r="P124" s="28"/>
      <c r="Q124" s="27"/>
      <c r="R124" s="26"/>
      <c r="S124" s="14">
        <f t="shared" si="13"/>
        <v>4.472173111</v>
      </c>
      <c r="U124" s="21"/>
      <c r="V124" s="21"/>
    </row>
    <row r="125">
      <c r="A125" s="11">
        <v>113.0</v>
      </c>
      <c r="B125" s="11">
        <v>1.41988695652173E9</v>
      </c>
      <c r="C125" s="2">
        <v>-102.3599396</v>
      </c>
      <c r="D125" s="24">
        <f t="shared" si="1"/>
        <v>-513043.4783</v>
      </c>
      <c r="E125" s="25">
        <f t="shared" si="2"/>
        <v>107.4406475</v>
      </c>
      <c r="F125" s="24">
        <f t="shared" si="3"/>
        <v>0.0002094182111</v>
      </c>
      <c r="G125" s="24">
        <f t="shared" si="4"/>
        <v>0</v>
      </c>
      <c r="H125" s="26">
        <f t="shared" si="5"/>
        <v>0</v>
      </c>
      <c r="I125" s="24">
        <f t="shared" si="6"/>
        <v>0</v>
      </c>
      <c r="J125" s="24">
        <f t="shared" si="7"/>
        <v>0</v>
      </c>
      <c r="K125" s="24"/>
      <c r="L125" s="24">
        <f t="shared" si="8"/>
        <v>441.6845493</v>
      </c>
      <c r="M125" s="14">
        <f t="shared" si="9"/>
        <v>435.5480355</v>
      </c>
      <c r="N125" s="27">
        <f t="shared" si="10"/>
        <v>6.136513839</v>
      </c>
      <c r="O125" s="24"/>
      <c r="P125" s="24"/>
      <c r="Q125" s="24"/>
      <c r="R125" s="26"/>
      <c r="S125" s="14">
        <f t="shared" si="13"/>
        <v>5.635136927</v>
      </c>
      <c r="U125" s="21"/>
      <c r="V125" s="21"/>
    </row>
    <row r="126">
      <c r="A126" s="11">
        <v>114.0</v>
      </c>
      <c r="B126" s="11">
        <v>1.41989130434782E9</v>
      </c>
      <c r="C126" s="2">
        <v>-102.4132309</v>
      </c>
      <c r="D126" s="24">
        <f t="shared" si="1"/>
        <v>-508695.6522</v>
      </c>
      <c r="E126" s="25">
        <f t="shared" si="2"/>
        <v>106.5223513</v>
      </c>
      <c r="F126" s="24">
        <f t="shared" si="3"/>
        <v>0.0002094029129</v>
      </c>
      <c r="G126" s="24">
        <f t="shared" si="4"/>
        <v>0</v>
      </c>
      <c r="H126" s="26">
        <f t="shared" si="5"/>
        <v>0</v>
      </c>
      <c r="I126" s="24">
        <f t="shared" si="6"/>
        <v>0</v>
      </c>
      <c r="J126" s="24">
        <f t="shared" si="7"/>
        <v>0</v>
      </c>
      <c r="K126" s="24"/>
      <c r="L126" s="24">
        <f t="shared" si="8"/>
        <v>436.2978545</v>
      </c>
      <c r="M126" s="14">
        <f t="shared" si="9"/>
        <v>435.4820106</v>
      </c>
      <c r="N126" s="27">
        <f t="shared" si="10"/>
        <v>0.8158439636</v>
      </c>
      <c r="O126" s="24"/>
      <c r="P126" s="24"/>
      <c r="Q126" s="24"/>
      <c r="R126" s="26"/>
      <c r="S126" s="14">
        <f t="shared" si="13"/>
        <v>0.7491863568</v>
      </c>
      <c r="U126" s="21"/>
      <c r="V126" s="21"/>
    </row>
    <row r="127">
      <c r="A127" s="11">
        <v>115.0</v>
      </c>
      <c r="B127" s="11">
        <v>1.41989565217391E9</v>
      </c>
      <c r="C127" s="2">
        <v>-102.4086685</v>
      </c>
      <c r="D127" s="24">
        <f t="shared" si="1"/>
        <v>-504347.8261</v>
      </c>
      <c r="E127" s="25">
        <f t="shared" si="2"/>
        <v>105.6040552</v>
      </c>
      <c r="F127" s="24">
        <f t="shared" si="3"/>
        <v>0.0002093873508</v>
      </c>
      <c r="G127" s="24">
        <f t="shared" si="4"/>
        <v>0</v>
      </c>
      <c r="H127" s="26">
        <f t="shared" si="5"/>
        <v>0</v>
      </c>
      <c r="I127" s="24">
        <f t="shared" si="6"/>
        <v>0</v>
      </c>
      <c r="J127" s="24">
        <f t="shared" si="7"/>
        <v>0</v>
      </c>
      <c r="K127" s="24"/>
      <c r="L127" s="24">
        <f t="shared" si="8"/>
        <v>436.75644</v>
      </c>
      <c r="M127" s="14">
        <f t="shared" si="9"/>
        <v>435.4161291</v>
      </c>
      <c r="N127" s="27">
        <f t="shared" si="10"/>
        <v>1.340310903</v>
      </c>
      <c r="O127" s="24"/>
      <c r="P127" s="24"/>
      <c r="Q127" s="24"/>
      <c r="R127" s="26"/>
      <c r="S127" s="14">
        <f t="shared" si="13"/>
        <v>1.230802316</v>
      </c>
      <c r="U127" s="21"/>
      <c r="V127" s="21"/>
    </row>
    <row r="128">
      <c r="A128" s="11">
        <v>116.0</v>
      </c>
      <c r="B128" s="11">
        <v>1.4199E9</v>
      </c>
      <c r="C128" s="2">
        <v>-102.4173508</v>
      </c>
      <c r="D128" s="24">
        <f t="shared" si="1"/>
        <v>-500000</v>
      </c>
      <c r="E128" s="25">
        <f t="shared" si="2"/>
        <v>104.6857591</v>
      </c>
      <c r="F128" s="24">
        <f t="shared" si="3"/>
        <v>0.0002093715181</v>
      </c>
      <c r="G128" s="24">
        <f t="shared" si="4"/>
        <v>0</v>
      </c>
      <c r="H128" s="26">
        <f t="shared" si="5"/>
        <v>0</v>
      </c>
      <c r="I128" s="24">
        <f t="shared" si="6"/>
        <v>0</v>
      </c>
      <c r="J128" s="24">
        <f t="shared" si="7"/>
        <v>0</v>
      </c>
      <c r="K128" s="24"/>
      <c r="L128" s="24">
        <f t="shared" si="8"/>
        <v>435.8841603</v>
      </c>
      <c r="M128" s="14">
        <f t="shared" si="9"/>
        <v>435.3503886</v>
      </c>
      <c r="N128" s="27">
        <f t="shared" si="10"/>
        <v>0.5337716734</v>
      </c>
      <c r="O128" s="24"/>
      <c r="P128" s="24"/>
      <c r="Q128" s="24"/>
      <c r="R128" s="26"/>
      <c r="S128" s="14">
        <f t="shared" si="13"/>
        <v>0.4901604635</v>
      </c>
      <c r="U128" s="21"/>
      <c r="V128" s="21"/>
    </row>
    <row r="129">
      <c r="A129" s="11">
        <v>117.0</v>
      </c>
      <c r="B129" s="11">
        <v>1.41990434782608E9</v>
      </c>
      <c r="C129" s="2">
        <v>-102.4627304</v>
      </c>
      <c r="D129" s="24">
        <f t="shared" si="1"/>
        <v>-495652.1739</v>
      </c>
      <c r="E129" s="25">
        <f t="shared" si="2"/>
        <v>103.7674629</v>
      </c>
      <c r="F129" s="24">
        <f t="shared" si="3"/>
        <v>0.0002093554077</v>
      </c>
      <c r="G129" s="24">
        <f t="shared" si="4"/>
        <v>0</v>
      </c>
      <c r="H129" s="26">
        <f t="shared" si="5"/>
        <v>0</v>
      </c>
      <c r="I129" s="24">
        <f t="shared" si="6"/>
        <v>0</v>
      </c>
      <c r="J129" s="24">
        <f t="shared" si="7"/>
        <v>0</v>
      </c>
      <c r="K129" s="24"/>
      <c r="L129" s="24">
        <f t="shared" si="8"/>
        <v>431.3533025</v>
      </c>
      <c r="M129" s="14">
        <f t="shared" si="9"/>
        <v>435.2847869</v>
      </c>
      <c r="N129" s="27">
        <f t="shared" si="10"/>
        <v>-3.931484392</v>
      </c>
      <c r="O129" s="24"/>
      <c r="P129" s="24"/>
      <c r="Q129" s="24"/>
      <c r="R129" s="26"/>
      <c r="S129" s="14">
        <f t="shared" si="13"/>
        <v>-3.610266914</v>
      </c>
      <c r="U129" s="21"/>
      <c r="V129" s="21"/>
    </row>
    <row r="130">
      <c r="A130" s="11">
        <v>118.0</v>
      </c>
      <c r="B130" s="11">
        <v>1.41990869565217E9</v>
      </c>
      <c r="C130" s="2">
        <v>-102.3313217</v>
      </c>
      <c r="D130" s="24">
        <f t="shared" si="1"/>
        <v>-491304.3478</v>
      </c>
      <c r="E130" s="25">
        <f t="shared" si="2"/>
        <v>102.8491668</v>
      </c>
      <c r="F130" s="24">
        <f t="shared" si="3"/>
        <v>0.0002093390121</v>
      </c>
      <c r="G130" s="24">
        <f t="shared" si="4"/>
        <v>0</v>
      </c>
      <c r="H130" s="26">
        <f t="shared" si="5"/>
        <v>0</v>
      </c>
      <c r="I130" s="24">
        <f t="shared" si="6"/>
        <v>0</v>
      </c>
      <c r="J130" s="24">
        <f t="shared" si="7"/>
        <v>0</v>
      </c>
      <c r="K130" s="24"/>
      <c r="L130" s="24">
        <f t="shared" si="8"/>
        <v>444.6046467</v>
      </c>
      <c r="M130" s="14">
        <f t="shared" si="9"/>
        <v>435.2193214</v>
      </c>
      <c r="N130" s="27">
        <f t="shared" si="10"/>
        <v>9.385325352</v>
      </c>
      <c r="O130" s="24"/>
      <c r="P130" s="24"/>
      <c r="Q130" s="24"/>
      <c r="R130" s="26"/>
      <c r="S130" s="14">
        <f t="shared" si="13"/>
        <v>8.618507956</v>
      </c>
      <c r="U130" s="21"/>
      <c r="V130" s="21"/>
    </row>
    <row r="131">
      <c r="A131" s="11">
        <v>119.0</v>
      </c>
      <c r="B131" s="11">
        <v>1.41991304347826E9</v>
      </c>
      <c r="C131" s="2">
        <v>-102.4234085</v>
      </c>
      <c r="D131" s="24">
        <f t="shared" si="1"/>
        <v>-486956.5217</v>
      </c>
      <c r="E131" s="25">
        <f t="shared" si="2"/>
        <v>101.9308707</v>
      </c>
      <c r="F131" s="24">
        <f t="shared" si="3"/>
        <v>0.0002093223237</v>
      </c>
      <c r="G131" s="24">
        <f t="shared" si="4"/>
        <v>0</v>
      </c>
      <c r="H131" s="26">
        <f t="shared" si="5"/>
        <v>0</v>
      </c>
      <c r="I131" s="24">
        <f t="shared" si="6"/>
        <v>0</v>
      </c>
      <c r="J131" s="24">
        <f t="shared" si="7"/>
        <v>0</v>
      </c>
      <c r="K131" s="24"/>
      <c r="L131" s="24">
        <f t="shared" si="8"/>
        <v>435.2765968</v>
      </c>
      <c r="M131" s="14">
        <f t="shared" si="9"/>
        <v>435.1539898</v>
      </c>
      <c r="N131" s="27">
        <f t="shared" si="10"/>
        <v>0.1226069472</v>
      </c>
      <c r="O131" s="24"/>
      <c r="P131" s="24"/>
      <c r="Q131" s="24"/>
      <c r="R131" s="26"/>
      <c r="S131" s="14">
        <f t="shared" si="13"/>
        <v>0.1125894855</v>
      </c>
      <c r="U131" s="21"/>
      <c r="V131" s="21"/>
    </row>
    <row r="132">
      <c r="A132" s="11">
        <v>120.0</v>
      </c>
      <c r="B132" s="11">
        <v>1.41991739130434E9</v>
      </c>
      <c r="C132" s="2">
        <v>-102.4364624</v>
      </c>
      <c r="D132" s="24">
        <f t="shared" si="1"/>
        <v>-482608.6957</v>
      </c>
      <c r="E132" s="25">
        <f t="shared" si="2"/>
        <v>101.0125745</v>
      </c>
      <c r="F132" s="24">
        <f t="shared" si="3"/>
        <v>0.0002093053346</v>
      </c>
      <c r="G132" s="24">
        <f t="shared" si="4"/>
        <v>0</v>
      </c>
      <c r="H132" s="26">
        <f t="shared" si="5"/>
        <v>0</v>
      </c>
      <c r="I132" s="24">
        <f t="shared" si="6"/>
        <v>0</v>
      </c>
      <c r="J132" s="24">
        <f t="shared" si="7"/>
        <v>0</v>
      </c>
      <c r="K132" s="24"/>
      <c r="L132" s="24">
        <f t="shared" si="8"/>
        <v>433.9702191</v>
      </c>
      <c r="M132" s="14">
        <f t="shared" si="9"/>
        <v>435.0887898</v>
      </c>
      <c r="N132" s="27">
        <f t="shared" si="10"/>
        <v>-1.118570729</v>
      </c>
      <c r="O132" s="24"/>
      <c r="P132" s="24"/>
      <c r="Q132" s="24"/>
      <c r="R132" s="26"/>
      <c r="S132" s="14">
        <f t="shared" si="13"/>
        <v>-1.027179175</v>
      </c>
      <c r="U132" s="21"/>
      <c r="V132" s="21"/>
    </row>
    <row r="133">
      <c r="A133" s="11">
        <v>121.0</v>
      </c>
      <c r="B133" s="11">
        <v>1.41992173913043E9</v>
      </c>
      <c r="C133" s="2">
        <v>-102.4120102</v>
      </c>
      <c r="D133" s="24">
        <f t="shared" si="1"/>
        <v>-478260.8696</v>
      </c>
      <c r="E133" s="25">
        <f t="shared" si="2"/>
        <v>100.0942784</v>
      </c>
      <c r="F133" s="24">
        <f t="shared" si="3"/>
        <v>0.0002092880367</v>
      </c>
      <c r="G133" s="24">
        <f t="shared" si="4"/>
        <v>0</v>
      </c>
      <c r="H133" s="26">
        <f t="shared" si="5"/>
        <v>0</v>
      </c>
      <c r="I133" s="24">
        <f t="shared" si="6"/>
        <v>0</v>
      </c>
      <c r="J133" s="24">
        <f t="shared" si="7"/>
        <v>0</v>
      </c>
      <c r="K133" s="24"/>
      <c r="L133" s="24">
        <f t="shared" si="8"/>
        <v>436.4205049</v>
      </c>
      <c r="M133" s="14">
        <f t="shared" si="9"/>
        <v>435.023719</v>
      </c>
      <c r="N133" s="27">
        <f t="shared" si="10"/>
        <v>1.396785907</v>
      </c>
      <c r="O133" s="24"/>
      <c r="P133" s="24"/>
      <c r="Q133" s="24"/>
      <c r="R133" s="26"/>
      <c r="S133" s="14">
        <f t="shared" si="13"/>
        <v>1.282663093</v>
      </c>
      <c r="U133" s="21"/>
      <c r="V133" s="21"/>
    </row>
    <row r="134">
      <c r="A134" s="11">
        <v>122.0</v>
      </c>
      <c r="B134" s="11">
        <v>1.41992608695652E9</v>
      </c>
      <c r="C134" s="2">
        <v>-102.330452</v>
      </c>
      <c r="D134" s="24">
        <f t="shared" si="1"/>
        <v>-473913.0435</v>
      </c>
      <c r="E134" s="25">
        <f t="shared" si="2"/>
        <v>99.17598227</v>
      </c>
      <c r="F134" s="24">
        <f t="shared" si="3"/>
        <v>0.0002092704213</v>
      </c>
      <c r="G134" s="24">
        <f t="shared" si="4"/>
        <v>0</v>
      </c>
      <c r="H134" s="26">
        <f t="shared" si="5"/>
        <v>0</v>
      </c>
      <c r="I134" s="24">
        <f t="shared" si="6"/>
        <v>0</v>
      </c>
      <c r="J134" s="24">
        <f t="shared" si="7"/>
        <v>0</v>
      </c>
      <c r="K134" s="24"/>
      <c r="L134" s="24">
        <f t="shared" si="8"/>
        <v>444.6936903</v>
      </c>
      <c r="M134" s="14">
        <f t="shared" si="9"/>
        <v>434.9587749</v>
      </c>
      <c r="N134" s="27">
        <f t="shared" si="10"/>
        <v>9.734915448</v>
      </c>
      <c r="O134" s="24"/>
      <c r="P134" s="24"/>
      <c r="Q134" s="24"/>
      <c r="R134" s="26"/>
      <c r="S134" s="14">
        <f t="shared" si="13"/>
        <v>8.939535209</v>
      </c>
      <c r="U134" s="21"/>
      <c r="V134" s="21"/>
    </row>
    <row r="135">
      <c r="A135" s="11">
        <v>123.0</v>
      </c>
      <c r="B135" s="11">
        <v>1.4199304347826E9</v>
      </c>
      <c r="C135" s="2">
        <v>-102.3169327</v>
      </c>
      <c r="D135" s="24">
        <f t="shared" si="1"/>
        <v>-469565.2174</v>
      </c>
      <c r="E135" s="25">
        <f t="shared" si="2"/>
        <v>98.25768614</v>
      </c>
      <c r="F135" s="24">
        <f t="shared" si="3"/>
        <v>0.0002092524797</v>
      </c>
      <c r="G135" s="24">
        <f t="shared" si="4"/>
        <v>0</v>
      </c>
      <c r="H135" s="26">
        <f t="shared" si="5"/>
        <v>0</v>
      </c>
      <c r="I135" s="24">
        <f t="shared" si="6"/>
        <v>0</v>
      </c>
      <c r="J135" s="24">
        <f t="shared" si="7"/>
        <v>0</v>
      </c>
      <c r="K135" s="24"/>
      <c r="L135" s="24">
        <f t="shared" si="8"/>
        <v>446.0801492</v>
      </c>
      <c r="M135" s="14">
        <f t="shared" si="9"/>
        <v>434.8939552</v>
      </c>
      <c r="N135" s="27">
        <f t="shared" si="10"/>
        <v>11.18619403</v>
      </c>
      <c r="O135" s="24"/>
      <c r="P135" s="24"/>
      <c r="Q135" s="24"/>
      <c r="R135" s="26"/>
      <c r="S135" s="14">
        <f t="shared" si="13"/>
        <v>10.27223872</v>
      </c>
      <c r="U135" s="21"/>
      <c r="V135" s="21"/>
    </row>
    <row r="136">
      <c r="A136" s="11">
        <v>124.0</v>
      </c>
      <c r="B136" s="11">
        <v>1.41993478260869E9</v>
      </c>
      <c r="C136" s="2">
        <v>-102.394104</v>
      </c>
      <c r="D136" s="24">
        <f t="shared" si="1"/>
        <v>-465217.3913</v>
      </c>
      <c r="E136" s="25">
        <f t="shared" si="2"/>
        <v>97.33939001</v>
      </c>
      <c r="F136" s="24">
        <f t="shared" si="3"/>
        <v>0.0002092342028</v>
      </c>
      <c r="G136" s="24">
        <f t="shared" si="4"/>
        <v>0</v>
      </c>
      <c r="H136" s="26">
        <f t="shared" si="5"/>
        <v>0</v>
      </c>
      <c r="I136" s="24">
        <f t="shared" si="6"/>
        <v>0</v>
      </c>
      <c r="J136" s="24">
        <f t="shared" si="7"/>
        <v>0</v>
      </c>
      <c r="K136" s="24"/>
      <c r="L136" s="24">
        <f t="shared" si="8"/>
        <v>438.2236052</v>
      </c>
      <c r="M136" s="14">
        <f t="shared" si="9"/>
        <v>434.8292575</v>
      </c>
      <c r="N136" s="27">
        <f t="shared" si="10"/>
        <v>3.394347625</v>
      </c>
      <c r="O136" s="24"/>
      <c r="P136" s="24"/>
      <c r="Q136" s="24"/>
      <c r="R136" s="26"/>
      <c r="S136" s="14">
        <f t="shared" si="13"/>
        <v>3.117016297</v>
      </c>
      <c r="U136" s="21"/>
      <c r="V136" s="21"/>
    </row>
    <row r="137">
      <c r="A137" s="11">
        <v>125.0</v>
      </c>
      <c r="B137" s="11">
        <v>1.41993913043478E9</v>
      </c>
      <c r="C137" s="2">
        <v>-102.4258423</v>
      </c>
      <c r="D137" s="24">
        <f t="shared" si="1"/>
        <v>-460869.5652</v>
      </c>
      <c r="E137" s="25">
        <f t="shared" si="2"/>
        <v>96.42109387</v>
      </c>
      <c r="F137" s="24">
        <f t="shared" si="3"/>
        <v>0.000209215581</v>
      </c>
      <c r="G137" s="24">
        <f t="shared" si="4"/>
        <v>0</v>
      </c>
      <c r="H137" s="26">
        <f t="shared" si="5"/>
        <v>0</v>
      </c>
      <c r="I137" s="24">
        <f t="shared" si="6"/>
        <v>0</v>
      </c>
      <c r="J137" s="24">
        <f t="shared" si="7"/>
        <v>0</v>
      </c>
      <c r="K137" s="24"/>
      <c r="L137" s="24">
        <f t="shared" si="8"/>
        <v>435.0327347</v>
      </c>
      <c r="M137" s="14">
        <f t="shared" si="9"/>
        <v>434.7646795</v>
      </c>
      <c r="N137" s="27">
        <f t="shared" si="10"/>
        <v>0.268055222</v>
      </c>
      <c r="O137" s="24"/>
      <c r="P137" s="24"/>
      <c r="Q137" s="24"/>
      <c r="R137" s="26"/>
      <c r="S137" s="14">
        <f t="shared" si="13"/>
        <v>0.2461540732</v>
      </c>
      <c r="U137" s="21"/>
      <c r="V137" s="21"/>
    </row>
    <row r="138">
      <c r="A138" s="11">
        <v>126.0</v>
      </c>
      <c r="B138" s="11">
        <v>1.41994347826087E9</v>
      </c>
      <c r="C138" s="2">
        <v>-102.3678284</v>
      </c>
      <c r="D138" s="24">
        <f t="shared" si="1"/>
        <v>-456521.7391</v>
      </c>
      <c r="E138" s="25">
        <f t="shared" si="2"/>
        <v>95.50279774</v>
      </c>
      <c r="F138" s="24">
        <f t="shared" si="3"/>
        <v>0.0002091966046</v>
      </c>
      <c r="G138" s="24">
        <f t="shared" si="4"/>
        <v>0</v>
      </c>
      <c r="H138" s="26">
        <f t="shared" si="5"/>
        <v>0</v>
      </c>
      <c r="I138" s="24">
        <f t="shared" si="6"/>
        <v>0</v>
      </c>
      <c r="J138" s="24">
        <f t="shared" si="7"/>
        <v>0</v>
      </c>
      <c r="K138" s="24"/>
      <c r="L138" s="24">
        <f t="shared" si="8"/>
        <v>440.8829738</v>
      </c>
      <c r="M138" s="14">
        <f t="shared" si="9"/>
        <v>434.7002188</v>
      </c>
      <c r="N138" s="27">
        <f t="shared" si="10"/>
        <v>6.182755027</v>
      </c>
      <c r="O138" s="24"/>
      <c r="P138" s="24"/>
      <c r="Q138" s="24"/>
      <c r="R138" s="26"/>
      <c r="S138" s="14">
        <f t="shared" si="13"/>
        <v>5.677600031</v>
      </c>
      <c r="U138" s="21"/>
      <c r="V138" s="21"/>
    </row>
    <row r="139">
      <c r="A139" s="11">
        <v>127.0</v>
      </c>
      <c r="B139" s="11">
        <v>1.41994782608695E9</v>
      </c>
      <c r="C139" s="2">
        <v>-102.3550415</v>
      </c>
      <c r="D139" s="24">
        <f t="shared" si="1"/>
        <v>-452173.913</v>
      </c>
      <c r="E139" s="25">
        <f t="shared" si="2"/>
        <v>94.58450161</v>
      </c>
      <c r="F139" s="24">
        <f t="shared" si="3"/>
        <v>0.0002091772632</v>
      </c>
      <c r="G139" s="24">
        <f t="shared" si="4"/>
        <v>0</v>
      </c>
      <c r="H139" s="26">
        <f t="shared" si="5"/>
        <v>0</v>
      </c>
      <c r="I139" s="24">
        <f t="shared" si="6"/>
        <v>0</v>
      </c>
      <c r="J139" s="24">
        <f t="shared" si="7"/>
        <v>0</v>
      </c>
      <c r="K139" s="24"/>
      <c r="L139" s="24">
        <f t="shared" si="8"/>
        <v>442.1829751</v>
      </c>
      <c r="M139" s="14">
        <f t="shared" si="9"/>
        <v>434.6358729</v>
      </c>
      <c r="N139" s="27">
        <f t="shared" si="10"/>
        <v>7.547102204</v>
      </c>
      <c r="O139" s="24"/>
      <c r="P139" s="24"/>
      <c r="Q139" s="24"/>
      <c r="R139" s="26"/>
      <c r="S139" s="14">
        <f t="shared" si="13"/>
        <v>6.930474768</v>
      </c>
      <c r="U139" s="21"/>
      <c r="V139" s="21"/>
    </row>
    <row r="140">
      <c r="A140" s="11">
        <v>128.0</v>
      </c>
      <c r="B140" s="11">
        <v>1.41995217391304E9</v>
      </c>
      <c r="C140" s="2">
        <v>-102.3294678</v>
      </c>
      <c r="D140" s="24">
        <f t="shared" si="1"/>
        <v>-447826.087</v>
      </c>
      <c r="E140" s="25">
        <f t="shared" si="2"/>
        <v>93.66620548</v>
      </c>
      <c r="F140" s="24">
        <f t="shared" si="3"/>
        <v>0.0002091575462</v>
      </c>
      <c r="G140" s="24">
        <f t="shared" si="4"/>
        <v>0</v>
      </c>
      <c r="H140" s="26">
        <f t="shared" si="5"/>
        <v>0</v>
      </c>
      <c r="I140" s="24">
        <f t="shared" si="6"/>
        <v>0</v>
      </c>
      <c r="J140" s="24">
        <f t="shared" si="7"/>
        <v>0</v>
      </c>
      <c r="K140" s="24"/>
      <c r="L140" s="24">
        <f t="shared" si="8"/>
        <v>444.7944784</v>
      </c>
      <c r="M140" s="14">
        <f t="shared" si="9"/>
        <v>434.5716395</v>
      </c>
      <c r="N140" s="27">
        <f t="shared" si="10"/>
        <v>10.22283891</v>
      </c>
      <c r="O140" s="24"/>
      <c r="P140" s="24"/>
      <c r="Q140" s="24"/>
      <c r="R140" s="26"/>
      <c r="S140" s="14">
        <f t="shared" si="13"/>
        <v>9.387593419</v>
      </c>
      <c r="U140" s="21"/>
      <c r="V140" s="21"/>
    </row>
    <row r="141">
      <c r="A141" s="11">
        <v>129.0</v>
      </c>
      <c r="B141" s="11">
        <v>1.41995652173913E9</v>
      </c>
      <c r="C141" s="2">
        <v>-102.3631058</v>
      </c>
      <c r="D141" s="24">
        <f t="shared" si="1"/>
        <v>-443478.2609</v>
      </c>
      <c r="E141" s="25">
        <f t="shared" si="2"/>
        <v>92.74790935</v>
      </c>
      <c r="F141" s="24">
        <f t="shared" si="3"/>
        <v>0.0002091374426</v>
      </c>
      <c r="G141" s="24">
        <f t="shared" si="4"/>
        <v>0</v>
      </c>
      <c r="H141" s="26">
        <f t="shared" si="5"/>
        <v>0</v>
      </c>
      <c r="I141" s="24">
        <f t="shared" si="6"/>
        <v>0</v>
      </c>
      <c r="J141" s="24">
        <f t="shared" si="7"/>
        <v>0</v>
      </c>
      <c r="K141" s="24"/>
      <c r="L141" s="24">
        <f t="shared" si="8"/>
        <v>441.362659</v>
      </c>
      <c r="M141" s="14">
        <f t="shared" si="9"/>
        <v>434.5075163</v>
      </c>
      <c r="N141" s="27">
        <f t="shared" si="10"/>
        <v>6.855142741</v>
      </c>
      <c r="O141" s="24"/>
      <c r="P141" s="24"/>
      <c r="Q141" s="24"/>
      <c r="R141" s="26"/>
      <c r="S141" s="14">
        <f t="shared" si="13"/>
        <v>6.295051069</v>
      </c>
      <c r="U141" s="21"/>
      <c r="V141" s="21"/>
    </row>
    <row r="142">
      <c r="A142" s="11">
        <v>130.0</v>
      </c>
      <c r="B142" s="11">
        <v>1.41996086956521E9</v>
      </c>
      <c r="C142" s="2">
        <v>-102.3102951</v>
      </c>
      <c r="D142" s="24">
        <f t="shared" si="1"/>
        <v>-439130.4348</v>
      </c>
      <c r="E142" s="25">
        <f t="shared" si="2"/>
        <v>91.82961321</v>
      </c>
      <c r="F142" s="24">
        <f t="shared" si="3"/>
        <v>0.000209116941</v>
      </c>
      <c r="G142" s="24">
        <f t="shared" si="4"/>
        <v>0</v>
      </c>
      <c r="H142" s="26">
        <f t="shared" si="5"/>
        <v>0</v>
      </c>
      <c r="I142" s="24">
        <f t="shared" si="6"/>
        <v>0</v>
      </c>
      <c r="J142" s="24">
        <f t="shared" si="7"/>
        <v>0</v>
      </c>
      <c r="K142" s="24"/>
      <c r="L142" s="24">
        <f t="shared" si="8"/>
        <v>446.7624433</v>
      </c>
      <c r="M142" s="14">
        <f t="shared" si="9"/>
        <v>434.4435008</v>
      </c>
      <c r="N142" s="27">
        <f t="shared" si="10"/>
        <v>12.31894254</v>
      </c>
      <c r="O142" s="24"/>
      <c r="P142" s="24"/>
      <c r="Q142" s="24"/>
      <c r="R142" s="26"/>
      <c r="S142" s="14">
        <f t="shared" si="13"/>
        <v>11.31243729</v>
      </c>
      <c r="U142" s="21"/>
      <c r="V142" s="21"/>
    </row>
    <row r="143">
      <c r="A143" s="11">
        <v>131.0</v>
      </c>
      <c r="B143" s="11">
        <v>1.4199652173913E9</v>
      </c>
      <c r="C143" s="2">
        <v>-102.3033752</v>
      </c>
      <c r="D143" s="24">
        <f t="shared" si="1"/>
        <v>-434782.6087</v>
      </c>
      <c r="E143" s="25">
        <f t="shared" si="2"/>
        <v>90.91131708</v>
      </c>
      <c r="F143" s="24">
        <f t="shared" si="3"/>
        <v>0.0002090960293</v>
      </c>
      <c r="G143" s="24">
        <f t="shared" si="4"/>
        <v>0</v>
      </c>
      <c r="H143" s="26">
        <f t="shared" si="5"/>
        <v>0</v>
      </c>
      <c r="I143" s="24">
        <f t="shared" si="6"/>
        <v>0</v>
      </c>
      <c r="J143" s="24">
        <f t="shared" si="7"/>
        <v>0</v>
      </c>
      <c r="K143" s="24"/>
      <c r="L143" s="24">
        <f t="shared" si="8"/>
        <v>447.4748667</v>
      </c>
      <c r="M143" s="14">
        <f t="shared" si="9"/>
        <v>434.3795906</v>
      </c>
      <c r="N143" s="27">
        <f t="shared" si="10"/>
        <v>13.09527613</v>
      </c>
      <c r="O143" s="24"/>
      <c r="P143" s="24"/>
      <c r="Q143" s="24"/>
      <c r="R143" s="26"/>
      <c r="S143" s="14">
        <f t="shared" si="13"/>
        <v>12.0253414</v>
      </c>
      <c r="U143" s="21"/>
      <c r="V143" s="21"/>
    </row>
    <row r="144">
      <c r="A144" s="11">
        <v>132.0</v>
      </c>
      <c r="B144" s="11">
        <v>1.41996956521739E9</v>
      </c>
      <c r="C144" s="2">
        <v>-102.2346954</v>
      </c>
      <c r="D144" s="24">
        <f t="shared" si="1"/>
        <v>-430434.7826</v>
      </c>
      <c r="E144" s="25">
        <f t="shared" si="2"/>
        <v>89.99302095</v>
      </c>
      <c r="F144" s="24">
        <f t="shared" si="3"/>
        <v>0.0002090746951</v>
      </c>
      <c r="G144" s="24">
        <f t="shared" si="4"/>
        <v>0</v>
      </c>
      <c r="H144" s="26">
        <f t="shared" si="5"/>
        <v>0</v>
      </c>
      <c r="I144" s="24">
        <f t="shared" si="6"/>
        <v>0</v>
      </c>
      <c r="J144" s="24">
        <f t="shared" si="7"/>
        <v>0</v>
      </c>
      <c r="K144" s="24"/>
      <c r="L144" s="24">
        <f t="shared" si="8"/>
        <v>454.6075325</v>
      </c>
      <c r="M144" s="14">
        <f t="shared" si="9"/>
        <v>434.3157835</v>
      </c>
      <c r="N144" s="27">
        <f t="shared" si="10"/>
        <v>20.29174905</v>
      </c>
      <c r="O144" s="24"/>
      <c r="P144" s="24"/>
      <c r="Q144" s="24"/>
      <c r="R144" s="26"/>
      <c r="S144" s="14">
        <f t="shared" si="13"/>
        <v>18.63383468</v>
      </c>
      <c r="U144" s="21"/>
      <c r="V144" s="21"/>
    </row>
    <row r="145">
      <c r="A145" s="11">
        <v>133.0</v>
      </c>
      <c r="B145" s="11">
        <v>1.41997391304347E9</v>
      </c>
      <c r="C145" s="2">
        <v>-102.2289734</v>
      </c>
      <c r="D145" s="24">
        <f t="shared" si="1"/>
        <v>-426086.9565</v>
      </c>
      <c r="E145" s="25">
        <f t="shared" si="2"/>
        <v>89.07472482</v>
      </c>
      <c r="F145" s="24">
        <f t="shared" si="3"/>
        <v>0.0002090529256</v>
      </c>
      <c r="G145" s="24">
        <f t="shared" si="4"/>
        <v>0</v>
      </c>
      <c r="H145" s="26">
        <f t="shared" si="5"/>
        <v>0</v>
      </c>
      <c r="I145" s="24">
        <f t="shared" si="6"/>
        <v>0</v>
      </c>
      <c r="J145" s="24">
        <f t="shared" si="7"/>
        <v>0</v>
      </c>
      <c r="K145" s="24"/>
      <c r="L145" s="24">
        <f t="shared" si="8"/>
        <v>455.2068905</v>
      </c>
      <c r="M145" s="14">
        <f t="shared" si="9"/>
        <v>434.2520769</v>
      </c>
      <c r="N145" s="27">
        <f t="shared" si="10"/>
        <v>20.95481359</v>
      </c>
      <c r="O145" s="24"/>
      <c r="P145" s="24"/>
      <c r="Q145" s="24"/>
      <c r="R145" s="26"/>
      <c r="S145" s="14">
        <f t="shared" si="13"/>
        <v>19.24272428</v>
      </c>
      <c r="U145" s="21"/>
      <c r="V145" s="21"/>
    </row>
    <row r="146">
      <c r="A146" s="11">
        <v>134.0</v>
      </c>
      <c r="B146" s="11">
        <v>1.41997826086956E9</v>
      </c>
      <c r="C146" s="2">
        <v>-102.1878891</v>
      </c>
      <c r="D146" s="24">
        <f t="shared" si="1"/>
        <v>-421739.1304</v>
      </c>
      <c r="E146" s="25">
        <f t="shared" si="2"/>
        <v>88.15642869</v>
      </c>
      <c r="F146" s="24">
        <f t="shared" si="3"/>
        <v>0.0002090307072</v>
      </c>
      <c r="G146" s="24">
        <f t="shared" si="4"/>
        <v>0</v>
      </c>
      <c r="H146" s="26">
        <f t="shared" si="5"/>
        <v>0</v>
      </c>
      <c r="I146" s="24">
        <f t="shared" si="6"/>
        <v>0</v>
      </c>
      <c r="J146" s="24">
        <f t="shared" si="7"/>
        <v>0</v>
      </c>
      <c r="K146" s="24"/>
      <c r="L146" s="24">
        <f t="shared" si="8"/>
        <v>459.5335851</v>
      </c>
      <c r="M146" s="14">
        <f t="shared" si="9"/>
        <v>434.1884686</v>
      </c>
      <c r="N146" s="27">
        <f t="shared" si="10"/>
        <v>25.34511652</v>
      </c>
      <c r="O146" s="24"/>
      <c r="P146" s="24"/>
      <c r="Q146" s="24"/>
      <c r="R146" s="26"/>
      <c r="S146" s="14">
        <f t="shared" si="13"/>
        <v>23.27432243</v>
      </c>
      <c r="U146" s="21"/>
      <c r="V146" s="21"/>
    </row>
    <row r="147">
      <c r="A147" s="11">
        <v>135.0</v>
      </c>
      <c r="B147" s="11">
        <v>1.41998260869565E9</v>
      </c>
      <c r="C147" s="2">
        <v>-102.1837997</v>
      </c>
      <c r="D147" s="24">
        <f t="shared" si="1"/>
        <v>-417391.3043</v>
      </c>
      <c r="E147" s="25">
        <f t="shared" si="2"/>
        <v>87.23813255</v>
      </c>
      <c r="F147" s="24">
        <f t="shared" si="3"/>
        <v>0.0002090080259</v>
      </c>
      <c r="G147" s="24">
        <f t="shared" si="4"/>
        <v>0</v>
      </c>
      <c r="H147" s="26">
        <f t="shared" si="5"/>
        <v>0</v>
      </c>
      <c r="I147" s="24">
        <f t="shared" si="6"/>
        <v>0</v>
      </c>
      <c r="J147" s="24">
        <f t="shared" si="7"/>
        <v>0</v>
      </c>
      <c r="K147" s="24"/>
      <c r="L147" s="24">
        <f t="shared" si="8"/>
        <v>459.9664945</v>
      </c>
      <c r="M147" s="14">
        <f t="shared" si="9"/>
        <v>434.1249561</v>
      </c>
      <c r="N147" s="27">
        <f t="shared" si="10"/>
        <v>25.84153841</v>
      </c>
      <c r="O147" s="24"/>
      <c r="P147" s="24"/>
      <c r="Q147" s="24"/>
      <c r="R147" s="26"/>
      <c r="S147" s="14">
        <f t="shared" si="13"/>
        <v>23.73018478</v>
      </c>
      <c r="U147" s="21"/>
      <c r="V147" s="21"/>
    </row>
    <row r="148">
      <c r="A148" s="11">
        <v>136.0</v>
      </c>
      <c r="B148" s="11">
        <v>1.41998695652173E9</v>
      </c>
      <c r="C148" s="2">
        <v>-102.1885605</v>
      </c>
      <c r="D148" s="24">
        <f t="shared" si="1"/>
        <v>-413043.4783</v>
      </c>
      <c r="E148" s="25">
        <f t="shared" si="2"/>
        <v>86.31983642</v>
      </c>
      <c r="F148" s="24">
        <f t="shared" si="3"/>
        <v>0.0002089848671</v>
      </c>
      <c r="G148" s="24">
        <f t="shared" si="4"/>
        <v>0</v>
      </c>
      <c r="H148" s="26">
        <f t="shared" si="5"/>
        <v>0</v>
      </c>
      <c r="I148" s="24">
        <f t="shared" si="6"/>
        <v>0</v>
      </c>
      <c r="J148" s="24">
        <f t="shared" si="7"/>
        <v>0</v>
      </c>
      <c r="K148" s="24"/>
      <c r="L148" s="24">
        <f t="shared" si="8"/>
        <v>459.4625487</v>
      </c>
      <c r="M148" s="14">
        <f t="shared" si="9"/>
        <v>434.0615371</v>
      </c>
      <c r="N148" s="27">
        <f t="shared" si="10"/>
        <v>25.40101164</v>
      </c>
      <c r="O148" s="24"/>
      <c r="P148" s="24"/>
      <c r="Q148" s="24"/>
      <c r="R148" s="26"/>
      <c r="S148" s="14">
        <f t="shared" si="13"/>
        <v>23.32565076</v>
      </c>
      <c r="U148" s="21"/>
      <c r="V148" s="21"/>
    </row>
    <row r="149">
      <c r="A149" s="11">
        <v>137.0</v>
      </c>
      <c r="B149" s="11">
        <v>1.41999130434782E9</v>
      </c>
      <c r="C149" s="2">
        <v>-102.1205139</v>
      </c>
      <c r="D149" s="24">
        <f t="shared" si="1"/>
        <v>-408695.6522</v>
      </c>
      <c r="E149" s="25">
        <f t="shared" si="2"/>
        <v>85.40154029</v>
      </c>
      <c r="F149" s="24">
        <f t="shared" si="3"/>
        <v>0.0002089612156</v>
      </c>
      <c r="G149" s="24">
        <f t="shared" si="4"/>
        <v>0</v>
      </c>
      <c r="H149" s="26">
        <f t="shared" si="5"/>
        <v>0</v>
      </c>
      <c r="I149" s="24">
        <f t="shared" si="6"/>
        <v>0</v>
      </c>
      <c r="J149" s="24">
        <f t="shared" si="7"/>
        <v>0</v>
      </c>
      <c r="K149" s="24"/>
      <c r="L149" s="24">
        <f t="shared" si="8"/>
        <v>466.7182436</v>
      </c>
      <c r="M149" s="14">
        <f t="shared" si="9"/>
        <v>433.9982092</v>
      </c>
      <c r="N149" s="27">
        <f t="shared" si="10"/>
        <v>32.7200344</v>
      </c>
      <c r="O149" s="24"/>
      <c r="P149" s="24"/>
      <c r="Q149" s="24"/>
      <c r="R149" s="26"/>
      <c r="S149" s="14">
        <f t="shared" si="13"/>
        <v>30.04668106</v>
      </c>
      <c r="U149" s="21"/>
      <c r="V149" s="21"/>
    </row>
    <row r="150">
      <c r="A150" s="11">
        <v>138.0</v>
      </c>
      <c r="B150" s="11">
        <v>1.41999565217391E9</v>
      </c>
      <c r="C150" s="2">
        <v>-102.10186</v>
      </c>
      <c r="D150" s="24">
        <f t="shared" si="1"/>
        <v>-404347.8261</v>
      </c>
      <c r="E150" s="25">
        <f t="shared" si="2"/>
        <v>84.48324416</v>
      </c>
      <c r="F150" s="24">
        <f t="shared" si="3"/>
        <v>0.0002089370554</v>
      </c>
      <c r="G150" s="24">
        <f t="shared" si="4"/>
        <v>0</v>
      </c>
      <c r="H150" s="26">
        <f t="shared" si="5"/>
        <v>0</v>
      </c>
      <c r="I150" s="24">
        <f t="shared" si="6"/>
        <v>0</v>
      </c>
      <c r="J150" s="24">
        <f t="shared" si="7"/>
        <v>0</v>
      </c>
      <c r="K150" s="24"/>
      <c r="L150" s="24">
        <f t="shared" si="8"/>
        <v>468.7272121</v>
      </c>
      <c r="M150" s="14">
        <f t="shared" si="9"/>
        <v>433.93497</v>
      </c>
      <c r="N150" s="27">
        <f t="shared" si="10"/>
        <v>34.79224217</v>
      </c>
      <c r="O150" s="24"/>
      <c r="P150" s="24"/>
      <c r="Q150" s="24"/>
      <c r="R150" s="26"/>
      <c r="S150" s="14">
        <f t="shared" si="13"/>
        <v>31.94958136</v>
      </c>
      <c r="U150" s="21"/>
      <c r="V150" s="21"/>
    </row>
    <row r="151">
      <c r="A151" s="11">
        <v>139.0</v>
      </c>
      <c r="B151" s="11">
        <v>1.42E9</v>
      </c>
      <c r="C151" s="2">
        <v>-102.0766068</v>
      </c>
      <c r="D151" s="24">
        <f t="shared" si="1"/>
        <v>-400000</v>
      </c>
      <c r="E151" s="25">
        <f t="shared" si="2"/>
        <v>83.56494803</v>
      </c>
      <c r="F151" s="24">
        <f t="shared" si="3"/>
        <v>0.0002089123701</v>
      </c>
      <c r="G151" s="24">
        <f t="shared" si="4"/>
        <v>0</v>
      </c>
      <c r="H151" s="26">
        <f t="shared" si="5"/>
        <v>0</v>
      </c>
      <c r="I151" s="24">
        <f t="shared" si="6"/>
        <v>0</v>
      </c>
      <c r="J151" s="24">
        <f t="shared" si="7"/>
        <v>0</v>
      </c>
      <c r="K151" s="24"/>
      <c r="L151" s="24">
        <f t="shared" si="8"/>
        <v>471.4606899</v>
      </c>
      <c r="M151" s="14">
        <f t="shared" si="9"/>
        <v>433.8718171</v>
      </c>
      <c r="N151" s="27">
        <f t="shared" si="10"/>
        <v>37.58887282</v>
      </c>
      <c r="O151" s="24"/>
      <c r="P151" s="24"/>
      <c r="Q151" s="24"/>
      <c r="R151" s="26"/>
      <c r="S151" s="14">
        <f t="shared" si="13"/>
        <v>34.51771654</v>
      </c>
      <c r="U151" s="21"/>
      <c r="V151" s="21"/>
    </row>
    <row r="152">
      <c r="A152" s="11">
        <v>140.0</v>
      </c>
      <c r="B152" s="11">
        <v>1.42000434782608E9</v>
      </c>
      <c r="C152" s="2">
        <v>-102.028244</v>
      </c>
      <c r="D152" s="24">
        <f t="shared" si="1"/>
        <v>-395652.1739</v>
      </c>
      <c r="E152" s="25">
        <f t="shared" si="2"/>
        <v>82.64665189</v>
      </c>
      <c r="F152" s="24">
        <f t="shared" si="3"/>
        <v>0.0002088871421</v>
      </c>
      <c r="G152" s="24">
        <f t="shared" si="4"/>
        <v>0</v>
      </c>
      <c r="H152" s="26">
        <f t="shared" si="5"/>
        <v>0</v>
      </c>
      <c r="I152" s="24">
        <f t="shared" si="6"/>
        <v>0</v>
      </c>
      <c r="J152" s="24">
        <f t="shared" si="7"/>
        <v>0</v>
      </c>
      <c r="K152" s="24"/>
      <c r="L152" s="24">
        <f t="shared" si="8"/>
        <v>476.7401924</v>
      </c>
      <c r="M152" s="14">
        <f t="shared" si="9"/>
        <v>433.8087482</v>
      </c>
      <c r="N152" s="27">
        <f t="shared" si="10"/>
        <v>42.93144421</v>
      </c>
      <c r="O152" s="24"/>
      <c r="P152" s="24"/>
      <c r="Q152" s="24"/>
      <c r="R152" s="26"/>
      <c r="S152" s="14">
        <f t="shared" si="13"/>
        <v>39.42377919</v>
      </c>
      <c r="U152" s="21"/>
      <c r="V152" s="21"/>
    </row>
    <row r="153">
      <c r="A153" s="11">
        <v>141.0</v>
      </c>
      <c r="B153" s="11">
        <v>1.42000869565217E9</v>
      </c>
      <c r="C153" s="2">
        <v>-102.0088501</v>
      </c>
      <c r="D153" s="24">
        <f t="shared" si="1"/>
        <v>-391304.3478</v>
      </c>
      <c r="E153" s="25">
        <f t="shared" si="2"/>
        <v>81.72835576</v>
      </c>
      <c r="F153" s="24">
        <f t="shared" si="3"/>
        <v>0.0002088613536</v>
      </c>
      <c r="G153" s="24">
        <f t="shared" si="4"/>
        <v>0</v>
      </c>
      <c r="H153" s="26">
        <f t="shared" si="5"/>
        <v>0</v>
      </c>
      <c r="I153" s="24">
        <f t="shared" si="6"/>
        <v>0</v>
      </c>
      <c r="J153" s="24">
        <f t="shared" si="7"/>
        <v>0</v>
      </c>
      <c r="K153" s="24"/>
      <c r="L153" s="24">
        <f t="shared" si="8"/>
        <v>478.873889</v>
      </c>
      <c r="M153" s="14">
        <f t="shared" si="9"/>
        <v>433.7457608</v>
      </c>
      <c r="N153" s="27">
        <f t="shared" si="10"/>
        <v>45.12812816</v>
      </c>
      <c r="O153" s="24"/>
      <c r="P153" s="24"/>
      <c r="Q153" s="24"/>
      <c r="R153" s="26"/>
      <c r="S153" s="14">
        <f t="shared" si="13"/>
        <v>41.44098547</v>
      </c>
      <c r="U153" s="21"/>
      <c r="V153" s="21"/>
    </row>
    <row r="154">
      <c r="A154" s="11">
        <v>142.0</v>
      </c>
      <c r="B154" s="11">
        <v>1.42001304347826E9</v>
      </c>
      <c r="C154" s="2">
        <v>-101.9431305</v>
      </c>
      <c r="D154" s="24">
        <f t="shared" si="1"/>
        <v>-386956.5217</v>
      </c>
      <c r="E154" s="25">
        <f t="shared" si="2"/>
        <v>80.81005963</v>
      </c>
      <c r="F154" s="24">
        <f t="shared" si="3"/>
        <v>0.0002088349856</v>
      </c>
      <c r="G154" s="24">
        <f t="shared" si="4"/>
        <v>0</v>
      </c>
      <c r="H154" s="26">
        <f t="shared" si="5"/>
        <v>0</v>
      </c>
      <c r="I154" s="24">
        <f t="shared" si="6"/>
        <v>0</v>
      </c>
      <c r="J154" s="24">
        <f t="shared" si="7"/>
        <v>0</v>
      </c>
      <c r="K154" s="24"/>
      <c r="L154" s="24">
        <f t="shared" si="8"/>
        <v>486.1755536</v>
      </c>
      <c r="M154" s="14">
        <f t="shared" si="9"/>
        <v>433.6828526</v>
      </c>
      <c r="N154" s="27">
        <f t="shared" si="10"/>
        <v>52.49270095</v>
      </c>
      <c r="O154" s="24"/>
      <c r="P154" s="24"/>
      <c r="Q154" s="24"/>
      <c r="R154" s="26"/>
      <c r="S154" s="14">
        <f t="shared" si="13"/>
        <v>48.20384428</v>
      </c>
      <c r="U154" s="21"/>
      <c r="V154" s="21"/>
    </row>
    <row r="155">
      <c r="A155" s="11">
        <v>143.0</v>
      </c>
      <c r="B155" s="11">
        <v>1.42001739130434E9</v>
      </c>
      <c r="C155" s="2">
        <v>-101.8986282</v>
      </c>
      <c r="D155" s="24">
        <f t="shared" si="1"/>
        <v>-382608.6957</v>
      </c>
      <c r="E155" s="25">
        <f t="shared" si="2"/>
        <v>79.8917635</v>
      </c>
      <c r="F155" s="24">
        <f t="shared" si="3"/>
        <v>0.0002088080182</v>
      </c>
      <c r="G155" s="24">
        <f t="shared" si="4"/>
        <v>0</v>
      </c>
      <c r="H155" s="26">
        <f t="shared" si="5"/>
        <v>0</v>
      </c>
      <c r="I155" s="24">
        <f t="shared" si="6"/>
        <v>0</v>
      </c>
      <c r="J155" s="24">
        <f t="shared" si="7"/>
        <v>0</v>
      </c>
      <c r="K155" s="24"/>
      <c r="L155" s="24">
        <f t="shared" si="8"/>
        <v>491.1830227</v>
      </c>
      <c r="M155" s="14">
        <f t="shared" si="9"/>
        <v>433.6200213</v>
      </c>
      <c r="N155" s="27">
        <f t="shared" si="10"/>
        <v>57.56300141</v>
      </c>
      <c r="O155" s="24"/>
      <c r="P155" s="24"/>
      <c r="Q155" s="24"/>
      <c r="R155" s="26"/>
      <c r="S155" s="14">
        <f t="shared" si="13"/>
        <v>52.85988158</v>
      </c>
      <c r="U155" s="21"/>
      <c r="V155" s="21"/>
    </row>
    <row r="156">
      <c r="A156" s="11">
        <v>144.0</v>
      </c>
      <c r="B156" s="11">
        <v>1.42002173913043E9</v>
      </c>
      <c r="C156" s="2">
        <v>-101.9141922</v>
      </c>
      <c r="D156" s="24">
        <f t="shared" si="1"/>
        <v>-378260.8696</v>
      </c>
      <c r="E156" s="25">
        <f t="shared" si="2"/>
        <v>78.97346736</v>
      </c>
      <c r="F156" s="24">
        <f t="shared" si="3"/>
        <v>0.000208780431</v>
      </c>
      <c r="G156" s="24">
        <f t="shared" si="4"/>
        <v>0</v>
      </c>
      <c r="H156" s="26">
        <f t="shared" si="5"/>
        <v>0</v>
      </c>
      <c r="I156" s="24">
        <f t="shared" si="6"/>
        <v>0</v>
      </c>
      <c r="J156" s="24">
        <f t="shared" si="7"/>
        <v>0</v>
      </c>
      <c r="K156" s="24"/>
      <c r="L156" s="24">
        <f t="shared" si="8"/>
        <v>489.4258992</v>
      </c>
      <c r="M156" s="14">
        <f t="shared" si="9"/>
        <v>433.5572644</v>
      </c>
      <c r="N156" s="27">
        <f t="shared" si="10"/>
        <v>55.86863481</v>
      </c>
      <c r="O156" s="24"/>
      <c r="P156" s="24"/>
      <c r="Q156" s="24"/>
      <c r="R156" s="26"/>
      <c r="S156" s="14">
        <f t="shared" si="13"/>
        <v>51.30395117</v>
      </c>
      <c r="U156" s="21"/>
      <c r="V156" s="21"/>
    </row>
    <row r="157">
      <c r="A157" s="11">
        <v>145.0</v>
      </c>
      <c r="B157" s="11">
        <v>1.42002608695652E9</v>
      </c>
      <c r="C157" s="2">
        <v>-101.8958206</v>
      </c>
      <c r="D157" s="24">
        <f t="shared" si="1"/>
        <v>-373913.0435</v>
      </c>
      <c r="E157" s="25">
        <f t="shared" si="2"/>
        <v>78.05517123</v>
      </c>
      <c r="F157" s="24">
        <f t="shared" si="3"/>
        <v>0.0002087522021</v>
      </c>
      <c r="G157" s="24">
        <f t="shared" si="4"/>
        <v>0</v>
      </c>
      <c r="H157" s="26">
        <f t="shared" si="5"/>
        <v>0</v>
      </c>
      <c r="I157" s="24">
        <f t="shared" si="6"/>
        <v>0</v>
      </c>
      <c r="J157" s="24">
        <f t="shared" si="7"/>
        <v>0</v>
      </c>
      <c r="K157" s="24"/>
      <c r="L157" s="24">
        <f t="shared" si="8"/>
        <v>491.5006623</v>
      </c>
      <c r="M157" s="14">
        <f t="shared" si="9"/>
        <v>433.4945795</v>
      </c>
      <c r="N157" s="27">
        <f t="shared" si="10"/>
        <v>58.00608281</v>
      </c>
      <c r="O157" s="24"/>
      <c r="P157" s="24"/>
      <c r="Q157" s="24"/>
      <c r="R157" s="26"/>
      <c r="S157" s="14">
        <f t="shared" si="13"/>
        <v>53.26676152</v>
      </c>
      <c r="U157" s="21"/>
      <c r="V157" s="21"/>
    </row>
    <row r="158">
      <c r="A158" s="11">
        <v>146.0</v>
      </c>
      <c r="B158" s="11">
        <v>1.4200304347826E9</v>
      </c>
      <c r="C158" s="2">
        <v>-101.8450317</v>
      </c>
      <c r="D158" s="24">
        <f t="shared" si="1"/>
        <v>-369565.2174</v>
      </c>
      <c r="E158" s="25">
        <f t="shared" si="2"/>
        <v>77.1368751</v>
      </c>
      <c r="F158" s="24">
        <f t="shared" si="3"/>
        <v>0.0002087233091</v>
      </c>
      <c r="G158" s="24">
        <f t="shared" si="4"/>
        <v>0</v>
      </c>
      <c r="H158" s="26">
        <f t="shared" si="5"/>
        <v>0</v>
      </c>
      <c r="I158" s="24">
        <f t="shared" si="6"/>
        <v>0</v>
      </c>
      <c r="J158" s="24">
        <f t="shared" si="7"/>
        <v>0</v>
      </c>
      <c r="K158" s="24"/>
      <c r="L158" s="24">
        <f t="shared" si="8"/>
        <v>497.2822953</v>
      </c>
      <c r="M158" s="14">
        <f t="shared" si="9"/>
        <v>433.4319643</v>
      </c>
      <c r="N158" s="27">
        <f t="shared" si="10"/>
        <v>63.85033103</v>
      </c>
      <c r="O158" s="24"/>
      <c r="P158" s="24"/>
      <c r="Q158" s="24"/>
      <c r="R158" s="26"/>
      <c r="S158" s="14">
        <f t="shared" si="13"/>
        <v>58.63351206</v>
      </c>
      <c r="U158" s="21"/>
      <c r="V158" s="21"/>
    </row>
    <row r="159">
      <c r="A159" s="11">
        <v>147.0</v>
      </c>
      <c r="B159" s="11">
        <v>1.42003478260869E9</v>
      </c>
      <c r="C159" s="2">
        <v>-101.857193</v>
      </c>
      <c r="D159" s="24">
        <f t="shared" si="1"/>
        <v>-365217.3913</v>
      </c>
      <c r="E159" s="25">
        <f t="shared" si="2"/>
        <v>76.21857897</v>
      </c>
      <c r="F159" s="24">
        <f t="shared" si="3"/>
        <v>0.0002086937281</v>
      </c>
      <c r="G159" s="24">
        <f t="shared" si="4"/>
        <v>0</v>
      </c>
      <c r="H159" s="26">
        <f t="shared" si="5"/>
        <v>0</v>
      </c>
      <c r="I159" s="24">
        <f t="shared" si="6"/>
        <v>0</v>
      </c>
      <c r="J159" s="24">
        <f t="shared" si="7"/>
        <v>0</v>
      </c>
      <c r="K159" s="24"/>
      <c r="L159" s="24">
        <f t="shared" si="8"/>
        <v>495.891732</v>
      </c>
      <c r="M159" s="14">
        <f t="shared" si="9"/>
        <v>433.3694164</v>
      </c>
      <c r="N159" s="27">
        <f t="shared" si="10"/>
        <v>62.52231562</v>
      </c>
      <c r="O159" s="24"/>
      <c r="P159" s="24"/>
      <c r="Q159" s="24"/>
      <c r="R159" s="26"/>
      <c r="S159" s="14">
        <f t="shared" si="13"/>
        <v>57.41400065</v>
      </c>
      <c r="U159" s="21"/>
      <c r="V159" s="21"/>
    </row>
    <row r="160">
      <c r="A160" s="11">
        <v>148.0</v>
      </c>
      <c r="B160" s="11">
        <v>1.42003913043478E9</v>
      </c>
      <c r="C160" s="2">
        <v>-101.8287964</v>
      </c>
      <c r="D160" s="24">
        <f t="shared" si="1"/>
        <v>-360869.5652</v>
      </c>
      <c r="E160" s="25">
        <f t="shared" si="2"/>
        <v>75.30028284</v>
      </c>
      <c r="F160" s="24">
        <f t="shared" si="3"/>
        <v>0.0002086634344</v>
      </c>
      <c r="G160" s="24">
        <f t="shared" si="4"/>
        <v>0</v>
      </c>
      <c r="H160" s="26">
        <f t="shared" si="5"/>
        <v>0</v>
      </c>
      <c r="I160" s="24">
        <f t="shared" si="6"/>
        <v>0</v>
      </c>
      <c r="J160" s="24">
        <f t="shared" si="7"/>
        <v>0</v>
      </c>
      <c r="K160" s="24"/>
      <c r="L160" s="24">
        <f t="shared" si="8"/>
        <v>499.1447728</v>
      </c>
      <c r="M160" s="14">
        <f t="shared" si="9"/>
        <v>433.3069334</v>
      </c>
      <c r="N160" s="27">
        <f t="shared" si="10"/>
        <v>65.83783935</v>
      </c>
      <c r="O160" s="24"/>
      <c r="P160" s="24"/>
      <c r="Q160" s="24"/>
      <c r="R160" s="26"/>
      <c r="S160" s="14">
        <f t="shared" si="13"/>
        <v>60.45863313</v>
      </c>
      <c r="U160" s="21"/>
      <c r="V160" s="21"/>
    </row>
    <row r="161">
      <c r="A161" s="11">
        <v>149.0</v>
      </c>
      <c r="B161" s="11">
        <v>1.42004347826087E9</v>
      </c>
      <c r="C161" s="2">
        <v>-101.7721634</v>
      </c>
      <c r="D161" s="24">
        <f t="shared" si="1"/>
        <v>-356521.7391</v>
      </c>
      <c r="E161" s="25">
        <f t="shared" si="2"/>
        <v>74.3819867</v>
      </c>
      <c r="F161" s="24">
        <f t="shared" si="3"/>
        <v>0.0002086324017</v>
      </c>
      <c r="G161" s="24">
        <f t="shared" si="4"/>
        <v>0</v>
      </c>
      <c r="H161" s="26">
        <f t="shared" si="5"/>
        <v>0</v>
      </c>
      <c r="I161" s="24">
        <f t="shared" si="6"/>
        <v>0</v>
      </c>
      <c r="J161" s="24">
        <f t="shared" si="7"/>
        <v>0</v>
      </c>
      <c r="K161" s="24"/>
      <c r="L161" s="24">
        <f t="shared" si="8"/>
        <v>505.6963598</v>
      </c>
      <c r="M161" s="14">
        <f t="shared" si="9"/>
        <v>433.244513</v>
      </c>
      <c r="N161" s="27">
        <f t="shared" si="10"/>
        <v>72.45184677</v>
      </c>
      <c r="O161" s="24"/>
      <c r="P161" s="24"/>
      <c r="Q161" s="24"/>
      <c r="R161" s="26"/>
      <c r="S161" s="14">
        <f t="shared" si="13"/>
        <v>66.5322507</v>
      </c>
      <c r="U161" s="21"/>
      <c r="V161" s="21"/>
    </row>
    <row r="162">
      <c r="A162" s="11">
        <v>150.0</v>
      </c>
      <c r="B162" s="11">
        <v>1.42004782608695E9</v>
      </c>
      <c r="C162" s="2">
        <v>-101.8157578</v>
      </c>
      <c r="D162" s="24">
        <f t="shared" si="1"/>
        <v>-352173.913</v>
      </c>
      <c r="E162" s="25">
        <f t="shared" si="2"/>
        <v>73.46369057</v>
      </c>
      <c r="F162" s="24">
        <f t="shared" si="3"/>
        <v>0.0002086006029</v>
      </c>
      <c r="G162" s="24">
        <f t="shared" si="4"/>
        <v>0</v>
      </c>
      <c r="H162" s="26">
        <f t="shared" si="5"/>
        <v>0</v>
      </c>
      <c r="I162" s="24">
        <f t="shared" si="6"/>
        <v>0</v>
      </c>
      <c r="J162" s="24">
        <f t="shared" si="7"/>
        <v>0</v>
      </c>
      <c r="K162" s="24"/>
      <c r="L162" s="24">
        <f t="shared" si="8"/>
        <v>500.6455812</v>
      </c>
      <c r="M162" s="14">
        <f t="shared" si="9"/>
        <v>433.1821527</v>
      </c>
      <c r="N162" s="27">
        <f t="shared" si="10"/>
        <v>67.46342854</v>
      </c>
      <c r="O162" s="24"/>
      <c r="P162" s="24"/>
      <c r="Q162" s="24"/>
      <c r="R162" s="26"/>
      <c r="S162" s="14">
        <f t="shared" si="13"/>
        <v>61.95140554</v>
      </c>
      <c r="U162" s="21"/>
      <c r="V162" s="21"/>
    </row>
    <row r="163">
      <c r="A163" s="11">
        <v>151.0</v>
      </c>
      <c r="B163" s="11">
        <v>1.42005217391304E9</v>
      </c>
      <c r="C163" s="2">
        <v>-101.7902832</v>
      </c>
      <c r="D163" s="24">
        <f t="shared" si="1"/>
        <v>-347826.087</v>
      </c>
      <c r="E163" s="25">
        <f t="shared" si="2"/>
        <v>72.54539444</v>
      </c>
      <c r="F163" s="24">
        <f t="shared" si="3"/>
        <v>0.000208568009</v>
      </c>
      <c r="G163" s="24">
        <f t="shared" si="4"/>
        <v>0</v>
      </c>
      <c r="H163" s="26">
        <f t="shared" si="5"/>
        <v>0</v>
      </c>
      <c r="I163" s="24">
        <f t="shared" si="6"/>
        <v>0</v>
      </c>
      <c r="J163" s="24">
        <f t="shared" si="7"/>
        <v>0</v>
      </c>
      <c r="K163" s="24"/>
      <c r="L163" s="24">
        <f t="shared" si="8"/>
        <v>503.5908695</v>
      </c>
      <c r="M163" s="14">
        <f t="shared" si="9"/>
        <v>433.1198502</v>
      </c>
      <c r="N163" s="27">
        <f t="shared" si="10"/>
        <v>70.47101928</v>
      </c>
      <c r="O163" s="24"/>
      <c r="P163" s="24"/>
      <c r="Q163" s="24"/>
      <c r="R163" s="26"/>
      <c r="S163" s="14">
        <f t="shared" si="13"/>
        <v>64.71326433</v>
      </c>
      <c r="U163" s="21"/>
      <c r="V163" s="21"/>
    </row>
    <row r="164">
      <c r="A164" s="11">
        <v>152.0</v>
      </c>
      <c r="B164" s="11">
        <v>1.42005652173913E9</v>
      </c>
      <c r="C164" s="2">
        <v>-101.7659988</v>
      </c>
      <c r="D164" s="24">
        <f t="shared" si="1"/>
        <v>-343478.2609</v>
      </c>
      <c r="E164" s="25">
        <f t="shared" si="2"/>
        <v>71.62709831</v>
      </c>
      <c r="F164" s="24">
        <f t="shared" si="3"/>
        <v>0.00020853459</v>
      </c>
      <c r="G164" s="24">
        <f t="shared" si="4"/>
        <v>0</v>
      </c>
      <c r="H164" s="26">
        <f t="shared" si="5"/>
        <v>0</v>
      </c>
      <c r="I164" s="24">
        <f t="shared" si="6"/>
        <v>0</v>
      </c>
      <c r="J164" s="24">
        <f t="shared" si="7"/>
        <v>0</v>
      </c>
      <c r="K164" s="24"/>
      <c r="L164" s="24">
        <f t="shared" si="8"/>
        <v>506.414681</v>
      </c>
      <c r="M164" s="14">
        <f t="shared" si="9"/>
        <v>433.0576031</v>
      </c>
      <c r="N164" s="27">
        <f t="shared" si="10"/>
        <v>73.35707787</v>
      </c>
      <c r="O164" s="24"/>
      <c r="P164" s="24"/>
      <c r="Q164" s="24"/>
      <c r="R164" s="26"/>
      <c r="S164" s="14">
        <f t="shared" si="13"/>
        <v>67.36352092</v>
      </c>
      <c r="U164" s="21"/>
      <c r="V164" s="21"/>
    </row>
    <row r="165">
      <c r="A165" s="11">
        <v>153.0</v>
      </c>
      <c r="B165" s="11">
        <v>1.42006086956521E9</v>
      </c>
      <c r="C165" s="2">
        <v>-101.741188</v>
      </c>
      <c r="D165" s="24">
        <f t="shared" si="1"/>
        <v>-339130.4348</v>
      </c>
      <c r="E165" s="25">
        <f t="shared" si="2"/>
        <v>70.70880218</v>
      </c>
      <c r="F165" s="24">
        <f t="shared" si="3"/>
        <v>0.0002085003141</v>
      </c>
      <c r="G165" s="24">
        <f t="shared" si="4"/>
        <v>0</v>
      </c>
      <c r="H165" s="26">
        <f t="shared" si="5"/>
        <v>0</v>
      </c>
      <c r="I165" s="24">
        <f t="shared" si="6"/>
        <v>0</v>
      </c>
      <c r="J165" s="24">
        <f t="shared" si="7"/>
        <v>0</v>
      </c>
      <c r="K165" s="24"/>
      <c r="L165" s="24">
        <f t="shared" si="8"/>
        <v>509.316056</v>
      </c>
      <c r="M165" s="14">
        <f t="shared" si="9"/>
        <v>432.995409</v>
      </c>
      <c r="N165" s="27">
        <f t="shared" si="10"/>
        <v>76.32064703</v>
      </c>
      <c r="O165" s="24"/>
      <c r="P165" s="24"/>
      <c r="Q165" s="24"/>
      <c r="R165" s="26"/>
      <c r="S165" s="14">
        <f t="shared" si="13"/>
        <v>70.08495502</v>
      </c>
      <c r="U165" s="21"/>
      <c r="V165" s="21"/>
    </row>
    <row r="166">
      <c r="A166" s="11">
        <v>154.0</v>
      </c>
      <c r="B166" s="11">
        <v>1.4200652173913E9</v>
      </c>
      <c r="C166" s="2">
        <v>-101.6523132</v>
      </c>
      <c r="D166" s="24">
        <f t="shared" si="1"/>
        <v>-334782.6087</v>
      </c>
      <c r="E166" s="25">
        <f t="shared" si="2"/>
        <v>69.79050604</v>
      </c>
      <c r="F166" s="24">
        <f t="shared" si="3"/>
        <v>0.0002084651479</v>
      </c>
      <c r="G166" s="24">
        <f t="shared" si="4"/>
        <v>0</v>
      </c>
      <c r="H166" s="26">
        <f t="shared" si="5"/>
        <v>0</v>
      </c>
      <c r="I166" s="24">
        <f t="shared" si="6"/>
        <v>0</v>
      </c>
      <c r="J166" s="24">
        <f t="shared" si="7"/>
        <v>0</v>
      </c>
      <c r="K166" s="24"/>
      <c r="L166" s="24">
        <f t="shared" si="8"/>
        <v>519.8461685</v>
      </c>
      <c r="M166" s="14">
        <f t="shared" si="9"/>
        <v>432.9332655</v>
      </c>
      <c r="N166" s="27">
        <f t="shared" si="10"/>
        <v>86.91290297</v>
      </c>
      <c r="O166" s="24"/>
      <c r="P166" s="24"/>
      <c r="Q166" s="24"/>
      <c r="R166" s="26"/>
      <c r="S166" s="14">
        <f t="shared" si="13"/>
        <v>79.8117825</v>
      </c>
      <c r="U166" s="21"/>
      <c r="V166" s="21"/>
    </row>
    <row r="167">
      <c r="A167" s="11">
        <v>155.0</v>
      </c>
      <c r="B167" s="11">
        <v>1.42006956521739E9</v>
      </c>
      <c r="C167" s="2">
        <v>-101.6998291</v>
      </c>
      <c r="D167" s="24">
        <f t="shared" si="1"/>
        <v>-330434.7826</v>
      </c>
      <c r="E167" s="25">
        <f t="shared" si="2"/>
        <v>68.87220991</v>
      </c>
      <c r="F167" s="24">
        <f t="shared" si="3"/>
        <v>0.0002084290563</v>
      </c>
      <c r="G167" s="24">
        <f t="shared" si="4"/>
        <v>0</v>
      </c>
      <c r="H167" s="26">
        <f t="shared" si="5"/>
        <v>0</v>
      </c>
      <c r="I167" s="24">
        <f t="shared" si="6"/>
        <v>0</v>
      </c>
      <c r="J167" s="24">
        <f t="shared" si="7"/>
        <v>0</v>
      </c>
      <c r="K167" s="24"/>
      <c r="L167" s="24">
        <f t="shared" si="8"/>
        <v>514.1895633</v>
      </c>
      <c r="M167" s="14">
        <f t="shared" si="9"/>
        <v>432.8711704</v>
      </c>
      <c r="N167" s="27">
        <f t="shared" si="10"/>
        <v>81.31839298</v>
      </c>
      <c r="O167" s="24"/>
      <c r="P167" s="24"/>
      <c r="Q167" s="24"/>
      <c r="R167" s="26"/>
      <c r="S167" s="14">
        <f t="shared" si="13"/>
        <v>74.67436579</v>
      </c>
      <c r="U167" s="21"/>
      <c r="V167" s="21"/>
    </row>
    <row r="168">
      <c r="A168" s="11">
        <v>156.0</v>
      </c>
      <c r="B168" s="11">
        <v>1.42007391304347E9</v>
      </c>
      <c r="C168" s="2">
        <v>-101.675499</v>
      </c>
      <c r="D168" s="24">
        <f t="shared" si="1"/>
        <v>-326086.9565</v>
      </c>
      <c r="E168" s="25">
        <f t="shared" si="2"/>
        <v>67.95391378</v>
      </c>
      <c r="F168" s="24">
        <f t="shared" si="3"/>
        <v>0.0002083920023</v>
      </c>
      <c r="G168" s="24">
        <f t="shared" si="4"/>
        <v>0</v>
      </c>
      <c r="H168" s="26">
        <f t="shared" si="5"/>
        <v>0</v>
      </c>
      <c r="I168" s="24">
        <f t="shared" si="6"/>
        <v>0</v>
      </c>
      <c r="J168" s="24">
        <f t="shared" si="7"/>
        <v>0</v>
      </c>
      <c r="K168" s="24"/>
      <c r="L168" s="24">
        <f t="shared" si="8"/>
        <v>517.0782465</v>
      </c>
      <c r="M168" s="14">
        <f t="shared" si="9"/>
        <v>432.809121</v>
      </c>
      <c r="N168" s="27">
        <f t="shared" si="10"/>
        <v>84.26912546</v>
      </c>
      <c r="O168" s="24"/>
      <c r="P168" s="24"/>
      <c r="Q168" s="24"/>
      <c r="R168" s="26"/>
      <c r="S168" s="14">
        <f t="shared" si="13"/>
        <v>77.38401203</v>
      </c>
      <c r="U168" s="21"/>
      <c r="V168" s="21"/>
    </row>
    <row r="169">
      <c r="A169" s="11">
        <v>157.0</v>
      </c>
      <c r="B169" s="11">
        <v>1.42007826086956E9</v>
      </c>
      <c r="C169" s="2">
        <v>-101.6759796</v>
      </c>
      <c r="D169" s="24">
        <f t="shared" si="1"/>
        <v>-321739.1304</v>
      </c>
      <c r="E169" s="25">
        <f t="shared" si="2"/>
        <v>67.03561765</v>
      </c>
      <c r="F169" s="24">
        <f t="shared" si="3"/>
        <v>0.0002083539467</v>
      </c>
      <c r="G169" s="24">
        <f t="shared" si="4"/>
        <v>0</v>
      </c>
      <c r="H169" s="26">
        <f t="shared" si="5"/>
        <v>0</v>
      </c>
      <c r="I169" s="24">
        <f t="shared" si="6"/>
        <v>0</v>
      </c>
      <c r="J169" s="24">
        <f t="shared" si="7"/>
        <v>0</v>
      </c>
      <c r="K169" s="24"/>
      <c r="L169" s="24">
        <f t="shared" si="8"/>
        <v>517.0210286</v>
      </c>
      <c r="M169" s="14">
        <f t="shared" si="9"/>
        <v>432.7471152</v>
      </c>
      <c r="N169" s="27">
        <f t="shared" si="10"/>
        <v>84.2739134</v>
      </c>
      <c r="O169" s="24"/>
      <c r="P169" s="24"/>
      <c r="Q169" s="24"/>
      <c r="R169" s="26"/>
      <c r="S169" s="14">
        <f t="shared" si="13"/>
        <v>77.38840859</v>
      </c>
      <c r="U169" s="21"/>
      <c r="V169" s="21"/>
    </row>
    <row r="170">
      <c r="A170" s="11">
        <v>158.0</v>
      </c>
      <c r="B170" s="11">
        <v>1.42008260869565E9</v>
      </c>
      <c r="C170" s="2">
        <v>-101.6876678</v>
      </c>
      <c r="D170" s="24">
        <f t="shared" si="1"/>
        <v>-317391.3043</v>
      </c>
      <c r="E170" s="25">
        <f t="shared" si="2"/>
        <v>66.11732152</v>
      </c>
      <c r="F170" s="24">
        <f t="shared" si="3"/>
        <v>0.0002083148486</v>
      </c>
      <c r="G170" s="24">
        <f t="shared" si="4"/>
        <v>0</v>
      </c>
      <c r="H170" s="26">
        <f t="shared" si="5"/>
        <v>0</v>
      </c>
      <c r="I170" s="24">
        <f t="shared" si="6"/>
        <v>0</v>
      </c>
      <c r="J170" s="24">
        <f t="shared" si="7"/>
        <v>0</v>
      </c>
      <c r="K170" s="24"/>
      <c r="L170" s="24">
        <f t="shared" si="8"/>
        <v>515.6314368</v>
      </c>
      <c r="M170" s="14">
        <f t="shared" si="9"/>
        <v>432.6851506</v>
      </c>
      <c r="N170" s="27">
        <f t="shared" si="10"/>
        <v>82.94628625</v>
      </c>
      <c r="O170" s="24"/>
      <c r="P170" s="24"/>
      <c r="Q170" s="24"/>
      <c r="R170" s="26"/>
      <c r="S170" s="14">
        <f t="shared" si="13"/>
        <v>76.16925389</v>
      </c>
      <c r="U170" s="21"/>
      <c r="V170" s="21"/>
    </row>
    <row r="171">
      <c r="A171" s="11">
        <v>159.0</v>
      </c>
      <c r="B171" s="11">
        <v>1.42008695652173E9</v>
      </c>
      <c r="C171" s="2">
        <v>-101.6792297</v>
      </c>
      <c r="D171" s="24">
        <f t="shared" si="1"/>
        <v>-313043.4783</v>
      </c>
      <c r="E171" s="25">
        <f t="shared" si="2"/>
        <v>65.19902538</v>
      </c>
      <c r="F171" s="24">
        <f t="shared" si="3"/>
        <v>0.0002082746644</v>
      </c>
      <c r="G171" s="24">
        <f t="shared" si="4"/>
        <v>0</v>
      </c>
      <c r="H171" s="26">
        <f t="shared" si="5"/>
        <v>0</v>
      </c>
      <c r="I171" s="24">
        <f t="shared" si="6"/>
        <v>0</v>
      </c>
      <c r="J171" s="24">
        <f t="shared" si="7"/>
        <v>0</v>
      </c>
      <c r="K171" s="24"/>
      <c r="L171" s="24">
        <f t="shared" si="8"/>
        <v>516.6342539</v>
      </c>
      <c r="M171" s="14">
        <f t="shared" si="9"/>
        <v>432.6232246</v>
      </c>
      <c r="N171" s="27">
        <f t="shared" si="10"/>
        <v>84.01102926</v>
      </c>
      <c r="O171" s="24"/>
      <c r="P171" s="24"/>
      <c r="Q171" s="24"/>
      <c r="R171" s="26"/>
      <c r="S171" s="14">
        <f t="shared" si="13"/>
        <v>77.14700328</v>
      </c>
      <c r="U171" s="21"/>
      <c r="V171" s="21"/>
    </row>
    <row r="172">
      <c r="A172" s="11">
        <v>160.0</v>
      </c>
      <c r="B172" s="11">
        <v>1.42009130434782E9</v>
      </c>
      <c r="C172" s="2">
        <v>-101.6877975</v>
      </c>
      <c r="D172" s="24">
        <f t="shared" si="1"/>
        <v>-308695.6522</v>
      </c>
      <c r="E172" s="25">
        <f t="shared" si="2"/>
        <v>64.28072925</v>
      </c>
      <c r="F172" s="24">
        <f t="shared" si="3"/>
        <v>0.0002082333483</v>
      </c>
      <c r="G172" s="24">
        <f t="shared" si="4"/>
        <v>0</v>
      </c>
      <c r="H172" s="26">
        <f t="shared" si="5"/>
        <v>0</v>
      </c>
      <c r="I172" s="24">
        <f t="shared" si="6"/>
        <v>0</v>
      </c>
      <c r="J172" s="24">
        <f t="shared" si="7"/>
        <v>0</v>
      </c>
      <c r="K172" s="24"/>
      <c r="L172" s="24">
        <f t="shared" si="8"/>
        <v>515.6160379</v>
      </c>
      <c r="M172" s="14">
        <f t="shared" si="9"/>
        <v>432.561335</v>
      </c>
      <c r="N172" s="27">
        <f t="shared" si="10"/>
        <v>83.0547029</v>
      </c>
      <c r="O172" s="24"/>
      <c r="P172" s="24"/>
      <c r="Q172" s="24"/>
      <c r="R172" s="26"/>
      <c r="S172" s="14">
        <f t="shared" si="13"/>
        <v>76.26881249</v>
      </c>
      <c r="U172" s="21"/>
      <c r="V172" s="21"/>
    </row>
    <row r="173">
      <c r="A173" s="11">
        <v>161.0</v>
      </c>
      <c r="B173" s="11">
        <v>1.42009565217391E9</v>
      </c>
      <c r="C173" s="2">
        <v>-101.657692</v>
      </c>
      <c r="D173" s="24">
        <f t="shared" si="1"/>
        <v>-304347.8261</v>
      </c>
      <c r="E173" s="25">
        <f t="shared" si="2"/>
        <v>63.36243312</v>
      </c>
      <c r="F173" s="24">
        <f t="shared" si="3"/>
        <v>0.0002081908517</v>
      </c>
      <c r="G173" s="24">
        <f t="shared" si="4"/>
        <v>0</v>
      </c>
      <c r="H173" s="26">
        <f t="shared" si="5"/>
        <v>0</v>
      </c>
      <c r="I173" s="24">
        <f t="shared" si="6"/>
        <v>0</v>
      </c>
      <c r="J173" s="24">
        <f t="shared" si="7"/>
        <v>0</v>
      </c>
      <c r="K173" s="24"/>
      <c r="L173" s="24">
        <f t="shared" si="8"/>
        <v>519.20273</v>
      </c>
      <c r="M173" s="14">
        <f t="shared" si="9"/>
        <v>432.4994795</v>
      </c>
      <c r="N173" s="27">
        <f t="shared" si="10"/>
        <v>86.70325058</v>
      </c>
      <c r="O173" s="24"/>
      <c r="P173" s="24"/>
      <c r="Q173" s="24"/>
      <c r="R173" s="26"/>
      <c r="S173" s="14">
        <f t="shared" si="13"/>
        <v>79.61925953</v>
      </c>
      <c r="U173" s="21"/>
      <c r="V173" s="21"/>
    </row>
    <row r="174">
      <c r="A174" s="11">
        <v>162.0</v>
      </c>
      <c r="B174" s="11">
        <v>1.4201E9</v>
      </c>
      <c r="C174" s="2">
        <v>-101.6810379</v>
      </c>
      <c r="D174" s="24">
        <f t="shared" si="1"/>
        <v>-300000</v>
      </c>
      <c r="E174" s="25">
        <f t="shared" si="2"/>
        <v>62.44413699</v>
      </c>
      <c r="F174" s="24">
        <f t="shared" si="3"/>
        <v>0.0002081471233</v>
      </c>
      <c r="G174" s="24">
        <f t="shared" si="4"/>
        <v>0</v>
      </c>
      <c r="H174" s="26">
        <f t="shared" si="5"/>
        <v>0</v>
      </c>
      <c r="I174" s="24">
        <f t="shared" si="6"/>
        <v>0</v>
      </c>
      <c r="J174" s="24">
        <f t="shared" si="7"/>
        <v>0</v>
      </c>
      <c r="K174" s="24"/>
      <c r="L174" s="24">
        <f t="shared" si="8"/>
        <v>516.4191962</v>
      </c>
      <c r="M174" s="14">
        <f t="shared" si="9"/>
        <v>432.4376555</v>
      </c>
      <c r="N174" s="27">
        <f t="shared" si="10"/>
        <v>83.98154073</v>
      </c>
      <c r="O174" s="24"/>
      <c r="P174" s="24"/>
      <c r="Q174" s="24"/>
      <c r="R174" s="26"/>
      <c r="S174" s="14">
        <f t="shared" si="13"/>
        <v>77.11992408</v>
      </c>
      <c r="U174" s="21"/>
      <c r="V174" s="21"/>
    </row>
    <row r="175">
      <c r="A175" s="11">
        <v>163.0</v>
      </c>
      <c r="B175" s="11">
        <v>1.42010434782608E9</v>
      </c>
      <c r="C175" s="2">
        <v>-101.6727142</v>
      </c>
      <c r="D175" s="24">
        <f t="shared" si="1"/>
        <v>-295652.1739</v>
      </c>
      <c r="E175" s="25">
        <f t="shared" si="2"/>
        <v>61.52584085</v>
      </c>
      <c r="F175" s="24">
        <f t="shared" si="3"/>
        <v>0.0002081021088</v>
      </c>
      <c r="G175" s="24">
        <f t="shared" si="4"/>
        <v>0</v>
      </c>
      <c r="H175" s="26">
        <f t="shared" si="5"/>
        <v>0</v>
      </c>
      <c r="I175" s="24">
        <f t="shared" si="6"/>
        <v>0</v>
      </c>
      <c r="J175" s="24">
        <f t="shared" si="7"/>
        <v>0</v>
      </c>
      <c r="K175" s="24"/>
      <c r="L175" s="24">
        <f t="shared" si="8"/>
        <v>517.4099158</v>
      </c>
      <c r="M175" s="14">
        <f t="shared" si="9"/>
        <v>432.3758607</v>
      </c>
      <c r="N175" s="27">
        <f t="shared" si="10"/>
        <v>85.03405505</v>
      </c>
      <c r="O175" s="24"/>
      <c r="P175" s="24"/>
      <c r="Q175" s="24"/>
      <c r="R175" s="26"/>
      <c r="S175" s="14">
        <f t="shared" si="13"/>
        <v>78.08644391</v>
      </c>
      <c r="U175" s="21"/>
      <c r="V175" s="21"/>
    </row>
    <row r="176">
      <c r="A176" s="11">
        <v>164.0</v>
      </c>
      <c r="B176" s="11">
        <v>1.42010869565217E9</v>
      </c>
      <c r="C176" s="2">
        <v>-101.6645126</v>
      </c>
      <c r="D176" s="24">
        <f t="shared" si="1"/>
        <v>-291304.3478</v>
      </c>
      <c r="E176" s="25">
        <f t="shared" si="2"/>
        <v>60.60754472</v>
      </c>
      <c r="F176" s="24">
        <f t="shared" si="3"/>
        <v>0.0002080557505</v>
      </c>
      <c r="G176" s="24">
        <f t="shared" si="4"/>
        <v>0</v>
      </c>
      <c r="H176" s="26">
        <f t="shared" si="5"/>
        <v>0</v>
      </c>
      <c r="I176" s="24">
        <f t="shared" si="6"/>
        <v>0</v>
      </c>
      <c r="J176" s="24">
        <f t="shared" si="7"/>
        <v>0</v>
      </c>
      <c r="K176" s="24"/>
      <c r="L176" s="24">
        <f t="shared" si="8"/>
        <v>518.3879615</v>
      </c>
      <c r="M176" s="14">
        <f t="shared" si="9"/>
        <v>432.3140928</v>
      </c>
      <c r="N176" s="27">
        <f t="shared" si="10"/>
        <v>86.0738687</v>
      </c>
      <c r="O176" s="24"/>
      <c r="P176" s="24"/>
      <c r="Q176" s="24"/>
      <c r="R176" s="26"/>
      <c r="S176" s="14">
        <f t="shared" si="13"/>
        <v>79.04130057</v>
      </c>
      <c r="U176" s="21"/>
      <c r="V176" s="21"/>
    </row>
    <row r="177">
      <c r="A177" s="11">
        <v>165.0</v>
      </c>
      <c r="B177" s="11">
        <v>1.42011304347826E9</v>
      </c>
      <c r="C177" s="2">
        <v>-101.6910477</v>
      </c>
      <c r="D177" s="24">
        <f t="shared" si="1"/>
        <v>-286956.5217</v>
      </c>
      <c r="E177" s="25">
        <f t="shared" si="2"/>
        <v>59.68924859</v>
      </c>
      <c r="F177" s="24">
        <f t="shared" si="3"/>
        <v>0.0002080079875</v>
      </c>
      <c r="G177" s="24">
        <f t="shared" si="4"/>
        <v>0</v>
      </c>
      <c r="H177" s="26">
        <f t="shared" si="5"/>
        <v>0</v>
      </c>
      <c r="I177" s="24">
        <f t="shared" si="6"/>
        <v>0</v>
      </c>
      <c r="J177" s="24">
        <f t="shared" si="7"/>
        <v>0</v>
      </c>
      <c r="K177" s="24"/>
      <c r="L177" s="24">
        <f t="shared" si="8"/>
        <v>515.2303024</v>
      </c>
      <c r="M177" s="14">
        <f t="shared" si="9"/>
        <v>432.2523494</v>
      </c>
      <c r="N177" s="27">
        <f t="shared" si="10"/>
        <v>82.97795302</v>
      </c>
      <c r="O177" s="24"/>
      <c r="P177" s="24"/>
      <c r="Q177" s="24"/>
      <c r="R177" s="26"/>
      <c r="S177" s="14">
        <f t="shared" si="13"/>
        <v>76.19833336</v>
      </c>
      <c r="U177" s="21"/>
      <c r="V177" s="21"/>
    </row>
    <row r="178">
      <c r="A178" s="11">
        <v>166.0</v>
      </c>
      <c r="B178" s="11">
        <v>1.42011739130434E9</v>
      </c>
      <c r="C178" s="2">
        <v>-101.7306519</v>
      </c>
      <c r="D178" s="24">
        <f t="shared" si="1"/>
        <v>-282608.6957</v>
      </c>
      <c r="E178" s="25">
        <f t="shared" si="2"/>
        <v>58.77095246</v>
      </c>
      <c r="F178" s="24">
        <f t="shared" si="3"/>
        <v>0.0002079587548</v>
      </c>
      <c r="G178" s="24">
        <f t="shared" si="4"/>
        <v>0</v>
      </c>
      <c r="H178" s="26">
        <f t="shared" si="5"/>
        <v>0</v>
      </c>
      <c r="I178" s="24">
        <f t="shared" si="6"/>
        <v>0</v>
      </c>
      <c r="J178" s="24">
        <f t="shared" si="7"/>
        <v>0</v>
      </c>
      <c r="K178" s="24"/>
      <c r="L178" s="24">
        <f t="shared" si="8"/>
        <v>510.5531704</v>
      </c>
      <c r="M178" s="14">
        <f t="shared" si="9"/>
        <v>432.190628</v>
      </c>
      <c r="N178" s="27">
        <f t="shared" si="10"/>
        <v>78.36254238</v>
      </c>
      <c r="O178" s="24"/>
      <c r="P178" s="24"/>
      <c r="Q178" s="24"/>
      <c r="R178" s="26"/>
      <c r="S178" s="14">
        <f t="shared" si="13"/>
        <v>71.96001962</v>
      </c>
      <c r="U178" s="21"/>
      <c r="V178" s="21"/>
    </row>
    <row r="179">
      <c r="A179" s="11">
        <v>167.0</v>
      </c>
      <c r="B179" s="11">
        <v>1.42012173913043E9</v>
      </c>
      <c r="C179" s="2">
        <v>-101.6591492</v>
      </c>
      <c r="D179" s="24">
        <f t="shared" si="1"/>
        <v>-278260.8696</v>
      </c>
      <c r="E179" s="25">
        <f t="shared" si="2"/>
        <v>57.85265632</v>
      </c>
      <c r="F179" s="24">
        <f t="shared" si="3"/>
        <v>0.0002079079837</v>
      </c>
      <c r="G179" s="24">
        <f t="shared" si="4"/>
        <v>0</v>
      </c>
      <c r="H179" s="26">
        <f t="shared" si="5"/>
        <v>0</v>
      </c>
      <c r="I179" s="24">
        <f t="shared" si="6"/>
        <v>0</v>
      </c>
      <c r="J179" s="24">
        <f t="shared" si="7"/>
        <v>0</v>
      </c>
      <c r="K179" s="24"/>
      <c r="L179" s="24">
        <f t="shared" si="8"/>
        <v>519.0285498</v>
      </c>
      <c r="M179" s="14">
        <f t="shared" si="9"/>
        <v>432.1289264</v>
      </c>
      <c r="N179" s="27">
        <f t="shared" si="10"/>
        <v>86.89962341</v>
      </c>
      <c r="O179" s="24"/>
      <c r="P179" s="24"/>
      <c r="Q179" s="24"/>
      <c r="R179" s="26"/>
      <c r="S179" s="14">
        <f t="shared" si="13"/>
        <v>79.79958793</v>
      </c>
      <c r="U179" s="21"/>
      <c r="V179" s="21"/>
    </row>
    <row r="180">
      <c r="A180" s="11">
        <v>168.0</v>
      </c>
      <c r="B180" s="11">
        <v>1.42012608695652E9</v>
      </c>
      <c r="C180" s="2">
        <v>-101.6743698</v>
      </c>
      <c r="D180" s="24">
        <f t="shared" si="1"/>
        <v>-273913.0435</v>
      </c>
      <c r="E180" s="25">
        <f t="shared" si="2"/>
        <v>56.93436019</v>
      </c>
      <c r="F180" s="24">
        <f t="shared" si="3"/>
        <v>0.0002078556007</v>
      </c>
      <c r="G180" s="24">
        <f t="shared" si="4"/>
        <v>0</v>
      </c>
      <c r="H180" s="26">
        <f t="shared" si="5"/>
        <v>0</v>
      </c>
      <c r="I180" s="24">
        <f t="shared" si="6"/>
        <v>0</v>
      </c>
      <c r="J180" s="24">
        <f t="shared" si="7"/>
        <v>0</v>
      </c>
      <c r="K180" s="24"/>
      <c r="L180" s="24">
        <f t="shared" si="8"/>
        <v>517.2127084</v>
      </c>
      <c r="M180" s="14">
        <f t="shared" si="9"/>
        <v>432.067242</v>
      </c>
      <c r="N180" s="27">
        <f t="shared" si="10"/>
        <v>85.14546638</v>
      </c>
      <c r="O180" s="24"/>
      <c r="P180" s="24"/>
      <c r="Q180" s="24"/>
      <c r="R180" s="26"/>
      <c r="S180" s="14">
        <f t="shared" si="13"/>
        <v>78.1887525</v>
      </c>
      <c r="U180" s="21"/>
      <c r="V180" s="21"/>
    </row>
    <row r="181">
      <c r="A181" s="11">
        <v>169.0</v>
      </c>
      <c r="B181" s="11">
        <v>1.4201304347826E9</v>
      </c>
      <c r="C181" s="2">
        <v>-101.6603622</v>
      </c>
      <c r="D181" s="24">
        <f t="shared" si="1"/>
        <v>-269565.2174</v>
      </c>
      <c r="E181" s="25">
        <f t="shared" si="2"/>
        <v>56.01606406</v>
      </c>
      <c r="F181" s="24">
        <f t="shared" si="3"/>
        <v>0.000207801528</v>
      </c>
      <c r="G181" s="24">
        <f t="shared" si="4"/>
        <v>0</v>
      </c>
      <c r="H181" s="26">
        <f t="shared" si="5"/>
        <v>0</v>
      </c>
      <c r="I181" s="24">
        <f t="shared" si="6"/>
        <v>0</v>
      </c>
      <c r="J181" s="24">
        <f t="shared" si="7"/>
        <v>0</v>
      </c>
      <c r="K181" s="24"/>
      <c r="L181" s="24">
        <f t="shared" si="8"/>
        <v>518.8836035</v>
      </c>
      <c r="M181" s="14">
        <f t="shared" si="9"/>
        <v>432.0055727</v>
      </c>
      <c r="N181" s="27">
        <f t="shared" si="10"/>
        <v>86.87803081</v>
      </c>
      <c r="O181" s="24"/>
      <c r="P181" s="24"/>
      <c r="Q181" s="24"/>
      <c r="R181" s="26"/>
      <c r="S181" s="14">
        <f t="shared" si="13"/>
        <v>79.77975971</v>
      </c>
      <c r="U181" s="21"/>
      <c r="V181" s="21"/>
    </row>
    <row r="182">
      <c r="A182" s="11">
        <v>170.0</v>
      </c>
      <c r="B182" s="11">
        <v>1.42013478260869E9</v>
      </c>
      <c r="C182" s="2">
        <v>-101.6083527</v>
      </c>
      <c r="D182" s="24">
        <f t="shared" si="1"/>
        <v>-265217.3913</v>
      </c>
      <c r="E182" s="25">
        <f t="shared" si="2"/>
        <v>55.09776793</v>
      </c>
      <c r="F182" s="24">
        <f t="shared" si="3"/>
        <v>0.0002077456823</v>
      </c>
      <c r="G182" s="24">
        <f t="shared" si="4"/>
        <v>0</v>
      </c>
      <c r="H182" s="26">
        <f t="shared" si="5"/>
        <v>0</v>
      </c>
      <c r="I182" s="24">
        <f t="shared" si="6"/>
        <v>0</v>
      </c>
      <c r="J182" s="24">
        <f t="shared" si="7"/>
        <v>0</v>
      </c>
      <c r="K182" s="24"/>
      <c r="L182" s="24">
        <f t="shared" si="8"/>
        <v>525.1349185</v>
      </c>
      <c r="M182" s="14">
        <f t="shared" si="9"/>
        <v>431.9439159</v>
      </c>
      <c r="N182" s="27">
        <f t="shared" si="10"/>
        <v>93.19100263</v>
      </c>
      <c r="O182" s="24"/>
      <c r="P182" s="24"/>
      <c r="Q182" s="24"/>
      <c r="R182" s="26"/>
      <c r="S182" s="14">
        <f t="shared" si="13"/>
        <v>85.57693732</v>
      </c>
      <c r="U182" s="21"/>
      <c r="V182" s="21"/>
    </row>
    <row r="183">
      <c r="A183" s="11">
        <v>171.0</v>
      </c>
      <c r="B183" s="11">
        <v>1.42013913043478E9</v>
      </c>
      <c r="C183" s="2">
        <v>-101.6740417</v>
      </c>
      <c r="D183" s="24">
        <f t="shared" si="1"/>
        <v>-260869.5652</v>
      </c>
      <c r="E183" s="25">
        <f t="shared" si="2"/>
        <v>54.1794718</v>
      </c>
      <c r="F183" s="24">
        <f t="shared" si="3"/>
        <v>0.0002076879752</v>
      </c>
      <c r="G183" s="24">
        <f t="shared" si="4"/>
        <v>0</v>
      </c>
      <c r="H183" s="26">
        <f t="shared" si="5"/>
        <v>0</v>
      </c>
      <c r="I183" s="24">
        <f t="shared" si="6"/>
        <v>0</v>
      </c>
      <c r="J183" s="24">
        <f t="shared" si="7"/>
        <v>0</v>
      </c>
      <c r="K183" s="24"/>
      <c r="L183" s="24">
        <f t="shared" si="8"/>
        <v>517.2517842</v>
      </c>
      <c r="M183" s="14">
        <f t="shared" si="9"/>
        <v>431.8822693</v>
      </c>
      <c r="N183" s="27">
        <f t="shared" si="10"/>
        <v>85.36951491</v>
      </c>
      <c r="O183" s="24"/>
      <c r="P183" s="24"/>
      <c r="Q183" s="24"/>
      <c r="R183" s="26"/>
      <c r="S183" s="14">
        <f t="shared" si="13"/>
        <v>78.39449522</v>
      </c>
      <c r="U183" s="21"/>
      <c r="V183" s="21"/>
    </row>
    <row r="184">
      <c r="A184" s="11">
        <v>172.0</v>
      </c>
      <c r="B184" s="11">
        <v>1.42014347826087E9</v>
      </c>
      <c r="C184" s="2">
        <v>-101.6386108</v>
      </c>
      <c r="D184" s="24">
        <f t="shared" si="1"/>
        <v>-256521.7391</v>
      </c>
      <c r="E184" s="25">
        <f t="shared" si="2"/>
        <v>53.26117567</v>
      </c>
      <c r="F184" s="24">
        <f t="shared" si="3"/>
        <v>0.0002076283119</v>
      </c>
      <c r="G184" s="24">
        <f t="shared" si="4"/>
        <v>0</v>
      </c>
      <c r="H184" s="26">
        <f t="shared" si="5"/>
        <v>0</v>
      </c>
      <c r="I184" s="24">
        <f t="shared" si="6"/>
        <v>0</v>
      </c>
      <c r="J184" s="24">
        <f t="shared" si="7"/>
        <v>0</v>
      </c>
      <c r="K184" s="24"/>
      <c r="L184" s="24">
        <f t="shared" si="8"/>
        <v>521.4889223</v>
      </c>
      <c r="M184" s="14">
        <f t="shared" si="9"/>
        <v>431.8206305</v>
      </c>
      <c r="N184" s="27">
        <f t="shared" si="10"/>
        <v>89.66829181</v>
      </c>
      <c r="O184" s="24"/>
      <c r="P184" s="24"/>
      <c r="Q184" s="24"/>
      <c r="R184" s="26"/>
      <c r="S184" s="14">
        <f t="shared" si="13"/>
        <v>82.3420456</v>
      </c>
      <c r="U184" s="21"/>
      <c r="V184" s="21"/>
    </row>
    <row r="185">
      <c r="A185" s="11">
        <v>173.0</v>
      </c>
      <c r="B185" s="11">
        <v>1.42014782608695E9</v>
      </c>
      <c r="C185" s="2">
        <v>-101.6714172</v>
      </c>
      <c r="D185" s="24">
        <f t="shared" si="1"/>
        <v>-252173.913</v>
      </c>
      <c r="E185" s="25">
        <f t="shared" si="2"/>
        <v>52.34287953</v>
      </c>
      <c r="F185" s="24">
        <f t="shared" si="3"/>
        <v>0.0002075665912</v>
      </c>
      <c r="G185" s="24">
        <f t="shared" si="4"/>
        <v>0</v>
      </c>
      <c r="H185" s="26">
        <f t="shared" si="5"/>
        <v>0</v>
      </c>
      <c r="I185" s="24">
        <f t="shared" si="6"/>
        <v>0</v>
      </c>
      <c r="J185" s="24">
        <f t="shared" si="7"/>
        <v>0</v>
      </c>
      <c r="K185" s="24"/>
      <c r="L185" s="24">
        <f t="shared" si="8"/>
        <v>517.5644609</v>
      </c>
      <c r="M185" s="14">
        <f t="shared" si="9"/>
        <v>431.7589971</v>
      </c>
      <c r="N185" s="27">
        <f t="shared" si="10"/>
        <v>85.80546374</v>
      </c>
      <c r="O185" s="24"/>
      <c r="P185" s="24"/>
      <c r="Q185" s="24"/>
      <c r="R185" s="26"/>
      <c r="S185" s="14">
        <f t="shared" si="13"/>
        <v>78.79482553</v>
      </c>
      <c r="U185" s="21"/>
      <c r="V185" s="21"/>
    </row>
    <row r="186">
      <c r="A186" s="11">
        <v>174.0</v>
      </c>
      <c r="B186" s="11">
        <v>1.42015217391304E9</v>
      </c>
      <c r="C186" s="2">
        <v>-101.6554413</v>
      </c>
      <c r="D186" s="24">
        <f t="shared" si="1"/>
        <v>-247826.087</v>
      </c>
      <c r="E186" s="25">
        <f t="shared" si="2"/>
        <v>51.4245834</v>
      </c>
      <c r="F186" s="24">
        <f t="shared" si="3"/>
        <v>0.0002075027049</v>
      </c>
      <c r="G186" s="24">
        <f t="shared" si="4"/>
        <v>0</v>
      </c>
      <c r="H186" s="26">
        <f t="shared" si="5"/>
        <v>0</v>
      </c>
      <c r="I186" s="24">
        <f t="shared" si="6"/>
        <v>0</v>
      </c>
      <c r="J186" s="24">
        <f t="shared" si="7"/>
        <v>0</v>
      </c>
      <c r="K186" s="24"/>
      <c r="L186" s="24">
        <f t="shared" si="8"/>
        <v>519.4718729</v>
      </c>
      <c r="M186" s="14">
        <f t="shared" si="9"/>
        <v>431.6973668</v>
      </c>
      <c r="N186" s="27">
        <f t="shared" si="10"/>
        <v>87.77450604</v>
      </c>
      <c r="O186" s="24"/>
      <c r="P186" s="24"/>
      <c r="Q186" s="24"/>
      <c r="R186" s="26"/>
      <c r="S186" s="14">
        <f t="shared" si="13"/>
        <v>80.60298927</v>
      </c>
      <c r="U186" s="21"/>
      <c r="V186" s="21"/>
    </row>
    <row r="187">
      <c r="A187" s="11">
        <v>175.0</v>
      </c>
      <c r="B187" s="11">
        <v>1.42015652173913E9</v>
      </c>
      <c r="C187" s="2">
        <v>-101.6479797</v>
      </c>
      <c r="D187" s="24">
        <f t="shared" si="1"/>
        <v>-243478.2609</v>
      </c>
      <c r="E187" s="25">
        <f t="shared" si="2"/>
        <v>50.50628727</v>
      </c>
      <c r="F187" s="24">
        <f t="shared" si="3"/>
        <v>0.000207436537</v>
      </c>
      <c r="G187" s="24">
        <f t="shared" si="4"/>
        <v>0</v>
      </c>
      <c r="H187" s="26">
        <f t="shared" si="5"/>
        <v>0</v>
      </c>
      <c r="I187" s="24">
        <f t="shared" si="6"/>
        <v>0</v>
      </c>
      <c r="J187" s="24">
        <f t="shared" si="7"/>
        <v>0</v>
      </c>
      <c r="K187" s="24"/>
      <c r="L187" s="24">
        <f t="shared" si="8"/>
        <v>520.365143</v>
      </c>
      <c r="M187" s="14">
        <f t="shared" si="9"/>
        <v>431.6357372</v>
      </c>
      <c r="N187" s="27">
        <f t="shared" si="10"/>
        <v>88.72940583</v>
      </c>
      <c r="O187" s="24"/>
      <c r="P187" s="24"/>
      <c r="Q187" s="24"/>
      <c r="R187" s="26"/>
      <c r="S187" s="14">
        <f t="shared" si="13"/>
        <v>81.47987023</v>
      </c>
      <c r="U187" s="21"/>
      <c r="V187" s="21"/>
    </row>
    <row r="188">
      <c r="A188" s="11">
        <v>176.0</v>
      </c>
      <c r="B188" s="11">
        <v>1.42016086956521E9</v>
      </c>
      <c r="C188" s="2">
        <v>-101.6482239</v>
      </c>
      <c r="D188" s="24">
        <f t="shared" si="1"/>
        <v>-239130.4348</v>
      </c>
      <c r="E188" s="25">
        <f t="shared" si="2"/>
        <v>49.58799114</v>
      </c>
      <c r="F188" s="24">
        <f t="shared" si="3"/>
        <v>0.0002073679629</v>
      </c>
      <c r="G188" s="24">
        <f t="shared" si="4"/>
        <v>0</v>
      </c>
      <c r="H188" s="26">
        <f t="shared" si="5"/>
        <v>0</v>
      </c>
      <c r="I188" s="24">
        <f t="shared" si="6"/>
        <v>0</v>
      </c>
      <c r="J188" s="24">
        <f t="shared" si="7"/>
        <v>0</v>
      </c>
      <c r="K188" s="24"/>
      <c r="L188" s="24">
        <f t="shared" si="8"/>
        <v>520.3358842</v>
      </c>
      <c r="M188" s="14">
        <f t="shared" si="9"/>
        <v>431.5741059</v>
      </c>
      <c r="N188" s="27">
        <f t="shared" si="10"/>
        <v>88.76177831</v>
      </c>
      <c r="O188" s="24"/>
      <c r="P188" s="24"/>
      <c r="Q188" s="24"/>
      <c r="R188" s="26"/>
      <c r="S188" s="14">
        <f t="shared" si="13"/>
        <v>81.50959776</v>
      </c>
      <c r="U188" s="21"/>
      <c r="V188" s="21"/>
    </row>
    <row r="189">
      <c r="A189" s="11">
        <v>177.0</v>
      </c>
      <c r="B189" s="11">
        <v>1.4201652173913E9</v>
      </c>
      <c r="C189" s="2">
        <v>-101.6708679</v>
      </c>
      <c r="D189" s="24">
        <f t="shared" si="1"/>
        <v>-234782.6087</v>
      </c>
      <c r="E189" s="25">
        <f t="shared" si="2"/>
        <v>48.669695</v>
      </c>
      <c r="F189" s="24">
        <f t="shared" si="3"/>
        <v>0.0002072968491</v>
      </c>
      <c r="G189" s="24">
        <f t="shared" si="4"/>
        <v>0</v>
      </c>
      <c r="H189" s="26">
        <f t="shared" si="5"/>
        <v>0</v>
      </c>
      <c r="I189" s="24">
        <f t="shared" si="6"/>
        <v>0</v>
      </c>
      <c r="J189" s="24">
        <f t="shared" si="7"/>
        <v>0</v>
      </c>
      <c r="K189" s="24"/>
      <c r="L189" s="24">
        <f t="shared" si="8"/>
        <v>517.6299271</v>
      </c>
      <c r="M189" s="14">
        <f t="shared" si="9"/>
        <v>431.5124704</v>
      </c>
      <c r="N189" s="27">
        <f t="shared" si="10"/>
        <v>86.11745665</v>
      </c>
      <c r="O189" s="24"/>
      <c r="P189" s="24"/>
      <c r="Q189" s="24"/>
      <c r="R189" s="26"/>
      <c r="S189" s="14">
        <f t="shared" si="13"/>
        <v>79.08132722</v>
      </c>
      <c r="U189" s="21"/>
      <c r="V189" s="21"/>
    </row>
    <row r="190">
      <c r="A190" s="11">
        <v>178.0</v>
      </c>
      <c r="B190" s="11">
        <v>1.42016956521739E9</v>
      </c>
      <c r="C190" s="2">
        <v>-101.6895676</v>
      </c>
      <c r="D190" s="24">
        <f t="shared" si="1"/>
        <v>-230434.7826</v>
      </c>
      <c r="E190" s="25">
        <f t="shared" si="2"/>
        <v>47.75139887</v>
      </c>
      <c r="F190" s="24">
        <f t="shared" si="3"/>
        <v>0.0002072230517</v>
      </c>
      <c r="G190" s="24">
        <f t="shared" si="4"/>
        <v>0</v>
      </c>
      <c r="H190" s="26">
        <f t="shared" si="5"/>
        <v>0</v>
      </c>
      <c r="I190" s="24">
        <f t="shared" si="6"/>
        <v>0</v>
      </c>
      <c r="J190" s="24">
        <f t="shared" si="7"/>
        <v>0</v>
      </c>
      <c r="K190" s="24"/>
      <c r="L190" s="24">
        <f t="shared" si="8"/>
        <v>515.4059257</v>
      </c>
      <c r="M190" s="14">
        <f t="shared" si="9"/>
        <v>431.4508286</v>
      </c>
      <c r="N190" s="27">
        <f t="shared" si="10"/>
        <v>83.95509713</v>
      </c>
      <c r="O190" s="24"/>
      <c r="P190" s="24"/>
      <c r="Q190" s="24"/>
      <c r="R190" s="26"/>
      <c r="S190" s="14">
        <f t="shared" si="13"/>
        <v>77.09564103</v>
      </c>
      <c r="U190" s="21"/>
      <c r="V190" s="21"/>
    </row>
    <row r="191">
      <c r="A191" s="11">
        <v>179.0</v>
      </c>
      <c r="B191" s="11">
        <v>1.42017391304347E9</v>
      </c>
      <c r="C191" s="2">
        <v>-101.6718674</v>
      </c>
      <c r="D191" s="24">
        <f t="shared" si="1"/>
        <v>-226086.9565</v>
      </c>
      <c r="E191" s="25">
        <f t="shared" si="2"/>
        <v>46.83310274</v>
      </c>
      <c r="F191" s="24">
        <f t="shared" si="3"/>
        <v>0.000207146416</v>
      </c>
      <c r="G191" s="24">
        <f t="shared" si="4"/>
        <v>0</v>
      </c>
      <c r="H191" s="26">
        <f t="shared" si="5"/>
        <v>0</v>
      </c>
      <c r="I191" s="24">
        <f t="shared" si="6"/>
        <v>0</v>
      </c>
      <c r="J191" s="24">
        <f t="shared" si="7"/>
        <v>0</v>
      </c>
      <c r="K191" s="24"/>
      <c r="L191" s="24">
        <f t="shared" si="8"/>
        <v>517.5108117</v>
      </c>
      <c r="M191" s="14">
        <f t="shared" si="9"/>
        <v>431.3891778</v>
      </c>
      <c r="N191" s="27">
        <f t="shared" si="10"/>
        <v>86.12163386</v>
      </c>
      <c r="O191" s="24"/>
      <c r="P191" s="24"/>
      <c r="Q191" s="24"/>
      <c r="R191" s="26"/>
      <c r="S191" s="14">
        <f t="shared" si="13"/>
        <v>79.08516333</v>
      </c>
      <c r="U191" s="21"/>
      <c r="V191" s="21"/>
    </row>
    <row r="192">
      <c r="A192" s="11">
        <v>180.0</v>
      </c>
      <c r="B192" s="11">
        <v>1.42017826086956E9</v>
      </c>
      <c r="C192" s="2">
        <v>-101.7143478</v>
      </c>
      <c r="D192" s="24">
        <f t="shared" si="1"/>
        <v>-221739.1304</v>
      </c>
      <c r="E192" s="25">
        <f t="shared" si="2"/>
        <v>45.91480661</v>
      </c>
      <c r="F192" s="24">
        <f t="shared" si="3"/>
        <v>0.0002070667749</v>
      </c>
      <c r="G192" s="24">
        <f t="shared" si="4"/>
        <v>0</v>
      </c>
      <c r="H192" s="26">
        <f t="shared" si="5"/>
        <v>0</v>
      </c>
      <c r="I192" s="24">
        <f t="shared" si="6"/>
        <v>0</v>
      </c>
      <c r="J192" s="24">
        <f t="shared" si="7"/>
        <v>0</v>
      </c>
      <c r="K192" s="24"/>
      <c r="L192" s="24">
        <f t="shared" si="8"/>
        <v>512.4734698</v>
      </c>
      <c r="M192" s="14">
        <f t="shared" si="9"/>
        <v>431.3275159</v>
      </c>
      <c r="N192" s="27">
        <f t="shared" si="10"/>
        <v>81.14595396</v>
      </c>
      <c r="O192" s="24"/>
      <c r="P192" s="24"/>
      <c r="Q192" s="24"/>
      <c r="R192" s="26"/>
      <c r="S192" s="14">
        <f t="shared" si="13"/>
        <v>74.51601554</v>
      </c>
      <c r="U192" s="21"/>
      <c r="V192" s="21"/>
    </row>
    <row r="193">
      <c r="A193" s="11">
        <v>181.0</v>
      </c>
      <c r="B193" s="11">
        <v>1.42018260869565E9</v>
      </c>
      <c r="C193" s="2">
        <v>-101.6821213</v>
      </c>
      <c r="D193" s="24">
        <f t="shared" si="1"/>
        <v>-217391.3043</v>
      </c>
      <c r="E193" s="25">
        <f t="shared" si="2"/>
        <v>44.99651048</v>
      </c>
      <c r="F193" s="24">
        <f t="shared" si="3"/>
        <v>0.0002069839482</v>
      </c>
      <c r="G193" s="24">
        <f t="shared" si="4"/>
        <v>0</v>
      </c>
      <c r="H193" s="26">
        <f t="shared" si="5"/>
        <v>0</v>
      </c>
      <c r="I193" s="24">
        <f t="shared" si="6"/>
        <v>0</v>
      </c>
      <c r="J193" s="24">
        <f t="shared" si="7"/>
        <v>0</v>
      </c>
      <c r="K193" s="24"/>
      <c r="L193" s="24">
        <f t="shared" si="8"/>
        <v>516.2903853</v>
      </c>
      <c r="M193" s="14">
        <f t="shared" si="9"/>
        <v>431.2658403</v>
      </c>
      <c r="N193" s="27">
        <f t="shared" si="10"/>
        <v>85.02454495</v>
      </c>
      <c r="O193" s="24"/>
      <c r="P193" s="24"/>
      <c r="Q193" s="24"/>
      <c r="R193" s="26"/>
      <c r="S193" s="14">
        <f t="shared" si="13"/>
        <v>78.07771082</v>
      </c>
      <c r="U193" s="21"/>
      <c r="V193" s="21"/>
    </row>
    <row r="194">
      <c r="A194" s="11">
        <v>182.0</v>
      </c>
      <c r="B194" s="11">
        <v>1.42018695652173E9</v>
      </c>
      <c r="C194" s="2">
        <v>-101.6399078</v>
      </c>
      <c r="D194" s="24">
        <f t="shared" si="1"/>
        <v>-213043.4783</v>
      </c>
      <c r="E194" s="25">
        <f t="shared" si="2"/>
        <v>44.07821434</v>
      </c>
      <c r="F194" s="24">
        <f t="shared" si="3"/>
        <v>0.0002068977408</v>
      </c>
      <c r="G194" s="24">
        <f t="shared" si="4"/>
        <v>0</v>
      </c>
      <c r="H194" s="26">
        <f t="shared" si="5"/>
        <v>0</v>
      </c>
      <c r="I194" s="24">
        <f t="shared" si="6"/>
        <v>0</v>
      </c>
      <c r="J194" s="24">
        <f t="shared" si="7"/>
        <v>0</v>
      </c>
      <c r="K194" s="24"/>
      <c r="L194" s="24">
        <f t="shared" si="8"/>
        <v>521.3332053</v>
      </c>
      <c r="M194" s="14">
        <f t="shared" si="9"/>
        <v>431.2041488</v>
      </c>
      <c r="N194" s="27">
        <f t="shared" si="10"/>
        <v>90.12905655</v>
      </c>
      <c r="O194" s="24"/>
      <c r="P194" s="24"/>
      <c r="Q194" s="24"/>
      <c r="R194" s="26"/>
      <c r="S194" s="14">
        <f t="shared" si="13"/>
        <v>82.76516408</v>
      </c>
      <c r="U194" s="21"/>
      <c r="V194" s="21"/>
    </row>
    <row r="195">
      <c r="A195" s="11">
        <v>183.0</v>
      </c>
      <c r="B195" s="11">
        <v>1.42019130434782E9</v>
      </c>
      <c r="C195" s="2">
        <v>-101.6250153</v>
      </c>
      <c r="D195" s="24">
        <f t="shared" si="1"/>
        <v>-208695.6522</v>
      </c>
      <c r="E195" s="25">
        <f t="shared" si="2"/>
        <v>43.15991821</v>
      </c>
      <c r="F195" s="24">
        <f t="shared" si="3"/>
        <v>0.0002068079414</v>
      </c>
      <c r="G195" s="24">
        <f t="shared" si="4"/>
        <v>0</v>
      </c>
      <c r="H195" s="26">
        <f t="shared" si="5"/>
        <v>0</v>
      </c>
      <c r="I195" s="24">
        <f t="shared" si="6"/>
        <v>0</v>
      </c>
      <c r="J195" s="24">
        <f t="shared" si="7"/>
        <v>0</v>
      </c>
      <c r="K195" s="24"/>
      <c r="L195" s="24">
        <f t="shared" si="8"/>
        <v>523.1239906</v>
      </c>
      <c r="M195" s="14">
        <f t="shared" si="9"/>
        <v>431.1424389</v>
      </c>
      <c r="N195" s="27">
        <f t="shared" si="10"/>
        <v>91.98155175</v>
      </c>
      <c r="O195" s="24"/>
      <c r="P195" s="24"/>
      <c r="Q195" s="24"/>
      <c r="R195" s="26"/>
      <c r="S195" s="14">
        <f t="shared" si="13"/>
        <v>84.46630326</v>
      </c>
      <c r="U195" s="21"/>
      <c r="V195" s="21"/>
    </row>
    <row r="196">
      <c r="A196" s="11">
        <v>184.0</v>
      </c>
      <c r="B196" s="11">
        <v>1.42019565217391E9</v>
      </c>
      <c r="C196" s="2">
        <v>-101.7263947</v>
      </c>
      <c r="D196" s="24">
        <f t="shared" si="1"/>
        <v>-204347.8261</v>
      </c>
      <c r="E196" s="25">
        <f t="shared" si="2"/>
        <v>42.24162208</v>
      </c>
      <c r="F196" s="24">
        <f t="shared" si="3"/>
        <v>0.0002067143208</v>
      </c>
      <c r="G196" s="24">
        <f t="shared" si="4"/>
        <v>0</v>
      </c>
      <c r="H196" s="26">
        <f t="shared" si="5"/>
        <v>0</v>
      </c>
      <c r="I196" s="24">
        <f t="shared" si="6"/>
        <v>0</v>
      </c>
      <c r="J196" s="24">
        <f t="shared" si="7"/>
        <v>0</v>
      </c>
      <c r="K196" s="24"/>
      <c r="L196" s="24">
        <f t="shared" si="8"/>
        <v>511.0538888</v>
      </c>
      <c r="M196" s="14">
        <f t="shared" si="9"/>
        <v>431.0807083</v>
      </c>
      <c r="N196" s="27">
        <f t="shared" si="10"/>
        <v>79.97318057</v>
      </c>
      <c r="O196" s="24"/>
      <c r="P196" s="24"/>
      <c r="Q196" s="24"/>
      <c r="R196" s="26"/>
      <c r="S196" s="14">
        <f t="shared" si="13"/>
        <v>73.43906228</v>
      </c>
      <c r="U196" s="21"/>
      <c r="V196" s="21"/>
    </row>
    <row r="197">
      <c r="A197" s="11">
        <v>185.0</v>
      </c>
      <c r="B197" s="11">
        <v>1.4202E9</v>
      </c>
      <c r="C197" s="2">
        <v>-101.6508026</v>
      </c>
      <c r="D197" s="24">
        <f t="shared" si="1"/>
        <v>-200000</v>
      </c>
      <c r="E197" s="25">
        <f t="shared" si="2"/>
        <v>41.32332595</v>
      </c>
      <c r="F197" s="24">
        <f t="shared" si="3"/>
        <v>0.0002066166297</v>
      </c>
      <c r="G197" s="24">
        <f t="shared" si="4"/>
        <v>0</v>
      </c>
      <c r="H197" s="26">
        <f t="shared" si="5"/>
        <v>0</v>
      </c>
      <c r="I197" s="24">
        <f t="shared" si="6"/>
        <v>0</v>
      </c>
      <c r="J197" s="24">
        <f t="shared" si="7"/>
        <v>0</v>
      </c>
      <c r="K197" s="24"/>
      <c r="L197" s="24">
        <f t="shared" si="8"/>
        <v>520.0270173</v>
      </c>
      <c r="M197" s="14">
        <f t="shared" si="9"/>
        <v>431.0189545</v>
      </c>
      <c r="N197" s="27">
        <f t="shared" si="10"/>
        <v>89.00806276</v>
      </c>
      <c r="O197" s="24"/>
      <c r="P197" s="24"/>
      <c r="Q197" s="24"/>
      <c r="R197" s="26"/>
      <c r="S197" s="14">
        <f t="shared" si="13"/>
        <v>81.73575981</v>
      </c>
      <c r="U197" s="21"/>
      <c r="V197" s="21"/>
    </row>
    <row r="198">
      <c r="A198" s="11">
        <v>186.0</v>
      </c>
      <c r="B198" s="11">
        <v>1.42020434782608E9</v>
      </c>
      <c r="C198" s="2">
        <v>-101.6576843</v>
      </c>
      <c r="D198" s="24">
        <f t="shared" si="1"/>
        <v>-195652.1739</v>
      </c>
      <c r="E198" s="25">
        <f t="shared" si="2"/>
        <v>40.40502981</v>
      </c>
      <c r="F198" s="24">
        <f t="shared" si="3"/>
        <v>0.0002065145968</v>
      </c>
      <c r="G198" s="24">
        <f t="shared" si="4"/>
        <v>0</v>
      </c>
      <c r="H198" s="26">
        <f t="shared" si="5"/>
        <v>0</v>
      </c>
      <c r="I198" s="24">
        <f t="shared" si="6"/>
        <v>0</v>
      </c>
      <c r="J198" s="24">
        <f t="shared" si="7"/>
        <v>0</v>
      </c>
      <c r="K198" s="24"/>
      <c r="L198" s="24">
        <f t="shared" si="8"/>
        <v>519.2036506</v>
      </c>
      <c r="M198" s="14">
        <f t="shared" si="9"/>
        <v>430.9571753</v>
      </c>
      <c r="N198" s="27">
        <f t="shared" si="10"/>
        <v>88.24647532</v>
      </c>
      <c r="O198" s="24"/>
      <c r="P198" s="24"/>
      <c r="Q198" s="24"/>
      <c r="R198" s="26"/>
      <c r="S198" s="14">
        <f t="shared" si="13"/>
        <v>81.03639702</v>
      </c>
      <c r="U198" s="21"/>
      <c r="V198" s="21"/>
    </row>
    <row r="199">
      <c r="A199" s="11">
        <v>187.0</v>
      </c>
      <c r="B199" s="11">
        <v>1.42020869565217E9</v>
      </c>
      <c r="C199" s="2">
        <v>-101.5962677</v>
      </c>
      <c r="D199" s="24">
        <f t="shared" si="1"/>
        <v>-191304.3478</v>
      </c>
      <c r="E199" s="25">
        <f t="shared" si="2"/>
        <v>39.48673368</v>
      </c>
      <c r="F199" s="24">
        <f t="shared" si="3"/>
        <v>0.0002064079261</v>
      </c>
      <c r="G199" s="24">
        <f t="shared" si="4"/>
        <v>0</v>
      </c>
      <c r="H199" s="26">
        <f t="shared" si="5"/>
        <v>0</v>
      </c>
      <c r="I199" s="24">
        <f t="shared" si="6"/>
        <v>0</v>
      </c>
      <c r="J199" s="24">
        <f t="shared" si="7"/>
        <v>0</v>
      </c>
      <c r="K199" s="24"/>
      <c r="L199" s="24">
        <f t="shared" si="8"/>
        <v>526.5982329</v>
      </c>
      <c r="M199" s="14">
        <f t="shared" si="9"/>
        <v>430.8953681</v>
      </c>
      <c r="N199" s="27">
        <f t="shared" si="10"/>
        <v>95.70286472</v>
      </c>
      <c r="O199" s="24"/>
      <c r="P199" s="24"/>
      <c r="Q199" s="24"/>
      <c r="R199" s="26"/>
      <c r="S199" s="14">
        <f t="shared" si="13"/>
        <v>87.88357036</v>
      </c>
      <c r="U199" s="21"/>
      <c r="V199" s="21"/>
    </row>
    <row r="200">
      <c r="A200" s="11">
        <v>188.0</v>
      </c>
      <c r="B200" s="11">
        <v>1.42021304347826E9</v>
      </c>
      <c r="C200" s="2">
        <v>-101.6461716</v>
      </c>
      <c r="D200" s="24">
        <f t="shared" si="1"/>
        <v>-186956.5217</v>
      </c>
      <c r="E200" s="25">
        <f t="shared" si="2"/>
        <v>38.56843755</v>
      </c>
      <c r="F200" s="24">
        <f t="shared" si="3"/>
        <v>0.0002062962939</v>
      </c>
      <c r="G200" s="24">
        <f t="shared" si="4"/>
        <v>0</v>
      </c>
      <c r="H200" s="26">
        <f t="shared" si="5"/>
        <v>0</v>
      </c>
      <c r="I200" s="24">
        <f t="shared" si="6"/>
        <v>0</v>
      </c>
      <c r="J200" s="24">
        <f t="shared" si="7"/>
        <v>0</v>
      </c>
      <c r="K200" s="24"/>
      <c r="L200" s="24">
        <f t="shared" si="8"/>
        <v>520.581832</v>
      </c>
      <c r="M200" s="14">
        <f t="shared" si="9"/>
        <v>430.8335308</v>
      </c>
      <c r="N200" s="27">
        <f t="shared" si="10"/>
        <v>89.7483012</v>
      </c>
      <c r="O200" s="24"/>
      <c r="P200" s="24"/>
      <c r="Q200" s="24"/>
      <c r="R200" s="26"/>
      <c r="S200" s="14">
        <f t="shared" si="13"/>
        <v>82.41551792</v>
      </c>
      <c r="U200" s="21"/>
      <c r="V200" s="21"/>
    </row>
    <row r="201">
      <c r="A201" s="11">
        <v>189.0</v>
      </c>
      <c r="B201" s="11">
        <v>1.42021739130434E9</v>
      </c>
      <c r="C201" s="2">
        <v>-101.6817551</v>
      </c>
      <c r="D201" s="24">
        <f t="shared" si="1"/>
        <v>-182608.6957</v>
      </c>
      <c r="E201" s="25">
        <f t="shared" si="2"/>
        <v>37.65014142</v>
      </c>
      <c r="F201" s="24">
        <f t="shared" si="3"/>
        <v>0.0002061793459</v>
      </c>
      <c r="G201" s="24">
        <f t="shared" si="4"/>
        <v>0</v>
      </c>
      <c r="H201" s="26">
        <f t="shared" si="5"/>
        <v>0</v>
      </c>
      <c r="I201" s="24">
        <f t="shared" si="6"/>
        <v>0</v>
      </c>
      <c r="J201" s="24">
        <f t="shared" si="7"/>
        <v>0</v>
      </c>
      <c r="K201" s="24"/>
      <c r="L201" s="24">
        <f t="shared" si="8"/>
        <v>516.3339211</v>
      </c>
      <c r="M201" s="14">
        <f t="shared" si="9"/>
        <v>430.7716607</v>
      </c>
      <c r="N201" s="27">
        <f t="shared" si="10"/>
        <v>85.56226032</v>
      </c>
      <c r="O201" s="24"/>
      <c r="P201" s="24"/>
      <c r="Q201" s="24"/>
      <c r="R201" s="26"/>
      <c r="S201" s="14">
        <f t="shared" si="13"/>
        <v>78.57149277</v>
      </c>
      <c r="U201" s="21"/>
      <c r="V201" s="21"/>
    </row>
    <row r="202">
      <c r="A202" s="11">
        <v>190.0</v>
      </c>
      <c r="B202" s="11">
        <v>1.42022173913043E9</v>
      </c>
      <c r="C202" s="2">
        <v>-101.6967926</v>
      </c>
      <c r="D202" s="24">
        <f t="shared" si="1"/>
        <v>-178260.8696</v>
      </c>
      <c r="E202" s="25">
        <f t="shared" si="2"/>
        <v>36.73184529</v>
      </c>
      <c r="F202" s="24">
        <f t="shared" si="3"/>
        <v>0.0002060566931</v>
      </c>
      <c r="G202" s="24">
        <f t="shared" si="4"/>
        <v>0</v>
      </c>
      <c r="H202" s="26">
        <f t="shared" si="5"/>
        <v>0</v>
      </c>
      <c r="I202" s="24">
        <f t="shared" si="6"/>
        <v>0</v>
      </c>
      <c r="J202" s="24">
        <f t="shared" si="7"/>
        <v>0</v>
      </c>
      <c r="K202" s="24"/>
      <c r="L202" s="24">
        <f t="shared" si="8"/>
        <v>514.5492001</v>
      </c>
      <c r="M202" s="14">
        <f t="shared" si="9"/>
        <v>430.7097557</v>
      </c>
      <c r="N202" s="27">
        <f t="shared" si="10"/>
        <v>83.83944438</v>
      </c>
      <c r="O202" s="24"/>
      <c r="P202" s="24"/>
      <c r="Q202" s="24"/>
      <c r="R202" s="26"/>
      <c r="S202" s="14">
        <f t="shared" si="13"/>
        <v>76.98943737</v>
      </c>
      <c r="U202" s="21"/>
      <c r="V202" s="21"/>
    </row>
    <row r="203">
      <c r="A203" s="11">
        <v>191.0</v>
      </c>
      <c r="B203" s="11">
        <v>1.42022608695652E9</v>
      </c>
      <c r="C203" s="2">
        <v>-101.6786804</v>
      </c>
      <c r="D203" s="24">
        <f t="shared" si="1"/>
        <v>-173913.0435</v>
      </c>
      <c r="E203" s="25">
        <f t="shared" si="2"/>
        <v>35.81354916</v>
      </c>
      <c r="F203" s="24">
        <f t="shared" si="3"/>
        <v>0.0002059279076</v>
      </c>
      <c r="G203" s="24">
        <f t="shared" si="4"/>
        <v>0</v>
      </c>
      <c r="H203" s="26">
        <f t="shared" si="5"/>
        <v>0</v>
      </c>
      <c r="I203" s="24">
        <f t="shared" si="6"/>
        <v>0</v>
      </c>
      <c r="J203" s="24">
        <f t="shared" si="7"/>
        <v>0</v>
      </c>
      <c r="K203" s="24"/>
      <c r="L203" s="24">
        <f t="shared" si="8"/>
        <v>516.6996024</v>
      </c>
      <c r="M203" s="14">
        <f t="shared" si="9"/>
        <v>430.6478133</v>
      </c>
      <c r="N203" s="27">
        <f t="shared" si="10"/>
        <v>86.05178916</v>
      </c>
      <c r="O203" s="24"/>
      <c r="P203" s="24"/>
      <c r="Q203" s="24"/>
      <c r="R203" s="26"/>
      <c r="S203" s="14">
        <f t="shared" si="13"/>
        <v>79.02102521</v>
      </c>
      <c r="U203" s="21"/>
      <c r="V203" s="21"/>
    </row>
    <row r="204">
      <c r="A204" s="11">
        <v>192.0</v>
      </c>
      <c r="B204" s="11">
        <v>1.4202304347826E9</v>
      </c>
      <c r="C204" s="2">
        <v>-101.6604385</v>
      </c>
      <c r="D204" s="24">
        <f t="shared" si="1"/>
        <v>-169565.2174</v>
      </c>
      <c r="E204" s="25">
        <f t="shared" si="2"/>
        <v>34.89525302</v>
      </c>
      <c r="F204" s="24">
        <f t="shared" si="3"/>
        <v>0.0002057925178</v>
      </c>
      <c r="G204" s="24">
        <f t="shared" si="4"/>
        <v>0</v>
      </c>
      <c r="H204" s="26">
        <f t="shared" si="5"/>
        <v>0</v>
      </c>
      <c r="I204" s="24">
        <f t="shared" si="6"/>
        <v>0</v>
      </c>
      <c r="J204" s="24">
        <f t="shared" si="7"/>
        <v>0</v>
      </c>
      <c r="K204" s="24"/>
      <c r="L204" s="24">
        <f t="shared" si="8"/>
        <v>518.8744874</v>
      </c>
      <c r="M204" s="14">
        <f t="shared" si="9"/>
        <v>430.5858311</v>
      </c>
      <c r="N204" s="27">
        <f t="shared" si="10"/>
        <v>88.28865638</v>
      </c>
      <c r="O204" s="24"/>
      <c r="P204" s="24"/>
      <c r="Q204" s="24"/>
      <c r="R204" s="26"/>
      <c r="S204" s="14">
        <f t="shared" si="13"/>
        <v>81.07513172</v>
      </c>
      <c r="U204" s="21"/>
      <c r="V204" s="21"/>
    </row>
    <row r="205">
      <c r="A205" s="11">
        <v>193.0</v>
      </c>
      <c r="B205" s="11">
        <v>1.42023478260869E9</v>
      </c>
      <c r="C205" s="2">
        <v>-101.633667</v>
      </c>
      <c r="D205" s="24">
        <f t="shared" si="1"/>
        <v>-165217.3913</v>
      </c>
      <c r="E205" s="25">
        <f t="shared" si="2"/>
        <v>33.97695689</v>
      </c>
      <c r="F205" s="24">
        <f t="shared" si="3"/>
        <v>0.0002056500022</v>
      </c>
      <c r="G205" s="24">
        <f t="shared" si="4"/>
        <v>0</v>
      </c>
      <c r="H205" s="26">
        <f t="shared" si="5"/>
        <v>0</v>
      </c>
      <c r="I205" s="24">
        <f t="shared" si="6"/>
        <v>0</v>
      </c>
      <c r="J205" s="24">
        <f t="shared" si="7"/>
        <v>0</v>
      </c>
      <c r="K205" s="24"/>
      <c r="L205" s="24">
        <f t="shared" si="8"/>
        <v>522.0828983</v>
      </c>
      <c r="M205" s="14">
        <f t="shared" si="9"/>
        <v>430.5238067</v>
      </c>
      <c r="N205" s="27">
        <f t="shared" si="10"/>
        <v>91.55909157</v>
      </c>
      <c r="O205" s="24"/>
      <c r="P205" s="24"/>
      <c r="Q205" s="24"/>
      <c r="R205" s="26"/>
      <c r="S205" s="14">
        <f t="shared" si="13"/>
        <v>84.07835972</v>
      </c>
      <c r="U205" s="21"/>
      <c r="V205" s="21"/>
    </row>
    <row r="206">
      <c r="A206" s="11">
        <v>194.0</v>
      </c>
      <c r="B206" s="11">
        <v>1.42023913043478E9</v>
      </c>
      <c r="C206" s="2">
        <v>-101.6373749</v>
      </c>
      <c r="D206" s="24">
        <f t="shared" si="1"/>
        <v>-160869.5652</v>
      </c>
      <c r="E206" s="25">
        <f t="shared" si="2"/>
        <v>33.05866076</v>
      </c>
      <c r="F206" s="24">
        <f t="shared" si="3"/>
        <v>0.0002054997831</v>
      </c>
      <c r="G206" s="24">
        <f t="shared" si="4"/>
        <v>0</v>
      </c>
      <c r="H206" s="26">
        <f t="shared" si="5"/>
        <v>0</v>
      </c>
      <c r="I206" s="24">
        <f t="shared" si="6"/>
        <v>0</v>
      </c>
      <c r="J206" s="24">
        <f t="shared" si="7"/>
        <v>0</v>
      </c>
      <c r="K206" s="24"/>
      <c r="L206" s="24">
        <f t="shared" si="8"/>
        <v>521.6373469</v>
      </c>
      <c r="M206" s="14">
        <f t="shared" si="9"/>
        <v>430.4617378</v>
      </c>
      <c r="N206" s="27">
        <f t="shared" si="10"/>
        <v>91.17560909</v>
      </c>
      <c r="O206" s="24"/>
      <c r="P206" s="24"/>
      <c r="Q206" s="24"/>
      <c r="R206" s="26"/>
      <c r="S206" s="14">
        <f t="shared" si="13"/>
        <v>83.72620904</v>
      </c>
      <c r="U206" s="21"/>
      <c r="V206" s="21"/>
    </row>
    <row r="207">
      <c r="A207" s="11">
        <v>195.0</v>
      </c>
      <c r="B207" s="11">
        <v>1.42024347826087E9</v>
      </c>
      <c r="C207" s="2">
        <v>-101.611702</v>
      </c>
      <c r="D207" s="24">
        <f t="shared" si="1"/>
        <v>-156521.7391</v>
      </c>
      <c r="E207" s="25">
        <f t="shared" si="2"/>
        <v>32.14036463</v>
      </c>
      <c r="F207" s="24">
        <f t="shared" si="3"/>
        <v>0.0002053412184</v>
      </c>
      <c r="G207" s="24">
        <f t="shared" si="4"/>
        <v>0</v>
      </c>
      <c r="H207" s="26">
        <f t="shared" si="5"/>
        <v>0</v>
      </c>
      <c r="I207" s="24">
        <f t="shared" si="6"/>
        <v>0</v>
      </c>
      <c r="J207" s="24">
        <f t="shared" si="7"/>
        <v>0</v>
      </c>
      <c r="K207" s="24"/>
      <c r="L207" s="24">
        <f t="shared" si="8"/>
        <v>524.730088</v>
      </c>
      <c r="M207" s="14">
        <f t="shared" si="9"/>
        <v>430.399622</v>
      </c>
      <c r="N207" s="27">
        <f t="shared" si="10"/>
        <v>94.33046605</v>
      </c>
      <c r="O207" s="24"/>
      <c r="P207" s="24"/>
      <c r="Q207" s="24"/>
      <c r="R207" s="26"/>
      <c r="S207" s="14">
        <f t="shared" si="13"/>
        <v>86.62330217</v>
      </c>
      <c r="U207" s="21"/>
      <c r="V207" s="21"/>
    </row>
    <row r="208">
      <c r="A208" s="11">
        <v>196.0</v>
      </c>
      <c r="B208" s="11">
        <v>1.42024782608695E9</v>
      </c>
      <c r="C208" s="2">
        <v>-101.5845413</v>
      </c>
      <c r="D208" s="24">
        <f t="shared" si="1"/>
        <v>-152173.913</v>
      </c>
      <c r="E208" s="25">
        <f t="shared" si="2"/>
        <v>31.22206849</v>
      </c>
      <c r="F208" s="24">
        <f t="shared" si="3"/>
        <v>0.0002051735929</v>
      </c>
      <c r="G208" s="24">
        <f t="shared" si="4"/>
        <v>0</v>
      </c>
      <c r="H208" s="26">
        <f t="shared" si="5"/>
        <v>0</v>
      </c>
      <c r="I208" s="24">
        <f t="shared" si="6"/>
        <v>0</v>
      </c>
      <c r="J208" s="24">
        <f t="shared" si="7"/>
        <v>0</v>
      </c>
      <c r="K208" s="24"/>
      <c r="L208" s="24">
        <f t="shared" si="8"/>
        <v>528.0220239</v>
      </c>
      <c r="M208" s="14">
        <f t="shared" si="9"/>
        <v>430.3374569</v>
      </c>
      <c r="N208" s="27">
        <f t="shared" si="10"/>
        <v>97.68456695</v>
      </c>
      <c r="O208" s="24"/>
      <c r="P208" s="24"/>
      <c r="Q208" s="24"/>
      <c r="R208" s="26"/>
      <c r="S208" s="14">
        <f t="shared" si="13"/>
        <v>89.70336006</v>
      </c>
      <c r="U208" s="21"/>
      <c r="V208" s="21"/>
    </row>
    <row r="209">
      <c r="A209" s="11">
        <v>197.0</v>
      </c>
      <c r="B209" s="11">
        <v>1.42025217391304E9</v>
      </c>
      <c r="C209" s="2">
        <v>-101.6300964</v>
      </c>
      <c r="D209" s="24">
        <f t="shared" si="1"/>
        <v>-147826.087</v>
      </c>
      <c r="E209" s="25">
        <f t="shared" si="2"/>
        <v>30.30377236</v>
      </c>
      <c r="F209" s="24">
        <f t="shared" si="3"/>
        <v>0.0002049961071</v>
      </c>
      <c r="G209" s="24">
        <f t="shared" si="4"/>
        <v>0</v>
      </c>
      <c r="H209" s="26">
        <f t="shared" si="5"/>
        <v>0</v>
      </c>
      <c r="I209" s="24">
        <f t="shared" si="6"/>
        <v>0</v>
      </c>
      <c r="J209" s="24">
        <f t="shared" si="7"/>
        <v>0</v>
      </c>
      <c r="K209" s="24"/>
      <c r="L209" s="24">
        <f t="shared" si="8"/>
        <v>522.512311</v>
      </c>
      <c r="M209" s="14">
        <f t="shared" si="9"/>
        <v>430.2752401</v>
      </c>
      <c r="N209" s="27">
        <f t="shared" si="10"/>
        <v>92.23707085</v>
      </c>
      <c r="O209" s="24"/>
      <c r="P209" s="24"/>
      <c r="Q209" s="24"/>
      <c r="R209" s="26"/>
      <c r="S209" s="14">
        <f t="shared" si="13"/>
        <v>84.70094527</v>
      </c>
      <c r="U209" s="21"/>
      <c r="V209" s="21"/>
    </row>
    <row r="210">
      <c r="A210" s="11">
        <v>198.0</v>
      </c>
      <c r="B210" s="11">
        <v>1.42025652173913E9</v>
      </c>
      <c r="C210" s="2">
        <v>-101.6052551</v>
      </c>
      <c r="D210" s="24">
        <f t="shared" si="1"/>
        <v>-143478.2609</v>
      </c>
      <c r="E210" s="25">
        <f t="shared" si="2"/>
        <v>29.38547623</v>
      </c>
      <c r="F210" s="24">
        <f t="shared" si="3"/>
        <v>0.0002048078646</v>
      </c>
      <c r="G210" s="24">
        <f t="shared" si="4"/>
        <v>0</v>
      </c>
      <c r="H210" s="26">
        <f t="shared" si="5"/>
        <v>0</v>
      </c>
      <c r="I210" s="24">
        <f t="shared" si="6"/>
        <v>0</v>
      </c>
      <c r="J210" s="24">
        <f t="shared" si="7"/>
        <v>0</v>
      </c>
      <c r="K210" s="24"/>
      <c r="L210" s="24">
        <f t="shared" si="8"/>
        <v>525.5096039</v>
      </c>
      <c r="M210" s="14">
        <f t="shared" si="9"/>
        <v>430.2129693</v>
      </c>
      <c r="N210" s="27">
        <f t="shared" si="10"/>
        <v>95.29663462</v>
      </c>
      <c r="O210" s="24"/>
      <c r="P210" s="24"/>
      <c r="Q210" s="24"/>
      <c r="R210" s="26"/>
      <c r="S210" s="14">
        <f t="shared" si="13"/>
        <v>87.51053104</v>
      </c>
      <c r="U210" s="21"/>
      <c r="V210" s="21"/>
    </row>
    <row r="211">
      <c r="A211" s="11">
        <v>199.0</v>
      </c>
      <c r="B211" s="11">
        <v>1.42026086956521E9</v>
      </c>
      <c r="C211" s="2">
        <v>-101.6353073</v>
      </c>
      <c r="D211" s="24">
        <f t="shared" si="1"/>
        <v>-139130.4348</v>
      </c>
      <c r="E211" s="25">
        <f t="shared" si="2"/>
        <v>28.4671801</v>
      </c>
      <c r="F211" s="24">
        <f t="shared" si="3"/>
        <v>0.0002046078569</v>
      </c>
      <c r="G211" s="24">
        <f t="shared" si="4"/>
        <v>0</v>
      </c>
      <c r="H211" s="26">
        <f t="shared" si="5"/>
        <v>0</v>
      </c>
      <c r="I211" s="24">
        <f t="shared" si="6"/>
        <v>0</v>
      </c>
      <c r="J211" s="24">
        <f t="shared" si="7"/>
        <v>0</v>
      </c>
      <c r="K211" s="24"/>
      <c r="L211" s="24">
        <f t="shared" si="8"/>
        <v>521.8857484</v>
      </c>
      <c r="M211" s="14">
        <f t="shared" si="9"/>
        <v>430.1506421</v>
      </c>
      <c r="N211" s="27">
        <f t="shared" si="10"/>
        <v>91.73510636</v>
      </c>
      <c r="O211" s="24"/>
      <c r="P211" s="24"/>
      <c r="Q211" s="24"/>
      <c r="R211" s="26"/>
      <c r="S211" s="14">
        <f t="shared" si="13"/>
        <v>84.23999341</v>
      </c>
      <c r="U211" s="21"/>
      <c r="V211" s="21"/>
    </row>
    <row r="212">
      <c r="A212" s="11">
        <v>200.0</v>
      </c>
      <c r="B212" s="11">
        <v>1.4202652173913E9</v>
      </c>
      <c r="C212" s="2">
        <v>-101.5447998</v>
      </c>
      <c r="D212" s="24">
        <f t="shared" si="1"/>
        <v>-134782.6087</v>
      </c>
      <c r="E212" s="25">
        <f t="shared" si="2"/>
        <v>27.54888396</v>
      </c>
      <c r="F212" s="24">
        <f t="shared" si="3"/>
        <v>0.0002043949455</v>
      </c>
      <c r="G212" s="24">
        <f t="shared" si="4"/>
        <v>0</v>
      </c>
      <c r="H212" s="26">
        <f t="shared" si="5"/>
        <v>0</v>
      </c>
      <c r="I212" s="24">
        <f t="shared" si="6"/>
        <v>0</v>
      </c>
      <c r="J212" s="24">
        <f t="shared" si="7"/>
        <v>0</v>
      </c>
      <c r="K212" s="24"/>
      <c r="L212" s="24">
        <f t="shared" si="8"/>
        <v>532.8760328</v>
      </c>
      <c r="M212" s="14">
        <f t="shared" si="9"/>
        <v>430.088256</v>
      </c>
      <c r="N212" s="27">
        <f t="shared" si="10"/>
        <v>102.7877768</v>
      </c>
      <c r="O212" s="24"/>
      <c r="P212" s="24"/>
      <c r="Q212" s="24"/>
      <c r="R212" s="26"/>
      <c r="S212" s="14">
        <f t="shared" si="13"/>
        <v>94.38961768</v>
      </c>
      <c r="U212" s="21"/>
      <c r="V212" s="21"/>
    </row>
    <row r="213">
      <c r="A213" s="11">
        <v>201.0</v>
      </c>
      <c r="B213" s="11">
        <v>1.42026956521739E9</v>
      </c>
      <c r="C213" s="2">
        <v>-101.4930038</v>
      </c>
      <c r="D213" s="24">
        <f t="shared" si="1"/>
        <v>-130434.7826</v>
      </c>
      <c r="E213" s="25">
        <f t="shared" si="2"/>
        <v>26.63058783</v>
      </c>
      <c r="F213" s="24">
        <f t="shared" si="3"/>
        <v>0.0002041678401</v>
      </c>
      <c r="G213" s="24">
        <f t="shared" si="4"/>
        <v>0</v>
      </c>
      <c r="H213" s="26">
        <f t="shared" si="5"/>
        <v>0</v>
      </c>
      <c r="I213" s="24">
        <f t="shared" si="6"/>
        <v>0</v>
      </c>
      <c r="J213" s="24">
        <f t="shared" si="7"/>
        <v>0</v>
      </c>
      <c r="K213" s="24"/>
      <c r="L213" s="24">
        <f t="shared" si="8"/>
        <v>539.2694121</v>
      </c>
      <c r="M213" s="14">
        <f t="shared" si="9"/>
        <v>430.0258088</v>
      </c>
      <c r="N213" s="27">
        <f t="shared" si="10"/>
        <v>109.2436033</v>
      </c>
      <c r="O213" s="24"/>
      <c r="P213" s="24"/>
      <c r="Q213" s="24"/>
      <c r="R213" s="26"/>
      <c r="S213" s="14">
        <f t="shared" si="13"/>
        <v>100.3179785</v>
      </c>
      <c r="U213" s="21"/>
      <c r="V213" s="21"/>
    </row>
    <row r="214">
      <c r="A214" s="11">
        <v>202.0</v>
      </c>
      <c r="B214" s="11">
        <v>1.42027391304347E9</v>
      </c>
      <c r="C214" s="2">
        <v>-101.5643768</v>
      </c>
      <c r="D214" s="24">
        <f t="shared" si="1"/>
        <v>-126086.9565</v>
      </c>
      <c r="E214" s="25">
        <f t="shared" si="2"/>
        <v>25.7122917</v>
      </c>
      <c r="F214" s="24">
        <f t="shared" si="3"/>
        <v>0.0002039250721</v>
      </c>
      <c r="G214" s="24">
        <f t="shared" si="4"/>
        <v>0</v>
      </c>
      <c r="H214" s="26">
        <f t="shared" si="5"/>
        <v>0</v>
      </c>
      <c r="I214" s="24">
        <f t="shared" si="6"/>
        <v>0</v>
      </c>
      <c r="J214" s="24">
        <f t="shared" si="7"/>
        <v>0</v>
      </c>
      <c r="K214" s="24"/>
      <c r="L214" s="24">
        <f t="shared" si="8"/>
        <v>530.4793556</v>
      </c>
      <c r="M214" s="14">
        <f t="shared" si="9"/>
        <v>429.963298</v>
      </c>
      <c r="N214" s="27">
        <f t="shared" si="10"/>
        <v>100.5160577</v>
      </c>
      <c r="O214" s="24"/>
      <c r="P214" s="24"/>
      <c r="Q214" s="24"/>
      <c r="R214" s="26"/>
      <c r="S214" s="14">
        <f t="shared" si="13"/>
        <v>92.30350705</v>
      </c>
      <c r="U214" s="21"/>
      <c r="V214" s="21"/>
    </row>
    <row r="215">
      <c r="A215" s="11">
        <v>203.0</v>
      </c>
      <c r="B215" s="11">
        <v>1.42027826086956E9</v>
      </c>
      <c r="C215" s="2">
        <v>-101.4816666</v>
      </c>
      <c r="D215" s="24">
        <f t="shared" si="1"/>
        <v>-121739.1304</v>
      </c>
      <c r="E215" s="25">
        <f t="shared" si="2"/>
        <v>24.79399557</v>
      </c>
      <c r="F215" s="24">
        <f t="shared" si="3"/>
        <v>0.0002036649636</v>
      </c>
      <c r="G215" s="24">
        <f t="shared" si="4"/>
        <v>0</v>
      </c>
      <c r="H215" s="26">
        <f t="shared" si="5"/>
        <v>0</v>
      </c>
      <c r="I215" s="24">
        <f t="shared" si="6"/>
        <v>0</v>
      </c>
      <c r="J215" s="24">
        <f t="shared" si="7"/>
        <v>0</v>
      </c>
      <c r="K215" s="24"/>
      <c r="L215" s="24">
        <f t="shared" si="8"/>
        <v>540.6790068</v>
      </c>
      <c r="M215" s="14">
        <f t="shared" si="9"/>
        <v>429.9007212</v>
      </c>
      <c r="N215" s="27">
        <f t="shared" si="10"/>
        <v>110.7782856</v>
      </c>
      <c r="O215" s="24"/>
      <c r="P215" s="24"/>
      <c r="Q215" s="24"/>
      <c r="R215" s="26"/>
      <c r="S215" s="14">
        <f t="shared" si="13"/>
        <v>101.7272711</v>
      </c>
      <c r="U215" s="21"/>
      <c r="V215" s="21"/>
    </row>
    <row r="216">
      <c r="A216" s="11">
        <v>204.0</v>
      </c>
      <c r="B216" s="11">
        <v>1.42028260869565E9</v>
      </c>
      <c r="C216" s="2">
        <v>-101.4902878</v>
      </c>
      <c r="D216" s="24">
        <f t="shared" si="1"/>
        <v>-117391.3043</v>
      </c>
      <c r="E216" s="25">
        <f t="shared" si="2"/>
        <v>23.87569944</v>
      </c>
      <c r="F216" s="24">
        <f t="shared" si="3"/>
        <v>0.0002033855878</v>
      </c>
      <c r="G216" s="24">
        <f t="shared" si="4"/>
        <v>0</v>
      </c>
      <c r="H216" s="26">
        <f t="shared" si="5"/>
        <v>0</v>
      </c>
      <c r="I216" s="24">
        <f t="shared" si="6"/>
        <v>0</v>
      </c>
      <c r="J216" s="24">
        <f t="shared" si="7"/>
        <v>0</v>
      </c>
      <c r="K216" s="24"/>
      <c r="L216" s="24">
        <f t="shared" si="8"/>
        <v>539.606767</v>
      </c>
      <c r="M216" s="14">
        <f t="shared" si="9"/>
        <v>429.8380761</v>
      </c>
      <c r="N216" s="27">
        <f t="shared" si="10"/>
        <v>109.7686909</v>
      </c>
      <c r="O216" s="24"/>
      <c r="P216" s="24"/>
      <c r="Q216" s="24"/>
      <c r="R216" s="26"/>
      <c r="S216" s="14">
        <f t="shared" si="13"/>
        <v>100.8001644</v>
      </c>
      <c r="U216" s="21"/>
      <c r="V216" s="21"/>
    </row>
    <row r="217">
      <c r="A217" s="11">
        <v>205.0</v>
      </c>
      <c r="B217" s="11">
        <v>1.42028695652173E9</v>
      </c>
      <c r="C217" s="2">
        <v>-101.5047226</v>
      </c>
      <c r="D217" s="24">
        <f t="shared" si="1"/>
        <v>-113043.4783</v>
      </c>
      <c r="E217" s="25">
        <f t="shared" si="2"/>
        <v>22.9574033</v>
      </c>
      <c r="F217" s="24">
        <f t="shared" si="3"/>
        <v>0.0002030847215</v>
      </c>
      <c r="G217" s="24">
        <f t="shared" si="4"/>
        <v>0</v>
      </c>
      <c r="H217" s="26">
        <f t="shared" si="5"/>
        <v>0</v>
      </c>
      <c r="I217" s="24">
        <f t="shared" si="6"/>
        <v>0</v>
      </c>
      <c r="J217" s="24">
        <f t="shared" si="7"/>
        <v>0</v>
      </c>
      <c r="K217" s="24"/>
      <c r="L217" s="24">
        <f t="shared" si="8"/>
        <v>537.8162341</v>
      </c>
      <c r="M217" s="14">
        <f t="shared" si="9"/>
        <v>429.7753603</v>
      </c>
      <c r="N217" s="27">
        <f t="shared" si="10"/>
        <v>108.0408738</v>
      </c>
      <c r="O217" s="24"/>
      <c r="P217" s="24"/>
      <c r="Q217" s="24"/>
      <c r="R217" s="26"/>
      <c r="S217" s="14">
        <f t="shared" si="13"/>
        <v>99.21351659</v>
      </c>
      <c r="U217" s="21"/>
      <c r="V217" s="21"/>
    </row>
    <row r="218">
      <c r="A218" s="11">
        <v>206.0</v>
      </c>
      <c r="B218" s="11">
        <v>1.42029130434782E9</v>
      </c>
      <c r="C218" s="2">
        <v>-101.5056229</v>
      </c>
      <c r="D218" s="24">
        <f t="shared" si="1"/>
        <v>-108695.6522</v>
      </c>
      <c r="E218" s="25">
        <f t="shared" si="2"/>
        <v>22.03910717</v>
      </c>
      <c r="F218" s="24">
        <f t="shared" si="3"/>
        <v>0.000202759786</v>
      </c>
      <c r="G218" s="24">
        <f t="shared" si="4"/>
        <v>0</v>
      </c>
      <c r="H218" s="26">
        <f t="shared" si="5"/>
        <v>0</v>
      </c>
      <c r="I218" s="24">
        <f t="shared" si="6"/>
        <v>0</v>
      </c>
      <c r="J218" s="24">
        <f t="shared" si="7"/>
        <v>0</v>
      </c>
      <c r="K218" s="24"/>
      <c r="L218" s="24">
        <f t="shared" si="8"/>
        <v>537.7047554</v>
      </c>
      <c r="M218" s="14">
        <f t="shared" si="9"/>
        <v>429.7125715</v>
      </c>
      <c r="N218" s="27">
        <f t="shared" si="10"/>
        <v>107.992184</v>
      </c>
      <c r="O218" s="24"/>
      <c r="P218" s="24"/>
      <c r="Q218" s="24"/>
      <c r="R218" s="26"/>
      <c r="S218" s="14">
        <f t="shared" si="13"/>
        <v>99.16880493</v>
      </c>
      <c r="U218" s="21"/>
      <c r="V218" s="21"/>
    </row>
    <row r="219">
      <c r="A219" s="11">
        <v>207.0</v>
      </c>
      <c r="B219" s="11">
        <v>1.42029565217391E9</v>
      </c>
      <c r="C219" s="2">
        <v>-101.4381332</v>
      </c>
      <c r="D219" s="24">
        <f t="shared" si="1"/>
        <v>-104347.8261</v>
      </c>
      <c r="E219" s="25">
        <f t="shared" si="2"/>
        <v>21.12081104</v>
      </c>
      <c r="F219" s="24">
        <f t="shared" si="3"/>
        <v>0.0002024077725</v>
      </c>
      <c r="G219" s="24">
        <f t="shared" si="4"/>
        <v>0</v>
      </c>
      <c r="H219" s="26">
        <f t="shared" si="5"/>
        <v>0</v>
      </c>
      <c r="I219" s="24">
        <f t="shared" si="6"/>
        <v>0</v>
      </c>
      <c r="J219" s="24">
        <f t="shared" si="7"/>
        <v>0</v>
      </c>
      <c r="K219" s="24"/>
      <c r="L219" s="24">
        <f t="shared" si="8"/>
        <v>546.125993</v>
      </c>
      <c r="M219" s="14">
        <f t="shared" si="9"/>
        <v>429.6497071</v>
      </c>
      <c r="N219" s="27">
        <f t="shared" si="10"/>
        <v>116.4762859</v>
      </c>
      <c r="O219" s="24"/>
      <c r="P219" s="24"/>
      <c r="Q219" s="24"/>
      <c r="R219" s="26"/>
      <c r="S219" s="14">
        <f t="shared" si="13"/>
        <v>106.9597226</v>
      </c>
      <c r="U219" s="21"/>
      <c r="V219" s="21"/>
    </row>
    <row r="220">
      <c r="A220" s="11">
        <v>208.0</v>
      </c>
      <c r="B220" s="11">
        <v>1.4203E9</v>
      </c>
      <c r="C220" s="2">
        <v>-101.5166855</v>
      </c>
      <c r="D220" s="24">
        <f t="shared" si="1"/>
        <v>-100000</v>
      </c>
      <c r="E220" s="25">
        <f t="shared" si="2"/>
        <v>20.20251491</v>
      </c>
      <c r="F220" s="24">
        <f t="shared" si="3"/>
        <v>0.0002020251491</v>
      </c>
      <c r="G220" s="24">
        <f t="shared" si="4"/>
        <v>0</v>
      </c>
      <c r="H220" s="26">
        <f t="shared" si="5"/>
        <v>0</v>
      </c>
      <c r="I220" s="24">
        <f t="shared" si="6"/>
        <v>0</v>
      </c>
      <c r="J220" s="24">
        <f t="shared" si="7"/>
        <v>0</v>
      </c>
      <c r="K220" s="24"/>
      <c r="L220" s="24">
        <f t="shared" si="8"/>
        <v>536.3368258</v>
      </c>
      <c r="M220" s="14">
        <f t="shared" si="9"/>
        <v>429.5867649</v>
      </c>
      <c r="N220" s="27">
        <f t="shared" si="10"/>
        <v>106.7500609</v>
      </c>
      <c r="O220" s="24"/>
      <c r="P220" s="24"/>
      <c r="Q220" s="24"/>
      <c r="R220" s="26"/>
      <c r="S220" s="14">
        <f t="shared" si="13"/>
        <v>98.02816806</v>
      </c>
      <c r="U220" s="21"/>
      <c r="V220" s="21"/>
    </row>
    <row r="221">
      <c r="A221" s="11">
        <v>209.0</v>
      </c>
      <c r="B221" s="11">
        <v>1.42030434782608E9</v>
      </c>
      <c r="C221" s="2">
        <v>-101.4894562</v>
      </c>
      <c r="D221" s="24">
        <f t="shared" si="1"/>
        <v>-95652.17392</v>
      </c>
      <c r="E221" s="25">
        <f t="shared" si="2"/>
        <v>19.28421878</v>
      </c>
      <c r="F221" s="24">
        <f t="shared" si="3"/>
        <v>0.0002016077417</v>
      </c>
      <c r="G221" s="24">
        <f t="shared" si="4"/>
        <v>0</v>
      </c>
      <c r="H221" s="26">
        <f t="shared" si="5"/>
        <v>0</v>
      </c>
      <c r="I221" s="24">
        <f t="shared" si="6"/>
        <v>0</v>
      </c>
      <c r="J221" s="24">
        <f t="shared" si="7"/>
        <v>0</v>
      </c>
      <c r="K221" s="24"/>
      <c r="L221" s="24">
        <f t="shared" si="8"/>
        <v>539.7101024</v>
      </c>
      <c r="M221" s="14">
        <f t="shared" si="9"/>
        <v>429.5237425</v>
      </c>
      <c r="N221" s="27">
        <f t="shared" si="10"/>
        <v>110.1863599</v>
      </c>
      <c r="O221" s="24"/>
      <c r="P221" s="24"/>
      <c r="Q221" s="24"/>
      <c r="R221" s="26"/>
      <c r="S221" s="14">
        <f t="shared" si="13"/>
        <v>101.1837082</v>
      </c>
      <c r="U221" s="21"/>
      <c r="V221" s="21"/>
    </row>
    <row r="222">
      <c r="A222" s="11">
        <v>210.0</v>
      </c>
      <c r="B222" s="11">
        <v>1.42030869565217E9</v>
      </c>
      <c r="C222" s="2">
        <v>-101.461525</v>
      </c>
      <c r="D222" s="24">
        <f t="shared" si="1"/>
        <v>-91304.34783</v>
      </c>
      <c r="E222" s="25">
        <f t="shared" si="2"/>
        <v>18.36592264</v>
      </c>
      <c r="F222" s="24">
        <f t="shared" si="3"/>
        <v>0.0002011505813</v>
      </c>
      <c r="G222" s="24">
        <f t="shared" si="4"/>
        <v>0</v>
      </c>
      <c r="H222" s="26">
        <f t="shared" si="5"/>
        <v>0</v>
      </c>
      <c r="I222" s="24">
        <f t="shared" si="6"/>
        <v>0</v>
      </c>
      <c r="J222" s="24">
        <f t="shared" si="7"/>
        <v>0</v>
      </c>
      <c r="K222" s="24"/>
      <c r="L222" s="24">
        <f t="shared" si="8"/>
        <v>543.192378</v>
      </c>
      <c r="M222" s="14">
        <f t="shared" si="9"/>
        <v>429.4606375</v>
      </c>
      <c r="N222" s="27">
        <f t="shared" si="10"/>
        <v>113.7317405</v>
      </c>
      <c r="O222" s="24"/>
      <c r="P222" s="24"/>
      <c r="Q222" s="24"/>
      <c r="R222" s="26"/>
      <c r="S222" s="14">
        <f t="shared" si="13"/>
        <v>104.4394172</v>
      </c>
      <c r="U222" s="21"/>
      <c r="V222" s="21"/>
    </row>
    <row r="223">
      <c r="A223" s="11">
        <v>211.0</v>
      </c>
      <c r="B223" s="11">
        <v>1.42031304347826E9</v>
      </c>
      <c r="C223" s="2">
        <v>-101.4742432</v>
      </c>
      <c r="D223" s="24">
        <f t="shared" si="1"/>
        <v>-86956.52174</v>
      </c>
      <c r="E223" s="25">
        <f t="shared" si="2"/>
        <v>17.44762651</v>
      </c>
      <c r="F223" s="24">
        <f t="shared" si="3"/>
        <v>0.0002006477049</v>
      </c>
      <c r="G223" s="24">
        <f t="shared" si="4"/>
        <v>0</v>
      </c>
      <c r="H223" s="26">
        <f t="shared" si="5"/>
        <v>0</v>
      </c>
      <c r="I223" s="24">
        <f t="shared" si="6"/>
        <v>0</v>
      </c>
      <c r="J223" s="24">
        <f t="shared" si="7"/>
        <v>0</v>
      </c>
      <c r="K223" s="24"/>
      <c r="L223" s="24">
        <f t="shared" si="8"/>
        <v>541.6039803</v>
      </c>
      <c r="M223" s="14">
        <f t="shared" si="9"/>
        <v>429.3974475</v>
      </c>
      <c r="N223" s="27">
        <f t="shared" si="10"/>
        <v>112.2065328</v>
      </c>
      <c r="O223" s="24"/>
      <c r="P223" s="24"/>
      <c r="Q223" s="24"/>
      <c r="R223" s="26"/>
      <c r="S223" s="14">
        <f t="shared" si="13"/>
        <v>103.0388251</v>
      </c>
      <c r="U223" s="21"/>
      <c r="V223" s="21"/>
    </row>
    <row r="224">
      <c r="A224" s="11">
        <v>212.0</v>
      </c>
      <c r="B224" s="11">
        <v>1.42031739130434E9</v>
      </c>
      <c r="C224" s="2">
        <v>-101.4443665</v>
      </c>
      <c r="D224" s="24">
        <f t="shared" si="1"/>
        <v>-82608.69566</v>
      </c>
      <c r="E224" s="25">
        <f t="shared" si="2"/>
        <v>16.52933038</v>
      </c>
      <c r="F224" s="24">
        <f t="shared" si="3"/>
        <v>0.000200091894</v>
      </c>
      <c r="G224" s="24">
        <f t="shared" si="4"/>
        <v>0</v>
      </c>
      <c r="H224" s="26">
        <f t="shared" si="5"/>
        <v>0</v>
      </c>
      <c r="I224" s="24">
        <f t="shared" si="6"/>
        <v>0</v>
      </c>
      <c r="J224" s="24">
        <f t="shared" si="7"/>
        <v>0</v>
      </c>
      <c r="K224" s="24"/>
      <c r="L224" s="24">
        <f t="shared" si="8"/>
        <v>545.3427168</v>
      </c>
      <c r="M224" s="14">
        <f t="shared" si="9"/>
        <v>429.3341702</v>
      </c>
      <c r="N224" s="27">
        <f t="shared" si="10"/>
        <v>116.0085466</v>
      </c>
      <c r="O224" s="24"/>
      <c r="P224" s="24"/>
      <c r="Q224" s="24"/>
      <c r="R224" s="26"/>
      <c r="S224" s="14">
        <f t="shared" si="13"/>
        <v>106.5301997</v>
      </c>
      <c r="U224" s="21"/>
      <c r="V224" s="21"/>
    </row>
    <row r="225">
      <c r="A225" s="11">
        <v>213.0</v>
      </c>
      <c r="B225" s="11">
        <v>1.42032173913043E9</v>
      </c>
      <c r="C225" s="2">
        <v>-101.4360733</v>
      </c>
      <c r="D225" s="24">
        <f t="shared" si="1"/>
        <v>-78260.86957</v>
      </c>
      <c r="E225" s="25">
        <f t="shared" si="2"/>
        <v>15.61103425</v>
      </c>
      <c r="F225" s="24">
        <f t="shared" si="3"/>
        <v>0.0001994743265</v>
      </c>
      <c r="G225" s="24">
        <f t="shared" si="4"/>
        <v>0</v>
      </c>
      <c r="H225" s="26">
        <f t="shared" si="5"/>
        <v>0</v>
      </c>
      <c r="I225" s="24">
        <f t="shared" si="6"/>
        <v>0</v>
      </c>
      <c r="J225" s="24">
        <f t="shared" si="7"/>
        <v>0</v>
      </c>
      <c r="K225" s="24"/>
      <c r="L225" s="24">
        <f t="shared" si="8"/>
        <v>546.3850872</v>
      </c>
      <c r="M225" s="14">
        <f t="shared" si="9"/>
        <v>429.2708031</v>
      </c>
      <c r="N225" s="27">
        <f t="shared" si="10"/>
        <v>117.1142841</v>
      </c>
      <c r="O225" s="24"/>
      <c r="P225" s="24"/>
      <c r="Q225" s="24"/>
      <c r="R225" s="26"/>
      <c r="S225" s="14">
        <f t="shared" si="13"/>
        <v>107.5455939</v>
      </c>
      <c r="U225" s="21"/>
      <c r="V225" s="21"/>
    </row>
    <row r="226">
      <c r="A226" s="11">
        <v>214.0</v>
      </c>
      <c r="B226" s="11">
        <v>1.42032608695652E9</v>
      </c>
      <c r="C226" s="2">
        <v>-101.4607391</v>
      </c>
      <c r="D226" s="24">
        <f t="shared" si="1"/>
        <v>-73913.04348</v>
      </c>
      <c r="E226" s="25">
        <f t="shared" si="2"/>
        <v>14.69273812</v>
      </c>
      <c r="F226" s="24">
        <f t="shared" si="3"/>
        <v>0.0001987841039</v>
      </c>
      <c r="G226" s="24">
        <f t="shared" si="4"/>
        <v>0</v>
      </c>
      <c r="H226" s="26">
        <f t="shared" si="5"/>
        <v>0</v>
      </c>
      <c r="I226" s="24">
        <f t="shared" si="6"/>
        <v>0</v>
      </c>
      <c r="J226" s="24">
        <f t="shared" si="7"/>
        <v>0</v>
      </c>
      <c r="K226" s="24"/>
      <c r="L226" s="24">
        <f t="shared" si="8"/>
        <v>543.2906831</v>
      </c>
      <c r="M226" s="14">
        <f t="shared" si="9"/>
        <v>429.2073439</v>
      </c>
      <c r="N226" s="27">
        <f t="shared" si="10"/>
        <v>114.0833392</v>
      </c>
      <c r="O226" s="24"/>
      <c r="P226" s="24"/>
      <c r="Q226" s="24"/>
      <c r="R226" s="26"/>
      <c r="S226" s="14">
        <f t="shared" si="13"/>
        <v>104.7622892</v>
      </c>
      <c r="U226" s="21"/>
      <c r="V226" s="21"/>
    </row>
    <row r="227">
      <c r="A227" s="11">
        <v>215.0</v>
      </c>
      <c r="B227" s="11">
        <v>1.4203304347826E9</v>
      </c>
      <c r="C227" s="2">
        <v>-101.4508286</v>
      </c>
      <c r="D227" s="24">
        <f t="shared" si="1"/>
        <v>-69565.2174</v>
      </c>
      <c r="E227" s="25">
        <f t="shared" si="2"/>
        <v>13.77444198</v>
      </c>
      <c r="F227" s="24">
        <f t="shared" si="3"/>
        <v>0.0001980076035</v>
      </c>
      <c r="G227" s="24">
        <f t="shared" si="4"/>
        <v>0</v>
      </c>
      <c r="H227" s="26">
        <f t="shared" si="5"/>
        <v>0</v>
      </c>
      <c r="I227" s="24">
        <f t="shared" si="6"/>
        <v>0</v>
      </c>
      <c r="J227" s="24">
        <f t="shared" si="7"/>
        <v>0</v>
      </c>
      <c r="K227" s="24"/>
      <c r="L227" s="24">
        <f t="shared" si="8"/>
        <v>544.5318756</v>
      </c>
      <c r="M227" s="14">
        <f t="shared" si="9"/>
        <v>429.1437902</v>
      </c>
      <c r="N227" s="27">
        <f t="shared" si="10"/>
        <v>115.3880854</v>
      </c>
      <c r="O227" s="24"/>
      <c r="P227" s="24"/>
      <c r="Q227" s="24"/>
      <c r="R227" s="26"/>
      <c r="S227" s="14">
        <f t="shared" si="13"/>
        <v>105.9604326</v>
      </c>
      <c r="U227" s="21"/>
      <c r="V227" s="21"/>
    </row>
    <row r="228">
      <c r="A228" s="11">
        <v>216.0</v>
      </c>
      <c r="B228" s="11">
        <v>1.42033478260869E9</v>
      </c>
      <c r="C228" s="2">
        <v>-101.4131088</v>
      </c>
      <c r="D228" s="24">
        <f t="shared" si="1"/>
        <v>-65217.39131</v>
      </c>
      <c r="E228" s="25">
        <f t="shared" si="2"/>
        <v>12.85614585</v>
      </c>
      <c r="F228" s="24">
        <f t="shared" si="3"/>
        <v>0.0001971275697</v>
      </c>
      <c r="G228" s="24">
        <f t="shared" si="4"/>
        <v>0</v>
      </c>
      <c r="H228" s="26">
        <f t="shared" si="5"/>
        <v>0</v>
      </c>
      <c r="I228" s="24">
        <f t="shared" si="6"/>
        <v>0</v>
      </c>
      <c r="J228" s="24">
        <f t="shared" si="7"/>
        <v>0</v>
      </c>
      <c r="K228" s="24"/>
      <c r="L228" s="24">
        <f t="shared" si="8"/>
        <v>549.2818988</v>
      </c>
      <c r="M228" s="14">
        <f t="shared" si="9"/>
        <v>429.0801396</v>
      </c>
      <c r="N228" s="27">
        <f t="shared" si="10"/>
        <v>120.2017592</v>
      </c>
      <c r="O228" s="24"/>
      <c r="P228" s="24"/>
      <c r="Q228" s="24"/>
      <c r="R228" s="26"/>
      <c r="S228" s="14">
        <f t="shared" si="13"/>
        <v>110.3808106</v>
      </c>
      <c r="U228" s="21"/>
      <c r="V228" s="21"/>
    </row>
    <row r="229">
      <c r="A229" s="11">
        <v>217.0</v>
      </c>
      <c r="B229" s="11">
        <v>1.42033913043478E9</v>
      </c>
      <c r="C229" s="2">
        <v>-101.4500504</v>
      </c>
      <c r="D229" s="24">
        <f t="shared" si="1"/>
        <v>-60869.56522</v>
      </c>
      <c r="E229" s="25">
        <f t="shared" si="2"/>
        <v>11.93784972</v>
      </c>
      <c r="F229" s="24">
        <f t="shared" si="3"/>
        <v>0.0001961218168</v>
      </c>
      <c r="G229" s="24">
        <f t="shared" si="4"/>
        <v>0</v>
      </c>
      <c r="H229" s="26">
        <f t="shared" si="5"/>
        <v>0</v>
      </c>
      <c r="I229" s="24">
        <f t="shared" si="6"/>
        <v>0</v>
      </c>
      <c r="J229" s="24">
        <f t="shared" si="7"/>
        <v>0</v>
      </c>
      <c r="K229" s="24"/>
      <c r="L229" s="24">
        <f t="shared" si="8"/>
        <v>544.6294574</v>
      </c>
      <c r="M229" s="14">
        <f t="shared" si="9"/>
        <v>429.0163897</v>
      </c>
      <c r="N229" s="27">
        <f t="shared" si="10"/>
        <v>115.6130677</v>
      </c>
      <c r="O229" s="24"/>
      <c r="P229" s="24"/>
      <c r="Q229" s="24"/>
      <c r="R229" s="26"/>
      <c r="S229" s="14">
        <f t="shared" si="13"/>
        <v>106.1670327</v>
      </c>
      <c r="U229" s="21"/>
      <c r="V229" s="21"/>
    </row>
    <row r="230">
      <c r="A230" s="11">
        <v>218.0</v>
      </c>
      <c r="B230" s="11">
        <v>1.42034347826087E9</v>
      </c>
      <c r="C230" s="2">
        <v>-101.4181061</v>
      </c>
      <c r="D230" s="24">
        <f t="shared" si="1"/>
        <v>-56521.73913</v>
      </c>
      <c r="E230" s="25">
        <f t="shared" si="2"/>
        <v>11.01955359</v>
      </c>
      <c r="F230" s="24">
        <f t="shared" si="3"/>
        <v>0.0001949613327</v>
      </c>
      <c r="G230" s="24">
        <f t="shared" si="4"/>
        <v>0</v>
      </c>
      <c r="H230" s="26">
        <f t="shared" si="5"/>
        <v>0</v>
      </c>
      <c r="I230" s="24">
        <f t="shared" si="6"/>
        <v>0</v>
      </c>
      <c r="J230" s="24">
        <f t="shared" si="7"/>
        <v>0</v>
      </c>
      <c r="K230" s="24"/>
      <c r="L230" s="24">
        <f t="shared" si="8"/>
        <v>548.6502196</v>
      </c>
      <c r="M230" s="14">
        <f t="shared" si="9"/>
        <v>428.9525382</v>
      </c>
      <c r="N230" s="27">
        <f t="shared" si="10"/>
        <v>119.6976814</v>
      </c>
      <c r="O230" s="24"/>
      <c r="P230" s="24"/>
      <c r="Q230" s="24"/>
      <c r="R230" s="26"/>
      <c r="S230" s="14">
        <f t="shared" si="13"/>
        <v>109.9179179</v>
      </c>
      <c r="U230" s="21"/>
      <c r="V230" s="21"/>
    </row>
    <row r="231">
      <c r="A231" s="11">
        <v>219.0</v>
      </c>
      <c r="B231" s="11">
        <v>1.42034782608695E9</v>
      </c>
      <c r="C231" s="2">
        <v>-101.4953995</v>
      </c>
      <c r="D231" s="24">
        <f t="shared" si="1"/>
        <v>-52173.91305</v>
      </c>
      <c r="E231" s="25">
        <f t="shared" si="2"/>
        <v>10.10125745</v>
      </c>
      <c r="F231" s="24">
        <f t="shared" si="3"/>
        <v>0.0001936074345</v>
      </c>
      <c r="G231" s="24">
        <f t="shared" si="4"/>
        <v>0</v>
      </c>
      <c r="H231" s="26">
        <f t="shared" si="5"/>
        <v>0</v>
      </c>
      <c r="I231" s="24">
        <f t="shared" si="6"/>
        <v>0</v>
      </c>
      <c r="J231" s="24">
        <f t="shared" si="7"/>
        <v>0</v>
      </c>
      <c r="K231" s="24"/>
      <c r="L231" s="24">
        <f t="shared" si="8"/>
        <v>538.9720168</v>
      </c>
      <c r="M231" s="14">
        <f t="shared" si="9"/>
        <v>428.8885828</v>
      </c>
      <c r="N231" s="27">
        <f t="shared" si="10"/>
        <v>110.083434</v>
      </c>
      <c r="O231" s="24"/>
      <c r="P231" s="24"/>
      <c r="Q231" s="24"/>
      <c r="R231" s="26"/>
      <c r="S231" s="14">
        <f t="shared" si="13"/>
        <v>101.0891918</v>
      </c>
      <c r="U231" s="21"/>
      <c r="V231" s="21"/>
    </row>
    <row r="232">
      <c r="A232" s="11">
        <v>220.0</v>
      </c>
      <c r="B232" s="11">
        <v>1.42035217391304E9</v>
      </c>
      <c r="C232" s="2">
        <v>-101.4263687</v>
      </c>
      <c r="D232" s="24">
        <f t="shared" si="1"/>
        <v>-47826.08696</v>
      </c>
      <c r="E232" s="25">
        <f t="shared" si="2"/>
        <v>9.182961321</v>
      </c>
      <c r="F232" s="24">
        <f t="shared" si="3"/>
        <v>0.0001920073731</v>
      </c>
      <c r="G232" s="24">
        <f t="shared" si="4"/>
        <v>0</v>
      </c>
      <c r="H232" s="26">
        <f t="shared" si="5"/>
        <v>0</v>
      </c>
      <c r="I232" s="24">
        <f t="shared" si="6"/>
        <v>0</v>
      </c>
      <c r="J232" s="24">
        <f t="shared" si="7"/>
        <v>0</v>
      </c>
      <c r="K232" s="24"/>
      <c r="L232" s="24">
        <f t="shared" si="8"/>
        <v>547.6073863</v>
      </c>
      <c r="M232" s="14">
        <f t="shared" si="9"/>
        <v>428.8245209</v>
      </c>
      <c r="N232" s="27">
        <f t="shared" si="10"/>
        <v>118.7828654</v>
      </c>
      <c r="O232" s="24"/>
      <c r="P232" s="24"/>
      <c r="Q232" s="24"/>
      <c r="R232" s="26"/>
      <c r="S232" s="14">
        <f t="shared" si="13"/>
        <v>109.0778457</v>
      </c>
      <c r="U232" s="21"/>
      <c r="V232" s="21"/>
    </row>
    <row r="233">
      <c r="A233" s="11">
        <v>221.0</v>
      </c>
      <c r="B233" s="11">
        <v>1.42035652173913E9</v>
      </c>
      <c r="C233" s="2">
        <v>-101.4078522</v>
      </c>
      <c r="D233" s="24">
        <f t="shared" si="1"/>
        <v>-43478.26087</v>
      </c>
      <c r="E233" s="25">
        <f t="shared" si="2"/>
        <v>8.264665191</v>
      </c>
      <c r="F233" s="24">
        <f t="shared" si="3"/>
        <v>0.0001900872994</v>
      </c>
      <c r="G233" s="24">
        <f t="shared" si="4"/>
        <v>0</v>
      </c>
      <c r="H233" s="26">
        <f t="shared" si="5"/>
        <v>0</v>
      </c>
      <c r="I233" s="24">
        <f t="shared" si="6"/>
        <v>0</v>
      </c>
      <c r="J233" s="24">
        <f t="shared" si="7"/>
        <v>0</v>
      </c>
      <c r="K233" s="24"/>
      <c r="L233" s="24">
        <f t="shared" si="8"/>
        <v>549.9471394</v>
      </c>
      <c r="M233" s="14">
        <f t="shared" si="9"/>
        <v>428.7603502</v>
      </c>
      <c r="N233" s="27">
        <f t="shared" si="10"/>
        <v>121.1867892</v>
      </c>
      <c r="O233" s="24"/>
      <c r="P233" s="24"/>
      <c r="Q233" s="24"/>
      <c r="R233" s="26"/>
      <c r="S233" s="14">
        <f t="shared" si="13"/>
        <v>111.2853599</v>
      </c>
      <c r="U233" s="21"/>
      <c r="V233" s="21"/>
    </row>
    <row r="234">
      <c r="A234" s="11">
        <v>222.0</v>
      </c>
      <c r="B234" s="11">
        <v>1.42036086956521E9</v>
      </c>
      <c r="C234" s="2">
        <v>-101.4666061</v>
      </c>
      <c r="D234" s="24">
        <f t="shared" si="1"/>
        <v>-39130.43479</v>
      </c>
      <c r="E234" s="25">
        <f t="shared" si="2"/>
        <v>7.346369058</v>
      </c>
      <c r="F234" s="24">
        <f t="shared" si="3"/>
        <v>0.0001877405426</v>
      </c>
      <c r="G234" s="24">
        <f t="shared" si="4"/>
        <v>0</v>
      </c>
      <c r="H234" s="26">
        <f t="shared" si="5"/>
        <v>0</v>
      </c>
      <c r="I234" s="24">
        <f t="shared" si="6"/>
        <v>0</v>
      </c>
      <c r="J234" s="24">
        <f t="shared" si="7"/>
        <v>0</v>
      </c>
      <c r="K234" s="24"/>
      <c r="L234" s="24">
        <f t="shared" si="8"/>
        <v>542.5572328</v>
      </c>
      <c r="M234" s="14">
        <f t="shared" si="9"/>
        <v>428.6960684</v>
      </c>
      <c r="N234" s="27">
        <f t="shared" si="10"/>
        <v>113.8611644</v>
      </c>
      <c r="O234" s="24"/>
      <c r="P234" s="24"/>
      <c r="Q234" s="24"/>
      <c r="R234" s="26"/>
      <c r="S234" s="14">
        <f t="shared" si="13"/>
        <v>104.5582669</v>
      </c>
      <c r="U234" s="21"/>
      <c r="V234" s="21"/>
    </row>
    <row r="235">
      <c r="A235" s="11">
        <v>223.0</v>
      </c>
      <c r="B235" s="11">
        <v>1.4203652173913E9</v>
      </c>
      <c r="C235" s="2">
        <v>-101.4176712</v>
      </c>
      <c r="D235" s="24">
        <f t="shared" si="1"/>
        <v>-34782.6087</v>
      </c>
      <c r="E235" s="25">
        <f t="shared" si="2"/>
        <v>6.428072925</v>
      </c>
      <c r="F235" s="24">
        <f t="shared" si="3"/>
        <v>0.0001848070966</v>
      </c>
      <c r="G235" s="24">
        <f t="shared" si="4"/>
        <v>0</v>
      </c>
      <c r="H235" s="26">
        <f t="shared" si="5"/>
        <v>0</v>
      </c>
      <c r="I235" s="24">
        <f t="shared" si="6"/>
        <v>0</v>
      </c>
      <c r="J235" s="24">
        <f t="shared" si="7"/>
        <v>0</v>
      </c>
      <c r="K235" s="24"/>
      <c r="L235" s="24">
        <f t="shared" si="8"/>
        <v>548.7051639</v>
      </c>
      <c r="M235" s="14">
        <f t="shared" si="9"/>
        <v>428.631673</v>
      </c>
      <c r="N235" s="27">
        <f t="shared" si="10"/>
        <v>120.0734909</v>
      </c>
      <c r="O235" s="24"/>
      <c r="P235" s="24"/>
      <c r="Q235" s="24"/>
      <c r="R235" s="26"/>
      <c r="S235" s="14">
        <f t="shared" si="13"/>
        <v>110.2630221</v>
      </c>
      <c r="U235" s="21"/>
      <c r="V235" s="21"/>
    </row>
    <row r="236">
      <c r="A236" s="11">
        <v>224.0</v>
      </c>
      <c r="B236" s="11">
        <v>1.42036956521739E9</v>
      </c>
      <c r="C236" s="2">
        <v>-101.3715591</v>
      </c>
      <c r="D236" s="24">
        <f t="shared" si="1"/>
        <v>-30434.78261</v>
      </c>
      <c r="E236" s="25">
        <f t="shared" si="2"/>
        <v>5.509776795</v>
      </c>
      <c r="F236" s="24">
        <f t="shared" si="3"/>
        <v>0.0001810355232</v>
      </c>
      <c r="G236" s="24">
        <f t="shared" si="4"/>
        <v>0</v>
      </c>
      <c r="H236" s="26">
        <f t="shared" si="5"/>
        <v>0</v>
      </c>
      <c r="I236" s="24">
        <f t="shared" si="6"/>
        <v>0</v>
      </c>
      <c r="J236" s="24">
        <f t="shared" si="7"/>
        <v>0</v>
      </c>
      <c r="K236" s="24"/>
      <c r="L236" s="24">
        <f t="shared" si="8"/>
        <v>554.5621916</v>
      </c>
      <c r="M236" s="14">
        <f t="shared" si="9"/>
        <v>428.5671617</v>
      </c>
      <c r="N236" s="27">
        <f t="shared" si="10"/>
        <v>125.9950299</v>
      </c>
      <c r="O236" s="24"/>
      <c r="P236" s="24"/>
      <c r="Q236" s="24"/>
      <c r="R236" s="26"/>
      <c r="S236" s="14">
        <f t="shared" si="13"/>
        <v>115.7007487</v>
      </c>
      <c r="U236" s="21"/>
      <c r="V236" s="21"/>
    </row>
    <row r="237">
      <c r="A237" s="11">
        <v>225.0</v>
      </c>
      <c r="B237" s="11">
        <v>1.42037391304347E9</v>
      </c>
      <c r="C237" s="2">
        <v>-101.4016495</v>
      </c>
      <c r="D237" s="24">
        <f t="shared" si="1"/>
        <v>-26086.95653</v>
      </c>
      <c r="E237" s="25">
        <f t="shared" si="2"/>
        <v>4.591480662</v>
      </c>
      <c r="F237" s="24">
        <f t="shared" si="3"/>
        <v>0.0001760067586</v>
      </c>
      <c r="G237" s="24">
        <f t="shared" si="4"/>
        <v>0</v>
      </c>
      <c r="H237" s="26">
        <f t="shared" si="5"/>
        <v>0</v>
      </c>
      <c r="I237" s="24">
        <f t="shared" si="6"/>
        <v>0</v>
      </c>
      <c r="J237" s="24">
        <f t="shared" si="7"/>
        <v>0</v>
      </c>
      <c r="K237" s="24"/>
      <c r="L237" s="24">
        <f t="shared" si="8"/>
        <v>550.7331485</v>
      </c>
      <c r="M237" s="14">
        <f t="shared" si="9"/>
        <v>428.5025322</v>
      </c>
      <c r="N237" s="27">
        <f t="shared" si="10"/>
        <v>122.2306164</v>
      </c>
      <c r="O237" s="24"/>
      <c r="P237" s="24"/>
      <c r="Q237" s="24"/>
      <c r="R237" s="26"/>
      <c r="S237" s="14">
        <f t="shared" si="13"/>
        <v>112.2439023</v>
      </c>
      <c r="U237" s="21"/>
      <c r="V237" s="21"/>
    </row>
    <row r="238">
      <c r="A238" s="11">
        <v>226.0</v>
      </c>
      <c r="B238" s="11">
        <v>1.42037826086956E9</v>
      </c>
      <c r="C238" s="2">
        <v>-101.3350601</v>
      </c>
      <c r="D238" s="24">
        <f t="shared" si="1"/>
        <v>-21739.13044</v>
      </c>
      <c r="E238" s="25">
        <f t="shared" si="2"/>
        <v>3.673184529</v>
      </c>
      <c r="F238" s="24">
        <f t="shared" si="3"/>
        <v>0.0001689664883</v>
      </c>
      <c r="G238" s="24">
        <f t="shared" si="4"/>
        <v>0</v>
      </c>
      <c r="H238" s="26">
        <f t="shared" si="5"/>
        <v>0</v>
      </c>
      <c r="I238" s="24">
        <f t="shared" si="6"/>
        <v>0</v>
      </c>
      <c r="J238" s="24">
        <f t="shared" si="7"/>
        <v>0</v>
      </c>
      <c r="K238" s="24"/>
      <c r="L238" s="24">
        <f t="shared" si="8"/>
        <v>559.2424857</v>
      </c>
      <c r="M238" s="14">
        <f t="shared" si="9"/>
        <v>428.4377819</v>
      </c>
      <c r="N238" s="27">
        <f t="shared" si="10"/>
        <v>130.8047038</v>
      </c>
      <c r="O238" s="24"/>
      <c r="P238" s="24"/>
      <c r="Q238" s="24"/>
      <c r="R238" s="26"/>
      <c r="S238" s="14">
        <f t="shared" si="13"/>
        <v>120.1174533</v>
      </c>
      <c r="U238" s="21"/>
      <c r="V238" s="21"/>
    </row>
    <row r="239">
      <c r="A239" s="11">
        <v>227.0</v>
      </c>
      <c r="B239" s="11">
        <v>1.42038260869565E9</v>
      </c>
      <c r="C239" s="2">
        <v>-101.300705</v>
      </c>
      <c r="D239" s="24">
        <f t="shared" si="1"/>
        <v>-17391.30435</v>
      </c>
      <c r="E239" s="25">
        <f t="shared" si="2"/>
        <v>2.754888398</v>
      </c>
      <c r="F239" s="24">
        <f t="shared" si="3"/>
        <v>0.0001584060829</v>
      </c>
      <c r="G239" s="24">
        <f t="shared" si="4"/>
        <v>0</v>
      </c>
      <c r="H239" s="26">
        <f t="shared" si="5"/>
        <v>0</v>
      </c>
      <c r="I239" s="24">
        <f t="shared" si="6"/>
        <v>0</v>
      </c>
      <c r="J239" s="24">
        <f t="shared" si="7"/>
        <v>0</v>
      </c>
      <c r="K239" s="24"/>
      <c r="L239" s="24">
        <f t="shared" si="8"/>
        <v>563.6839477</v>
      </c>
      <c r="M239" s="14">
        <f t="shared" si="9"/>
        <v>428.3729087</v>
      </c>
      <c r="N239" s="27">
        <f t="shared" si="10"/>
        <v>135.311039</v>
      </c>
      <c r="O239" s="24"/>
      <c r="P239" s="24"/>
      <c r="Q239" s="24"/>
      <c r="R239" s="26"/>
      <c r="S239" s="14">
        <f t="shared" si="13"/>
        <v>124.2556039</v>
      </c>
      <c r="U239" s="21"/>
      <c r="V239" s="21"/>
    </row>
    <row r="240">
      <c r="A240" s="11">
        <v>228.0</v>
      </c>
      <c r="B240" s="11">
        <v>1.42038695652173E9</v>
      </c>
      <c r="C240" s="2">
        <v>-101.2714081</v>
      </c>
      <c r="D240" s="24">
        <f t="shared" si="1"/>
        <v>-13043.47827</v>
      </c>
      <c r="E240" s="25">
        <f t="shared" si="2"/>
        <v>1.836592266</v>
      </c>
      <c r="F240" s="24">
        <f t="shared" si="3"/>
        <v>0.0001408054069</v>
      </c>
      <c r="G240" s="24">
        <f t="shared" si="4"/>
        <v>0</v>
      </c>
      <c r="H240" s="26">
        <f t="shared" si="5"/>
        <v>0</v>
      </c>
      <c r="I240" s="24">
        <f t="shared" si="6"/>
        <v>0</v>
      </c>
      <c r="J240" s="24">
        <f t="shared" si="7"/>
        <v>0</v>
      </c>
      <c r="K240" s="24"/>
      <c r="L240" s="24">
        <f t="shared" si="8"/>
        <v>567.4993356</v>
      </c>
      <c r="M240" s="14">
        <f t="shared" si="9"/>
        <v>428.3079099</v>
      </c>
      <c r="N240" s="27">
        <f t="shared" si="10"/>
        <v>139.1914256</v>
      </c>
      <c r="O240" s="24"/>
      <c r="P240" s="24"/>
      <c r="Q240" s="24"/>
      <c r="R240" s="26"/>
      <c r="S240" s="14">
        <f t="shared" si="13"/>
        <v>127.8189478</v>
      </c>
      <c r="U240" s="21"/>
      <c r="V240" s="21"/>
    </row>
    <row r="241">
      <c r="A241" s="11">
        <v>229.0</v>
      </c>
      <c r="B241" s="11">
        <v>1.42039130434782E9</v>
      </c>
      <c r="C241" s="2">
        <v>-101.1970367</v>
      </c>
      <c r="D241" s="24">
        <f t="shared" si="1"/>
        <v>-8695.65218</v>
      </c>
      <c r="E241" s="25">
        <f t="shared" si="2"/>
        <v>0.9182961328</v>
      </c>
      <c r="F241" s="24">
        <f t="shared" si="3"/>
        <v>0.0001056040552</v>
      </c>
      <c r="G241" s="24">
        <f t="shared" si="4"/>
        <v>0</v>
      </c>
      <c r="H241" s="26">
        <f t="shared" si="5"/>
        <v>0</v>
      </c>
      <c r="I241" s="24">
        <f t="shared" si="6"/>
        <v>0</v>
      </c>
      <c r="J241" s="24">
        <f t="shared" si="7"/>
        <v>0</v>
      </c>
      <c r="K241" s="24"/>
      <c r="L241" s="24">
        <f t="shared" si="8"/>
        <v>577.3012494</v>
      </c>
      <c r="M241" s="14">
        <f t="shared" si="9"/>
        <v>428.2427834</v>
      </c>
      <c r="N241" s="27">
        <f t="shared" si="10"/>
        <v>149.0584659</v>
      </c>
      <c r="O241" s="24"/>
      <c r="P241" s="24"/>
      <c r="Q241" s="24"/>
      <c r="R241" s="26"/>
      <c r="S241" s="14">
        <f t="shared" si="13"/>
        <v>136.8798128</v>
      </c>
      <c r="U241" s="21"/>
      <c r="V241" s="21"/>
    </row>
    <row r="242">
      <c r="A242" s="11">
        <v>230.0</v>
      </c>
      <c r="B242" s="11">
        <v>1.42039565217391E9</v>
      </c>
      <c r="C242" s="2">
        <v>-101.1477509</v>
      </c>
      <c r="D242" s="24">
        <f t="shared" si="1"/>
        <v>-4347.82609</v>
      </c>
      <c r="E242" s="25">
        <f t="shared" si="2"/>
        <v>0</v>
      </c>
      <c r="F242" s="24">
        <f t="shared" si="3"/>
        <v>0</v>
      </c>
      <c r="G242" s="24">
        <f t="shared" si="4"/>
        <v>0</v>
      </c>
      <c r="H242" s="26">
        <f t="shared" si="5"/>
        <v>0</v>
      </c>
      <c r="I242" s="24">
        <f t="shared" si="6"/>
        <v>0</v>
      </c>
      <c r="J242" s="24" t="str">
        <f t="shared" si="7"/>
        <v>#DIV/0!</v>
      </c>
      <c r="K242" s="24"/>
      <c r="L242" s="24">
        <f t="shared" si="8"/>
        <v>583.8900538</v>
      </c>
      <c r="M242" s="14">
        <f t="shared" si="9"/>
        <v>428.1775267</v>
      </c>
      <c r="N242" s="27">
        <f t="shared" si="10"/>
        <v>155.7125271</v>
      </c>
      <c r="O242" s="24"/>
      <c r="P242" s="24"/>
      <c r="Q242" s="24"/>
      <c r="R242" s="26"/>
      <c r="S242" s="14">
        <f t="shared" si="13"/>
        <v>142.9902111</v>
      </c>
      <c r="U242" s="21"/>
      <c r="V242" s="21"/>
    </row>
    <row r="243">
      <c r="A243" s="11">
        <v>231.0</v>
      </c>
      <c r="B243" s="11">
        <v>1.4204E9</v>
      </c>
      <c r="C243" s="2">
        <v>-101.1631317</v>
      </c>
      <c r="D243" s="24">
        <f t="shared" si="1"/>
        <v>0</v>
      </c>
      <c r="E243" s="25">
        <f t="shared" si="2"/>
        <v>-0.9182961307</v>
      </c>
      <c r="F243" s="24" t="str">
        <f t="shared" si="3"/>
        <v>#DIV/0!</v>
      </c>
      <c r="G243" s="24">
        <f t="shared" si="4"/>
        <v>0</v>
      </c>
      <c r="H243" s="26">
        <f t="shared" si="5"/>
        <v>0</v>
      </c>
      <c r="I243" s="24">
        <f t="shared" si="6"/>
        <v>0</v>
      </c>
      <c r="J243" s="24" t="str">
        <f t="shared" si="7"/>
        <v>#DIV/0!</v>
      </c>
      <c r="K243" s="24"/>
      <c r="L243" s="24">
        <f t="shared" si="8"/>
        <v>581.8258295</v>
      </c>
      <c r="M243" s="14">
        <f t="shared" si="9"/>
        <v>428.1121374</v>
      </c>
      <c r="N243" s="27">
        <f t="shared" si="10"/>
        <v>153.7136921</v>
      </c>
      <c r="O243" s="24"/>
      <c r="P243" s="24"/>
      <c r="Q243" s="24"/>
      <c r="R243" s="26"/>
      <c r="S243" s="14">
        <f t="shared" si="13"/>
        <v>141.154689</v>
      </c>
      <c r="U243" s="21"/>
      <c r="V243" s="21"/>
    </row>
    <row r="244">
      <c r="A244" s="11">
        <v>232.0</v>
      </c>
      <c r="B244" s="11">
        <v>1.42040434782608E9</v>
      </c>
      <c r="C244" s="2">
        <v>-101.083847</v>
      </c>
      <c r="D244" s="24">
        <f t="shared" si="1"/>
        <v>4347.82608</v>
      </c>
      <c r="E244" s="25">
        <f t="shared" si="2"/>
        <v>-1.836592263</v>
      </c>
      <c r="F244" s="24">
        <f t="shared" si="3"/>
        <v>0.0004224162213</v>
      </c>
      <c r="G244" s="24">
        <f t="shared" si="4"/>
        <v>0</v>
      </c>
      <c r="H244" s="26">
        <f t="shared" si="5"/>
        <v>0</v>
      </c>
      <c r="I244" s="24">
        <f t="shared" si="6"/>
        <v>0</v>
      </c>
      <c r="J244" s="24">
        <f t="shared" si="7"/>
        <v>0</v>
      </c>
      <c r="K244" s="24"/>
      <c r="L244" s="24">
        <f t="shared" si="8"/>
        <v>592.5451768</v>
      </c>
      <c r="M244" s="14">
        <f t="shared" si="9"/>
        <v>428.0466132</v>
      </c>
      <c r="N244" s="27">
        <f t="shared" si="10"/>
        <v>164.4985636</v>
      </c>
      <c r="O244" s="24"/>
      <c r="P244" s="24"/>
      <c r="Q244" s="24"/>
      <c r="R244" s="26"/>
      <c r="S244" s="14">
        <f t="shared" si="13"/>
        <v>151.0583948</v>
      </c>
      <c r="U244" s="21"/>
      <c r="V244" s="21"/>
    </row>
    <row r="245">
      <c r="A245" s="11">
        <v>233.0</v>
      </c>
      <c r="B245" s="11">
        <v>1.42040869565217E9</v>
      </c>
      <c r="C245" s="2">
        <v>-101.0772095</v>
      </c>
      <c r="D245" s="24">
        <f t="shared" si="1"/>
        <v>8695.65217</v>
      </c>
      <c r="E245" s="25">
        <f t="shared" si="2"/>
        <v>-2.754888396</v>
      </c>
      <c r="F245" s="24">
        <f t="shared" si="3"/>
        <v>0.0003168121657</v>
      </c>
      <c r="G245" s="24">
        <f t="shared" si="4"/>
        <v>0</v>
      </c>
      <c r="H245" s="26">
        <f t="shared" si="5"/>
        <v>0</v>
      </c>
      <c r="I245" s="24">
        <f t="shared" si="6"/>
        <v>0</v>
      </c>
      <c r="J245" s="24">
        <f t="shared" si="7"/>
        <v>0</v>
      </c>
      <c r="K245" s="24"/>
      <c r="L245" s="24">
        <f t="shared" si="8"/>
        <v>593.4514802</v>
      </c>
      <c r="M245" s="14">
        <f t="shared" si="9"/>
        <v>427.9809517</v>
      </c>
      <c r="N245" s="27">
        <f t="shared" si="10"/>
        <v>165.4705285</v>
      </c>
      <c r="O245" s="24"/>
      <c r="P245" s="24"/>
      <c r="Q245" s="24"/>
      <c r="R245" s="26"/>
      <c r="S245" s="14">
        <f t="shared" si="13"/>
        <v>151.9509461</v>
      </c>
      <c r="U245" s="21"/>
      <c r="V245" s="21"/>
    </row>
    <row r="246">
      <c r="A246" s="11">
        <v>234.0</v>
      </c>
      <c r="B246" s="11">
        <v>1.42041304347826E9</v>
      </c>
      <c r="C246" s="2">
        <v>-101.0759811</v>
      </c>
      <c r="D246" s="24">
        <f t="shared" si="1"/>
        <v>13043.47826</v>
      </c>
      <c r="E246" s="25">
        <f t="shared" si="2"/>
        <v>-3.673184527</v>
      </c>
      <c r="F246" s="24">
        <f t="shared" si="3"/>
        <v>0.0002816108137</v>
      </c>
      <c r="G246" s="24">
        <f t="shared" si="4"/>
        <v>0</v>
      </c>
      <c r="H246" s="26">
        <f t="shared" si="5"/>
        <v>0</v>
      </c>
      <c r="I246" s="24">
        <f t="shared" si="6"/>
        <v>0</v>
      </c>
      <c r="J246" s="24">
        <f t="shared" si="7"/>
        <v>0</v>
      </c>
      <c r="K246" s="24"/>
      <c r="L246" s="24">
        <f t="shared" si="8"/>
        <v>593.6193614</v>
      </c>
      <c r="M246" s="14">
        <f t="shared" si="9"/>
        <v>427.9151504</v>
      </c>
      <c r="N246" s="27">
        <f t="shared" si="10"/>
        <v>165.704211</v>
      </c>
      <c r="O246" s="24"/>
      <c r="P246" s="24"/>
      <c r="Q246" s="24"/>
      <c r="R246" s="26"/>
      <c r="S246" s="14">
        <f t="shared" si="13"/>
        <v>152.1655361</v>
      </c>
      <c r="U246" s="21"/>
      <c r="V246" s="21"/>
    </row>
    <row r="247">
      <c r="A247" s="11">
        <v>235.0</v>
      </c>
      <c r="B247" s="11">
        <v>1.42041739130434E9</v>
      </c>
      <c r="C247" s="2">
        <v>-101.0095749</v>
      </c>
      <c r="D247" s="24">
        <f t="shared" si="1"/>
        <v>17391.30434</v>
      </c>
      <c r="E247" s="25">
        <f t="shared" si="2"/>
        <v>-4.59148066</v>
      </c>
      <c r="F247" s="24">
        <f t="shared" si="3"/>
        <v>0.0002640101381</v>
      </c>
      <c r="G247" s="24">
        <f t="shared" si="4"/>
        <v>0</v>
      </c>
      <c r="H247" s="26">
        <f t="shared" si="5"/>
        <v>0</v>
      </c>
      <c r="I247" s="24">
        <f t="shared" si="6"/>
        <v>0</v>
      </c>
      <c r="J247" s="24">
        <f t="shared" si="7"/>
        <v>0</v>
      </c>
      <c r="K247" s="24"/>
      <c r="L247" s="24">
        <f t="shared" si="8"/>
        <v>602.765903</v>
      </c>
      <c r="M247" s="14">
        <f t="shared" si="9"/>
        <v>427.849207</v>
      </c>
      <c r="N247" s="27">
        <f t="shared" si="10"/>
        <v>174.916696</v>
      </c>
      <c r="O247" s="24"/>
      <c r="P247" s="24"/>
      <c r="Q247" s="24"/>
      <c r="R247" s="26"/>
      <c r="S247" s="14">
        <f t="shared" si="13"/>
        <v>160.6253255</v>
      </c>
      <c r="U247" s="21"/>
      <c r="V247" s="21"/>
    </row>
    <row r="248">
      <c r="A248" s="11">
        <v>236.0</v>
      </c>
      <c r="B248" s="11">
        <v>1.42042173913043E9</v>
      </c>
      <c r="C248" s="2">
        <v>-101.0200119</v>
      </c>
      <c r="D248" s="24">
        <f t="shared" si="1"/>
        <v>21739.13043</v>
      </c>
      <c r="E248" s="25">
        <f t="shared" si="2"/>
        <v>-5.509776792</v>
      </c>
      <c r="F248" s="24">
        <f t="shared" si="3"/>
        <v>0.0002534497325</v>
      </c>
      <c r="G248" s="24">
        <f t="shared" si="4"/>
        <v>0</v>
      </c>
      <c r="H248" s="26">
        <f t="shared" si="5"/>
        <v>0</v>
      </c>
      <c r="I248" s="24">
        <f t="shared" si="6"/>
        <v>0</v>
      </c>
      <c r="J248" s="24">
        <f t="shared" si="7"/>
        <v>0</v>
      </c>
      <c r="K248" s="24"/>
      <c r="L248" s="24">
        <f t="shared" si="8"/>
        <v>601.3190704</v>
      </c>
      <c r="M248" s="14">
        <f t="shared" si="9"/>
        <v>427.7831192</v>
      </c>
      <c r="N248" s="27">
        <f t="shared" si="10"/>
        <v>173.5359511</v>
      </c>
      <c r="O248" s="24"/>
      <c r="P248" s="24"/>
      <c r="Q248" s="24"/>
      <c r="R248" s="26"/>
      <c r="S248" s="14">
        <f t="shared" si="13"/>
        <v>159.3573925</v>
      </c>
      <c r="U248" s="21"/>
      <c r="V248" s="21"/>
    </row>
    <row r="249">
      <c r="A249" s="11">
        <v>237.0</v>
      </c>
      <c r="B249" s="11">
        <v>1.42042608695652E9</v>
      </c>
      <c r="C249" s="2">
        <v>-101.0210571</v>
      </c>
      <c r="D249" s="24">
        <f t="shared" si="1"/>
        <v>26086.95652</v>
      </c>
      <c r="E249" s="25">
        <f t="shared" si="2"/>
        <v>-6.428072923</v>
      </c>
      <c r="F249" s="24">
        <f t="shared" si="3"/>
        <v>0.0002464094621</v>
      </c>
      <c r="G249" s="24">
        <f t="shared" si="4"/>
        <v>0</v>
      </c>
      <c r="H249" s="26">
        <f t="shared" si="5"/>
        <v>0</v>
      </c>
      <c r="I249" s="24">
        <f t="shared" si="6"/>
        <v>0</v>
      </c>
      <c r="J249" s="24">
        <f t="shared" si="7"/>
        <v>0</v>
      </c>
      <c r="K249" s="24"/>
      <c r="L249" s="24">
        <f t="shared" si="8"/>
        <v>601.1743706</v>
      </c>
      <c r="M249" s="14">
        <f t="shared" si="9"/>
        <v>427.7168846</v>
      </c>
      <c r="N249" s="27">
        <f t="shared" si="10"/>
        <v>173.457486</v>
      </c>
      <c r="O249" s="24"/>
      <c r="P249" s="24"/>
      <c r="Q249" s="24"/>
      <c r="R249" s="26"/>
      <c r="S249" s="14">
        <f t="shared" si="13"/>
        <v>159.2853386</v>
      </c>
      <c r="U249" s="21"/>
      <c r="V249" s="21"/>
    </row>
    <row r="250">
      <c r="A250" s="11">
        <v>238.0</v>
      </c>
      <c r="B250" s="11">
        <v>1.4204304347826E9</v>
      </c>
      <c r="C250" s="2">
        <v>-100.9826279</v>
      </c>
      <c r="D250" s="24">
        <f t="shared" si="1"/>
        <v>30434.7826</v>
      </c>
      <c r="E250" s="25">
        <f t="shared" si="2"/>
        <v>-7.346369056</v>
      </c>
      <c r="F250" s="24">
        <f t="shared" si="3"/>
        <v>0.0002413806976</v>
      </c>
      <c r="G250" s="24">
        <f t="shared" si="4"/>
        <v>0</v>
      </c>
      <c r="H250" s="26">
        <f t="shared" si="5"/>
        <v>0</v>
      </c>
      <c r="I250" s="24">
        <f t="shared" si="6"/>
        <v>0</v>
      </c>
      <c r="J250" s="24">
        <f t="shared" si="7"/>
        <v>0</v>
      </c>
      <c r="K250" s="24"/>
      <c r="L250" s="24">
        <f t="shared" si="8"/>
        <v>606.5175575</v>
      </c>
      <c r="M250" s="14">
        <f t="shared" si="9"/>
        <v>427.6505007</v>
      </c>
      <c r="N250" s="27">
        <f t="shared" si="10"/>
        <v>178.8670568</v>
      </c>
      <c r="O250" s="24"/>
      <c r="P250" s="24"/>
      <c r="Q250" s="24"/>
      <c r="R250" s="26"/>
      <c r="S250" s="14">
        <f t="shared" si="13"/>
        <v>164.2529266</v>
      </c>
      <c r="U250" s="21"/>
      <c r="V250" s="21"/>
    </row>
    <row r="251">
      <c r="A251" s="11">
        <v>239.0</v>
      </c>
      <c r="B251" s="11">
        <v>1.42043478260869E9</v>
      </c>
      <c r="C251" s="2">
        <v>-100.9235535</v>
      </c>
      <c r="D251" s="24">
        <f t="shared" si="1"/>
        <v>34782.60869</v>
      </c>
      <c r="E251" s="25">
        <f t="shared" si="2"/>
        <v>-8.264665189</v>
      </c>
      <c r="F251" s="24">
        <f t="shared" si="3"/>
        <v>0.0002376091242</v>
      </c>
      <c r="G251" s="24">
        <f t="shared" si="4"/>
        <v>0</v>
      </c>
      <c r="H251" s="26">
        <f t="shared" si="5"/>
        <v>0</v>
      </c>
      <c r="I251" s="24">
        <f t="shared" si="6"/>
        <v>0</v>
      </c>
      <c r="J251" s="24">
        <f t="shared" si="7"/>
        <v>0</v>
      </c>
      <c r="K251" s="24"/>
      <c r="L251" s="24">
        <f t="shared" si="8"/>
        <v>614.8240075</v>
      </c>
      <c r="M251" s="14">
        <f t="shared" si="9"/>
        <v>427.5839652</v>
      </c>
      <c r="N251" s="27">
        <f t="shared" si="10"/>
        <v>187.2400423</v>
      </c>
      <c r="O251" s="24"/>
      <c r="P251" s="24"/>
      <c r="Q251" s="24"/>
      <c r="R251" s="26"/>
      <c r="S251" s="14">
        <f t="shared" si="13"/>
        <v>171.9418067</v>
      </c>
      <c r="U251" s="21"/>
      <c r="V251" s="21"/>
    </row>
    <row r="252">
      <c r="A252" s="11">
        <v>240.0</v>
      </c>
      <c r="B252" s="11">
        <v>1.42043913043478E9</v>
      </c>
      <c r="C252" s="2">
        <v>-100.8842087</v>
      </c>
      <c r="D252" s="24">
        <f t="shared" si="1"/>
        <v>39130.43478</v>
      </c>
      <c r="E252" s="25">
        <f t="shared" si="2"/>
        <v>-9.182961321</v>
      </c>
      <c r="F252" s="24">
        <f t="shared" si="3"/>
        <v>0.0002346756782</v>
      </c>
      <c r="G252" s="24">
        <f t="shared" si="4"/>
        <v>0</v>
      </c>
      <c r="H252" s="26">
        <f t="shared" si="5"/>
        <v>0</v>
      </c>
      <c r="I252" s="24">
        <f t="shared" si="6"/>
        <v>0</v>
      </c>
      <c r="J252" s="24">
        <f t="shared" si="7"/>
        <v>0</v>
      </c>
      <c r="K252" s="24"/>
      <c r="L252" s="24">
        <f t="shared" si="8"/>
        <v>620.4192971</v>
      </c>
      <c r="M252" s="14">
        <f t="shared" si="9"/>
        <v>427.5172758</v>
      </c>
      <c r="N252" s="27">
        <f t="shared" si="10"/>
        <v>192.9020214</v>
      </c>
      <c r="O252" s="24"/>
      <c r="P252" s="24"/>
      <c r="Q252" s="24"/>
      <c r="R252" s="26"/>
      <c r="S252" s="14">
        <f t="shared" si="13"/>
        <v>177.1411798</v>
      </c>
      <c r="U252" s="21"/>
      <c r="V252" s="21"/>
    </row>
    <row r="253">
      <c r="A253" s="11">
        <v>241.0</v>
      </c>
      <c r="B253" s="11">
        <v>1.42044347826087E9</v>
      </c>
      <c r="C253" s="2">
        <v>-100.9380798</v>
      </c>
      <c r="D253" s="24">
        <f t="shared" si="1"/>
        <v>43478.26087</v>
      </c>
      <c r="E253" s="25">
        <f t="shared" si="2"/>
        <v>-10.10125745</v>
      </c>
      <c r="F253" s="24">
        <f t="shared" si="3"/>
        <v>0.0002323289214</v>
      </c>
      <c r="G253" s="24">
        <f t="shared" si="4"/>
        <v>0</v>
      </c>
      <c r="H253" s="26">
        <f t="shared" si="5"/>
        <v>0</v>
      </c>
      <c r="I253" s="24">
        <f t="shared" si="6"/>
        <v>0</v>
      </c>
      <c r="J253" s="24">
        <f t="shared" si="7"/>
        <v>0</v>
      </c>
      <c r="K253" s="24"/>
      <c r="L253" s="24">
        <f t="shared" si="8"/>
        <v>612.770977</v>
      </c>
      <c r="M253" s="14">
        <f t="shared" si="9"/>
        <v>427.4504299</v>
      </c>
      <c r="N253" s="27">
        <f t="shared" si="10"/>
        <v>185.320547</v>
      </c>
      <c r="O253" s="24"/>
      <c r="P253" s="24"/>
      <c r="Q253" s="24"/>
      <c r="R253" s="26"/>
      <c r="S253" s="14">
        <f t="shared" si="13"/>
        <v>170.1791417</v>
      </c>
      <c r="U253" s="21"/>
      <c r="V253" s="21"/>
    </row>
    <row r="254">
      <c r="A254" s="11">
        <v>242.0</v>
      </c>
      <c r="B254" s="11">
        <v>1.42044782608695E9</v>
      </c>
      <c r="C254" s="2">
        <v>-100.9113617</v>
      </c>
      <c r="D254" s="24">
        <f t="shared" si="1"/>
        <v>47826.08695</v>
      </c>
      <c r="E254" s="25">
        <f t="shared" si="2"/>
        <v>-11.01955358</v>
      </c>
      <c r="F254" s="24">
        <f t="shared" si="3"/>
        <v>0.0002304088477</v>
      </c>
      <c r="G254" s="24">
        <f t="shared" si="4"/>
        <v>0</v>
      </c>
      <c r="H254" s="26">
        <f t="shared" si="5"/>
        <v>0</v>
      </c>
      <c r="I254" s="24">
        <f t="shared" si="6"/>
        <v>0</v>
      </c>
      <c r="J254" s="24">
        <f t="shared" si="7"/>
        <v>0</v>
      </c>
      <c r="K254" s="24"/>
      <c r="L254" s="24">
        <f t="shared" si="8"/>
        <v>616.5524067</v>
      </c>
      <c r="M254" s="14">
        <f t="shared" si="9"/>
        <v>427.3834254</v>
      </c>
      <c r="N254" s="27">
        <f t="shared" si="10"/>
        <v>189.1689814</v>
      </c>
      <c r="O254" s="24"/>
      <c r="P254" s="24"/>
      <c r="Q254" s="24"/>
      <c r="R254" s="26"/>
      <c r="S254" s="14">
        <f t="shared" si="13"/>
        <v>173.713144</v>
      </c>
      <c r="U254" s="21"/>
      <c r="V254" s="21"/>
    </row>
    <row r="255">
      <c r="A255" s="11">
        <v>243.0</v>
      </c>
      <c r="B255" s="11">
        <v>1.42045217391304E9</v>
      </c>
      <c r="C255" s="2">
        <v>-100.9178314</v>
      </c>
      <c r="D255" s="24">
        <f t="shared" si="1"/>
        <v>52173.91304</v>
      </c>
      <c r="E255" s="25">
        <f t="shared" si="2"/>
        <v>-11.93784972</v>
      </c>
      <c r="F255" s="24">
        <f t="shared" si="3"/>
        <v>0.0002288087863</v>
      </c>
      <c r="G255" s="24">
        <f t="shared" si="4"/>
        <v>0</v>
      </c>
      <c r="H255" s="26">
        <f t="shared" si="5"/>
        <v>0</v>
      </c>
      <c r="I255" s="24">
        <f t="shared" si="6"/>
        <v>0</v>
      </c>
      <c r="J255" s="24">
        <f t="shared" si="7"/>
        <v>0</v>
      </c>
      <c r="K255" s="24"/>
      <c r="L255" s="24">
        <f t="shared" si="8"/>
        <v>615.6346103</v>
      </c>
      <c r="M255" s="14">
        <f t="shared" si="9"/>
        <v>427.3162597</v>
      </c>
      <c r="N255" s="27">
        <f t="shared" si="10"/>
        <v>188.3183506</v>
      </c>
      <c r="O255" s="24"/>
      <c r="P255" s="24"/>
      <c r="Q255" s="24"/>
      <c r="R255" s="26"/>
      <c r="S255" s="14">
        <f t="shared" si="13"/>
        <v>172.9320127</v>
      </c>
      <c r="U255" s="21"/>
      <c r="V255" s="21"/>
    </row>
    <row r="256">
      <c r="A256" s="11">
        <v>244.0</v>
      </c>
      <c r="B256" s="11">
        <v>1.42045652173913E9</v>
      </c>
      <c r="C256" s="2">
        <v>-100.8607178</v>
      </c>
      <c r="D256" s="24">
        <f t="shared" si="1"/>
        <v>56521.73913</v>
      </c>
      <c r="E256" s="25">
        <f t="shared" si="2"/>
        <v>-12.85614585</v>
      </c>
      <c r="F256" s="24">
        <f t="shared" si="3"/>
        <v>0.0002274548881</v>
      </c>
      <c r="G256" s="24">
        <f t="shared" si="4"/>
        <v>0</v>
      </c>
      <c r="H256" s="26">
        <f t="shared" si="5"/>
        <v>0</v>
      </c>
      <c r="I256" s="24">
        <f t="shared" si="6"/>
        <v>0</v>
      </c>
      <c r="J256" s="24">
        <f t="shared" si="7"/>
        <v>0</v>
      </c>
      <c r="K256" s="24"/>
      <c r="L256" s="24">
        <f t="shared" si="8"/>
        <v>623.7842247</v>
      </c>
      <c r="M256" s="14">
        <f t="shared" si="9"/>
        <v>427.2489305</v>
      </c>
      <c r="N256" s="27">
        <f t="shared" si="10"/>
        <v>196.5352942</v>
      </c>
      <c r="O256" s="24"/>
      <c r="P256" s="24"/>
      <c r="Q256" s="24"/>
      <c r="R256" s="26"/>
      <c r="S256" s="14">
        <f t="shared" si="13"/>
        <v>180.4776006</v>
      </c>
      <c r="U256" s="21"/>
      <c r="V256" s="21"/>
    </row>
    <row r="257">
      <c r="A257" s="11">
        <v>245.0</v>
      </c>
      <c r="B257" s="11">
        <v>1.42046086956521E9</v>
      </c>
      <c r="C257" s="2">
        <v>-100.9240723</v>
      </c>
      <c r="D257" s="24">
        <f t="shared" si="1"/>
        <v>60869.56521</v>
      </c>
      <c r="E257" s="25">
        <f t="shared" si="2"/>
        <v>-13.77444198</v>
      </c>
      <c r="F257" s="24">
        <f t="shared" si="3"/>
        <v>0.000226294404</v>
      </c>
      <c r="G257" s="24">
        <f t="shared" si="4"/>
        <v>0</v>
      </c>
      <c r="H257" s="26">
        <f t="shared" si="5"/>
        <v>0</v>
      </c>
      <c r="I257" s="24">
        <f t="shared" si="6"/>
        <v>0</v>
      </c>
      <c r="J257" s="24">
        <f t="shared" si="7"/>
        <v>0</v>
      </c>
      <c r="K257" s="24"/>
      <c r="L257" s="24">
        <f t="shared" si="8"/>
        <v>614.7505662</v>
      </c>
      <c r="M257" s="14">
        <f t="shared" si="9"/>
        <v>427.1814354</v>
      </c>
      <c r="N257" s="27">
        <f t="shared" si="10"/>
        <v>187.5691307</v>
      </c>
      <c r="O257" s="24"/>
      <c r="P257" s="24"/>
      <c r="Q257" s="24"/>
      <c r="R257" s="26"/>
      <c r="S257" s="14">
        <f t="shared" si="13"/>
        <v>172.2440074</v>
      </c>
      <c r="U257" s="21"/>
      <c r="V257" s="21"/>
    </row>
    <row r="258">
      <c r="A258" s="11">
        <v>246.0</v>
      </c>
      <c r="B258" s="11">
        <v>1.4204652173913E9</v>
      </c>
      <c r="C258" s="2">
        <v>-100.934433</v>
      </c>
      <c r="D258" s="24">
        <f t="shared" si="1"/>
        <v>65217.3913</v>
      </c>
      <c r="E258" s="25">
        <f t="shared" si="2"/>
        <v>-14.69273811</v>
      </c>
      <c r="F258" s="24">
        <f t="shared" si="3"/>
        <v>0.0002252886511</v>
      </c>
      <c r="G258" s="24">
        <f t="shared" si="4"/>
        <v>0</v>
      </c>
      <c r="H258" s="26">
        <f t="shared" si="5"/>
        <v>0</v>
      </c>
      <c r="I258" s="24">
        <f t="shared" si="6"/>
        <v>0</v>
      </c>
      <c r="J258" s="24">
        <f t="shared" si="7"/>
        <v>0</v>
      </c>
      <c r="K258" s="24"/>
      <c r="L258" s="24">
        <f t="shared" si="8"/>
        <v>613.285741</v>
      </c>
      <c r="M258" s="14">
        <f t="shared" si="9"/>
        <v>427.1137721</v>
      </c>
      <c r="N258" s="27">
        <f t="shared" si="10"/>
        <v>186.1719689</v>
      </c>
      <c r="O258" s="24"/>
      <c r="P258" s="24"/>
      <c r="Q258" s="24"/>
      <c r="R258" s="26"/>
      <c r="S258" s="14">
        <f t="shared" si="13"/>
        <v>170.9609986</v>
      </c>
      <c r="U258" s="21"/>
      <c r="V258" s="21"/>
    </row>
    <row r="259">
      <c r="A259" s="11">
        <v>247.0</v>
      </c>
      <c r="B259" s="11">
        <v>1.42046956521739E9</v>
      </c>
      <c r="C259" s="2">
        <v>-100.8856354</v>
      </c>
      <c r="D259" s="24">
        <f t="shared" si="1"/>
        <v>69565.21739</v>
      </c>
      <c r="E259" s="25">
        <f t="shared" si="2"/>
        <v>-15.61103424</v>
      </c>
      <c r="F259" s="24">
        <f t="shared" si="3"/>
        <v>0.0002244086173</v>
      </c>
      <c r="G259" s="24">
        <f t="shared" si="4"/>
        <v>0</v>
      </c>
      <c r="H259" s="26">
        <f t="shared" si="5"/>
        <v>0</v>
      </c>
      <c r="I259" s="24">
        <f t="shared" si="6"/>
        <v>0</v>
      </c>
      <c r="J259" s="24">
        <f t="shared" si="7"/>
        <v>0</v>
      </c>
      <c r="K259" s="24"/>
      <c r="L259" s="24">
        <f t="shared" si="8"/>
        <v>620.2155168</v>
      </c>
      <c r="M259" s="14">
        <f t="shared" si="9"/>
        <v>427.0459382</v>
      </c>
      <c r="N259" s="27">
        <f t="shared" si="10"/>
        <v>193.1695786</v>
      </c>
      <c r="O259" s="24"/>
      <c r="P259" s="24"/>
      <c r="Q259" s="24"/>
      <c r="R259" s="26"/>
      <c r="S259" s="14">
        <f t="shared" si="13"/>
        <v>177.386877</v>
      </c>
      <c r="U259" s="21"/>
      <c r="V259" s="21"/>
    </row>
    <row r="260">
      <c r="A260" s="11">
        <v>248.0</v>
      </c>
      <c r="B260" s="11">
        <v>1.42047391304347E9</v>
      </c>
      <c r="C260" s="2">
        <v>-100.8956757</v>
      </c>
      <c r="D260" s="24">
        <f t="shared" si="1"/>
        <v>73913.04347</v>
      </c>
      <c r="E260" s="25">
        <f t="shared" si="2"/>
        <v>-16.52933038</v>
      </c>
      <c r="F260" s="24">
        <f t="shared" si="3"/>
        <v>0.0002236321169</v>
      </c>
      <c r="G260" s="24">
        <f t="shared" si="4"/>
        <v>0</v>
      </c>
      <c r="H260" s="26">
        <f t="shared" si="5"/>
        <v>0</v>
      </c>
      <c r="I260" s="24">
        <f t="shared" si="6"/>
        <v>0</v>
      </c>
      <c r="J260" s="24">
        <f t="shared" si="7"/>
        <v>0</v>
      </c>
      <c r="K260" s="24"/>
      <c r="L260" s="24">
        <f t="shared" si="8"/>
        <v>618.7833187</v>
      </c>
      <c r="M260" s="14">
        <f t="shared" si="9"/>
        <v>426.9779312</v>
      </c>
      <c r="N260" s="27">
        <f t="shared" si="10"/>
        <v>191.8053875</v>
      </c>
      <c r="O260" s="24"/>
      <c r="P260" s="24"/>
      <c r="Q260" s="24"/>
      <c r="R260" s="26"/>
      <c r="S260" s="14">
        <f t="shared" si="13"/>
        <v>176.1341456</v>
      </c>
      <c r="U260" s="21"/>
      <c r="V260" s="21"/>
    </row>
    <row r="261">
      <c r="A261" s="11">
        <v>249.0</v>
      </c>
      <c r="B261" s="11">
        <v>1.42047826086956E9</v>
      </c>
      <c r="C261" s="2">
        <v>-100.9700394</v>
      </c>
      <c r="D261" s="24">
        <f t="shared" si="1"/>
        <v>78260.86956</v>
      </c>
      <c r="E261" s="25">
        <f t="shared" si="2"/>
        <v>-17.44762651</v>
      </c>
      <c r="F261" s="24">
        <f t="shared" si="3"/>
        <v>0.0002229418943</v>
      </c>
      <c r="G261" s="24">
        <f t="shared" si="4"/>
        <v>0</v>
      </c>
      <c r="H261" s="26">
        <f t="shared" si="5"/>
        <v>0</v>
      </c>
      <c r="I261" s="24">
        <f t="shared" si="6"/>
        <v>0</v>
      </c>
      <c r="J261" s="24">
        <f t="shared" si="7"/>
        <v>0</v>
      </c>
      <c r="K261" s="24"/>
      <c r="L261" s="24">
        <f t="shared" si="8"/>
        <v>608.2781653</v>
      </c>
      <c r="M261" s="14">
        <f t="shared" si="9"/>
        <v>426.9097488</v>
      </c>
      <c r="N261" s="27">
        <f t="shared" si="10"/>
        <v>181.3684165</v>
      </c>
      <c r="O261" s="24"/>
      <c r="P261" s="24"/>
      <c r="Q261" s="24"/>
      <c r="R261" s="26"/>
      <c r="S261" s="14">
        <f t="shared" si="13"/>
        <v>166.5499151</v>
      </c>
      <c r="U261" s="21"/>
      <c r="V261" s="21"/>
    </row>
    <row r="262">
      <c r="A262" s="11">
        <v>250.0</v>
      </c>
      <c r="B262" s="11">
        <v>1.42048260869565E9</v>
      </c>
      <c r="C262" s="2">
        <v>-100.9574738</v>
      </c>
      <c r="D262" s="24">
        <f t="shared" si="1"/>
        <v>82608.69565</v>
      </c>
      <c r="E262" s="25">
        <f t="shared" si="2"/>
        <v>-18.36592264</v>
      </c>
      <c r="F262" s="24">
        <f t="shared" si="3"/>
        <v>0.0002223243267</v>
      </c>
      <c r="G262" s="24">
        <f t="shared" si="4"/>
        <v>0</v>
      </c>
      <c r="H262" s="26">
        <f t="shared" si="5"/>
        <v>0</v>
      </c>
      <c r="I262" s="24">
        <f t="shared" si="6"/>
        <v>0</v>
      </c>
      <c r="J262" s="24">
        <f t="shared" si="7"/>
        <v>0</v>
      </c>
      <c r="K262" s="24"/>
      <c r="L262" s="24">
        <f t="shared" si="8"/>
        <v>610.0406672</v>
      </c>
      <c r="M262" s="14">
        <f t="shared" si="9"/>
        <v>426.8413887</v>
      </c>
      <c r="N262" s="27">
        <f t="shared" si="10"/>
        <v>183.1992785</v>
      </c>
      <c r="O262" s="24"/>
      <c r="P262" s="24"/>
      <c r="Q262" s="24"/>
      <c r="R262" s="26"/>
      <c r="S262" s="14">
        <f t="shared" si="13"/>
        <v>168.231189</v>
      </c>
      <c r="U262" s="21"/>
      <c r="V262" s="21"/>
    </row>
    <row r="263">
      <c r="A263" s="11">
        <v>251.0</v>
      </c>
      <c r="B263" s="11">
        <v>1.42048695652173E9</v>
      </c>
      <c r="C263" s="2">
        <v>-101.0335159</v>
      </c>
      <c r="D263" s="24">
        <f t="shared" si="1"/>
        <v>86956.52173</v>
      </c>
      <c r="E263" s="25">
        <f t="shared" si="2"/>
        <v>-19.28421877</v>
      </c>
      <c r="F263" s="24">
        <f t="shared" si="3"/>
        <v>0.0002217685159</v>
      </c>
      <c r="G263" s="24">
        <f t="shared" si="4"/>
        <v>0</v>
      </c>
      <c r="H263" s="26">
        <f t="shared" si="5"/>
        <v>0</v>
      </c>
      <c r="I263" s="24">
        <f t="shared" si="6"/>
        <v>0</v>
      </c>
      <c r="J263" s="24">
        <f t="shared" si="7"/>
        <v>0</v>
      </c>
      <c r="K263" s="24"/>
      <c r="L263" s="24">
        <f t="shared" si="8"/>
        <v>599.4522262</v>
      </c>
      <c r="M263" s="14">
        <f t="shared" si="9"/>
        <v>426.7728484</v>
      </c>
      <c r="N263" s="27">
        <f t="shared" si="10"/>
        <v>172.6793778</v>
      </c>
      <c r="O263" s="24"/>
      <c r="P263" s="24"/>
      <c r="Q263" s="24"/>
      <c r="R263" s="26"/>
      <c r="S263" s="14">
        <f t="shared" si="13"/>
        <v>158.5708049</v>
      </c>
      <c r="U263" s="21"/>
      <c r="V263" s="21"/>
    </row>
    <row r="264">
      <c r="A264" s="11">
        <v>252.0</v>
      </c>
      <c r="B264" s="11">
        <v>1.42049130434782E9</v>
      </c>
      <c r="C264" s="2">
        <v>-101.010643</v>
      </c>
      <c r="D264" s="24">
        <f t="shared" si="1"/>
        <v>91304.34782</v>
      </c>
      <c r="E264" s="25">
        <f t="shared" si="2"/>
        <v>-20.20251491</v>
      </c>
      <c r="F264" s="24">
        <f t="shared" si="3"/>
        <v>0.0002212656395</v>
      </c>
      <c r="G264" s="24">
        <f t="shared" si="4"/>
        <v>0</v>
      </c>
      <c r="H264" s="26">
        <f t="shared" si="5"/>
        <v>0</v>
      </c>
      <c r="I264" s="24">
        <f t="shared" si="6"/>
        <v>0</v>
      </c>
      <c r="J264" s="24">
        <f t="shared" si="7"/>
        <v>0</v>
      </c>
      <c r="K264" s="24"/>
      <c r="L264" s="24">
        <f t="shared" si="8"/>
        <v>602.6176775</v>
      </c>
      <c r="M264" s="14">
        <f t="shared" si="9"/>
        <v>426.7041255</v>
      </c>
      <c r="N264" s="27">
        <f t="shared" si="10"/>
        <v>175.913552</v>
      </c>
      <c r="O264" s="24"/>
      <c r="P264" s="24"/>
      <c r="Q264" s="24"/>
      <c r="R264" s="26"/>
      <c r="S264" s="14">
        <f t="shared" si="13"/>
        <v>161.5407345</v>
      </c>
      <c r="U264" s="21"/>
      <c r="V264" s="21"/>
    </row>
    <row r="265">
      <c r="A265" s="11">
        <v>253.0</v>
      </c>
      <c r="B265" s="11">
        <v>1.42049565217391E9</v>
      </c>
      <c r="C265" s="2">
        <v>-101.0480042</v>
      </c>
      <c r="D265" s="24">
        <f t="shared" si="1"/>
        <v>95652.17391</v>
      </c>
      <c r="E265" s="25">
        <f t="shared" si="2"/>
        <v>-21.12081104</v>
      </c>
      <c r="F265" s="24">
        <f t="shared" si="3"/>
        <v>0.0002208084791</v>
      </c>
      <c r="G265" s="24">
        <f t="shared" si="4"/>
        <v>0</v>
      </c>
      <c r="H265" s="26">
        <f t="shared" si="5"/>
        <v>0</v>
      </c>
      <c r="I265" s="24">
        <f t="shared" si="6"/>
        <v>0</v>
      </c>
      <c r="J265" s="24">
        <f t="shared" si="7"/>
        <v>0</v>
      </c>
      <c r="K265" s="24"/>
      <c r="L265" s="24">
        <f t="shared" si="8"/>
        <v>597.455753</v>
      </c>
      <c r="M265" s="14">
        <f t="shared" si="9"/>
        <v>426.6352178</v>
      </c>
      <c r="N265" s="27">
        <f t="shared" si="10"/>
        <v>170.8205352</v>
      </c>
      <c r="O265" s="24"/>
      <c r="P265" s="24"/>
      <c r="Q265" s="24"/>
      <c r="R265" s="26"/>
      <c r="S265" s="14">
        <f t="shared" si="13"/>
        <v>156.8638365</v>
      </c>
      <c r="U265" s="21"/>
      <c r="V265" s="21"/>
    </row>
    <row r="266">
      <c r="A266" s="11">
        <v>254.0</v>
      </c>
      <c r="B266" s="11">
        <v>1.4205E9</v>
      </c>
      <c r="C266" s="2">
        <v>-101.0193634</v>
      </c>
      <c r="D266" s="24">
        <f t="shared" si="1"/>
        <v>100000</v>
      </c>
      <c r="E266" s="25">
        <f t="shared" si="2"/>
        <v>-22.03910717</v>
      </c>
      <c r="F266" s="24">
        <f t="shared" si="3"/>
        <v>0.0002203910717</v>
      </c>
      <c r="G266" s="24">
        <f t="shared" si="4"/>
        <v>0</v>
      </c>
      <c r="H266" s="26">
        <f t="shared" si="5"/>
        <v>0</v>
      </c>
      <c r="I266" s="24">
        <f t="shared" si="6"/>
        <v>0</v>
      </c>
      <c r="J266" s="24">
        <f t="shared" si="7"/>
        <v>0</v>
      </c>
      <c r="K266" s="24"/>
      <c r="L266" s="24">
        <f t="shared" si="8"/>
        <v>601.4088676</v>
      </c>
      <c r="M266" s="14">
        <f t="shared" si="9"/>
        <v>426.5661227</v>
      </c>
      <c r="N266" s="27">
        <f t="shared" si="10"/>
        <v>174.8427449</v>
      </c>
      <c r="O266" s="24"/>
      <c r="P266" s="24"/>
      <c r="Q266" s="24"/>
      <c r="R266" s="26"/>
      <c r="S266" s="14">
        <f t="shared" si="13"/>
        <v>160.5574165</v>
      </c>
      <c r="U266" s="21"/>
      <c r="V266" s="21"/>
    </row>
    <row r="267">
      <c r="A267" s="11">
        <v>255.0</v>
      </c>
      <c r="B267" s="11">
        <v>1.42050434782608E9</v>
      </c>
      <c r="C267" s="2">
        <v>-101.048317</v>
      </c>
      <c r="D267" s="24">
        <f t="shared" si="1"/>
        <v>104347.8261</v>
      </c>
      <c r="E267" s="25">
        <f t="shared" si="2"/>
        <v>-22.9574033</v>
      </c>
      <c r="F267" s="24">
        <f t="shared" si="3"/>
        <v>0.0002200084483</v>
      </c>
      <c r="G267" s="24">
        <f t="shared" si="4"/>
        <v>0</v>
      </c>
      <c r="H267" s="26">
        <f t="shared" si="5"/>
        <v>0</v>
      </c>
      <c r="I267" s="24">
        <f t="shared" si="6"/>
        <v>0</v>
      </c>
      <c r="J267" s="24">
        <f t="shared" si="7"/>
        <v>0</v>
      </c>
      <c r="K267" s="24"/>
      <c r="L267" s="24">
        <f t="shared" si="8"/>
        <v>597.4127229</v>
      </c>
      <c r="M267" s="14">
        <f t="shared" si="9"/>
        <v>426.496838</v>
      </c>
      <c r="N267" s="27">
        <f t="shared" si="10"/>
        <v>170.9158848</v>
      </c>
      <c r="O267" s="24"/>
      <c r="P267" s="24"/>
      <c r="Q267" s="24"/>
      <c r="R267" s="26"/>
      <c r="S267" s="14">
        <f t="shared" si="13"/>
        <v>156.9513961</v>
      </c>
      <c r="U267" s="21"/>
      <c r="V267" s="21"/>
    </row>
    <row r="268">
      <c r="A268" s="11">
        <v>256.0</v>
      </c>
      <c r="B268" s="11">
        <v>1.42050869565217E9</v>
      </c>
      <c r="C268" s="2">
        <v>-101.0585175</v>
      </c>
      <c r="D268" s="24">
        <f t="shared" si="1"/>
        <v>108695.6522</v>
      </c>
      <c r="E268" s="25">
        <f t="shared" si="2"/>
        <v>-23.87569944</v>
      </c>
      <c r="F268" s="24">
        <f t="shared" si="3"/>
        <v>0.0002196564348</v>
      </c>
      <c r="G268" s="24">
        <f t="shared" si="4"/>
        <v>0</v>
      </c>
      <c r="H268" s="26">
        <f t="shared" si="5"/>
        <v>0</v>
      </c>
      <c r="I268" s="24">
        <f t="shared" si="6"/>
        <v>0</v>
      </c>
      <c r="J268" s="24">
        <f t="shared" si="7"/>
        <v>0</v>
      </c>
      <c r="K268" s="24"/>
      <c r="L268" s="24">
        <f t="shared" si="8"/>
        <v>596.0111952</v>
      </c>
      <c r="M268" s="14">
        <f t="shared" si="9"/>
        <v>426.4273613</v>
      </c>
      <c r="N268" s="27">
        <f t="shared" si="10"/>
        <v>169.5838339</v>
      </c>
      <c r="O268" s="24"/>
      <c r="P268" s="24"/>
      <c r="Q268" s="24"/>
      <c r="R268" s="26"/>
      <c r="S268" s="14">
        <f t="shared" si="13"/>
        <v>155.7281785</v>
      </c>
      <c r="U268" s="21"/>
      <c r="V268" s="21"/>
    </row>
    <row r="269">
      <c r="A269" s="11">
        <v>257.0</v>
      </c>
      <c r="B269" s="11">
        <v>1.42051304347826E9</v>
      </c>
      <c r="C269" s="2">
        <v>-101.1104126</v>
      </c>
      <c r="D269" s="24">
        <f t="shared" si="1"/>
        <v>113043.4783</v>
      </c>
      <c r="E269" s="25">
        <f t="shared" si="2"/>
        <v>-24.79399557</v>
      </c>
      <c r="F269" s="24">
        <f t="shared" si="3"/>
        <v>0.0002193314992</v>
      </c>
      <c r="G269" s="24">
        <f t="shared" si="4"/>
        <v>0</v>
      </c>
      <c r="H269" s="26">
        <f t="shared" si="5"/>
        <v>0</v>
      </c>
      <c r="I269" s="24">
        <f t="shared" si="6"/>
        <v>0</v>
      </c>
      <c r="J269" s="24">
        <f t="shared" si="7"/>
        <v>0</v>
      </c>
      <c r="K269" s="24"/>
      <c r="L269" s="24">
        <f t="shared" si="8"/>
        <v>588.9316674</v>
      </c>
      <c r="M269" s="14">
        <f t="shared" si="9"/>
        <v>426.3576901</v>
      </c>
      <c r="N269" s="27">
        <f t="shared" si="10"/>
        <v>162.5739773</v>
      </c>
      <c r="O269" s="24"/>
      <c r="P269" s="24"/>
      <c r="Q269" s="24"/>
      <c r="R269" s="26"/>
      <c r="S269" s="14">
        <f t="shared" si="13"/>
        <v>149.2910547</v>
      </c>
      <c r="U269" s="21"/>
      <c r="V269" s="21"/>
    </row>
    <row r="270">
      <c r="A270" s="11">
        <v>258.0</v>
      </c>
      <c r="B270" s="11">
        <v>1.42051739130434E9</v>
      </c>
      <c r="C270" s="2">
        <v>-101.1858673</v>
      </c>
      <c r="D270" s="24">
        <f t="shared" si="1"/>
        <v>117391.3043</v>
      </c>
      <c r="E270" s="25">
        <f t="shared" si="2"/>
        <v>-25.7122917</v>
      </c>
      <c r="F270" s="24">
        <f t="shared" si="3"/>
        <v>0.000219030633</v>
      </c>
      <c r="G270" s="24">
        <f t="shared" si="4"/>
        <v>0</v>
      </c>
      <c r="H270" s="26">
        <f t="shared" si="5"/>
        <v>0</v>
      </c>
      <c r="I270" s="24">
        <f t="shared" si="6"/>
        <v>0</v>
      </c>
      <c r="J270" s="24">
        <f t="shared" si="7"/>
        <v>0</v>
      </c>
      <c r="K270" s="24"/>
      <c r="L270" s="24">
        <f t="shared" si="8"/>
        <v>578.7878921</v>
      </c>
      <c r="M270" s="14">
        <f t="shared" si="9"/>
        <v>426.2878221</v>
      </c>
      <c r="N270" s="27">
        <f t="shared" si="10"/>
        <v>152.5000701</v>
      </c>
      <c r="O270" s="24"/>
      <c r="P270" s="24"/>
      <c r="Q270" s="24"/>
      <c r="R270" s="26"/>
      <c r="S270" s="14">
        <f t="shared" si="13"/>
        <v>140.0402246</v>
      </c>
      <c r="U270" s="21"/>
      <c r="V270" s="21"/>
    </row>
    <row r="271">
      <c r="A271" s="11">
        <v>259.0</v>
      </c>
      <c r="B271" s="11">
        <v>1.42052173913043E9</v>
      </c>
      <c r="C271" s="2">
        <v>-101.2606277</v>
      </c>
      <c r="D271" s="24">
        <f t="shared" si="1"/>
        <v>121739.1304</v>
      </c>
      <c r="E271" s="25">
        <f t="shared" si="2"/>
        <v>-26.63058783</v>
      </c>
      <c r="F271" s="24">
        <f t="shared" si="3"/>
        <v>0.0002187512572</v>
      </c>
      <c r="G271" s="24">
        <f t="shared" si="4"/>
        <v>0</v>
      </c>
      <c r="H271" s="26">
        <f t="shared" si="5"/>
        <v>0</v>
      </c>
      <c r="I271" s="24">
        <f t="shared" si="6"/>
        <v>0</v>
      </c>
      <c r="J271" s="24">
        <f t="shared" si="7"/>
        <v>0</v>
      </c>
      <c r="K271" s="24"/>
      <c r="L271" s="24">
        <f t="shared" si="8"/>
        <v>568.909777</v>
      </c>
      <c r="M271" s="14">
        <f t="shared" si="9"/>
        <v>426.2177549</v>
      </c>
      <c r="N271" s="27">
        <f t="shared" si="10"/>
        <v>142.6920221</v>
      </c>
      <c r="O271" s="24"/>
      <c r="P271" s="24"/>
      <c r="Q271" s="24"/>
      <c r="R271" s="26"/>
      <c r="S271" s="14">
        <f t="shared" si="13"/>
        <v>131.0335318</v>
      </c>
      <c r="U271" s="21"/>
      <c r="V271" s="21"/>
    </row>
    <row r="272">
      <c r="A272" s="11">
        <v>260.0</v>
      </c>
      <c r="B272" s="11">
        <v>1.42052608695652E9</v>
      </c>
      <c r="C272" s="2">
        <v>-101.396225</v>
      </c>
      <c r="D272" s="24">
        <f t="shared" si="1"/>
        <v>126086.9565</v>
      </c>
      <c r="E272" s="25">
        <f t="shared" si="2"/>
        <v>-27.54888396</v>
      </c>
      <c r="F272" s="24">
        <f t="shared" si="3"/>
        <v>0.0002184911487</v>
      </c>
      <c r="G272" s="24">
        <f t="shared" si="4"/>
        <v>0</v>
      </c>
      <c r="H272" s="26">
        <f t="shared" si="5"/>
        <v>0</v>
      </c>
      <c r="I272" s="24">
        <f t="shared" si="6"/>
        <v>0</v>
      </c>
      <c r="J272" s="24">
        <f t="shared" si="7"/>
        <v>0</v>
      </c>
      <c r="K272" s="24"/>
      <c r="L272" s="24">
        <f t="shared" si="8"/>
        <v>551.4214645</v>
      </c>
      <c r="M272" s="14">
        <f t="shared" si="9"/>
        <v>426.1474861</v>
      </c>
      <c r="N272" s="27">
        <f t="shared" si="10"/>
        <v>125.2739784</v>
      </c>
      <c r="O272" s="24"/>
      <c r="P272" s="24"/>
      <c r="Q272" s="24"/>
      <c r="R272" s="26"/>
      <c r="S272" s="14">
        <f t="shared" si="13"/>
        <v>115.0386099</v>
      </c>
      <c r="U272" s="21"/>
      <c r="V272" s="21"/>
    </row>
    <row r="273">
      <c r="A273" s="11">
        <v>261.0</v>
      </c>
      <c r="B273" s="11">
        <v>1.4205304347826E9</v>
      </c>
      <c r="C273" s="2">
        <v>-101.4013138</v>
      </c>
      <c r="D273" s="24">
        <f t="shared" si="1"/>
        <v>130434.7826</v>
      </c>
      <c r="E273" s="25">
        <f t="shared" si="2"/>
        <v>-28.4671801</v>
      </c>
      <c r="F273" s="24">
        <f t="shared" si="3"/>
        <v>0.0002182483807</v>
      </c>
      <c r="G273" s="24">
        <f t="shared" si="4"/>
        <v>0</v>
      </c>
      <c r="H273" s="26">
        <f t="shared" si="5"/>
        <v>0</v>
      </c>
      <c r="I273" s="24">
        <f t="shared" si="6"/>
        <v>0</v>
      </c>
      <c r="J273" s="24">
        <f t="shared" si="7"/>
        <v>0</v>
      </c>
      <c r="K273" s="24"/>
      <c r="L273" s="24">
        <f t="shared" si="8"/>
        <v>550.7757206</v>
      </c>
      <c r="M273" s="14">
        <f t="shared" si="9"/>
        <v>426.0770134</v>
      </c>
      <c r="N273" s="27">
        <f t="shared" si="10"/>
        <v>124.6987072</v>
      </c>
      <c r="O273" s="24"/>
      <c r="P273" s="24"/>
      <c r="Q273" s="24"/>
      <c r="R273" s="26"/>
      <c r="S273" s="14">
        <f t="shared" si="13"/>
        <v>114.5103406</v>
      </c>
      <c r="U273" s="21"/>
      <c r="V273" s="21"/>
    </row>
    <row r="274">
      <c r="A274" s="11">
        <v>262.0</v>
      </c>
      <c r="B274" s="11">
        <v>1.42053478260869E9</v>
      </c>
      <c r="C274" s="2">
        <v>-101.5814972</v>
      </c>
      <c r="D274" s="24">
        <f t="shared" si="1"/>
        <v>134782.6087</v>
      </c>
      <c r="E274" s="25">
        <f t="shared" si="2"/>
        <v>-29.38547623</v>
      </c>
      <c r="F274" s="24">
        <f t="shared" si="3"/>
        <v>0.0002180212752</v>
      </c>
      <c r="G274" s="24">
        <f t="shared" si="4"/>
        <v>0</v>
      </c>
      <c r="H274" s="26">
        <f t="shared" si="5"/>
        <v>0</v>
      </c>
      <c r="I274" s="24">
        <f t="shared" si="6"/>
        <v>0</v>
      </c>
      <c r="J274" s="24">
        <f t="shared" si="7"/>
        <v>0</v>
      </c>
      <c r="K274" s="24"/>
      <c r="L274" s="24">
        <f t="shared" si="8"/>
        <v>528.39226</v>
      </c>
      <c r="M274" s="14">
        <f t="shared" si="9"/>
        <v>426.0063344</v>
      </c>
      <c r="N274" s="27">
        <f t="shared" si="10"/>
        <v>102.3859257</v>
      </c>
      <c r="O274" s="24"/>
      <c r="P274" s="24"/>
      <c r="Q274" s="24"/>
      <c r="R274" s="26"/>
      <c r="S274" s="14">
        <f t="shared" si="13"/>
        <v>94.02059959</v>
      </c>
      <c r="U274" s="21"/>
      <c r="V274" s="21"/>
    </row>
    <row r="275">
      <c r="A275" s="11">
        <v>263.0</v>
      </c>
      <c r="B275" s="11">
        <v>1.42053913043478E9</v>
      </c>
      <c r="C275" s="2">
        <v>-101.6934509</v>
      </c>
      <c r="D275" s="24">
        <f t="shared" si="1"/>
        <v>139130.4348</v>
      </c>
      <c r="E275" s="25">
        <f t="shared" si="2"/>
        <v>-30.30377236</v>
      </c>
      <c r="F275" s="24">
        <f t="shared" si="3"/>
        <v>0.0002178083638</v>
      </c>
      <c r="G275" s="24">
        <f t="shared" si="4"/>
        <v>0</v>
      </c>
      <c r="H275" s="26">
        <f t="shared" si="5"/>
        <v>0</v>
      </c>
      <c r="I275" s="24">
        <f t="shared" si="6"/>
        <v>0</v>
      </c>
      <c r="J275" s="24">
        <f t="shared" si="7"/>
        <v>0</v>
      </c>
      <c r="K275" s="24"/>
      <c r="L275" s="24">
        <f t="shared" si="8"/>
        <v>514.9452748</v>
      </c>
      <c r="M275" s="14">
        <f t="shared" si="9"/>
        <v>425.9354466</v>
      </c>
      <c r="N275" s="27">
        <f t="shared" si="10"/>
        <v>89.0098282</v>
      </c>
      <c r="O275" s="24"/>
      <c r="P275" s="24"/>
      <c r="Q275" s="24"/>
      <c r="R275" s="26"/>
      <c r="S275" s="14">
        <f t="shared" si="13"/>
        <v>81.73738083</v>
      </c>
      <c r="U275" s="21"/>
      <c r="V275" s="21"/>
    </row>
    <row r="276">
      <c r="A276" s="11">
        <v>264.0</v>
      </c>
      <c r="B276" s="11">
        <v>1.42054347826087E9</v>
      </c>
      <c r="C276" s="2">
        <v>-101.7349319</v>
      </c>
      <c r="D276" s="24">
        <f t="shared" si="1"/>
        <v>143478.2609</v>
      </c>
      <c r="E276" s="25">
        <f t="shared" si="2"/>
        <v>-31.22206849</v>
      </c>
      <c r="F276" s="24">
        <f t="shared" si="3"/>
        <v>0.0002176083562</v>
      </c>
      <c r="G276" s="24">
        <f t="shared" si="4"/>
        <v>0</v>
      </c>
      <c r="H276" s="26">
        <f t="shared" si="5"/>
        <v>0</v>
      </c>
      <c r="I276" s="24">
        <f t="shared" si="6"/>
        <v>0</v>
      </c>
      <c r="J276" s="24">
        <f t="shared" si="7"/>
        <v>0</v>
      </c>
      <c r="K276" s="24"/>
      <c r="L276" s="24">
        <f t="shared" si="8"/>
        <v>510.0502648</v>
      </c>
      <c r="M276" s="14">
        <f t="shared" si="9"/>
        <v>425.8643478</v>
      </c>
      <c r="N276" s="27">
        <f t="shared" si="10"/>
        <v>84.18591702</v>
      </c>
      <c r="O276" s="24"/>
      <c r="P276" s="24"/>
      <c r="Q276" s="24"/>
      <c r="R276" s="26"/>
      <c r="S276" s="14">
        <f t="shared" si="13"/>
        <v>77.30760203</v>
      </c>
      <c r="U276" s="21"/>
      <c r="V276" s="21"/>
    </row>
    <row r="277">
      <c r="A277" s="11">
        <v>265.0</v>
      </c>
      <c r="B277" s="11">
        <v>1.42054782608695E9</v>
      </c>
      <c r="C277" s="2">
        <v>-101.8158264</v>
      </c>
      <c r="D277" s="24">
        <f t="shared" si="1"/>
        <v>147826.087</v>
      </c>
      <c r="E277" s="25">
        <f t="shared" si="2"/>
        <v>-32.14036462</v>
      </c>
      <c r="F277" s="24">
        <f t="shared" si="3"/>
        <v>0.0002174201136</v>
      </c>
      <c r="G277" s="24">
        <f t="shared" si="4"/>
        <v>0</v>
      </c>
      <c r="H277" s="26">
        <f t="shared" si="5"/>
        <v>0</v>
      </c>
      <c r="I277" s="24">
        <f t="shared" si="6"/>
        <v>0</v>
      </c>
      <c r="J277" s="24">
        <f t="shared" si="7"/>
        <v>0</v>
      </c>
      <c r="K277" s="24"/>
      <c r="L277" s="24">
        <f t="shared" si="8"/>
        <v>500.6376732</v>
      </c>
      <c r="M277" s="14">
        <f t="shared" si="9"/>
        <v>425.7930355</v>
      </c>
      <c r="N277" s="27">
        <f t="shared" si="10"/>
        <v>74.84463774</v>
      </c>
      <c r="O277" s="24"/>
      <c r="P277" s="24"/>
      <c r="Q277" s="24"/>
      <c r="R277" s="26"/>
      <c r="S277" s="14">
        <f t="shared" si="13"/>
        <v>68.7295414</v>
      </c>
      <c r="U277" s="21"/>
      <c r="V277" s="21"/>
    </row>
    <row r="278">
      <c r="A278" s="11">
        <v>266.0</v>
      </c>
      <c r="B278" s="11">
        <v>1.42055217391304E9</v>
      </c>
      <c r="C278" s="2">
        <v>-101.8495789</v>
      </c>
      <c r="D278" s="24">
        <f t="shared" si="1"/>
        <v>152173.913</v>
      </c>
      <c r="E278" s="25">
        <f t="shared" si="2"/>
        <v>-33.05866076</v>
      </c>
      <c r="F278" s="24">
        <f t="shared" si="3"/>
        <v>0.0002172426278</v>
      </c>
      <c r="G278" s="24">
        <f t="shared" si="4"/>
        <v>0</v>
      </c>
      <c r="H278" s="26">
        <f t="shared" si="5"/>
        <v>0</v>
      </c>
      <c r="I278" s="24">
        <f t="shared" si="6"/>
        <v>0</v>
      </c>
      <c r="J278" s="24">
        <f t="shared" si="7"/>
        <v>0</v>
      </c>
      <c r="K278" s="24"/>
      <c r="L278" s="24">
        <f t="shared" si="8"/>
        <v>496.7618976</v>
      </c>
      <c r="M278" s="14">
        <f t="shared" si="9"/>
        <v>425.7215074</v>
      </c>
      <c r="N278" s="27">
        <f t="shared" si="10"/>
        <v>71.04039023</v>
      </c>
      <c r="O278" s="24"/>
      <c r="P278" s="24"/>
      <c r="Q278" s="24"/>
      <c r="R278" s="26"/>
      <c r="S278" s="14">
        <f t="shared" si="13"/>
        <v>65.23611547</v>
      </c>
      <c r="U278" s="21"/>
      <c r="V278" s="21"/>
    </row>
    <row r="279">
      <c r="A279" s="11">
        <v>267.0</v>
      </c>
      <c r="B279" s="11">
        <v>1.42055652173913E9</v>
      </c>
      <c r="C279" s="2">
        <v>-101.9522858</v>
      </c>
      <c r="D279" s="24">
        <f t="shared" si="1"/>
        <v>156521.7391</v>
      </c>
      <c r="E279" s="25">
        <f t="shared" si="2"/>
        <v>-33.97695689</v>
      </c>
      <c r="F279" s="24">
        <f t="shared" si="3"/>
        <v>0.0002170750023</v>
      </c>
      <c r="G279" s="24">
        <f t="shared" si="4"/>
        <v>0</v>
      </c>
      <c r="H279" s="26">
        <f t="shared" si="5"/>
        <v>0</v>
      </c>
      <c r="I279" s="24">
        <f t="shared" si="6"/>
        <v>0</v>
      </c>
      <c r="J279" s="24">
        <f t="shared" si="7"/>
        <v>0</v>
      </c>
      <c r="K279" s="24"/>
      <c r="L279" s="24">
        <f t="shared" si="8"/>
        <v>485.1517334</v>
      </c>
      <c r="M279" s="14">
        <f t="shared" si="9"/>
        <v>425.649761</v>
      </c>
      <c r="N279" s="27">
        <f t="shared" si="10"/>
        <v>59.50197237</v>
      </c>
      <c r="O279" s="24"/>
      <c r="P279" s="24"/>
      <c r="Q279" s="24"/>
      <c r="R279" s="26"/>
      <c r="S279" s="14">
        <f t="shared" si="13"/>
        <v>54.64043112</v>
      </c>
      <c r="U279" s="21"/>
      <c r="V279" s="21"/>
    </row>
    <row r="280">
      <c r="A280" s="11">
        <v>268.0</v>
      </c>
      <c r="B280" s="11">
        <v>1.42056086956521E9</v>
      </c>
      <c r="C280" s="2">
        <v>-101.9914551</v>
      </c>
      <c r="D280" s="24">
        <f t="shared" si="1"/>
        <v>160869.5652</v>
      </c>
      <c r="E280" s="25">
        <f t="shared" si="2"/>
        <v>-34.89525302</v>
      </c>
      <c r="F280" s="24">
        <f t="shared" si="3"/>
        <v>0.0002169164377</v>
      </c>
      <c r="G280" s="24">
        <f t="shared" si="4"/>
        <v>0</v>
      </c>
      <c r="H280" s="26">
        <f t="shared" si="5"/>
        <v>0</v>
      </c>
      <c r="I280" s="24">
        <f t="shared" si="6"/>
        <v>0</v>
      </c>
      <c r="J280" s="24">
        <f t="shared" si="7"/>
        <v>0</v>
      </c>
      <c r="K280" s="24"/>
      <c r="L280" s="24">
        <f t="shared" si="8"/>
        <v>480.7957913</v>
      </c>
      <c r="M280" s="14">
        <f t="shared" si="9"/>
        <v>425.577794</v>
      </c>
      <c r="N280" s="27">
        <f t="shared" si="10"/>
        <v>55.21799729</v>
      </c>
      <c r="O280" s="24"/>
      <c r="P280" s="24"/>
      <c r="Q280" s="24"/>
      <c r="R280" s="26"/>
      <c r="S280" s="14">
        <f t="shared" si="13"/>
        <v>50.70647337</v>
      </c>
      <c r="U280" s="21"/>
      <c r="V280" s="21"/>
    </row>
    <row r="281">
      <c r="A281" s="11">
        <v>269.0</v>
      </c>
      <c r="B281" s="11">
        <v>1.4205652173913E9</v>
      </c>
      <c r="C281" s="2">
        <v>-102.0541992</v>
      </c>
      <c r="D281" s="24">
        <f t="shared" si="1"/>
        <v>165217.3913</v>
      </c>
      <c r="E281" s="25">
        <f t="shared" si="2"/>
        <v>-35.81354915</v>
      </c>
      <c r="F281" s="24">
        <f t="shared" si="3"/>
        <v>0.0002167662186</v>
      </c>
      <c r="G281" s="24">
        <f t="shared" si="4"/>
        <v>0</v>
      </c>
      <c r="H281" s="26">
        <f t="shared" si="5"/>
        <v>0</v>
      </c>
      <c r="I281" s="24">
        <f t="shared" si="6"/>
        <v>0</v>
      </c>
      <c r="J281" s="24">
        <f t="shared" si="7"/>
        <v>0</v>
      </c>
      <c r="K281" s="24"/>
      <c r="L281" s="24">
        <f t="shared" si="8"/>
        <v>473.8994966</v>
      </c>
      <c r="M281" s="14">
        <f t="shared" si="9"/>
        <v>425.5056041</v>
      </c>
      <c r="N281" s="27">
        <f t="shared" si="10"/>
        <v>48.39389253</v>
      </c>
      <c r="O281" s="24"/>
      <c r="P281" s="24"/>
      <c r="Q281" s="24"/>
      <c r="R281" s="26"/>
      <c r="S281" s="14">
        <f t="shared" si="13"/>
        <v>44.43992426</v>
      </c>
      <c r="U281" s="21"/>
      <c r="V281" s="21"/>
    </row>
    <row r="282">
      <c r="A282" s="11">
        <v>270.0</v>
      </c>
      <c r="B282" s="11">
        <v>1.42056956521739E9</v>
      </c>
      <c r="C282" s="2">
        <v>-101.9414978</v>
      </c>
      <c r="D282" s="24">
        <f t="shared" si="1"/>
        <v>169565.2174</v>
      </c>
      <c r="E282" s="25">
        <f t="shared" si="2"/>
        <v>-36.73184528</v>
      </c>
      <c r="F282" s="24">
        <f t="shared" si="3"/>
        <v>0.000216623703</v>
      </c>
      <c r="G282" s="24">
        <f t="shared" si="4"/>
        <v>0</v>
      </c>
      <c r="H282" s="26">
        <f t="shared" si="5"/>
        <v>0</v>
      </c>
      <c r="I282" s="24">
        <f t="shared" si="6"/>
        <v>0</v>
      </c>
      <c r="J282" s="24">
        <f t="shared" si="7"/>
        <v>0</v>
      </c>
      <c r="K282" s="24"/>
      <c r="L282" s="24">
        <f t="shared" si="8"/>
        <v>486.3583623</v>
      </c>
      <c r="M282" s="14">
        <f t="shared" si="9"/>
        <v>425.4331888</v>
      </c>
      <c r="N282" s="27">
        <f t="shared" si="10"/>
        <v>60.92517351</v>
      </c>
      <c r="O282" s="24"/>
      <c r="P282" s="24"/>
      <c r="Q282" s="24"/>
      <c r="R282" s="26"/>
      <c r="S282" s="14">
        <f t="shared" si="13"/>
        <v>55.94735122</v>
      </c>
      <c r="U282" s="21"/>
      <c r="V282" s="21"/>
    </row>
    <row r="283">
      <c r="A283" s="11">
        <v>271.0</v>
      </c>
      <c r="B283" s="11">
        <v>1.42057391304347E9</v>
      </c>
      <c r="C283" s="2">
        <v>-102.0068283</v>
      </c>
      <c r="D283" s="24">
        <f t="shared" si="1"/>
        <v>173913.0435</v>
      </c>
      <c r="E283" s="25">
        <f t="shared" si="2"/>
        <v>-37.65014142</v>
      </c>
      <c r="F283" s="24">
        <f t="shared" si="3"/>
        <v>0.0002164883132</v>
      </c>
      <c r="G283" s="24">
        <f t="shared" si="4"/>
        <v>0</v>
      </c>
      <c r="H283" s="26">
        <f t="shared" si="5"/>
        <v>0</v>
      </c>
      <c r="I283" s="24">
        <f t="shared" si="6"/>
        <v>0</v>
      </c>
      <c r="J283" s="24">
        <f t="shared" si="7"/>
        <v>0</v>
      </c>
      <c r="K283" s="24"/>
      <c r="L283" s="24">
        <f t="shared" si="8"/>
        <v>479.0968742</v>
      </c>
      <c r="M283" s="14">
        <f t="shared" si="9"/>
        <v>425.3605457</v>
      </c>
      <c r="N283" s="27">
        <f t="shared" si="10"/>
        <v>53.73632849</v>
      </c>
      <c r="O283" s="24"/>
      <c r="P283" s="24"/>
      <c r="Q283" s="24"/>
      <c r="R283" s="26"/>
      <c r="S283" s="14">
        <f t="shared" si="13"/>
        <v>49.34586265</v>
      </c>
      <c r="U283" s="21"/>
      <c r="V283" s="21"/>
    </row>
    <row r="284">
      <c r="A284" s="11">
        <v>272.0</v>
      </c>
      <c r="B284" s="11">
        <v>1.42057826086956E9</v>
      </c>
      <c r="C284" s="2">
        <v>-102.0048065</v>
      </c>
      <c r="D284" s="24">
        <f t="shared" si="1"/>
        <v>178260.8696</v>
      </c>
      <c r="E284" s="25">
        <f t="shared" si="2"/>
        <v>-38.56843755</v>
      </c>
      <c r="F284" s="24">
        <f t="shared" si="3"/>
        <v>0.0002163595277</v>
      </c>
      <c r="G284" s="24">
        <f t="shared" si="4"/>
        <v>0</v>
      </c>
      <c r="H284" s="26">
        <f t="shared" si="5"/>
        <v>0</v>
      </c>
      <c r="I284" s="24">
        <f t="shared" si="6"/>
        <v>0</v>
      </c>
      <c r="J284" s="24">
        <f t="shared" si="7"/>
        <v>0</v>
      </c>
      <c r="K284" s="24"/>
      <c r="L284" s="24">
        <f t="shared" si="8"/>
        <v>479.3199633</v>
      </c>
      <c r="M284" s="14">
        <f t="shared" si="9"/>
        <v>425.2876725</v>
      </c>
      <c r="N284" s="27">
        <f t="shared" si="10"/>
        <v>54.03229075</v>
      </c>
      <c r="O284" s="24"/>
      <c r="P284" s="24"/>
      <c r="Q284" s="24"/>
      <c r="R284" s="26"/>
      <c r="S284" s="14">
        <f t="shared" si="13"/>
        <v>49.61764352</v>
      </c>
      <c r="U284" s="21"/>
      <c r="V284" s="21"/>
    </row>
    <row r="285">
      <c r="A285" s="11">
        <v>273.0</v>
      </c>
      <c r="B285" s="11">
        <v>1.42058260869565E9</v>
      </c>
      <c r="C285" s="2">
        <v>-102.0319977</v>
      </c>
      <c r="D285" s="24">
        <f t="shared" si="1"/>
        <v>182608.6957</v>
      </c>
      <c r="E285" s="25">
        <f t="shared" si="2"/>
        <v>-39.48673368</v>
      </c>
      <c r="F285" s="24">
        <f t="shared" si="3"/>
        <v>0.0002162368749</v>
      </c>
      <c r="G285" s="24">
        <f t="shared" si="4"/>
        <v>0</v>
      </c>
      <c r="H285" s="26">
        <f t="shared" si="5"/>
        <v>0</v>
      </c>
      <c r="I285" s="24">
        <f t="shared" si="6"/>
        <v>0</v>
      </c>
      <c r="J285" s="24">
        <f t="shared" si="7"/>
        <v>0</v>
      </c>
      <c r="K285" s="24"/>
      <c r="L285" s="24">
        <f t="shared" si="8"/>
        <v>476.3283137</v>
      </c>
      <c r="M285" s="14">
        <f t="shared" si="9"/>
        <v>425.2145669</v>
      </c>
      <c r="N285" s="27">
        <f t="shared" si="10"/>
        <v>51.11374679</v>
      </c>
      <c r="O285" s="24"/>
      <c r="P285" s="24"/>
      <c r="Q285" s="24"/>
      <c r="R285" s="26"/>
      <c r="S285" s="14">
        <f t="shared" si="13"/>
        <v>46.93755601</v>
      </c>
      <c r="U285" s="21"/>
      <c r="V285" s="21"/>
    </row>
    <row r="286">
      <c r="A286" s="11">
        <v>274.0</v>
      </c>
      <c r="B286" s="11">
        <v>1.42058695652173E9</v>
      </c>
      <c r="C286" s="2">
        <v>-102.0595398</v>
      </c>
      <c r="D286" s="24">
        <f t="shared" si="1"/>
        <v>186956.5217</v>
      </c>
      <c r="E286" s="25">
        <f t="shared" si="2"/>
        <v>-40.40502981</v>
      </c>
      <c r="F286" s="24">
        <f t="shared" si="3"/>
        <v>0.0002161199269</v>
      </c>
      <c r="G286" s="24">
        <f t="shared" si="4"/>
        <v>0</v>
      </c>
      <c r="H286" s="26">
        <f t="shared" si="5"/>
        <v>0</v>
      </c>
      <c r="I286" s="24">
        <f t="shared" si="6"/>
        <v>0</v>
      </c>
      <c r="J286" s="24">
        <f t="shared" si="7"/>
        <v>0</v>
      </c>
      <c r="K286" s="24"/>
      <c r="L286" s="24">
        <f t="shared" si="8"/>
        <v>473.3170918</v>
      </c>
      <c r="M286" s="14">
        <f t="shared" si="9"/>
        <v>425.1412263</v>
      </c>
      <c r="N286" s="27">
        <f t="shared" si="10"/>
        <v>48.17586544</v>
      </c>
      <c r="O286" s="24"/>
      <c r="P286" s="24"/>
      <c r="Q286" s="24"/>
      <c r="R286" s="26"/>
      <c r="S286" s="14">
        <f t="shared" si="13"/>
        <v>44.23971093</v>
      </c>
      <c r="U286" s="21"/>
      <c r="V286" s="21"/>
    </row>
    <row r="287">
      <c r="A287" s="11">
        <v>275.0</v>
      </c>
      <c r="B287" s="11">
        <v>1.42059130434782E9</v>
      </c>
      <c r="C287" s="2">
        <v>-102.0378189</v>
      </c>
      <c r="D287" s="24">
        <f t="shared" si="1"/>
        <v>191304.3478</v>
      </c>
      <c r="E287" s="25">
        <f t="shared" si="2"/>
        <v>-41.32332595</v>
      </c>
      <c r="F287" s="24">
        <f t="shared" si="3"/>
        <v>0.0002160082947</v>
      </c>
      <c r="G287" s="24">
        <f t="shared" si="4"/>
        <v>0</v>
      </c>
      <c r="H287" s="26">
        <f t="shared" si="5"/>
        <v>0</v>
      </c>
      <c r="I287" s="24">
        <f t="shared" si="6"/>
        <v>0</v>
      </c>
      <c r="J287" s="24">
        <f t="shared" si="7"/>
        <v>0</v>
      </c>
      <c r="K287" s="24"/>
      <c r="L287" s="24">
        <f t="shared" si="8"/>
        <v>475.69028</v>
      </c>
      <c r="M287" s="14">
        <f t="shared" si="9"/>
        <v>425.0676485</v>
      </c>
      <c r="N287" s="27">
        <f t="shared" si="10"/>
        <v>50.62263151</v>
      </c>
      <c r="O287" s="24"/>
      <c r="P287" s="24"/>
      <c r="Q287" s="24"/>
      <c r="R287" s="26"/>
      <c r="S287" s="14">
        <f t="shared" si="13"/>
        <v>46.48656675</v>
      </c>
      <c r="U287" s="21"/>
      <c r="V287" s="21"/>
    </row>
    <row r="288">
      <c r="A288" s="11">
        <v>276.0</v>
      </c>
      <c r="B288" s="11">
        <v>1.42059565217391E9</v>
      </c>
      <c r="C288" s="2">
        <v>-102.0145035</v>
      </c>
      <c r="D288" s="24">
        <f t="shared" si="1"/>
        <v>195652.1739</v>
      </c>
      <c r="E288" s="25">
        <f t="shared" si="2"/>
        <v>-42.24162208</v>
      </c>
      <c r="F288" s="24">
        <f t="shared" si="3"/>
        <v>0.000215901624</v>
      </c>
      <c r="G288" s="24">
        <f t="shared" si="4"/>
        <v>0</v>
      </c>
      <c r="H288" s="26">
        <f t="shared" si="5"/>
        <v>0</v>
      </c>
      <c r="I288" s="24">
        <f t="shared" si="6"/>
        <v>0</v>
      </c>
      <c r="J288" s="24">
        <f t="shared" si="7"/>
        <v>0</v>
      </c>
      <c r="K288" s="24"/>
      <c r="L288" s="24">
        <f t="shared" si="8"/>
        <v>478.2509236</v>
      </c>
      <c r="M288" s="14">
        <f t="shared" si="9"/>
        <v>424.9938311</v>
      </c>
      <c r="N288" s="27">
        <f t="shared" si="10"/>
        <v>53.25709251</v>
      </c>
      <c r="O288" s="24"/>
      <c r="P288" s="24"/>
      <c r="Q288" s="24"/>
      <c r="R288" s="26"/>
      <c r="S288" s="14">
        <f t="shared" si="13"/>
        <v>48.90578198</v>
      </c>
      <c r="U288" s="21"/>
      <c r="V288" s="21"/>
    </row>
    <row r="289">
      <c r="A289" s="11">
        <v>277.0</v>
      </c>
      <c r="B289" s="11">
        <v>1.4206E9</v>
      </c>
      <c r="C289" s="2">
        <v>-101.9884338</v>
      </c>
      <c r="D289" s="24">
        <f t="shared" si="1"/>
        <v>200000</v>
      </c>
      <c r="E289" s="25">
        <f t="shared" si="2"/>
        <v>-43.15991821</v>
      </c>
      <c r="F289" s="24">
        <f t="shared" si="3"/>
        <v>0.000215799591</v>
      </c>
      <c r="G289" s="24">
        <f t="shared" si="4"/>
        <v>0</v>
      </c>
      <c r="H289" s="26">
        <f t="shared" si="5"/>
        <v>0</v>
      </c>
      <c r="I289" s="24">
        <f t="shared" si="6"/>
        <v>0</v>
      </c>
      <c r="J289" s="24">
        <f t="shared" si="7"/>
        <v>0</v>
      </c>
      <c r="K289" s="24"/>
      <c r="L289" s="24">
        <f t="shared" si="8"/>
        <v>481.1303877</v>
      </c>
      <c r="M289" s="14">
        <f t="shared" si="9"/>
        <v>424.9197716</v>
      </c>
      <c r="N289" s="27">
        <f t="shared" si="10"/>
        <v>56.21061613</v>
      </c>
      <c r="O289" s="24"/>
      <c r="P289" s="24"/>
      <c r="Q289" s="24"/>
      <c r="R289" s="26"/>
      <c r="S289" s="14">
        <f t="shared" si="13"/>
        <v>51.61799141</v>
      </c>
      <c r="U289" s="21"/>
      <c r="V289" s="21"/>
    </row>
    <row r="290">
      <c r="A290" s="11">
        <v>278.0</v>
      </c>
      <c r="B290" s="11">
        <v>1.42060434782608E9</v>
      </c>
      <c r="C290" s="2">
        <v>-102.0501328</v>
      </c>
      <c r="D290" s="24">
        <f t="shared" si="1"/>
        <v>204347.8261</v>
      </c>
      <c r="E290" s="25">
        <f t="shared" si="2"/>
        <v>-44.07821434</v>
      </c>
      <c r="F290" s="24">
        <f t="shared" si="3"/>
        <v>0.0002157019</v>
      </c>
      <c r="G290" s="24">
        <f t="shared" si="4"/>
        <v>0</v>
      </c>
      <c r="H290" s="26">
        <f t="shared" si="5"/>
        <v>0</v>
      </c>
      <c r="I290" s="24">
        <f t="shared" si="6"/>
        <v>0</v>
      </c>
      <c r="J290" s="24">
        <f t="shared" si="7"/>
        <v>0</v>
      </c>
      <c r="K290" s="24"/>
      <c r="L290" s="24">
        <f t="shared" si="8"/>
        <v>474.3434275</v>
      </c>
      <c r="M290" s="14">
        <f t="shared" si="9"/>
        <v>424.8454677</v>
      </c>
      <c r="N290" s="27">
        <f t="shared" si="10"/>
        <v>49.49795978</v>
      </c>
      <c r="O290" s="24"/>
      <c r="P290" s="24"/>
      <c r="Q290" s="24"/>
      <c r="R290" s="26"/>
      <c r="S290" s="14">
        <f t="shared" si="13"/>
        <v>45.45378505</v>
      </c>
      <c r="U290" s="21"/>
      <c r="V290" s="21"/>
    </row>
    <row r="291">
      <c r="A291" s="11">
        <v>279.0</v>
      </c>
      <c r="B291" s="11">
        <v>1.42060869565217E9</v>
      </c>
      <c r="C291" s="2">
        <v>-101.9513168</v>
      </c>
      <c r="D291" s="24">
        <f t="shared" si="1"/>
        <v>208695.6522</v>
      </c>
      <c r="E291" s="25">
        <f t="shared" si="2"/>
        <v>-44.99651047</v>
      </c>
      <c r="F291" s="24">
        <f t="shared" si="3"/>
        <v>0.0002156082794</v>
      </c>
      <c r="G291" s="24">
        <f t="shared" si="4"/>
        <v>0</v>
      </c>
      <c r="H291" s="26">
        <f t="shared" si="5"/>
        <v>0</v>
      </c>
      <c r="I291" s="24">
        <f t="shared" si="6"/>
        <v>0</v>
      </c>
      <c r="J291" s="24">
        <f t="shared" si="7"/>
        <v>0</v>
      </c>
      <c r="K291" s="24"/>
      <c r="L291" s="24">
        <f t="shared" si="8"/>
        <v>485.2599927</v>
      </c>
      <c r="M291" s="14">
        <f t="shared" si="9"/>
        <v>424.7709171</v>
      </c>
      <c r="N291" s="27">
        <f t="shared" si="10"/>
        <v>60.48907565</v>
      </c>
      <c r="O291" s="24"/>
      <c r="P291" s="24"/>
      <c r="Q291" s="24"/>
      <c r="R291" s="26"/>
      <c r="S291" s="14">
        <f t="shared" si="13"/>
        <v>55.54688411</v>
      </c>
      <c r="U291" s="21"/>
      <c r="V291" s="21"/>
    </row>
    <row r="292">
      <c r="A292" s="11">
        <v>280.0</v>
      </c>
      <c r="B292" s="11">
        <v>1.42061304347826E9</v>
      </c>
      <c r="C292" s="2">
        <v>-102.0141373</v>
      </c>
      <c r="D292" s="24">
        <f t="shared" si="1"/>
        <v>213043.4783</v>
      </c>
      <c r="E292" s="25">
        <f t="shared" si="2"/>
        <v>-45.91480661</v>
      </c>
      <c r="F292" s="24">
        <f t="shared" si="3"/>
        <v>0.00021551848</v>
      </c>
      <c r="G292" s="24">
        <f t="shared" si="4"/>
        <v>0</v>
      </c>
      <c r="H292" s="26">
        <f t="shared" si="5"/>
        <v>0</v>
      </c>
      <c r="I292" s="24">
        <f t="shared" si="6"/>
        <v>0</v>
      </c>
      <c r="J292" s="24">
        <f t="shared" si="7"/>
        <v>0</v>
      </c>
      <c r="K292" s="24"/>
      <c r="L292" s="24">
        <f t="shared" si="8"/>
        <v>478.2912517</v>
      </c>
      <c r="M292" s="14">
        <f t="shared" si="9"/>
        <v>424.6961173</v>
      </c>
      <c r="N292" s="27">
        <f t="shared" si="10"/>
        <v>53.59513441</v>
      </c>
      <c r="O292" s="24"/>
      <c r="P292" s="24"/>
      <c r="Q292" s="24"/>
      <c r="R292" s="26"/>
      <c r="S292" s="14">
        <f t="shared" si="13"/>
        <v>49.21620466</v>
      </c>
      <c r="U292" s="21"/>
      <c r="V292" s="21"/>
    </row>
    <row r="293">
      <c r="A293" s="11">
        <v>281.0</v>
      </c>
      <c r="B293" s="11">
        <v>1.42061739130434E9</v>
      </c>
      <c r="C293" s="2">
        <v>-102.0403519</v>
      </c>
      <c r="D293" s="24">
        <f t="shared" si="1"/>
        <v>217391.3043</v>
      </c>
      <c r="E293" s="25">
        <f t="shared" si="2"/>
        <v>-46.83310274</v>
      </c>
      <c r="F293" s="24">
        <f t="shared" si="3"/>
        <v>0.0002154322726</v>
      </c>
      <c r="G293" s="24">
        <f t="shared" si="4"/>
        <v>0</v>
      </c>
      <c r="H293" s="26">
        <f t="shared" si="5"/>
        <v>0</v>
      </c>
      <c r="I293" s="24">
        <f t="shared" si="6"/>
        <v>0</v>
      </c>
      <c r="J293" s="24">
        <f t="shared" si="7"/>
        <v>0</v>
      </c>
      <c r="K293" s="24"/>
      <c r="L293" s="24">
        <f t="shared" si="8"/>
        <v>475.412917</v>
      </c>
      <c r="M293" s="14">
        <f t="shared" si="9"/>
        <v>424.621066</v>
      </c>
      <c r="N293" s="27">
        <f t="shared" si="10"/>
        <v>50.79185105</v>
      </c>
      <c r="O293" s="24"/>
      <c r="P293" s="24"/>
      <c r="Q293" s="24"/>
      <c r="R293" s="26"/>
      <c r="S293" s="14">
        <f t="shared" si="13"/>
        <v>46.6419604</v>
      </c>
      <c r="U293" s="21"/>
      <c r="V293" s="21"/>
    </row>
    <row r="294">
      <c r="A294" s="11">
        <v>282.0</v>
      </c>
      <c r="B294" s="11">
        <v>1.42062173913043E9</v>
      </c>
      <c r="C294" s="2">
        <v>-102.0562515</v>
      </c>
      <c r="D294" s="24">
        <f t="shared" si="1"/>
        <v>221739.1304</v>
      </c>
      <c r="E294" s="25">
        <f t="shared" si="2"/>
        <v>-47.75139887</v>
      </c>
      <c r="F294" s="24">
        <f t="shared" si="3"/>
        <v>0.0002153494459</v>
      </c>
      <c r="G294" s="24">
        <f t="shared" si="4"/>
        <v>0</v>
      </c>
      <c r="H294" s="26">
        <f t="shared" si="5"/>
        <v>0</v>
      </c>
      <c r="I294" s="24">
        <f t="shared" si="6"/>
        <v>0</v>
      </c>
      <c r="J294" s="24">
        <f t="shared" si="7"/>
        <v>0</v>
      </c>
      <c r="K294" s="24"/>
      <c r="L294" s="24">
        <f t="shared" si="8"/>
        <v>473.6756038</v>
      </c>
      <c r="M294" s="14">
        <f t="shared" si="9"/>
        <v>424.5457607</v>
      </c>
      <c r="N294" s="27">
        <f t="shared" si="10"/>
        <v>49.12984307</v>
      </c>
      <c r="O294" s="24"/>
      <c r="P294" s="24"/>
      <c r="Q294" s="24"/>
      <c r="R294" s="26"/>
      <c r="S294" s="14">
        <f t="shared" si="13"/>
        <v>45.11574479</v>
      </c>
      <c r="U294" s="21"/>
      <c r="V294" s="21"/>
    </row>
    <row r="295">
      <c r="A295" s="11">
        <v>283.0</v>
      </c>
      <c r="B295" s="11">
        <v>1.42062608695652E9</v>
      </c>
      <c r="C295" s="2">
        <v>-102.0654297</v>
      </c>
      <c r="D295" s="24">
        <f t="shared" si="1"/>
        <v>226086.9565</v>
      </c>
      <c r="E295" s="25">
        <f t="shared" si="2"/>
        <v>-48.669695</v>
      </c>
      <c r="F295" s="24">
        <f t="shared" si="3"/>
        <v>0.0002152698048</v>
      </c>
      <c r="G295" s="24">
        <f t="shared" si="4"/>
        <v>0</v>
      </c>
      <c r="H295" s="26">
        <f t="shared" si="5"/>
        <v>0</v>
      </c>
      <c r="I295" s="24">
        <f t="shared" si="6"/>
        <v>0</v>
      </c>
      <c r="J295" s="24">
        <f t="shared" si="7"/>
        <v>0</v>
      </c>
      <c r="K295" s="24"/>
      <c r="L295" s="24">
        <f t="shared" si="8"/>
        <v>472.6756144</v>
      </c>
      <c r="M295" s="14">
        <f t="shared" si="9"/>
        <v>424.4701992</v>
      </c>
      <c r="N295" s="27">
        <f t="shared" si="10"/>
        <v>48.20541521</v>
      </c>
      <c r="O295" s="24"/>
      <c r="P295" s="24"/>
      <c r="Q295" s="24"/>
      <c r="R295" s="26"/>
      <c r="S295" s="14">
        <f t="shared" si="13"/>
        <v>44.26684636</v>
      </c>
      <c r="U295" s="21"/>
      <c r="V295" s="21"/>
    </row>
    <row r="296">
      <c r="A296" s="11">
        <v>284.0</v>
      </c>
      <c r="B296" s="11">
        <v>1.4206304347826E9</v>
      </c>
      <c r="C296" s="2">
        <v>-102.0084686</v>
      </c>
      <c r="D296" s="24">
        <f t="shared" si="1"/>
        <v>230434.7826</v>
      </c>
      <c r="E296" s="25">
        <f t="shared" si="2"/>
        <v>-49.58799113</v>
      </c>
      <c r="F296" s="24">
        <f t="shared" si="3"/>
        <v>0.0002151931691</v>
      </c>
      <c r="G296" s="24">
        <f t="shared" si="4"/>
        <v>0</v>
      </c>
      <c r="H296" s="26">
        <f t="shared" si="5"/>
        <v>0</v>
      </c>
      <c r="I296" s="24">
        <f t="shared" si="6"/>
        <v>0</v>
      </c>
      <c r="J296" s="24">
        <f t="shared" si="7"/>
        <v>0</v>
      </c>
      <c r="K296" s="24"/>
      <c r="L296" s="24">
        <f t="shared" si="8"/>
        <v>478.9159568</v>
      </c>
      <c r="M296" s="14">
        <f t="shared" si="9"/>
        <v>424.394379</v>
      </c>
      <c r="N296" s="27">
        <f t="shared" si="10"/>
        <v>54.52157784</v>
      </c>
      <c r="O296" s="24"/>
      <c r="P296" s="24"/>
      <c r="Q296" s="24"/>
      <c r="R296" s="26"/>
      <c r="S296" s="14">
        <f t="shared" si="13"/>
        <v>50.06695408</v>
      </c>
      <c r="U296" s="21"/>
      <c r="V296" s="21"/>
    </row>
    <row r="297">
      <c r="A297" s="11">
        <v>285.0</v>
      </c>
      <c r="B297" s="11">
        <v>1.42063478260869E9</v>
      </c>
      <c r="C297" s="2">
        <v>-102.0335541</v>
      </c>
      <c r="D297" s="24">
        <f t="shared" si="1"/>
        <v>234782.6087</v>
      </c>
      <c r="E297" s="25">
        <f t="shared" si="2"/>
        <v>-50.50628727</v>
      </c>
      <c r="F297" s="24">
        <f t="shared" si="3"/>
        <v>0.0002151193717</v>
      </c>
      <c r="G297" s="24">
        <f t="shared" si="4"/>
        <v>0</v>
      </c>
      <c r="H297" s="26">
        <f t="shared" si="5"/>
        <v>0</v>
      </c>
      <c r="I297" s="24">
        <f t="shared" si="6"/>
        <v>0</v>
      </c>
      <c r="J297" s="24">
        <f t="shared" si="7"/>
        <v>0</v>
      </c>
      <c r="K297" s="24"/>
      <c r="L297" s="24">
        <f t="shared" si="8"/>
        <v>476.1576404</v>
      </c>
      <c r="M297" s="14">
        <f t="shared" si="9"/>
        <v>424.3182977</v>
      </c>
      <c r="N297" s="27">
        <f t="shared" si="10"/>
        <v>51.83934267</v>
      </c>
      <c r="O297" s="24"/>
      <c r="P297" s="24"/>
      <c r="Q297" s="24"/>
      <c r="R297" s="26"/>
      <c r="S297" s="14">
        <f t="shared" si="13"/>
        <v>47.6038679</v>
      </c>
      <c r="U297" s="21"/>
      <c r="V297" s="21"/>
    </row>
    <row r="298">
      <c r="A298" s="11">
        <v>286.0</v>
      </c>
      <c r="B298" s="11">
        <v>1.42063913043478E9</v>
      </c>
      <c r="C298" s="2">
        <v>-101.9901733</v>
      </c>
      <c r="D298" s="24">
        <f t="shared" si="1"/>
        <v>239130.4348</v>
      </c>
      <c r="E298" s="25">
        <f t="shared" si="2"/>
        <v>-51.4245834</v>
      </c>
      <c r="F298" s="24">
        <f t="shared" si="3"/>
        <v>0.0002150482579</v>
      </c>
      <c r="G298" s="24">
        <f t="shared" si="4"/>
        <v>0</v>
      </c>
      <c r="H298" s="26">
        <f t="shared" si="5"/>
        <v>0</v>
      </c>
      <c r="I298" s="24">
        <f t="shared" si="6"/>
        <v>0</v>
      </c>
      <c r="J298" s="24">
        <f t="shared" si="7"/>
        <v>0</v>
      </c>
      <c r="K298" s="24"/>
      <c r="L298" s="24">
        <f t="shared" si="8"/>
        <v>480.9377169</v>
      </c>
      <c r="M298" s="14">
        <f t="shared" si="9"/>
        <v>424.241953</v>
      </c>
      <c r="N298" s="27">
        <f t="shared" si="10"/>
        <v>56.69576387</v>
      </c>
      <c r="O298" s="24"/>
      <c r="P298" s="24"/>
      <c r="Q298" s="24"/>
      <c r="R298" s="26"/>
      <c r="S298" s="14">
        <f t="shared" si="13"/>
        <v>52.06350059</v>
      </c>
      <c r="U298" s="21"/>
      <c r="V298" s="21"/>
    </row>
    <row r="299">
      <c r="A299" s="11">
        <v>287.0</v>
      </c>
      <c r="B299" s="11">
        <v>1.42064347826087E9</v>
      </c>
      <c r="C299" s="2">
        <v>-102.0432129</v>
      </c>
      <c r="D299" s="24">
        <f t="shared" si="1"/>
        <v>243478.2609</v>
      </c>
      <c r="E299" s="25">
        <f t="shared" si="2"/>
        <v>-52.34287953</v>
      </c>
      <c r="F299" s="24">
        <f t="shared" si="3"/>
        <v>0.0002149796838</v>
      </c>
      <c r="G299" s="24">
        <f t="shared" si="4"/>
        <v>0</v>
      </c>
      <c r="H299" s="26">
        <f t="shared" si="5"/>
        <v>0</v>
      </c>
      <c r="I299" s="24">
        <f t="shared" si="6"/>
        <v>0</v>
      </c>
      <c r="J299" s="24">
        <f t="shared" si="7"/>
        <v>0</v>
      </c>
      <c r="K299" s="24"/>
      <c r="L299" s="24">
        <f t="shared" si="8"/>
        <v>475.0998326</v>
      </c>
      <c r="M299" s="14">
        <f t="shared" si="9"/>
        <v>424.1653425</v>
      </c>
      <c r="N299" s="27">
        <f t="shared" si="10"/>
        <v>50.93449005</v>
      </c>
      <c r="O299" s="24"/>
      <c r="P299" s="24"/>
      <c r="Q299" s="24"/>
      <c r="R299" s="26"/>
      <c r="S299" s="14">
        <f t="shared" si="13"/>
        <v>46.77294524</v>
      </c>
      <c r="U299" s="21"/>
      <c r="V299" s="21"/>
    </row>
    <row r="300">
      <c r="A300" s="11">
        <v>288.0</v>
      </c>
      <c r="B300" s="11">
        <v>1.42064782608695E9</v>
      </c>
      <c r="C300" s="2">
        <v>-102.0061646</v>
      </c>
      <c r="D300" s="24">
        <f t="shared" si="1"/>
        <v>247826.087</v>
      </c>
      <c r="E300" s="25">
        <f t="shared" si="2"/>
        <v>-53.26117566</v>
      </c>
      <c r="F300" s="24">
        <f t="shared" si="3"/>
        <v>0.0002149135158</v>
      </c>
      <c r="G300" s="24">
        <f t="shared" si="4"/>
        <v>0</v>
      </c>
      <c r="H300" s="26">
        <f t="shared" si="5"/>
        <v>0</v>
      </c>
      <c r="I300" s="24">
        <f t="shared" si="6"/>
        <v>0</v>
      </c>
      <c r="J300" s="24">
        <f t="shared" si="7"/>
        <v>0</v>
      </c>
      <c r="K300" s="24"/>
      <c r="L300" s="24">
        <f t="shared" si="8"/>
        <v>479.1700966</v>
      </c>
      <c r="M300" s="14">
        <f t="shared" si="9"/>
        <v>424.0884638</v>
      </c>
      <c r="N300" s="27">
        <f t="shared" si="10"/>
        <v>55.08163278</v>
      </c>
      <c r="O300" s="24"/>
      <c r="P300" s="24"/>
      <c r="Q300" s="24"/>
      <c r="R300" s="26"/>
      <c r="S300" s="14">
        <f t="shared" si="13"/>
        <v>50.58125037</v>
      </c>
      <c r="U300" s="21"/>
      <c r="V300" s="21"/>
    </row>
    <row r="301">
      <c r="A301" s="11">
        <v>289.0</v>
      </c>
      <c r="B301" s="11">
        <v>1.42065217391304E9</v>
      </c>
      <c r="C301" s="2">
        <v>-102.0103378</v>
      </c>
      <c r="D301" s="24">
        <f t="shared" si="1"/>
        <v>252173.913</v>
      </c>
      <c r="E301" s="25">
        <f t="shared" si="2"/>
        <v>-54.1794718</v>
      </c>
      <c r="F301" s="24">
        <f t="shared" si="3"/>
        <v>0.0002148496295</v>
      </c>
      <c r="G301" s="24">
        <f t="shared" si="4"/>
        <v>0</v>
      </c>
      <c r="H301" s="26">
        <f t="shared" si="5"/>
        <v>0</v>
      </c>
      <c r="I301" s="24">
        <f t="shared" si="6"/>
        <v>0</v>
      </c>
      <c r="J301" s="24">
        <f t="shared" si="7"/>
        <v>0</v>
      </c>
      <c r="K301" s="24"/>
      <c r="L301" s="24">
        <f t="shared" si="8"/>
        <v>478.7098761</v>
      </c>
      <c r="M301" s="14">
        <f t="shared" si="9"/>
        <v>424.0113146</v>
      </c>
      <c r="N301" s="27">
        <f t="shared" si="10"/>
        <v>54.69856155</v>
      </c>
      <c r="O301" s="24"/>
      <c r="P301" s="24"/>
      <c r="Q301" s="24"/>
      <c r="R301" s="26"/>
      <c r="S301" s="14">
        <f t="shared" si="13"/>
        <v>50.22947742</v>
      </c>
      <c r="U301" s="21"/>
      <c r="V301" s="21"/>
    </row>
    <row r="302">
      <c r="A302" s="11">
        <v>290.0</v>
      </c>
      <c r="B302" s="11">
        <v>1.42065652173913E9</v>
      </c>
      <c r="C302" s="2">
        <v>-101.9586716</v>
      </c>
      <c r="D302" s="24">
        <f t="shared" si="1"/>
        <v>256521.7391</v>
      </c>
      <c r="E302" s="25">
        <f t="shared" si="2"/>
        <v>-55.09776793</v>
      </c>
      <c r="F302" s="24">
        <f t="shared" si="3"/>
        <v>0.0002147879089</v>
      </c>
      <c r="G302" s="24">
        <f t="shared" si="4"/>
        <v>0</v>
      </c>
      <c r="H302" s="26">
        <f t="shared" si="5"/>
        <v>0</v>
      </c>
      <c r="I302" s="24">
        <f t="shared" si="6"/>
        <v>0</v>
      </c>
      <c r="J302" s="24">
        <f t="shared" si="7"/>
        <v>0</v>
      </c>
      <c r="K302" s="24"/>
      <c r="L302" s="24">
        <f t="shared" si="8"/>
        <v>484.4388978</v>
      </c>
      <c r="M302" s="14">
        <f t="shared" si="9"/>
        <v>423.9338924</v>
      </c>
      <c r="N302" s="27">
        <f t="shared" si="10"/>
        <v>60.50500546</v>
      </c>
      <c r="O302" s="24"/>
      <c r="P302" s="24"/>
      <c r="Q302" s="24"/>
      <c r="R302" s="26"/>
      <c r="S302" s="14">
        <f t="shared" si="13"/>
        <v>55.56151253</v>
      </c>
      <c r="U302" s="21"/>
      <c r="V302" s="21"/>
    </row>
    <row r="303">
      <c r="A303" s="11">
        <v>291.0</v>
      </c>
      <c r="B303" s="11">
        <v>1.42066086956521E9</v>
      </c>
      <c r="C303" s="2">
        <v>-102.0465164</v>
      </c>
      <c r="D303" s="24">
        <f t="shared" si="1"/>
        <v>260869.5652</v>
      </c>
      <c r="E303" s="25">
        <f t="shared" si="2"/>
        <v>-56.01606406</v>
      </c>
      <c r="F303" s="24">
        <f t="shared" si="3"/>
        <v>0.0002147282456</v>
      </c>
      <c r="G303" s="24">
        <f t="shared" si="4"/>
        <v>0</v>
      </c>
      <c r="H303" s="26">
        <f t="shared" si="5"/>
        <v>0</v>
      </c>
      <c r="I303" s="24">
        <f t="shared" si="6"/>
        <v>0</v>
      </c>
      <c r="J303" s="24">
        <f t="shared" si="7"/>
        <v>0</v>
      </c>
      <c r="K303" s="24"/>
      <c r="L303" s="24">
        <f t="shared" si="8"/>
        <v>474.738581</v>
      </c>
      <c r="M303" s="14">
        <f t="shared" si="9"/>
        <v>423.8561948</v>
      </c>
      <c r="N303" s="27">
        <f t="shared" si="10"/>
        <v>50.8823862</v>
      </c>
      <c r="O303" s="24"/>
      <c r="P303" s="24"/>
      <c r="Q303" s="24"/>
      <c r="R303" s="26"/>
      <c r="S303" s="14">
        <f t="shared" si="13"/>
        <v>46.72509848</v>
      </c>
      <c r="U303" s="21"/>
      <c r="V303" s="21"/>
    </row>
    <row r="304">
      <c r="A304" s="11">
        <v>292.0</v>
      </c>
      <c r="B304" s="11">
        <v>1.4206652173913E9</v>
      </c>
      <c r="C304" s="2">
        <v>-102.0152359</v>
      </c>
      <c r="D304" s="24">
        <f t="shared" si="1"/>
        <v>265217.3913</v>
      </c>
      <c r="E304" s="25">
        <f t="shared" si="2"/>
        <v>-56.93436019</v>
      </c>
      <c r="F304" s="24">
        <f t="shared" si="3"/>
        <v>0.0002146705384</v>
      </c>
      <c r="G304" s="24">
        <f t="shared" si="4"/>
        <v>0</v>
      </c>
      <c r="H304" s="26">
        <f t="shared" si="5"/>
        <v>0</v>
      </c>
      <c r="I304" s="24">
        <f t="shared" si="6"/>
        <v>0</v>
      </c>
      <c r="J304" s="24">
        <f t="shared" si="7"/>
        <v>0</v>
      </c>
      <c r="K304" s="24"/>
      <c r="L304" s="24">
        <f t="shared" si="8"/>
        <v>478.1702775</v>
      </c>
      <c r="M304" s="14">
        <f t="shared" si="9"/>
        <v>423.7782196</v>
      </c>
      <c r="N304" s="27">
        <f t="shared" si="10"/>
        <v>54.3920579</v>
      </c>
      <c r="O304" s="24"/>
      <c r="P304" s="24"/>
      <c r="Q304" s="24"/>
      <c r="R304" s="26"/>
      <c r="S304" s="14">
        <f t="shared" si="13"/>
        <v>49.94801631</v>
      </c>
      <c r="U304" s="21"/>
      <c r="V304" s="21"/>
    </row>
    <row r="305">
      <c r="A305" s="11">
        <v>293.0</v>
      </c>
      <c r="B305" s="11">
        <v>1.42066956521739E9</v>
      </c>
      <c r="C305" s="2">
        <v>-101.98909</v>
      </c>
      <c r="D305" s="24">
        <f t="shared" si="1"/>
        <v>269565.2174</v>
      </c>
      <c r="E305" s="25">
        <f t="shared" si="2"/>
        <v>-57.85265632</v>
      </c>
      <c r="F305" s="24">
        <f t="shared" si="3"/>
        <v>0.0002146146928</v>
      </c>
      <c r="G305" s="24">
        <f t="shared" si="4"/>
        <v>0</v>
      </c>
      <c r="H305" s="26">
        <f t="shared" si="5"/>
        <v>0</v>
      </c>
      <c r="I305" s="24">
        <f t="shared" si="6"/>
        <v>0</v>
      </c>
      <c r="J305" s="24">
        <f t="shared" si="7"/>
        <v>0</v>
      </c>
      <c r="K305" s="24"/>
      <c r="L305" s="24">
        <f t="shared" si="8"/>
        <v>481.0576965</v>
      </c>
      <c r="M305" s="14">
        <f t="shared" si="9"/>
        <v>423.6999643</v>
      </c>
      <c r="N305" s="27">
        <f t="shared" si="10"/>
        <v>57.35773225</v>
      </c>
      <c r="O305" s="24"/>
      <c r="P305" s="24"/>
      <c r="Q305" s="24"/>
      <c r="R305" s="26"/>
      <c r="S305" s="14">
        <f t="shared" si="13"/>
        <v>52.67138371</v>
      </c>
      <c r="U305" s="21"/>
      <c r="V305" s="21"/>
    </row>
    <row r="306">
      <c r="A306" s="11">
        <v>294.0</v>
      </c>
      <c r="B306" s="11">
        <v>1.42067391304347E9</v>
      </c>
      <c r="C306" s="2">
        <v>-101.9515686</v>
      </c>
      <c r="D306" s="24">
        <f t="shared" si="1"/>
        <v>273913.0435</v>
      </c>
      <c r="E306" s="25">
        <f t="shared" si="2"/>
        <v>-58.77095246</v>
      </c>
      <c r="F306" s="24">
        <f t="shared" si="3"/>
        <v>0.0002145606201</v>
      </c>
      <c r="G306" s="24">
        <f t="shared" si="4"/>
        <v>0</v>
      </c>
      <c r="H306" s="26">
        <f t="shared" si="5"/>
        <v>0</v>
      </c>
      <c r="I306" s="24">
        <f t="shared" si="6"/>
        <v>0</v>
      </c>
      <c r="J306" s="24">
        <f t="shared" si="7"/>
        <v>0</v>
      </c>
      <c r="K306" s="24"/>
      <c r="L306" s="24">
        <f t="shared" si="8"/>
        <v>485.2318586</v>
      </c>
      <c r="M306" s="14">
        <f t="shared" si="9"/>
        <v>423.6214265</v>
      </c>
      <c r="N306" s="27">
        <f t="shared" si="10"/>
        <v>61.61043215</v>
      </c>
      <c r="O306" s="24"/>
      <c r="P306" s="24"/>
      <c r="Q306" s="24"/>
      <c r="R306" s="26"/>
      <c r="S306" s="14">
        <f t="shared" si="13"/>
        <v>56.57662159</v>
      </c>
      <c r="U306" s="21"/>
      <c r="V306" s="21"/>
    </row>
    <row r="307">
      <c r="A307" s="11">
        <v>295.0</v>
      </c>
      <c r="B307" s="11">
        <v>1.42067826086956E9</v>
      </c>
      <c r="C307" s="2">
        <v>-101.9264679</v>
      </c>
      <c r="D307" s="24">
        <f t="shared" si="1"/>
        <v>278260.8696</v>
      </c>
      <c r="E307" s="25">
        <f t="shared" si="2"/>
        <v>-59.68924859</v>
      </c>
      <c r="F307" s="24">
        <f t="shared" si="3"/>
        <v>0.0002145082371</v>
      </c>
      <c r="G307" s="24">
        <f t="shared" si="4"/>
        <v>0</v>
      </c>
      <c r="H307" s="26">
        <f t="shared" si="5"/>
        <v>0</v>
      </c>
      <c r="I307" s="24">
        <f t="shared" si="6"/>
        <v>0</v>
      </c>
      <c r="J307" s="24">
        <f t="shared" si="7"/>
        <v>0</v>
      </c>
      <c r="K307" s="24"/>
      <c r="L307" s="24">
        <f t="shared" si="8"/>
        <v>488.0444489</v>
      </c>
      <c r="M307" s="14">
        <f t="shared" si="9"/>
        <v>423.5426038</v>
      </c>
      <c r="N307" s="27">
        <f t="shared" si="10"/>
        <v>64.50184505</v>
      </c>
      <c r="O307" s="24"/>
      <c r="P307" s="24"/>
      <c r="Q307" s="24"/>
      <c r="R307" s="26"/>
      <c r="S307" s="14">
        <f t="shared" si="13"/>
        <v>59.23179473</v>
      </c>
      <c r="U307" s="21"/>
      <c r="V307" s="21"/>
    </row>
    <row r="308">
      <c r="A308" s="11">
        <v>296.0</v>
      </c>
      <c r="B308" s="11">
        <v>1.42068260869565E9</v>
      </c>
      <c r="C308" s="2">
        <v>-101.9110184</v>
      </c>
      <c r="D308" s="24">
        <f t="shared" si="1"/>
        <v>282608.6957</v>
      </c>
      <c r="E308" s="25">
        <f t="shared" si="2"/>
        <v>-60.60754472</v>
      </c>
      <c r="F308" s="24">
        <f t="shared" si="3"/>
        <v>0.0002144574659</v>
      </c>
      <c r="G308" s="24">
        <f t="shared" si="4"/>
        <v>0</v>
      </c>
      <c r="H308" s="26">
        <f t="shared" si="5"/>
        <v>0</v>
      </c>
      <c r="I308" s="24">
        <f t="shared" si="6"/>
        <v>0</v>
      </c>
      <c r="J308" s="24">
        <f t="shared" si="7"/>
        <v>0</v>
      </c>
      <c r="K308" s="24"/>
      <c r="L308" s="24">
        <f t="shared" si="8"/>
        <v>489.7836996</v>
      </c>
      <c r="M308" s="14">
        <f t="shared" si="9"/>
        <v>423.463494</v>
      </c>
      <c r="N308" s="27">
        <f t="shared" si="10"/>
        <v>66.32020567</v>
      </c>
      <c r="O308" s="24"/>
      <c r="P308" s="24"/>
      <c r="Q308" s="24"/>
      <c r="R308" s="26"/>
      <c r="S308" s="14">
        <f t="shared" si="13"/>
        <v>60.90158839</v>
      </c>
      <c r="U308" s="21"/>
      <c r="V308" s="21"/>
    </row>
    <row r="309">
      <c r="A309" s="11">
        <v>297.0</v>
      </c>
      <c r="B309" s="11">
        <v>1.42068695652173E9</v>
      </c>
      <c r="C309" s="2">
        <v>-101.9110336</v>
      </c>
      <c r="D309" s="24">
        <f t="shared" si="1"/>
        <v>286956.5217</v>
      </c>
      <c r="E309" s="25">
        <f t="shared" si="2"/>
        <v>-61.52584085</v>
      </c>
      <c r="F309" s="24">
        <f t="shared" si="3"/>
        <v>0.0002144082333</v>
      </c>
      <c r="G309" s="24">
        <f t="shared" si="4"/>
        <v>0</v>
      </c>
      <c r="H309" s="26">
        <f t="shared" si="5"/>
        <v>0</v>
      </c>
      <c r="I309" s="24">
        <f t="shared" si="6"/>
        <v>0</v>
      </c>
      <c r="J309" s="24">
        <f t="shared" si="7"/>
        <v>0</v>
      </c>
      <c r="K309" s="24"/>
      <c r="L309" s="24">
        <f t="shared" si="8"/>
        <v>489.7819854</v>
      </c>
      <c r="M309" s="14">
        <f t="shared" si="9"/>
        <v>423.3840945</v>
      </c>
      <c r="N309" s="27">
        <f t="shared" si="10"/>
        <v>66.39789093</v>
      </c>
      <c r="O309" s="24"/>
      <c r="P309" s="24"/>
      <c r="Q309" s="24"/>
      <c r="R309" s="26"/>
      <c r="S309" s="14">
        <f t="shared" si="13"/>
        <v>60.97292646</v>
      </c>
      <c r="U309" s="21"/>
      <c r="V309" s="21"/>
    </row>
    <row r="310">
      <c r="A310" s="11">
        <v>298.0</v>
      </c>
      <c r="B310" s="11">
        <v>1.42069130434782E9</v>
      </c>
      <c r="C310" s="2">
        <v>-101.9521942</v>
      </c>
      <c r="D310" s="24">
        <f t="shared" si="1"/>
        <v>291304.3478</v>
      </c>
      <c r="E310" s="25">
        <f t="shared" si="2"/>
        <v>-62.44413698</v>
      </c>
      <c r="F310" s="24">
        <f t="shared" si="3"/>
        <v>0.0002143604703</v>
      </c>
      <c r="G310" s="24">
        <f t="shared" si="4"/>
        <v>0</v>
      </c>
      <c r="H310" s="26">
        <f t="shared" si="5"/>
        <v>0</v>
      </c>
      <c r="I310" s="24">
        <f t="shared" si="6"/>
        <v>0</v>
      </c>
      <c r="J310" s="24">
        <f t="shared" si="7"/>
        <v>0</v>
      </c>
      <c r="K310" s="24"/>
      <c r="L310" s="24">
        <f t="shared" si="8"/>
        <v>485.1619661</v>
      </c>
      <c r="M310" s="14">
        <f t="shared" si="9"/>
        <v>423.304403</v>
      </c>
      <c r="N310" s="27">
        <f t="shared" si="10"/>
        <v>61.8575631</v>
      </c>
      <c r="O310" s="24"/>
      <c r="P310" s="24"/>
      <c r="Q310" s="24"/>
      <c r="R310" s="26"/>
      <c r="S310" s="14">
        <f t="shared" si="13"/>
        <v>56.80356098</v>
      </c>
      <c r="U310" s="21"/>
      <c r="V310" s="21"/>
    </row>
    <row r="311">
      <c r="A311" s="11">
        <v>299.0</v>
      </c>
      <c r="B311" s="11">
        <v>1.42069565217391E9</v>
      </c>
      <c r="C311" s="2">
        <v>-101.9369583</v>
      </c>
      <c r="D311" s="24">
        <f t="shared" si="1"/>
        <v>295652.1739</v>
      </c>
      <c r="E311" s="25">
        <f t="shared" si="2"/>
        <v>-63.36243312</v>
      </c>
      <c r="F311" s="24">
        <f t="shared" si="3"/>
        <v>0.000214314112</v>
      </c>
      <c r="G311" s="24">
        <f t="shared" si="4"/>
        <v>0</v>
      </c>
      <c r="H311" s="26">
        <f t="shared" si="5"/>
        <v>0</v>
      </c>
      <c r="I311" s="24">
        <f t="shared" si="6"/>
        <v>0</v>
      </c>
      <c r="J311" s="24">
        <f t="shared" si="7"/>
        <v>0</v>
      </c>
      <c r="K311" s="24"/>
      <c r="L311" s="24">
        <f t="shared" si="8"/>
        <v>486.8669983</v>
      </c>
      <c r="M311" s="14">
        <f t="shared" si="9"/>
        <v>423.2244172</v>
      </c>
      <c r="N311" s="27">
        <f t="shared" si="10"/>
        <v>63.64258104</v>
      </c>
      <c r="O311" s="24"/>
      <c r="P311" s="24"/>
      <c r="Q311" s="24"/>
      <c r="R311" s="26"/>
      <c r="S311" s="14">
        <f t="shared" si="13"/>
        <v>58.44273592</v>
      </c>
      <c r="U311" s="21"/>
      <c r="V311" s="21"/>
    </row>
    <row r="312">
      <c r="A312" s="11">
        <v>300.0</v>
      </c>
      <c r="B312" s="11">
        <v>1.4207E9</v>
      </c>
      <c r="C312" s="2">
        <v>-101.9458542</v>
      </c>
      <c r="D312" s="24">
        <f t="shared" si="1"/>
        <v>300000</v>
      </c>
      <c r="E312" s="25">
        <f t="shared" si="2"/>
        <v>-64.28072925</v>
      </c>
      <c r="F312" s="24">
        <f t="shared" si="3"/>
        <v>0.0002142690975</v>
      </c>
      <c r="G312" s="24">
        <f t="shared" si="4"/>
        <v>0</v>
      </c>
      <c r="H312" s="26">
        <f t="shared" si="5"/>
        <v>0</v>
      </c>
      <c r="I312" s="24">
        <f t="shared" si="6"/>
        <v>0</v>
      </c>
      <c r="J312" s="24">
        <f t="shared" si="7"/>
        <v>0</v>
      </c>
      <c r="K312" s="24"/>
      <c r="L312" s="24">
        <f t="shared" si="8"/>
        <v>485.8707417</v>
      </c>
      <c r="M312" s="14">
        <f t="shared" si="9"/>
        <v>423.1441347</v>
      </c>
      <c r="N312" s="27">
        <f t="shared" si="10"/>
        <v>62.72660702</v>
      </c>
      <c r="O312" s="24"/>
      <c r="P312" s="24"/>
      <c r="Q312" s="24"/>
      <c r="R312" s="26"/>
      <c r="S312" s="14">
        <f t="shared" si="13"/>
        <v>57.60160065</v>
      </c>
      <c r="U312" s="21"/>
      <c r="V312" s="21"/>
    </row>
    <row r="313">
      <c r="A313" s="11">
        <v>301.0</v>
      </c>
      <c r="B313" s="11">
        <v>1.42070434782608E9</v>
      </c>
      <c r="C313" s="2">
        <v>-101.9725494</v>
      </c>
      <c r="D313" s="24">
        <f t="shared" si="1"/>
        <v>304347.8261</v>
      </c>
      <c r="E313" s="25">
        <f t="shared" si="2"/>
        <v>-65.19902538</v>
      </c>
      <c r="F313" s="24">
        <f t="shared" si="3"/>
        <v>0.0002142253691</v>
      </c>
      <c r="G313" s="24">
        <f t="shared" si="4"/>
        <v>0</v>
      </c>
      <c r="H313" s="26">
        <f t="shared" si="5"/>
        <v>0</v>
      </c>
      <c r="I313" s="24">
        <f t="shared" si="6"/>
        <v>0</v>
      </c>
      <c r="J313" s="24">
        <f t="shared" si="7"/>
        <v>0</v>
      </c>
      <c r="K313" s="24"/>
      <c r="L313" s="24">
        <f t="shared" si="8"/>
        <v>482.893353</v>
      </c>
      <c r="M313" s="14">
        <f t="shared" si="9"/>
        <v>423.063553</v>
      </c>
      <c r="N313" s="27">
        <f t="shared" si="10"/>
        <v>59.82979998</v>
      </c>
      <c r="O313" s="24"/>
      <c r="P313" s="24"/>
      <c r="Q313" s="24"/>
      <c r="R313" s="26"/>
      <c r="S313" s="14">
        <f t="shared" si="13"/>
        <v>54.94147395</v>
      </c>
      <c r="U313" s="21"/>
      <c r="V313" s="21"/>
    </row>
    <row r="314">
      <c r="A314" s="11">
        <v>302.0</v>
      </c>
      <c r="B314" s="11">
        <v>1.42070869565217E9</v>
      </c>
      <c r="C314" s="2">
        <v>-102.0053787</v>
      </c>
      <c r="D314" s="24">
        <f t="shared" si="1"/>
        <v>308695.6522</v>
      </c>
      <c r="E314" s="25">
        <f t="shared" si="2"/>
        <v>-66.11732151</v>
      </c>
      <c r="F314" s="24">
        <f t="shared" si="3"/>
        <v>0.0002141828725</v>
      </c>
      <c r="G314" s="24">
        <f t="shared" si="4"/>
        <v>0</v>
      </c>
      <c r="H314" s="26">
        <f t="shared" si="5"/>
        <v>0</v>
      </c>
      <c r="I314" s="24">
        <f t="shared" si="6"/>
        <v>0</v>
      </c>
      <c r="J314" s="24">
        <f t="shared" si="7"/>
        <v>0</v>
      </c>
      <c r="K314" s="24"/>
      <c r="L314" s="24">
        <f t="shared" si="8"/>
        <v>479.2568152</v>
      </c>
      <c r="M314" s="14">
        <f t="shared" si="9"/>
        <v>422.9826698</v>
      </c>
      <c r="N314" s="27">
        <f t="shared" si="10"/>
        <v>56.27414535</v>
      </c>
      <c r="O314" s="24"/>
      <c r="P314" s="24"/>
      <c r="Q314" s="24"/>
      <c r="R314" s="26"/>
      <c r="S314" s="14">
        <f t="shared" si="13"/>
        <v>51.67632993</v>
      </c>
      <c r="U314" s="21"/>
      <c r="V314" s="21"/>
    </row>
    <row r="315">
      <c r="A315" s="11">
        <v>303.0</v>
      </c>
      <c r="B315" s="11">
        <v>1.42071304347826E9</v>
      </c>
      <c r="C315" s="2">
        <v>-101.9388123</v>
      </c>
      <c r="D315" s="24">
        <f t="shared" si="1"/>
        <v>313043.4783</v>
      </c>
      <c r="E315" s="25">
        <f t="shared" si="2"/>
        <v>-67.03561764</v>
      </c>
      <c r="F315" s="24">
        <f t="shared" si="3"/>
        <v>0.0002141415564</v>
      </c>
      <c r="G315" s="24">
        <f t="shared" si="4"/>
        <v>0</v>
      </c>
      <c r="H315" s="26">
        <f t="shared" si="5"/>
        <v>0</v>
      </c>
      <c r="I315" s="24">
        <f t="shared" si="6"/>
        <v>0</v>
      </c>
      <c r="J315" s="24">
        <f t="shared" si="7"/>
        <v>0</v>
      </c>
      <c r="K315" s="24"/>
      <c r="L315" s="24">
        <f t="shared" si="8"/>
        <v>486.6591995</v>
      </c>
      <c r="M315" s="14">
        <f t="shared" si="9"/>
        <v>422.9014828</v>
      </c>
      <c r="N315" s="27">
        <f t="shared" si="10"/>
        <v>63.7577167</v>
      </c>
      <c r="O315" s="24"/>
      <c r="P315" s="24"/>
      <c r="Q315" s="24"/>
      <c r="R315" s="26"/>
      <c r="S315" s="14">
        <f t="shared" si="13"/>
        <v>58.54846468</v>
      </c>
      <c r="U315" s="21"/>
      <c r="V315" s="21"/>
    </row>
    <row r="316">
      <c r="A316" s="11">
        <v>304.0</v>
      </c>
      <c r="B316" s="11">
        <v>1.42071739130434E9</v>
      </c>
      <c r="C316" s="2">
        <v>-102.0087585</v>
      </c>
      <c r="D316" s="24">
        <f t="shared" si="1"/>
        <v>317391.3043</v>
      </c>
      <c r="E316" s="25">
        <f t="shared" si="2"/>
        <v>-67.95391378</v>
      </c>
      <c r="F316" s="24">
        <f t="shared" si="3"/>
        <v>0.0002141013722</v>
      </c>
      <c r="G316" s="24">
        <f t="shared" si="4"/>
        <v>0</v>
      </c>
      <c r="H316" s="26">
        <f t="shared" si="5"/>
        <v>0</v>
      </c>
      <c r="I316" s="24">
        <f t="shared" si="6"/>
        <v>0</v>
      </c>
      <c r="J316" s="24">
        <f t="shared" si="7"/>
        <v>0</v>
      </c>
      <c r="K316" s="24"/>
      <c r="L316" s="24">
        <f t="shared" si="8"/>
        <v>478.8839893</v>
      </c>
      <c r="M316" s="14">
        <f t="shared" si="9"/>
        <v>422.8199894</v>
      </c>
      <c r="N316" s="27">
        <f t="shared" si="10"/>
        <v>56.06399988</v>
      </c>
      <c r="O316" s="24"/>
      <c r="P316" s="24"/>
      <c r="Q316" s="24"/>
      <c r="R316" s="26"/>
      <c r="S316" s="14">
        <f t="shared" si="13"/>
        <v>51.48335428</v>
      </c>
      <c r="U316" s="21"/>
      <c r="V316" s="21"/>
    </row>
    <row r="317">
      <c r="A317" s="11">
        <v>305.0</v>
      </c>
      <c r="B317" s="11">
        <v>1.42072173913043E9</v>
      </c>
      <c r="C317" s="2">
        <v>-102.0305328</v>
      </c>
      <c r="D317" s="24">
        <f t="shared" si="1"/>
        <v>321739.1304</v>
      </c>
      <c r="E317" s="25">
        <f t="shared" si="2"/>
        <v>-68.87220991</v>
      </c>
      <c r="F317" s="24">
        <f t="shared" si="3"/>
        <v>0.000214062274</v>
      </c>
      <c r="G317" s="24">
        <f t="shared" si="4"/>
        <v>0</v>
      </c>
      <c r="H317" s="26">
        <f t="shared" si="5"/>
        <v>0</v>
      </c>
      <c r="I317" s="24">
        <f t="shared" si="6"/>
        <v>0</v>
      </c>
      <c r="J317" s="24">
        <f t="shared" si="7"/>
        <v>0</v>
      </c>
      <c r="K317" s="24"/>
      <c r="L317" s="24">
        <f t="shared" si="8"/>
        <v>476.489009</v>
      </c>
      <c r="M317" s="14">
        <f t="shared" si="9"/>
        <v>422.7381875</v>
      </c>
      <c r="N317" s="27">
        <f t="shared" si="10"/>
        <v>53.75082152</v>
      </c>
      <c r="O317" s="24"/>
      <c r="P317" s="24"/>
      <c r="Q317" s="24"/>
      <c r="R317" s="26"/>
      <c r="S317" s="14">
        <f t="shared" si="13"/>
        <v>49.35917142</v>
      </c>
      <c r="U317" s="21"/>
      <c r="V317" s="21"/>
    </row>
    <row r="318">
      <c r="A318" s="11">
        <v>306.0</v>
      </c>
      <c r="B318" s="11">
        <v>1.42072608695652E9</v>
      </c>
      <c r="C318" s="2">
        <v>-102.0931168</v>
      </c>
      <c r="D318" s="24">
        <f t="shared" si="1"/>
        <v>326086.9565</v>
      </c>
      <c r="E318" s="25">
        <f t="shared" si="2"/>
        <v>-69.79050604</v>
      </c>
      <c r="F318" s="24">
        <f t="shared" si="3"/>
        <v>0.0002140242185</v>
      </c>
      <c r="G318" s="24">
        <f t="shared" si="4"/>
        <v>0</v>
      </c>
      <c r="H318" s="26">
        <f t="shared" si="5"/>
        <v>0</v>
      </c>
      <c r="I318" s="24">
        <f t="shared" si="6"/>
        <v>0</v>
      </c>
      <c r="J318" s="24">
        <f t="shared" si="7"/>
        <v>0</v>
      </c>
      <c r="K318" s="24"/>
      <c r="L318" s="24">
        <f t="shared" si="8"/>
        <v>469.6718025</v>
      </c>
      <c r="M318" s="14">
        <f t="shared" si="9"/>
        <v>422.6560745</v>
      </c>
      <c r="N318" s="27">
        <f t="shared" si="10"/>
        <v>47.01572796</v>
      </c>
      <c r="O318" s="24"/>
      <c r="P318" s="24"/>
      <c r="Q318" s="24"/>
      <c r="R318" s="26"/>
      <c r="S318" s="14">
        <f t="shared" si="13"/>
        <v>43.17436117</v>
      </c>
      <c r="U318" s="21"/>
      <c r="V318" s="21"/>
    </row>
    <row r="319">
      <c r="A319" s="11">
        <v>307.0</v>
      </c>
      <c r="B319" s="11">
        <v>1.4207304347826E9</v>
      </c>
      <c r="C319" s="2">
        <v>-102.1375427</v>
      </c>
      <c r="D319" s="24">
        <f t="shared" si="1"/>
        <v>330434.7826</v>
      </c>
      <c r="E319" s="25">
        <f t="shared" si="2"/>
        <v>-70.70880217</v>
      </c>
      <c r="F319" s="24">
        <f t="shared" si="3"/>
        <v>0.0002139871645</v>
      </c>
      <c r="G319" s="24">
        <f t="shared" si="4"/>
        <v>0</v>
      </c>
      <c r="H319" s="26">
        <f t="shared" si="5"/>
        <v>0</v>
      </c>
      <c r="I319" s="24">
        <f t="shared" si="6"/>
        <v>0</v>
      </c>
      <c r="J319" s="24">
        <f t="shared" si="7"/>
        <v>0</v>
      </c>
      <c r="K319" s="24"/>
      <c r="L319" s="24">
        <f t="shared" si="8"/>
        <v>464.8918122</v>
      </c>
      <c r="M319" s="14">
        <f t="shared" si="9"/>
        <v>422.5736481</v>
      </c>
      <c r="N319" s="27">
        <f t="shared" si="10"/>
        <v>42.3181641</v>
      </c>
      <c r="O319" s="24"/>
      <c r="P319" s="24"/>
      <c r="Q319" s="24"/>
      <c r="R319" s="26"/>
      <c r="S319" s="14">
        <f t="shared" si="13"/>
        <v>38.86060643</v>
      </c>
      <c r="U319" s="21"/>
      <c r="V319" s="21"/>
    </row>
    <row r="320">
      <c r="A320" s="11">
        <v>308.0</v>
      </c>
      <c r="B320" s="11">
        <v>1.42073478260869E9</v>
      </c>
      <c r="C320" s="2">
        <v>-102.0309143</v>
      </c>
      <c r="D320" s="24">
        <f t="shared" si="1"/>
        <v>334782.6087</v>
      </c>
      <c r="E320" s="25">
        <f t="shared" si="2"/>
        <v>-71.62709831</v>
      </c>
      <c r="F320" s="24">
        <f t="shared" si="3"/>
        <v>0.0002139510729</v>
      </c>
      <c r="G320" s="24">
        <f t="shared" si="4"/>
        <v>0</v>
      </c>
      <c r="H320" s="26">
        <f t="shared" si="5"/>
        <v>0</v>
      </c>
      <c r="I320" s="24">
        <f t="shared" si="6"/>
        <v>0</v>
      </c>
      <c r="J320" s="24">
        <f t="shared" si="7"/>
        <v>0</v>
      </c>
      <c r="K320" s="24"/>
      <c r="L320" s="24">
        <f t="shared" si="8"/>
        <v>476.4471543</v>
      </c>
      <c r="M320" s="14">
        <f t="shared" si="9"/>
        <v>422.490906</v>
      </c>
      <c r="N320" s="27">
        <f t="shared" si="10"/>
        <v>53.95624832</v>
      </c>
      <c r="O320" s="24"/>
      <c r="P320" s="24"/>
      <c r="Q320" s="24"/>
      <c r="R320" s="26"/>
      <c r="S320" s="14">
        <f t="shared" si="13"/>
        <v>49.54781417</v>
      </c>
      <c r="U320" s="21"/>
      <c r="V320" s="21"/>
    </row>
    <row r="321">
      <c r="A321" s="11">
        <v>309.0</v>
      </c>
      <c r="B321" s="11">
        <v>1.42073913043478E9</v>
      </c>
      <c r="C321" s="2">
        <v>-102.1439362</v>
      </c>
      <c r="D321" s="24">
        <f t="shared" si="1"/>
        <v>339130.4348</v>
      </c>
      <c r="E321" s="25">
        <f t="shared" si="2"/>
        <v>-72.54539444</v>
      </c>
      <c r="F321" s="24">
        <f t="shared" si="3"/>
        <v>0.0002139159067</v>
      </c>
      <c r="G321" s="24">
        <f t="shared" si="4"/>
        <v>0</v>
      </c>
      <c r="H321" s="26">
        <f t="shared" si="5"/>
        <v>0</v>
      </c>
      <c r="I321" s="24">
        <f t="shared" si="6"/>
        <v>0</v>
      </c>
      <c r="J321" s="24">
        <f t="shared" si="7"/>
        <v>0</v>
      </c>
      <c r="K321" s="24"/>
      <c r="L321" s="24">
        <f t="shared" si="8"/>
        <v>464.2079217</v>
      </c>
      <c r="M321" s="14">
        <f t="shared" si="9"/>
        <v>422.4078457</v>
      </c>
      <c r="N321" s="27">
        <f t="shared" si="10"/>
        <v>41.80007597</v>
      </c>
      <c r="O321" s="24"/>
      <c r="P321" s="24"/>
      <c r="Q321" s="24"/>
      <c r="R321" s="26"/>
      <c r="S321" s="14">
        <f t="shared" si="13"/>
        <v>38.38484802</v>
      </c>
      <c r="U321" s="21"/>
      <c r="V321" s="21"/>
    </row>
    <row r="322">
      <c r="A322" s="11">
        <v>310.0</v>
      </c>
      <c r="B322" s="11">
        <v>1.42074347826087E9</v>
      </c>
      <c r="C322" s="2">
        <v>-102.1465225</v>
      </c>
      <c r="D322" s="24">
        <f t="shared" si="1"/>
        <v>343478.2609</v>
      </c>
      <c r="E322" s="25">
        <f t="shared" si="2"/>
        <v>-73.46369057</v>
      </c>
      <c r="F322" s="24">
        <f t="shared" si="3"/>
        <v>0.0002138816308</v>
      </c>
      <c r="G322" s="24">
        <f t="shared" si="4"/>
        <v>0</v>
      </c>
      <c r="H322" s="26">
        <f t="shared" si="5"/>
        <v>0</v>
      </c>
      <c r="I322" s="24">
        <f t="shared" si="6"/>
        <v>0</v>
      </c>
      <c r="J322" s="24">
        <f t="shared" si="7"/>
        <v>0</v>
      </c>
      <c r="K322" s="24"/>
      <c r="L322" s="24">
        <f t="shared" si="8"/>
        <v>463.93156</v>
      </c>
      <c r="M322" s="14">
        <f t="shared" si="9"/>
        <v>422.3244649</v>
      </c>
      <c r="N322" s="27">
        <f t="shared" si="10"/>
        <v>41.60709512</v>
      </c>
      <c r="O322" s="24"/>
      <c r="P322" s="24"/>
      <c r="Q322" s="24"/>
      <c r="R322" s="26"/>
      <c r="S322" s="14">
        <f t="shared" si="13"/>
        <v>38.20763454</v>
      </c>
      <c r="U322" s="21"/>
      <c r="V322" s="21"/>
    </row>
    <row r="323">
      <c r="A323" s="11">
        <v>311.0</v>
      </c>
      <c r="B323" s="11">
        <v>1.42074782608695E9</v>
      </c>
      <c r="C323" s="2">
        <v>-102.1126251</v>
      </c>
      <c r="D323" s="24">
        <f t="shared" si="1"/>
        <v>347826.087</v>
      </c>
      <c r="E323" s="25">
        <f t="shared" si="2"/>
        <v>-74.3819867</v>
      </c>
      <c r="F323" s="24">
        <f t="shared" si="3"/>
        <v>0.0002138482118</v>
      </c>
      <c r="G323" s="24">
        <f t="shared" si="4"/>
        <v>0</v>
      </c>
      <c r="H323" s="26">
        <f t="shared" si="5"/>
        <v>0</v>
      </c>
      <c r="I323" s="24">
        <f t="shared" si="6"/>
        <v>0</v>
      </c>
      <c r="J323" s="24">
        <f t="shared" si="7"/>
        <v>0</v>
      </c>
      <c r="K323" s="24"/>
      <c r="L323" s="24">
        <f t="shared" si="8"/>
        <v>467.5667906</v>
      </c>
      <c r="M323" s="14">
        <f t="shared" si="9"/>
        <v>422.2407611</v>
      </c>
      <c r="N323" s="27">
        <f t="shared" si="10"/>
        <v>45.32602948</v>
      </c>
      <c r="O323" s="24"/>
      <c r="P323" s="24"/>
      <c r="Q323" s="24"/>
      <c r="R323" s="26"/>
      <c r="S323" s="14">
        <f t="shared" si="13"/>
        <v>41.62271759</v>
      </c>
      <c r="U323" s="21"/>
      <c r="V323" s="21"/>
    </row>
    <row r="324">
      <c r="A324" s="11">
        <v>312.0</v>
      </c>
      <c r="B324" s="11">
        <v>1.42075217391304E9</v>
      </c>
      <c r="C324" s="2">
        <v>-102.174057</v>
      </c>
      <c r="D324" s="24">
        <f t="shared" si="1"/>
        <v>352173.913</v>
      </c>
      <c r="E324" s="25">
        <f t="shared" si="2"/>
        <v>-75.30028284</v>
      </c>
      <c r="F324" s="24">
        <f t="shared" si="3"/>
        <v>0.0002138156179</v>
      </c>
      <c r="G324" s="24">
        <f t="shared" si="4"/>
        <v>0</v>
      </c>
      <c r="H324" s="26">
        <f t="shared" si="5"/>
        <v>0</v>
      </c>
      <c r="I324" s="24">
        <f t="shared" si="6"/>
        <v>0</v>
      </c>
      <c r="J324" s="24">
        <f t="shared" si="7"/>
        <v>0</v>
      </c>
      <c r="K324" s="24"/>
      <c r="L324" s="24">
        <f t="shared" si="8"/>
        <v>460.9995138</v>
      </c>
      <c r="M324" s="14">
        <f t="shared" si="9"/>
        <v>422.1567321</v>
      </c>
      <c r="N324" s="27">
        <f t="shared" si="10"/>
        <v>38.84278176</v>
      </c>
      <c r="O324" s="24"/>
      <c r="P324" s="24"/>
      <c r="Q324" s="24"/>
      <c r="R324" s="26"/>
      <c r="S324" s="14">
        <f t="shared" si="13"/>
        <v>35.66917619</v>
      </c>
      <c r="U324" s="21"/>
      <c r="V324" s="21"/>
    </row>
    <row r="325">
      <c r="A325" s="11">
        <v>313.0</v>
      </c>
      <c r="B325" s="11">
        <v>1.42075652173913E9</v>
      </c>
      <c r="C325" s="2">
        <v>-102.2257233</v>
      </c>
      <c r="D325" s="24">
        <f t="shared" si="1"/>
        <v>356521.7391</v>
      </c>
      <c r="E325" s="25">
        <f t="shared" si="2"/>
        <v>-76.21857897</v>
      </c>
      <c r="F325" s="24">
        <f t="shared" si="3"/>
        <v>0.0002137838191</v>
      </c>
      <c r="G325" s="24">
        <f t="shared" si="4"/>
        <v>0</v>
      </c>
      <c r="H325" s="26">
        <f t="shared" si="5"/>
        <v>0</v>
      </c>
      <c r="I325" s="24">
        <f t="shared" si="6"/>
        <v>0</v>
      </c>
      <c r="J325" s="24">
        <f t="shared" si="7"/>
        <v>0</v>
      </c>
      <c r="K325" s="24"/>
      <c r="L325" s="24">
        <f t="shared" si="8"/>
        <v>455.5476781</v>
      </c>
      <c r="M325" s="14">
        <f t="shared" si="9"/>
        <v>422.0723754</v>
      </c>
      <c r="N325" s="27">
        <f t="shared" si="10"/>
        <v>33.47530272</v>
      </c>
      <c r="O325" s="24"/>
      <c r="P325" s="24"/>
      <c r="Q325" s="24"/>
      <c r="R325" s="26"/>
      <c r="S325" s="14">
        <f t="shared" si="13"/>
        <v>30.74024103</v>
      </c>
      <c r="U325" s="21"/>
      <c r="V325" s="21"/>
    </row>
    <row r="326">
      <c r="A326" s="11">
        <v>314.0</v>
      </c>
      <c r="B326" s="11">
        <v>1.42076086956521E9</v>
      </c>
      <c r="C326" s="2">
        <v>-102.2480011</v>
      </c>
      <c r="D326" s="24">
        <f t="shared" si="1"/>
        <v>360869.5652</v>
      </c>
      <c r="E326" s="25">
        <f t="shared" si="2"/>
        <v>-77.1368751</v>
      </c>
      <c r="F326" s="24">
        <f t="shared" si="3"/>
        <v>0.0002137527864</v>
      </c>
      <c r="G326" s="24">
        <f t="shared" si="4"/>
        <v>0</v>
      </c>
      <c r="H326" s="26">
        <f t="shared" si="5"/>
        <v>0</v>
      </c>
      <c r="I326" s="24">
        <f t="shared" si="6"/>
        <v>0</v>
      </c>
      <c r="J326" s="24">
        <f t="shared" si="7"/>
        <v>0</v>
      </c>
      <c r="K326" s="24"/>
      <c r="L326" s="24">
        <f t="shared" si="8"/>
        <v>453.2168598</v>
      </c>
      <c r="M326" s="14">
        <f t="shared" si="9"/>
        <v>421.9876886</v>
      </c>
      <c r="N326" s="27">
        <f t="shared" si="10"/>
        <v>31.22917122</v>
      </c>
      <c r="O326" s="24"/>
      <c r="P326" s="24"/>
      <c r="Q326" s="24"/>
      <c r="R326" s="26"/>
      <c r="S326" s="14">
        <f t="shared" si="13"/>
        <v>28.67762716</v>
      </c>
      <c r="U326" s="21"/>
      <c r="V326" s="21"/>
    </row>
    <row r="327">
      <c r="A327" s="11">
        <v>315.0</v>
      </c>
      <c r="B327" s="11">
        <v>1.4207652173913E9</v>
      </c>
      <c r="C327" s="2">
        <v>-102.2812042</v>
      </c>
      <c r="D327" s="24">
        <f t="shared" si="1"/>
        <v>365217.3913</v>
      </c>
      <c r="E327" s="25">
        <f t="shared" si="2"/>
        <v>-78.05517123</v>
      </c>
      <c r="F327" s="24">
        <f t="shared" si="3"/>
        <v>0.0002137224927</v>
      </c>
      <c r="G327" s="24">
        <f t="shared" si="4"/>
        <v>0</v>
      </c>
      <c r="H327" s="26">
        <f t="shared" si="5"/>
        <v>0</v>
      </c>
      <c r="I327" s="24">
        <f t="shared" si="6"/>
        <v>0</v>
      </c>
      <c r="J327" s="24">
        <f t="shared" si="7"/>
        <v>0</v>
      </c>
      <c r="K327" s="24"/>
      <c r="L327" s="24">
        <f t="shared" si="8"/>
        <v>449.7650943</v>
      </c>
      <c r="M327" s="14">
        <f t="shared" si="9"/>
        <v>421.9026694</v>
      </c>
      <c r="N327" s="27">
        <f t="shared" si="10"/>
        <v>27.86242494</v>
      </c>
      <c r="O327" s="24"/>
      <c r="P327" s="24"/>
      <c r="Q327" s="24"/>
      <c r="R327" s="26"/>
      <c r="S327" s="14">
        <f t="shared" si="13"/>
        <v>25.58595701</v>
      </c>
      <c r="U327" s="21"/>
      <c r="V327" s="21"/>
    </row>
    <row r="328">
      <c r="A328" s="11">
        <v>316.0</v>
      </c>
      <c r="B328" s="11">
        <v>1.42076956521739E9</v>
      </c>
      <c r="C328" s="2">
        <v>-102.2850952</v>
      </c>
      <c r="D328" s="24">
        <f t="shared" si="1"/>
        <v>369565.2174</v>
      </c>
      <c r="E328" s="25">
        <f t="shared" si="2"/>
        <v>-78.97346736</v>
      </c>
      <c r="F328" s="24">
        <f t="shared" si="3"/>
        <v>0.0002136929117</v>
      </c>
      <c r="G328" s="24">
        <f t="shared" si="4"/>
        <v>0</v>
      </c>
      <c r="H328" s="26">
        <f t="shared" si="5"/>
        <v>0</v>
      </c>
      <c r="I328" s="24">
        <f t="shared" si="6"/>
        <v>0</v>
      </c>
      <c r="J328" s="24">
        <f t="shared" si="7"/>
        <v>0</v>
      </c>
      <c r="K328" s="24"/>
      <c r="L328" s="24">
        <f t="shared" si="8"/>
        <v>449.3623141</v>
      </c>
      <c r="M328" s="14">
        <f t="shared" si="9"/>
        <v>421.8173154</v>
      </c>
      <c r="N328" s="27">
        <f t="shared" si="10"/>
        <v>27.54499873</v>
      </c>
      <c r="O328" s="24"/>
      <c r="P328" s="24"/>
      <c r="Q328" s="24"/>
      <c r="R328" s="26"/>
      <c r="S328" s="14">
        <f t="shared" si="13"/>
        <v>25.29446581</v>
      </c>
      <c r="U328" s="21"/>
      <c r="V328" s="21"/>
    </row>
    <row r="329">
      <c r="A329" s="11">
        <v>317.0</v>
      </c>
      <c r="B329" s="11">
        <v>1.42077391304347E9</v>
      </c>
      <c r="C329" s="2">
        <v>-102.3113327</v>
      </c>
      <c r="D329" s="24">
        <f t="shared" si="1"/>
        <v>373913.0435</v>
      </c>
      <c r="E329" s="25">
        <f t="shared" si="2"/>
        <v>-79.89176349</v>
      </c>
      <c r="F329" s="24">
        <f t="shared" si="3"/>
        <v>0.0002136640187</v>
      </c>
      <c r="G329" s="24">
        <f t="shared" si="4"/>
        <v>0</v>
      </c>
      <c r="H329" s="26">
        <f t="shared" si="5"/>
        <v>0</v>
      </c>
      <c r="I329" s="24">
        <f t="shared" si="6"/>
        <v>0</v>
      </c>
      <c r="J329" s="24">
        <f t="shared" si="7"/>
        <v>0</v>
      </c>
      <c r="K329" s="24"/>
      <c r="L329" s="24">
        <f t="shared" si="8"/>
        <v>446.6557172</v>
      </c>
      <c r="M329" s="14">
        <f t="shared" si="9"/>
        <v>421.7316242</v>
      </c>
      <c r="N329" s="27">
        <f t="shared" si="10"/>
        <v>24.92409308</v>
      </c>
      <c r="O329" s="24"/>
      <c r="P329" s="24"/>
      <c r="Q329" s="24"/>
      <c r="R329" s="26"/>
      <c r="S329" s="14">
        <f t="shared" si="13"/>
        <v>22.88769829</v>
      </c>
      <c r="U329" s="21"/>
      <c r="V329" s="21"/>
    </row>
    <row r="330">
      <c r="A330" s="11">
        <v>318.0</v>
      </c>
      <c r="B330" s="11">
        <v>1.42077826086956E9</v>
      </c>
      <c r="C330" s="2">
        <v>-102.31353</v>
      </c>
      <c r="D330" s="24">
        <f t="shared" si="1"/>
        <v>378260.8696</v>
      </c>
      <c r="E330" s="25">
        <f t="shared" si="2"/>
        <v>-80.81005963</v>
      </c>
      <c r="F330" s="24">
        <f t="shared" si="3"/>
        <v>0.0002136357898</v>
      </c>
      <c r="G330" s="24">
        <f t="shared" si="4"/>
        <v>0</v>
      </c>
      <c r="H330" s="26">
        <f t="shared" si="5"/>
        <v>0</v>
      </c>
      <c r="I330" s="24">
        <f t="shared" si="6"/>
        <v>0</v>
      </c>
      <c r="J330" s="24">
        <f t="shared" si="7"/>
        <v>0</v>
      </c>
      <c r="K330" s="24"/>
      <c r="L330" s="24">
        <f t="shared" si="8"/>
        <v>446.4297903</v>
      </c>
      <c r="M330" s="14">
        <f t="shared" si="9"/>
        <v>421.6455934</v>
      </c>
      <c r="N330" s="27">
        <f t="shared" si="10"/>
        <v>24.78419688</v>
      </c>
      <c r="O330" s="24"/>
      <c r="P330" s="24"/>
      <c r="Q330" s="24"/>
      <c r="R330" s="26"/>
      <c r="S330" s="14">
        <f t="shared" si="13"/>
        <v>22.75923209</v>
      </c>
      <c r="U330" s="21"/>
      <c r="V330" s="21"/>
    </row>
    <row r="331">
      <c r="A331" s="11">
        <v>319.0</v>
      </c>
      <c r="B331" s="11">
        <v>1.42078260869565E9</v>
      </c>
      <c r="C331" s="2">
        <v>-102.397316</v>
      </c>
      <c r="D331" s="24">
        <f t="shared" si="1"/>
        <v>382608.6957</v>
      </c>
      <c r="E331" s="25">
        <f t="shared" si="2"/>
        <v>-81.72835576</v>
      </c>
      <c r="F331" s="24">
        <f t="shared" si="3"/>
        <v>0.0002136082026</v>
      </c>
      <c r="G331" s="24">
        <f t="shared" si="4"/>
        <v>0</v>
      </c>
      <c r="H331" s="26">
        <f t="shared" si="5"/>
        <v>0</v>
      </c>
      <c r="I331" s="24">
        <f t="shared" si="6"/>
        <v>0</v>
      </c>
      <c r="J331" s="24">
        <f t="shared" si="7"/>
        <v>0</v>
      </c>
      <c r="K331" s="24"/>
      <c r="L331" s="24">
        <f t="shared" si="8"/>
        <v>437.8996191</v>
      </c>
      <c r="M331" s="14">
        <f t="shared" si="9"/>
        <v>421.5592207</v>
      </c>
      <c r="N331" s="27">
        <f t="shared" si="10"/>
        <v>16.34039838</v>
      </c>
      <c r="O331" s="24"/>
      <c r="P331" s="24"/>
      <c r="Q331" s="24"/>
      <c r="R331" s="26"/>
      <c r="S331" s="14">
        <f t="shared" si="13"/>
        <v>15.00532464</v>
      </c>
      <c r="U331" s="21"/>
      <c r="V331" s="21"/>
    </row>
    <row r="332">
      <c r="A332" s="11">
        <v>320.0</v>
      </c>
      <c r="B332" s="11">
        <v>1.42078695652173E9</v>
      </c>
      <c r="C332" s="2">
        <v>-102.3608322</v>
      </c>
      <c r="D332" s="24">
        <f t="shared" si="1"/>
        <v>386956.5217</v>
      </c>
      <c r="E332" s="25">
        <f t="shared" si="2"/>
        <v>-82.64665189</v>
      </c>
      <c r="F332" s="24">
        <f t="shared" si="3"/>
        <v>0.0002135812352</v>
      </c>
      <c r="G332" s="24">
        <f t="shared" si="4"/>
        <v>0</v>
      </c>
      <c r="H332" s="26">
        <f t="shared" si="5"/>
        <v>0</v>
      </c>
      <c r="I332" s="24">
        <f t="shared" si="6"/>
        <v>0</v>
      </c>
      <c r="J332" s="24">
        <f t="shared" si="7"/>
        <v>0</v>
      </c>
      <c r="K332" s="24"/>
      <c r="L332" s="24">
        <f t="shared" si="8"/>
        <v>441.5937798</v>
      </c>
      <c r="M332" s="14">
        <f t="shared" si="9"/>
        <v>421.4725036</v>
      </c>
      <c r="N332" s="27">
        <f t="shared" si="10"/>
        <v>20.12127617</v>
      </c>
      <c r="O332" s="24"/>
      <c r="P332" s="24"/>
      <c r="Q332" s="24"/>
      <c r="R332" s="26"/>
      <c r="S332" s="14">
        <f t="shared" si="13"/>
        <v>18.4772901</v>
      </c>
      <c r="U332" s="21"/>
      <c r="V332" s="21"/>
    </row>
    <row r="333">
      <c r="A333" s="11">
        <v>321.0</v>
      </c>
      <c r="B333" s="11">
        <v>1.42079130434782E9</v>
      </c>
      <c r="C333" s="2">
        <v>-102.3829727</v>
      </c>
      <c r="D333" s="24">
        <f t="shared" si="1"/>
        <v>391304.3478</v>
      </c>
      <c r="E333" s="25">
        <f t="shared" si="2"/>
        <v>-83.56494802</v>
      </c>
      <c r="F333" s="24">
        <f t="shared" si="3"/>
        <v>0.0002135548672</v>
      </c>
      <c r="G333" s="24">
        <f t="shared" si="4"/>
        <v>0</v>
      </c>
      <c r="H333" s="26">
        <f t="shared" si="5"/>
        <v>0</v>
      </c>
      <c r="I333" s="24">
        <f t="shared" si="6"/>
        <v>0</v>
      </c>
      <c r="J333" s="24">
        <f t="shared" si="7"/>
        <v>0</v>
      </c>
      <c r="K333" s="24"/>
      <c r="L333" s="24">
        <f t="shared" si="8"/>
        <v>439.3482465</v>
      </c>
      <c r="M333" s="14">
        <f t="shared" si="9"/>
        <v>421.3854399</v>
      </c>
      <c r="N333" s="27">
        <f t="shared" si="10"/>
        <v>17.9628066</v>
      </c>
      <c r="O333" s="24"/>
      <c r="P333" s="24"/>
      <c r="Q333" s="24"/>
      <c r="R333" s="26"/>
      <c r="S333" s="14">
        <f t="shared" si="13"/>
        <v>16.49517583</v>
      </c>
      <c r="U333" s="21"/>
      <c r="V333" s="21"/>
    </row>
    <row r="334">
      <c r="A334" s="11">
        <v>322.0</v>
      </c>
      <c r="B334" s="11">
        <v>1.42079565217391E9</v>
      </c>
      <c r="C334" s="2">
        <v>-102.4354477</v>
      </c>
      <c r="D334" s="24">
        <f t="shared" si="1"/>
        <v>395652.1739</v>
      </c>
      <c r="E334" s="25">
        <f t="shared" si="2"/>
        <v>-84.48324416</v>
      </c>
      <c r="F334" s="24">
        <f t="shared" si="3"/>
        <v>0.0002135290786</v>
      </c>
      <c r="G334" s="24">
        <f t="shared" si="4"/>
        <v>0</v>
      </c>
      <c r="H334" s="26">
        <f t="shared" si="5"/>
        <v>0</v>
      </c>
      <c r="I334" s="24">
        <f t="shared" si="6"/>
        <v>0</v>
      </c>
      <c r="J334" s="24">
        <f t="shared" si="7"/>
        <v>0</v>
      </c>
      <c r="K334" s="24"/>
      <c r="L334" s="24">
        <f t="shared" si="8"/>
        <v>434.0716252</v>
      </c>
      <c r="M334" s="14">
        <f t="shared" si="9"/>
        <v>421.298027</v>
      </c>
      <c r="N334" s="27">
        <f t="shared" si="10"/>
        <v>12.77359816</v>
      </c>
      <c r="O334" s="24"/>
      <c r="P334" s="24"/>
      <c r="Q334" s="24"/>
      <c r="R334" s="26"/>
      <c r="S334" s="14">
        <f t="shared" si="13"/>
        <v>11.72994576</v>
      </c>
      <c r="U334" s="21"/>
      <c r="V334" s="21"/>
    </row>
    <row r="335">
      <c r="A335" s="11">
        <v>323.0</v>
      </c>
      <c r="B335" s="11">
        <v>1.4208E9</v>
      </c>
      <c r="C335" s="2">
        <v>-102.3555603</v>
      </c>
      <c r="D335" s="24">
        <f t="shared" si="1"/>
        <v>400000</v>
      </c>
      <c r="E335" s="25">
        <f t="shared" si="2"/>
        <v>-85.40154029</v>
      </c>
      <c r="F335" s="24">
        <f t="shared" si="3"/>
        <v>0.0002135038507</v>
      </c>
      <c r="G335" s="24">
        <f t="shared" si="4"/>
        <v>0</v>
      </c>
      <c r="H335" s="26">
        <f t="shared" si="5"/>
        <v>0</v>
      </c>
      <c r="I335" s="24">
        <f t="shared" si="6"/>
        <v>0</v>
      </c>
      <c r="J335" s="24">
        <f t="shared" si="7"/>
        <v>0</v>
      </c>
      <c r="K335" s="24"/>
      <c r="L335" s="24">
        <f t="shared" si="8"/>
        <v>442.1301559</v>
      </c>
      <c r="M335" s="14">
        <f t="shared" si="9"/>
        <v>421.2102627</v>
      </c>
      <c r="N335" s="27">
        <f t="shared" si="10"/>
        <v>20.91989319</v>
      </c>
      <c r="O335" s="24"/>
      <c r="P335" s="24"/>
      <c r="Q335" s="24"/>
      <c r="R335" s="26"/>
      <c r="S335" s="14">
        <f t="shared" si="13"/>
        <v>19.21065701</v>
      </c>
      <c r="U335" s="21"/>
      <c r="V335" s="21"/>
    </row>
    <row r="336">
      <c r="A336" s="11">
        <v>324.0</v>
      </c>
      <c r="B336" s="11">
        <v>1.42080434782608E9</v>
      </c>
      <c r="C336" s="2">
        <v>-102.414711</v>
      </c>
      <c r="D336" s="24">
        <f t="shared" si="1"/>
        <v>404347.8261</v>
      </c>
      <c r="E336" s="25">
        <f t="shared" si="2"/>
        <v>-86.31983642</v>
      </c>
      <c r="F336" s="24">
        <f t="shared" si="3"/>
        <v>0.0002134791653</v>
      </c>
      <c r="G336" s="24">
        <f t="shared" si="4"/>
        <v>0</v>
      </c>
      <c r="H336" s="26">
        <f t="shared" si="5"/>
        <v>0</v>
      </c>
      <c r="I336" s="24">
        <f t="shared" si="6"/>
        <v>0</v>
      </c>
      <c r="J336" s="24">
        <f t="shared" si="7"/>
        <v>0</v>
      </c>
      <c r="K336" s="24"/>
      <c r="L336" s="24">
        <f t="shared" si="8"/>
        <v>436.1491871</v>
      </c>
      <c r="M336" s="14">
        <f t="shared" si="9"/>
        <v>421.1221446</v>
      </c>
      <c r="N336" s="27">
        <f t="shared" si="10"/>
        <v>15.02704255</v>
      </c>
      <c r="O336" s="24"/>
      <c r="P336" s="24"/>
      <c r="Q336" s="24"/>
      <c r="R336" s="26"/>
      <c r="S336" s="14">
        <f t="shared" si="13"/>
        <v>13.79927506</v>
      </c>
      <c r="U336" s="21"/>
      <c r="V336" s="21"/>
    </row>
    <row r="337">
      <c r="A337" s="11">
        <v>325.0</v>
      </c>
      <c r="B337" s="11">
        <v>1.42080869565217E9</v>
      </c>
      <c r="C337" s="2">
        <v>-102.4853821</v>
      </c>
      <c r="D337" s="24">
        <f t="shared" si="1"/>
        <v>408695.6522</v>
      </c>
      <c r="E337" s="25">
        <f t="shared" si="2"/>
        <v>-87.23813255</v>
      </c>
      <c r="F337" s="24">
        <f t="shared" si="3"/>
        <v>0.0002134550052</v>
      </c>
      <c r="G337" s="24">
        <f t="shared" si="4"/>
        <v>0</v>
      </c>
      <c r="H337" s="26">
        <f t="shared" si="5"/>
        <v>0</v>
      </c>
      <c r="I337" s="24">
        <f t="shared" si="6"/>
        <v>0</v>
      </c>
      <c r="J337" s="24">
        <f t="shared" si="7"/>
        <v>0</v>
      </c>
      <c r="K337" s="24"/>
      <c r="L337" s="24">
        <f t="shared" si="8"/>
        <v>429.10933</v>
      </c>
      <c r="M337" s="14">
        <f t="shared" si="9"/>
        <v>421.0336702</v>
      </c>
      <c r="N337" s="27">
        <f t="shared" si="10"/>
        <v>8.075659826</v>
      </c>
      <c r="O337" s="24"/>
      <c r="P337" s="24"/>
      <c r="Q337" s="24"/>
      <c r="R337" s="26"/>
      <c r="S337" s="14">
        <f t="shared" si="13"/>
        <v>7.415847171</v>
      </c>
      <c r="U337" s="21"/>
      <c r="V337" s="21"/>
    </row>
    <row r="338">
      <c r="A338" s="11">
        <v>326.0</v>
      </c>
      <c r="B338" s="11">
        <v>1.42081304347826E9</v>
      </c>
      <c r="C338" s="2">
        <v>-102.4950027</v>
      </c>
      <c r="D338" s="24">
        <f t="shared" si="1"/>
        <v>413043.4783</v>
      </c>
      <c r="E338" s="25">
        <f t="shared" si="2"/>
        <v>-88.15642868</v>
      </c>
      <c r="F338" s="24">
        <f t="shared" si="3"/>
        <v>0.0002134313537</v>
      </c>
      <c r="G338" s="24">
        <f t="shared" si="4"/>
        <v>0</v>
      </c>
      <c r="H338" s="26">
        <f t="shared" si="5"/>
        <v>0</v>
      </c>
      <c r="I338" s="24">
        <f t="shared" si="6"/>
        <v>0</v>
      </c>
      <c r="J338" s="24">
        <f t="shared" si="7"/>
        <v>0</v>
      </c>
      <c r="K338" s="24"/>
      <c r="L338" s="24">
        <f t="shared" si="8"/>
        <v>428.1598084</v>
      </c>
      <c r="M338" s="14">
        <f t="shared" si="9"/>
        <v>420.9448372</v>
      </c>
      <c r="N338" s="27">
        <f t="shared" si="10"/>
        <v>7.214971179</v>
      </c>
      <c r="O338" s="24"/>
      <c r="P338" s="24"/>
      <c r="Q338" s="24"/>
      <c r="R338" s="26"/>
      <c r="S338" s="14">
        <f t="shared" si="13"/>
        <v>6.625480132</v>
      </c>
      <c r="U338" s="21"/>
      <c r="V338" s="21"/>
    </row>
    <row r="339">
      <c r="A339" s="11">
        <v>327.0</v>
      </c>
      <c r="B339" s="11">
        <v>1.42081739130434E9</v>
      </c>
      <c r="C339" s="2">
        <v>-102.5009995</v>
      </c>
      <c r="D339" s="24">
        <f t="shared" si="1"/>
        <v>417391.3043</v>
      </c>
      <c r="E339" s="25">
        <f t="shared" si="2"/>
        <v>-89.07472482</v>
      </c>
      <c r="F339" s="24">
        <f t="shared" si="3"/>
        <v>0.0002134081949</v>
      </c>
      <c r="G339" s="24">
        <f t="shared" si="4"/>
        <v>0</v>
      </c>
      <c r="H339" s="26">
        <f t="shared" si="5"/>
        <v>0</v>
      </c>
      <c r="I339" s="24">
        <f t="shared" si="6"/>
        <v>0</v>
      </c>
      <c r="J339" s="24">
        <f t="shared" si="7"/>
        <v>0</v>
      </c>
      <c r="K339" s="24"/>
      <c r="L339" s="24">
        <f t="shared" si="8"/>
        <v>427.5690072</v>
      </c>
      <c r="M339" s="14">
        <f t="shared" si="9"/>
        <v>420.8556432</v>
      </c>
      <c r="N339" s="27">
        <f t="shared" si="10"/>
        <v>6.71336398</v>
      </c>
      <c r="O339" s="24"/>
      <c r="P339" s="24"/>
      <c r="Q339" s="24"/>
      <c r="R339" s="26"/>
      <c r="S339" s="14">
        <f t="shared" si="13"/>
        <v>6.164856181</v>
      </c>
      <c r="U339" s="21"/>
      <c r="V339" s="21"/>
    </row>
    <row r="340">
      <c r="A340" s="11">
        <v>328.0</v>
      </c>
      <c r="B340" s="11">
        <v>1.42082173913043E9</v>
      </c>
      <c r="C340" s="2">
        <v>-102.5307007</v>
      </c>
      <c r="D340" s="24">
        <f t="shared" si="1"/>
        <v>421739.1304</v>
      </c>
      <c r="E340" s="25">
        <f t="shared" si="2"/>
        <v>-89.99302095</v>
      </c>
      <c r="F340" s="24">
        <f t="shared" si="3"/>
        <v>0.0002133855136</v>
      </c>
      <c r="G340" s="24">
        <f t="shared" si="4"/>
        <v>0</v>
      </c>
      <c r="H340" s="26">
        <f t="shared" si="5"/>
        <v>0</v>
      </c>
      <c r="I340" s="24">
        <f t="shared" si="6"/>
        <v>0</v>
      </c>
      <c r="J340" s="24">
        <f t="shared" si="7"/>
        <v>0</v>
      </c>
      <c r="K340" s="24"/>
      <c r="L340" s="24">
        <f t="shared" si="8"/>
        <v>424.6548586</v>
      </c>
      <c r="M340" s="14">
        <f t="shared" si="9"/>
        <v>420.7660859</v>
      </c>
      <c r="N340" s="27">
        <f t="shared" si="10"/>
        <v>3.888772746</v>
      </c>
      <c r="O340" s="24"/>
      <c r="P340" s="24"/>
      <c r="Q340" s="24"/>
      <c r="R340" s="26"/>
      <c r="S340" s="14">
        <f t="shared" si="13"/>
        <v>3.571044965</v>
      </c>
      <c r="U340" s="21"/>
      <c r="V340" s="21"/>
    </row>
    <row r="341">
      <c r="A341" s="11">
        <v>329.0</v>
      </c>
      <c r="B341" s="11">
        <v>1.42082608695652E9</v>
      </c>
      <c r="C341" s="2">
        <v>-102.5578766</v>
      </c>
      <c r="D341" s="24">
        <f t="shared" si="1"/>
        <v>426086.9565</v>
      </c>
      <c r="E341" s="25">
        <f t="shared" si="2"/>
        <v>-90.91131708</v>
      </c>
      <c r="F341" s="24">
        <f t="shared" si="3"/>
        <v>0.0002133632952</v>
      </c>
      <c r="G341" s="24">
        <f t="shared" si="4"/>
        <v>0</v>
      </c>
      <c r="H341" s="26">
        <f t="shared" si="5"/>
        <v>0</v>
      </c>
      <c r="I341" s="24">
        <f t="shared" si="6"/>
        <v>0</v>
      </c>
      <c r="J341" s="24">
        <f t="shared" si="7"/>
        <v>0</v>
      </c>
      <c r="K341" s="24"/>
      <c r="L341" s="24">
        <f t="shared" si="8"/>
        <v>422.005885</v>
      </c>
      <c r="M341" s="14">
        <f t="shared" si="9"/>
        <v>420.6761628</v>
      </c>
      <c r="N341" s="27">
        <f t="shared" si="10"/>
        <v>1.329722187</v>
      </c>
      <c r="O341" s="24"/>
      <c r="P341" s="24"/>
      <c r="Q341" s="24"/>
      <c r="R341" s="26"/>
      <c r="S341" s="14">
        <f t="shared" si="13"/>
        <v>1.221078742</v>
      </c>
      <c r="U341" s="21"/>
      <c r="V341" s="21"/>
    </row>
    <row r="342">
      <c r="A342" s="11">
        <v>330.0</v>
      </c>
      <c r="B342" s="11">
        <v>1.4208304347826E9</v>
      </c>
      <c r="C342" s="2">
        <v>-102.5563736</v>
      </c>
      <c r="D342" s="24">
        <f t="shared" si="1"/>
        <v>430434.7826</v>
      </c>
      <c r="E342" s="25">
        <f t="shared" si="2"/>
        <v>-91.82961321</v>
      </c>
      <c r="F342" s="24">
        <f t="shared" si="3"/>
        <v>0.0002133415256</v>
      </c>
      <c r="G342" s="24">
        <f t="shared" si="4"/>
        <v>0</v>
      </c>
      <c r="H342" s="26">
        <f t="shared" si="5"/>
        <v>0</v>
      </c>
      <c r="I342" s="24">
        <f t="shared" si="6"/>
        <v>0</v>
      </c>
      <c r="J342" s="24">
        <f t="shared" si="7"/>
        <v>0</v>
      </c>
      <c r="K342" s="24"/>
      <c r="L342" s="24">
        <f t="shared" si="8"/>
        <v>422.1519575</v>
      </c>
      <c r="M342" s="14">
        <f t="shared" si="9"/>
        <v>420.5858716</v>
      </c>
      <c r="N342" s="27">
        <f t="shared" si="10"/>
        <v>1.566085837</v>
      </c>
      <c r="O342" s="24"/>
      <c r="P342" s="24"/>
      <c r="Q342" s="24"/>
      <c r="R342" s="26"/>
      <c r="S342" s="14">
        <f t="shared" si="13"/>
        <v>1.438130568</v>
      </c>
      <c r="U342" s="21"/>
      <c r="V342" s="21"/>
    </row>
    <row r="343">
      <c r="A343" s="11">
        <v>331.0</v>
      </c>
      <c r="B343" s="11">
        <v>1.42083478260869E9</v>
      </c>
      <c r="C343" s="2">
        <v>-102.5575333</v>
      </c>
      <c r="D343" s="24">
        <f t="shared" si="1"/>
        <v>434782.6087</v>
      </c>
      <c r="E343" s="25">
        <f t="shared" si="2"/>
        <v>-92.74790935</v>
      </c>
      <c r="F343" s="24">
        <f t="shared" si="3"/>
        <v>0.0002133201915</v>
      </c>
      <c r="G343" s="24">
        <f t="shared" si="4"/>
        <v>0</v>
      </c>
      <c r="H343" s="26">
        <f t="shared" si="5"/>
        <v>0</v>
      </c>
      <c r="I343" s="24">
        <f t="shared" si="6"/>
        <v>0</v>
      </c>
      <c r="J343" s="24">
        <f t="shared" si="7"/>
        <v>0</v>
      </c>
      <c r="K343" s="24"/>
      <c r="L343" s="24">
        <f t="shared" si="8"/>
        <v>422.0392449</v>
      </c>
      <c r="M343" s="14">
        <f t="shared" si="9"/>
        <v>420.4952099</v>
      </c>
      <c r="N343" s="27">
        <f t="shared" si="10"/>
        <v>1.54403501</v>
      </c>
      <c r="O343" s="24"/>
      <c r="P343" s="24"/>
      <c r="Q343" s="24"/>
      <c r="R343" s="26"/>
      <c r="S343" s="14">
        <f t="shared" si="13"/>
        <v>1.417881379</v>
      </c>
      <c r="U343" s="21"/>
      <c r="V343" s="21"/>
    </row>
    <row r="344">
      <c r="A344" s="11">
        <v>332.0</v>
      </c>
      <c r="B344" s="11">
        <v>1.42083913043478E9</v>
      </c>
      <c r="C344" s="2">
        <v>-102.5533524</v>
      </c>
      <c r="D344" s="24">
        <f t="shared" si="1"/>
        <v>439130.4348</v>
      </c>
      <c r="E344" s="25">
        <f t="shared" si="2"/>
        <v>-93.66620548</v>
      </c>
      <c r="F344" s="24">
        <f t="shared" si="3"/>
        <v>0.0002132992798</v>
      </c>
      <c r="G344" s="24">
        <f t="shared" si="4"/>
        <v>0</v>
      </c>
      <c r="H344" s="26">
        <f t="shared" si="5"/>
        <v>0</v>
      </c>
      <c r="I344" s="24">
        <f t="shared" si="6"/>
        <v>0</v>
      </c>
      <c r="J344" s="24">
        <f t="shared" si="7"/>
        <v>0</v>
      </c>
      <c r="K344" s="24"/>
      <c r="L344" s="24">
        <f t="shared" si="8"/>
        <v>422.4457326</v>
      </c>
      <c r="M344" s="14">
        <f t="shared" si="9"/>
        <v>420.4041754</v>
      </c>
      <c r="N344" s="27">
        <f t="shared" si="10"/>
        <v>2.041557249</v>
      </c>
      <c r="O344" s="24"/>
      <c r="P344" s="24"/>
      <c r="Q344" s="24"/>
      <c r="R344" s="26"/>
      <c r="S344" s="14">
        <f t="shared" si="13"/>
        <v>1.874754122</v>
      </c>
      <c r="U344" s="21"/>
      <c r="V344" s="21"/>
    </row>
    <row r="345">
      <c r="A345" s="11">
        <v>333.0</v>
      </c>
      <c r="B345" s="11">
        <v>1.42084347826087E9</v>
      </c>
      <c r="C345" s="2">
        <v>-102.5553818</v>
      </c>
      <c r="D345" s="24">
        <f t="shared" si="1"/>
        <v>443478.2609</v>
      </c>
      <c r="E345" s="25">
        <f t="shared" si="2"/>
        <v>-94.58450161</v>
      </c>
      <c r="F345" s="24">
        <f t="shared" si="3"/>
        <v>0.0002132787781</v>
      </c>
      <c r="G345" s="24">
        <f t="shared" si="4"/>
        <v>0</v>
      </c>
      <c r="H345" s="26">
        <f t="shared" si="5"/>
        <v>0</v>
      </c>
      <c r="I345" s="24">
        <f t="shared" si="6"/>
        <v>0</v>
      </c>
      <c r="J345" s="24">
        <f t="shared" si="7"/>
        <v>0</v>
      </c>
      <c r="K345" s="24"/>
      <c r="L345" s="24">
        <f t="shared" si="8"/>
        <v>422.2483755</v>
      </c>
      <c r="M345" s="14">
        <f t="shared" si="9"/>
        <v>420.3127655</v>
      </c>
      <c r="N345" s="27">
        <f t="shared" si="10"/>
        <v>1.935609961</v>
      </c>
      <c r="O345" s="24"/>
      <c r="P345" s="24"/>
      <c r="Q345" s="24"/>
      <c r="R345" s="26"/>
      <c r="S345" s="14">
        <f t="shared" si="13"/>
        <v>1.777463142</v>
      </c>
      <c r="U345" s="21"/>
      <c r="V345" s="21"/>
    </row>
    <row r="346">
      <c r="A346" s="11">
        <v>334.0</v>
      </c>
      <c r="B346" s="11">
        <v>1.42084782608695E9</v>
      </c>
      <c r="C346" s="2">
        <v>-102.5429382</v>
      </c>
      <c r="D346" s="24">
        <f t="shared" si="1"/>
        <v>447826.087</v>
      </c>
      <c r="E346" s="25">
        <f t="shared" si="2"/>
        <v>-95.50279774</v>
      </c>
      <c r="F346" s="24">
        <f t="shared" si="3"/>
        <v>0.0002132586746</v>
      </c>
      <c r="G346" s="24">
        <f t="shared" si="4"/>
        <v>0</v>
      </c>
      <c r="H346" s="26">
        <f t="shared" si="5"/>
        <v>0</v>
      </c>
      <c r="I346" s="24">
        <f t="shared" si="6"/>
        <v>0</v>
      </c>
      <c r="J346" s="24">
        <f t="shared" si="7"/>
        <v>0</v>
      </c>
      <c r="K346" s="24"/>
      <c r="L346" s="24">
        <f t="shared" si="8"/>
        <v>423.4599553</v>
      </c>
      <c r="M346" s="14">
        <f t="shared" si="9"/>
        <v>420.220978</v>
      </c>
      <c r="N346" s="27">
        <f t="shared" si="10"/>
        <v>3.2389773</v>
      </c>
      <c r="O346" s="24"/>
      <c r="P346" s="24"/>
      <c r="Q346" s="24"/>
      <c r="R346" s="26"/>
      <c r="S346" s="14">
        <f t="shared" si="13"/>
        <v>2.974340329</v>
      </c>
      <c r="U346" s="21"/>
      <c r="V346" s="21"/>
    </row>
    <row r="347">
      <c r="A347" s="11">
        <v>335.0</v>
      </c>
      <c r="B347" s="11">
        <v>1.42085217391304E9</v>
      </c>
      <c r="C347" s="2">
        <v>-102.5495071</v>
      </c>
      <c r="D347" s="24">
        <f t="shared" si="1"/>
        <v>452173.913</v>
      </c>
      <c r="E347" s="25">
        <f t="shared" si="2"/>
        <v>-96.42109387</v>
      </c>
      <c r="F347" s="24">
        <f t="shared" si="3"/>
        <v>0.0002132389576</v>
      </c>
      <c r="G347" s="24">
        <f t="shared" si="4"/>
        <v>0</v>
      </c>
      <c r="H347" s="26">
        <f t="shared" si="5"/>
        <v>0</v>
      </c>
      <c r="I347" s="24">
        <f t="shared" si="6"/>
        <v>0</v>
      </c>
      <c r="J347" s="24">
        <f t="shared" si="7"/>
        <v>0</v>
      </c>
      <c r="K347" s="24"/>
      <c r="L347" s="24">
        <f t="shared" si="8"/>
        <v>422.8199372</v>
      </c>
      <c r="M347" s="14">
        <f t="shared" si="9"/>
        <v>420.1288105</v>
      </c>
      <c r="N347" s="27">
        <f t="shared" si="10"/>
        <v>2.691126653</v>
      </c>
      <c r="O347" s="24"/>
      <c r="P347" s="24"/>
      <c r="Q347" s="24"/>
      <c r="R347" s="26"/>
      <c r="S347" s="14">
        <f t="shared" si="13"/>
        <v>2.471251193</v>
      </c>
      <c r="U347" s="21"/>
      <c r="V347" s="21"/>
    </row>
    <row r="348">
      <c r="A348" s="11">
        <v>336.0</v>
      </c>
      <c r="B348" s="11">
        <v>1.42085652173913E9</v>
      </c>
      <c r="C348" s="2">
        <v>-102.5538254</v>
      </c>
      <c r="D348" s="24">
        <f t="shared" si="1"/>
        <v>456521.7391</v>
      </c>
      <c r="E348" s="25">
        <f t="shared" si="2"/>
        <v>-97.33939</v>
      </c>
      <c r="F348" s="24">
        <f t="shared" si="3"/>
        <v>0.0002132196162</v>
      </c>
      <c r="G348" s="24">
        <f t="shared" si="4"/>
        <v>0</v>
      </c>
      <c r="H348" s="26">
        <f t="shared" si="5"/>
        <v>0</v>
      </c>
      <c r="I348" s="24">
        <f t="shared" si="6"/>
        <v>0</v>
      </c>
      <c r="J348" s="24">
        <f t="shared" si="7"/>
        <v>0</v>
      </c>
      <c r="K348" s="24"/>
      <c r="L348" s="24">
        <f t="shared" si="8"/>
        <v>422.3997256</v>
      </c>
      <c r="M348" s="14">
        <f t="shared" si="9"/>
        <v>420.0362607</v>
      </c>
      <c r="N348" s="27">
        <f t="shared" si="10"/>
        <v>2.363464922</v>
      </c>
      <c r="O348" s="24"/>
      <c r="P348" s="24"/>
      <c r="Q348" s="24"/>
      <c r="R348" s="26"/>
      <c r="S348" s="14">
        <f t="shared" si="13"/>
        <v>2.170360698</v>
      </c>
      <c r="U348" s="21"/>
      <c r="V348" s="21"/>
    </row>
    <row r="349">
      <c r="A349" s="11">
        <v>337.0</v>
      </c>
      <c r="B349" s="11">
        <v>1.42086086956521E9</v>
      </c>
      <c r="C349" s="2">
        <v>-102.5450821</v>
      </c>
      <c r="D349" s="24">
        <f t="shared" si="1"/>
        <v>460869.5652</v>
      </c>
      <c r="E349" s="25">
        <f t="shared" si="2"/>
        <v>-98.25768614</v>
      </c>
      <c r="F349" s="24">
        <f t="shared" si="3"/>
        <v>0.0002132006397</v>
      </c>
      <c r="G349" s="24">
        <f t="shared" si="4"/>
        <v>0</v>
      </c>
      <c r="H349" s="26">
        <f t="shared" si="5"/>
        <v>0</v>
      </c>
      <c r="I349" s="24">
        <f t="shared" si="6"/>
        <v>0</v>
      </c>
      <c r="J349" s="24">
        <f t="shared" si="7"/>
        <v>0</v>
      </c>
      <c r="K349" s="24"/>
      <c r="L349" s="24">
        <f t="shared" si="8"/>
        <v>423.2509654</v>
      </c>
      <c r="M349" s="14">
        <f t="shared" si="9"/>
        <v>419.943326</v>
      </c>
      <c r="N349" s="27">
        <f t="shared" si="10"/>
        <v>3.307639416</v>
      </c>
      <c r="O349" s="24"/>
      <c r="P349" s="24"/>
      <c r="Q349" s="24"/>
      <c r="R349" s="26"/>
      <c r="S349" s="14">
        <f t="shared" si="13"/>
        <v>3.037392484</v>
      </c>
      <c r="U349" s="21"/>
      <c r="V349" s="21"/>
    </row>
    <row r="350">
      <c r="A350" s="11">
        <v>338.0</v>
      </c>
      <c r="B350" s="11">
        <v>1.4208652173913E9</v>
      </c>
      <c r="C350" s="2">
        <v>-102.5926208</v>
      </c>
      <c r="D350" s="24">
        <f t="shared" si="1"/>
        <v>465217.3913</v>
      </c>
      <c r="E350" s="25">
        <f t="shared" si="2"/>
        <v>-99.17598227</v>
      </c>
      <c r="F350" s="24">
        <f t="shared" si="3"/>
        <v>0.000213182018</v>
      </c>
      <c r="G350" s="24">
        <f t="shared" si="4"/>
        <v>0</v>
      </c>
      <c r="H350" s="26">
        <f t="shared" si="5"/>
        <v>0</v>
      </c>
      <c r="I350" s="24">
        <f t="shared" si="6"/>
        <v>0</v>
      </c>
      <c r="J350" s="24">
        <f t="shared" si="7"/>
        <v>0</v>
      </c>
      <c r="K350" s="24"/>
      <c r="L350" s="24">
        <f t="shared" si="8"/>
        <v>418.6432443</v>
      </c>
      <c r="M350" s="14">
        <f t="shared" si="9"/>
        <v>419.8500042</v>
      </c>
      <c r="N350" s="27">
        <f t="shared" si="10"/>
        <v>-1.206759825</v>
      </c>
      <c r="O350" s="24"/>
      <c r="P350" s="24"/>
      <c r="Q350" s="24"/>
      <c r="R350" s="26"/>
      <c r="S350" s="14">
        <f t="shared" si="13"/>
        <v>-1.108162878</v>
      </c>
      <c r="U350" s="21"/>
      <c r="V350" s="21"/>
    </row>
    <row r="351">
      <c r="A351" s="11">
        <v>339.0</v>
      </c>
      <c r="B351" s="11">
        <v>1.42086956521739E9</v>
      </c>
      <c r="C351" s="2">
        <v>-102.6190643</v>
      </c>
      <c r="D351" s="24">
        <f t="shared" si="1"/>
        <v>469565.2174</v>
      </c>
      <c r="E351" s="25">
        <f t="shared" si="2"/>
        <v>-100.0942784</v>
      </c>
      <c r="F351" s="24">
        <f t="shared" si="3"/>
        <v>0.000213163741</v>
      </c>
      <c r="G351" s="24">
        <f t="shared" si="4"/>
        <v>0</v>
      </c>
      <c r="H351" s="26">
        <f t="shared" si="5"/>
        <v>0</v>
      </c>
      <c r="I351" s="24">
        <f t="shared" si="6"/>
        <v>0</v>
      </c>
      <c r="J351" s="24">
        <f t="shared" si="7"/>
        <v>0</v>
      </c>
      <c r="K351" s="24"/>
      <c r="L351" s="24">
        <f t="shared" si="8"/>
        <v>416.1019369</v>
      </c>
      <c r="M351" s="14">
        <f t="shared" si="9"/>
        <v>419.7562928</v>
      </c>
      <c r="N351" s="27">
        <f t="shared" si="10"/>
        <v>-3.654355912</v>
      </c>
      <c r="O351" s="24"/>
      <c r="P351" s="24"/>
      <c r="Q351" s="24"/>
      <c r="R351" s="26"/>
      <c r="S351" s="14">
        <f t="shared" si="13"/>
        <v>-3.355780902</v>
      </c>
      <c r="U351" s="21"/>
      <c r="V351" s="21"/>
    </row>
    <row r="352">
      <c r="A352" s="11">
        <v>340.0</v>
      </c>
      <c r="B352" s="11">
        <v>1.42087391304347E9</v>
      </c>
      <c r="C352" s="2">
        <v>-102.5703812</v>
      </c>
      <c r="D352" s="24">
        <f t="shared" si="1"/>
        <v>473913.0435</v>
      </c>
      <c r="E352" s="25">
        <f t="shared" si="2"/>
        <v>-101.0125745</v>
      </c>
      <c r="F352" s="24">
        <f t="shared" si="3"/>
        <v>0.0002131457995</v>
      </c>
      <c r="G352" s="24">
        <f t="shared" si="4"/>
        <v>0</v>
      </c>
      <c r="H352" s="26">
        <f t="shared" si="5"/>
        <v>0</v>
      </c>
      <c r="I352" s="24">
        <f t="shared" si="6"/>
        <v>0</v>
      </c>
      <c r="J352" s="24">
        <f t="shared" si="7"/>
        <v>0</v>
      </c>
      <c r="K352" s="24"/>
      <c r="L352" s="24">
        <f t="shared" si="8"/>
        <v>420.7925551</v>
      </c>
      <c r="M352" s="14">
        <f t="shared" si="9"/>
        <v>419.6621895</v>
      </c>
      <c r="N352" s="27">
        <f t="shared" si="10"/>
        <v>1.130365515</v>
      </c>
      <c r="O352" s="24"/>
      <c r="P352" s="24"/>
      <c r="Q352" s="24"/>
      <c r="R352" s="26"/>
      <c r="S352" s="14">
        <f t="shared" si="13"/>
        <v>1.038010281</v>
      </c>
      <c r="U352" s="21"/>
      <c r="V352" s="21"/>
    </row>
    <row r="353">
      <c r="A353" s="11">
        <v>341.0</v>
      </c>
      <c r="B353" s="11">
        <v>1.42087826086956E9</v>
      </c>
      <c r="C353" s="2">
        <v>-102.5787506</v>
      </c>
      <c r="D353" s="24">
        <f t="shared" si="1"/>
        <v>478260.8696</v>
      </c>
      <c r="E353" s="25">
        <f t="shared" si="2"/>
        <v>-101.9308707</v>
      </c>
      <c r="F353" s="24">
        <f t="shared" si="3"/>
        <v>0.0002131281841</v>
      </c>
      <c r="G353" s="24">
        <f t="shared" si="4"/>
        <v>0</v>
      </c>
      <c r="H353" s="26">
        <f t="shared" si="5"/>
        <v>0</v>
      </c>
      <c r="I353" s="24">
        <f t="shared" si="6"/>
        <v>0</v>
      </c>
      <c r="J353" s="24">
        <f t="shared" si="7"/>
        <v>0</v>
      </c>
      <c r="K353" s="24"/>
      <c r="L353" s="24">
        <f t="shared" si="8"/>
        <v>419.9824158</v>
      </c>
      <c r="M353" s="14">
        <f t="shared" si="9"/>
        <v>419.567692</v>
      </c>
      <c r="N353" s="27">
        <f t="shared" si="10"/>
        <v>0.4147238625</v>
      </c>
      <c r="O353" s="24"/>
      <c r="P353" s="24"/>
      <c r="Q353" s="24"/>
      <c r="R353" s="26"/>
      <c r="S353" s="14">
        <f t="shared" si="13"/>
        <v>0.3808393182</v>
      </c>
      <c r="U353" s="21"/>
      <c r="V353" s="21"/>
    </row>
    <row r="354">
      <c r="A354" s="11">
        <v>342.0</v>
      </c>
      <c r="B354" s="11">
        <v>1.42088260869565E9</v>
      </c>
      <c r="C354" s="2">
        <v>-102.5926285</v>
      </c>
      <c r="D354" s="24">
        <f t="shared" si="1"/>
        <v>482608.6957</v>
      </c>
      <c r="E354" s="25">
        <f t="shared" si="2"/>
        <v>-102.8491668</v>
      </c>
      <c r="F354" s="24">
        <f t="shared" si="3"/>
        <v>0.0002131108862</v>
      </c>
      <c r="G354" s="24">
        <f t="shared" si="4"/>
        <v>0</v>
      </c>
      <c r="H354" s="26">
        <f t="shared" si="5"/>
        <v>0</v>
      </c>
      <c r="I354" s="24">
        <f t="shared" si="6"/>
        <v>0</v>
      </c>
      <c r="J354" s="24">
        <f t="shared" si="7"/>
        <v>0</v>
      </c>
      <c r="K354" s="24"/>
      <c r="L354" s="24">
        <f t="shared" si="8"/>
        <v>418.6425021</v>
      </c>
      <c r="M354" s="14">
        <f t="shared" si="9"/>
        <v>419.4727977</v>
      </c>
      <c r="N354" s="27">
        <f t="shared" si="10"/>
        <v>-0.8302956332</v>
      </c>
      <c r="O354" s="24"/>
      <c r="P354" s="24"/>
      <c r="Q354" s="24"/>
      <c r="R354" s="26"/>
      <c r="S354" s="14">
        <f t="shared" si="13"/>
        <v>-0.7624572691</v>
      </c>
      <c r="U354" s="21"/>
      <c r="V354" s="21"/>
    </row>
    <row r="355">
      <c r="A355" s="11">
        <v>343.0</v>
      </c>
      <c r="B355" s="11">
        <v>1.42088695652173E9</v>
      </c>
      <c r="C355" s="2">
        <v>-102.6263046</v>
      </c>
      <c r="D355" s="24">
        <f t="shared" si="1"/>
        <v>486956.5217</v>
      </c>
      <c r="E355" s="25">
        <f t="shared" si="2"/>
        <v>-103.7674629</v>
      </c>
      <c r="F355" s="24">
        <f t="shared" si="3"/>
        <v>0.0002130938971</v>
      </c>
      <c r="G355" s="24">
        <f t="shared" si="4"/>
        <v>0</v>
      </c>
      <c r="H355" s="26">
        <f t="shared" si="5"/>
        <v>0</v>
      </c>
      <c r="I355" s="24">
        <f t="shared" si="6"/>
        <v>0</v>
      </c>
      <c r="J355" s="24">
        <f t="shared" si="7"/>
        <v>0</v>
      </c>
      <c r="K355" s="24"/>
      <c r="L355" s="24">
        <f t="shared" si="8"/>
        <v>415.4088144</v>
      </c>
      <c r="M355" s="14">
        <f t="shared" si="9"/>
        <v>419.3775044</v>
      </c>
      <c r="N355" s="27">
        <f t="shared" si="10"/>
        <v>-3.968690075</v>
      </c>
      <c r="O355" s="24"/>
      <c r="P355" s="24"/>
      <c r="Q355" s="24"/>
      <c r="R355" s="26"/>
      <c r="S355" s="14">
        <f t="shared" si="13"/>
        <v>-3.644432748</v>
      </c>
      <c r="U355" s="21"/>
      <c r="V355" s="21"/>
    </row>
    <row r="356">
      <c r="A356" s="11">
        <v>344.0</v>
      </c>
      <c r="B356" s="11">
        <v>1.42089130434782E9</v>
      </c>
      <c r="C356" s="2">
        <v>-102.5680084</v>
      </c>
      <c r="D356" s="24">
        <f t="shared" si="1"/>
        <v>491304.3478</v>
      </c>
      <c r="E356" s="25">
        <f t="shared" si="2"/>
        <v>-104.6857591</v>
      </c>
      <c r="F356" s="24">
        <f t="shared" si="3"/>
        <v>0.0002130772087</v>
      </c>
      <c r="G356" s="24">
        <f t="shared" si="4"/>
        <v>0</v>
      </c>
      <c r="H356" s="26">
        <f t="shared" si="5"/>
        <v>0</v>
      </c>
      <c r="I356" s="24">
        <f t="shared" si="6"/>
        <v>0</v>
      </c>
      <c r="J356" s="24">
        <f t="shared" si="7"/>
        <v>0</v>
      </c>
      <c r="K356" s="24"/>
      <c r="L356" s="24">
        <f t="shared" si="8"/>
        <v>421.022521</v>
      </c>
      <c r="M356" s="14">
        <f t="shared" si="9"/>
        <v>419.2818097</v>
      </c>
      <c r="N356" s="27">
        <f t="shared" si="10"/>
        <v>1.740711284</v>
      </c>
      <c r="O356" s="24"/>
      <c r="P356" s="24"/>
      <c r="Q356" s="24"/>
      <c r="R356" s="26"/>
      <c r="S356" s="14">
        <f t="shared" si="13"/>
        <v>1.598488441</v>
      </c>
      <c r="U356" s="21"/>
      <c r="V356" s="21"/>
    </row>
    <row r="357">
      <c r="A357" s="11">
        <v>345.0</v>
      </c>
      <c r="B357" s="11">
        <v>1.42089565217391E9</v>
      </c>
      <c r="C357" s="2">
        <v>-102.5640945</v>
      </c>
      <c r="D357" s="24">
        <f t="shared" si="1"/>
        <v>495652.1739</v>
      </c>
      <c r="E357" s="25">
        <f t="shared" si="2"/>
        <v>-105.6040552</v>
      </c>
      <c r="F357" s="24">
        <f t="shared" si="3"/>
        <v>0.0002130608131</v>
      </c>
      <c r="G357" s="24">
        <f t="shared" si="4"/>
        <v>0</v>
      </c>
      <c r="H357" s="26">
        <f t="shared" si="5"/>
        <v>0</v>
      </c>
      <c r="I357" s="24">
        <f t="shared" si="6"/>
        <v>0</v>
      </c>
      <c r="J357" s="24">
        <f t="shared" si="7"/>
        <v>0</v>
      </c>
      <c r="K357" s="24"/>
      <c r="L357" s="24">
        <f t="shared" si="8"/>
        <v>421.4021212</v>
      </c>
      <c r="M357" s="14">
        <f t="shared" si="9"/>
        <v>419.1857112</v>
      </c>
      <c r="N357" s="27">
        <f t="shared" si="10"/>
        <v>2.216410038</v>
      </c>
      <c r="O357" s="24"/>
      <c r="P357" s="24"/>
      <c r="Q357" s="24"/>
      <c r="R357" s="26"/>
      <c r="S357" s="14">
        <f t="shared" si="13"/>
        <v>2.035320762</v>
      </c>
      <c r="U357" s="21"/>
      <c r="V357" s="21"/>
    </row>
    <row r="358">
      <c r="A358" s="11">
        <v>346.0</v>
      </c>
      <c r="B358" s="11">
        <v>1.4209E9</v>
      </c>
      <c r="C358" s="2">
        <v>-102.5613327</v>
      </c>
      <c r="D358" s="24">
        <f t="shared" si="1"/>
        <v>500000</v>
      </c>
      <c r="E358" s="25">
        <f t="shared" si="2"/>
        <v>-106.5223513</v>
      </c>
      <c r="F358" s="24">
        <f t="shared" si="3"/>
        <v>0.0002130447027</v>
      </c>
      <c r="G358" s="24">
        <f t="shared" si="4"/>
        <v>0</v>
      </c>
      <c r="H358" s="26">
        <f t="shared" si="5"/>
        <v>0</v>
      </c>
      <c r="I358" s="24">
        <f t="shared" si="6"/>
        <v>0</v>
      </c>
      <c r="J358" s="24">
        <f t="shared" si="7"/>
        <v>0</v>
      </c>
      <c r="K358" s="24"/>
      <c r="L358" s="24">
        <f t="shared" si="8"/>
        <v>421.6701878</v>
      </c>
      <c r="M358" s="14">
        <f t="shared" si="9"/>
        <v>419.0892064</v>
      </c>
      <c r="N358" s="27">
        <f t="shared" si="10"/>
        <v>2.580981381</v>
      </c>
      <c r="O358" s="24"/>
      <c r="P358" s="24"/>
      <c r="Q358" s="24"/>
      <c r="R358" s="26"/>
      <c r="S358" s="14">
        <f t="shared" si="13"/>
        <v>2.370105221</v>
      </c>
      <c r="U358" s="21"/>
      <c r="V358" s="21"/>
    </row>
    <row r="359">
      <c r="A359" s="11">
        <v>347.0</v>
      </c>
      <c r="B359" s="11">
        <v>1.42090434782608E9</v>
      </c>
      <c r="C359" s="2">
        <v>-102.5528488</v>
      </c>
      <c r="D359" s="24">
        <f t="shared" si="1"/>
        <v>504347.8261</v>
      </c>
      <c r="E359" s="25">
        <f t="shared" si="2"/>
        <v>-107.4406475</v>
      </c>
      <c r="F359" s="24">
        <f t="shared" si="3"/>
        <v>0.00021302887</v>
      </c>
      <c r="G359" s="24">
        <f t="shared" si="4"/>
        <v>0</v>
      </c>
      <c r="H359" s="26">
        <f t="shared" si="5"/>
        <v>0</v>
      </c>
      <c r="I359" s="24">
        <f t="shared" si="6"/>
        <v>0</v>
      </c>
      <c r="J359" s="24">
        <f t="shared" si="7"/>
        <v>0</v>
      </c>
      <c r="K359" s="24"/>
      <c r="L359" s="24">
        <f t="shared" si="8"/>
        <v>422.4947215</v>
      </c>
      <c r="M359" s="14">
        <f t="shared" si="9"/>
        <v>418.9922931</v>
      </c>
      <c r="N359" s="27">
        <f t="shared" si="10"/>
        <v>3.502428342</v>
      </c>
      <c r="O359" s="24"/>
      <c r="P359" s="24"/>
      <c r="Q359" s="24"/>
      <c r="R359" s="26"/>
      <c r="S359" s="14">
        <f t="shared" si="13"/>
        <v>3.216266402</v>
      </c>
      <c r="U359" s="21"/>
      <c r="V359" s="21"/>
    </row>
    <row r="360">
      <c r="A360" s="11">
        <v>348.0</v>
      </c>
      <c r="B360" s="11">
        <v>1.42090869565217E9</v>
      </c>
      <c r="C360" s="2">
        <v>-102.619133</v>
      </c>
      <c r="D360" s="24">
        <f t="shared" si="1"/>
        <v>508695.6522</v>
      </c>
      <c r="E360" s="25">
        <f t="shared" si="2"/>
        <v>-108.3589436</v>
      </c>
      <c r="F360" s="24">
        <f t="shared" si="3"/>
        <v>0.0002130133079</v>
      </c>
      <c r="G360" s="24">
        <f t="shared" si="4"/>
        <v>0</v>
      </c>
      <c r="H360" s="26">
        <f t="shared" si="5"/>
        <v>0</v>
      </c>
      <c r="I360" s="24">
        <f t="shared" si="6"/>
        <v>0</v>
      </c>
      <c r="J360" s="24">
        <f t="shared" si="7"/>
        <v>0</v>
      </c>
      <c r="K360" s="24"/>
      <c r="L360" s="24">
        <f t="shared" si="8"/>
        <v>416.0953547</v>
      </c>
      <c r="M360" s="14">
        <f t="shared" si="9"/>
        <v>418.8949689</v>
      </c>
      <c r="N360" s="27">
        <f t="shared" si="10"/>
        <v>-2.799614158</v>
      </c>
      <c r="O360" s="24"/>
      <c r="P360" s="24"/>
      <c r="Q360" s="24"/>
      <c r="R360" s="26"/>
      <c r="S360" s="14">
        <f t="shared" si="13"/>
        <v>-2.570874849</v>
      </c>
      <c r="U360" s="21"/>
      <c r="V360" s="21"/>
    </row>
    <row r="361">
      <c r="A361" s="11">
        <v>349.0</v>
      </c>
      <c r="B361" s="11">
        <v>1.42091304347826E9</v>
      </c>
      <c r="C361" s="2">
        <v>-102.6357422</v>
      </c>
      <c r="D361" s="24">
        <f t="shared" si="1"/>
        <v>513043.4783</v>
      </c>
      <c r="E361" s="25">
        <f t="shared" si="2"/>
        <v>-109.2772397</v>
      </c>
      <c r="F361" s="24">
        <f t="shared" si="3"/>
        <v>0.0002129980096</v>
      </c>
      <c r="G361" s="24">
        <f t="shared" si="4"/>
        <v>0</v>
      </c>
      <c r="H361" s="26">
        <f t="shared" si="5"/>
        <v>0</v>
      </c>
      <c r="I361" s="24">
        <f t="shared" si="6"/>
        <v>0</v>
      </c>
      <c r="J361" s="24">
        <f t="shared" si="7"/>
        <v>0</v>
      </c>
      <c r="K361" s="24"/>
      <c r="L361" s="24">
        <f t="shared" si="8"/>
        <v>414.5070747</v>
      </c>
      <c r="M361" s="14">
        <f t="shared" si="9"/>
        <v>418.7972313</v>
      </c>
      <c r="N361" s="27">
        <f t="shared" si="10"/>
        <v>-4.290156611</v>
      </c>
      <c r="O361" s="24"/>
      <c r="P361" s="24"/>
      <c r="Q361" s="24"/>
      <c r="R361" s="26"/>
      <c r="S361" s="14">
        <f t="shared" si="13"/>
        <v>-3.939634225</v>
      </c>
      <c r="U361" s="21"/>
      <c r="V361" s="21"/>
    </row>
    <row r="362">
      <c r="A362" s="11">
        <v>350.0</v>
      </c>
      <c r="B362" s="11">
        <v>1.42091739130434E9</v>
      </c>
      <c r="C362" s="2">
        <v>-102.5632782</v>
      </c>
      <c r="D362" s="24">
        <f t="shared" si="1"/>
        <v>517391.3043</v>
      </c>
      <c r="E362" s="25">
        <f t="shared" si="2"/>
        <v>-110.1955359</v>
      </c>
      <c r="F362" s="24">
        <f t="shared" si="3"/>
        <v>0.0002129829685</v>
      </c>
      <c r="G362" s="24">
        <f t="shared" si="4"/>
        <v>0</v>
      </c>
      <c r="H362" s="26">
        <f t="shared" si="5"/>
        <v>0</v>
      </c>
      <c r="I362" s="24">
        <f t="shared" si="6"/>
        <v>0</v>
      </c>
      <c r="J362" s="24">
        <f t="shared" si="7"/>
        <v>0</v>
      </c>
      <c r="K362" s="24"/>
      <c r="L362" s="24">
        <f t="shared" si="8"/>
        <v>421.4813354</v>
      </c>
      <c r="M362" s="14">
        <f t="shared" si="9"/>
        <v>418.699078</v>
      </c>
      <c r="N362" s="27">
        <f t="shared" si="10"/>
        <v>2.782257373</v>
      </c>
      <c r="O362" s="24"/>
      <c r="P362" s="24"/>
      <c r="Q362" s="24"/>
      <c r="R362" s="26"/>
      <c r="S362" s="14">
        <f t="shared" si="13"/>
        <v>2.554936186</v>
      </c>
      <c r="U362" s="21"/>
      <c r="V362" s="21"/>
    </row>
    <row r="363">
      <c r="A363" s="11">
        <v>351.0</v>
      </c>
      <c r="B363" s="11">
        <v>1.42092173913043E9</v>
      </c>
      <c r="C363" s="2">
        <v>-102.5623779</v>
      </c>
      <c r="D363" s="24">
        <f t="shared" si="1"/>
        <v>521739.1304</v>
      </c>
      <c r="E363" s="25">
        <f t="shared" si="2"/>
        <v>-111.113832</v>
      </c>
      <c r="F363" s="24">
        <f t="shared" si="3"/>
        <v>0.000212968178</v>
      </c>
      <c r="G363" s="24">
        <f t="shared" si="4"/>
        <v>0</v>
      </c>
      <c r="H363" s="26">
        <f t="shared" si="5"/>
        <v>0</v>
      </c>
      <c r="I363" s="24">
        <f t="shared" si="6"/>
        <v>0</v>
      </c>
      <c r="J363" s="24">
        <f t="shared" si="7"/>
        <v>0</v>
      </c>
      <c r="K363" s="24"/>
      <c r="L363" s="24">
        <f t="shared" si="8"/>
        <v>421.5687183</v>
      </c>
      <c r="M363" s="14">
        <f t="shared" si="9"/>
        <v>418.6005067</v>
      </c>
      <c r="N363" s="27">
        <f t="shared" si="10"/>
        <v>2.968211615</v>
      </c>
      <c r="O363" s="24"/>
      <c r="P363" s="24"/>
      <c r="Q363" s="24"/>
      <c r="R363" s="26"/>
      <c r="S363" s="14">
        <f t="shared" si="13"/>
        <v>2.725697241</v>
      </c>
      <c r="U363" s="21"/>
      <c r="V363" s="21"/>
    </row>
    <row r="364">
      <c r="A364" s="11">
        <v>352.0</v>
      </c>
      <c r="B364" s="11">
        <v>1.42092608695652E9</v>
      </c>
      <c r="C364" s="2">
        <v>-102.5909805</v>
      </c>
      <c r="D364" s="24">
        <f t="shared" si="1"/>
        <v>526086.9565</v>
      </c>
      <c r="E364" s="25">
        <f t="shared" si="2"/>
        <v>-112.0321281</v>
      </c>
      <c r="F364" s="24">
        <f t="shared" si="3"/>
        <v>0.000212953632</v>
      </c>
      <c r="G364" s="24">
        <f t="shared" si="4"/>
        <v>0</v>
      </c>
      <c r="H364" s="26">
        <f t="shared" si="5"/>
        <v>0</v>
      </c>
      <c r="I364" s="24">
        <f t="shared" si="6"/>
        <v>0</v>
      </c>
      <c r="J364" s="24">
        <f t="shared" si="7"/>
        <v>0</v>
      </c>
      <c r="K364" s="24"/>
      <c r="L364" s="24">
        <f t="shared" si="8"/>
        <v>418.8013928</v>
      </c>
      <c r="M364" s="14">
        <f t="shared" si="9"/>
        <v>418.5015148</v>
      </c>
      <c r="N364" s="27">
        <f t="shared" si="10"/>
        <v>0.2998780265</v>
      </c>
      <c r="O364" s="24"/>
      <c r="P364" s="24"/>
      <c r="Q364" s="24"/>
      <c r="R364" s="26"/>
      <c r="S364" s="14">
        <f t="shared" si="13"/>
        <v>0.275376832</v>
      </c>
      <c r="U364" s="21"/>
      <c r="V364" s="21"/>
    </row>
    <row r="365">
      <c r="A365" s="11">
        <v>353.0</v>
      </c>
      <c r="B365" s="11">
        <v>1.4209304347826E9</v>
      </c>
      <c r="C365" s="2">
        <v>-102.6863861</v>
      </c>
      <c r="D365" s="24">
        <f t="shared" si="1"/>
        <v>530434.7826</v>
      </c>
      <c r="E365" s="25">
        <f t="shared" si="2"/>
        <v>-112.9504243</v>
      </c>
      <c r="F365" s="24">
        <f t="shared" si="3"/>
        <v>0.0002129393244</v>
      </c>
      <c r="G365" s="24">
        <f t="shared" si="4"/>
        <v>0</v>
      </c>
      <c r="H365" s="26">
        <f t="shared" si="5"/>
        <v>0</v>
      </c>
      <c r="I365" s="24">
        <f t="shared" si="6"/>
        <v>0</v>
      </c>
      <c r="J365" s="24">
        <f t="shared" si="7"/>
        <v>0</v>
      </c>
      <c r="K365" s="24"/>
      <c r="L365" s="24">
        <f t="shared" si="8"/>
        <v>409.7015032</v>
      </c>
      <c r="M365" s="14">
        <f t="shared" si="9"/>
        <v>418.4021001</v>
      </c>
      <c r="N365" s="27">
        <f t="shared" si="10"/>
        <v>-8.700596939</v>
      </c>
      <c r="O365" s="24"/>
      <c r="P365" s="24"/>
      <c r="Q365" s="24"/>
      <c r="R365" s="26"/>
      <c r="S365" s="14">
        <f t="shared" si="13"/>
        <v>-7.989724522</v>
      </c>
      <c r="U365" s="21"/>
      <c r="V365" s="21"/>
    </row>
    <row r="366">
      <c r="A366" s="11">
        <v>354.0</v>
      </c>
      <c r="B366" s="11">
        <v>1.42093478260869E9</v>
      </c>
      <c r="C366" s="2">
        <v>-102.6177063</v>
      </c>
      <c r="D366" s="24">
        <f t="shared" si="1"/>
        <v>534782.6087</v>
      </c>
      <c r="E366" s="25">
        <f t="shared" si="2"/>
        <v>-113.8687204</v>
      </c>
      <c r="F366" s="24">
        <f t="shared" si="3"/>
        <v>0.0002129252495</v>
      </c>
      <c r="G366" s="24">
        <f t="shared" si="4"/>
        <v>0</v>
      </c>
      <c r="H366" s="26">
        <f t="shared" si="5"/>
        <v>0</v>
      </c>
      <c r="I366" s="24">
        <f t="shared" si="6"/>
        <v>0</v>
      </c>
      <c r="J366" s="24">
        <f t="shared" si="7"/>
        <v>0</v>
      </c>
      <c r="K366" s="24"/>
      <c r="L366" s="24">
        <f t="shared" si="8"/>
        <v>416.2320686</v>
      </c>
      <c r="M366" s="14">
        <f t="shared" si="9"/>
        <v>418.3022602</v>
      </c>
      <c r="N366" s="27">
        <f t="shared" si="10"/>
        <v>-2.070191624</v>
      </c>
      <c r="O366" s="24"/>
      <c r="P366" s="24"/>
      <c r="Q366" s="24"/>
      <c r="R366" s="26"/>
      <c r="S366" s="14">
        <f t="shared" si="13"/>
        <v>-1.901048962</v>
      </c>
      <c r="U366" s="21"/>
      <c r="V366" s="21"/>
    </row>
    <row r="367">
      <c r="A367" s="11">
        <v>355.0</v>
      </c>
      <c r="B367" s="11">
        <v>1.42093913043478E9</v>
      </c>
      <c r="C367" s="2">
        <v>-102.5471649</v>
      </c>
      <c r="D367" s="24">
        <f t="shared" si="1"/>
        <v>539130.4348</v>
      </c>
      <c r="E367" s="25">
        <f t="shared" si="2"/>
        <v>-114.7870165</v>
      </c>
      <c r="F367" s="24">
        <f t="shared" si="3"/>
        <v>0.0002129114016</v>
      </c>
      <c r="G367" s="24">
        <f t="shared" si="4"/>
        <v>0</v>
      </c>
      <c r="H367" s="26">
        <f t="shared" si="5"/>
        <v>0</v>
      </c>
      <c r="I367" s="24">
        <f t="shared" si="6"/>
        <v>0</v>
      </c>
      <c r="J367" s="24">
        <f t="shared" si="7"/>
        <v>0</v>
      </c>
      <c r="K367" s="24"/>
      <c r="L367" s="24">
        <f t="shared" si="8"/>
        <v>423.0480304</v>
      </c>
      <c r="M367" s="14">
        <f t="shared" si="9"/>
        <v>418.2019927</v>
      </c>
      <c r="N367" s="27">
        <f t="shared" si="10"/>
        <v>4.846037646</v>
      </c>
      <c r="O367" s="24"/>
      <c r="P367" s="24"/>
      <c r="Q367" s="24"/>
      <c r="R367" s="26"/>
      <c r="S367" s="14">
        <f t="shared" si="13"/>
        <v>4.450097619</v>
      </c>
      <c r="U367" s="21"/>
      <c r="V367" s="21"/>
    </row>
    <row r="368">
      <c r="A368" s="11">
        <v>356.0</v>
      </c>
      <c r="B368" s="11">
        <v>1.42094347826087E9</v>
      </c>
      <c r="C368" s="2">
        <v>-102.6262512</v>
      </c>
      <c r="D368" s="24">
        <f t="shared" si="1"/>
        <v>543478.2609</v>
      </c>
      <c r="E368" s="25">
        <f t="shared" si="2"/>
        <v>-115.7053126</v>
      </c>
      <c r="F368" s="24">
        <f t="shared" si="3"/>
        <v>0.0002128977753</v>
      </c>
      <c r="G368" s="24">
        <f t="shared" si="4"/>
        <v>0</v>
      </c>
      <c r="H368" s="26">
        <f t="shared" si="5"/>
        <v>0</v>
      </c>
      <c r="I368" s="24">
        <f t="shared" si="6"/>
        <v>0</v>
      </c>
      <c r="J368" s="24">
        <f t="shared" si="7"/>
        <v>0</v>
      </c>
      <c r="K368" s="24"/>
      <c r="L368" s="24">
        <f t="shared" si="8"/>
        <v>415.4139222</v>
      </c>
      <c r="M368" s="14">
        <f t="shared" si="9"/>
        <v>418.1012952</v>
      </c>
      <c r="N368" s="27">
        <f t="shared" si="10"/>
        <v>-2.687373031</v>
      </c>
      <c r="O368" s="24"/>
      <c r="P368" s="24"/>
      <c r="Q368" s="24"/>
      <c r="R368" s="26"/>
      <c r="S368" s="14">
        <f t="shared" si="13"/>
        <v>-2.467804262</v>
      </c>
      <c r="U368" s="21"/>
      <c r="V368" s="21"/>
    </row>
    <row r="369">
      <c r="A369" s="11">
        <v>357.0</v>
      </c>
      <c r="B369" s="11">
        <v>1.42094782608695E9</v>
      </c>
      <c r="C369" s="2">
        <v>-102.5519943</v>
      </c>
      <c r="D369" s="24">
        <f t="shared" si="1"/>
        <v>547826.087</v>
      </c>
      <c r="E369" s="25">
        <f t="shared" si="2"/>
        <v>-116.6236088</v>
      </c>
      <c r="F369" s="24">
        <f t="shared" si="3"/>
        <v>0.0002128843652</v>
      </c>
      <c r="G369" s="24">
        <f t="shared" si="4"/>
        <v>0</v>
      </c>
      <c r="H369" s="26">
        <f t="shared" si="5"/>
        <v>0</v>
      </c>
      <c r="I369" s="24">
        <f t="shared" si="6"/>
        <v>0</v>
      </c>
      <c r="J369" s="24">
        <f t="shared" si="7"/>
        <v>0</v>
      </c>
      <c r="K369" s="24"/>
      <c r="L369" s="24">
        <f t="shared" si="8"/>
        <v>422.577858</v>
      </c>
      <c r="M369" s="14">
        <f t="shared" si="9"/>
        <v>418.0001653</v>
      </c>
      <c r="N369" s="27">
        <f t="shared" si="10"/>
        <v>4.577692647</v>
      </c>
      <c r="O369" s="24"/>
      <c r="P369" s="24"/>
      <c r="Q369" s="24"/>
      <c r="R369" s="26"/>
      <c r="S369" s="14">
        <f t="shared" si="13"/>
        <v>4.203677455</v>
      </c>
      <c r="U369" s="21"/>
      <c r="V369" s="21"/>
    </row>
    <row r="370">
      <c r="A370" s="11">
        <v>358.0</v>
      </c>
      <c r="B370" s="11">
        <v>1.42095217391304E9</v>
      </c>
      <c r="C370" s="2">
        <v>-102.601944</v>
      </c>
      <c r="D370" s="24">
        <f t="shared" si="1"/>
        <v>552173.913</v>
      </c>
      <c r="E370" s="25">
        <f t="shared" si="2"/>
        <v>-117.5419049</v>
      </c>
      <c r="F370" s="24">
        <f t="shared" si="3"/>
        <v>0.0002128711664</v>
      </c>
      <c r="G370" s="24">
        <f t="shared" si="4"/>
        <v>0</v>
      </c>
      <c r="H370" s="26">
        <f t="shared" si="5"/>
        <v>0</v>
      </c>
      <c r="I370" s="24">
        <f t="shared" si="6"/>
        <v>0</v>
      </c>
      <c r="J370" s="24">
        <f t="shared" si="7"/>
        <v>0</v>
      </c>
      <c r="K370" s="24"/>
      <c r="L370" s="24">
        <f t="shared" si="8"/>
        <v>417.7454875</v>
      </c>
      <c r="M370" s="14">
        <f t="shared" si="9"/>
        <v>417.8986007</v>
      </c>
      <c r="N370" s="27">
        <f t="shared" si="10"/>
        <v>-0.1531131857</v>
      </c>
      <c r="O370" s="24"/>
      <c r="P370" s="24"/>
      <c r="Q370" s="24"/>
      <c r="R370" s="26"/>
      <c r="S370" s="14">
        <f t="shared" si="13"/>
        <v>-0.140603246</v>
      </c>
      <c r="U370" s="21"/>
      <c r="V370" s="21"/>
    </row>
    <row r="371">
      <c r="A371" s="11">
        <v>359.0</v>
      </c>
      <c r="B371" s="11">
        <v>1.42095652173913E9</v>
      </c>
      <c r="C371" s="2">
        <v>-102.5584641</v>
      </c>
      <c r="D371" s="24">
        <f t="shared" si="1"/>
        <v>556521.7391</v>
      </c>
      <c r="E371" s="25">
        <f t="shared" si="2"/>
        <v>-118.460201</v>
      </c>
      <c r="F371" s="24">
        <f t="shared" si="3"/>
        <v>0.0002128581738</v>
      </c>
      <c r="G371" s="24">
        <f t="shared" si="4"/>
        <v>0</v>
      </c>
      <c r="H371" s="26">
        <f t="shared" si="5"/>
        <v>0</v>
      </c>
      <c r="I371" s="24">
        <f t="shared" si="6"/>
        <v>0</v>
      </c>
      <c r="J371" s="24">
        <f t="shared" si="7"/>
        <v>0</v>
      </c>
      <c r="K371" s="24"/>
      <c r="L371" s="24">
        <f t="shared" si="8"/>
        <v>421.9488012</v>
      </c>
      <c r="M371" s="14">
        <f t="shared" si="9"/>
        <v>417.796599</v>
      </c>
      <c r="N371" s="27">
        <f t="shared" si="10"/>
        <v>4.152202224</v>
      </c>
      <c r="O371" s="24"/>
      <c r="P371" s="24"/>
      <c r="Q371" s="24"/>
      <c r="R371" s="26"/>
      <c r="S371" s="14">
        <f t="shared" si="13"/>
        <v>3.812951245</v>
      </c>
      <c r="U371" s="21"/>
      <c r="V371" s="21"/>
    </row>
    <row r="372">
      <c r="A372" s="11">
        <v>360.0</v>
      </c>
      <c r="B372" s="11">
        <v>1.42096086956521E9</v>
      </c>
      <c r="C372" s="2">
        <v>-102.5761795</v>
      </c>
      <c r="D372" s="24">
        <f t="shared" si="1"/>
        <v>560869.5652</v>
      </c>
      <c r="E372" s="25">
        <f t="shared" si="2"/>
        <v>-119.3784972</v>
      </c>
      <c r="F372" s="24">
        <f t="shared" si="3"/>
        <v>0.0002128453826</v>
      </c>
      <c r="G372" s="24">
        <f t="shared" si="4"/>
        <v>0</v>
      </c>
      <c r="H372" s="26">
        <f t="shared" si="5"/>
        <v>0</v>
      </c>
      <c r="I372" s="24">
        <f t="shared" si="6"/>
        <v>0</v>
      </c>
      <c r="J372" s="24">
        <f t="shared" si="7"/>
        <v>0</v>
      </c>
      <c r="K372" s="24"/>
      <c r="L372" s="24">
        <f t="shared" si="8"/>
        <v>420.2311264</v>
      </c>
      <c r="M372" s="14">
        <f t="shared" si="9"/>
        <v>417.6941578</v>
      </c>
      <c r="N372" s="27">
        <f t="shared" si="10"/>
        <v>2.53696867</v>
      </c>
      <c r="O372" s="24"/>
      <c r="P372" s="24"/>
      <c r="Q372" s="24"/>
      <c r="R372" s="26"/>
      <c r="S372" s="14">
        <f t="shared" si="13"/>
        <v>2.329688519</v>
      </c>
      <c r="U372" s="21"/>
      <c r="V372" s="21"/>
    </row>
    <row r="373">
      <c r="A373" s="11">
        <v>361.0</v>
      </c>
      <c r="B373" s="11">
        <v>1.4209652173913E9</v>
      </c>
      <c r="C373" s="2">
        <v>-102.6376877</v>
      </c>
      <c r="D373" s="24">
        <f t="shared" si="1"/>
        <v>565217.3913</v>
      </c>
      <c r="E373" s="25">
        <f t="shared" si="2"/>
        <v>-120.2967933</v>
      </c>
      <c r="F373" s="24">
        <f t="shared" si="3"/>
        <v>0.0002128327882</v>
      </c>
      <c r="G373" s="24">
        <f t="shared" si="4"/>
        <v>0</v>
      </c>
      <c r="H373" s="26">
        <f t="shared" si="5"/>
        <v>0</v>
      </c>
      <c r="I373" s="24">
        <f t="shared" si="6"/>
        <v>0</v>
      </c>
      <c r="J373" s="24">
        <f t="shared" si="7"/>
        <v>0</v>
      </c>
      <c r="K373" s="24"/>
      <c r="L373" s="24">
        <f t="shared" si="8"/>
        <v>414.3214304</v>
      </c>
      <c r="M373" s="14">
        <f t="shared" si="9"/>
        <v>417.5912747</v>
      </c>
      <c r="N373" s="27">
        <f t="shared" si="10"/>
        <v>-3.269844256</v>
      </c>
      <c r="O373" s="24"/>
      <c r="P373" s="24"/>
      <c r="Q373" s="24"/>
      <c r="R373" s="26"/>
      <c r="S373" s="14">
        <f t="shared" si="13"/>
        <v>-3.002685328</v>
      </c>
      <c r="U373" s="21"/>
      <c r="V373" s="21"/>
    </row>
    <row r="374">
      <c r="A374" s="11">
        <v>362.0</v>
      </c>
      <c r="B374" s="11">
        <v>1.42096956521739E9</v>
      </c>
      <c r="C374" s="2">
        <v>-102.6169128</v>
      </c>
      <c r="D374" s="24">
        <f t="shared" si="1"/>
        <v>569565.2174</v>
      </c>
      <c r="E374" s="25">
        <f t="shared" si="2"/>
        <v>-121.2150894</v>
      </c>
      <c r="F374" s="24">
        <f t="shared" si="3"/>
        <v>0.000212820386</v>
      </c>
      <c r="G374" s="24">
        <f t="shared" si="4"/>
        <v>0</v>
      </c>
      <c r="H374" s="26">
        <f t="shared" si="5"/>
        <v>0</v>
      </c>
      <c r="I374" s="24">
        <f t="shared" si="6"/>
        <v>0</v>
      </c>
      <c r="J374" s="24">
        <f t="shared" si="7"/>
        <v>0</v>
      </c>
      <c r="K374" s="24"/>
      <c r="L374" s="24">
        <f t="shared" si="8"/>
        <v>416.3081254</v>
      </c>
      <c r="M374" s="14">
        <f t="shared" si="9"/>
        <v>417.4879473</v>
      </c>
      <c r="N374" s="27">
        <f t="shared" si="10"/>
        <v>-1.179821939</v>
      </c>
      <c r="O374" s="24"/>
      <c r="P374" s="24"/>
      <c r="Q374" s="24"/>
      <c r="R374" s="26"/>
      <c r="S374" s="14">
        <f t="shared" si="13"/>
        <v>-1.083425924</v>
      </c>
    </row>
    <row r="375">
      <c r="A375" s="11">
        <v>363.0</v>
      </c>
      <c r="B375" s="11">
        <v>1.42097391304347E9</v>
      </c>
      <c r="C375" s="2">
        <v>-102.6103973</v>
      </c>
      <c r="D375" s="24">
        <f t="shared" si="1"/>
        <v>573913.0435</v>
      </c>
      <c r="E375" s="25">
        <f t="shared" si="2"/>
        <v>-122.1333856</v>
      </c>
      <c r="F375" s="24">
        <f t="shared" si="3"/>
        <v>0.0002128081718</v>
      </c>
      <c r="G375" s="24">
        <f t="shared" si="4"/>
        <v>0</v>
      </c>
      <c r="H375" s="26">
        <f t="shared" si="5"/>
        <v>0</v>
      </c>
      <c r="I375" s="24">
        <f t="shared" si="6"/>
        <v>0</v>
      </c>
      <c r="J375" s="24">
        <f t="shared" si="7"/>
        <v>0</v>
      </c>
      <c r="K375" s="24"/>
      <c r="L375" s="24">
        <f t="shared" si="8"/>
        <v>416.9331601</v>
      </c>
      <c r="M375" s="14">
        <f t="shared" si="9"/>
        <v>417.3841733</v>
      </c>
      <c r="N375" s="27">
        <f t="shared" si="10"/>
        <v>-0.4510132114</v>
      </c>
      <c r="O375" s="24"/>
      <c r="P375" s="24"/>
      <c r="Q375" s="24"/>
      <c r="R375" s="26"/>
      <c r="S375" s="14">
        <f t="shared" si="13"/>
        <v>-0.4141636879</v>
      </c>
    </row>
    <row r="376">
      <c r="A376" s="11">
        <v>364.0</v>
      </c>
      <c r="B376" s="11">
        <v>1.42097826086956E9</v>
      </c>
      <c r="C376" s="2">
        <v>-102.6434097</v>
      </c>
      <c r="D376" s="24">
        <f t="shared" si="1"/>
        <v>578260.8696</v>
      </c>
      <c r="E376" s="25">
        <f t="shared" si="2"/>
        <v>-123.0516817</v>
      </c>
      <c r="F376" s="24">
        <f t="shared" si="3"/>
        <v>0.0002127961413</v>
      </c>
      <c r="G376" s="24">
        <f t="shared" si="4"/>
        <v>0</v>
      </c>
      <c r="H376" s="26">
        <f t="shared" si="5"/>
        <v>0</v>
      </c>
      <c r="I376" s="24">
        <f t="shared" si="6"/>
        <v>0</v>
      </c>
      <c r="J376" s="24">
        <f t="shared" si="7"/>
        <v>0</v>
      </c>
      <c r="K376" s="24"/>
      <c r="L376" s="24">
        <f t="shared" si="8"/>
        <v>413.7759051</v>
      </c>
      <c r="M376" s="14">
        <f t="shared" si="9"/>
        <v>417.2799503</v>
      </c>
      <c r="N376" s="27">
        <f t="shared" si="10"/>
        <v>-3.504045115</v>
      </c>
      <c r="O376" s="24"/>
      <c r="P376" s="24"/>
      <c r="Q376" s="24"/>
      <c r="R376" s="26"/>
      <c r="S376" s="14">
        <f t="shared" si="13"/>
        <v>-3.217751071</v>
      </c>
    </row>
    <row r="377">
      <c r="A377" s="11">
        <v>365.0</v>
      </c>
      <c r="B377" s="11">
        <v>1.42098260869565E9</v>
      </c>
      <c r="C377" s="2">
        <v>-102.6179199</v>
      </c>
      <c r="D377" s="24">
        <f t="shared" si="1"/>
        <v>582608.6957</v>
      </c>
      <c r="E377" s="25">
        <f t="shared" si="2"/>
        <v>-123.9699778</v>
      </c>
      <c r="F377" s="24">
        <f t="shared" si="3"/>
        <v>0.0002127842903</v>
      </c>
      <c r="G377" s="24">
        <f t="shared" si="4"/>
        <v>0</v>
      </c>
      <c r="H377" s="26">
        <f t="shared" si="5"/>
        <v>0</v>
      </c>
      <c r="I377" s="24">
        <f t="shared" si="6"/>
        <v>0</v>
      </c>
      <c r="J377" s="24">
        <f t="shared" si="7"/>
        <v>0</v>
      </c>
      <c r="K377" s="24"/>
      <c r="L377" s="24">
        <f t="shared" si="8"/>
        <v>416.2115975</v>
      </c>
      <c r="M377" s="14">
        <f t="shared" si="9"/>
        <v>417.1752758</v>
      </c>
      <c r="N377" s="27">
        <f t="shared" si="10"/>
        <v>-0.9636783654</v>
      </c>
      <c r="O377" s="24"/>
      <c r="P377" s="24"/>
      <c r="Q377" s="24"/>
      <c r="R377" s="26"/>
      <c r="S377" s="14">
        <f t="shared" si="13"/>
        <v>-0.8849421162</v>
      </c>
    </row>
    <row r="378">
      <c r="A378" s="11">
        <v>366.0</v>
      </c>
      <c r="B378" s="11">
        <v>1.42098695652173E9</v>
      </c>
      <c r="C378" s="2">
        <v>-102.5997086</v>
      </c>
      <c r="D378" s="24">
        <f t="shared" si="1"/>
        <v>586956.5217</v>
      </c>
      <c r="E378" s="25">
        <f t="shared" si="2"/>
        <v>-124.888274</v>
      </c>
      <c r="F378" s="24">
        <f t="shared" si="3"/>
        <v>0.0002127726149</v>
      </c>
      <c r="G378" s="24">
        <f t="shared" si="4"/>
        <v>0</v>
      </c>
      <c r="H378" s="26">
        <f t="shared" si="5"/>
        <v>0</v>
      </c>
      <c r="I378" s="24">
        <f t="shared" si="6"/>
        <v>0</v>
      </c>
      <c r="J378" s="24">
        <f t="shared" si="7"/>
        <v>0</v>
      </c>
      <c r="K378" s="24"/>
      <c r="L378" s="24">
        <f t="shared" si="8"/>
        <v>417.9605648</v>
      </c>
      <c r="M378" s="14">
        <f t="shared" si="9"/>
        <v>417.0701476</v>
      </c>
      <c r="N378" s="27">
        <f t="shared" si="10"/>
        <v>0.8904171719</v>
      </c>
      <c r="O378" s="24"/>
      <c r="P378" s="24"/>
      <c r="Q378" s="24"/>
      <c r="R378" s="26"/>
      <c r="S378" s="14">
        <f t="shared" si="13"/>
        <v>0.8176666455</v>
      </c>
    </row>
    <row r="379">
      <c r="A379" s="11">
        <v>367.0</v>
      </c>
      <c r="B379" s="11">
        <v>1.42099130434782E9</v>
      </c>
      <c r="C379" s="2">
        <v>-102.6483154</v>
      </c>
      <c r="D379" s="24">
        <f t="shared" si="1"/>
        <v>591304.3478</v>
      </c>
      <c r="E379" s="25">
        <f t="shared" si="2"/>
        <v>-125.8065701</v>
      </c>
      <c r="F379" s="24">
        <f t="shared" si="3"/>
        <v>0.0002127611112</v>
      </c>
      <c r="G379" s="24">
        <f t="shared" si="4"/>
        <v>0</v>
      </c>
      <c r="H379" s="26">
        <f t="shared" si="5"/>
        <v>0</v>
      </c>
      <c r="I379" s="24">
        <f t="shared" si="6"/>
        <v>0</v>
      </c>
      <c r="J379" s="24">
        <f t="shared" si="7"/>
        <v>0</v>
      </c>
      <c r="K379" s="24"/>
      <c r="L379" s="24">
        <f t="shared" si="8"/>
        <v>413.3087764</v>
      </c>
      <c r="M379" s="14">
        <f t="shared" si="9"/>
        <v>416.9645633</v>
      </c>
      <c r="N379" s="27">
        <f t="shared" si="10"/>
        <v>-3.655786888</v>
      </c>
      <c r="O379" s="24"/>
      <c r="P379" s="24"/>
      <c r="Q379" s="24"/>
      <c r="R379" s="26"/>
      <c r="S379" s="14">
        <f t="shared" si="13"/>
        <v>-3.357094962</v>
      </c>
    </row>
    <row r="380">
      <c r="A380" s="11">
        <v>368.0</v>
      </c>
      <c r="B380" s="11">
        <v>1.42099565217391E9</v>
      </c>
      <c r="C380" s="2">
        <v>-102.632103</v>
      </c>
      <c r="D380" s="24">
        <f t="shared" si="1"/>
        <v>595652.1739</v>
      </c>
      <c r="E380" s="25">
        <f t="shared" si="2"/>
        <v>-126.7248662</v>
      </c>
      <c r="F380" s="24">
        <f t="shared" si="3"/>
        <v>0.0002127497754</v>
      </c>
      <c r="G380" s="24">
        <f t="shared" si="4"/>
        <v>0</v>
      </c>
      <c r="H380" s="26">
        <f t="shared" si="5"/>
        <v>0</v>
      </c>
      <c r="I380" s="24">
        <f t="shared" si="6"/>
        <v>0</v>
      </c>
      <c r="J380" s="24">
        <f t="shared" si="7"/>
        <v>0</v>
      </c>
      <c r="K380" s="24"/>
      <c r="L380" s="24">
        <f t="shared" si="8"/>
        <v>414.8545593</v>
      </c>
      <c r="M380" s="14">
        <f t="shared" si="9"/>
        <v>416.8585204</v>
      </c>
      <c r="N380" s="27">
        <f t="shared" si="10"/>
        <v>-2.003961092</v>
      </c>
      <c r="O380" s="24"/>
      <c r="P380" s="24"/>
      <c r="Q380" s="24"/>
      <c r="R380" s="26"/>
      <c r="S380" s="14">
        <f t="shared" si="13"/>
        <v>-1.840229717</v>
      </c>
    </row>
    <row r="381">
      <c r="A381" s="11">
        <v>369.0</v>
      </c>
      <c r="B381" s="11">
        <v>1.421E9</v>
      </c>
      <c r="C381" s="2">
        <v>-102.6569061</v>
      </c>
      <c r="D381" s="24">
        <f t="shared" si="1"/>
        <v>600000</v>
      </c>
      <c r="E381" s="25">
        <f t="shared" si="2"/>
        <v>-127.6431624</v>
      </c>
      <c r="F381" s="24">
        <f t="shared" si="3"/>
        <v>0.0002127386039</v>
      </c>
      <c r="G381" s="24">
        <f t="shared" si="4"/>
        <v>0</v>
      </c>
      <c r="H381" s="26">
        <f t="shared" si="5"/>
        <v>0</v>
      </c>
      <c r="I381" s="24">
        <f t="shared" si="6"/>
        <v>0</v>
      </c>
      <c r="J381" s="24">
        <f t="shared" si="7"/>
        <v>0</v>
      </c>
      <c r="K381" s="24"/>
      <c r="L381" s="24">
        <f t="shared" si="8"/>
        <v>412.4920259</v>
      </c>
      <c r="M381" s="14">
        <f t="shared" si="9"/>
        <v>416.7520166</v>
      </c>
      <c r="N381" s="27">
        <f t="shared" si="10"/>
        <v>-4.259990672</v>
      </c>
      <c r="O381" s="24"/>
      <c r="P381" s="24"/>
      <c r="Q381" s="24"/>
      <c r="R381" s="26"/>
      <c r="S381" s="14">
        <f t="shared" si="13"/>
        <v>-3.91193296</v>
      </c>
    </row>
    <row r="382">
      <c r="A382" s="11">
        <v>370.0</v>
      </c>
      <c r="B382" s="11">
        <v>1.42100434782608E9</v>
      </c>
      <c r="C382" s="2">
        <v>-102.651001</v>
      </c>
      <c r="D382" s="24">
        <f t="shared" si="1"/>
        <v>604347.8261</v>
      </c>
      <c r="E382" s="25">
        <f t="shared" si="2"/>
        <v>-128.5614585</v>
      </c>
      <c r="F382" s="24">
        <f t="shared" si="3"/>
        <v>0.0002127275932</v>
      </c>
      <c r="G382" s="24">
        <f t="shared" si="4"/>
        <v>0</v>
      </c>
      <c r="H382" s="26">
        <f t="shared" si="5"/>
        <v>0</v>
      </c>
      <c r="I382" s="24">
        <f t="shared" si="6"/>
        <v>0</v>
      </c>
      <c r="J382" s="24">
        <f t="shared" si="7"/>
        <v>0</v>
      </c>
      <c r="K382" s="24"/>
      <c r="L382" s="24">
        <f t="shared" si="8"/>
        <v>413.0532726</v>
      </c>
      <c r="M382" s="14">
        <f t="shared" si="9"/>
        <v>416.6450495</v>
      </c>
      <c r="N382" s="27">
        <f t="shared" si="10"/>
        <v>-3.591776878</v>
      </c>
      <c r="O382" s="24"/>
      <c r="P382" s="24"/>
      <c r="Q382" s="24"/>
      <c r="R382" s="26"/>
      <c r="S382" s="14">
        <f t="shared" si="13"/>
        <v>-3.298314817</v>
      </c>
    </row>
    <row r="383">
      <c r="A383" s="11">
        <v>371.0</v>
      </c>
      <c r="B383" s="11">
        <v>1.42100869565217E9</v>
      </c>
      <c r="C383" s="2">
        <v>-102.6176834</v>
      </c>
      <c r="D383" s="24">
        <f t="shared" si="1"/>
        <v>608695.6522</v>
      </c>
      <c r="E383" s="25">
        <f t="shared" si="2"/>
        <v>-129.4797546</v>
      </c>
      <c r="F383" s="24">
        <f t="shared" si="3"/>
        <v>0.0002127167398</v>
      </c>
      <c r="G383" s="24">
        <f t="shared" si="4"/>
        <v>0</v>
      </c>
      <c r="H383" s="26">
        <f t="shared" si="5"/>
        <v>0</v>
      </c>
      <c r="I383" s="24">
        <f t="shared" si="6"/>
        <v>0</v>
      </c>
      <c r="J383" s="24">
        <f t="shared" si="7"/>
        <v>0</v>
      </c>
      <c r="K383" s="24"/>
      <c r="L383" s="24">
        <f t="shared" si="8"/>
        <v>416.2342634</v>
      </c>
      <c r="M383" s="14">
        <f t="shared" si="9"/>
        <v>416.5376167</v>
      </c>
      <c r="N383" s="27">
        <f t="shared" si="10"/>
        <v>-0.3033533123</v>
      </c>
      <c r="O383" s="24"/>
      <c r="P383" s="24"/>
      <c r="Q383" s="24"/>
      <c r="R383" s="26"/>
      <c r="S383" s="14">
        <f t="shared" si="13"/>
        <v>-0.2785681729</v>
      </c>
    </row>
    <row r="384">
      <c r="A384" s="11">
        <v>372.0</v>
      </c>
      <c r="B384" s="11">
        <v>1.42101304347826E9</v>
      </c>
      <c r="C384" s="2">
        <v>-102.6568375</v>
      </c>
      <c r="D384" s="24">
        <f t="shared" si="1"/>
        <v>613043.4783</v>
      </c>
      <c r="E384" s="25">
        <f t="shared" si="2"/>
        <v>-130.3980508</v>
      </c>
      <c r="F384" s="24">
        <f t="shared" si="3"/>
        <v>0.0002127060402</v>
      </c>
      <c r="G384" s="24">
        <f t="shared" si="4"/>
        <v>0</v>
      </c>
      <c r="H384" s="26">
        <f t="shared" si="5"/>
        <v>0</v>
      </c>
      <c r="I384" s="24">
        <f t="shared" si="6"/>
        <v>0</v>
      </c>
      <c r="J384" s="24">
        <f t="shared" si="7"/>
        <v>0</v>
      </c>
      <c r="K384" s="24"/>
      <c r="L384" s="24">
        <f t="shared" si="8"/>
        <v>412.4985416</v>
      </c>
      <c r="M384" s="14">
        <f t="shared" si="9"/>
        <v>416.4297158</v>
      </c>
      <c r="N384" s="27">
        <f t="shared" si="10"/>
        <v>-3.931174286</v>
      </c>
      <c r="O384" s="24"/>
      <c r="P384" s="24"/>
      <c r="Q384" s="24"/>
      <c r="R384" s="26"/>
      <c r="S384" s="14">
        <f t="shared" si="13"/>
        <v>-3.609982144</v>
      </c>
    </row>
    <row r="385">
      <c r="A385" s="11">
        <v>373.0</v>
      </c>
      <c r="B385" s="11">
        <v>1.42101739130434E9</v>
      </c>
      <c r="C385" s="2">
        <v>-102.6847305</v>
      </c>
      <c r="D385" s="24">
        <f t="shared" si="1"/>
        <v>617391.3043</v>
      </c>
      <c r="E385" s="25">
        <f t="shared" si="2"/>
        <v>-131.3163469</v>
      </c>
      <c r="F385" s="24">
        <f t="shared" si="3"/>
        <v>0.0002126954915</v>
      </c>
      <c r="G385" s="24">
        <f t="shared" si="4"/>
        <v>0</v>
      </c>
      <c r="H385" s="26">
        <f t="shared" si="5"/>
        <v>0</v>
      </c>
      <c r="I385" s="24">
        <f t="shared" si="6"/>
        <v>0</v>
      </c>
      <c r="J385" s="24">
        <f t="shared" si="7"/>
        <v>0</v>
      </c>
      <c r="K385" s="24"/>
      <c r="L385" s="24">
        <f t="shared" si="8"/>
        <v>409.8577177</v>
      </c>
      <c r="M385" s="14">
        <f t="shared" si="9"/>
        <v>416.3213446</v>
      </c>
      <c r="N385" s="27">
        <f t="shared" si="10"/>
        <v>-6.463626843</v>
      </c>
      <c r="O385" s="24"/>
      <c r="P385" s="24"/>
      <c r="Q385" s="24"/>
      <c r="R385" s="26"/>
      <c r="S385" s="14">
        <f t="shared" si="13"/>
        <v>-5.935523534</v>
      </c>
    </row>
    <row r="386">
      <c r="A386" s="11">
        <v>374.0</v>
      </c>
      <c r="B386" s="11">
        <v>1.42102173913043E9</v>
      </c>
      <c r="C386" s="2">
        <v>-102.6237106</v>
      </c>
      <c r="D386" s="24">
        <f t="shared" si="1"/>
        <v>621739.1304</v>
      </c>
      <c r="E386" s="25">
        <f t="shared" si="2"/>
        <v>-132.234643</v>
      </c>
      <c r="F386" s="24">
        <f t="shared" si="3"/>
        <v>0.0002126850902</v>
      </c>
      <c r="G386" s="24">
        <f t="shared" si="4"/>
        <v>0</v>
      </c>
      <c r="H386" s="26">
        <f t="shared" si="5"/>
        <v>0</v>
      </c>
      <c r="I386" s="24">
        <f t="shared" si="6"/>
        <v>0</v>
      </c>
      <c r="J386" s="24">
        <f t="shared" si="7"/>
        <v>0</v>
      </c>
      <c r="K386" s="24"/>
      <c r="L386" s="24">
        <f t="shared" si="8"/>
        <v>415.6570082</v>
      </c>
      <c r="M386" s="14">
        <f t="shared" si="9"/>
        <v>416.2125005</v>
      </c>
      <c r="N386" s="27">
        <f t="shared" si="10"/>
        <v>-0.5554922536</v>
      </c>
      <c r="O386" s="24"/>
      <c r="P386" s="24"/>
      <c r="Q386" s="24"/>
      <c r="R386" s="26"/>
      <c r="S386" s="14">
        <f t="shared" si="13"/>
        <v>-0.5101063871</v>
      </c>
    </row>
    <row r="387">
      <c r="A387" s="11">
        <v>375.0</v>
      </c>
      <c r="B387" s="11">
        <v>1.42102608695652E9</v>
      </c>
      <c r="C387" s="2">
        <v>-102.5962448</v>
      </c>
      <c r="D387" s="24">
        <f t="shared" si="1"/>
        <v>626086.9565</v>
      </c>
      <c r="E387" s="25">
        <f t="shared" si="2"/>
        <v>-133.1529392</v>
      </c>
      <c r="F387" s="24">
        <f t="shared" si="3"/>
        <v>0.0002126748334</v>
      </c>
      <c r="G387" s="24">
        <f t="shared" si="4"/>
        <v>0</v>
      </c>
      <c r="H387" s="26">
        <f t="shared" si="5"/>
        <v>0</v>
      </c>
      <c r="I387" s="24">
        <f t="shared" si="6"/>
        <v>0</v>
      </c>
      <c r="J387" s="24">
        <f t="shared" si="7"/>
        <v>0</v>
      </c>
      <c r="K387" s="24"/>
      <c r="L387" s="24">
        <f t="shared" si="8"/>
        <v>418.2940503</v>
      </c>
      <c r="M387" s="14">
        <f t="shared" si="9"/>
        <v>416.1031812</v>
      </c>
      <c r="N387" s="27">
        <f t="shared" si="10"/>
        <v>2.190869115</v>
      </c>
      <c r="O387" s="24"/>
      <c r="P387" s="24"/>
      <c r="Q387" s="24"/>
      <c r="R387" s="26"/>
      <c r="S387" s="14">
        <f t="shared" si="13"/>
        <v>2.011866636</v>
      </c>
    </row>
    <row r="388">
      <c r="A388" s="11">
        <v>376.0</v>
      </c>
      <c r="B388" s="11">
        <v>1.4210304347826E9</v>
      </c>
      <c r="C388" s="2">
        <v>-102.6380386</v>
      </c>
      <c r="D388" s="24">
        <f t="shared" si="1"/>
        <v>630434.7826</v>
      </c>
      <c r="E388" s="25">
        <f t="shared" si="2"/>
        <v>-134.0712353</v>
      </c>
      <c r="F388" s="24">
        <f t="shared" si="3"/>
        <v>0.0002126647181</v>
      </c>
      <c r="G388" s="24">
        <f t="shared" si="4"/>
        <v>0</v>
      </c>
      <c r="H388" s="26">
        <f t="shared" si="5"/>
        <v>0</v>
      </c>
      <c r="I388" s="24">
        <f t="shared" si="6"/>
        <v>0</v>
      </c>
      <c r="J388" s="24">
        <f t="shared" si="7"/>
        <v>0</v>
      </c>
      <c r="K388" s="24"/>
      <c r="L388" s="24">
        <f t="shared" si="8"/>
        <v>414.2879555</v>
      </c>
      <c r="M388" s="14">
        <f t="shared" si="9"/>
        <v>415.9933844</v>
      </c>
      <c r="N388" s="27">
        <f t="shared" si="10"/>
        <v>-1.705428843</v>
      </c>
      <c r="O388" s="24"/>
      <c r="P388" s="24"/>
      <c r="Q388" s="24"/>
      <c r="R388" s="26"/>
      <c r="S388" s="14">
        <f t="shared" si="13"/>
        <v>-1.566088711</v>
      </c>
    </row>
    <row r="389">
      <c r="A389" s="11">
        <v>377.0</v>
      </c>
      <c r="B389" s="11">
        <v>1.42103478260869E9</v>
      </c>
      <c r="C389" s="2">
        <v>-102.7059402</v>
      </c>
      <c r="D389" s="24">
        <f t="shared" si="1"/>
        <v>634782.6087</v>
      </c>
      <c r="E389" s="25">
        <f t="shared" si="2"/>
        <v>-134.9895314</v>
      </c>
      <c r="F389" s="24">
        <f t="shared" si="3"/>
        <v>0.0002126547413</v>
      </c>
      <c r="G389" s="24">
        <f t="shared" si="4"/>
        <v>0</v>
      </c>
      <c r="H389" s="26">
        <f t="shared" si="5"/>
        <v>0</v>
      </c>
      <c r="I389" s="24">
        <f t="shared" si="6"/>
        <v>0</v>
      </c>
      <c r="J389" s="24">
        <f t="shared" si="7"/>
        <v>0</v>
      </c>
      <c r="K389" s="24"/>
      <c r="L389" s="24">
        <f t="shared" si="8"/>
        <v>407.8609696</v>
      </c>
      <c r="M389" s="14">
        <f t="shared" si="9"/>
        <v>415.8831076</v>
      </c>
      <c r="N389" s="27">
        <f t="shared" si="10"/>
        <v>-8.022137957</v>
      </c>
      <c r="O389" s="24"/>
      <c r="P389" s="24"/>
      <c r="Q389" s="24"/>
      <c r="R389" s="26"/>
      <c r="S389" s="14">
        <f t="shared" si="13"/>
        <v>-7.366698263</v>
      </c>
    </row>
    <row r="390">
      <c r="A390" s="11">
        <v>378.0</v>
      </c>
      <c r="B390" s="11">
        <v>1.42103913043478E9</v>
      </c>
      <c r="C390" s="2">
        <v>-102.618187</v>
      </c>
      <c r="D390" s="24">
        <f t="shared" si="1"/>
        <v>639130.4348</v>
      </c>
      <c r="E390" s="25">
        <f t="shared" si="2"/>
        <v>-135.9078276</v>
      </c>
      <c r="F390" s="24">
        <f t="shared" si="3"/>
        <v>0.0002126449003</v>
      </c>
      <c r="G390" s="24">
        <f t="shared" si="4"/>
        <v>0</v>
      </c>
      <c r="H390" s="26">
        <f t="shared" si="5"/>
        <v>0</v>
      </c>
      <c r="I390" s="24">
        <f t="shared" si="6"/>
        <v>0</v>
      </c>
      <c r="J390" s="24">
        <f t="shared" si="7"/>
        <v>0</v>
      </c>
      <c r="K390" s="24"/>
      <c r="L390" s="24">
        <f t="shared" si="8"/>
        <v>416.1860004</v>
      </c>
      <c r="M390" s="14">
        <f t="shared" si="9"/>
        <v>415.7723485</v>
      </c>
      <c r="N390" s="27">
        <f t="shared" si="10"/>
        <v>0.4136519158</v>
      </c>
      <c r="O390" s="24"/>
      <c r="P390" s="24"/>
      <c r="Q390" s="24"/>
      <c r="R390" s="26"/>
      <c r="S390" s="14">
        <f t="shared" si="13"/>
        <v>0.3798549537</v>
      </c>
    </row>
    <row r="391">
      <c r="A391" s="11">
        <v>379.0</v>
      </c>
      <c r="B391" s="11">
        <v>1.42104347826087E9</v>
      </c>
      <c r="C391" s="2">
        <v>-102.6193237</v>
      </c>
      <c r="D391" s="24">
        <f t="shared" si="1"/>
        <v>643478.2609</v>
      </c>
      <c r="E391" s="25">
        <f t="shared" si="2"/>
        <v>-136.8261237</v>
      </c>
      <c r="F391" s="24">
        <f t="shared" si="3"/>
        <v>0.0002126351922</v>
      </c>
      <c r="G391" s="24">
        <f t="shared" si="4"/>
        <v>0</v>
      </c>
      <c r="H391" s="26">
        <f t="shared" si="5"/>
        <v>0</v>
      </c>
      <c r="I391" s="24">
        <f t="shared" si="6"/>
        <v>0</v>
      </c>
      <c r="J391" s="24">
        <f t="shared" si="7"/>
        <v>0</v>
      </c>
      <c r="K391" s="24"/>
      <c r="L391" s="24">
        <f t="shared" si="8"/>
        <v>416.0770843</v>
      </c>
      <c r="M391" s="14">
        <f t="shared" si="9"/>
        <v>415.6611046</v>
      </c>
      <c r="N391" s="27">
        <f t="shared" si="10"/>
        <v>0.4159796189</v>
      </c>
      <c r="O391" s="24"/>
      <c r="P391" s="24"/>
      <c r="Q391" s="24"/>
      <c r="R391" s="26"/>
      <c r="S391" s="14">
        <f t="shared" si="13"/>
        <v>0.3819924753</v>
      </c>
    </row>
    <row r="392">
      <c r="A392" s="11">
        <v>380.0</v>
      </c>
      <c r="B392" s="11">
        <v>1.42104782608695E9</v>
      </c>
      <c r="C392" s="2">
        <v>-102.6211014</v>
      </c>
      <c r="D392" s="24">
        <f t="shared" si="1"/>
        <v>647826.087</v>
      </c>
      <c r="E392" s="25">
        <f t="shared" si="2"/>
        <v>-137.7444198</v>
      </c>
      <c r="F392" s="24">
        <f t="shared" si="3"/>
        <v>0.0002126256145</v>
      </c>
      <c r="G392" s="24">
        <f t="shared" si="4"/>
        <v>0</v>
      </c>
      <c r="H392" s="26">
        <f t="shared" si="5"/>
        <v>0</v>
      </c>
      <c r="I392" s="24">
        <f t="shared" si="6"/>
        <v>0</v>
      </c>
      <c r="J392" s="24">
        <f t="shared" si="7"/>
        <v>0</v>
      </c>
      <c r="K392" s="24"/>
      <c r="L392" s="24">
        <f t="shared" si="8"/>
        <v>415.9068061</v>
      </c>
      <c r="M392" s="14">
        <f t="shared" si="9"/>
        <v>415.5493737</v>
      </c>
      <c r="N392" s="27">
        <f t="shared" si="10"/>
        <v>0.3574323252</v>
      </c>
      <c r="O392" s="24"/>
      <c r="P392" s="24"/>
      <c r="Q392" s="24"/>
      <c r="R392" s="26"/>
      <c r="S392" s="14">
        <f t="shared" si="13"/>
        <v>0.3282287219</v>
      </c>
    </row>
    <row r="393">
      <c r="A393" s="11">
        <v>381.0</v>
      </c>
      <c r="B393" s="11">
        <v>1.42105217391304E9</v>
      </c>
      <c r="C393" s="2">
        <v>-102.6472549</v>
      </c>
      <c r="D393" s="24">
        <f t="shared" si="1"/>
        <v>652173.913</v>
      </c>
      <c r="E393" s="25">
        <f t="shared" si="2"/>
        <v>-138.662716</v>
      </c>
      <c r="F393" s="24">
        <f t="shared" si="3"/>
        <v>0.0002126161645</v>
      </c>
      <c r="G393" s="24">
        <f t="shared" si="4"/>
        <v>0</v>
      </c>
      <c r="H393" s="26">
        <f t="shared" si="5"/>
        <v>0</v>
      </c>
      <c r="I393" s="24">
        <f t="shared" si="6"/>
        <v>0</v>
      </c>
      <c r="J393" s="24">
        <f t="shared" si="7"/>
        <v>0</v>
      </c>
      <c r="K393" s="24"/>
      <c r="L393" s="24">
        <f t="shared" si="8"/>
        <v>413.4097142</v>
      </c>
      <c r="M393" s="14">
        <f t="shared" si="9"/>
        <v>415.4371533</v>
      </c>
      <c r="N393" s="27">
        <f t="shared" si="10"/>
        <v>-2.027439123</v>
      </c>
      <c r="O393" s="24"/>
      <c r="P393" s="24"/>
      <c r="Q393" s="24"/>
      <c r="R393" s="26"/>
      <c r="S393" s="14">
        <f t="shared" si="13"/>
        <v>-1.861789502</v>
      </c>
    </row>
    <row r="394">
      <c r="A394" s="11">
        <v>382.0</v>
      </c>
      <c r="B394" s="11">
        <v>1.42105652173913E9</v>
      </c>
      <c r="C394" s="2">
        <v>-102.6304321</v>
      </c>
      <c r="D394" s="24">
        <f t="shared" si="1"/>
        <v>656521.7391</v>
      </c>
      <c r="E394" s="25">
        <f t="shared" si="2"/>
        <v>-139.5810121</v>
      </c>
      <c r="F394" s="24">
        <f t="shared" si="3"/>
        <v>0.0002126068396</v>
      </c>
      <c r="G394" s="24">
        <f t="shared" si="4"/>
        <v>0</v>
      </c>
      <c r="H394" s="26">
        <f t="shared" si="5"/>
        <v>0</v>
      </c>
      <c r="I394" s="24">
        <f t="shared" si="6"/>
        <v>0</v>
      </c>
      <c r="J394" s="24">
        <f t="shared" si="7"/>
        <v>0</v>
      </c>
      <c r="K394" s="24"/>
      <c r="L394" s="24">
        <f t="shared" si="8"/>
        <v>415.0142007</v>
      </c>
      <c r="M394" s="14">
        <f t="shared" si="9"/>
        <v>415.3244411</v>
      </c>
      <c r="N394" s="27">
        <f t="shared" si="10"/>
        <v>-0.3102404219</v>
      </c>
      <c r="O394" s="24"/>
      <c r="P394" s="24"/>
      <c r="Q394" s="24"/>
      <c r="R394" s="26"/>
      <c r="S394" s="14">
        <f t="shared" si="13"/>
        <v>-0.2848925797</v>
      </c>
    </row>
    <row r="395">
      <c r="A395" s="11">
        <v>383.0</v>
      </c>
      <c r="B395" s="11">
        <v>1.42106086956521E9</v>
      </c>
      <c r="C395" s="2">
        <v>-102.617485</v>
      </c>
      <c r="D395" s="24">
        <f t="shared" si="1"/>
        <v>660869.5652</v>
      </c>
      <c r="E395" s="25">
        <f t="shared" si="2"/>
        <v>-140.4993082</v>
      </c>
      <c r="F395" s="24">
        <f t="shared" si="3"/>
        <v>0.0002125976374</v>
      </c>
      <c r="G395" s="24">
        <f t="shared" si="4"/>
        <v>0</v>
      </c>
      <c r="H395" s="26">
        <f t="shared" si="5"/>
        <v>0</v>
      </c>
      <c r="I395" s="24">
        <f t="shared" si="6"/>
        <v>0</v>
      </c>
      <c r="J395" s="24">
        <f t="shared" si="7"/>
        <v>0</v>
      </c>
      <c r="K395" s="24"/>
      <c r="L395" s="24">
        <f t="shared" si="8"/>
        <v>416.2532787</v>
      </c>
      <c r="M395" s="14">
        <f t="shared" si="9"/>
        <v>415.2112347</v>
      </c>
      <c r="N395" s="27">
        <f t="shared" si="10"/>
        <v>1.042044086</v>
      </c>
      <c r="O395" s="24"/>
      <c r="P395" s="24"/>
      <c r="Q395" s="24"/>
      <c r="R395" s="26"/>
      <c r="S395" s="14">
        <f t="shared" si="13"/>
        <v>0.9569050546</v>
      </c>
    </row>
    <row r="396">
      <c r="A396" s="11">
        <v>384.0</v>
      </c>
      <c r="B396" s="11">
        <v>1.4210652173913E9</v>
      </c>
      <c r="C396" s="2">
        <v>-102.6053085</v>
      </c>
      <c r="D396" s="24">
        <f t="shared" si="1"/>
        <v>665217.3913</v>
      </c>
      <c r="E396" s="25">
        <f t="shared" si="2"/>
        <v>-141.4176043</v>
      </c>
      <c r="F396" s="24">
        <f t="shared" si="3"/>
        <v>0.0002125885556</v>
      </c>
      <c r="G396" s="24">
        <f t="shared" si="4"/>
        <v>0</v>
      </c>
      <c r="H396" s="26">
        <f t="shared" si="5"/>
        <v>0</v>
      </c>
      <c r="I396" s="24">
        <f t="shared" si="6"/>
        <v>0</v>
      </c>
      <c r="J396" s="24">
        <f t="shared" si="7"/>
        <v>0</v>
      </c>
      <c r="K396" s="24"/>
      <c r="L396" s="24">
        <f t="shared" si="8"/>
        <v>417.4219835</v>
      </c>
      <c r="M396" s="14">
        <f t="shared" si="9"/>
        <v>415.0975316</v>
      </c>
      <c r="N396" s="27">
        <f t="shared" si="10"/>
        <v>2.324451864</v>
      </c>
      <c r="O396" s="24"/>
      <c r="P396" s="24"/>
      <c r="Q396" s="24"/>
      <c r="R396" s="26"/>
      <c r="S396" s="14">
        <f t="shared" si="13"/>
        <v>2.134535152</v>
      </c>
    </row>
    <row r="397">
      <c r="A397" s="11">
        <v>385.0</v>
      </c>
      <c r="B397" s="11">
        <v>1.42106956521739E9</v>
      </c>
      <c r="C397" s="2">
        <v>-102.6360779</v>
      </c>
      <c r="D397" s="24">
        <f t="shared" si="1"/>
        <v>669565.2174</v>
      </c>
      <c r="E397" s="25">
        <f t="shared" si="2"/>
        <v>-142.3359005</v>
      </c>
      <c r="F397" s="24">
        <f t="shared" si="3"/>
        <v>0.0002125795916</v>
      </c>
      <c r="G397" s="24">
        <f t="shared" si="4"/>
        <v>0</v>
      </c>
      <c r="H397" s="26">
        <f t="shared" si="5"/>
        <v>0</v>
      </c>
      <c r="I397" s="24">
        <f t="shared" si="6"/>
        <v>0</v>
      </c>
      <c r="J397" s="24">
        <f t="shared" si="7"/>
        <v>0</v>
      </c>
      <c r="K397" s="24"/>
      <c r="L397" s="24">
        <f t="shared" si="8"/>
        <v>414.4750355</v>
      </c>
      <c r="M397" s="14">
        <f t="shared" si="9"/>
        <v>414.9833296</v>
      </c>
      <c r="N397" s="27">
        <f t="shared" si="10"/>
        <v>-0.5082940865</v>
      </c>
      <c r="O397" s="24"/>
      <c r="P397" s="24"/>
      <c r="Q397" s="24"/>
      <c r="R397" s="26"/>
      <c r="S397" s="14">
        <f t="shared" si="13"/>
        <v>-0.466764494</v>
      </c>
    </row>
    <row r="398">
      <c r="A398" s="11">
        <v>386.0</v>
      </c>
      <c r="B398" s="11">
        <v>1.42107391304347E9</v>
      </c>
      <c r="C398" s="2">
        <v>-102.6466751</v>
      </c>
      <c r="D398" s="24">
        <f t="shared" si="1"/>
        <v>673913.0435</v>
      </c>
      <c r="E398" s="25">
        <f t="shared" si="2"/>
        <v>-143.2541966</v>
      </c>
      <c r="F398" s="24">
        <f t="shared" si="3"/>
        <v>0.0002125707434</v>
      </c>
      <c r="G398" s="24">
        <f t="shared" si="4"/>
        <v>0</v>
      </c>
      <c r="H398" s="26">
        <f t="shared" si="5"/>
        <v>0</v>
      </c>
      <c r="I398" s="24">
        <f t="shared" si="6"/>
        <v>0</v>
      </c>
      <c r="J398" s="24">
        <f t="shared" si="7"/>
        <v>0</v>
      </c>
      <c r="K398" s="24"/>
      <c r="L398" s="24">
        <f t="shared" si="8"/>
        <v>413.4649097</v>
      </c>
      <c r="M398" s="14">
        <f t="shared" si="9"/>
        <v>414.8686261</v>
      </c>
      <c r="N398" s="27">
        <f t="shared" si="10"/>
        <v>-1.403716432</v>
      </c>
      <c r="O398" s="24"/>
      <c r="P398" s="24"/>
      <c r="Q398" s="24"/>
      <c r="R398" s="26"/>
      <c r="S398" s="14">
        <f t="shared" si="13"/>
        <v>-1.289027371</v>
      </c>
    </row>
    <row r="399">
      <c r="A399" s="11">
        <v>387.0</v>
      </c>
      <c r="B399" s="11">
        <v>1.42107826086956E9</v>
      </c>
      <c r="C399" s="2">
        <v>-102.6398468</v>
      </c>
      <c r="D399" s="24">
        <f t="shared" si="1"/>
        <v>678260.8696</v>
      </c>
      <c r="E399" s="25">
        <f t="shared" si="2"/>
        <v>-144.1724927</v>
      </c>
      <c r="F399" s="24">
        <f t="shared" si="3"/>
        <v>0.0002125620085</v>
      </c>
      <c r="G399" s="24">
        <f t="shared" si="4"/>
        <v>0</v>
      </c>
      <c r="H399" s="26">
        <f t="shared" si="5"/>
        <v>0</v>
      </c>
      <c r="I399" s="24">
        <f t="shared" si="6"/>
        <v>0</v>
      </c>
      <c r="J399" s="24">
        <f t="shared" si="7"/>
        <v>0</v>
      </c>
      <c r="K399" s="24"/>
      <c r="L399" s="24">
        <f t="shared" si="8"/>
        <v>414.1155012</v>
      </c>
      <c r="M399" s="14">
        <f t="shared" si="9"/>
        <v>414.753419</v>
      </c>
      <c r="N399" s="27">
        <f t="shared" si="10"/>
        <v>-0.6379177572</v>
      </c>
      <c r="O399" s="24"/>
      <c r="P399" s="24"/>
      <c r="Q399" s="24"/>
      <c r="R399" s="26"/>
      <c r="S399" s="14">
        <f t="shared" si="13"/>
        <v>-0.5857974081</v>
      </c>
    </row>
    <row r="400">
      <c r="A400" s="11">
        <v>388.0</v>
      </c>
      <c r="B400" s="11">
        <v>1.42108260869565E9</v>
      </c>
      <c r="C400" s="2">
        <v>-102.5803375</v>
      </c>
      <c r="D400" s="24">
        <f t="shared" si="1"/>
        <v>682608.6957</v>
      </c>
      <c r="E400" s="25">
        <f t="shared" si="2"/>
        <v>-145.0907889</v>
      </c>
      <c r="F400" s="24">
        <f t="shared" si="3"/>
        <v>0.000212553385</v>
      </c>
      <c r="G400" s="24">
        <f t="shared" si="4"/>
        <v>0</v>
      </c>
      <c r="H400" s="26">
        <f t="shared" si="5"/>
        <v>0</v>
      </c>
      <c r="I400" s="24">
        <f t="shared" si="6"/>
        <v>0</v>
      </c>
      <c r="J400" s="24">
        <f t="shared" si="7"/>
        <v>0</v>
      </c>
      <c r="K400" s="24"/>
      <c r="L400" s="24">
        <f t="shared" si="8"/>
        <v>419.8289835</v>
      </c>
      <c r="M400" s="14">
        <f t="shared" si="9"/>
        <v>414.6377057</v>
      </c>
      <c r="N400" s="27">
        <f t="shared" si="10"/>
        <v>5.191277741</v>
      </c>
      <c r="O400" s="24"/>
      <c r="P400" s="24"/>
      <c r="Q400" s="24"/>
      <c r="R400" s="26"/>
      <c r="S400" s="14">
        <f t="shared" si="13"/>
        <v>4.767130274</v>
      </c>
    </row>
    <row r="401">
      <c r="A401" s="11">
        <v>389.0</v>
      </c>
      <c r="B401" s="11">
        <v>1.42108695652173E9</v>
      </c>
      <c r="C401" s="2">
        <v>-102.6320877</v>
      </c>
      <c r="D401" s="24">
        <f t="shared" si="1"/>
        <v>686956.5217</v>
      </c>
      <c r="E401" s="25">
        <f t="shared" si="2"/>
        <v>-146.009085</v>
      </c>
      <c r="F401" s="24">
        <f t="shared" si="3"/>
        <v>0.0002125448706</v>
      </c>
      <c r="G401" s="24">
        <f t="shared" si="4"/>
        <v>0</v>
      </c>
      <c r="H401" s="26">
        <f t="shared" si="5"/>
        <v>0</v>
      </c>
      <c r="I401" s="24">
        <f t="shared" si="6"/>
        <v>0</v>
      </c>
      <c r="J401" s="24">
        <f t="shared" si="7"/>
        <v>0</v>
      </c>
      <c r="K401" s="24"/>
      <c r="L401" s="24">
        <f t="shared" si="8"/>
        <v>414.8560208</v>
      </c>
      <c r="M401" s="14">
        <f t="shared" si="9"/>
        <v>414.5214839</v>
      </c>
      <c r="N401" s="27">
        <f t="shared" si="10"/>
        <v>0.3345368624</v>
      </c>
      <c r="O401" s="24"/>
      <c r="P401" s="24"/>
      <c r="Q401" s="24"/>
      <c r="R401" s="26"/>
      <c r="S401" s="14">
        <f t="shared" si="13"/>
        <v>0.307203907</v>
      </c>
    </row>
    <row r="402">
      <c r="A402" s="11">
        <v>390.0</v>
      </c>
      <c r="B402" s="11">
        <v>1.42109130434782E9</v>
      </c>
      <c r="C402" s="2">
        <v>-102.6289978</v>
      </c>
      <c r="D402" s="24">
        <f t="shared" si="1"/>
        <v>691304.3478</v>
      </c>
      <c r="E402" s="25">
        <f t="shared" si="2"/>
        <v>-146.9273811</v>
      </c>
      <c r="F402" s="24">
        <f t="shared" si="3"/>
        <v>0.0002125364633</v>
      </c>
      <c r="G402" s="24">
        <f t="shared" si="4"/>
        <v>0</v>
      </c>
      <c r="H402" s="26">
        <f t="shared" si="5"/>
        <v>0</v>
      </c>
      <c r="I402" s="24">
        <f t="shared" si="6"/>
        <v>0</v>
      </c>
      <c r="J402" s="24">
        <f t="shared" si="7"/>
        <v>0</v>
      </c>
      <c r="K402" s="24"/>
      <c r="L402" s="24">
        <f t="shared" si="8"/>
        <v>415.1512858</v>
      </c>
      <c r="M402" s="14">
        <f t="shared" si="9"/>
        <v>414.4047513</v>
      </c>
      <c r="N402" s="27">
        <f t="shared" si="10"/>
        <v>0.7465345519</v>
      </c>
      <c r="O402" s="24"/>
      <c r="P402" s="24"/>
      <c r="Q402" s="24"/>
      <c r="R402" s="26"/>
      <c r="S402" s="14">
        <f t="shared" si="13"/>
        <v>0.685539792</v>
      </c>
    </row>
    <row r="403">
      <c r="A403" s="11">
        <v>391.0</v>
      </c>
      <c r="B403" s="11">
        <v>1.42109565217391E9</v>
      </c>
      <c r="C403" s="2">
        <v>-102.6591949</v>
      </c>
      <c r="D403" s="24">
        <f t="shared" si="1"/>
        <v>695652.1739</v>
      </c>
      <c r="E403" s="25">
        <f t="shared" si="2"/>
        <v>-147.8456773</v>
      </c>
      <c r="F403" s="24">
        <f t="shared" si="3"/>
        <v>0.0002125281611</v>
      </c>
      <c r="G403" s="24">
        <f t="shared" si="4"/>
        <v>0</v>
      </c>
      <c r="H403" s="26">
        <f t="shared" si="5"/>
        <v>0</v>
      </c>
      <c r="I403" s="24">
        <f t="shared" si="6"/>
        <v>0</v>
      </c>
      <c r="J403" s="24">
        <f t="shared" si="7"/>
        <v>0</v>
      </c>
      <c r="K403" s="24"/>
      <c r="L403" s="24">
        <f t="shared" si="8"/>
        <v>412.2746934</v>
      </c>
      <c r="M403" s="14">
        <f t="shared" si="9"/>
        <v>414.2875054</v>
      </c>
      <c r="N403" s="27">
        <f t="shared" si="10"/>
        <v>-2.012811958</v>
      </c>
      <c r="O403" s="24"/>
      <c r="P403" s="24"/>
      <c r="Q403" s="24"/>
      <c r="R403" s="26"/>
      <c r="S403" s="14">
        <f t="shared" si="13"/>
        <v>-1.848357433</v>
      </c>
    </row>
    <row r="404">
      <c r="A404" s="11">
        <v>392.0</v>
      </c>
      <c r="B404" s="11">
        <v>1.4211E9</v>
      </c>
      <c r="C404" s="2">
        <v>-102.6081085</v>
      </c>
      <c r="D404" s="24">
        <f t="shared" si="1"/>
        <v>700000</v>
      </c>
      <c r="E404" s="25">
        <f t="shared" si="2"/>
        <v>-148.7639734</v>
      </c>
      <c r="F404" s="24">
        <f t="shared" si="3"/>
        <v>0.000212519962</v>
      </c>
      <c r="G404" s="24">
        <f t="shared" si="4"/>
        <v>0</v>
      </c>
      <c r="H404" s="26">
        <f t="shared" si="5"/>
        <v>0</v>
      </c>
      <c r="I404" s="24">
        <f t="shared" si="6"/>
        <v>0</v>
      </c>
      <c r="J404" s="24">
        <f t="shared" si="7"/>
        <v>0</v>
      </c>
      <c r="K404" s="24"/>
      <c r="L404" s="24">
        <f t="shared" si="8"/>
        <v>417.1529483</v>
      </c>
      <c r="M404" s="14">
        <f t="shared" si="9"/>
        <v>414.1697438</v>
      </c>
      <c r="N404" s="27">
        <f t="shared" si="10"/>
        <v>2.983204502</v>
      </c>
      <c r="O404" s="24"/>
      <c r="P404" s="24"/>
      <c r="Q404" s="24"/>
      <c r="R404" s="26"/>
      <c r="S404" s="14">
        <f t="shared" si="13"/>
        <v>2.739465157</v>
      </c>
    </row>
    <row r="405">
      <c r="A405" s="11">
        <v>393.0</v>
      </c>
      <c r="B405" s="11">
        <v>1.42110434782608E9</v>
      </c>
      <c r="C405" s="2">
        <v>-102.6278992</v>
      </c>
      <c r="D405" s="24">
        <f t="shared" si="1"/>
        <v>704347.8261</v>
      </c>
      <c r="E405" s="25">
        <f t="shared" si="2"/>
        <v>-149.6822695</v>
      </c>
      <c r="F405" s="24">
        <f t="shared" si="3"/>
        <v>0.0002125118642</v>
      </c>
      <c r="G405" s="24">
        <f t="shared" si="4"/>
        <v>0</v>
      </c>
      <c r="H405" s="26">
        <f t="shared" si="5"/>
        <v>0</v>
      </c>
      <c r="I405" s="24">
        <f t="shared" si="6"/>
        <v>0</v>
      </c>
      <c r="J405" s="24">
        <f t="shared" si="7"/>
        <v>0</v>
      </c>
      <c r="K405" s="24"/>
      <c r="L405" s="24">
        <f t="shared" si="8"/>
        <v>415.2563166</v>
      </c>
      <c r="M405" s="14">
        <f t="shared" si="9"/>
        <v>414.0514642</v>
      </c>
      <c r="N405" s="27">
        <f t="shared" si="10"/>
        <v>1.204852392</v>
      </c>
      <c r="O405" s="24"/>
      <c r="P405" s="24"/>
      <c r="Q405" s="24"/>
      <c r="R405" s="26"/>
      <c r="S405" s="14">
        <f t="shared" si="13"/>
        <v>1.106411292</v>
      </c>
    </row>
    <row r="406">
      <c r="A406" s="11">
        <v>394.0</v>
      </c>
      <c r="B406" s="11">
        <v>1.42110869565217E9</v>
      </c>
      <c r="C406" s="2">
        <v>-102.6758881</v>
      </c>
      <c r="D406" s="24">
        <f t="shared" si="1"/>
        <v>708695.6522</v>
      </c>
      <c r="E406" s="25">
        <f t="shared" si="2"/>
        <v>-150.6005657</v>
      </c>
      <c r="F406" s="24">
        <f t="shared" si="3"/>
        <v>0.0002125038657</v>
      </c>
      <c r="G406" s="24">
        <f t="shared" si="4"/>
        <v>0</v>
      </c>
      <c r="H406" s="26">
        <f t="shared" si="5"/>
        <v>0</v>
      </c>
      <c r="I406" s="24">
        <f t="shared" si="6"/>
        <v>0</v>
      </c>
      <c r="J406" s="24">
        <f t="shared" si="7"/>
        <v>0</v>
      </c>
      <c r="K406" s="24"/>
      <c r="L406" s="24">
        <f t="shared" si="8"/>
        <v>410.6930537</v>
      </c>
      <c r="M406" s="14">
        <f t="shared" si="9"/>
        <v>413.9326642</v>
      </c>
      <c r="N406" s="27">
        <f t="shared" si="10"/>
        <v>-3.239610588</v>
      </c>
      <c r="O406" s="24"/>
      <c r="P406" s="24"/>
      <c r="Q406" s="24"/>
      <c r="R406" s="26"/>
      <c r="S406" s="14">
        <f t="shared" si="13"/>
        <v>-2.974921868</v>
      </c>
    </row>
    <row r="407">
      <c r="A407" s="11">
        <v>395.0</v>
      </c>
      <c r="B407" s="11">
        <v>1.42111304347826E9</v>
      </c>
      <c r="C407" s="2">
        <v>-102.6472626</v>
      </c>
      <c r="D407" s="24">
        <f t="shared" si="1"/>
        <v>713043.4783</v>
      </c>
      <c r="E407" s="25">
        <f t="shared" si="2"/>
        <v>-151.5188618</v>
      </c>
      <c r="F407" s="24">
        <f t="shared" si="3"/>
        <v>0.0002124959647</v>
      </c>
      <c r="G407" s="24">
        <f t="shared" si="4"/>
        <v>0</v>
      </c>
      <c r="H407" s="26">
        <f t="shared" si="5"/>
        <v>0</v>
      </c>
      <c r="I407" s="24">
        <f t="shared" si="6"/>
        <v>0</v>
      </c>
      <c r="J407" s="24">
        <f t="shared" si="7"/>
        <v>0</v>
      </c>
      <c r="K407" s="24"/>
      <c r="L407" s="24">
        <f t="shared" si="8"/>
        <v>413.4089813</v>
      </c>
      <c r="M407" s="14">
        <f t="shared" si="9"/>
        <v>413.8133415</v>
      </c>
      <c r="N407" s="27">
        <f t="shared" si="10"/>
        <v>-0.4043602341</v>
      </c>
      <c r="O407" s="24"/>
      <c r="P407" s="24"/>
      <c r="Q407" s="24"/>
      <c r="R407" s="26"/>
      <c r="S407" s="14">
        <f t="shared" si="13"/>
        <v>-0.3713224392</v>
      </c>
    </row>
    <row r="408">
      <c r="A408" s="11">
        <v>396.0</v>
      </c>
      <c r="B408" s="11">
        <v>1.42111739130434E9</v>
      </c>
      <c r="C408" s="2">
        <v>-102.6675949</v>
      </c>
      <c r="D408" s="24">
        <f t="shared" si="1"/>
        <v>717391.3043</v>
      </c>
      <c r="E408" s="25">
        <f t="shared" si="2"/>
        <v>-152.4371579</v>
      </c>
      <c r="F408" s="24">
        <f t="shared" si="3"/>
        <v>0.0002124881595</v>
      </c>
      <c r="G408" s="24">
        <f t="shared" si="4"/>
        <v>0</v>
      </c>
      <c r="H408" s="26">
        <f t="shared" si="5"/>
        <v>0</v>
      </c>
      <c r="I408" s="24">
        <f t="shared" si="6"/>
        <v>0</v>
      </c>
      <c r="J408" s="24">
        <f t="shared" si="7"/>
        <v>0</v>
      </c>
      <c r="K408" s="24"/>
      <c r="L408" s="24">
        <f t="shared" si="8"/>
        <v>411.4780541</v>
      </c>
      <c r="M408" s="14">
        <f t="shared" si="9"/>
        <v>413.6934936</v>
      </c>
      <c r="N408" s="27">
        <f t="shared" si="10"/>
        <v>-2.215439461</v>
      </c>
      <c r="O408" s="24"/>
      <c r="P408" s="24"/>
      <c r="Q408" s="24"/>
      <c r="R408" s="26"/>
      <c r="S408" s="14">
        <f t="shared" si="13"/>
        <v>-2.03442949</v>
      </c>
    </row>
    <row r="409">
      <c r="A409" s="11">
        <v>397.0</v>
      </c>
      <c r="B409" s="11">
        <v>1.42112173913043E9</v>
      </c>
      <c r="C409" s="2">
        <v>-102.6400528</v>
      </c>
      <c r="D409" s="24">
        <f t="shared" si="1"/>
        <v>721739.1304</v>
      </c>
      <c r="E409" s="25">
        <f t="shared" si="2"/>
        <v>-153.3554541</v>
      </c>
      <c r="F409" s="24">
        <f t="shared" si="3"/>
        <v>0.0002124804484</v>
      </c>
      <c r="G409" s="24">
        <f t="shared" si="4"/>
        <v>0</v>
      </c>
      <c r="H409" s="26">
        <f t="shared" si="5"/>
        <v>0</v>
      </c>
      <c r="I409" s="24">
        <f t="shared" si="6"/>
        <v>0</v>
      </c>
      <c r="J409" s="24">
        <f t="shared" si="7"/>
        <v>0</v>
      </c>
      <c r="K409" s="24"/>
      <c r="L409" s="24">
        <f t="shared" si="8"/>
        <v>414.0958589</v>
      </c>
      <c r="M409" s="14">
        <f t="shared" si="9"/>
        <v>413.5731181</v>
      </c>
      <c r="N409" s="27">
        <f t="shared" si="10"/>
        <v>0.5227407269</v>
      </c>
      <c r="O409" s="24"/>
      <c r="P409" s="24"/>
      <c r="Q409" s="24"/>
      <c r="R409" s="26"/>
      <c r="S409" s="14">
        <f t="shared" si="13"/>
        <v>0.4800307868</v>
      </c>
    </row>
    <row r="410">
      <c r="A410" s="11">
        <v>398.0</v>
      </c>
      <c r="B410" s="11">
        <v>1.42112608695652E9</v>
      </c>
      <c r="C410" s="2">
        <v>-102.6419983</v>
      </c>
      <c r="D410" s="24">
        <f t="shared" si="1"/>
        <v>726086.9565</v>
      </c>
      <c r="E410" s="25">
        <f t="shared" si="2"/>
        <v>-154.2737502</v>
      </c>
      <c r="F410" s="24">
        <f t="shared" si="3"/>
        <v>0.0002124728296</v>
      </c>
      <c r="G410" s="24">
        <f t="shared" si="4"/>
        <v>0</v>
      </c>
      <c r="H410" s="26">
        <f t="shared" si="5"/>
        <v>0</v>
      </c>
      <c r="I410" s="24">
        <f t="shared" si="6"/>
        <v>0</v>
      </c>
      <c r="J410" s="24">
        <f t="shared" si="7"/>
        <v>0</v>
      </c>
      <c r="K410" s="24"/>
      <c r="L410" s="24">
        <f t="shared" si="8"/>
        <v>413.9103987</v>
      </c>
      <c r="M410" s="14">
        <f t="shared" si="9"/>
        <v>413.4522128</v>
      </c>
      <c r="N410" s="27">
        <f t="shared" si="10"/>
        <v>0.4581859699</v>
      </c>
      <c r="O410" s="24"/>
      <c r="P410" s="24"/>
      <c r="Q410" s="24"/>
      <c r="R410" s="26"/>
      <c r="S410" s="14">
        <f t="shared" si="13"/>
        <v>0.4207504043</v>
      </c>
    </row>
    <row r="411">
      <c r="A411" s="11">
        <v>399.0</v>
      </c>
      <c r="B411" s="11">
        <v>1.4211304347826E9</v>
      </c>
      <c r="C411" s="2">
        <v>-102.6709061</v>
      </c>
      <c r="D411" s="24">
        <f t="shared" si="1"/>
        <v>730434.7826</v>
      </c>
      <c r="E411" s="25">
        <f t="shared" si="2"/>
        <v>-155.1920463</v>
      </c>
      <c r="F411" s="24">
        <f t="shared" si="3"/>
        <v>0.0002124653015</v>
      </c>
      <c r="G411" s="24">
        <f t="shared" si="4"/>
        <v>0</v>
      </c>
      <c r="H411" s="26">
        <f t="shared" si="5"/>
        <v>0</v>
      </c>
      <c r="I411" s="24">
        <f t="shared" si="6"/>
        <v>0</v>
      </c>
      <c r="J411" s="24">
        <f t="shared" si="7"/>
        <v>0</v>
      </c>
      <c r="K411" s="24"/>
      <c r="L411" s="24">
        <f t="shared" si="8"/>
        <v>411.1644497</v>
      </c>
      <c r="M411" s="14">
        <f t="shared" si="9"/>
        <v>413.3307751</v>
      </c>
      <c r="N411" s="27">
        <f t="shared" si="10"/>
        <v>-2.166325448</v>
      </c>
      <c r="O411" s="24"/>
      <c r="P411" s="24"/>
      <c r="Q411" s="24"/>
      <c r="R411" s="26"/>
      <c r="S411" s="14">
        <f t="shared" si="13"/>
        <v>-1.989328281</v>
      </c>
    </row>
    <row r="412">
      <c r="A412" s="11">
        <v>400.0</v>
      </c>
      <c r="B412" s="11">
        <v>1.42113478260869E9</v>
      </c>
      <c r="C412" s="2">
        <v>-102.6594925</v>
      </c>
      <c r="D412" s="24">
        <f t="shared" si="1"/>
        <v>734782.6087</v>
      </c>
      <c r="E412" s="25">
        <f t="shared" si="2"/>
        <v>-156.1103425</v>
      </c>
      <c r="F412" s="24">
        <f t="shared" si="3"/>
        <v>0.0002124578625</v>
      </c>
      <c r="G412" s="24">
        <f t="shared" si="4"/>
        <v>0</v>
      </c>
      <c r="H412" s="26">
        <f t="shared" si="5"/>
        <v>0</v>
      </c>
      <c r="I412" s="24">
        <f t="shared" si="6"/>
        <v>0</v>
      </c>
      <c r="J412" s="24">
        <f t="shared" si="7"/>
        <v>0</v>
      </c>
      <c r="K412" s="24"/>
      <c r="L412" s="24">
        <f t="shared" si="8"/>
        <v>412.2464433</v>
      </c>
      <c r="M412" s="14">
        <f t="shared" si="9"/>
        <v>413.2088028</v>
      </c>
      <c r="N412" s="27">
        <f t="shared" si="10"/>
        <v>-0.962359495</v>
      </c>
      <c r="O412" s="24"/>
      <c r="P412" s="24"/>
      <c r="Q412" s="24"/>
      <c r="R412" s="26"/>
      <c r="S412" s="14">
        <f t="shared" si="13"/>
        <v>-0.8837310026</v>
      </c>
    </row>
    <row r="413">
      <c r="A413" s="11">
        <v>401.0</v>
      </c>
      <c r="B413" s="11">
        <v>1.42113913043478E9</v>
      </c>
      <c r="C413" s="2">
        <v>-102.7098083</v>
      </c>
      <c r="D413" s="24">
        <f t="shared" si="1"/>
        <v>739130.4348</v>
      </c>
      <c r="E413" s="25">
        <f t="shared" si="2"/>
        <v>-157.0286386</v>
      </c>
      <c r="F413" s="24">
        <f t="shared" si="3"/>
        <v>0.000212450511</v>
      </c>
      <c r="G413" s="24">
        <f t="shared" si="4"/>
        <v>0</v>
      </c>
      <c r="H413" s="26">
        <f t="shared" si="5"/>
        <v>0</v>
      </c>
      <c r="I413" s="24">
        <f t="shared" si="6"/>
        <v>0</v>
      </c>
      <c r="J413" s="24">
        <f t="shared" si="7"/>
        <v>0</v>
      </c>
      <c r="K413" s="24"/>
      <c r="L413" s="24">
        <f t="shared" si="8"/>
        <v>407.4978647</v>
      </c>
      <c r="M413" s="14">
        <f t="shared" si="9"/>
        <v>413.0862934</v>
      </c>
      <c r="N413" s="27">
        <f t="shared" si="10"/>
        <v>-5.588428665</v>
      </c>
      <c r="O413" s="24"/>
      <c r="P413" s="24"/>
      <c r="Q413" s="24"/>
      <c r="R413" s="26"/>
      <c r="S413" s="14">
        <f t="shared" si="13"/>
        <v>-5.13183242</v>
      </c>
    </row>
    <row r="414">
      <c r="A414" s="11">
        <v>402.0</v>
      </c>
      <c r="B414" s="11">
        <v>1.42114347826087E9</v>
      </c>
      <c r="C414" s="2">
        <v>-102.5753479</v>
      </c>
      <c r="D414" s="24">
        <f t="shared" si="1"/>
        <v>743478.2609</v>
      </c>
      <c r="E414" s="25">
        <f t="shared" si="2"/>
        <v>-157.9469347</v>
      </c>
      <c r="F414" s="24">
        <f t="shared" si="3"/>
        <v>0.0002124432455</v>
      </c>
      <c r="G414" s="24">
        <f t="shared" si="4"/>
        <v>0</v>
      </c>
      <c r="H414" s="26">
        <f t="shared" si="5"/>
        <v>0</v>
      </c>
      <c r="I414" s="24">
        <f t="shared" si="6"/>
        <v>0</v>
      </c>
      <c r="J414" s="24">
        <f t="shared" si="7"/>
        <v>0</v>
      </c>
      <c r="K414" s="24"/>
      <c r="L414" s="24">
        <f t="shared" si="8"/>
        <v>420.3116013</v>
      </c>
      <c r="M414" s="14">
        <f t="shared" si="9"/>
        <v>412.9632446</v>
      </c>
      <c r="N414" s="27">
        <f t="shared" si="10"/>
        <v>7.348356703</v>
      </c>
      <c r="O414" s="24"/>
      <c r="P414" s="24"/>
      <c r="Q414" s="24"/>
      <c r="R414" s="26"/>
      <c r="S414" s="14">
        <f t="shared" si="13"/>
        <v>6.747967543</v>
      </c>
    </row>
    <row r="415">
      <c r="A415" s="11">
        <v>403.0</v>
      </c>
      <c r="B415" s="11">
        <v>1.42114782608695E9</v>
      </c>
      <c r="C415" s="2">
        <v>-102.6397705</v>
      </c>
      <c r="D415" s="24">
        <f t="shared" si="1"/>
        <v>747826.087</v>
      </c>
      <c r="E415" s="25">
        <f t="shared" si="2"/>
        <v>-158.8652309</v>
      </c>
      <c r="F415" s="24">
        <f t="shared" si="3"/>
        <v>0.0002124360645</v>
      </c>
      <c r="G415" s="24">
        <f t="shared" si="4"/>
        <v>0</v>
      </c>
      <c r="H415" s="26">
        <f t="shared" si="5"/>
        <v>0</v>
      </c>
      <c r="I415" s="24">
        <f t="shared" si="6"/>
        <v>0</v>
      </c>
      <c r="J415" s="24">
        <f t="shared" si="7"/>
        <v>0</v>
      </c>
      <c r="K415" s="24"/>
      <c r="L415" s="24">
        <f t="shared" si="8"/>
        <v>414.1227768</v>
      </c>
      <c r="M415" s="14">
        <f t="shared" si="9"/>
        <v>412.8396539</v>
      </c>
      <c r="N415" s="27">
        <f t="shared" si="10"/>
        <v>1.283122854</v>
      </c>
      <c r="O415" s="24"/>
      <c r="P415" s="24"/>
      <c r="Q415" s="24"/>
      <c r="R415" s="26"/>
      <c r="S415" s="14">
        <f t="shared" si="13"/>
        <v>1.178286754</v>
      </c>
    </row>
    <row r="416">
      <c r="A416" s="11">
        <v>404.0</v>
      </c>
      <c r="B416" s="11">
        <v>1.42115217391304E9</v>
      </c>
      <c r="C416" s="2">
        <v>-102.6679764</v>
      </c>
      <c r="D416" s="24">
        <f t="shared" si="1"/>
        <v>752173.913</v>
      </c>
      <c r="E416" s="25">
        <f t="shared" si="2"/>
        <v>-159.783527</v>
      </c>
      <c r="F416" s="24">
        <f t="shared" si="3"/>
        <v>0.0002124289665</v>
      </c>
      <c r="G416" s="24">
        <f t="shared" si="4"/>
        <v>0</v>
      </c>
      <c r="H416" s="26">
        <f t="shared" si="5"/>
        <v>0</v>
      </c>
      <c r="I416" s="24">
        <f t="shared" si="6"/>
        <v>0</v>
      </c>
      <c r="J416" s="24">
        <f t="shared" si="7"/>
        <v>0</v>
      </c>
      <c r="K416" s="24"/>
      <c r="L416" s="24">
        <f t="shared" si="8"/>
        <v>411.44191</v>
      </c>
      <c r="M416" s="14">
        <f t="shared" si="9"/>
        <v>412.7155191</v>
      </c>
      <c r="N416" s="27">
        <f t="shared" si="10"/>
        <v>-1.273609119</v>
      </c>
      <c r="O416" s="24"/>
      <c r="P416" s="24"/>
      <c r="Q416" s="24"/>
      <c r="R416" s="26"/>
      <c r="S416" s="14">
        <f t="shared" si="13"/>
        <v>-1.169550326</v>
      </c>
    </row>
    <row r="417">
      <c r="A417" s="11">
        <v>405.0</v>
      </c>
      <c r="B417" s="11">
        <v>1.42115652173913E9</v>
      </c>
      <c r="C417" s="2">
        <v>-102.7045822</v>
      </c>
      <c r="D417" s="3">
        <f t="shared" si="1"/>
        <v>756521.7391</v>
      </c>
      <c r="E417" s="4">
        <f t="shared" si="2"/>
        <v>-160.7018231</v>
      </c>
      <c r="F417" s="3">
        <f t="shared" si="3"/>
        <v>0.0002124219501</v>
      </c>
      <c r="G417" s="3">
        <f t="shared" si="4"/>
        <v>0</v>
      </c>
      <c r="H417" s="2">
        <f t="shared" si="5"/>
        <v>0</v>
      </c>
      <c r="I417" s="3">
        <f t="shared" si="6"/>
        <v>0</v>
      </c>
      <c r="J417" s="3">
        <f t="shared" si="7"/>
        <v>0</v>
      </c>
      <c r="K417" s="3"/>
      <c r="L417" s="3">
        <f t="shared" si="8"/>
        <v>407.9885241</v>
      </c>
      <c r="M417" s="14">
        <f t="shared" si="9"/>
        <v>412.5908377</v>
      </c>
      <c r="N417" s="14">
        <f t="shared" si="10"/>
        <v>-4.602313645</v>
      </c>
      <c r="O417" s="3"/>
      <c r="P417" s="3"/>
      <c r="Q417" s="3"/>
      <c r="R417" s="2"/>
      <c r="S417" s="14">
        <f t="shared" si="13"/>
        <v>-4.226286822</v>
      </c>
    </row>
    <row r="418">
      <c r="A418" s="11">
        <v>406.0</v>
      </c>
      <c r="B418" s="11">
        <v>1.42116086956521E9</v>
      </c>
      <c r="C418" s="2">
        <v>-102.641716</v>
      </c>
      <c r="D418" s="3">
        <f t="shared" si="1"/>
        <v>760869.5652</v>
      </c>
      <c r="E418" s="4">
        <f t="shared" si="2"/>
        <v>-161.6201193</v>
      </c>
      <c r="F418" s="3">
        <f t="shared" si="3"/>
        <v>0.0002124150139</v>
      </c>
      <c r="G418" s="3">
        <f t="shared" si="4"/>
        <v>0</v>
      </c>
      <c r="H418" s="2">
        <f t="shared" si="5"/>
        <v>0</v>
      </c>
      <c r="I418" s="3">
        <f t="shared" si="6"/>
        <v>0</v>
      </c>
      <c r="J418" s="3">
        <f t="shared" si="7"/>
        <v>0</v>
      </c>
      <c r="K418" s="3"/>
      <c r="L418" s="3">
        <f t="shared" si="8"/>
        <v>413.9373046</v>
      </c>
      <c r="M418" s="14">
        <f t="shared" si="9"/>
        <v>412.4656074</v>
      </c>
      <c r="N418" s="14">
        <f t="shared" si="10"/>
        <v>1.471697246</v>
      </c>
      <c r="O418" s="3"/>
      <c r="P418" s="3"/>
      <c r="Q418" s="3"/>
      <c r="R418" s="2"/>
      <c r="S418" s="14">
        <f t="shared" si="13"/>
        <v>1.35145389</v>
      </c>
    </row>
    <row r="419">
      <c r="A419" s="11">
        <v>407.0</v>
      </c>
      <c r="B419" s="11">
        <v>1.4211652173913E9</v>
      </c>
      <c r="C419" s="2">
        <v>-102.6445999</v>
      </c>
      <c r="D419" s="3">
        <f t="shared" si="1"/>
        <v>765217.3913</v>
      </c>
      <c r="E419" s="4">
        <f t="shared" si="2"/>
        <v>-162.5384154</v>
      </c>
      <c r="F419" s="3">
        <f t="shared" si="3"/>
        <v>0.0002124081565</v>
      </c>
      <c r="G419" s="3">
        <f t="shared" si="4"/>
        <v>0</v>
      </c>
      <c r="H419" s="2">
        <f t="shared" si="5"/>
        <v>0</v>
      </c>
      <c r="I419" s="3">
        <f t="shared" si="6"/>
        <v>0</v>
      </c>
      <c r="J419" s="3">
        <f t="shared" si="7"/>
        <v>0</v>
      </c>
      <c r="K419" s="3"/>
      <c r="L419" s="3">
        <f t="shared" si="8"/>
        <v>413.6625239</v>
      </c>
      <c r="M419" s="14">
        <f t="shared" si="9"/>
        <v>412.3398257</v>
      </c>
      <c r="N419" s="14">
        <f t="shared" si="10"/>
        <v>1.322698198</v>
      </c>
      <c r="O419" s="3"/>
      <c r="P419" s="3"/>
      <c r="Q419" s="3"/>
      <c r="R419" s="2"/>
      <c r="S419" s="14">
        <f t="shared" si="13"/>
        <v>1.214628637</v>
      </c>
    </row>
    <row r="420">
      <c r="A420" s="11">
        <v>408.0</v>
      </c>
      <c r="B420" s="11">
        <v>1.42116956521739E9</v>
      </c>
      <c r="C420" s="2">
        <v>-102.6717529</v>
      </c>
      <c r="D420" s="3">
        <f t="shared" si="1"/>
        <v>769565.2174</v>
      </c>
      <c r="E420" s="4">
        <f t="shared" si="2"/>
        <v>-163.4567115</v>
      </c>
      <c r="F420" s="3">
        <f t="shared" si="3"/>
        <v>0.0002124013765</v>
      </c>
      <c r="G420" s="3">
        <f t="shared" si="4"/>
        <v>0</v>
      </c>
      <c r="H420" s="2">
        <f t="shared" si="5"/>
        <v>0</v>
      </c>
      <c r="I420" s="3">
        <f t="shared" si="6"/>
        <v>0</v>
      </c>
      <c r="J420" s="3">
        <f t="shared" si="7"/>
        <v>0</v>
      </c>
      <c r="K420" s="3"/>
      <c r="L420" s="3">
        <f t="shared" si="8"/>
        <v>411.0842874</v>
      </c>
      <c r="M420" s="14">
        <f t="shared" si="9"/>
        <v>412.2134903</v>
      </c>
      <c r="N420" s="14">
        <f t="shared" si="10"/>
        <v>-1.12920286</v>
      </c>
      <c r="O420" s="3"/>
      <c r="P420" s="3"/>
      <c r="Q420" s="3"/>
      <c r="R420" s="2"/>
      <c r="S420" s="14">
        <f t="shared" si="13"/>
        <v>-1.03694262</v>
      </c>
    </row>
    <row r="421">
      <c r="A421" s="11">
        <v>409.0</v>
      </c>
      <c r="B421" s="11">
        <v>1.42117391304347E9</v>
      </c>
      <c r="C421" s="2">
        <v>-102.6446381</v>
      </c>
      <c r="D421" s="3">
        <f t="shared" si="1"/>
        <v>773913.0435</v>
      </c>
      <c r="E421" s="4">
        <f t="shared" si="2"/>
        <v>-164.3750077</v>
      </c>
      <c r="F421" s="3">
        <f t="shared" si="3"/>
        <v>0.0002123946728</v>
      </c>
      <c r="G421" s="3">
        <f t="shared" si="4"/>
        <v>0</v>
      </c>
      <c r="H421" s="2">
        <f t="shared" si="5"/>
        <v>0</v>
      </c>
      <c r="I421" s="3">
        <f t="shared" si="6"/>
        <v>0</v>
      </c>
      <c r="J421" s="3">
        <f t="shared" si="7"/>
        <v>0</v>
      </c>
      <c r="K421" s="3"/>
      <c r="L421" s="3">
        <f t="shared" si="8"/>
        <v>413.6588854</v>
      </c>
      <c r="M421" s="14">
        <f t="shared" si="9"/>
        <v>412.0865988</v>
      </c>
      <c r="N421" s="14">
        <f t="shared" si="10"/>
        <v>1.572286551</v>
      </c>
      <c r="O421" s="3"/>
      <c r="P421" s="3"/>
      <c r="Q421" s="3"/>
      <c r="R421" s="2"/>
      <c r="S421" s="14">
        <f t="shared" si="13"/>
        <v>1.443824659</v>
      </c>
    </row>
    <row r="422">
      <c r="A422" s="11">
        <v>410.0</v>
      </c>
      <c r="B422" s="11">
        <v>1.42117826086956E9</v>
      </c>
      <c r="C422" s="2">
        <v>-102.6930237</v>
      </c>
      <c r="D422" s="3">
        <f t="shared" si="1"/>
        <v>778260.8696</v>
      </c>
      <c r="E422" s="4">
        <f t="shared" si="2"/>
        <v>-165.2933038</v>
      </c>
      <c r="F422" s="3">
        <f t="shared" si="3"/>
        <v>0.000212388044</v>
      </c>
      <c r="G422" s="3">
        <f t="shared" si="4"/>
        <v>0</v>
      </c>
      <c r="H422" s="2">
        <f t="shared" si="5"/>
        <v>0</v>
      </c>
      <c r="I422" s="3">
        <f t="shared" si="6"/>
        <v>0</v>
      </c>
      <c r="J422" s="3">
        <f t="shared" si="7"/>
        <v>0</v>
      </c>
      <c r="K422" s="3"/>
      <c r="L422" s="3">
        <f t="shared" si="8"/>
        <v>409.0758085</v>
      </c>
      <c r="M422" s="14">
        <f t="shared" si="9"/>
        <v>411.9591489</v>
      </c>
      <c r="N422" s="14">
        <f t="shared" si="10"/>
        <v>-2.883340392</v>
      </c>
      <c r="O422" s="3"/>
      <c r="P422" s="3"/>
      <c r="Q422" s="3"/>
      <c r="R422" s="2"/>
      <c r="S422" s="14">
        <f t="shared" si="13"/>
        <v>-2.647760326</v>
      </c>
    </row>
    <row r="423">
      <c r="A423" s="11">
        <v>411.0</v>
      </c>
      <c r="B423" s="11">
        <v>1.42118260869565E9</v>
      </c>
      <c r="C423" s="2">
        <v>-102.6809616</v>
      </c>
      <c r="D423" s="3">
        <f t="shared" si="1"/>
        <v>782608.6957</v>
      </c>
      <c r="E423" s="4">
        <f t="shared" si="2"/>
        <v>-166.2115999</v>
      </c>
      <c r="F423" s="3">
        <f t="shared" si="3"/>
        <v>0.0002123814888</v>
      </c>
      <c r="G423" s="3">
        <f t="shared" si="4"/>
        <v>0</v>
      </c>
      <c r="H423" s="2">
        <f t="shared" si="5"/>
        <v>0</v>
      </c>
      <c r="I423" s="3">
        <f t="shared" si="6"/>
        <v>0</v>
      </c>
      <c r="J423" s="3">
        <f t="shared" si="7"/>
        <v>0</v>
      </c>
      <c r="K423" s="3"/>
      <c r="L423" s="3">
        <f t="shared" si="8"/>
        <v>410.2135554</v>
      </c>
      <c r="M423" s="14">
        <f t="shared" si="9"/>
        <v>411.8311381</v>
      </c>
      <c r="N423" s="14">
        <f t="shared" si="10"/>
        <v>-1.617582717</v>
      </c>
      <c r="O423" s="3"/>
      <c r="P423" s="3"/>
      <c r="Q423" s="3"/>
      <c r="R423" s="2"/>
      <c r="S423" s="14">
        <f t="shared" si="13"/>
        <v>-1.485419954</v>
      </c>
    </row>
    <row r="424">
      <c r="A424" s="11">
        <v>412.0</v>
      </c>
      <c r="B424" s="11">
        <v>1.42118695652173E9</v>
      </c>
      <c r="C424" s="2">
        <v>-102.6372757</v>
      </c>
      <c r="D424" s="3">
        <f t="shared" si="1"/>
        <v>786956.5217</v>
      </c>
      <c r="E424" s="4">
        <f t="shared" si="2"/>
        <v>-167.129896</v>
      </c>
      <c r="F424" s="3">
        <f t="shared" si="3"/>
        <v>0.000212375006</v>
      </c>
      <c r="G424" s="3">
        <f t="shared" si="4"/>
        <v>0</v>
      </c>
      <c r="H424" s="2">
        <f t="shared" si="5"/>
        <v>0</v>
      </c>
      <c r="I424" s="3">
        <f t="shared" si="6"/>
        <v>0</v>
      </c>
      <c r="J424" s="3">
        <f t="shared" si="7"/>
        <v>0</v>
      </c>
      <c r="K424" s="3"/>
      <c r="L424" s="3">
        <f t="shared" si="8"/>
        <v>414.3607375</v>
      </c>
      <c r="M424" s="14">
        <f t="shared" si="9"/>
        <v>411.7025641</v>
      </c>
      <c r="N424" s="14">
        <f t="shared" si="10"/>
        <v>2.658173437</v>
      </c>
      <c r="O424" s="3"/>
      <c r="P424" s="3"/>
      <c r="Q424" s="3"/>
      <c r="R424" s="2"/>
      <c r="S424" s="14">
        <f t="shared" si="13"/>
        <v>2.440990387</v>
      </c>
    </row>
    <row r="425">
      <c r="A425" s="11">
        <v>413.0</v>
      </c>
      <c r="B425" s="11">
        <v>1.42119130434782E9</v>
      </c>
      <c r="C425" s="2">
        <v>-102.6602173</v>
      </c>
      <c r="D425" s="3">
        <f t="shared" si="1"/>
        <v>791304.3478</v>
      </c>
      <c r="E425" s="4">
        <f t="shared" si="2"/>
        <v>-168.0481922</v>
      </c>
      <c r="F425" s="3">
        <f t="shared" si="3"/>
        <v>0.0002123685945</v>
      </c>
      <c r="G425" s="3">
        <f t="shared" si="4"/>
        <v>0</v>
      </c>
      <c r="H425" s="2">
        <f t="shared" si="5"/>
        <v>0</v>
      </c>
      <c r="I425" s="3">
        <f t="shared" si="6"/>
        <v>0</v>
      </c>
      <c r="J425" s="3">
        <f t="shared" si="7"/>
        <v>0</v>
      </c>
      <c r="K425" s="3"/>
      <c r="L425" s="3">
        <f t="shared" si="8"/>
        <v>412.1776486</v>
      </c>
      <c r="M425" s="14">
        <f t="shared" si="9"/>
        <v>411.5734244</v>
      </c>
      <c r="N425" s="14">
        <f t="shared" si="10"/>
        <v>0.6042241948</v>
      </c>
      <c r="O425" s="3"/>
      <c r="P425" s="3"/>
      <c r="Q425" s="3"/>
      <c r="R425" s="2"/>
      <c r="S425" s="14">
        <f t="shared" si="13"/>
        <v>0.5548567414</v>
      </c>
    </row>
    <row r="426">
      <c r="A426" s="11">
        <v>414.0</v>
      </c>
      <c r="B426" s="11">
        <v>1.42119565217391E9</v>
      </c>
      <c r="C426" s="2">
        <v>-102.706398</v>
      </c>
      <c r="D426" s="3">
        <f t="shared" si="1"/>
        <v>795652.1739</v>
      </c>
      <c r="E426" s="4">
        <f t="shared" si="2"/>
        <v>-168.9664883</v>
      </c>
      <c r="F426" s="3">
        <f t="shared" si="3"/>
        <v>0.0002123622531</v>
      </c>
      <c r="G426" s="3">
        <f t="shared" si="4"/>
        <v>0</v>
      </c>
      <c r="H426" s="2">
        <f t="shared" si="5"/>
        <v>0</v>
      </c>
      <c r="I426" s="3">
        <f t="shared" si="6"/>
        <v>0</v>
      </c>
      <c r="J426" s="3">
        <f t="shared" si="7"/>
        <v>0</v>
      </c>
      <c r="K426" s="3"/>
      <c r="L426" s="3">
        <f t="shared" si="8"/>
        <v>407.8179783</v>
      </c>
      <c r="M426" s="14">
        <f t="shared" si="9"/>
        <v>411.4437168</v>
      </c>
      <c r="N426" s="14">
        <f t="shared" si="10"/>
        <v>-3.625738516</v>
      </c>
      <c r="O426" s="3"/>
      <c r="P426" s="3"/>
      <c r="Q426" s="3"/>
      <c r="R426" s="2"/>
      <c r="S426" s="14">
        <f t="shared" si="13"/>
        <v>-3.32950165</v>
      </c>
    </row>
    <row r="427">
      <c r="A427" s="11">
        <v>415.0</v>
      </c>
      <c r="B427" s="11">
        <v>1.4212E9</v>
      </c>
      <c r="C427" s="2">
        <v>-102.6000137</v>
      </c>
      <c r="D427" s="3">
        <f t="shared" si="1"/>
        <v>800000</v>
      </c>
      <c r="E427" s="4">
        <f t="shared" si="2"/>
        <v>-169.8847844</v>
      </c>
      <c r="F427" s="3">
        <f t="shared" si="3"/>
        <v>0.0002123559806</v>
      </c>
      <c r="G427" s="3">
        <f t="shared" si="4"/>
        <v>0</v>
      </c>
      <c r="H427" s="2">
        <f t="shared" si="5"/>
        <v>0</v>
      </c>
      <c r="I427" s="3">
        <f t="shared" si="6"/>
        <v>0</v>
      </c>
      <c r="J427" s="3">
        <f t="shared" si="7"/>
        <v>0</v>
      </c>
      <c r="K427" s="3"/>
      <c r="L427" s="3">
        <f t="shared" si="8"/>
        <v>417.9312033</v>
      </c>
      <c r="M427" s="14">
        <f t="shared" si="9"/>
        <v>411.3134389</v>
      </c>
      <c r="N427" s="14">
        <f t="shared" si="10"/>
        <v>6.617764455</v>
      </c>
      <c r="O427" s="3"/>
      <c r="P427" s="3"/>
      <c r="Q427" s="3"/>
      <c r="R427" s="2"/>
      <c r="S427" s="14">
        <f t="shared" si="13"/>
        <v>6.077067507</v>
      </c>
    </row>
    <row r="428">
      <c r="A428" s="11">
        <v>416.0</v>
      </c>
      <c r="B428" s="11">
        <v>1.42120434782608E9</v>
      </c>
      <c r="C428" s="2">
        <v>-102.6778183</v>
      </c>
      <c r="D428" s="3">
        <f t="shared" si="1"/>
        <v>804347.8261</v>
      </c>
      <c r="E428" s="4">
        <f t="shared" si="2"/>
        <v>-170.8030806</v>
      </c>
      <c r="F428" s="3">
        <f t="shared" si="3"/>
        <v>0.0002123497759</v>
      </c>
      <c r="G428" s="3">
        <f t="shared" si="4"/>
        <v>0</v>
      </c>
      <c r="H428" s="2">
        <f t="shared" si="5"/>
        <v>0</v>
      </c>
      <c r="I428" s="3">
        <f t="shared" si="6"/>
        <v>0</v>
      </c>
      <c r="J428" s="3">
        <f t="shared" si="7"/>
        <v>0</v>
      </c>
      <c r="K428" s="3"/>
      <c r="L428" s="3">
        <f t="shared" si="8"/>
        <v>410.5105637</v>
      </c>
      <c r="M428" s="14">
        <f t="shared" si="9"/>
        <v>411.1825882</v>
      </c>
      <c r="N428" s="14">
        <f t="shared" si="10"/>
        <v>-0.6720244056</v>
      </c>
      <c r="O428" s="3"/>
      <c r="P428" s="3"/>
      <c r="Q428" s="3"/>
      <c r="R428" s="2"/>
      <c r="S428" s="14">
        <f t="shared" si="13"/>
        <v>-0.6171174128</v>
      </c>
    </row>
    <row r="429">
      <c r="A429" s="11">
        <v>417.0</v>
      </c>
      <c r="B429" s="11">
        <v>1.42120869565217E9</v>
      </c>
      <c r="C429" s="2">
        <v>-102.6680832</v>
      </c>
      <c r="D429" s="3">
        <f t="shared" si="1"/>
        <v>808695.6522</v>
      </c>
      <c r="E429" s="4">
        <f t="shared" si="2"/>
        <v>-171.7213767</v>
      </c>
      <c r="F429" s="3">
        <f t="shared" si="3"/>
        <v>0.0002123436379</v>
      </c>
      <c r="G429" s="3">
        <f t="shared" si="4"/>
        <v>0</v>
      </c>
      <c r="H429" s="2">
        <f t="shared" si="5"/>
        <v>0</v>
      </c>
      <c r="I429" s="3">
        <f t="shared" si="6"/>
        <v>0</v>
      </c>
      <c r="J429" s="3">
        <f t="shared" si="7"/>
        <v>0</v>
      </c>
      <c r="K429" s="3"/>
      <c r="L429" s="3">
        <f t="shared" si="8"/>
        <v>411.4317921</v>
      </c>
      <c r="M429" s="14">
        <f t="shared" si="9"/>
        <v>411.0511623</v>
      </c>
      <c r="N429" s="14">
        <f t="shared" si="10"/>
        <v>0.3806297711</v>
      </c>
      <c r="O429" s="3"/>
      <c r="P429" s="3"/>
      <c r="Q429" s="3"/>
      <c r="R429" s="2"/>
      <c r="S429" s="14">
        <f t="shared" si="13"/>
        <v>0.349530846</v>
      </c>
    </row>
    <row r="430">
      <c r="A430" s="11">
        <v>418.0</v>
      </c>
      <c r="B430" s="11">
        <v>1.42121304347826E9</v>
      </c>
      <c r="C430" s="2">
        <v>-102.6568756</v>
      </c>
      <c r="D430" s="3">
        <f t="shared" si="1"/>
        <v>813043.4783</v>
      </c>
      <c r="E430" s="4">
        <f t="shared" si="2"/>
        <v>-172.6396728</v>
      </c>
      <c r="F430" s="3">
        <f t="shared" si="3"/>
        <v>0.0002123375655</v>
      </c>
      <c r="G430" s="3">
        <f t="shared" si="4"/>
        <v>0</v>
      </c>
      <c r="H430" s="2">
        <f t="shared" si="5"/>
        <v>0</v>
      </c>
      <c r="I430" s="3">
        <f t="shared" si="6"/>
        <v>0</v>
      </c>
      <c r="J430" s="3">
        <f t="shared" si="7"/>
        <v>0</v>
      </c>
      <c r="K430" s="3"/>
      <c r="L430" s="3">
        <f t="shared" si="8"/>
        <v>412.4949228</v>
      </c>
      <c r="M430" s="14">
        <f t="shared" si="9"/>
        <v>410.919159</v>
      </c>
      <c r="N430" s="14">
        <f t="shared" si="10"/>
        <v>1.575763811</v>
      </c>
      <c r="O430" s="3"/>
      <c r="P430" s="3"/>
      <c r="Q430" s="3"/>
      <c r="R430" s="2"/>
      <c r="S430" s="14">
        <f t="shared" si="13"/>
        <v>1.447017814</v>
      </c>
    </row>
    <row r="431">
      <c r="A431" s="11">
        <v>419.0</v>
      </c>
      <c r="B431" s="11">
        <v>1.42121739130434E9</v>
      </c>
      <c r="C431" s="2">
        <v>-102.6911011</v>
      </c>
      <c r="D431" s="3">
        <f t="shared" si="1"/>
        <v>817391.3043</v>
      </c>
      <c r="E431" s="4">
        <f t="shared" si="2"/>
        <v>-173.557969</v>
      </c>
      <c r="F431" s="3">
        <f t="shared" si="3"/>
        <v>0.0002123315578</v>
      </c>
      <c r="G431" s="3">
        <f t="shared" si="4"/>
        <v>0</v>
      </c>
      <c r="H431" s="2">
        <f t="shared" si="5"/>
        <v>0</v>
      </c>
      <c r="I431" s="3">
        <f t="shared" si="6"/>
        <v>0</v>
      </c>
      <c r="J431" s="3">
        <f t="shared" si="7"/>
        <v>0</v>
      </c>
      <c r="K431" s="3"/>
      <c r="L431" s="3">
        <f t="shared" si="8"/>
        <v>409.2569444</v>
      </c>
      <c r="M431" s="14">
        <f t="shared" si="9"/>
        <v>410.7865757</v>
      </c>
      <c r="N431" s="14">
        <f t="shared" si="10"/>
        <v>-1.52963136</v>
      </c>
      <c r="O431" s="3"/>
      <c r="P431" s="3"/>
      <c r="Q431" s="3"/>
      <c r="R431" s="2"/>
      <c r="S431" s="14">
        <f t="shared" si="13"/>
        <v>-1.404654562</v>
      </c>
    </row>
    <row r="432">
      <c r="A432" s="11">
        <v>420.0</v>
      </c>
      <c r="B432" s="11">
        <v>1.42122173913043E9</v>
      </c>
      <c r="C432" s="2">
        <v>-102.6138306</v>
      </c>
      <c r="D432" s="3">
        <f t="shared" si="1"/>
        <v>821739.1304</v>
      </c>
      <c r="E432" s="4">
        <f t="shared" si="2"/>
        <v>-174.4762651</v>
      </c>
      <c r="F432" s="3">
        <f t="shared" si="3"/>
        <v>0.0002123256136</v>
      </c>
      <c r="G432" s="3">
        <f t="shared" si="4"/>
        <v>0</v>
      </c>
      <c r="H432" s="2">
        <f t="shared" si="5"/>
        <v>0</v>
      </c>
      <c r="I432" s="3">
        <f t="shared" si="6"/>
        <v>0</v>
      </c>
      <c r="J432" s="3">
        <f t="shared" si="7"/>
        <v>0</v>
      </c>
      <c r="K432" s="3"/>
      <c r="L432" s="3">
        <f t="shared" si="8"/>
        <v>416.6036853</v>
      </c>
      <c r="M432" s="14">
        <f t="shared" si="9"/>
        <v>410.6534103</v>
      </c>
      <c r="N432" s="14">
        <f t="shared" si="10"/>
        <v>5.950274994</v>
      </c>
      <c r="O432" s="3"/>
      <c r="P432" s="3"/>
      <c r="Q432" s="3"/>
      <c r="R432" s="2"/>
      <c r="S432" s="14">
        <f t="shared" si="13"/>
        <v>5.464114503</v>
      </c>
    </row>
    <row r="433">
      <c r="A433" s="11">
        <v>421.0</v>
      </c>
      <c r="B433" s="11">
        <v>1.42122608695652E9</v>
      </c>
      <c r="C433" s="2">
        <v>-102.6944504</v>
      </c>
      <c r="D433" s="3">
        <f t="shared" si="1"/>
        <v>826086.9565</v>
      </c>
      <c r="E433" s="4">
        <f t="shared" si="2"/>
        <v>-175.3945612</v>
      </c>
      <c r="F433" s="3">
        <f t="shared" si="3"/>
        <v>0.000212319732</v>
      </c>
      <c r="G433" s="3">
        <f t="shared" si="4"/>
        <v>0</v>
      </c>
      <c r="H433" s="2">
        <f t="shared" si="5"/>
        <v>0</v>
      </c>
      <c r="I433" s="3">
        <f t="shared" si="6"/>
        <v>0</v>
      </c>
      <c r="J433" s="3">
        <f t="shared" si="7"/>
        <v>0</v>
      </c>
      <c r="K433" s="3"/>
      <c r="L433" s="3">
        <f t="shared" si="8"/>
        <v>408.9414451</v>
      </c>
      <c r="M433" s="14">
        <f t="shared" si="9"/>
        <v>410.5196601</v>
      </c>
      <c r="N433" s="14">
        <f t="shared" si="10"/>
        <v>-1.57821501</v>
      </c>
      <c r="O433" s="3"/>
      <c r="P433" s="3"/>
      <c r="Q433" s="3"/>
      <c r="R433" s="2"/>
      <c r="S433" s="14">
        <f t="shared" si="13"/>
        <v>-1.44926874</v>
      </c>
    </row>
    <row r="434">
      <c r="A434" s="11">
        <v>422.0</v>
      </c>
      <c r="B434" s="11">
        <v>1.4212304347826E9</v>
      </c>
      <c r="C434" s="2">
        <v>-102.6653595</v>
      </c>
      <c r="D434" s="3">
        <f t="shared" si="1"/>
        <v>830434.7826</v>
      </c>
      <c r="E434" s="4">
        <f t="shared" si="2"/>
        <v>-176.3128574</v>
      </c>
      <c r="F434" s="3">
        <f t="shared" si="3"/>
        <v>0.000212313912</v>
      </c>
      <c r="G434" s="3">
        <f t="shared" si="4"/>
        <v>0</v>
      </c>
      <c r="H434" s="2">
        <f t="shared" si="5"/>
        <v>0</v>
      </c>
      <c r="I434" s="3">
        <f t="shared" si="6"/>
        <v>0</v>
      </c>
      <c r="J434" s="3">
        <f t="shared" si="7"/>
        <v>0</v>
      </c>
      <c r="K434" s="3"/>
      <c r="L434" s="3">
        <f t="shared" si="8"/>
        <v>411.6899046</v>
      </c>
      <c r="M434" s="14">
        <f t="shared" si="9"/>
        <v>410.385323</v>
      </c>
      <c r="N434" s="14">
        <f t="shared" si="10"/>
        <v>1.304581562</v>
      </c>
      <c r="O434" s="3"/>
      <c r="P434" s="3"/>
      <c r="Q434" s="3"/>
      <c r="R434" s="2"/>
      <c r="S434" s="14">
        <f t="shared" si="13"/>
        <v>1.197992204</v>
      </c>
    </row>
    <row r="435">
      <c r="A435" s="11">
        <v>423.0</v>
      </c>
      <c r="B435" s="11">
        <v>1.42123478260869E9</v>
      </c>
      <c r="C435" s="2">
        <v>-102.6801376</v>
      </c>
      <c r="D435" s="3">
        <f t="shared" si="1"/>
        <v>834782.6087</v>
      </c>
      <c r="E435" s="4">
        <f t="shared" si="2"/>
        <v>-177.2311535</v>
      </c>
      <c r="F435" s="3">
        <f t="shared" si="3"/>
        <v>0.0002123081526</v>
      </c>
      <c r="G435" s="3">
        <f t="shared" si="4"/>
        <v>0</v>
      </c>
      <c r="H435" s="2">
        <f t="shared" si="5"/>
        <v>0</v>
      </c>
      <c r="I435" s="3">
        <f t="shared" si="6"/>
        <v>0</v>
      </c>
      <c r="J435" s="3">
        <f t="shared" si="7"/>
        <v>0</v>
      </c>
      <c r="K435" s="3"/>
      <c r="L435" s="3">
        <f t="shared" si="8"/>
        <v>410.2913938</v>
      </c>
      <c r="M435" s="14">
        <f t="shared" si="9"/>
        <v>410.2503965</v>
      </c>
      <c r="N435" s="14">
        <f t="shared" si="10"/>
        <v>0.04099734683</v>
      </c>
      <c r="O435" s="3"/>
      <c r="P435" s="3"/>
      <c r="Q435" s="3"/>
      <c r="R435" s="2"/>
      <c r="S435" s="14">
        <f t="shared" si="13"/>
        <v>0.03764770505</v>
      </c>
    </row>
    <row r="436">
      <c r="A436" s="11">
        <v>424.0</v>
      </c>
      <c r="B436" s="11">
        <v>1.42123913043478E9</v>
      </c>
      <c r="C436" s="2">
        <v>-102.719635</v>
      </c>
      <c r="D436" s="3">
        <f t="shared" si="1"/>
        <v>839130.4348</v>
      </c>
      <c r="E436" s="4">
        <f t="shared" si="2"/>
        <v>-178.1494496</v>
      </c>
      <c r="F436" s="3">
        <f t="shared" si="3"/>
        <v>0.0002123024529</v>
      </c>
      <c r="G436" s="3">
        <f t="shared" si="4"/>
        <v>0</v>
      </c>
      <c r="H436" s="2">
        <f t="shared" si="5"/>
        <v>0</v>
      </c>
      <c r="I436" s="3">
        <f t="shared" si="6"/>
        <v>0</v>
      </c>
      <c r="J436" s="3">
        <f t="shared" si="7"/>
        <v>0</v>
      </c>
      <c r="K436" s="3"/>
      <c r="L436" s="3">
        <f t="shared" si="8"/>
        <v>406.5768693</v>
      </c>
      <c r="M436" s="14">
        <f t="shared" si="9"/>
        <v>410.1148781</v>
      </c>
      <c r="N436" s="14">
        <f t="shared" si="10"/>
        <v>-3.538008865</v>
      </c>
      <c r="O436" s="3"/>
      <c r="P436" s="3"/>
      <c r="Q436" s="3"/>
      <c r="R436" s="2"/>
      <c r="S436" s="14">
        <f t="shared" si="13"/>
        <v>-3.248939851</v>
      </c>
    </row>
    <row r="437">
      <c r="A437" s="11">
        <v>425.0</v>
      </c>
      <c r="B437" s="11">
        <v>1.42124347826087E9</v>
      </c>
      <c r="C437" s="2">
        <v>-102.7132492</v>
      </c>
      <c r="D437" s="3">
        <f t="shared" si="1"/>
        <v>843478.2609</v>
      </c>
      <c r="E437" s="4">
        <f t="shared" si="2"/>
        <v>-179.0677458</v>
      </c>
      <c r="F437" s="3">
        <f t="shared" si="3"/>
        <v>0.000212296812</v>
      </c>
      <c r="G437" s="3">
        <f t="shared" si="4"/>
        <v>0</v>
      </c>
      <c r="H437" s="2">
        <f t="shared" si="5"/>
        <v>0</v>
      </c>
      <c r="I437" s="3">
        <f t="shared" si="6"/>
        <v>0</v>
      </c>
      <c r="J437" s="3">
        <f t="shared" si="7"/>
        <v>0</v>
      </c>
      <c r="K437" s="3"/>
      <c r="L437" s="3">
        <f t="shared" si="8"/>
        <v>407.1751334</v>
      </c>
      <c r="M437" s="14">
        <f t="shared" si="9"/>
        <v>409.9787657</v>
      </c>
      <c r="N437" s="14">
        <f t="shared" si="10"/>
        <v>-2.803632211</v>
      </c>
      <c r="O437" s="3"/>
      <c r="P437" s="3"/>
      <c r="Q437" s="3"/>
      <c r="R437" s="2"/>
      <c r="S437" s="14">
        <f t="shared" si="13"/>
        <v>-2.574564617</v>
      </c>
    </row>
    <row r="438">
      <c r="A438" s="11">
        <v>426.0</v>
      </c>
      <c r="B438" s="11">
        <v>1.42124782608695E9</v>
      </c>
      <c r="C438" s="2">
        <v>-102.7064133</v>
      </c>
      <c r="D438" s="3">
        <f t="shared" si="1"/>
        <v>847826.087</v>
      </c>
      <c r="E438" s="4">
        <f t="shared" si="2"/>
        <v>-179.9860419</v>
      </c>
      <c r="F438" s="3">
        <f t="shared" si="3"/>
        <v>0.0002122912289</v>
      </c>
      <c r="G438" s="3">
        <f t="shared" si="4"/>
        <v>0</v>
      </c>
      <c r="H438" s="2">
        <f t="shared" si="5"/>
        <v>0</v>
      </c>
      <c r="I438" s="3">
        <f t="shared" si="6"/>
        <v>0</v>
      </c>
      <c r="J438" s="3">
        <f t="shared" si="7"/>
        <v>0</v>
      </c>
      <c r="K438" s="3"/>
      <c r="L438" s="3">
        <f t="shared" si="8"/>
        <v>407.8165416</v>
      </c>
      <c r="M438" s="14">
        <f t="shared" si="9"/>
        <v>409.8420566</v>
      </c>
      <c r="N438" s="14">
        <f t="shared" si="10"/>
        <v>-2.02551504</v>
      </c>
      <c r="O438" s="3"/>
      <c r="P438" s="3"/>
      <c r="Q438" s="3"/>
      <c r="R438" s="2"/>
      <c r="S438" s="14">
        <f t="shared" si="13"/>
        <v>-1.860022629</v>
      </c>
    </row>
    <row r="439">
      <c r="A439" s="11">
        <v>427.0</v>
      </c>
      <c r="B439" s="11">
        <v>1.42125217391304E9</v>
      </c>
      <c r="C439" s="2">
        <v>-102.680275</v>
      </c>
      <c r="D439" s="3">
        <f t="shared" si="1"/>
        <v>852173.913</v>
      </c>
      <c r="E439" s="4">
        <f t="shared" si="2"/>
        <v>-180.904338</v>
      </c>
      <c r="F439" s="3">
        <f t="shared" si="3"/>
        <v>0.0002122857028</v>
      </c>
      <c r="G439" s="3">
        <f t="shared" si="4"/>
        <v>0</v>
      </c>
      <c r="H439" s="2">
        <f t="shared" si="5"/>
        <v>0</v>
      </c>
      <c r="I439" s="3">
        <f t="shared" si="6"/>
        <v>0</v>
      </c>
      <c r="J439" s="3">
        <f t="shared" si="7"/>
        <v>0</v>
      </c>
      <c r="K439" s="3"/>
      <c r="L439" s="3">
        <f t="shared" si="8"/>
        <v>410.2784134</v>
      </c>
      <c r="M439" s="14">
        <f t="shared" si="9"/>
        <v>409.7047487</v>
      </c>
      <c r="N439" s="14">
        <f t="shared" si="10"/>
        <v>0.5736646983</v>
      </c>
      <c r="O439" s="3"/>
      <c r="P439" s="3"/>
      <c r="Q439" s="3"/>
      <c r="R439" s="2"/>
      <c r="S439" s="14">
        <f t="shared" si="13"/>
        <v>0.5267940727</v>
      </c>
    </row>
    <row r="440">
      <c r="A440" s="11">
        <v>428.0</v>
      </c>
      <c r="B440" s="11">
        <v>1.42125652173913E9</v>
      </c>
      <c r="C440" s="2">
        <v>-102.6925125</v>
      </c>
      <c r="D440" s="3">
        <f t="shared" si="1"/>
        <v>856521.7391</v>
      </c>
      <c r="E440" s="4">
        <f t="shared" si="2"/>
        <v>-181.8226342</v>
      </c>
      <c r="F440" s="3">
        <f t="shared" si="3"/>
        <v>0.0002122802328</v>
      </c>
      <c r="G440" s="3">
        <f t="shared" si="4"/>
        <v>0</v>
      </c>
      <c r="H440" s="2">
        <f t="shared" si="5"/>
        <v>0</v>
      </c>
      <c r="I440" s="3">
        <f t="shared" si="6"/>
        <v>0</v>
      </c>
      <c r="J440" s="3">
        <f t="shared" si="7"/>
        <v>0</v>
      </c>
      <c r="K440" s="3"/>
      <c r="L440" s="3">
        <f t="shared" si="8"/>
        <v>409.1239629</v>
      </c>
      <c r="M440" s="14">
        <f t="shared" si="9"/>
        <v>409.5668395</v>
      </c>
      <c r="N440" s="14">
        <f t="shared" si="10"/>
        <v>-0.4428766097</v>
      </c>
      <c r="O440" s="3"/>
      <c r="P440" s="3"/>
      <c r="Q440" s="3"/>
      <c r="R440" s="2"/>
      <c r="S440" s="14">
        <f t="shared" si="13"/>
        <v>-0.4066918779</v>
      </c>
    </row>
    <row r="441">
      <c r="A441" s="11">
        <v>429.0</v>
      </c>
      <c r="B441" s="11">
        <v>1.42126086956521E9</v>
      </c>
      <c r="C441" s="2">
        <v>-102.7064896</v>
      </c>
      <c r="D441" s="3">
        <f t="shared" si="1"/>
        <v>860869.5652</v>
      </c>
      <c r="E441" s="4">
        <f t="shared" si="2"/>
        <v>-182.7409303</v>
      </c>
      <c r="F441" s="3">
        <f t="shared" si="3"/>
        <v>0.000212274818</v>
      </c>
      <c r="G441" s="3">
        <f t="shared" si="4"/>
        <v>0</v>
      </c>
      <c r="H441" s="2">
        <f t="shared" si="5"/>
        <v>0</v>
      </c>
      <c r="I441" s="3">
        <f t="shared" si="6"/>
        <v>0</v>
      </c>
      <c r="J441" s="3">
        <f t="shared" si="7"/>
        <v>0</v>
      </c>
      <c r="K441" s="3"/>
      <c r="L441" s="3">
        <f t="shared" si="8"/>
        <v>407.8093768</v>
      </c>
      <c r="M441" s="14">
        <f t="shared" si="9"/>
        <v>409.4283266</v>
      </c>
      <c r="N441" s="14">
        <f t="shared" si="10"/>
        <v>-1.618949731</v>
      </c>
      <c r="O441" s="3"/>
      <c r="P441" s="3"/>
      <c r="Q441" s="3"/>
      <c r="R441" s="2"/>
      <c r="S441" s="14">
        <f t="shared" si="13"/>
        <v>-1.486675277</v>
      </c>
    </row>
    <row r="442">
      <c r="A442" s="11">
        <v>430.0</v>
      </c>
      <c r="B442" s="11">
        <v>1.4212652173913E9</v>
      </c>
      <c r="C442" s="2">
        <v>-102.6976929</v>
      </c>
      <c r="D442" s="3">
        <f t="shared" si="1"/>
        <v>865217.3913</v>
      </c>
      <c r="E442" s="4">
        <f t="shared" si="2"/>
        <v>-183.6592264</v>
      </c>
      <c r="F442" s="3">
        <f t="shared" si="3"/>
        <v>0.0002122694577</v>
      </c>
      <c r="G442" s="3">
        <f t="shared" si="4"/>
        <v>0</v>
      </c>
      <c r="H442" s="2">
        <f t="shared" si="5"/>
        <v>0</v>
      </c>
      <c r="I442" s="3">
        <f t="shared" si="6"/>
        <v>0</v>
      </c>
      <c r="J442" s="3">
        <f t="shared" si="7"/>
        <v>0</v>
      </c>
      <c r="K442" s="3"/>
      <c r="L442" s="3">
        <f t="shared" si="8"/>
        <v>408.636238</v>
      </c>
      <c r="M442" s="14">
        <f t="shared" si="9"/>
        <v>409.2892076</v>
      </c>
      <c r="N442" s="14">
        <f t="shared" si="10"/>
        <v>-0.6529696248</v>
      </c>
      <c r="O442" s="3"/>
      <c r="P442" s="3"/>
      <c r="Q442" s="3"/>
      <c r="R442" s="2"/>
      <c r="S442" s="14">
        <f t="shared" si="13"/>
        <v>-0.5996194799</v>
      </c>
    </row>
    <row r="443">
      <c r="A443" s="11">
        <v>431.0</v>
      </c>
      <c r="B443" s="11">
        <v>1.42126956521739E9</v>
      </c>
      <c r="C443" s="2">
        <v>-102.7180405</v>
      </c>
      <c r="D443" s="3">
        <f t="shared" si="1"/>
        <v>869565.2174</v>
      </c>
      <c r="E443" s="4">
        <f t="shared" si="2"/>
        <v>-184.5775226</v>
      </c>
      <c r="F443" s="3">
        <f t="shared" si="3"/>
        <v>0.0002122641509</v>
      </c>
      <c r="G443" s="3">
        <f t="shared" si="4"/>
        <v>0</v>
      </c>
      <c r="H443" s="2">
        <f t="shared" si="5"/>
        <v>0</v>
      </c>
      <c r="I443" s="3">
        <f t="shared" si="6"/>
        <v>0</v>
      </c>
      <c r="J443" s="3">
        <f t="shared" si="7"/>
        <v>0</v>
      </c>
      <c r="K443" s="3"/>
      <c r="L443" s="3">
        <f t="shared" si="8"/>
        <v>406.7261702</v>
      </c>
      <c r="M443" s="14">
        <f t="shared" si="9"/>
        <v>409.1494802</v>
      </c>
      <c r="N443" s="14">
        <f t="shared" si="10"/>
        <v>-2.423309997</v>
      </c>
      <c r="O443" s="3"/>
      <c r="P443" s="3"/>
      <c r="Q443" s="3"/>
      <c r="R443" s="2"/>
      <c r="S443" s="14">
        <f t="shared" si="13"/>
        <v>-2.225316199</v>
      </c>
    </row>
    <row r="444">
      <c r="A444" s="11">
        <v>432.0</v>
      </c>
      <c r="B444" s="11">
        <v>1.42127391304347E9</v>
      </c>
      <c r="C444" s="2">
        <v>-102.6946106</v>
      </c>
      <c r="D444" s="3">
        <f t="shared" si="1"/>
        <v>873913.0435</v>
      </c>
      <c r="E444" s="4">
        <f t="shared" si="2"/>
        <v>-185.4958187</v>
      </c>
      <c r="F444" s="3">
        <f t="shared" si="3"/>
        <v>0.000212258897</v>
      </c>
      <c r="G444" s="3">
        <f t="shared" si="4"/>
        <v>0</v>
      </c>
      <c r="H444" s="2">
        <f t="shared" si="5"/>
        <v>0</v>
      </c>
      <c r="I444" s="3">
        <f t="shared" si="6"/>
        <v>0</v>
      </c>
      <c r="J444" s="3">
        <f t="shared" si="7"/>
        <v>0</v>
      </c>
      <c r="K444" s="3"/>
      <c r="L444" s="3">
        <f t="shared" si="8"/>
        <v>408.9263606</v>
      </c>
      <c r="M444" s="14">
        <f t="shared" si="9"/>
        <v>409.009142</v>
      </c>
      <c r="N444" s="14">
        <f t="shared" si="10"/>
        <v>-0.08278140621</v>
      </c>
      <c r="O444" s="3"/>
      <c r="P444" s="3"/>
      <c r="Q444" s="3"/>
      <c r="R444" s="2"/>
      <c r="S444" s="14">
        <f t="shared" si="13"/>
        <v>-0.07601784519</v>
      </c>
    </row>
    <row r="445">
      <c r="A445" s="11">
        <v>433.0</v>
      </c>
      <c r="B445" s="11">
        <v>1.42127826086956E9</v>
      </c>
      <c r="C445" s="2">
        <v>-102.6893005</v>
      </c>
      <c r="D445" s="3">
        <f t="shared" si="1"/>
        <v>878260.8696</v>
      </c>
      <c r="E445" s="4">
        <f t="shared" si="2"/>
        <v>-186.4141148</v>
      </c>
      <c r="F445" s="3">
        <f t="shared" si="3"/>
        <v>0.0002122536951</v>
      </c>
      <c r="G445" s="3">
        <f t="shared" si="4"/>
        <v>0</v>
      </c>
      <c r="H445" s="2">
        <f t="shared" si="5"/>
        <v>0</v>
      </c>
      <c r="I445" s="3">
        <f t="shared" si="6"/>
        <v>0</v>
      </c>
      <c r="J445" s="3">
        <f t="shared" si="7"/>
        <v>0</v>
      </c>
      <c r="K445" s="3"/>
      <c r="L445" s="3">
        <f t="shared" si="8"/>
        <v>409.4266589</v>
      </c>
      <c r="M445" s="14">
        <f t="shared" si="9"/>
        <v>408.8681906</v>
      </c>
      <c r="N445" s="14">
        <f t="shared" si="10"/>
        <v>0.5584682911</v>
      </c>
      <c r="O445" s="3"/>
      <c r="P445" s="3"/>
      <c r="Q445" s="3"/>
      <c r="R445" s="2"/>
      <c r="S445" s="14">
        <f t="shared" si="13"/>
        <v>0.5128392708</v>
      </c>
    </row>
    <row r="446">
      <c r="A446" s="11">
        <v>434.0</v>
      </c>
      <c r="B446" s="11">
        <v>1.42128260869565E9</v>
      </c>
      <c r="C446" s="2">
        <v>-102.7022858</v>
      </c>
      <c r="D446" s="3">
        <f t="shared" si="1"/>
        <v>882608.6957</v>
      </c>
      <c r="E446" s="4">
        <f t="shared" si="2"/>
        <v>-187.332411</v>
      </c>
      <c r="F446" s="3">
        <f t="shared" si="3"/>
        <v>0.0002122485444</v>
      </c>
      <c r="G446" s="3">
        <f t="shared" si="4"/>
        <v>0</v>
      </c>
      <c r="H446" s="2">
        <f t="shared" si="5"/>
        <v>0</v>
      </c>
      <c r="I446" s="3">
        <f t="shared" si="6"/>
        <v>0</v>
      </c>
      <c r="J446" s="3">
        <f t="shared" si="7"/>
        <v>0</v>
      </c>
      <c r="K446" s="3"/>
      <c r="L446" s="3">
        <f t="shared" si="8"/>
        <v>408.2043114</v>
      </c>
      <c r="M446" s="14">
        <f t="shared" si="9"/>
        <v>408.7266237</v>
      </c>
      <c r="N446" s="14">
        <f t="shared" si="10"/>
        <v>-0.5223122464</v>
      </c>
      <c r="O446" s="3"/>
      <c r="P446" s="3"/>
      <c r="Q446" s="3"/>
      <c r="R446" s="2"/>
      <c r="S446" s="14">
        <f t="shared" si="13"/>
        <v>-0.479637316</v>
      </c>
    </row>
    <row r="447">
      <c r="A447" s="11">
        <v>435.0</v>
      </c>
      <c r="B447" s="11">
        <v>1.42128695652173E9</v>
      </c>
      <c r="C447" s="2">
        <v>-102.733696</v>
      </c>
      <c r="D447" s="3">
        <f t="shared" si="1"/>
        <v>886956.5217</v>
      </c>
      <c r="E447" s="4">
        <f t="shared" si="2"/>
        <v>-188.2507071</v>
      </c>
      <c r="F447" s="3">
        <f t="shared" si="3"/>
        <v>0.0002122434443</v>
      </c>
      <c r="G447" s="3">
        <f t="shared" si="4"/>
        <v>0</v>
      </c>
      <c r="H447" s="2">
        <f t="shared" si="5"/>
        <v>0</v>
      </c>
      <c r="I447" s="3">
        <f t="shared" si="6"/>
        <v>0</v>
      </c>
      <c r="J447" s="3">
        <f t="shared" si="7"/>
        <v>0</v>
      </c>
      <c r="K447" s="3"/>
      <c r="L447" s="3">
        <f t="shared" si="8"/>
        <v>405.2626383</v>
      </c>
      <c r="M447" s="14">
        <f t="shared" si="9"/>
        <v>408.5844387</v>
      </c>
      <c r="N447" s="14">
        <f t="shared" si="10"/>
        <v>-3.321800463</v>
      </c>
      <c r="O447" s="3"/>
      <c r="P447" s="3"/>
      <c r="Q447" s="3"/>
      <c r="R447" s="2"/>
      <c r="S447" s="14">
        <f t="shared" si="13"/>
        <v>-3.050396519</v>
      </c>
    </row>
    <row r="448">
      <c r="A448" s="11">
        <v>436.0</v>
      </c>
      <c r="B448" s="11">
        <v>1.42129130434782E9</v>
      </c>
      <c r="C448" s="2">
        <v>-102.6610794</v>
      </c>
      <c r="D448" s="3">
        <f t="shared" si="1"/>
        <v>891304.3478</v>
      </c>
      <c r="E448" s="4">
        <f t="shared" si="2"/>
        <v>-189.1690032</v>
      </c>
      <c r="F448" s="3">
        <f t="shared" si="3"/>
        <v>0.0002122383939</v>
      </c>
      <c r="G448" s="3">
        <f t="shared" si="4"/>
        <v>0</v>
      </c>
      <c r="H448" s="2">
        <f t="shared" si="5"/>
        <v>0</v>
      </c>
      <c r="I448" s="3">
        <f t="shared" si="6"/>
        <v>0</v>
      </c>
      <c r="J448" s="3">
        <f t="shared" si="7"/>
        <v>0</v>
      </c>
      <c r="K448" s="3"/>
      <c r="L448" s="3">
        <f t="shared" si="8"/>
        <v>412.0958371</v>
      </c>
      <c r="M448" s="14">
        <f t="shared" si="9"/>
        <v>408.4416335</v>
      </c>
      <c r="N448" s="14">
        <f t="shared" si="10"/>
        <v>3.654203588</v>
      </c>
      <c r="O448" s="3"/>
      <c r="P448" s="3"/>
      <c r="Q448" s="3"/>
      <c r="R448" s="2"/>
      <c r="S448" s="14">
        <f t="shared" si="13"/>
        <v>3.355641023</v>
      </c>
    </row>
    <row r="449">
      <c r="A449" s="11">
        <v>437.0</v>
      </c>
      <c r="B449" s="11">
        <v>1.42129565217391E9</v>
      </c>
      <c r="C449" s="2">
        <v>-102.6884155</v>
      </c>
      <c r="D449" s="3">
        <f t="shared" si="1"/>
        <v>895652.1739</v>
      </c>
      <c r="E449" s="4">
        <f t="shared" si="2"/>
        <v>-190.0872994</v>
      </c>
      <c r="F449" s="3">
        <f t="shared" si="3"/>
        <v>0.0002122333925</v>
      </c>
      <c r="G449" s="3">
        <f t="shared" si="4"/>
        <v>0</v>
      </c>
      <c r="H449" s="2">
        <f t="shared" si="5"/>
        <v>0</v>
      </c>
      <c r="I449" s="3">
        <f t="shared" si="6"/>
        <v>0</v>
      </c>
      <c r="J449" s="3">
        <f t="shared" si="7"/>
        <v>0</v>
      </c>
      <c r="K449" s="3"/>
      <c r="L449" s="3">
        <f t="shared" si="8"/>
        <v>409.5100999</v>
      </c>
      <c r="M449" s="14">
        <f t="shared" si="9"/>
        <v>408.2982055</v>
      </c>
      <c r="N449" s="14">
        <f t="shared" si="10"/>
        <v>1.211894353</v>
      </c>
      <c r="O449" s="3"/>
      <c r="P449" s="3"/>
      <c r="Q449" s="3"/>
      <c r="R449" s="2"/>
      <c r="S449" s="14">
        <f t="shared" si="13"/>
        <v>1.112877895</v>
      </c>
    </row>
    <row r="450">
      <c r="A450" s="11">
        <v>438.0</v>
      </c>
      <c r="B450" s="11">
        <v>1.4213E9</v>
      </c>
      <c r="C450" s="2">
        <v>-102.7140808</v>
      </c>
      <c r="D450" s="3">
        <f t="shared" si="1"/>
        <v>900000</v>
      </c>
      <c r="E450" s="4">
        <f t="shared" si="2"/>
        <v>-191.0055955</v>
      </c>
      <c r="F450" s="3">
        <f t="shared" si="3"/>
        <v>0.0002122284394</v>
      </c>
      <c r="G450" s="3">
        <f t="shared" si="4"/>
        <v>0</v>
      </c>
      <c r="H450" s="2">
        <f t="shared" si="5"/>
        <v>0</v>
      </c>
      <c r="I450" s="3">
        <f t="shared" si="6"/>
        <v>0</v>
      </c>
      <c r="J450" s="3">
        <f t="shared" si="7"/>
        <v>0</v>
      </c>
      <c r="K450" s="3"/>
      <c r="L450" s="3">
        <f t="shared" si="8"/>
        <v>407.0971738</v>
      </c>
      <c r="M450" s="14">
        <f t="shared" si="9"/>
        <v>408.1541525</v>
      </c>
      <c r="N450" s="14">
        <f t="shared" si="10"/>
        <v>-1.056978683</v>
      </c>
      <c r="O450" s="3"/>
      <c r="P450" s="3"/>
      <c r="Q450" s="3"/>
      <c r="R450" s="2"/>
      <c r="S450" s="14">
        <f t="shared" si="13"/>
        <v>-0.9706194368</v>
      </c>
    </row>
    <row r="451">
      <c r="A451" s="11">
        <v>439.0</v>
      </c>
      <c r="B451" s="11">
        <v>1.42130434782608E9</v>
      </c>
      <c r="C451" s="2">
        <v>-102.6847839</v>
      </c>
      <c r="D451" s="3">
        <f t="shared" si="1"/>
        <v>904347.8261</v>
      </c>
      <c r="E451" s="4">
        <f t="shared" si="2"/>
        <v>-191.9238916</v>
      </c>
      <c r="F451" s="3">
        <f t="shared" si="3"/>
        <v>0.000212223534</v>
      </c>
      <c r="G451" s="3">
        <f t="shared" si="4"/>
        <v>0</v>
      </c>
      <c r="H451" s="2">
        <f t="shared" si="5"/>
        <v>0</v>
      </c>
      <c r="I451" s="3">
        <f t="shared" si="6"/>
        <v>0</v>
      </c>
      <c r="J451" s="3">
        <f t="shared" si="7"/>
        <v>0</v>
      </c>
      <c r="K451" s="3"/>
      <c r="L451" s="3">
        <f t="shared" si="8"/>
        <v>409.8526782</v>
      </c>
      <c r="M451" s="14">
        <f t="shared" si="9"/>
        <v>408.009472</v>
      </c>
      <c r="N451" s="14">
        <f t="shared" si="10"/>
        <v>1.843206261</v>
      </c>
      <c r="O451" s="3"/>
      <c r="P451" s="3"/>
      <c r="Q451" s="3"/>
      <c r="R451" s="2"/>
      <c r="S451" s="14">
        <f t="shared" si="13"/>
        <v>1.692609182</v>
      </c>
    </row>
    <row r="452">
      <c r="A452" s="11">
        <v>440.0</v>
      </c>
      <c r="B452" s="11">
        <v>1.42130869565217E9</v>
      </c>
      <c r="C452" s="2">
        <v>-102.689537</v>
      </c>
      <c r="D452" s="3">
        <f t="shared" si="1"/>
        <v>908695.6522</v>
      </c>
      <c r="E452" s="4">
        <f t="shared" si="2"/>
        <v>-192.8421877</v>
      </c>
      <c r="F452" s="3">
        <f t="shared" si="3"/>
        <v>0.0002122186755</v>
      </c>
      <c r="G452" s="3">
        <f t="shared" si="4"/>
        <v>0</v>
      </c>
      <c r="H452" s="2">
        <f t="shared" si="5"/>
        <v>0</v>
      </c>
      <c r="I452" s="3">
        <f t="shared" si="6"/>
        <v>0</v>
      </c>
      <c r="J452" s="3">
        <f t="shared" si="7"/>
        <v>0</v>
      </c>
      <c r="K452" s="3"/>
      <c r="L452" s="3">
        <f t="shared" si="8"/>
        <v>409.4043637</v>
      </c>
      <c r="M452" s="14">
        <f t="shared" si="9"/>
        <v>407.8641616</v>
      </c>
      <c r="N452" s="14">
        <f t="shared" si="10"/>
        <v>1.540202127</v>
      </c>
      <c r="O452" s="3"/>
      <c r="P452" s="3"/>
      <c r="Q452" s="3"/>
      <c r="R452" s="2"/>
      <c r="S452" s="14">
        <f t="shared" si="13"/>
        <v>1.414361653</v>
      </c>
    </row>
    <row r="453">
      <c r="A453" s="11">
        <v>441.0</v>
      </c>
      <c r="B453" s="11">
        <v>1.42131304347826E9</v>
      </c>
      <c r="C453" s="2">
        <v>-102.6938553</v>
      </c>
      <c r="D453" s="3">
        <f t="shared" si="1"/>
        <v>913043.4783</v>
      </c>
      <c r="E453" s="4">
        <f t="shared" si="2"/>
        <v>-193.7604839</v>
      </c>
      <c r="F453" s="3">
        <f t="shared" si="3"/>
        <v>0.0002122138633</v>
      </c>
      <c r="G453" s="3">
        <f t="shared" si="4"/>
        <v>0</v>
      </c>
      <c r="H453" s="2">
        <f t="shared" si="5"/>
        <v>0</v>
      </c>
      <c r="I453" s="3">
        <f t="shared" si="6"/>
        <v>0</v>
      </c>
      <c r="J453" s="3">
        <f t="shared" si="7"/>
        <v>0</v>
      </c>
      <c r="K453" s="3"/>
      <c r="L453" s="3">
        <f t="shared" si="8"/>
        <v>408.9974849</v>
      </c>
      <c r="M453" s="14">
        <f t="shared" si="9"/>
        <v>407.718219</v>
      </c>
      <c r="N453" s="14">
        <f t="shared" si="10"/>
        <v>1.27926591</v>
      </c>
      <c r="O453" s="3"/>
      <c r="P453" s="3"/>
      <c r="Q453" s="3"/>
      <c r="R453" s="2"/>
      <c r="S453" s="14">
        <f t="shared" si="13"/>
        <v>1.174744938</v>
      </c>
    </row>
    <row r="454">
      <c r="A454" s="11">
        <v>442.0</v>
      </c>
      <c r="B454" s="11">
        <v>1.42131739130434E9</v>
      </c>
      <c r="C454" s="2">
        <v>-102.6682129</v>
      </c>
      <c r="D454" s="3">
        <f t="shared" si="1"/>
        <v>917391.3043</v>
      </c>
      <c r="E454" s="4">
        <f t="shared" si="2"/>
        <v>-194.67878</v>
      </c>
      <c r="F454" s="3">
        <f t="shared" si="3"/>
        <v>0.0002122090967</v>
      </c>
      <c r="G454" s="3">
        <f t="shared" si="4"/>
        <v>0</v>
      </c>
      <c r="H454" s="2">
        <f t="shared" si="5"/>
        <v>0</v>
      </c>
      <c r="I454" s="3">
        <f t="shared" si="6"/>
        <v>0</v>
      </c>
      <c r="J454" s="3">
        <f t="shared" si="7"/>
        <v>0</v>
      </c>
      <c r="K454" s="3"/>
      <c r="L454" s="3">
        <f t="shared" si="8"/>
        <v>411.419505</v>
      </c>
      <c r="M454" s="14">
        <f t="shared" si="9"/>
        <v>407.5716418</v>
      </c>
      <c r="N454" s="14">
        <f t="shared" si="10"/>
        <v>3.847863233</v>
      </c>
      <c r="O454" s="3"/>
      <c r="P454" s="3"/>
      <c r="Q454" s="3"/>
      <c r="R454" s="2"/>
      <c r="S454" s="14">
        <f t="shared" si="13"/>
        <v>3.533477926</v>
      </c>
    </row>
    <row r="455">
      <c r="A455" s="11">
        <v>443.0</v>
      </c>
      <c r="B455" s="11">
        <v>1.42132173913043E9</v>
      </c>
      <c r="C455" s="2">
        <v>-102.6650162</v>
      </c>
      <c r="D455" s="3">
        <f t="shared" si="1"/>
        <v>921739.1304</v>
      </c>
      <c r="E455" s="4">
        <f t="shared" si="2"/>
        <v>-195.5970761</v>
      </c>
      <c r="F455" s="3">
        <f t="shared" si="3"/>
        <v>0.0002122043751</v>
      </c>
      <c r="G455" s="3">
        <f t="shared" si="4"/>
        <v>0</v>
      </c>
      <c r="H455" s="2">
        <f t="shared" si="5"/>
        <v>0</v>
      </c>
      <c r="I455" s="3">
        <f t="shared" si="6"/>
        <v>0</v>
      </c>
      <c r="J455" s="3">
        <f t="shared" si="7"/>
        <v>0</v>
      </c>
      <c r="K455" s="3"/>
      <c r="L455" s="3">
        <f t="shared" si="8"/>
        <v>411.722449</v>
      </c>
      <c r="M455" s="14">
        <f t="shared" si="9"/>
        <v>407.4244276</v>
      </c>
      <c r="N455" s="14">
        <f t="shared" si="10"/>
        <v>4.298021371</v>
      </c>
      <c r="O455" s="3"/>
      <c r="P455" s="3"/>
      <c r="Q455" s="3"/>
      <c r="R455" s="2"/>
      <c r="S455" s="14">
        <f t="shared" si="13"/>
        <v>3.946856394</v>
      </c>
    </row>
    <row r="456">
      <c r="A456" s="11">
        <v>444.0</v>
      </c>
      <c r="B456" s="11">
        <v>1.42132608695652E9</v>
      </c>
      <c r="C456" s="2">
        <v>-102.6844635</v>
      </c>
      <c r="D456" s="3">
        <f t="shared" si="1"/>
        <v>926086.9565</v>
      </c>
      <c r="E456" s="4">
        <f t="shared" si="2"/>
        <v>-196.5153723</v>
      </c>
      <c r="F456" s="3">
        <f t="shared" si="3"/>
        <v>0.0002121996978</v>
      </c>
      <c r="G456" s="3">
        <f t="shared" si="4"/>
        <v>0</v>
      </c>
      <c r="H456" s="2">
        <f t="shared" si="5"/>
        <v>0</v>
      </c>
      <c r="I456" s="3">
        <f t="shared" si="6"/>
        <v>0</v>
      </c>
      <c r="J456" s="3">
        <f t="shared" si="7"/>
        <v>0</v>
      </c>
      <c r="K456" s="3"/>
      <c r="L456" s="3">
        <f t="shared" si="8"/>
        <v>409.8829162</v>
      </c>
      <c r="M456" s="14">
        <f t="shared" si="9"/>
        <v>407.2765741</v>
      </c>
      <c r="N456" s="14">
        <f t="shared" si="10"/>
        <v>2.606342069</v>
      </c>
      <c r="O456" s="3"/>
      <c r="P456" s="3"/>
      <c r="Q456" s="3"/>
      <c r="R456" s="2"/>
      <c r="S456" s="14">
        <f t="shared" si="13"/>
        <v>2.393393842</v>
      </c>
    </row>
    <row r="457">
      <c r="A457" s="11">
        <v>445.0</v>
      </c>
      <c r="B457" s="11">
        <v>1.4213304347826E9</v>
      </c>
      <c r="C457" s="2">
        <v>-102.7171936</v>
      </c>
      <c r="D457" s="3">
        <f t="shared" si="1"/>
        <v>930434.7826</v>
      </c>
      <c r="E457" s="4">
        <f t="shared" si="2"/>
        <v>-197.4336684</v>
      </c>
      <c r="F457" s="3">
        <f t="shared" si="3"/>
        <v>0.0002121950642</v>
      </c>
      <c r="G457" s="3">
        <f t="shared" si="4"/>
        <v>0</v>
      </c>
      <c r="H457" s="2">
        <f t="shared" si="5"/>
        <v>0</v>
      </c>
      <c r="I457" s="3">
        <f t="shared" si="6"/>
        <v>0</v>
      </c>
      <c r="J457" s="3">
        <f t="shared" si="7"/>
        <v>0</v>
      </c>
      <c r="K457" s="3"/>
      <c r="L457" s="3">
        <f t="shared" si="8"/>
        <v>406.805492</v>
      </c>
      <c r="M457" s="14">
        <f t="shared" si="9"/>
        <v>407.1280788</v>
      </c>
      <c r="N457" s="14">
        <f t="shared" si="10"/>
        <v>-0.3225868142</v>
      </c>
      <c r="O457" s="3"/>
      <c r="P457" s="3"/>
      <c r="Q457" s="3"/>
      <c r="R457" s="2"/>
      <c r="S457" s="14">
        <f t="shared" si="13"/>
        <v>-0.296230224</v>
      </c>
    </row>
    <row r="458">
      <c r="A458" s="11">
        <v>446.0</v>
      </c>
      <c r="B458" s="11">
        <v>1.42133478260869E9</v>
      </c>
      <c r="C458" s="2">
        <v>-102.741684</v>
      </c>
      <c r="D458" s="3">
        <f t="shared" si="1"/>
        <v>934782.6087</v>
      </c>
      <c r="E458" s="4">
        <f t="shared" si="2"/>
        <v>-198.3519645</v>
      </c>
      <c r="F458" s="3">
        <f t="shared" si="3"/>
        <v>0.0002121904737</v>
      </c>
      <c r="G458" s="3">
        <f t="shared" si="4"/>
        <v>0</v>
      </c>
      <c r="H458" s="2">
        <f t="shared" si="5"/>
        <v>0</v>
      </c>
      <c r="I458" s="3">
        <f t="shared" si="6"/>
        <v>0</v>
      </c>
      <c r="J458" s="3">
        <f t="shared" si="7"/>
        <v>0</v>
      </c>
      <c r="K458" s="3"/>
      <c r="L458" s="3">
        <f t="shared" si="8"/>
        <v>404.5179218</v>
      </c>
      <c r="M458" s="14">
        <f t="shared" si="9"/>
        <v>406.9789394</v>
      </c>
      <c r="N458" s="14">
        <f t="shared" si="10"/>
        <v>-2.461017597</v>
      </c>
      <c r="O458" s="3"/>
      <c r="P458" s="3"/>
      <c r="Q458" s="3"/>
      <c r="R458" s="2"/>
      <c r="S458" s="14">
        <f t="shared" si="13"/>
        <v>-2.259942942</v>
      </c>
    </row>
    <row r="459">
      <c r="A459" s="11">
        <v>447.0</v>
      </c>
      <c r="B459" s="11">
        <v>1.42133913043478E9</v>
      </c>
      <c r="C459" s="2">
        <v>-102.7433929</v>
      </c>
      <c r="D459" s="3">
        <f t="shared" si="1"/>
        <v>939130.4348</v>
      </c>
      <c r="E459" s="4">
        <f t="shared" si="2"/>
        <v>-199.2702607</v>
      </c>
      <c r="F459" s="3">
        <f t="shared" si="3"/>
        <v>0.0002121859257</v>
      </c>
      <c r="G459" s="3">
        <f t="shared" si="4"/>
        <v>0</v>
      </c>
      <c r="H459" s="2">
        <f t="shared" si="5"/>
        <v>0</v>
      </c>
      <c r="I459" s="3">
        <f t="shared" si="6"/>
        <v>0</v>
      </c>
      <c r="J459" s="3">
        <f t="shared" si="7"/>
        <v>0</v>
      </c>
      <c r="K459" s="3"/>
      <c r="L459" s="3">
        <f t="shared" si="8"/>
        <v>404.3587798</v>
      </c>
      <c r="M459" s="14">
        <f t="shared" si="9"/>
        <v>406.8291535</v>
      </c>
      <c r="N459" s="14">
        <f t="shared" si="10"/>
        <v>-2.470373624</v>
      </c>
      <c r="O459" s="3"/>
      <c r="P459" s="3"/>
      <c r="Q459" s="3"/>
      <c r="R459" s="2"/>
      <c r="S459" s="14">
        <f t="shared" si="13"/>
        <v>-2.26853454</v>
      </c>
    </row>
    <row r="460">
      <c r="A460" s="11">
        <v>448.0</v>
      </c>
      <c r="B460" s="11">
        <v>1.42134347826087E9</v>
      </c>
      <c r="C460" s="2">
        <v>-102.7238235</v>
      </c>
      <c r="D460" s="3">
        <f t="shared" si="1"/>
        <v>943478.2609</v>
      </c>
      <c r="E460" s="4">
        <f t="shared" si="2"/>
        <v>-200.1885568</v>
      </c>
      <c r="F460" s="3">
        <f t="shared" si="3"/>
        <v>0.0002121814197</v>
      </c>
      <c r="G460" s="3">
        <f t="shared" si="4"/>
        <v>0</v>
      </c>
      <c r="H460" s="2">
        <f t="shared" si="5"/>
        <v>0</v>
      </c>
      <c r="I460" s="3">
        <f t="shared" si="6"/>
        <v>0</v>
      </c>
      <c r="J460" s="3">
        <f t="shared" si="7"/>
        <v>0</v>
      </c>
      <c r="K460" s="3"/>
      <c r="L460" s="3">
        <f t="shared" si="8"/>
        <v>406.1849402</v>
      </c>
      <c r="M460" s="14">
        <f t="shared" si="9"/>
        <v>406.6787187</v>
      </c>
      <c r="N460" s="14">
        <f t="shared" si="10"/>
        <v>-0.4937784533</v>
      </c>
      <c r="O460" s="3"/>
      <c r="P460" s="3"/>
      <c r="Q460" s="3"/>
      <c r="R460" s="2"/>
      <c r="S460" s="14">
        <f t="shared" si="13"/>
        <v>-0.4534348441</v>
      </c>
    </row>
    <row r="461">
      <c r="A461" s="11">
        <v>449.0</v>
      </c>
      <c r="B461" s="11">
        <v>1.42134782608695E9</v>
      </c>
      <c r="C461" s="2">
        <v>-102.6652603</v>
      </c>
      <c r="D461" s="3">
        <f t="shared" si="1"/>
        <v>947826.087</v>
      </c>
      <c r="E461" s="4">
        <f t="shared" si="2"/>
        <v>-201.1068529</v>
      </c>
      <c r="F461" s="3">
        <f t="shared" si="3"/>
        <v>0.0002121769549</v>
      </c>
      <c r="G461" s="3">
        <f t="shared" si="4"/>
        <v>0</v>
      </c>
      <c r="H461" s="2">
        <f t="shared" si="5"/>
        <v>0</v>
      </c>
      <c r="I461" s="3">
        <f t="shared" si="6"/>
        <v>0</v>
      </c>
      <c r="J461" s="3">
        <f t="shared" si="7"/>
        <v>0</v>
      </c>
      <c r="K461" s="3"/>
      <c r="L461" s="3">
        <f t="shared" si="8"/>
        <v>411.6993083</v>
      </c>
      <c r="M461" s="14">
        <f t="shared" si="9"/>
        <v>406.5276326</v>
      </c>
      <c r="N461" s="14">
        <f t="shared" si="10"/>
        <v>5.171675743</v>
      </c>
      <c r="O461" s="3"/>
      <c r="P461" s="3"/>
      <c r="Q461" s="3"/>
      <c r="R461" s="2"/>
      <c r="S461" s="14">
        <f t="shared" si="13"/>
        <v>4.749129835</v>
      </c>
    </row>
    <row r="462">
      <c r="A462" s="11">
        <v>450.0</v>
      </c>
      <c r="B462" s="11">
        <v>1.42135217391304E9</v>
      </c>
      <c r="C462" s="2">
        <v>-102.7422485</v>
      </c>
      <c r="D462" s="3">
        <f t="shared" si="1"/>
        <v>952173.913</v>
      </c>
      <c r="E462" s="4">
        <f t="shared" si="2"/>
        <v>-202.0251491</v>
      </c>
      <c r="F462" s="3">
        <f t="shared" si="3"/>
        <v>0.000212172531</v>
      </c>
      <c r="G462" s="3">
        <f t="shared" si="4"/>
        <v>0</v>
      </c>
      <c r="H462" s="2">
        <f t="shared" si="5"/>
        <v>0</v>
      </c>
      <c r="I462" s="3">
        <f t="shared" si="6"/>
        <v>0</v>
      </c>
      <c r="J462" s="3">
        <f t="shared" si="7"/>
        <v>0</v>
      </c>
      <c r="K462" s="3"/>
      <c r="L462" s="3">
        <f t="shared" si="8"/>
        <v>404.4653456</v>
      </c>
      <c r="M462" s="14">
        <f t="shared" si="9"/>
        <v>406.3758929</v>
      </c>
      <c r="N462" s="14">
        <f t="shared" si="10"/>
        <v>-1.91054731</v>
      </c>
      <c r="O462" s="3"/>
      <c r="P462" s="3"/>
      <c r="Q462" s="3"/>
      <c r="R462" s="2"/>
      <c r="S462" s="14">
        <f t="shared" si="13"/>
        <v>-1.754448202</v>
      </c>
    </row>
    <row r="463">
      <c r="A463" s="11">
        <v>451.0</v>
      </c>
      <c r="B463" s="11">
        <v>1.42135652173913E9</v>
      </c>
      <c r="C463" s="2">
        <v>-102.7009888</v>
      </c>
      <c r="D463" s="3">
        <f t="shared" si="1"/>
        <v>956521.7391</v>
      </c>
      <c r="E463" s="4">
        <f t="shared" si="2"/>
        <v>-202.9434452</v>
      </c>
      <c r="F463" s="3">
        <f t="shared" si="3"/>
        <v>0.0002121681473</v>
      </c>
      <c r="G463" s="3">
        <f t="shared" si="4"/>
        <v>0</v>
      </c>
      <c r="H463" s="2">
        <f t="shared" si="5"/>
        <v>0</v>
      </c>
      <c r="I463" s="3">
        <f t="shared" si="6"/>
        <v>0</v>
      </c>
      <c r="J463" s="3">
        <f t="shared" si="7"/>
        <v>0</v>
      </c>
      <c r="K463" s="3"/>
      <c r="L463" s="3">
        <f t="shared" si="8"/>
        <v>408.3262379</v>
      </c>
      <c r="M463" s="14">
        <f t="shared" si="9"/>
        <v>406.2234972</v>
      </c>
      <c r="N463" s="14">
        <f t="shared" si="10"/>
        <v>2.102740741</v>
      </c>
      <c r="O463" s="3"/>
      <c r="P463" s="3"/>
      <c r="Q463" s="3"/>
      <c r="R463" s="2"/>
      <c r="S463" s="14">
        <f t="shared" si="13"/>
        <v>1.93093869</v>
      </c>
    </row>
    <row r="464">
      <c r="A464" s="11">
        <v>452.0</v>
      </c>
      <c r="B464" s="11">
        <v>1.42136086956521E9</v>
      </c>
      <c r="C464" s="2">
        <v>-102.7949905</v>
      </c>
      <c r="D464" s="3">
        <f t="shared" si="1"/>
        <v>960869.5652</v>
      </c>
      <c r="E464" s="4">
        <f t="shared" si="2"/>
        <v>-203.8617413</v>
      </c>
      <c r="F464" s="3">
        <f t="shared" si="3"/>
        <v>0.0002121638032</v>
      </c>
      <c r="G464" s="3">
        <f t="shared" si="4"/>
        <v>0</v>
      </c>
      <c r="H464" s="2">
        <f t="shared" si="5"/>
        <v>0</v>
      </c>
      <c r="I464" s="3">
        <f t="shared" si="6"/>
        <v>0</v>
      </c>
      <c r="J464" s="3">
        <f t="shared" si="7"/>
        <v>0</v>
      </c>
      <c r="K464" s="3"/>
      <c r="L464" s="3">
        <f t="shared" si="8"/>
        <v>399.5831051</v>
      </c>
      <c r="M464" s="14">
        <f t="shared" si="9"/>
        <v>406.070443</v>
      </c>
      <c r="N464" s="14">
        <f t="shared" si="10"/>
        <v>-6.487337967</v>
      </c>
      <c r="O464" s="3"/>
      <c r="P464" s="3"/>
      <c r="Q464" s="3"/>
      <c r="R464" s="2"/>
      <c r="S464" s="14">
        <f t="shared" si="13"/>
        <v>-5.957297367</v>
      </c>
    </row>
    <row r="465">
      <c r="A465" s="11">
        <v>453.0</v>
      </c>
      <c r="B465" s="11">
        <v>1.4213652173913E9</v>
      </c>
      <c r="C465" s="2">
        <v>-102.7317276</v>
      </c>
      <c r="D465" s="3">
        <f t="shared" si="1"/>
        <v>965217.3913</v>
      </c>
      <c r="E465" s="4">
        <f t="shared" si="2"/>
        <v>-204.7800375</v>
      </c>
      <c r="F465" s="3">
        <f t="shared" si="3"/>
        <v>0.0002121594983</v>
      </c>
      <c r="G465" s="3">
        <f t="shared" si="4"/>
        <v>0</v>
      </c>
      <c r="H465" s="2">
        <f t="shared" si="5"/>
        <v>0</v>
      </c>
      <c r="I465" s="3">
        <f t="shared" si="6"/>
        <v>0</v>
      </c>
      <c r="J465" s="3">
        <f t="shared" si="7"/>
        <v>0</v>
      </c>
      <c r="K465" s="3"/>
      <c r="L465" s="3">
        <f t="shared" si="8"/>
        <v>405.4463615</v>
      </c>
      <c r="M465" s="14">
        <f t="shared" si="9"/>
        <v>405.9167281</v>
      </c>
      <c r="N465" s="14">
        <f t="shared" si="10"/>
        <v>-0.4703666539</v>
      </c>
      <c r="O465" s="3"/>
      <c r="P465" s="3"/>
      <c r="Q465" s="3"/>
      <c r="R465" s="2"/>
      <c r="S465" s="14">
        <f t="shared" si="13"/>
        <v>-0.4319358782</v>
      </c>
    </row>
    <row r="466">
      <c r="A466" s="11">
        <v>454.0</v>
      </c>
      <c r="B466" s="11">
        <v>1.42136956521739E9</v>
      </c>
      <c r="C466" s="2">
        <v>-102.7297211</v>
      </c>
      <c r="D466" s="3">
        <f t="shared" si="1"/>
        <v>969565.2174</v>
      </c>
      <c r="E466" s="4">
        <f t="shared" si="2"/>
        <v>-205.6983336</v>
      </c>
      <c r="F466" s="3">
        <f t="shared" si="3"/>
        <v>0.000212155232</v>
      </c>
      <c r="G466" s="3">
        <f t="shared" si="4"/>
        <v>0</v>
      </c>
      <c r="H466" s="2">
        <f t="shared" si="5"/>
        <v>0</v>
      </c>
      <c r="I466" s="3">
        <f t="shared" si="6"/>
        <v>0</v>
      </c>
      <c r="J466" s="3">
        <f t="shared" si="7"/>
        <v>0</v>
      </c>
      <c r="K466" s="3"/>
      <c r="L466" s="3">
        <f t="shared" si="8"/>
        <v>405.6337265</v>
      </c>
      <c r="M466" s="14">
        <f t="shared" si="9"/>
        <v>405.7623501</v>
      </c>
      <c r="N466" s="14">
        <f t="shared" si="10"/>
        <v>-0.1286235416</v>
      </c>
      <c r="O466" s="3"/>
      <c r="P466" s="3"/>
      <c r="Q466" s="3"/>
      <c r="R466" s="2"/>
      <c r="S466" s="14">
        <f t="shared" si="13"/>
        <v>-0.1181145009</v>
      </c>
    </row>
    <row r="467">
      <c r="A467" s="11">
        <v>455.0</v>
      </c>
      <c r="B467" s="11">
        <v>1.42137391304347E9</v>
      </c>
      <c r="C467" s="2">
        <v>-102.7230148</v>
      </c>
      <c r="D467" s="3">
        <f t="shared" si="1"/>
        <v>973913.0435</v>
      </c>
      <c r="E467" s="4">
        <f t="shared" si="2"/>
        <v>-206.6166297</v>
      </c>
      <c r="F467" s="3">
        <f t="shared" si="3"/>
        <v>0.0002121510037</v>
      </c>
      <c r="G467" s="3">
        <f t="shared" si="4"/>
        <v>0</v>
      </c>
      <c r="H467" s="2">
        <f t="shared" si="5"/>
        <v>0</v>
      </c>
      <c r="I467" s="3">
        <f t="shared" si="6"/>
        <v>0</v>
      </c>
      <c r="J467" s="3">
        <f t="shared" si="7"/>
        <v>0</v>
      </c>
      <c r="K467" s="3"/>
      <c r="L467" s="3">
        <f t="shared" si="8"/>
        <v>406.260583</v>
      </c>
      <c r="M467" s="14">
        <f t="shared" si="9"/>
        <v>405.6073065</v>
      </c>
      <c r="N467" s="14">
        <f t="shared" si="10"/>
        <v>0.653276481</v>
      </c>
      <c r="O467" s="3"/>
      <c r="P467" s="3"/>
      <c r="Q467" s="3"/>
      <c r="R467" s="2"/>
      <c r="S467" s="14">
        <f t="shared" si="13"/>
        <v>0.5999012662</v>
      </c>
    </row>
    <row r="468">
      <c r="A468" s="11">
        <v>456.0</v>
      </c>
      <c r="B468" s="11">
        <v>1.42137826086956E9</v>
      </c>
      <c r="C468" s="2">
        <v>-102.7283707</v>
      </c>
      <c r="D468" s="3">
        <f t="shared" si="1"/>
        <v>978260.8696</v>
      </c>
      <c r="E468" s="4">
        <f t="shared" si="2"/>
        <v>-207.5349259</v>
      </c>
      <c r="F468" s="3">
        <f t="shared" si="3"/>
        <v>0.0002121468131</v>
      </c>
      <c r="G468" s="3">
        <f t="shared" si="4"/>
        <v>0</v>
      </c>
      <c r="H468" s="2">
        <f t="shared" si="5"/>
        <v>0</v>
      </c>
      <c r="I468" s="3">
        <f t="shared" si="6"/>
        <v>0</v>
      </c>
      <c r="J468" s="3">
        <f t="shared" si="7"/>
        <v>0</v>
      </c>
      <c r="K468" s="3"/>
      <c r="L468" s="3">
        <f t="shared" si="8"/>
        <v>405.7598744</v>
      </c>
      <c r="M468" s="14">
        <f t="shared" si="9"/>
        <v>405.451595</v>
      </c>
      <c r="N468" s="14">
        <f t="shared" si="10"/>
        <v>0.3082793753</v>
      </c>
      <c r="O468" s="3"/>
      <c r="P468" s="3"/>
      <c r="Q468" s="3"/>
      <c r="R468" s="2"/>
      <c r="S468" s="14">
        <f t="shared" si="13"/>
        <v>0.2830917575</v>
      </c>
    </row>
    <row r="469">
      <c r="A469" s="11">
        <v>457.0</v>
      </c>
      <c r="B469" s="11">
        <v>1.42138260869565E9</v>
      </c>
      <c r="C469" s="2">
        <v>-102.7566071</v>
      </c>
      <c r="D469" s="3">
        <f t="shared" si="1"/>
        <v>982608.6957</v>
      </c>
      <c r="E469" s="4">
        <f t="shared" si="2"/>
        <v>-208.453222</v>
      </c>
      <c r="F469" s="3">
        <f t="shared" si="3"/>
        <v>0.0002121426596</v>
      </c>
      <c r="G469" s="3">
        <f t="shared" si="4"/>
        <v>0</v>
      </c>
      <c r="H469" s="2">
        <f t="shared" si="5"/>
        <v>0</v>
      </c>
      <c r="I469" s="3">
        <f t="shared" si="6"/>
        <v>0</v>
      </c>
      <c r="J469" s="3">
        <f t="shared" si="7"/>
        <v>0</v>
      </c>
      <c r="K469" s="3"/>
      <c r="L469" s="3">
        <f t="shared" si="8"/>
        <v>403.1303145</v>
      </c>
      <c r="M469" s="14">
        <f t="shared" si="9"/>
        <v>405.2952132</v>
      </c>
      <c r="N469" s="14">
        <f t="shared" si="10"/>
        <v>-2.164898643</v>
      </c>
      <c r="O469" s="3"/>
      <c r="P469" s="3"/>
      <c r="Q469" s="3"/>
      <c r="R469" s="2"/>
      <c r="S469" s="14">
        <f t="shared" si="13"/>
        <v>-1.988018052</v>
      </c>
    </row>
    <row r="470">
      <c r="A470" s="11">
        <v>458.0</v>
      </c>
      <c r="B470" s="11">
        <v>1.42138695652173E9</v>
      </c>
      <c r="C470" s="2">
        <v>-102.7372818</v>
      </c>
      <c r="D470" s="3">
        <f t="shared" si="1"/>
        <v>986956.5217</v>
      </c>
      <c r="E470" s="4">
        <f t="shared" si="2"/>
        <v>-209.3715181</v>
      </c>
      <c r="F470" s="3">
        <f t="shared" si="3"/>
        <v>0.0002121385426</v>
      </c>
      <c r="G470" s="3">
        <f t="shared" si="4"/>
        <v>0</v>
      </c>
      <c r="H470" s="2">
        <f t="shared" si="5"/>
        <v>0</v>
      </c>
      <c r="I470" s="3">
        <f t="shared" si="6"/>
        <v>0</v>
      </c>
      <c r="J470" s="3">
        <f t="shared" si="7"/>
        <v>0</v>
      </c>
      <c r="K470" s="3"/>
      <c r="L470" s="3">
        <f t="shared" si="8"/>
        <v>404.9281668</v>
      </c>
      <c r="M470" s="14">
        <f t="shared" si="9"/>
        <v>405.1381587</v>
      </c>
      <c r="N470" s="14">
        <f t="shared" si="10"/>
        <v>-0.209991841</v>
      </c>
      <c r="O470" s="3"/>
      <c r="P470" s="3"/>
      <c r="Q470" s="3"/>
      <c r="R470" s="2"/>
      <c r="S470" s="14">
        <f t="shared" si="13"/>
        <v>-0.1928346955</v>
      </c>
    </row>
    <row r="471">
      <c r="A471" s="11">
        <v>459.0</v>
      </c>
      <c r="B471" s="11">
        <v>1.42139130434782E9</v>
      </c>
      <c r="C471" s="2">
        <v>-102.7243195</v>
      </c>
      <c r="D471" s="3">
        <f t="shared" si="1"/>
        <v>991304.3478</v>
      </c>
      <c r="E471" s="4">
        <f t="shared" si="2"/>
        <v>-210.2898143</v>
      </c>
      <c r="F471" s="3">
        <f t="shared" si="3"/>
        <v>0.0002121344618</v>
      </c>
      <c r="G471" s="3">
        <f t="shared" si="4"/>
        <v>0</v>
      </c>
      <c r="H471" s="2">
        <f t="shared" si="5"/>
        <v>0</v>
      </c>
      <c r="I471" s="3">
        <f t="shared" si="6"/>
        <v>0</v>
      </c>
      <c r="J471" s="3">
        <f t="shared" si="7"/>
        <v>0</v>
      </c>
      <c r="K471" s="3"/>
      <c r="L471" s="3">
        <f t="shared" si="8"/>
        <v>406.1385532</v>
      </c>
      <c r="M471" s="14">
        <f t="shared" si="9"/>
        <v>404.9804291</v>
      </c>
      <c r="N471" s="14">
        <f t="shared" si="10"/>
        <v>1.15812406</v>
      </c>
      <c r="O471" s="3"/>
      <c r="P471" s="3"/>
      <c r="Q471" s="3"/>
      <c r="R471" s="2"/>
      <c r="S471" s="14">
        <f t="shared" si="13"/>
        <v>1.063500846</v>
      </c>
    </row>
    <row r="472">
      <c r="A472" s="11">
        <v>460.0</v>
      </c>
      <c r="B472" s="11">
        <v>1.42139565217391E9</v>
      </c>
      <c r="C472" s="2">
        <v>-102.7435837</v>
      </c>
      <c r="D472" s="3">
        <f t="shared" si="1"/>
        <v>995652.1739</v>
      </c>
      <c r="E472" s="4">
        <f t="shared" si="2"/>
        <v>-211.2081104</v>
      </c>
      <c r="F472" s="3">
        <f t="shared" si="3"/>
        <v>0.0002121304166</v>
      </c>
      <c r="G472" s="3">
        <f t="shared" si="4"/>
        <v>0</v>
      </c>
      <c r="H472" s="2">
        <f t="shared" si="5"/>
        <v>0</v>
      </c>
      <c r="I472" s="3">
        <f t="shared" si="6"/>
        <v>0</v>
      </c>
      <c r="J472" s="3">
        <f t="shared" si="7"/>
        <v>0</v>
      </c>
      <c r="K472" s="3"/>
      <c r="L472" s="3">
        <f t="shared" si="8"/>
        <v>404.3410154</v>
      </c>
      <c r="M472" s="14">
        <f t="shared" si="9"/>
        <v>404.8220222</v>
      </c>
      <c r="N472" s="14">
        <f t="shared" si="10"/>
        <v>-0.4810067594</v>
      </c>
      <c r="O472" s="3"/>
      <c r="P472" s="3"/>
      <c r="Q472" s="3"/>
      <c r="R472" s="2"/>
      <c r="S472" s="14">
        <f t="shared" si="13"/>
        <v>-0.3809042544</v>
      </c>
    </row>
    <row r="473">
      <c r="A473" s="11">
        <v>461.0</v>
      </c>
      <c r="B473" s="11">
        <v>1.4214E9</v>
      </c>
      <c r="C473" s="2">
        <v>-102.7821274</v>
      </c>
      <c r="D473" s="3">
        <f t="shared" si="1"/>
        <v>1000000</v>
      </c>
      <c r="E473" s="29">
        <f>-0.000212*D473</f>
        <v>-212</v>
      </c>
      <c r="F473" s="3">
        <f t="shared" si="3"/>
        <v>0.000212</v>
      </c>
      <c r="G473" s="3">
        <f t="shared" si="4"/>
        <v>0</v>
      </c>
      <c r="H473" s="2">
        <f t="shared" si="5"/>
        <v>0</v>
      </c>
      <c r="I473" s="3">
        <f t="shared" si="6"/>
        <v>0</v>
      </c>
      <c r="J473" s="3">
        <f t="shared" si="7"/>
        <v>0</v>
      </c>
      <c r="K473" s="3"/>
      <c r="L473" s="3">
        <f t="shared" si="8"/>
        <v>400.76836</v>
      </c>
      <c r="M473" s="14">
        <f t="shared" si="9"/>
        <v>404.6848746</v>
      </c>
      <c r="N473" s="14">
        <f t="shared" si="10"/>
        <v>-3.916514637</v>
      </c>
      <c r="O473" s="3"/>
      <c r="P473" s="3"/>
      <c r="Q473" s="3"/>
      <c r="R473" s="2"/>
      <c r="S473" s="14"/>
    </row>
    <row r="474">
      <c r="A474" s="11" t="s">
        <v>40</v>
      </c>
      <c r="D474" s="3"/>
      <c r="E474" s="4"/>
      <c r="F474" s="3"/>
      <c r="G474" s="3"/>
      <c r="H474" s="3"/>
      <c r="I474" s="3"/>
      <c r="J474" s="3"/>
      <c r="K474" s="3"/>
      <c r="L474" s="3"/>
      <c r="M474" s="5"/>
      <c r="N474" s="3"/>
      <c r="O474" s="3"/>
      <c r="P474" s="3"/>
      <c r="Q474" s="3"/>
      <c r="R474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0</v>
      </c>
      <c r="B1" s="11" t="s">
        <v>1</v>
      </c>
    </row>
    <row r="2">
      <c r="A2" s="11" t="s">
        <v>2</v>
      </c>
      <c r="B2" s="11" t="s">
        <v>3</v>
      </c>
    </row>
    <row r="3">
      <c r="A3" s="11" t="s">
        <v>5</v>
      </c>
      <c r="B3" s="11" t="s">
        <v>6</v>
      </c>
    </row>
    <row r="4">
      <c r="A4" s="11" t="s">
        <v>7</v>
      </c>
      <c r="B4" s="11">
        <v>1.4204E9</v>
      </c>
      <c r="C4" s="11" t="s">
        <v>8</v>
      </c>
    </row>
    <row r="5">
      <c r="A5" s="11" t="s">
        <v>9</v>
      </c>
      <c r="B5" s="11">
        <v>2000000.0</v>
      </c>
      <c r="C5" s="11" t="s">
        <v>8</v>
      </c>
    </row>
    <row r="6">
      <c r="A6" s="11" t="s">
        <v>10</v>
      </c>
      <c r="B6" s="11">
        <v>30000.0</v>
      </c>
      <c r="C6" s="11" t="s">
        <v>8</v>
      </c>
    </row>
    <row r="7">
      <c r="A7" s="11" t="s">
        <v>11</v>
      </c>
      <c r="B7" s="11">
        <v>30000.0</v>
      </c>
      <c r="C7" s="11" t="s">
        <v>8</v>
      </c>
    </row>
    <row r="8">
      <c r="A8" s="11" t="s">
        <v>12</v>
      </c>
      <c r="B8" s="11">
        <v>-97.0</v>
      </c>
      <c r="C8" s="11" t="s">
        <v>13</v>
      </c>
    </row>
    <row r="9">
      <c r="A9" s="11" t="s">
        <v>14</v>
      </c>
      <c r="B9" s="11">
        <v>1.0</v>
      </c>
      <c r="C9" s="11" t="s">
        <v>15</v>
      </c>
    </row>
    <row r="10">
      <c r="A10" s="11" t="s">
        <v>16</v>
      </c>
      <c r="B10" s="11">
        <v>461.0</v>
      </c>
    </row>
    <row r="11">
      <c r="A11" s="11" t="s">
        <v>17</v>
      </c>
      <c r="B11" s="11" t="s">
        <v>8</v>
      </c>
      <c r="C11" s="11" t="s">
        <v>13</v>
      </c>
      <c r="D11" s="2" t="s">
        <v>18</v>
      </c>
      <c r="E11" s="1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26</v>
      </c>
      <c r="M11" s="6" t="s">
        <v>27</v>
      </c>
      <c r="N11" s="2" t="s">
        <v>28</v>
      </c>
      <c r="O11" s="3"/>
      <c r="P11" s="2" t="s">
        <v>29</v>
      </c>
      <c r="Q11" s="2" t="s">
        <v>30</v>
      </c>
      <c r="R11" s="2"/>
      <c r="S11" s="2" t="s">
        <v>31</v>
      </c>
      <c r="V11" s="13" t="s">
        <v>32</v>
      </c>
    </row>
    <row r="12">
      <c r="A12" s="11" t="s">
        <v>33</v>
      </c>
      <c r="B12" s="11" t="s">
        <v>34</v>
      </c>
      <c r="C12" s="11" t="s">
        <v>35</v>
      </c>
      <c r="D12" s="3"/>
      <c r="E12" s="4"/>
      <c r="F12" s="3"/>
      <c r="G12" s="2" t="s">
        <v>36</v>
      </c>
      <c r="H12" s="2" t="s">
        <v>37</v>
      </c>
      <c r="I12" s="3"/>
      <c r="J12" s="3"/>
      <c r="K12" s="3"/>
      <c r="L12" s="3"/>
      <c r="M12" s="5"/>
      <c r="N12" s="3"/>
      <c r="O12" s="3"/>
      <c r="P12" s="3"/>
      <c r="Q12" s="3"/>
      <c r="R12" s="3"/>
      <c r="S12" s="14"/>
    </row>
    <row r="13">
      <c r="A13" s="11">
        <v>1.0</v>
      </c>
      <c r="B13" s="11">
        <v>1.4194E9</v>
      </c>
      <c r="C13" s="2">
        <v>-102.3839645</v>
      </c>
      <c r="D13" s="3">
        <f t="shared" ref="D13:D473" si="1">B13-$B$4</f>
        <v>-1000000</v>
      </c>
      <c r="E13" s="4">
        <f t="shared" ref="E13:E472" si="2">-((B14-$B$4)/$B$4)*(3*10^5)</f>
        <v>210.2898143</v>
      </c>
      <c r="F13" s="3">
        <f t="shared" ref="F13:F473" si="3">-E13/D13</f>
        <v>0.0002102898143</v>
      </c>
      <c r="G13" s="3">
        <f t="shared" ref="G13:G473" si="4">(10^(C13/10))/1000</f>
        <v>0</v>
      </c>
      <c r="H13" s="2">
        <f t="shared" ref="H13:H473" si="5">G13/30000</f>
        <v>0</v>
      </c>
      <c r="I13" s="3">
        <f t="shared" ref="I13:I473" si="6">0.0063*H13</f>
        <v>0</v>
      </c>
      <c r="J13" s="3">
        <f t="shared" ref="J13:J473" si="7">(1/F13^2)*I13</f>
        <v>0</v>
      </c>
      <c r="K13" s="22">
        <f>1.38064852E-23</f>
        <v>0</v>
      </c>
      <c r="L13" s="3">
        <f t="shared" ref="L13:L473" si="8">(1/(2*$K$13))*(I13)</f>
        <v>439.2479238</v>
      </c>
      <c r="M13" s="14">
        <f t="shared" ref="M13:M473" si="9"> 0.000000205*E13^3 - 0.0001926157*E13^2 + 0.0748583149*E13 + 429.5574723702
</f>
        <v>438.6879754</v>
      </c>
      <c r="N13" s="14">
        <f t="shared" ref="N13:N473" si="10">L13-(M13)</f>
        <v>0.5599483519</v>
      </c>
      <c r="O13" s="3"/>
      <c r="P13" s="23">
        <f t="shared" ref="P13:P67" si="11">-((B14-$B$4)/$B$4)*(3*10^5)</f>
        <v>210.2898143</v>
      </c>
      <c r="Q13" s="14">
        <f t="shared" ref="Q13:Q67" si="12">(1/(2*$K$13))*(I13)</f>
        <v>439.2479238</v>
      </c>
      <c r="R13" s="2"/>
      <c r="S13" s="14">
        <f t="shared" ref="S13:S472" si="13">(N13 * ABS(E14-E13))</f>
        <v>0.5141984061</v>
      </c>
      <c r="V13" s="3">
        <f>1822400000000000000 * SUM(S13:S474)</f>
        <v>2.64376E+22</v>
      </c>
    </row>
    <row r="14">
      <c r="A14" s="11">
        <v>2.0</v>
      </c>
      <c r="B14" s="11">
        <v>1.41940434782608E9</v>
      </c>
      <c r="C14" s="2">
        <v>-102.4007339</v>
      </c>
      <c r="D14" s="3">
        <f t="shared" si="1"/>
        <v>-995652.1739</v>
      </c>
      <c r="E14" s="4">
        <f t="shared" si="2"/>
        <v>209.3715181</v>
      </c>
      <c r="F14" s="3">
        <f t="shared" si="3"/>
        <v>0.0002102858042</v>
      </c>
      <c r="G14" s="3">
        <f t="shared" si="4"/>
        <v>0</v>
      </c>
      <c r="H14" s="2">
        <f t="shared" si="5"/>
        <v>0</v>
      </c>
      <c r="I14" s="3">
        <f t="shared" si="6"/>
        <v>0</v>
      </c>
      <c r="J14" s="3">
        <f t="shared" si="7"/>
        <v>0</v>
      </c>
      <c r="K14" s="3"/>
      <c r="L14" s="3">
        <f t="shared" si="8"/>
        <v>437.5551274</v>
      </c>
      <c r="M14" s="14">
        <f t="shared" si="9"/>
        <v>438.6685968</v>
      </c>
      <c r="N14" s="14">
        <f t="shared" si="10"/>
        <v>-1.113469463</v>
      </c>
      <c r="O14" s="3"/>
      <c r="P14" s="23">
        <f t="shared" si="11"/>
        <v>209.3715181</v>
      </c>
      <c r="Q14" s="14">
        <f t="shared" si="12"/>
        <v>437.5551274</v>
      </c>
      <c r="R14" s="2"/>
      <c r="S14" s="14">
        <f t="shared" si="13"/>
        <v>-1.022494702</v>
      </c>
    </row>
    <row r="15">
      <c r="A15" s="11">
        <v>3.0</v>
      </c>
      <c r="B15" s="11">
        <v>1.41940869565217E9</v>
      </c>
      <c r="C15" s="2">
        <v>-102.3928986</v>
      </c>
      <c r="D15" s="3">
        <f t="shared" si="1"/>
        <v>-991304.3478</v>
      </c>
      <c r="E15" s="4">
        <f t="shared" si="2"/>
        <v>208.453222</v>
      </c>
      <c r="F15" s="3">
        <f t="shared" si="3"/>
        <v>0.000210281759</v>
      </c>
      <c r="G15" s="3">
        <f t="shared" si="4"/>
        <v>0</v>
      </c>
      <c r="H15" s="2">
        <f t="shared" si="5"/>
        <v>0</v>
      </c>
      <c r="I15" s="3">
        <f t="shared" si="6"/>
        <v>0</v>
      </c>
      <c r="J15" s="3">
        <f t="shared" si="7"/>
        <v>0</v>
      </c>
      <c r="K15" s="3"/>
      <c r="L15" s="3">
        <f t="shared" si="8"/>
        <v>438.3452526</v>
      </c>
      <c r="M15" s="14">
        <f t="shared" si="9"/>
        <v>438.6491106</v>
      </c>
      <c r="N15" s="14">
        <f t="shared" si="10"/>
        <v>-0.3038579658</v>
      </c>
      <c r="O15" s="3"/>
      <c r="P15" s="23">
        <f t="shared" si="11"/>
        <v>208.453222</v>
      </c>
      <c r="Q15" s="14">
        <f t="shared" si="12"/>
        <v>438.3452526</v>
      </c>
      <c r="R15" s="2"/>
      <c r="S15" s="14">
        <f t="shared" si="13"/>
        <v>-0.2790315943</v>
      </c>
    </row>
    <row r="16">
      <c r="A16" s="11">
        <v>4.0</v>
      </c>
      <c r="B16" s="11">
        <v>1.41941304347826E9</v>
      </c>
      <c r="C16" s="2">
        <v>-102.4033051</v>
      </c>
      <c r="D16" s="3">
        <f t="shared" si="1"/>
        <v>-986956.5217</v>
      </c>
      <c r="E16" s="4">
        <f t="shared" si="2"/>
        <v>207.5349259</v>
      </c>
      <c r="F16" s="3">
        <f t="shared" si="3"/>
        <v>0.0002102776782</v>
      </c>
      <c r="G16" s="3">
        <f t="shared" si="4"/>
        <v>0</v>
      </c>
      <c r="H16" s="2">
        <f t="shared" si="5"/>
        <v>0</v>
      </c>
      <c r="I16" s="3">
        <f t="shared" si="6"/>
        <v>0</v>
      </c>
      <c r="J16" s="3">
        <f t="shared" si="7"/>
        <v>0</v>
      </c>
      <c r="K16" s="3"/>
      <c r="L16" s="3">
        <f t="shared" si="8"/>
        <v>437.2961536</v>
      </c>
      <c r="M16" s="14">
        <f t="shared" si="9"/>
        <v>438.6295156</v>
      </c>
      <c r="N16" s="14">
        <f t="shared" si="10"/>
        <v>-1.333362015</v>
      </c>
      <c r="O16" s="3"/>
      <c r="P16" s="23">
        <f t="shared" si="11"/>
        <v>207.5349259</v>
      </c>
      <c r="Q16" s="14">
        <f t="shared" si="12"/>
        <v>437.2961536</v>
      </c>
      <c r="R16" s="2"/>
      <c r="S16" s="14">
        <f t="shared" si="13"/>
        <v>-1.224421182</v>
      </c>
    </row>
    <row r="17">
      <c r="A17" s="11">
        <v>5.0</v>
      </c>
      <c r="B17" s="11">
        <v>1.41941739130434E9</v>
      </c>
      <c r="C17" s="2">
        <v>-102.4034882</v>
      </c>
      <c r="D17" s="3">
        <f t="shared" si="1"/>
        <v>-982608.6957</v>
      </c>
      <c r="E17" s="4">
        <f t="shared" si="2"/>
        <v>206.6166297</v>
      </c>
      <c r="F17" s="3">
        <f t="shared" si="3"/>
        <v>0.0002102735612</v>
      </c>
      <c r="G17" s="3">
        <f t="shared" si="4"/>
        <v>0</v>
      </c>
      <c r="H17" s="2">
        <f t="shared" si="5"/>
        <v>0</v>
      </c>
      <c r="I17" s="3">
        <f t="shared" si="6"/>
        <v>0</v>
      </c>
      <c r="J17" s="3">
        <f t="shared" si="7"/>
        <v>0</v>
      </c>
      <c r="K17" s="3"/>
      <c r="L17" s="3">
        <f t="shared" si="8"/>
        <v>437.2777175</v>
      </c>
      <c r="M17" s="14">
        <f t="shared" si="9"/>
        <v>438.6098111</v>
      </c>
      <c r="N17" s="14">
        <f t="shared" si="10"/>
        <v>-1.332093656</v>
      </c>
      <c r="O17" s="3"/>
      <c r="P17" s="23">
        <f t="shared" si="11"/>
        <v>206.6166297</v>
      </c>
      <c r="Q17" s="14">
        <f t="shared" si="12"/>
        <v>437.2777175</v>
      </c>
      <c r="R17" s="2"/>
      <c r="S17" s="14">
        <f t="shared" si="13"/>
        <v>-1.223256453</v>
      </c>
    </row>
    <row r="18">
      <c r="A18" s="11">
        <v>6.0</v>
      </c>
      <c r="B18" s="11">
        <v>1.41942173913043E9</v>
      </c>
      <c r="C18" s="2">
        <v>-102.3860703</v>
      </c>
      <c r="D18" s="3">
        <f t="shared" si="1"/>
        <v>-978260.8696</v>
      </c>
      <c r="E18" s="4">
        <f t="shared" si="2"/>
        <v>205.6983336</v>
      </c>
      <c r="F18" s="3">
        <f t="shared" si="3"/>
        <v>0.0002102694077</v>
      </c>
      <c r="G18" s="3">
        <f t="shared" si="4"/>
        <v>0</v>
      </c>
      <c r="H18" s="2">
        <f t="shared" si="5"/>
        <v>0</v>
      </c>
      <c r="I18" s="3">
        <f t="shared" si="6"/>
        <v>0</v>
      </c>
      <c r="J18" s="3">
        <f t="shared" si="7"/>
        <v>0</v>
      </c>
      <c r="K18" s="3"/>
      <c r="L18" s="3">
        <f t="shared" si="8"/>
        <v>439.0349936</v>
      </c>
      <c r="M18" s="14">
        <f t="shared" si="9"/>
        <v>438.589996</v>
      </c>
      <c r="N18" s="14">
        <f t="shared" si="10"/>
        <v>0.4449975627</v>
      </c>
      <c r="O18" s="3"/>
      <c r="P18" s="23">
        <f t="shared" si="11"/>
        <v>205.6983336</v>
      </c>
      <c r="Q18" s="14">
        <f t="shared" si="12"/>
        <v>439.0349936</v>
      </c>
      <c r="R18" s="2"/>
      <c r="S18" s="14">
        <f t="shared" si="13"/>
        <v>0.40863954</v>
      </c>
    </row>
    <row r="19">
      <c r="A19" s="11">
        <v>7.0</v>
      </c>
      <c r="B19" s="11">
        <v>1.41942608695652E9</v>
      </c>
      <c r="C19" s="2">
        <v>-102.4046021</v>
      </c>
      <c r="D19" s="3">
        <f t="shared" si="1"/>
        <v>-973913.0435</v>
      </c>
      <c r="E19" s="4">
        <f t="shared" si="2"/>
        <v>204.7800375</v>
      </c>
      <c r="F19" s="3">
        <f t="shared" si="3"/>
        <v>0.000210265217</v>
      </c>
      <c r="G19" s="3">
        <f t="shared" si="4"/>
        <v>0</v>
      </c>
      <c r="H19" s="2">
        <f t="shared" si="5"/>
        <v>0</v>
      </c>
      <c r="I19" s="3">
        <f t="shared" si="6"/>
        <v>0</v>
      </c>
      <c r="J19" s="3">
        <f t="shared" si="7"/>
        <v>0</v>
      </c>
      <c r="K19" s="3"/>
      <c r="L19" s="3">
        <f t="shared" si="8"/>
        <v>437.1655767</v>
      </c>
      <c r="M19" s="14">
        <f t="shared" si="9"/>
        <v>438.5700695</v>
      </c>
      <c r="N19" s="14">
        <f t="shared" si="10"/>
        <v>-1.404492794</v>
      </c>
      <c r="O19" s="3"/>
      <c r="P19" s="23">
        <f t="shared" si="11"/>
        <v>204.7800375</v>
      </c>
      <c r="Q19" s="14">
        <f t="shared" si="12"/>
        <v>437.1655767</v>
      </c>
      <c r="R19" s="2"/>
      <c r="S19" s="14">
        <f t="shared" si="13"/>
        <v>-1.289740302</v>
      </c>
    </row>
    <row r="20">
      <c r="A20" s="11">
        <v>8.0</v>
      </c>
      <c r="B20" s="11">
        <v>1.4194304347826E9</v>
      </c>
      <c r="C20" s="2">
        <v>-102.3969116</v>
      </c>
      <c r="D20" s="3">
        <f t="shared" si="1"/>
        <v>-969565.2174</v>
      </c>
      <c r="E20" s="4">
        <f t="shared" si="2"/>
        <v>203.8617413</v>
      </c>
      <c r="F20" s="3">
        <f t="shared" si="3"/>
        <v>0.0002102609888</v>
      </c>
      <c r="G20" s="3">
        <f t="shared" si="4"/>
        <v>0</v>
      </c>
      <c r="H20" s="2">
        <f t="shared" si="5"/>
        <v>0</v>
      </c>
      <c r="I20" s="3">
        <f t="shared" si="6"/>
        <v>0</v>
      </c>
      <c r="J20" s="3">
        <f t="shared" si="7"/>
        <v>0</v>
      </c>
      <c r="K20" s="3"/>
      <c r="L20" s="3">
        <f t="shared" si="8"/>
        <v>437.9403966</v>
      </c>
      <c r="M20" s="14">
        <f t="shared" si="9"/>
        <v>438.5500305</v>
      </c>
      <c r="N20" s="14">
        <f t="shared" si="10"/>
        <v>-0.6096338081</v>
      </c>
      <c r="O20" s="3"/>
      <c r="P20" s="23">
        <f t="shared" si="11"/>
        <v>203.8617413</v>
      </c>
      <c r="Q20" s="14">
        <f t="shared" si="12"/>
        <v>437.9403966</v>
      </c>
      <c r="R20" s="2"/>
      <c r="S20" s="14">
        <f t="shared" si="13"/>
        <v>-0.5598243684</v>
      </c>
    </row>
    <row r="21">
      <c r="A21" s="11">
        <v>9.0</v>
      </c>
      <c r="B21" s="11">
        <v>1.41943478260869E9</v>
      </c>
      <c r="C21" s="2">
        <v>-102.3920517</v>
      </c>
      <c r="D21" s="3">
        <f t="shared" si="1"/>
        <v>-965217.3913</v>
      </c>
      <c r="E21" s="4">
        <f t="shared" si="2"/>
        <v>202.9434452</v>
      </c>
      <c r="F21" s="3">
        <f t="shared" si="3"/>
        <v>0.0002102567225</v>
      </c>
      <c r="G21" s="3">
        <f t="shared" si="4"/>
        <v>0</v>
      </c>
      <c r="H21" s="2">
        <f t="shared" si="5"/>
        <v>0</v>
      </c>
      <c r="I21" s="3">
        <f t="shared" si="6"/>
        <v>0</v>
      </c>
      <c r="J21" s="3">
        <f t="shared" si="7"/>
        <v>0</v>
      </c>
      <c r="K21" s="3"/>
      <c r="L21" s="3">
        <f t="shared" si="8"/>
        <v>438.4307409</v>
      </c>
      <c r="M21" s="14">
        <f t="shared" si="9"/>
        <v>438.529878</v>
      </c>
      <c r="N21" s="14">
        <f t="shared" si="10"/>
        <v>-0.09913718108</v>
      </c>
      <c r="O21" s="3"/>
      <c r="P21" s="23">
        <f t="shared" si="11"/>
        <v>202.9434452</v>
      </c>
      <c r="Q21" s="14">
        <f t="shared" si="12"/>
        <v>438.4307409</v>
      </c>
      <c r="R21" s="2"/>
      <c r="S21" s="14">
        <f t="shared" si="13"/>
        <v>-0.09103729</v>
      </c>
      <c r="U21" s="11">
        <v>1.0</v>
      </c>
    </row>
    <row r="22">
      <c r="A22" s="11">
        <v>10.0</v>
      </c>
      <c r="B22" s="11">
        <v>1.41943913043478E9</v>
      </c>
      <c r="C22" s="2">
        <v>-102.3720703</v>
      </c>
      <c r="D22" s="3">
        <f t="shared" si="1"/>
        <v>-960869.5652</v>
      </c>
      <c r="E22" s="4">
        <f t="shared" si="2"/>
        <v>202.0251491</v>
      </c>
      <c r="F22" s="3">
        <f t="shared" si="3"/>
        <v>0.0002102524176</v>
      </c>
      <c r="G22" s="3">
        <f t="shared" si="4"/>
        <v>0</v>
      </c>
      <c r="H22" s="2">
        <f t="shared" si="5"/>
        <v>0</v>
      </c>
      <c r="I22" s="3">
        <f t="shared" si="6"/>
        <v>0</v>
      </c>
      <c r="J22" s="3">
        <f t="shared" si="7"/>
        <v>0</v>
      </c>
      <c r="K22" s="3"/>
      <c r="L22" s="3">
        <f t="shared" si="8"/>
        <v>440.4525588</v>
      </c>
      <c r="M22" s="14">
        <f t="shared" si="9"/>
        <v>438.5096113</v>
      </c>
      <c r="N22" s="14">
        <f t="shared" si="10"/>
        <v>1.942947571</v>
      </c>
      <c r="O22" s="3"/>
      <c r="P22" s="23">
        <f t="shared" si="11"/>
        <v>202.0251491</v>
      </c>
      <c r="Q22" s="14">
        <f t="shared" si="12"/>
        <v>440.4525588</v>
      </c>
      <c r="R22" s="2"/>
      <c r="S22" s="14">
        <f t="shared" si="13"/>
        <v>1.784201237</v>
      </c>
    </row>
    <row r="23">
      <c r="A23" s="11">
        <v>11.0</v>
      </c>
      <c r="B23" s="11">
        <v>1.41944347826087E9</v>
      </c>
      <c r="C23" s="2">
        <v>-102.3735657</v>
      </c>
      <c r="D23" s="3">
        <f t="shared" si="1"/>
        <v>-956521.7391</v>
      </c>
      <c r="E23" s="4">
        <f t="shared" si="2"/>
        <v>201.1068529</v>
      </c>
      <c r="F23" s="3">
        <f t="shared" si="3"/>
        <v>0.0002102480735</v>
      </c>
      <c r="G23" s="3">
        <f t="shared" si="4"/>
        <v>0</v>
      </c>
      <c r="H23" s="2">
        <f t="shared" si="5"/>
        <v>0</v>
      </c>
      <c r="I23" s="3">
        <f t="shared" si="6"/>
        <v>0</v>
      </c>
      <c r="J23" s="3">
        <f t="shared" si="7"/>
        <v>0</v>
      </c>
      <c r="K23" s="3"/>
      <c r="L23" s="3">
        <f t="shared" si="8"/>
        <v>440.3009245</v>
      </c>
      <c r="M23" s="14">
        <f t="shared" si="9"/>
        <v>438.4892292</v>
      </c>
      <c r="N23" s="14">
        <f t="shared" si="10"/>
        <v>1.811695364</v>
      </c>
      <c r="O23" s="3"/>
      <c r="P23" s="23">
        <f t="shared" si="11"/>
        <v>201.1068529</v>
      </c>
      <c r="Q23" s="14">
        <f t="shared" si="12"/>
        <v>440.3009245</v>
      </c>
      <c r="R23" s="2"/>
      <c r="S23" s="14">
        <f t="shared" si="13"/>
        <v>1.663672847</v>
      </c>
    </row>
    <row r="24">
      <c r="A24" s="11">
        <v>12.0</v>
      </c>
      <c r="B24" s="11">
        <v>1.41944782608695E9</v>
      </c>
      <c r="C24" s="2">
        <v>-102.3929062</v>
      </c>
      <c r="D24" s="3">
        <f t="shared" si="1"/>
        <v>-952173.913</v>
      </c>
      <c r="E24" s="4">
        <f t="shared" si="2"/>
        <v>200.1885568</v>
      </c>
      <c r="F24" s="3">
        <f t="shared" si="3"/>
        <v>0.0002102436898</v>
      </c>
      <c r="G24" s="3">
        <f t="shared" si="4"/>
        <v>0</v>
      </c>
      <c r="H24" s="2">
        <f t="shared" si="5"/>
        <v>0</v>
      </c>
      <c r="I24" s="3">
        <f t="shared" si="6"/>
        <v>0</v>
      </c>
      <c r="J24" s="3">
        <f t="shared" si="7"/>
        <v>0</v>
      </c>
      <c r="K24" s="3"/>
      <c r="L24" s="3">
        <f t="shared" si="8"/>
        <v>438.3444855</v>
      </c>
      <c r="M24" s="14">
        <f t="shared" si="9"/>
        <v>438.4687308</v>
      </c>
      <c r="N24" s="14">
        <f t="shared" si="10"/>
        <v>-0.1242453134</v>
      </c>
      <c r="O24" s="3"/>
      <c r="P24" s="23">
        <f t="shared" si="11"/>
        <v>200.1885568</v>
      </c>
      <c r="Q24" s="14">
        <f t="shared" si="12"/>
        <v>438.3444855</v>
      </c>
      <c r="R24" s="2"/>
      <c r="S24" s="14">
        <f t="shared" si="13"/>
        <v>-0.1140939908</v>
      </c>
    </row>
    <row r="25">
      <c r="A25" s="11">
        <v>13.0</v>
      </c>
      <c r="B25" s="11">
        <v>1.41945217391304E9</v>
      </c>
      <c r="C25" s="2">
        <v>-102.3877335</v>
      </c>
      <c r="D25" s="3">
        <f t="shared" si="1"/>
        <v>-947826.087</v>
      </c>
      <c r="E25" s="4">
        <f t="shared" si="2"/>
        <v>199.2702607</v>
      </c>
      <c r="F25" s="3">
        <f t="shared" si="3"/>
        <v>0.0002102392658</v>
      </c>
      <c r="G25" s="3">
        <f t="shared" si="4"/>
        <v>0</v>
      </c>
      <c r="H25" s="2">
        <f t="shared" si="5"/>
        <v>0</v>
      </c>
      <c r="I25" s="3">
        <f t="shared" si="6"/>
        <v>0</v>
      </c>
      <c r="J25" s="3">
        <f t="shared" si="7"/>
        <v>0</v>
      </c>
      <c r="K25" s="3"/>
      <c r="L25" s="3">
        <f t="shared" si="8"/>
        <v>438.8668903</v>
      </c>
      <c r="M25" s="14">
        <f t="shared" si="9"/>
        <v>438.4481153</v>
      </c>
      <c r="N25" s="14">
        <f t="shared" si="10"/>
        <v>0.4187750847</v>
      </c>
      <c r="O25" s="3"/>
      <c r="P25" s="23">
        <f t="shared" si="11"/>
        <v>199.2702607</v>
      </c>
      <c r="Q25" s="14">
        <f t="shared" si="12"/>
        <v>438.8668903</v>
      </c>
      <c r="R25" s="2"/>
      <c r="S25" s="14">
        <f t="shared" si="13"/>
        <v>0.3845595399</v>
      </c>
    </row>
    <row r="26">
      <c r="A26" s="11">
        <v>14.0</v>
      </c>
      <c r="B26" s="11">
        <v>1.41945652173913E9</v>
      </c>
      <c r="C26" s="2">
        <v>-102.3920746</v>
      </c>
      <c r="D26" s="3">
        <f t="shared" si="1"/>
        <v>-943478.2609</v>
      </c>
      <c r="E26" s="4">
        <f t="shared" si="2"/>
        <v>198.3519645</v>
      </c>
      <c r="F26" s="3">
        <f t="shared" si="3"/>
        <v>0.0002102348011</v>
      </c>
      <c r="G26" s="3">
        <f t="shared" si="4"/>
        <v>0</v>
      </c>
      <c r="H26" s="2">
        <f t="shared" si="5"/>
        <v>0</v>
      </c>
      <c r="I26" s="3">
        <f t="shared" si="6"/>
        <v>0</v>
      </c>
      <c r="J26" s="3">
        <f t="shared" si="7"/>
        <v>0</v>
      </c>
      <c r="K26" s="3"/>
      <c r="L26" s="3">
        <f t="shared" si="8"/>
        <v>438.428429</v>
      </c>
      <c r="M26" s="14">
        <f t="shared" si="9"/>
        <v>438.4273815</v>
      </c>
      <c r="N26" s="14">
        <f t="shared" si="10"/>
        <v>0.001047521421</v>
      </c>
      <c r="O26" s="3"/>
      <c r="P26" s="23">
        <f t="shared" si="11"/>
        <v>198.3519645</v>
      </c>
      <c r="Q26" s="14">
        <f t="shared" si="12"/>
        <v>438.428429</v>
      </c>
      <c r="R26" s="2"/>
      <c r="S26" s="14">
        <f t="shared" si="13"/>
        <v>0.0009619348699</v>
      </c>
    </row>
    <row r="27">
      <c r="A27" s="11">
        <v>15.0</v>
      </c>
      <c r="B27" s="11">
        <v>1.41946086956521E9</v>
      </c>
      <c r="C27" s="2">
        <v>-102.3379898</v>
      </c>
      <c r="D27" s="3">
        <f t="shared" si="1"/>
        <v>-939130.4348</v>
      </c>
      <c r="E27" s="4">
        <f t="shared" si="2"/>
        <v>197.4336684</v>
      </c>
      <c r="F27" s="3">
        <f t="shared" si="3"/>
        <v>0.0002102302951</v>
      </c>
      <c r="G27" s="3">
        <f t="shared" si="4"/>
        <v>0</v>
      </c>
      <c r="H27" s="2">
        <f t="shared" si="5"/>
        <v>0</v>
      </c>
      <c r="I27" s="3">
        <f t="shared" si="6"/>
        <v>0</v>
      </c>
      <c r="J27" s="3">
        <f t="shared" si="7"/>
        <v>0</v>
      </c>
      <c r="K27" s="3"/>
      <c r="L27" s="3">
        <f t="shared" si="8"/>
        <v>443.9225304</v>
      </c>
      <c r="M27" s="14">
        <f t="shared" si="9"/>
        <v>438.4065287</v>
      </c>
      <c r="N27" s="14">
        <f t="shared" si="10"/>
        <v>5.516001769</v>
      </c>
      <c r="O27" s="3"/>
      <c r="P27" s="23">
        <f t="shared" si="11"/>
        <v>197.4336684</v>
      </c>
      <c r="Q27" s="14">
        <f t="shared" si="12"/>
        <v>443.9225304</v>
      </c>
      <c r="R27" s="2"/>
      <c r="S27" s="14">
        <f t="shared" si="13"/>
        <v>5.065323093</v>
      </c>
    </row>
    <row r="28">
      <c r="A28" s="11">
        <v>16.0</v>
      </c>
      <c r="B28" s="11">
        <v>1.4194652173913E9</v>
      </c>
      <c r="C28" s="2">
        <v>-102.3894272</v>
      </c>
      <c r="D28" s="3">
        <f t="shared" si="1"/>
        <v>-934782.6087</v>
      </c>
      <c r="E28" s="4">
        <f t="shared" si="2"/>
        <v>196.5153723</v>
      </c>
      <c r="F28" s="3">
        <f t="shared" si="3"/>
        <v>0.0002102257471</v>
      </c>
      <c r="G28" s="3">
        <f t="shared" si="4"/>
        <v>0</v>
      </c>
      <c r="H28" s="2">
        <f t="shared" si="5"/>
        <v>0</v>
      </c>
      <c r="I28" s="3">
        <f t="shared" si="6"/>
        <v>0</v>
      </c>
      <c r="J28" s="3">
        <f t="shared" si="7"/>
        <v>0</v>
      </c>
      <c r="K28" s="3"/>
      <c r="L28" s="3">
        <f t="shared" si="8"/>
        <v>438.6957705</v>
      </c>
      <c r="M28" s="14">
        <f t="shared" si="9"/>
        <v>438.3855558</v>
      </c>
      <c r="N28" s="14">
        <f t="shared" si="10"/>
        <v>0.3102147613</v>
      </c>
      <c r="O28" s="3"/>
      <c r="P28" s="23">
        <f t="shared" si="11"/>
        <v>196.5153723</v>
      </c>
      <c r="Q28" s="14">
        <f t="shared" si="12"/>
        <v>438.6957705</v>
      </c>
      <c r="R28" s="2"/>
      <c r="S28" s="14">
        <f t="shared" si="13"/>
        <v>0.284869015</v>
      </c>
    </row>
    <row r="29">
      <c r="A29" s="11">
        <v>17.0</v>
      </c>
      <c r="B29" s="11">
        <v>1.41946956521739E9</v>
      </c>
      <c r="C29" s="2">
        <v>-102.4756622</v>
      </c>
      <c r="D29" s="3">
        <f t="shared" si="1"/>
        <v>-930434.7826</v>
      </c>
      <c r="E29" s="4">
        <f t="shared" si="2"/>
        <v>195.5970761</v>
      </c>
      <c r="F29" s="3">
        <f t="shared" si="3"/>
        <v>0.0002102211566</v>
      </c>
      <c r="G29" s="3">
        <f t="shared" si="4"/>
        <v>0</v>
      </c>
      <c r="H29" s="2">
        <f t="shared" si="5"/>
        <v>0</v>
      </c>
      <c r="I29" s="3">
        <f t="shared" si="6"/>
        <v>0</v>
      </c>
      <c r="J29" s="3">
        <f t="shared" si="7"/>
        <v>0</v>
      </c>
      <c r="K29" s="3"/>
      <c r="L29" s="3">
        <f t="shared" si="8"/>
        <v>430.0707907</v>
      </c>
      <c r="M29" s="14">
        <f t="shared" si="9"/>
        <v>438.3644618</v>
      </c>
      <c r="N29" s="14">
        <f t="shared" si="10"/>
        <v>-8.293671131</v>
      </c>
      <c r="O29" s="3"/>
      <c r="P29" s="23">
        <f t="shared" si="11"/>
        <v>195.5970761</v>
      </c>
      <c r="Q29" s="14">
        <f t="shared" si="12"/>
        <v>430.0707907</v>
      </c>
      <c r="R29" s="2"/>
      <c r="S29" s="14">
        <f t="shared" si="13"/>
        <v>-7.616046127</v>
      </c>
    </row>
    <row r="30">
      <c r="A30" s="11">
        <v>18.0</v>
      </c>
      <c r="B30" s="11">
        <v>1.41947391304347E9</v>
      </c>
      <c r="C30" s="2">
        <v>-102.3208389</v>
      </c>
      <c r="D30" s="3">
        <f t="shared" si="1"/>
        <v>-926086.9565</v>
      </c>
      <c r="E30" s="4">
        <f t="shared" si="2"/>
        <v>194.67878</v>
      </c>
      <c r="F30" s="3">
        <f t="shared" si="3"/>
        <v>0.000210216523</v>
      </c>
      <c r="G30" s="3">
        <f t="shared" si="4"/>
        <v>0</v>
      </c>
      <c r="H30" s="2">
        <f t="shared" si="5"/>
        <v>0</v>
      </c>
      <c r="I30" s="3">
        <f t="shared" si="6"/>
        <v>0</v>
      </c>
      <c r="J30" s="3">
        <f t="shared" si="7"/>
        <v>0</v>
      </c>
      <c r="K30" s="3"/>
      <c r="L30" s="3">
        <f t="shared" si="8"/>
        <v>445.6791092</v>
      </c>
      <c r="M30" s="14">
        <f t="shared" si="9"/>
        <v>438.3432459</v>
      </c>
      <c r="N30" s="14">
        <f t="shared" si="10"/>
        <v>7.335863273</v>
      </c>
      <c r="O30" s="3"/>
      <c r="P30" s="23">
        <f t="shared" si="11"/>
        <v>194.67878</v>
      </c>
      <c r="Q30" s="14">
        <f t="shared" si="12"/>
        <v>445.6791092</v>
      </c>
      <c r="R30" s="2"/>
      <c r="S30" s="14">
        <f t="shared" si="13"/>
        <v>6.736494874</v>
      </c>
    </row>
    <row r="31">
      <c r="A31" s="11">
        <v>19.0</v>
      </c>
      <c r="B31" s="11">
        <v>1.41947826086956E9</v>
      </c>
      <c r="C31" s="2">
        <v>-102.3729324</v>
      </c>
      <c r="D31" s="3">
        <f t="shared" si="1"/>
        <v>-921739.1304</v>
      </c>
      <c r="E31" s="4">
        <f t="shared" si="2"/>
        <v>193.7604839</v>
      </c>
      <c r="F31" s="3">
        <f t="shared" si="3"/>
        <v>0.0002102118457</v>
      </c>
      <c r="G31" s="3">
        <f t="shared" si="4"/>
        <v>0</v>
      </c>
      <c r="H31" s="2">
        <f t="shared" si="5"/>
        <v>0</v>
      </c>
      <c r="I31" s="3">
        <f t="shared" si="6"/>
        <v>0</v>
      </c>
      <c r="J31" s="3">
        <f t="shared" si="7"/>
        <v>0</v>
      </c>
      <c r="K31" s="3"/>
      <c r="L31" s="3">
        <f t="shared" si="8"/>
        <v>440.3651351</v>
      </c>
      <c r="M31" s="14">
        <f t="shared" si="9"/>
        <v>438.3219071</v>
      </c>
      <c r="N31" s="14">
        <f t="shared" si="10"/>
        <v>2.043228037</v>
      </c>
      <c r="O31" s="3"/>
      <c r="P31" s="23">
        <f t="shared" si="11"/>
        <v>193.7604839</v>
      </c>
      <c r="Q31" s="14">
        <f t="shared" si="12"/>
        <v>440.3651351</v>
      </c>
      <c r="R31" s="2"/>
      <c r="S31" s="14">
        <f t="shared" si="13"/>
        <v>1.8762884</v>
      </c>
    </row>
    <row r="32">
      <c r="A32" s="11">
        <v>20.0</v>
      </c>
      <c r="B32" s="11">
        <v>1.41948260869565E9</v>
      </c>
      <c r="C32" s="2">
        <v>-102.4182205</v>
      </c>
      <c r="D32" s="3">
        <f t="shared" si="1"/>
        <v>-917391.3043</v>
      </c>
      <c r="E32" s="4">
        <f t="shared" si="2"/>
        <v>192.8421878</v>
      </c>
      <c r="F32" s="3">
        <f t="shared" si="3"/>
        <v>0.0002102071241</v>
      </c>
      <c r="G32" s="3">
        <f t="shared" si="4"/>
        <v>0</v>
      </c>
      <c r="H32" s="2">
        <f t="shared" si="5"/>
        <v>0</v>
      </c>
      <c r="I32" s="3">
        <f t="shared" si="6"/>
        <v>0</v>
      </c>
      <c r="J32" s="3">
        <f t="shared" si="7"/>
        <v>0</v>
      </c>
      <c r="K32" s="3"/>
      <c r="L32" s="3">
        <f t="shared" si="8"/>
        <v>435.7968807</v>
      </c>
      <c r="M32" s="14">
        <f t="shared" si="9"/>
        <v>438.3004443</v>
      </c>
      <c r="N32" s="14">
        <f t="shared" si="10"/>
        <v>-2.503563619</v>
      </c>
      <c r="O32" s="3"/>
      <c r="P32" s="23">
        <f t="shared" si="11"/>
        <v>192.8421878</v>
      </c>
      <c r="Q32" s="14">
        <f t="shared" si="12"/>
        <v>435.7968807</v>
      </c>
      <c r="R32" s="2"/>
      <c r="S32" s="14">
        <f t="shared" si="13"/>
        <v>-2.299012789</v>
      </c>
    </row>
    <row r="33">
      <c r="A33" s="11">
        <v>21.0</v>
      </c>
      <c r="B33" s="11">
        <v>1.41948695652173E9</v>
      </c>
      <c r="C33" s="2">
        <v>-102.4242172</v>
      </c>
      <c r="D33" s="3">
        <f t="shared" si="1"/>
        <v>-913043.4783</v>
      </c>
      <c r="E33" s="4">
        <f t="shared" si="2"/>
        <v>191.9238916</v>
      </c>
      <c r="F33" s="3">
        <f t="shared" si="3"/>
        <v>0.0002102023575</v>
      </c>
      <c r="G33" s="3">
        <f t="shared" si="4"/>
        <v>0</v>
      </c>
      <c r="H33" s="2">
        <f t="shared" si="5"/>
        <v>0</v>
      </c>
      <c r="I33" s="3">
        <f t="shared" si="6"/>
        <v>0</v>
      </c>
      <c r="J33" s="3">
        <f t="shared" si="7"/>
        <v>0</v>
      </c>
      <c r="K33" s="3"/>
      <c r="L33" s="3">
        <f t="shared" si="8"/>
        <v>435.1955515</v>
      </c>
      <c r="M33" s="14">
        <f t="shared" si="9"/>
        <v>438.2788568</v>
      </c>
      <c r="N33" s="14">
        <f t="shared" si="10"/>
        <v>-3.083305305</v>
      </c>
      <c r="O33" s="3"/>
      <c r="P33" s="23">
        <f t="shared" si="11"/>
        <v>191.9238916</v>
      </c>
      <c r="Q33" s="14">
        <f t="shared" si="12"/>
        <v>435.1955515</v>
      </c>
      <c r="R33" s="2"/>
      <c r="S33" s="14">
        <f t="shared" si="13"/>
        <v>-2.831387338</v>
      </c>
    </row>
    <row r="34">
      <c r="A34" s="11">
        <v>22.0</v>
      </c>
      <c r="B34" s="11">
        <v>1.41949130434782E9</v>
      </c>
      <c r="C34" s="2">
        <v>-102.3835907</v>
      </c>
      <c r="D34" s="3">
        <f t="shared" si="1"/>
        <v>-908695.6522</v>
      </c>
      <c r="E34" s="4">
        <f t="shared" si="2"/>
        <v>191.0055955</v>
      </c>
      <c r="F34" s="3">
        <f t="shared" si="3"/>
        <v>0.0002101975453</v>
      </c>
      <c r="G34" s="3">
        <f t="shared" si="4"/>
        <v>0</v>
      </c>
      <c r="H34" s="2">
        <f t="shared" si="5"/>
        <v>0</v>
      </c>
      <c r="I34" s="3">
        <f t="shared" si="6"/>
        <v>0</v>
      </c>
      <c r="J34" s="3">
        <f t="shared" si="7"/>
        <v>0</v>
      </c>
      <c r="K34" s="3"/>
      <c r="L34" s="3">
        <f t="shared" si="8"/>
        <v>439.2857318</v>
      </c>
      <c r="M34" s="14">
        <f t="shared" si="9"/>
        <v>438.2571434</v>
      </c>
      <c r="N34" s="14">
        <f t="shared" si="10"/>
        <v>1.028588353</v>
      </c>
      <c r="O34" s="3"/>
      <c r="P34" s="23">
        <f t="shared" si="11"/>
        <v>191.0055955</v>
      </c>
      <c r="Q34" s="14">
        <f t="shared" si="12"/>
        <v>439.2857318</v>
      </c>
      <c r="R34" s="2"/>
      <c r="S34" s="14">
        <f t="shared" si="13"/>
        <v>0.944548707</v>
      </c>
    </row>
    <row r="35">
      <c r="A35" s="11">
        <v>23.0</v>
      </c>
      <c r="B35" s="11">
        <v>1.41949565217391E9</v>
      </c>
      <c r="C35" s="2">
        <v>-102.3747559</v>
      </c>
      <c r="D35" s="3">
        <f t="shared" si="1"/>
        <v>-904347.8261</v>
      </c>
      <c r="E35" s="4">
        <f t="shared" si="2"/>
        <v>190.0872994</v>
      </c>
      <c r="F35" s="3">
        <f t="shared" si="3"/>
        <v>0.0002101926868</v>
      </c>
      <c r="G35" s="3">
        <f t="shared" si="4"/>
        <v>0</v>
      </c>
      <c r="H35" s="2">
        <f t="shared" si="5"/>
        <v>0</v>
      </c>
      <c r="I35" s="3">
        <f t="shared" si="6"/>
        <v>0</v>
      </c>
      <c r="J35" s="3">
        <f t="shared" si="7"/>
        <v>0</v>
      </c>
      <c r="K35" s="3"/>
      <c r="L35" s="3">
        <f t="shared" si="8"/>
        <v>440.180275</v>
      </c>
      <c r="M35" s="14">
        <f t="shared" si="9"/>
        <v>438.2353033</v>
      </c>
      <c r="N35" s="14">
        <f t="shared" si="10"/>
        <v>1.94497165</v>
      </c>
      <c r="O35" s="3"/>
      <c r="P35" s="23">
        <f t="shared" si="11"/>
        <v>190.0872994</v>
      </c>
      <c r="Q35" s="14">
        <f t="shared" si="12"/>
        <v>440.180275</v>
      </c>
      <c r="R35" s="2"/>
      <c r="S35" s="14">
        <f t="shared" si="13"/>
        <v>1.78605994</v>
      </c>
    </row>
    <row r="36">
      <c r="A36" s="11">
        <v>24.0</v>
      </c>
      <c r="B36" s="11">
        <v>1.4195E9</v>
      </c>
      <c r="C36" s="2">
        <v>-102.3952408</v>
      </c>
      <c r="D36" s="3">
        <f t="shared" si="1"/>
        <v>-900000</v>
      </c>
      <c r="E36" s="4">
        <f t="shared" si="2"/>
        <v>189.1690032</v>
      </c>
      <c r="F36" s="3">
        <f t="shared" si="3"/>
        <v>0.0002101877814</v>
      </c>
      <c r="G36" s="3">
        <f t="shared" si="4"/>
        <v>0</v>
      </c>
      <c r="H36" s="2">
        <f t="shared" si="5"/>
        <v>0</v>
      </c>
      <c r="I36" s="3">
        <f t="shared" si="6"/>
        <v>0</v>
      </c>
      <c r="J36" s="3">
        <f t="shared" si="7"/>
        <v>0</v>
      </c>
      <c r="K36" s="3"/>
      <c r="L36" s="3">
        <f t="shared" si="8"/>
        <v>438.1089117</v>
      </c>
      <c r="M36" s="14">
        <f t="shared" si="9"/>
        <v>438.2133355</v>
      </c>
      <c r="N36" s="14">
        <f t="shared" si="10"/>
        <v>-0.1044238475</v>
      </c>
      <c r="O36" s="3"/>
      <c r="P36" s="23">
        <f t="shared" si="11"/>
        <v>189.1690032</v>
      </c>
      <c r="Q36" s="14">
        <f t="shared" si="12"/>
        <v>438.1089117</v>
      </c>
      <c r="R36" s="2"/>
      <c r="S36" s="14">
        <f t="shared" si="13"/>
        <v>-0.09589201532</v>
      </c>
    </row>
    <row r="37">
      <c r="A37" s="11">
        <v>25.0</v>
      </c>
      <c r="B37" s="11">
        <v>1.41950434782608E9</v>
      </c>
      <c r="C37" s="2">
        <v>-102.4337387</v>
      </c>
      <c r="D37" s="3">
        <f t="shared" si="1"/>
        <v>-895652.1739</v>
      </c>
      <c r="E37" s="4">
        <f t="shared" si="2"/>
        <v>188.2507071</v>
      </c>
      <c r="F37" s="3">
        <f t="shared" si="3"/>
        <v>0.0002101828283</v>
      </c>
      <c r="G37" s="3">
        <f t="shared" si="4"/>
        <v>0</v>
      </c>
      <c r="H37" s="2">
        <f t="shared" si="5"/>
        <v>0</v>
      </c>
      <c r="I37" s="3">
        <f t="shared" si="6"/>
        <v>0</v>
      </c>
      <c r="J37" s="3">
        <f t="shared" si="7"/>
        <v>0</v>
      </c>
      <c r="K37" s="3"/>
      <c r="L37" s="3">
        <f t="shared" si="8"/>
        <v>434.2424711</v>
      </c>
      <c r="M37" s="14">
        <f t="shared" si="9"/>
        <v>438.1912391</v>
      </c>
      <c r="N37" s="14">
        <f t="shared" si="10"/>
        <v>-3.948768032</v>
      </c>
      <c r="O37" s="3"/>
      <c r="P37" s="23">
        <f t="shared" si="11"/>
        <v>188.2507071</v>
      </c>
      <c r="Q37" s="14">
        <f t="shared" si="12"/>
        <v>434.2424711</v>
      </c>
      <c r="R37" s="2"/>
      <c r="S37" s="14">
        <f t="shared" si="13"/>
        <v>-3.626138413</v>
      </c>
    </row>
    <row r="38">
      <c r="A38" s="11">
        <v>26.0</v>
      </c>
      <c r="B38" s="11">
        <v>1.41950869565217E9</v>
      </c>
      <c r="C38" s="2">
        <v>-102.38414</v>
      </c>
      <c r="D38" s="3">
        <f t="shared" si="1"/>
        <v>-891304.3478</v>
      </c>
      <c r="E38" s="4">
        <f t="shared" si="2"/>
        <v>187.332411</v>
      </c>
      <c r="F38" s="3">
        <f t="shared" si="3"/>
        <v>0.0002101778269</v>
      </c>
      <c r="G38" s="3">
        <f t="shared" si="4"/>
        <v>0</v>
      </c>
      <c r="H38" s="2">
        <f t="shared" si="5"/>
        <v>0</v>
      </c>
      <c r="I38" s="3">
        <f t="shared" si="6"/>
        <v>0</v>
      </c>
      <c r="J38" s="3">
        <f t="shared" si="7"/>
        <v>0</v>
      </c>
      <c r="K38" s="3"/>
      <c r="L38" s="3">
        <f t="shared" si="8"/>
        <v>439.230174</v>
      </c>
      <c r="M38" s="14">
        <f t="shared" si="9"/>
        <v>438.1690131</v>
      </c>
      <c r="N38" s="14">
        <f t="shared" si="10"/>
        <v>1.061160871</v>
      </c>
      <c r="O38" s="3"/>
      <c r="P38" s="23">
        <f t="shared" si="11"/>
        <v>187.332411</v>
      </c>
      <c r="Q38" s="14">
        <f t="shared" si="12"/>
        <v>439.230174</v>
      </c>
      <c r="R38" s="2"/>
      <c r="S38" s="14">
        <f t="shared" si="13"/>
        <v>0.9744599214</v>
      </c>
    </row>
    <row r="39">
      <c r="A39" s="11">
        <v>27.0</v>
      </c>
      <c r="B39" s="11">
        <v>1.41951304347826E9</v>
      </c>
      <c r="C39" s="2">
        <v>-102.3763733</v>
      </c>
      <c r="D39" s="3">
        <f t="shared" si="1"/>
        <v>-886956.5217</v>
      </c>
      <c r="E39" s="4">
        <f t="shared" si="2"/>
        <v>186.4141148</v>
      </c>
      <c r="F39" s="3">
        <f t="shared" si="3"/>
        <v>0.0002101727765</v>
      </c>
      <c r="G39" s="3">
        <f t="shared" si="4"/>
        <v>0</v>
      </c>
      <c r="H39" s="2">
        <f t="shared" si="5"/>
        <v>0</v>
      </c>
      <c r="I39" s="3">
        <f t="shared" si="6"/>
        <v>0</v>
      </c>
      <c r="J39" s="3">
        <f t="shared" si="7"/>
        <v>0</v>
      </c>
      <c r="K39" s="3"/>
      <c r="L39" s="3">
        <f t="shared" si="8"/>
        <v>440.0163735</v>
      </c>
      <c r="M39" s="14">
        <f t="shared" si="9"/>
        <v>438.1466565</v>
      </c>
      <c r="N39" s="14">
        <f t="shared" si="10"/>
        <v>1.869716965</v>
      </c>
      <c r="O39" s="3"/>
      <c r="P39" s="23">
        <f t="shared" si="11"/>
        <v>186.4141148</v>
      </c>
      <c r="Q39" s="14">
        <f t="shared" si="12"/>
        <v>440.0163735</v>
      </c>
      <c r="R39" s="2"/>
      <c r="S39" s="14">
        <f t="shared" si="13"/>
        <v>1.716953858</v>
      </c>
    </row>
    <row r="40">
      <c r="A40" s="11">
        <v>28.0</v>
      </c>
      <c r="B40" s="11">
        <v>1.41951739130434E9</v>
      </c>
      <c r="C40" s="2">
        <v>-102.4097214</v>
      </c>
      <c r="D40" s="3">
        <f t="shared" si="1"/>
        <v>-882608.6957</v>
      </c>
      <c r="E40" s="4">
        <f t="shared" si="2"/>
        <v>185.4958187</v>
      </c>
      <c r="F40" s="3">
        <f t="shared" si="3"/>
        <v>0.0002101676763</v>
      </c>
      <c r="G40" s="3">
        <f t="shared" si="4"/>
        <v>0</v>
      </c>
      <c r="H40" s="2">
        <f t="shared" si="5"/>
        <v>0</v>
      </c>
      <c r="I40" s="3">
        <f t="shared" si="6"/>
        <v>0</v>
      </c>
      <c r="J40" s="3">
        <f t="shared" si="7"/>
        <v>0</v>
      </c>
      <c r="K40" s="3"/>
      <c r="L40" s="3">
        <f t="shared" si="8"/>
        <v>436.6505659</v>
      </c>
      <c r="M40" s="14">
        <f t="shared" si="9"/>
        <v>438.1241685</v>
      </c>
      <c r="N40" s="14">
        <f t="shared" si="10"/>
        <v>-1.473602541</v>
      </c>
      <c r="O40" s="3"/>
      <c r="P40" s="23">
        <f t="shared" si="11"/>
        <v>185.4958187</v>
      </c>
      <c r="Q40" s="14">
        <f t="shared" si="12"/>
        <v>436.6505659</v>
      </c>
      <c r="R40" s="2"/>
      <c r="S40" s="14">
        <f t="shared" si="13"/>
        <v>-1.353203515</v>
      </c>
    </row>
    <row r="41">
      <c r="A41" s="11">
        <v>29.0</v>
      </c>
      <c r="B41" s="11">
        <v>1.41952173913043E9</v>
      </c>
      <c r="C41" s="2">
        <v>-102.4043045</v>
      </c>
      <c r="D41" s="3">
        <f t="shared" si="1"/>
        <v>-878260.8696</v>
      </c>
      <c r="E41" s="4">
        <f t="shared" si="2"/>
        <v>184.5775226</v>
      </c>
      <c r="F41" s="3">
        <f t="shared" si="3"/>
        <v>0.0002101625257</v>
      </c>
      <c r="G41" s="3">
        <f t="shared" si="4"/>
        <v>0</v>
      </c>
      <c r="H41" s="2">
        <f t="shared" si="5"/>
        <v>0</v>
      </c>
      <c r="I41" s="3">
        <f t="shared" si="6"/>
        <v>0</v>
      </c>
      <c r="J41" s="3">
        <f t="shared" si="7"/>
        <v>0</v>
      </c>
      <c r="K41" s="3"/>
      <c r="L41" s="3">
        <f t="shared" si="8"/>
        <v>437.1955344</v>
      </c>
      <c r="M41" s="14">
        <f t="shared" si="9"/>
        <v>438.101548</v>
      </c>
      <c r="N41" s="14">
        <f t="shared" si="10"/>
        <v>-0.9060135126</v>
      </c>
      <c r="O41" s="3"/>
      <c r="P41" s="23">
        <f t="shared" si="11"/>
        <v>184.5775226</v>
      </c>
      <c r="Q41" s="14">
        <f t="shared" si="12"/>
        <v>437.1955344</v>
      </c>
      <c r="R41" s="2"/>
      <c r="S41" s="14">
        <f t="shared" si="13"/>
        <v>-0.8319887029</v>
      </c>
    </row>
    <row r="42">
      <c r="A42" s="11">
        <v>30.0</v>
      </c>
      <c r="B42" s="11">
        <v>1.41952608695652E9</v>
      </c>
      <c r="C42" s="2">
        <v>-102.3781128</v>
      </c>
      <c r="D42" s="3">
        <f t="shared" si="1"/>
        <v>-873913.0435</v>
      </c>
      <c r="E42" s="4">
        <f t="shared" si="2"/>
        <v>183.6592264</v>
      </c>
      <c r="F42" s="3">
        <f t="shared" si="3"/>
        <v>0.0002101573238</v>
      </c>
      <c r="G42" s="3">
        <f t="shared" si="4"/>
        <v>0</v>
      </c>
      <c r="H42" s="2">
        <f t="shared" si="5"/>
        <v>0</v>
      </c>
      <c r="I42" s="3">
        <f t="shared" si="6"/>
        <v>0</v>
      </c>
      <c r="J42" s="3">
        <f t="shared" si="7"/>
        <v>0</v>
      </c>
      <c r="K42" s="3"/>
      <c r="L42" s="3">
        <f t="shared" si="8"/>
        <v>439.840167</v>
      </c>
      <c r="M42" s="14">
        <f t="shared" si="9"/>
        <v>438.078794</v>
      </c>
      <c r="N42" s="14">
        <f t="shared" si="10"/>
        <v>1.761372951</v>
      </c>
      <c r="O42" s="3"/>
      <c r="P42" s="23">
        <f t="shared" si="11"/>
        <v>183.6592264</v>
      </c>
      <c r="Q42" s="14">
        <f t="shared" si="12"/>
        <v>439.840167</v>
      </c>
      <c r="R42" s="2"/>
      <c r="S42" s="14">
        <f t="shared" si="13"/>
        <v>1.617461969</v>
      </c>
    </row>
    <row r="43">
      <c r="A43" s="11">
        <v>31.0</v>
      </c>
      <c r="B43" s="11">
        <v>1.4195304347826E9</v>
      </c>
      <c r="C43" s="2">
        <v>-102.3797607</v>
      </c>
      <c r="D43" s="3">
        <f t="shared" si="1"/>
        <v>-869565.2174</v>
      </c>
      <c r="E43" s="4">
        <f t="shared" si="2"/>
        <v>182.7409303</v>
      </c>
      <c r="F43" s="3">
        <f t="shared" si="3"/>
        <v>0.0002101520698</v>
      </c>
      <c r="G43" s="3">
        <f t="shared" si="4"/>
        <v>0</v>
      </c>
      <c r="H43" s="2">
        <f t="shared" si="5"/>
        <v>0</v>
      </c>
      <c r="I43" s="3">
        <f t="shared" si="6"/>
        <v>0</v>
      </c>
      <c r="J43" s="3">
        <f t="shared" si="7"/>
        <v>0</v>
      </c>
      <c r="K43" s="3"/>
      <c r="L43" s="3">
        <f t="shared" si="8"/>
        <v>439.6733044</v>
      </c>
      <c r="M43" s="14">
        <f t="shared" si="9"/>
        <v>438.0559058</v>
      </c>
      <c r="N43" s="14">
        <f t="shared" si="10"/>
        <v>1.617398623</v>
      </c>
      <c r="O43" s="3"/>
      <c r="P43" s="23">
        <f t="shared" si="11"/>
        <v>182.7409303</v>
      </c>
      <c r="Q43" s="14">
        <f t="shared" si="12"/>
        <v>439.6733044</v>
      </c>
      <c r="R43" s="2"/>
      <c r="S43" s="14">
        <f t="shared" si="13"/>
        <v>1.4852509</v>
      </c>
    </row>
    <row r="44">
      <c r="A44" s="11">
        <v>32.0</v>
      </c>
      <c r="B44" s="11">
        <v>1.41953478260869E9</v>
      </c>
      <c r="C44" s="2">
        <v>-102.3253403</v>
      </c>
      <c r="D44" s="3">
        <f t="shared" si="1"/>
        <v>-865217.3913</v>
      </c>
      <c r="E44" s="4">
        <f t="shared" si="2"/>
        <v>181.8226342</v>
      </c>
      <c r="F44" s="3">
        <f t="shared" si="3"/>
        <v>0.0002101467631</v>
      </c>
      <c r="G44" s="3">
        <f t="shared" si="4"/>
        <v>0</v>
      </c>
      <c r="H44" s="2">
        <f t="shared" si="5"/>
        <v>0</v>
      </c>
      <c r="I44" s="3">
        <f t="shared" si="6"/>
        <v>0</v>
      </c>
      <c r="J44" s="3">
        <f t="shared" si="7"/>
        <v>0</v>
      </c>
      <c r="K44" s="3"/>
      <c r="L44" s="3">
        <f t="shared" si="8"/>
        <v>445.2174085</v>
      </c>
      <c r="M44" s="14">
        <f t="shared" si="9"/>
        <v>438.0328822</v>
      </c>
      <c r="N44" s="14">
        <f t="shared" si="10"/>
        <v>7.184526327</v>
      </c>
      <c r="O44" s="3"/>
      <c r="P44" s="23">
        <f t="shared" si="11"/>
        <v>181.8226342</v>
      </c>
      <c r="Q44" s="14">
        <f t="shared" si="12"/>
        <v>445.2174085</v>
      </c>
      <c r="R44" s="2"/>
      <c r="S44" s="14">
        <f t="shared" si="13"/>
        <v>6.597522742</v>
      </c>
    </row>
    <row r="45">
      <c r="A45" s="11">
        <v>33.0</v>
      </c>
      <c r="B45" s="11">
        <v>1.41953913043478E9</v>
      </c>
      <c r="C45" s="2">
        <v>-102.4035721</v>
      </c>
      <c r="D45" s="3">
        <f t="shared" si="1"/>
        <v>-860869.5652</v>
      </c>
      <c r="E45" s="4">
        <f t="shared" si="2"/>
        <v>180.904338</v>
      </c>
      <c r="F45" s="3">
        <f t="shared" si="3"/>
        <v>0.0002101414028</v>
      </c>
      <c r="G45" s="3">
        <f t="shared" si="4"/>
        <v>0</v>
      </c>
      <c r="H45" s="2">
        <f t="shared" si="5"/>
        <v>0</v>
      </c>
      <c r="I45" s="3">
        <f t="shared" si="6"/>
        <v>0</v>
      </c>
      <c r="J45" s="3">
        <f t="shared" si="7"/>
        <v>0</v>
      </c>
      <c r="K45" s="3"/>
      <c r="L45" s="3">
        <f t="shared" si="8"/>
        <v>437.2692699</v>
      </c>
      <c r="M45" s="14">
        <f t="shared" si="9"/>
        <v>438.0097223</v>
      </c>
      <c r="N45" s="14">
        <f t="shared" si="10"/>
        <v>-0.7404523962</v>
      </c>
      <c r="O45" s="3"/>
      <c r="P45" s="23">
        <f t="shared" si="11"/>
        <v>180.904338</v>
      </c>
      <c r="Q45" s="14">
        <f t="shared" si="12"/>
        <v>437.2692699</v>
      </c>
      <c r="R45" s="2"/>
      <c r="S45" s="14">
        <f t="shared" si="13"/>
        <v>-0.6799545704</v>
      </c>
    </row>
    <row r="46">
      <c r="A46" s="11">
        <v>34.0</v>
      </c>
      <c r="B46" s="11">
        <v>1.41954347826087E9</v>
      </c>
      <c r="C46" s="2">
        <v>-102.4472961</v>
      </c>
      <c r="D46" s="3">
        <f t="shared" si="1"/>
        <v>-856521.7391</v>
      </c>
      <c r="E46" s="4">
        <f t="shared" si="2"/>
        <v>179.9860419</v>
      </c>
      <c r="F46" s="3">
        <f t="shared" si="3"/>
        <v>0.000210135988</v>
      </c>
      <c r="G46" s="3">
        <f t="shared" si="4"/>
        <v>0</v>
      </c>
      <c r="H46" s="2">
        <f t="shared" si="5"/>
        <v>0</v>
      </c>
      <c r="I46" s="3">
        <f t="shared" si="6"/>
        <v>0</v>
      </c>
      <c r="J46" s="3">
        <f t="shared" si="7"/>
        <v>0</v>
      </c>
      <c r="K46" s="3"/>
      <c r="L46" s="3">
        <f t="shared" si="8"/>
        <v>432.8890071</v>
      </c>
      <c r="M46" s="14">
        <f t="shared" si="9"/>
        <v>437.9864252</v>
      </c>
      <c r="N46" s="14">
        <f t="shared" si="10"/>
        <v>-5.097418108</v>
      </c>
      <c r="O46" s="3"/>
      <c r="P46" s="23">
        <f t="shared" si="11"/>
        <v>179.9860419</v>
      </c>
      <c r="Q46" s="14">
        <f t="shared" si="12"/>
        <v>432.8890071</v>
      </c>
      <c r="R46" s="2"/>
      <c r="S46" s="14">
        <f t="shared" si="13"/>
        <v>-4.680939335</v>
      </c>
    </row>
    <row r="47">
      <c r="A47" s="11">
        <v>35.0</v>
      </c>
      <c r="B47" s="11">
        <v>1.41954782608695E9</v>
      </c>
      <c r="C47" s="2">
        <v>-102.3715134</v>
      </c>
      <c r="D47" s="3">
        <f t="shared" si="1"/>
        <v>-852173.913</v>
      </c>
      <c r="E47" s="4">
        <f t="shared" si="2"/>
        <v>179.0677458</v>
      </c>
      <c r="F47" s="3">
        <f t="shared" si="3"/>
        <v>0.000210130518</v>
      </c>
      <c r="G47" s="3">
        <f t="shared" si="4"/>
        <v>0</v>
      </c>
      <c r="H47" s="2">
        <f t="shared" si="5"/>
        <v>0</v>
      </c>
      <c r="I47" s="3">
        <f t="shared" si="6"/>
        <v>0</v>
      </c>
      <c r="J47" s="3">
        <f t="shared" si="7"/>
        <v>0</v>
      </c>
      <c r="K47" s="3"/>
      <c r="L47" s="3">
        <f t="shared" si="8"/>
        <v>440.5090421</v>
      </c>
      <c r="M47" s="14">
        <f t="shared" si="9"/>
        <v>437.96299</v>
      </c>
      <c r="N47" s="14">
        <f t="shared" si="10"/>
        <v>2.54605212</v>
      </c>
      <c r="O47" s="3"/>
      <c r="P47" s="23">
        <f t="shared" si="11"/>
        <v>179.0677458</v>
      </c>
      <c r="Q47" s="14">
        <f t="shared" si="12"/>
        <v>440.5090421</v>
      </c>
      <c r="R47" s="2"/>
      <c r="S47" s="14">
        <f t="shared" si="13"/>
        <v>2.338029816</v>
      </c>
    </row>
    <row r="48">
      <c r="A48" s="11">
        <v>36.0</v>
      </c>
      <c r="B48" s="11">
        <v>1.41955217391304E9</v>
      </c>
      <c r="C48" s="2">
        <v>-102.3900833</v>
      </c>
      <c r="D48" s="3">
        <f t="shared" si="1"/>
        <v>-847826.087</v>
      </c>
      <c r="E48" s="4">
        <f t="shared" si="2"/>
        <v>178.1494496</v>
      </c>
      <c r="F48" s="3">
        <f t="shared" si="3"/>
        <v>0.0002101249919</v>
      </c>
      <c r="G48" s="3">
        <f t="shared" si="4"/>
        <v>0</v>
      </c>
      <c r="H48" s="2">
        <f t="shared" si="5"/>
        <v>0</v>
      </c>
      <c r="I48" s="3">
        <f t="shared" si="6"/>
        <v>0</v>
      </c>
      <c r="J48" s="3">
        <f t="shared" si="7"/>
        <v>0</v>
      </c>
      <c r="K48" s="3"/>
      <c r="L48" s="3">
        <f t="shared" si="8"/>
        <v>438.6295006</v>
      </c>
      <c r="M48" s="14">
        <f t="shared" si="9"/>
        <v>437.9394156</v>
      </c>
      <c r="N48" s="14">
        <f t="shared" si="10"/>
        <v>0.6900849927</v>
      </c>
      <c r="O48" s="3"/>
      <c r="P48" s="23">
        <f t="shared" si="11"/>
        <v>178.1494496</v>
      </c>
      <c r="Q48" s="14">
        <f t="shared" si="12"/>
        <v>438.6295006</v>
      </c>
      <c r="R48" s="2"/>
      <c r="S48" s="14">
        <f t="shared" si="13"/>
        <v>0.6337023787</v>
      </c>
    </row>
    <row r="49">
      <c r="A49" s="11">
        <v>37.0</v>
      </c>
      <c r="B49" s="11">
        <v>1.41955652173913E9</v>
      </c>
      <c r="C49" s="2">
        <v>-102.4236221</v>
      </c>
      <c r="D49" s="3">
        <f t="shared" si="1"/>
        <v>-843478.2609</v>
      </c>
      <c r="E49" s="4">
        <f t="shared" si="2"/>
        <v>177.2311535</v>
      </c>
      <c r="F49" s="3">
        <f t="shared" si="3"/>
        <v>0.0002101194088</v>
      </c>
      <c r="G49" s="3">
        <f t="shared" si="4"/>
        <v>0</v>
      </c>
      <c r="H49" s="2">
        <f t="shared" si="5"/>
        <v>0</v>
      </c>
      <c r="I49" s="3">
        <f t="shared" si="6"/>
        <v>0</v>
      </c>
      <c r="J49" s="3">
        <f t="shared" si="7"/>
        <v>0</v>
      </c>
      <c r="K49" s="3"/>
      <c r="L49" s="3">
        <f t="shared" si="8"/>
        <v>435.255189</v>
      </c>
      <c r="M49" s="14">
        <f t="shared" si="9"/>
        <v>437.9157012</v>
      </c>
      <c r="N49" s="14">
        <f t="shared" si="10"/>
        <v>-2.660512172</v>
      </c>
      <c r="O49" s="3"/>
      <c r="P49" s="23">
        <f t="shared" si="11"/>
        <v>177.2311535</v>
      </c>
      <c r="Q49" s="14">
        <f t="shared" si="12"/>
        <v>435.255189</v>
      </c>
      <c r="R49" s="2"/>
      <c r="S49" s="14">
        <f t="shared" si="13"/>
        <v>-2.443138039</v>
      </c>
    </row>
    <row r="50">
      <c r="A50" s="11">
        <v>38.0</v>
      </c>
      <c r="B50" s="11">
        <v>1.41956086956521E9</v>
      </c>
      <c r="C50" s="2">
        <v>-102.3773804</v>
      </c>
      <c r="D50" s="3">
        <f t="shared" si="1"/>
        <v>-839130.4348</v>
      </c>
      <c r="E50" s="4">
        <f t="shared" si="2"/>
        <v>176.3128574</v>
      </c>
      <c r="F50" s="3">
        <f t="shared" si="3"/>
        <v>0.0002101137678</v>
      </c>
      <c r="G50" s="3">
        <f t="shared" si="4"/>
        <v>0</v>
      </c>
      <c r="H50" s="2">
        <f t="shared" si="5"/>
        <v>0</v>
      </c>
      <c r="I50" s="3">
        <f t="shared" si="6"/>
        <v>0</v>
      </c>
      <c r="J50" s="3">
        <f t="shared" si="7"/>
        <v>0</v>
      </c>
      <c r="K50" s="3"/>
      <c r="L50" s="3">
        <f t="shared" si="8"/>
        <v>439.9143485</v>
      </c>
      <c r="M50" s="14">
        <f t="shared" si="9"/>
        <v>437.8918457</v>
      </c>
      <c r="N50" s="14">
        <f t="shared" si="10"/>
        <v>2.022502749</v>
      </c>
      <c r="O50" s="3"/>
      <c r="P50" s="23">
        <f t="shared" si="11"/>
        <v>176.3128574</v>
      </c>
      <c r="Q50" s="14">
        <f t="shared" si="12"/>
        <v>439.9143485</v>
      </c>
      <c r="R50" s="2"/>
      <c r="S50" s="14">
        <f t="shared" si="13"/>
        <v>1.857256453</v>
      </c>
    </row>
    <row r="51">
      <c r="A51" s="11">
        <v>39.0</v>
      </c>
      <c r="B51" s="11">
        <v>1.4195652173913E9</v>
      </c>
      <c r="C51" s="2">
        <v>-102.3844681</v>
      </c>
      <c r="D51" s="3">
        <f t="shared" si="1"/>
        <v>-834782.6087</v>
      </c>
      <c r="E51" s="4">
        <f t="shared" si="2"/>
        <v>175.3945612</v>
      </c>
      <c r="F51" s="3">
        <f t="shared" si="3"/>
        <v>0.0002101080681</v>
      </c>
      <c r="G51" s="3">
        <f t="shared" si="4"/>
        <v>0</v>
      </c>
      <c r="H51" s="2">
        <f t="shared" si="5"/>
        <v>0</v>
      </c>
      <c r="I51" s="3">
        <f t="shared" si="6"/>
        <v>0</v>
      </c>
      <c r="J51" s="3">
        <f t="shared" si="7"/>
        <v>0</v>
      </c>
      <c r="K51" s="3"/>
      <c r="L51" s="3">
        <f t="shared" si="8"/>
        <v>439.1969924</v>
      </c>
      <c r="M51" s="14">
        <f t="shared" si="9"/>
        <v>437.8678483</v>
      </c>
      <c r="N51" s="14">
        <f t="shared" si="10"/>
        <v>1.329144071</v>
      </c>
      <c r="O51" s="3"/>
      <c r="P51" s="23">
        <f t="shared" si="11"/>
        <v>175.3945612</v>
      </c>
      <c r="Q51" s="14">
        <f t="shared" si="12"/>
        <v>439.1969924</v>
      </c>
      <c r="R51" s="2"/>
      <c r="S51" s="14">
        <f t="shared" si="13"/>
        <v>1.220547857</v>
      </c>
    </row>
    <row r="52">
      <c r="A52" s="11">
        <v>40.0</v>
      </c>
      <c r="B52" s="11">
        <v>1.41956956521739E9</v>
      </c>
      <c r="C52" s="2">
        <v>-102.3888397</v>
      </c>
      <c r="D52" s="3">
        <f t="shared" si="1"/>
        <v>-830434.7826</v>
      </c>
      <c r="E52" s="4">
        <f t="shared" si="2"/>
        <v>174.4762651</v>
      </c>
      <c r="F52" s="3">
        <f t="shared" si="3"/>
        <v>0.0002101023088</v>
      </c>
      <c r="G52" s="3">
        <f t="shared" si="4"/>
        <v>0</v>
      </c>
      <c r="H52" s="2">
        <f t="shared" si="5"/>
        <v>0</v>
      </c>
      <c r="I52" s="3">
        <f t="shared" si="6"/>
        <v>0</v>
      </c>
      <c r="J52" s="3">
        <f t="shared" si="7"/>
        <v>0</v>
      </c>
      <c r="K52" s="3"/>
      <c r="L52" s="3">
        <f t="shared" si="8"/>
        <v>438.7551199</v>
      </c>
      <c r="M52" s="14">
        <f t="shared" si="9"/>
        <v>437.8437079</v>
      </c>
      <c r="N52" s="14">
        <f t="shared" si="10"/>
        <v>0.9114120143</v>
      </c>
      <c r="O52" s="3"/>
      <c r="P52" s="23">
        <f t="shared" si="11"/>
        <v>174.4762651</v>
      </c>
      <c r="Q52" s="14">
        <f t="shared" si="12"/>
        <v>438.7551199</v>
      </c>
      <c r="R52" s="2"/>
      <c r="S52" s="14">
        <f t="shared" si="13"/>
        <v>0.8369461281</v>
      </c>
    </row>
    <row r="53">
      <c r="A53" s="11">
        <v>41.0</v>
      </c>
      <c r="B53" s="11">
        <v>1.41957391304347E9</v>
      </c>
      <c r="C53" s="2">
        <v>-102.39534</v>
      </c>
      <c r="D53" s="3">
        <f t="shared" si="1"/>
        <v>-826086.9565</v>
      </c>
      <c r="E53" s="4">
        <f t="shared" si="2"/>
        <v>173.557969</v>
      </c>
      <c r="F53" s="3">
        <f t="shared" si="3"/>
        <v>0.0002100964888</v>
      </c>
      <c r="G53" s="3">
        <f t="shared" si="4"/>
        <v>0</v>
      </c>
      <c r="H53" s="2">
        <f t="shared" si="5"/>
        <v>0</v>
      </c>
      <c r="I53" s="3">
        <f t="shared" si="6"/>
        <v>0</v>
      </c>
      <c r="J53" s="3">
        <f t="shared" si="7"/>
        <v>0</v>
      </c>
      <c r="K53" s="3"/>
      <c r="L53" s="3">
        <f t="shared" si="8"/>
        <v>438.0989047</v>
      </c>
      <c r="M53" s="14">
        <f t="shared" si="9"/>
        <v>437.8194237</v>
      </c>
      <c r="N53" s="14">
        <f t="shared" si="10"/>
        <v>0.2794810275</v>
      </c>
      <c r="O53" s="3"/>
      <c r="P53" s="23">
        <f t="shared" si="11"/>
        <v>173.557969</v>
      </c>
      <c r="Q53" s="14">
        <f t="shared" si="12"/>
        <v>438.0989047</v>
      </c>
      <c r="R53" s="2"/>
      <c r="S53" s="14">
        <f t="shared" si="13"/>
        <v>0.2566463468</v>
      </c>
    </row>
    <row r="54">
      <c r="A54" s="11">
        <v>42.0</v>
      </c>
      <c r="B54" s="11">
        <v>1.41957826086956E9</v>
      </c>
      <c r="C54" s="2">
        <v>-102.4419708</v>
      </c>
      <c r="D54" s="3">
        <f t="shared" si="1"/>
        <v>-821739.1304</v>
      </c>
      <c r="E54" s="4">
        <f t="shared" si="2"/>
        <v>172.6396728</v>
      </c>
      <c r="F54" s="3">
        <f t="shared" si="3"/>
        <v>0.0002100906072</v>
      </c>
      <c r="G54" s="3">
        <f t="shared" si="4"/>
        <v>0</v>
      </c>
      <c r="H54" s="2">
        <f t="shared" si="5"/>
        <v>0</v>
      </c>
      <c r="I54" s="3">
        <f t="shared" si="6"/>
        <v>0</v>
      </c>
      <c r="J54" s="3">
        <f t="shared" si="7"/>
        <v>0</v>
      </c>
      <c r="K54" s="3"/>
      <c r="L54" s="3">
        <f t="shared" si="8"/>
        <v>433.4201393</v>
      </c>
      <c r="M54" s="14">
        <f t="shared" si="9"/>
        <v>437.7949946</v>
      </c>
      <c r="N54" s="14">
        <f t="shared" si="10"/>
        <v>-4.374855272</v>
      </c>
      <c r="O54" s="3"/>
      <c r="P54" s="23">
        <f t="shared" si="11"/>
        <v>172.6396728</v>
      </c>
      <c r="Q54" s="14">
        <f t="shared" si="12"/>
        <v>433.4201393</v>
      </c>
      <c r="R54" s="2"/>
      <c r="S54" s="14">
        <f t="shared" si="13"/>
        <v>-4.017412669</v>
      </c>
    </row>
    <row r="55">
      <c r="A55" s="11">
        <v>43.0</v>
      </c>
      <c r="B55" s="11">
        <v>1.41958260869565E9</v>
      </c>
      <c r="C55" s="2">
        <v>-102.4406662</v>
      </c>
      <c r="D55" s="3">
        <f t="shared" si="1"/>
        <v>-817391.3043</v>
      </c>
      <c r="E55" s="4">
        <f t="shared" si="2"/>
        <v>171.7213767</v>
      </c>
      <c r="F55" s="3">
        <f t="shared" si="3"/>
        <v>0.000210084663</v>
      </c>
      <c r="G55" s="3">
        <f t="shared" si="4"/>
        <v>0</v>
      </c>
      <c r="H55" s="2">
        <f t="shared" si="5"/>
        <v>0</v>
      </c>
      <c r="I55" s="3">
        <f t="shared" si="6"/>
        <v>0</v>
      </c>
      <c r="J55" s="3">
        <f t="shared" si="7"/>
        <v>0</v>
      </c>
      <c r="K55" s="3"/>
      <c r="L55" s="3">
        <f t="shared" si="8"/>
        <v>433.5503562</v>
      </c>
      <c r="M55" s="14">
        <f t="shared" si="9"/>
        <v>437.7704197</v>
      </c>
      <c r="N55" s="14">
        <f t="shared" si="10"/>
        <v>-4.220063487</v>
      </c>
      <c r="O55" s="3"/>
      <c r="P55" s="23">
        <f t="shared" si="11"/>
        <v>171.7213767</v>
      </c>
      <c r="Q55" s="14">
        <f t="shared" si="12"/>
        <v>433.5503562</v>
      </c>
      <c r="R55" s="2"/>
      <c r="S55" s="14">
        <f t="shared" si="13"/>
        <v>-3.87526798</v>
      </c>
    </row>
    <row r="56">
      <c r="A56" s="11">
        <v>44.0</v>
      </c>
      <c r="B56" s="11">
        <v>1.41958695652173E9</v>
      </c>
      <c r="C56" s="2">
        <v>-102.382637</v>
      </c>
      <c r="D56" s="3">
        <f t="shared" si="1"/>
        <v>-813043.4783</v>
      </c>
      <c r="E56" s="4">
        <f t="shared" si="2"/>
        <v>170.8030806</v>
      </c>
      <c r="F56" s="3">
        <f t="shared" si="3"/>
        <v>0.0002100786553</v>
      </c>
      <c r="G56" s="3">
        <f t="shared" si="4"/>
        <v>0</v>
      </c>
      <c r="H56" s="2">
        <f t="shared" si="5"/>
        <v>0</v>
      </c>
      <c r="I56" s="3">
        <f t="shared" si="6"/>
        <v>0</v>
      </c>
      <c r="J56" s="3">
        <f t="shared" si="7"/>
        <v>0</v>
      </c>
      <c r="K56" s="3"/>
      <c r="L56" s="3">
        <f t="shared" si="8"/>
        <v>439.3822084</v>
      </c>
      <c r="M56" s="14">
        <f t="shared" si="9"/>
        <v>437.7456981</v>
      </c>
      <c r="N56" s="14">
        <f t="shared" si="10"/>
        <v>1.636510347</v>
      </c>
      <c r="O56" s="3"/>
      <c r="P56" s="23">
        <f t="shared" si="11"/>
        <v>170.8030806</v>
      </c>
      <c r="Q56" s="14">
        <f t="shared" si="12"/>
        <v>439.3822084</v>
      </c>
      <c r="R56" s="2"/>
      <c r="S56" s="14">
        <f t="shared" si="13"/>
        <v>1.502801123</v>
      </c>
    </row>
    <row r="57">
      <c r="A57" s="11">
        <v>45.0</v>
      </c>
      <c r="B57" s="11">
        <v>1.41959130434782E9</v>
      </c>
      <c r="C57" s="2">
        <v>-102.453949</v>
      </c>
      <c r="D57" s="3">
        <f t="shared" si="1"/>
        <v>-808695.6522</v>
      </c>
      <c r="E57" s="4">
        <f t="shared" si="2"/>
        <v>169.8847844</v>
      </c>
      <c r="F57" s="3">
        <f t="shared" si="3"/>
        <v>0.0002100725829</v>
      </c>
      <c r="G57" s="3">
        <f t="shared" si="4"/>
        <v>0</v>
      </c>
      <c r="H57" s="2">
        <f t="shared" si="5"/>
        <v>0</v>
      </c>
      <c r="I57" s="3">
        <f t="shared" si="6"/>
        <v>0</v>
      </c>
      <c r="J57" s="3">
        <f t="shared" si="7"/>
        <v>0</v>
      </c>
      <c r="K57" s="3"/>
      <c r="L57" s="3">
        <f t="shared" si="8"/>
        <v>432.2263778</v>
      </c>
      <c r="M57" s="14">
        <f t="shared" si="9"/>
        <v>437.7208288</v>
      </c>
      <c r="N57" s="14">
        <f t="shared" si="10"/>
        <v>-5.494450956</v>
      </c>
      <c r="O57" s="3"/>
      <c r="P57" s="23">
        <f t="shared" si="11"/>
        <v>169.8847844</v>
      </c>
      <c r="Q57" s="14">
        <f t="shared" si="12"/>
        <v>432.2263778</v>
      </c>
      <c r="R57" s="2"/>
      <c r="S57" s="14">
        <f t="shared" si="13"/>
        <v>-5.045533065</v>
      </c>
    </row>
    <row r="58">
      <c r="A58" s="11">
        <v>46.0</v>
      </c>
      <c r="B58" s="11">
        <v>1.41959565217391E9</v>
      </c>
      <c r="C58" s="2">
        <v>-102.3078613</v>
      </c>
      <c r="D58" s="3">
        <f t="shared" si="1"/>
        <v>-804347.8261</v>
      </c>
      <c r="E58" s="4">
        <f t="shared" si="2"/>
        <v>168.9664883</v>
      </c>
      <c r="F58" s="3">
        <f t="shared" si="3"/>
        <v>0.0002100664449</v>
      </c>
      <c r="G58" s="3">
        <f t="shared" si="4"/>
        <v>0</v>
      </c>
      <c r="H58" s="2">
        <f t="shared" si="5"/>
        <v>0</v>
      </c>
      <c r="I58" s="3">
        <f t="shared" si="6"/>
        <v>0</v>
      </c>
      <c r="J58" s="3">
        <f t="shared" si="7"/>
        <v>0</v>
      </c>
      <c r="K58" s="3"/>
      <c r="L58" s="3">
        <f t="shared" si="8"/>
        <v>447.0128805</v>
      </c>
      <c r="M58" s="14">
        <f t="shared" si="9"/>
        <v>437.6958108</v>
      </c>
      <c r="N58" s="14">
        <f t="shared" si="10"/>
        <v>9.317069732</v>
      </c>
      <c r="O58" s="3"/>
      <c r="P58" s="23">
        <f t="shared" si="11"/>
        <v>168.9664883</v>
      </c>
      <c r="Q58" s="14">
        <f t="shared" si="12"/>
        <v>447.0128805</v>
      </c>
      <c r="R58" s="2"/>
      <c r="S58" s="14">
        <f t="shared" si="13"/>
        <v>8.555829084</v>
      </c>
    </row>
    <row r="59">
      <c r="A59" s="11">
        <v>47.0</v>
      </c>
      <c r="B59" s="11">
        <v>1.4196E9</v>
      </c>
      <c r="C59" s="2">
        <v>-102.4011078</v>
      </c>
      <c r="D59" s="3">
        <f t="shared" si="1"/>
        <v>-800000</v>
      </c>
      <c r="E59" s="4">
        <f t="shared" si="2"/>
        <v>168.0481922</v>
      </c>
      <c r="F59" s="3">
        <f t="shared" si="3"/>
        <v>0.0002100602402</v>
      </c>
      <c r="G59" s="3">
        <f t="shared" si="4"/>
        <v>0</v>
      </c>
      <c r="H59" s="2">
        <f t="shared" si="5"/>
        <v>0</v>
      </c>
      <c r="I59" s="3">
        <f t="shared" si="6"/>
        <v>0</v>
      </c>
      <c r="J59" s="3">
        <f t="shared" si="7"/>
        <v>0</v>
      </c>
      <c r="K59" s="3"/>
      <c r="L59" s="3">
        <f t="shared" si="8"/>
        <v>437.5174583</v>
      </c>
      <c r="M59" s="14">
        <f t="shared" si="9"/>
        <v>437.6706433</v>
      </c>
      <c r="N59" s="14">
        <f t="shared" si="10"/>
        <v>-0.1531849771</v>
      </c>
      <c r="O59" s="3"/>
      <c r="P59" s="23">
        <f t="shared" si="11"/>
        <v>168.0481922</v>
      </c>
      <c r="Q59" s="14">
        <f t="shared" si="12"/>
        <v>437.5174583</v>
      </c>
      <c r="R59" s="2"/>
      <c r="S59" s="14">
        <f t="shared" si="13"/>
        <v>-0.1406691721</v>
      </c>
    </row>
    <row r="60">
      <c r="A60" s="11">
        <v>48.0</v>
      </c>
      <c r="B60" s="11">
        <v>1.41960434782608E9</v>
      </c>
      <c r="C60" s="2">
        <v>-102.4051285</v>
      </c>
      <c r="D60" s="3">
        <f t="shared" si="1"/>
        <v>-795652.1739</v>
      </c>
      <c r="E60" s="4">
        <f t="shared" si="2"/>
        <v>167.129896</v>
      </c>
      <c r="F60" s="3">
        <f t="shared" si="3"/>
        <v>0.0002100539677</v>
      </c>
      <c r="G60" s="3">
        <f t="shared" si="4"/>
        <v>0</v>
      </c>
      <c r="H60" s="2">
        <f t="shared" si="5"/>
        <v>0</v>
      </c>
      <c r="I60" s="3">
        <f t="shared" si="6"/>
        <v>0</v>
      </c>
      <c r="J60" s="3">
        <f t="shared" si="7"/>
        <v>0</v>
      </c>
      <c r="K60" s="3"/>
      <c r="L60" s="3">
        <f t="shared" si="8"/>
        <v>437.1125919</v>
      </c>
      <c r="M60" s="14">
        <f t="shared" si="9"/>
        <v>437.6453252</v>
      </c>
      <c r="N60" s="14">
        <f t="shared" si="10"/>
        <v>-0.5327332644</v>
      </c>
      <c r="O60" s="3"/>
      <c r="P60" s="23">
        <f t="shared" si="11"/>
        <v>167.129896</v>
      </c>
      <c r="Q60" s="14">
        <f t="shared" si="12"/>
        <v>437.1125919</v>
      </c>
      <c r="R60" s="2"/>
      <c r="S60" s="14">
        <f t="shared" si="13"/>
        <v>-0.4892068965</v>
      </c>
    </row>
    <row r="61">
      <c r="A61" s="11">
        <v>49.0</v>
      </c>
      <c r="B61" s="11">
        <v>1.41960869565217E9</v>
      </c>
      <c r="C61" s="2">
        <v>-102.4015961</v>
      </c>
      <c r="D61" s="3">
        <f t="shared" si="1"/>
        <v>-791304.3478</v>
      </c>
      <c r="E61" s="4">
        <f t="shared" si="2"/>
        <v>166.2115999</v>
      </c>
      <c r="F61" s="3">
        <f t="shared" si="3"/>
        <v>0.0002100476263</v>
      </c>
      <c r="G61" s="3">
        <f t="shared" si="4"/>
        <v>0</v>
      </c>
      <c r="H61" s="2">
        <f t="shared" si="5"/>
        <v>0</v>
      </c>
      <c r="I61" s="3">
        <f t="shared" si="6"/>
        <v>0</v>
      </c>
      <c r="J61" s="3">
        <f t="shared" si="7"/>
        <v>0</v>
      </c>
      <c r="K61" s="3"/>
      <c r="L61" s="3">
        <f t="shared" si="8"/>
        <v>437.4682687</v>
      </c>
      <c r="M61" s="14">
        <f t="shared" si="9"/>
        <v>437.6198555</v>
      </c>
      <c r="N61" s="14">
        <f t="shared" si="10"/>
        <v>-0.1515868772</v>
      </c>
      <c r="O61" s="3"/>
      <c r="P61" s="23">
        <f t="shared" si="11"/>
        <v>166.2115999</v>
      </c>
      <c r="Q61" s="14">
        <f t="shared" si="12"/>
        <v>437.4682687</v>
      </c>
      <c r="R61" s="2"/>
      <c r="S61" s="14">
        <f t="shared" si="13"/>
        <v>-0.1392016428</v>
      </c>
    </row>
    <row r="62">
      <c r="A62" s="11">
        <v>50.0</v>
      </c>
      <c r="B62" s="11">
        <v>1.41961304347826E9</v>
      </c>
      <c r="C62" s="2">
        <v>-102.3833542</v>
      </c>
      <c r="D62" s="3">
        <f t="shared" si="1"/>
        <v>-786956.5217</v>
      </c>
      <c r="E62" s="4">
        <f t="shared" si="2"/>
        <v>165.2933038</v>
      </c>
      <c r="F62" s="3">
        <f t="shared" si="3"/>
        <v>0.0002100412148</v>
      </c>
      <c r="G62" s="3">
        <f t="shared" si="4"/>
        <v>0</v>
      </c>
      <c r="H62" s="2">
        <f t="shared" si="5"/>
        <v>0</v>
      </c>
      <c r="I62" s="3">
        <f t="shared" si="6"/>
        <v>0</v>
      </c>
      <c r="J62" s="3">
        <f t="shared" si="7"/>
        <v>0</v>
      </c>
      <c r="K62" s="3"/>
      <c r="L62" s="3">
        <f t="shared" si="8"/>
        <v>439.3096542</v>
      </c>
      <c r="M62" s="14">
        <f t="shared" si="9"/>
        <v>437.5942335</v>
      </c>
      <c r="N62" s="14">
        <f t="shared" si="10"/>
        <v>1.715420736</v>
      </c>
      <c r="O62" s="3"/>
      <c r="P62" s="23">
        <f t="shared" si="11"/>
        <v>165.2933038</v>
      </c>
      <c r="Q62" s="14">
        <f t="shared" si="12"/>
        <v>439.3096542</v>
      </c>
      <c r="R62" s="2"/>
      <c r="S62" s="14">
        <f t="shared" si="13"/>
        <v>1.575264228</v>
      </c>
    </row>
    <row r="63">
      <c r="A63" s="11">
        <v>51.0</v>
      </c>
      <c r="B63" s="11">
        <v>1.41961739130434E9</v>
      </c>
      <c r="C63" s="2">
        <v>-102.4291</v>
      </c>
      <c r="D63" s="3">
        <f t="shared" si="1"/>
        <v>-782608.6957</v>
      </c>
      <c r="E63" s="4">
        <f t="shared" si="2"/>
        <v>164.3750077</v>
      </c>
      <c r="F63" s="3">
        <f t="shared" si="3"/>
        <v>0.000210034732</v>
      </c>
      <c r="G63" s="3">
        <f t="shared" si="4"/>
        <v>0</v>
      </c>
      <c r="H63" s="2">
        <f t="shared" si="5"/>
        <v>0</v>
      </c>
      <c r="I63" s="3">
        <f t="shared" si="6"/>
        <v>0</v>
      </c>
      <c r="J63" s="3">
        <f t="shared" si="7"/>
        <v>0</v>
      </c>
      <c r="K63" s="3"/>
      <c r="L63" s="3">
        <f t="shared" si="8"/>
        <v>434.7065333</v>
      </c>
      <c r="M63" s="14">
        <f t="shared" si="9"/>
        <v>437.568458</v>
      </c>
      <c r="N63" s="14">
        <f t="shared" si="10"/>
        <v>-2.861924684</v>
      </c>
      <c r="O63" s="3"/>
      <c r="P63" s="23">
        <f t="shared" si="11"/>
        <v>164.3750077</v>
      </c>
      <c r="Q63" s="14">
        <f t="shared" si="12"/>
        <v>434.7065333</v>
      </c>
      <c r="R63" s="2"/>
      <c r="S63" s="14">
        <f t="shared" si="13"/>
        <v>-2.62809437</v>
      </c>
    </row>
    <row r="64">
      <c r="A64" s="11">
        <v>52.0</v>
      </c>
      <c r="B64" s="11">
        <v>1.41962173913043E9</v>
      </c>
      <c r="C64" s="2">
        <v>-102.382019</v>
      </c>
      <c r="D64" s="3">
        <f t="shared" si="1"/>
        <v>-778260.8696</v>
      </c>
      <c r="E64" s="4">
        <f t="shared" si="2"/>
        <v>163.4567115</v>
      </c>
      <c r="F64" s="3">
        <f t="shared" si="3"/>
        <v>0.0002100281768</v>
      </c>
      <c r="G64" s="3">
        <f t="shared" si="4"/>
        <v>0</v>
      </c>
      <c r="H64" s="2">
        <f t="shared" si="5"/>
        <v>0</v>
      </c>
      <c r="I64" s="3">
        <f t="shared" si="6"/>
        <v>0</v>
      </c>
      <c r="J64" s="3">
        <f t="shared" si="7"/>
        <v>0</v>
      </c>
      <c r="K64" s="3"/>
      <c r="L64" s="3">
        <f t="shared" si="8"/>
        <v>439.4447369</v>
      </c>
      <c r="M64" s="14">
        <f t="shared" si="9"/>
        <v>437.5425282</v>
      </c>
      <c r="N64" s="14">
        <f t="shared" si="10"/>
        <v>1.90220867</v>
      </c>
      <c r="O64" s="3"/>
      <c r="P64" s="23">
        <f t="shared" si="11"/>
        <v>163.4567115</v>
      </c>
      <c r="Q64" s="14">
        <f t="shared" si="12"/>
        <v>439.4447369</v>
      </c>
      <c r="R64" s="2"/>
      <c r="S64" s="14">
        <f t="shared" si="13"/>
        <v>1.746790861</v>
      </c>
    </row>
    <row r="65">
      <c r="A65" s="11">
        <v>53.0</v>
      </c>
      <c r="B65" s="11">
        <v>1.41962608695652E9</v>
      </c>
      <c r="C65" s="2">
        <v>-102.425499</v>
      </c>
      <c r="D65" s="3">
        <f t="shared" si="1"/>
        <v>-773913.0435</v>
      </c>
      <c r="E65" s="4">
        <f t="shared" si="2"/>
        <v>162.5384154</v>
      </c>
      <c r="F65" s="3">
        <f t="shared" si="3"/>
        <v>0.000210021548</v>
      </c>
      <c r="G65" s="3">
        <f t="shared" si="4"/>
        <v>0</v>
      </c>
      <c r="H65" s="2">
        <f t="shared" si="5"/>
        <v>0</v>
      </c>
      <c r="I65" s="3">
        <f t="shared" si="6"/>
        <v>0</v>
      </c>
      <c r="J65" s="3">
        <f t="shared" si="7"/>
        <v>0</v>
      </c>
      <c r="K65" s="3"/>
      <c r="L65" s="3">
        <f t="shared" si="8"/>
        <v>435.0671245</v>
      </c>
      <c r="M65" s="14">
        <f t="shared" si="9"/>
        <v>437.516443</v>
      </c>
      <c r="N65" s="14">
        <f t="shared" si="10"/>
        <v>-2.449318581</v>
      </c>
      <c r="O65" s="3"/>
      <c r="P65" s="23">
        <f t="shared" si="11"/>
        <v>162.5384154</v>
      </c>
      <c r="Q65" s="14">
        <f t="shared" si="12"/>
        <v>435.0671245</v>
      </c>
      <c r="R65" s="2"/>
      <c r="S65" s="14">
        <f t="shared" si="13"/>
        <v>-2.249199781</v>
      </c>
    </row>
    <row r="66">
      <c r="A66" s="11">
        <v>54.0</v>
      </c>
      <c r="B66" s="11">
        <v>1.4196304347826E9</v>
      </c>
      <c r="C66" s="2">
        <v>-102.3907547</v>
      </c>
      <c r="D66" s="3">
        <f t="shared" si="1"/>
        <v>-769565.2174</v>
      </c>
      <c r="E66" s="4">
        <f t="shared" si="2"/>
        <v>161.6201193</v>
      </c>
      <c r="F66" s="3">
        <f t="shared" si="3"/>
        <v>0.0002100148442</v>
      </c>
      <c r="G66" s="3">
        <f t="shared" si="4"/>
        <v>0</v>
      </c>
      <c r="H66" s="2">
        <f t="shared" si="5"/>
        <v>0</v>
      </c>
      <c r="I66" s="3">
        <f t="shared" si="6"/>
        <v>0</v>
      </c>
      <c r="J66" s="3">
        <f t="shared" si="7"/>
        <v>0</v>
      </c>
      <c r="K66" s="3"/>
      <c r="L66" s="3">
        <f t="shared" si="8"/>
        <v>438.5616957</v>
      </c>
      <c r="M66" s="14">
        <f t="shared" si="9"/>
        <v>437.4902016</v>
      </c>
      <c r="N66" s="14">
        <f t="shared" si="10"/>
        <v>1.071494045</v>
      </c>
      <c r="O66" s="3"/>
      <c r="P66" s="23">
        <f t="shared" si="11"/>
        <v>161.6201193</v>
      </c>
      <c r="Q66" s="14">
        <f t="shared" si="12"/>
        <v>438.5616957</v>
      </c>
      <c r="R66" s="2"/>
      <c r="S66" s="14">
        <f t="shared" si="13"/>
        <v>0.9839488374</v>
      </c>
    </row>
    <row r="67">
      <c r="A67" s="11">
        <v>55.0</v>
      </c>
      <c r="B67" s="11">
        <v>1.41963478260869E9</v>
      </c>
      <c r="C67" s="2">
        <v>-102.4173584</v>
      </c>
      <c r="D67" s="3">
        <f t="shared" si="1"/>
        <v>-765217.3913</v>
      </c>
      <c r="E67" s="4">
        <f t="shared" si="2"/>
        <v>160.7018231</v>
      </c>
      <c r="F67" s="3">
        <f t="shared" si="3"/>
        <v>0.0002100080643</v>
      </c>
      <c r="G67" s="3">
        <f t="shared" si="4"/>
        <v>0</v>
      </c>
      <c r="H67" s="2">
        <f t="shared" si="5"/>
        <v>0</v>
      </c>
      <c r="I67" s="3">
        <f t="shared" si="6"/>
        <v>0</v>
      </c>
      <c r="J67" s="3">
        <f t="shared" si="7"/>
        <v>0</v>
      </c>
      <c r="K67" s="3"/>
      <c r="L67" s="3">
        <f t="shared" si="8"/>
        <v>435.8833975</v>
      </c>
      <c r="M67" s="14">
        <f t="shared" si="9"/>
        <v>437.463803</v>
      </c>
      <c r="N67" s="14">
        <f t="shared" si="10"/>
        <v>-1.580405483</v>
      </c>
      <c r="O67" s="3"/>
      <c r="P67" s="23">
        <f t="shared" si="11"/>
        <v>160.7018231</v>
      </c>
      <c r="Q67" s="14">
        <f t="shared" si="12"/>
        <v>435.8833975</v>
      </c>
      <c r="R67" s="2"/>
      <c r="S67" s="14">
        <f t="shared" si="13"/>
        <v>-1.451280243</v>
      </c>
    </row>
    <row r="68">
      <c r="A68" s="11">
        <v>56.0</v>
      </c>
      <c r="B68" s="11">
        <v>1.41963913043478E9</v>
      </c>
      <c r="C68" s="2">
        <v>-102.3815536</v>
      </c>
      <c r="D68" s="24">
        <f t="shared" si="1"/>
        <v>-760869.5652</v>
      </c>
      <c r="E68" s="25">
        <f t="shared" si="2"/>
        <v>159.783527</v>
      </c>
      <c r="F68" s="24">
        <f t="shared" si="3"/>
        <v>0.0002100012069</v>
      </c>
      <c r="G68" s="24">
        <f t="shared" si="4"/>
        <v>0</v>
      </c>
      <c r="H68" s="26">
        <f t="shared" si="5"/>
        <v>0</v>
      </c>
      <c r="I68" s="24">
        <f t="shared" si="6"/>
        <v>0</v>
      </c>
      <c r="J68" s="24">
        <f t="shared" si="7"/>
        <v>0</v>
      </c>
      <c r="K68" s="24"/>
      <c r="L68" s="24">
        <f t="shared" si="8"/>
        <v>439.4918313</v>
      </c>
      <c r="M68" s="14">
        <f t="shared" si="9"/>
        <v>437.4372462</v>
      </c>
      <c r="N68" s="27">
        <f t="shared" si="10"/>
        <v>2.05458508</v>
      </c>
      <c r="O68" s="24"/>
      <c r="P68" s="28">
        <f t="shared" ref="P68:P123" si="14">-((B418-$B$4)/$B$4)*(3*10^5)</f>
        <v>-160.7018231</v>
      </c>
      <c r="Q68" s="27">
        <f t="shared" ref="Q68:Q123" si="15">(1/(2*$K$13))*(I417)</f>
        <v>409.6619212</v>
      </c>
      <c r="R68" s="26"/>
      <c r="S68" s="14">
        <f t="shared" si="13"/>
        <v>1.886717529</v>
      </c>
    </row>
    <row r="69">
      <c r="A69" s="11">
        <v>57.0</v>
      </c>
      <c r="B69" s="11">
        <v>1.41964347826087E9</v>
      </c>
      <c r="C69" s="2">
        <v>-102.4028397</v>
      </c>
      <c r="D69" s="24">
        <f t="shared" si="1"/>
        <v>-756521.7391</v>
      </c>
      <c r="E69" s="25">
        <f t="shared" si="2"/>
        <v>158.8652309</v>
      </c>
      <c r="F69" s="24">
        <f t="shared" si="3"/>
        <v>0.0002099942707</v>
      </c>
      <c r="G69" s="24">
        <f t="shared" si="4"/>
        <v>0</v>
      </c>
      <c r="H69" s="26">
        <f t="shared" si="5"/>
        <v>0</v>
      </c>
      <c r="I69" s="24">
        <f t="shared" si="6"/>
        <v>0</v>
      </c>
      <c r="J69" s="24">
        <f t="shared" si="7"/>
        <v>0</v>
      </c>
      <c r="K69" s="24"/>
      <c r="L69" s="24">
        <f t="shared" si="8"/>
        <v>437.3430178</v>
      </c>
      <c r="M69" s="14">
        <f t="shared" si="9"/>
        <v>437.4105303</v>
      </c>
      <c r="N69" s="27">
        <f t="shared" si="10"/>
        <v>-0.0675125019</v>
      </c>
      <c r="O69" s="24"/>
      <c r="P69" s="28">
        <f t="shared" si="14"/>
        <v>-161.6201193</v>
      </c>
      <c r="Q69" s="27">
        <f t="shared" si="15"/>
        <v>415.6226886</v>
      </c>
      <c r="R69" s="26"/>
      <c r="S69" s="14">
        <f t="shared" si="13"/>
        <v>-0.06199646941</v>
      </c>
    </row>
    <row r="70">
      <c r="A70" s="11">
        <v>58.0</v>
      </c>
      <c r="B70" s="11">
        <v>1.41964782608695E9</v>
      </c>
      <c r="C70" s="2">
        <v>-102.43293</v>
      </c>
      <c r="D70" s="24">
        <f t="shared" si="1"/>
        <v>-752173.913</v>
      </c>
      <c r="E70" s="25">
        <f t="shared" si="2"/>
        <v>157.9469347</v>
      </c>
      <c r="F70" s="24">
        <f t="shared" si="3"/>
        <v>0.0002099872543</v>
      </c>
      <c r="G70" s="24">
        <f t="shared" si="4"/>
        <v>0</v>
      </c>
      <c r="H70" s="26">
        <f t="shared" si="5"/>
        <v>0</v>
      </c>
      <c r="I70" s="24">
        <f t="shared" si="6"/>
        <v>0</v>
      </c>
      <c r="J70" s="24">
        <f t="shared" si="7"/>
        <v>0</v>
      </c>
      <c r="K70" s="24"/>
      <c r="L70" s="24">
        <f t="shared" si="8"/>
        <v>434.3233389</v>
      </c>
      <c r="M70" s="14">
        <f t="shared" si="9"/>
        <v>437.3836543</v>
      </c>
      <c r="N70" s="27">
        <f t="shared" si="10"/>
        <v>-3.06031536</v>
      </c>
      <c r="O70" s="24"/>
      <c r="P70" s="28">
        <f t="shared" si="14"/>
        <v>-162.5384154</v>
      </c>
      <c r="Q70" s="27">
        <f t="shared" si="15"/>
        <v>411.722449</v>
      </c>
      <c r="R70" s="26"/>
      <c r="S70" s="14">
        <f t="shared" si="13"/>
        <v>-2.81027576</v>
      </c>
    </row>
    <row r="71">
      <c r="A71" s="11">
        <v>59.0</v>
      </c>
      <c r="B71" s="11">
        <v>1.41965217391304E9</v>
      </c>
      <c r="C71" s="2">
        <v>-102.3946762</v>
      </c>
      <c r="D71" s="24">
        <f t="shared" si="1"/>
        <v>-747826.087</v>
      </c>
      <c r="E71" s="25">
        <f t="shared" si="2"/>
        <v>157.0286386</v>
      </c>
      <c r="F71" s="24">
        <f t="shared" si="3"/>
        <v>0.0002099801563</v>
      </c>
      <c r="G71" s="24">
        <f t="shared" si="4"/>
        <v>0</v>
      </c>
      <c r="H71" s="26">
        <f t="shared" si="5"/>
        <v>0</v>
      </c>
      <c r="I71" s="24">
        <f t="shared" si="6"/>
        <v>0</v>
      </c>
      <c r="J71" s="24">
        <f t="shared" si="7"/>
        <v>0</v>
      </c>
      <c r="K71" s="24"/>
      <c r="L71" s="24">
        <f t="shared" si="8"/>
        <v>438.1658713</v>
      </c>
      <c r="M71" s="14">
        <f t="shared" si="9"/>
        <v>437.3566173</v>
      </c>
      <c r="N71" s="27">
        <f t="shared" si="10"/>
        <v>0.809254016</v>
      </c>
      <c r="O71" s="24"/>
      <c r="P71" s="28">
        <f t="shared" si="14"/>
        <v>-163.4567115</v>
      </c>
      <c r="Q71" s="27">
        <f t="shared" si="15"/>
        <v>408.6577762</v>
      </c>
      <c r="R71" s="26"/>
      <c r="S71" s="14">
        <f t="shared" si="13"/>
        <v>0.7431348317</v>
      </c>
    </row>
    <row r="72">
      <c r="A72" s="11">
        <v>60.0</v>
      </c>
      <c r="B72" s="11">
        <v>1.41965652173913E9</v>
      </c>
      <c r="C72" s="2">
        <v>-102.4153366</v>
      </c>
      <c r="D72" s="24">
        <f t="shared" si="1"/>
        <v>-743478.2609</v>
      </c>
      <c r="E72" s="25">
        <f t="shared" si="2"/>
        <v>156.1103425</v>
      </c>
      <c r="F72" s="24">
        <f t="shared" si="3"/>
        <v>0.0002099729752</v>
      </c>
      <c r="G72" s="24">
        <f t="shared" si="4"/>
        <v>0</v>
      </c>
      <c r="H72" s="26">
        <f t="shared" si="5"/>
        <v>0</v>
      </c>
      <c r="I72" s="24">
        <f t="shared" si="6"/>
        <v>0</v>
      </c>
      <c r="J72" s="24">
        <f t="shared" si="7"/>
        <v>0</v>
      </c>
      <c r="K72" s="24"/>
      <c r="L72" s="24">
        <f t="shared" si="8"/>
        <v>436.0863645</v>
      </c>
      <c r="M72" s="14">
        <f t="shared" si="9"/>
        <v>437.3294183</v>
      </c>
      <c r="N72" s="27">
        <f t="shared" si="10"/>
        <v>-1.243053812</v>
      </c>
      <c r="O72" s="24"/>
      <c r="P72" s="28">
        <f t="shared" si="14"/>
        <v>-164.3750077</v>
      </c>
      <c r="Q72" s="27">
        <f t="shared" si="15"/>
        <v>412.1095962</v>
      </c>
      <c r="R72" s="26"/>
      <c r="S72" s="14">
        <f t="shared" si="13"/>
        <v>-1.141491509</v>
      </c>
    </row>
    <row r="73">
      <c r="A73" s="11">
        <v>61.0</v>
      </c>
      <c r="B73" s="11">
        <v>1.41966086956521E9</v>
      </c>
      <c r="C73" s="2">
        <v>-102.4655151</v>
      </c>
      <c r="D73" s="24">
        <f t="shared" si="1"/>
        <v>-739130.4348</v>
      </c>
      <c r="E73" s="25">
        <f t="shared" si="2"/>
        <v>155.1920463</v>
      </c>
      <c r="F73" s="24">
        <f t="shared" si="3"/>
        <v>0.0002099657097</v>
      </c>
      <c r="G73" s="24">
        <f t="shared" si="4"/>
        <v>0</v>
      </c>
      <c r="H73" s="26">
        <f t="shared" si="5"/>
        <v>0</v>
      </c>
      <c r="I73" s="24">
        <f t="shared" si="6"/>
        <v>0</v>
      </c>
      <c r="J73" s="24">
        <f t="shared" si="7"/>
        <v>0</v>
      </c>
      <c r="K73" s="24"/>
      <c r="L73" s="24">
        <f t="shared" si="8"/>
        <v>431.076807</v>
      </c>
      <c r="M73" s="14">
        <f t="shared" si="9"/>
        <v>437.3020563</v>
      </c>
      <c r="N73" s="27">
        <f t="shared" si="10"/>
        <v>-6.225249328</v>
      </c>
      <c r="O73" s="24"/>
      <c r="P73" s="28">
        <f t="shared" si="14"/>
        <v>-165.2933038</v>
      </c>
      <c r="Q73" s="27">
        <f t="shared" si="15"/>
        <v>408.4941274</v>
      </c>
      <c r="R73" s="26"/>
      <c r="S73" s="14">
        <f t="shared" si="13"/>
        <v>-5.716622383</v>
      </c>
    </row>
    <row r="74">
      <c r="A74" s="11">
        <v>62.0</v>
      </c>
      <c r="B74" s="11">
        <v>1.4196652173913E9</v>
      </c>
      <c r="C74" s="2">
        <v>-102.4125671</v>
      </c>
      <c r="D74" s="24">
        <f t="shared" si="1"/>
        <v>-734782.6087</v>
      </c>
      <c r="E74" s="25">
        <f t="shared" si="2"/>
        <v>154.2737502</v>
      </c>
      <c r="F74" s="24">
        <f t="shared" si="3"/>
        <v>0.0002099583583</v>
      </c>
      <c r="G74" s="24">
        <f t="shared" si="4"/>
        <v>0</v>
      </c>
      <c r="H74" s="26">
        <f t="shared" si="5"/>
        <v>0</v>
      </c>
      <c r="I74" s="24">
        <f t="shared" si="6"/>
        <v>0</v>
      </c>
      <c r="J74" s="24">
        <f t="shared" si="7"/>
        <v>0</v>
      </c>
      <c r="K74" s="24"/>
      <c r="L74" s="24">
        <f t="shared" si="8"/>
        <v>436.3645458</v>
      </c>
      <c r="M74" s="14">
        <f t="shared" si="9"/>
        <v>437.2745305</v>
      </c>
      <c r="N74" s="27">
        <f t="shared" si="10"/>
        <v>-0.9099846852</v>
      </c>
      <c r="O74" s="24"/>
      <c r="P74" s="28">
        <f t="shared" si="14"/>
        <v>-166.2115999</v>
      </c>
      <c r="Q74" s="27">
        <f t="shared" si="15"/>
        <v>402.7013795</v>
      </c>
      <c r="R74" s="26"/>
      <c r="S74" s="14">
        <f t="shared" si="13"/>
        <v>-0.8356354153</v>
      </c>
    </row>
    <row r="75">
      <c r="A75" s="11">
        <v>63.0</v>
      </c>
      <c r="B75" s="11">
        <v>1.41966956521739E9</v>
      </c>
      <c r="C75" s="2">
        <v>-102.3470612</v>
      </c>
      <c r="D75" s="24">
        <f t="shared" si="1"/>
        <v>-730434.7826</v>
      </c>
      <c r="E75" s="25">
        <f t="shared" si="2"/>
        <v>153.3554541</v>
      </c>
      <c r="F75" s="24">
        <f t="shared" si="3"/>
        <v>0.0002099509193</v>
      </c>
      <c r="G75" s="24">
        <f t="shared" si="4"/>
        <v>0</v>
      </c>
      <c r="H75" s="26">
        <f t="shared" si="5"/>
        <v>0</v>
      </c>
      <c r="I75" s="24">
        <f t="shared" si="6"/>
        <v>0</v>
      </c>
      <c r="J75" s="24">
        <f t="shared" si="7"/>
        <v>0</v>
      </c>
      <c r="K75" s="24"/>
      <c r="L75" s="24">
        <f t="shared" si="8"/>
        <v>442.9962474</v>
      </c>
      <c r="M75" s="14">
        <f t="shared" si="9"/>
        <v>437.2468399</v>
      </c>
      <c r="N75" s="27">
        <f t="shared" si="10"/>
        <v>5.749407561</v>
      </c>
      <c r="O75" s="24"/>
      <c r="P75" s="28">
        <f t="shared" si="14"/>
        <v>-167.129896</v>
      </c>
      <c r="Q75" s="27">
        <f t="shared" si="15"/>
        <v>411.9532442</v>
      </c>
      <c r="R75" s="26"/>
      <c r="S75" s="14">
        <f t="shared" si="13"/>
        <v>5.279658729</v>
      </c>
    </row>
    <row r="76">
      <c r="A76" s="11">
        <v>64.0</v>
      </c>
      <c r="B76" s="11">
        <v>1.41967391304347E9</v>
      </c>
      <c r="C76" s="2">
        <v>-102.3924332</v>
      </c>
      <c r="D76" s="24">
        <f t="shared" si="1"/>
        <v>-726086.9565</v>
      </c>
      <c r="E76" s="25">
        <f t="shared" si="2"/>
        <v>152.4371579</v>
      </c>
      <c r="F76" s="24">
        <f t="shared" si="3"/>
        <v>0.0002099433912</v>
      </c>
      <c r="G76" s="24">
        <f t="shared" si="4"/>
        <v>0</v>
      </c>
      <c r="H76" s="26">
        <f t="shared" si="5"/>
        <v>0</v>
      </c>
      <c r="I76" s="24">
        <f t="shared" si="6"/>
        <v>0</v>
      </c>
      <c r="J76" s="24">
        <f t="shared" si="7"/>
        <v>0</v>
      </c>
      <c r="K76" s="24"/>
      <c r="L76" s="24">
        <f t="shared" si="8"/>
        <v>438.3922292</v>
      </c>
      <c r="M76" s="14">
        <f t="shared" si="9"/>
        <v>437.2189834</v>
      </c>
      <c r="N76" s="27">
        <f t="shared" si="10"/>
        <v>1.173245778</v>
      </c>
      <c r="O76" s="24"/>
      <c r="P76" s="28">
        <f t="shared" si="14"/>
        <v>-168.0481922</v>
      </c>
      <c r="Q76" s="27">
        <f t="shared" si="15"/>
        <v>409.1397707</v>
      </c>
      <c r="R76" s="26"/>
      <c r="S76" s="14">
        <f t="shared" si="13"/>
        <v>1.077387061</v>
      </c>
    </row>
    <row r="77">
      <c r="A77" s="11">
        <v>65.0</v>
      </c>
      <c r="B77" s="11">
        <v>1.41967826086956E9</v>
      </c>
      <c r="C77" s="2">
        <v>-102.4028244</v>
      </c>
      <c r="D77" s="24">
        <f t="shared" si="1"/>
        <v>-721739.1304</v>
      </c>
      <c r="E77" s="25">
        <f t="shared" si="2"/>
        <v>151.5188618</v>
      </c>
      <c r="F77" s="24">
        <f t="shared" si="3"/>
        <v>0.0002099357724</v>
      </c>
      <c r="G77" s="24">
        <f t="shared" si="4"/>
        <v>0</v>
      </c>
      <c r="H77" s="26">
        <f t="shared" si="5"/>
        <v>0</v>
      </c>
      <c r="I77" s="24">
        <f t="shared" si="6"/>
        <v>0</v>
      </c>
      <c r="J77" s="24">
        <f t="shared" si="7"/>
        <v>0</v>
      </c>
      <c r="K77" s="24"/>
      <c r="L77" s="24">
        <f t="shared" si="8"/>
        <v>437.3445585</v>
      </c>
      <c r="M77" s="14">
        <f t="shared" si="9"/>
        <v>437.1909602</v>
      </c>
      <c r="N77" s="27">
        <f t="shared" si="10"/>
        <v>0.1535983032</v>
      </c>
      <c r="O77" s="24"/>
      <c r="P77" s="28">
        <f t="shared" si="14"/>
        <v>-168.9664883</v>
      </c>
      <c r="Q77" s="27">
        <f t="shared" si="15"/>
        <v>409.6194569</v>
      </c>
      <c r="R77" s="26"/>
      <c r="S77" s="14">
        <f t="shared" si="13"/>
        <v>0.1410487275</v>
      </c>
    </row>
    <row r="78">
      <c r="A78" s="11">
        <v>66.0</v>
      </c>
      <c r="B78" s="11">
        <v>1.41968260869565E9</v>
      </c>
      <c r="C78" s="2">
        <v>-102.3488159</v>
      </c>
      <c r="D78" s="24">
        <f t="shared" si="1"/>
        <v>-717391.3043</v>
      </c>
      <c r="E78" s="25">
        <f t="shared" si="2"/>
        <v>150.6005657</v>
      </c>
      <c r="F78" s="24">
        <f t="shared" si="3"/>
        <v>0.0002099280612</v>
      </c>
      <c r="G78" s="24">
        <f t="shared" si="4"/>
        <v>0</v>
      </c>
      <c r="H78" s="26">
        <f t="shared" si="5"/>
        <v>0</v>
      </c>
      <c r="I78" s="24">
        <f t="shared" si="6"/>
        <v>0</v>
      </c>
      <c r="J78" s="24">
        <f t="shared" si="7"/>
        <v>0</v>
      </c>
      <c r="K78" s="24"/>
      <c r="L78" s="24">
        <f t="shared" si="8"/>
        <v>442.8172978</v>
      </c>
      <c r="M78" s="14">
        <f t="shared" si="9"/>
        <v>437.1627693</v>
      </c>
      <c r="N78" s="27">
        <f t="shared" si="10"/>
        <v>5.65452842</v>
      </c>
      <c r="O78" s="24"/>
      <c r="P78" s="28">
        <f t="shared" si="14"/>
        <v>-169.8847844</v>
      </c>
      <c r="Q78" s="27">
        <f t="shared" si="15"/>
        <v>406.5497304</v>
      </c>
      <c r="R78" s="26"/>
      <c r="S78" s="14">
        <f t="shared" si="13"/>
        <v>5.192531581</v>
      </c>
    </row>
    <row r="79">
      <c r="A79" s="11">
        <v>67.0</v>
      </c>
      <c r="B79" s="11">
        <v>1.41968695652173E9</v>
      </c>
      <c r="C79" s="2">
        <v>-102.4620209</v>
      </c>
      <c r="D79" s="24">
        <f t="shared" si="1"/>
        <v>-713043.4783</v>
      </c>
      <c r="E79" s="25">
        <f t="shared" si="2"/>
        <v>149.6822695</v>
      </c>
      <c r="F79" s="24">
        <f t="shared" si="3"/>
        <v>0.0002099202561</v>
      </c>
      <c r="G79" s="24">
        <f t="shared" si="4"/>
        <v>0</v>
      </c>
      <c r="H79" s="26">
        <f t="shared" si="5"/>
        <v>0</v>
      </c>
      <c r="I79" s="24">
        <f t="shared" si="6"/>
        <v>0</v>
      </c>
      <c r="J79" s="24">
        <f t="shared" si="7"/>
        <v>0</v>
      </c>
      <c r="K79" s="24"/>
      <c r="L79" s="24">
        <f t="shared" si="8"/>
        <v>431.4237777</v>
      </c>
      <c r="M79" s="14">
        <f t="shared" si="9"/>
        <v>437.1344098</v>
      </c>
      <c r="N79" s="27">
        <f t="shared" si="10"/>
        <v>-5.710632081</v>
      </c>
      <c r="O79" s="24"/>
      <c r="P79" s="28">
        <f t="shared" si="14"/>
        <v>-170.8030806</v>
      </c>
      <c r="Q79" s="27">
        <f t="shared" si="15"/>
        <v>414.2501052</v>
      </c>
      <c r="R79" s="26"/>
      <c r="S79" s="14">
        <f t="shared" si="13"/>
        <v>-5.244051356</v>
      </c>
    </row>
    <row r="80">
      <c r="A80" s="11">
        <v>68.0</v>
      </c>
      <c r="B80" s="11">
        <v>1.41969130434782E9</v>
      </c>
      <c r="C80" s="2">
        <v>-102.3973618</v>
      </c>
      <c r="D80" s="24">
        <f t="shared" si="1"/>
        <v>-708695.6522</v>
      </c>
      <c r="E80" s="25">
        <f t="shared" si="2"/>
        <v>148.7639734</v>
      </c>
      <c r="F80" s="24">
        <f t="shared" si="3"/>
        <v>0.0002099123551</v>
      </c>
      <c r="G80" s="24">
        <f t="shared" si="4"/>
        <v>0</v>
      </c>
      <c r="H80" s="26">
        <f t="shared" si="5"/>
        <v>0</v>
      </c>
      <c r="I80" s="24">
        <f t="shared" si="6"/>
        <v>0</v>
      </c>
      <c r="J80" s="24">
        <f t="shared" si="7"/>
        <v>0</v>
      </c>
      <c r="K80" s="24"/>
      <c r="L80" s="24">
        <f t="shared" si="8"/>
        <v>437.8950011</v>
      </c>
      <c r="M80" s="14">
        <f t="shared" si="9"/>
        <v>437.1058807</v>
      </c>
      <c r="N80" s="27">
        <f t="shared" si="10"/>
        <v>0.7891203707</v>
      </c>
      <c r="O80" s="24"/>
      <c r="P80" s="28">
        <f t="shared" si="14"/>
        <v>-171.7213767</v>
      </c>
      <c r="Q80" s="27">
        <f t="shared" si="15"/>
        <v>407.0578434</v>
      </c>
      <c r="R80" s="26"/>
      <c r="S80" s="14">
        <f t="shared" si="13"/>
        <v>0.7246461848</v>
      </c>
    </row>
    <row r="81">
      <c r="A81" s="11">
        <v>69.0</v>
      </c>
      <c r="B81" s="11">
        <v>1.41969565217391E9</v>
      </c>
      <c r="C81" s="2">
        <v>-102.4083252</v>
      </c>
      <c r="D81" s="24">
        <f t="shared" si="1"/>
        <v>-704347.8261</v>
      </c>
      <c r="E81" s="25">
        <f t="shared" si="2"/>
        <v>147.8456773</v>
      </c>
      <c r="F81" s="24">
        <f t="shared" si="3"/>
        <v>0.0002099043566</v>
      </c>
      <c r="G81" s="24">
        <f t="shared" si="4"/>
        <v>0</v>
      </c>
      <c r="H81" s="26">
        <f t="shared" si="5"/>
        <v>0</v>
      </c>
      <c r="I81" s="24">
        <f t="shared" si="6"/>
        <v>0</v>
      </c>
      <c r="J81" s="24">
        <f t="shared" si="7"/>
        <v>0</v>
      </c>
      <c r="K81" s="24"/>
      <c r="L81" s="24">
        <f t="shared" si="8"/>
        <v>436.790966</v>
      </c>
      <c r="M81" s="14">
        <f t="shared" si="9"/>
        <v>437.077181</v>
      </c>
      <c r="N81" s="27">
        <f t="shared" si="10"/>
        <v>-0.2862150459</v>
      </c>
      <c r="O81" s="24"/>
      <c r="P81" s="28">
        <f t="shared" si="14"/>
        <v>-172.6396728</v>
      </c>
      <c r="Q81" s="27">
        <f t="shared" si="15"/>
        <v>408.9629994</v>
      </c>
      <c r="R81" s="26"/>
      <c r="S81" s="14">
        <f t="shared" si="13"/>
        <v>-0.2628301692</v>
      </c>
    </row>
    <row r="82">
      <c r="A82" s="11">
        <v>70.0</v>
      </c>
      <c r="B82" s="11">
        <v>1.4197E9</v>
      </c>
      <c r="C82" s="2">
        <v>-102.3779068</v>
      </c>
      <c r="D82" s="24">
        <f t="shared" si="1"/>
        <v>-700000</v>
      </c>
      <c r="E82" s="25">
        <f t="shared" si="2"/>
        <v>146.9273811</v>
      </c>
      <c r="F82" s="24">
        <f t="shared" si="3"/>
        <v>0.0002098962588</v>
      </c>
      <c r="G82" s="24">
        <f t="shared" si="4"/>
        <v>0</v>
      </c>
      <c r="H82" s="26">
        <f t="shared" si="5"/>
        <v>0</v>
      </c>
      <c r="I82" s="24">
        <f t="shared" si="6"/>
        <v>0</v>
      </c>
      <c r="J82" s="24">
        <f t="shared" si="7"/>
        <v>0</v>
      </c>
      <c r="K82" s="24"/>
      <c r="L82" s="24">
        <f t="shared" si="8"/>
        <v>439.8610305</v>
      </c>
      <c r="M82" s="14">
        <f t="shared" si="9"/>
        <v>437.0483098</v>
      </c>
      <c r="N82" s="27">
        <f t="shared" si="10"/>
        <v>2.812720717</v>
      </c>
      <c r="O82" s="24"/>
      <c r="P82" s="28">
        <f t="shared" si="14"/>
        <v>-173.557969</v>
      </c>
      <c r="Q82" s="27">
        <f t="shared" si="15"/>
        <v>407.6525163</v>
      </c>
      <c r="R82" s="26"/>
      <c r="S82" s="14">
        <f t="shared" si="13"/>
        <v>2.582910557</v>
      </c>
    </row>
    <row r="83">
      <c r="A83" s="11">
        <v>71.0</v>
      </c>
      <c r="B83" s="11">
        <v>1.41970434782608E9</v>
      </c>
      <c r="C83" s="2">
        <v>-102.4239197</v>
      </c>
      <c r="D83" s="24">
        <f t="shared" si="1"/>
        <v>-695652.1739</v>
      </c>
      <c r="E83" s="25">
        <f t="shared" si="2"/>
        <v>146.009085</v>
      </c>
      <c r="F83" s="24">
        <f t="shared" si="3"/>
        <v>0.0002098880597</v>
      </c>
      <c r="G83" s="24">
        <f t="shared" si="4"/>
        <v>0</v>
      </c>
      <c r="H83" s="26">
        <f t="shared" si="5"/>
        <v>0</v>
      </c>
      <c r="I83" s="24">
        <f t="shared" si="6"/>
        <v>0</v>
      </c>
      <c r="J83" s="24">
        <f t="shared" si="7"/>
        <v>0</v>
      </c>
      <c r="K83" s="24"/>
      <c r="L83" s="24">
        <f t="shared" si="8"/>
        <v>435.2253642</v>
      </c>
      <c r="M83" s="14">
        <f t="shared" si="9"/>
        <v>437.0192662</v>
      </c>
      <c r="N83" s="27">
        <f t="shared" si="10"/>
        <v>-1.793901965</v>
      </c>
      <c r="O83" s="24"/>
      <c r="P83" s="28">
        <f t="shared" si="14"/>
        <v>-174.4762651</v>
      </c>
      <c r="Q83" s="27">
        <f t="shared" si="15"/>
        <v>406.8540911</v>
      </c>
      <c r="R83" s="26"/>
      <c r="S83" s="14">
        <f t="shared" si="13"/>
        <v>-1.647333237</v>
      </c>
    </row>
    <row r="84">
      <c r="A84" s="11">
        <v>72.0</v>
      </c>
      <c r="B84" s="11">
        <v>1.41970869565217E9</v>
      </c>
      <c r="C84" s="2">
        <v>-102.4047165</v>
      </c>
      <c r="D84" s="24">
        <f t="shared" si="1"/>
        <v>-691304.3478</v>
      </c>
      <c r="E84" s="25">
        <f t="shared" si="2"/>
        <v>145.0907889</v>
      </c>
      <c r="F84" s="24">
        <f t="shared" si="3"/>
        <v>0.0002098797575</v>
      </c>
      <c r="G84" s="24">
        <f t="shared" si="4"/>
        <v>0</v>
      </c>
      <c r="H84" s="26">
        <f t="shared" si="5"/>
        <v>0</v>
      </c>
      <c r="I84" s="24">
        <f t="shared" si="6"/>
        <v>0</v>
      </c>
      <c r="J84" s="24">
        <f t="shared" si="7"/>
        <v>0</v>
      </c>
      <c r="K84" s="24"/>
      <c r="L84" s="24">
        <f t="shared" si="8"/>
        <v>437.1540612</v>
      </c>
      <c r="M84" s="14">
        <f t="shared" si="9"/>
        <v>436.9900491</v>
      </c>
      <c r="N84" s="27">
        <f t="shared" si="10"/>
        <v>0.1640120903</v>
      </c>
      <c r="O84" s="24"/>
      <c r="P84" s="28">
        <f t="shared" si="14"/>
        <v>-175.3945612</v>
      </c>
      <c r="Q84" s="27">
        <f t="shared" si="15"/>
        <v>413.4881496</v>
      </c>
      <c r="R84" s="26"/>
      <c r="S84" s="14">
        <f t="shared" si="13"/>
        <v>0.1506116679</v>
      </c>
    </row>
    <row r="85">
      <c r="A85" s="11">
        <v>73.0</v>
      </c>
      <c r="B85" s="11">
        <v>1.41971304347826E9</v>
      </c>
      <c r="C85" s="2">
        <v>-102.3590088</v>
      </c>
      <c r="D85" s="24">
        <f t="shared" si="1"/>
        <v>-686956.5217</v>
      </c>
      <c r="E85" s="25">
        <f t="shared" si="2"/>
        <v>144.1724927</v>
      </c>
      <c r="F85" s="24">
        <f t="shared" si="3"/>
        <v>0.0002098713502</v>
      </c>
      <c r="G85" s="24">
        <f t="shared" si="4"/>
        <v>0</v>
      </c>
      <c r="H85" s="26">
        <f t="shared" si="5"/>
        <v>0</v>
      </c>
      <c r="I85" s="24">
        <f t="shared" si="6"/>
        <v>0</v>
      </c>
      <c r="J85" s="24">
        <f t="shared" si="7"/>
        <v>0</v>
      </c>
      <c r="K85" s="24"/>
      <c r="L85" s="24">
        <f t="shared" si="8"/>
        <v>441.7792234</v>
      </c>
      <c r="M85" s="14">
        <f t="shared" si="9"/>
        <v>436.9606577</v>
      </c>
      <c r="N85" s="27">
        <f t="shared" si="10"/>
        <v>4.818565666</v>
      </c>
      <c r="O85" s="24"/>
      <c r="P85" s="28">
        <f t="shared" si="14"/>
        <v>-176.3128574</v>
      </c>
      <c r="Q85" s="27">
        <f t="shared" si="15"/>
        <v>407.6761523</v>
      </c>
      <c r="R85" s="26"/>
      <c r="S85" s="14">
        <f t="shared" si="13"/>
        <v>4.424870217</v>
      </c>
    </row>
    <row r="86">
      <c r="A86" s="11">
        <v>74.0</v>
      </c>
      <c r="B86" s="11">
        <v>1.41971739130434E9</v>
      </c>
      <c r="C86" s="2">
        <v>-102.3994904</v>
      </c>
      <c r="D86" s="24">
        <f t="shared" si="1"/>
        <v>-682608.6957</v>
      </c>
      <c r="E86" s="25">
        <f t="shared" si="2"/>
        <v>143.2541966</v>
      </c>
      <c r="F86" s="24">
        <f t="shared" si="3"/>
        <v>0.0002098628358</v>
      </c>
      <c r="G86" s="24">
        <f t="shared" si="4"/>
        <v>0</v>
      </c>
      <c r="H86" s="26">
        <f t="shared" si="5"/>
        <v>0</v>
      </c>
      <c r="I86" s="24">
        <f t="shared" si="6"/>
        <v>0</v>
      </c>
      <c r="J86" s="24">
        <f t="shared" si="7"/>
        <v>0</v>
      </c>
      <c r="K86" s="24"/>
      <c r="L86" s="24">
        <f t="shared" si="8"/>
        <v>437.6804289</v>
      </c>
      <c r="M86" s="14">
        <f t="shared" si="9"/>
        <v>436.931091</v>
      </c>
      <c r="N86" s="27">
        <f t="shared" si="10"/>
        <v>0.7493379666</v>
      </c>
      <c r="O86" s="24"/>
      <c r="P86" s="28">
        <f t="shared" si="14"/>
        <v>-177.2311535</v>
      </c>
      <c r="Q86" s="27">
        <f t="shared" si="15"/>
        <v>412.4920259</v>
      </c>
      <c r="R86" s="26"/>
      <c r="S86" s="14">
        <f t="shared" si="13"/>
        <v>0.6881141569</v>
      </c>
    </row>
    <row r="87">
      <c r="A87" s="11">
        <v>75.0</v>
      </c>
      <c r="B87" s="11">
        <v>1.41972173913043E9</v>
      </c>
      <c r="C87" s="2">
        <v>-102.3945389</v>
      </c>
      <c r="D87" s="24">
        <f t="shared" si="1"/>
        <v>-678260.8696</v>
      </c>
      <c r="E87" s="25">
        <f t="shared" si="2"/>
        <v>142.3359005</v>
      </c>
      <c r="F87" s="24">
        <f t="shared" si="3"/>
        <v>0.0002098542122</v>
      </c>
      <c r="G87" s="24">
        <f t="shared" si="4"/>
        <v>0</v>
      </c>
      <c r="H87" s="26">
        <f t="shared" si="5"/>
        <v>0</v>
      </c>
      <c r="I87" s="24">
        <f t="shared" si="6"/>
        <v>0</v>
      </c>
      <c r="J87" s="24">
        <f t="shared" si="7"/>
        <v>0</v>
      </c>
      <c r="K87" s="24"/>
      <c r="L87" s="24">
        <f t="shared" si="8"/>
        <v>438.1797239</v>
      </c>
      <c r="M87" s="14">
        <f t="shared" si="9"/>
        <v>436.901348</v>
      </c>
      <c r="N87" s="27">
        <f t="shared" si="10"/>
        <v>1.278375945</v>
      </c>
      <c r="O87" s="24"/>
      <c r="P87" s="28">
        <f t="shared" si="14"/>
        <v>-178.1494496</v>
      </c>
      <c r="Q87" s="27">
        <f t="shared" si="15"/>
        <v>408.55369</v>
      </c>
      <c r="R87" s="26"/>
      <c r="S87" s="14">
        <f t="shared" si="13"/>
        <v>1.173927683</v>
      </c>
    </row>
    <row r="88">
      <c r="A88" s="11">
        <v>76.0</v>
      </c>
      <c r="B88" s="11">
        <v>1.41972608695652E9</v>
      </c>
      <c r="C88" s="2">
        <v>-102.3846664</v>
      </c>
      <c r="D88" s="24">
        <f t="shared" si="1"/>
        <v>-673913.0435</v>
      </c>
      <c r="E88" s="25">
        <f t="shared" si="2"/>
        <v>141.4176044</v>
      </c>
      <c r="F88" s="24">
        <f t="shared" si="3"/>
        <v>0.0002098454774</v>
      </c>
      <c r="G88" s="24">
        <f t="shared" si="4"/>
        <v>0</v>
      </c>
      <c r="H88" s="26">
        <f t="shared" si="5"/>
        <v>0</v>
      </c>
      <c r="I88" s="24">
        <f t="shared" si="6"/>
        <v>0</v>
      </c>
      <c r="J88" s="24">
        <f t="shared" si="7"/>
        <v>0</v>
      </c>
      <c r="K88" s="24"/>
      <c r="L88" s="24">
        <f t="shared" si="8"/>
        <v>439.176939</v>
      </c>
      <c r="M88" s="14">
        <f t="shared" si="9"/>
        <v>436.8714277</v>
      </c>
      <c r="N88" s="27">
        <f t="shared" si="10"/>
        <v>2.30551122</v>
      </c>
      <c r="O88" s="24"/>
      <c r="P88" s="28">
        <f t="shared" si="14"/>
        <v>-179.0677458</v>
      </c>
      <c r="Q88" s="27">
        <f t="shared" si="15"/>
        <v>413.5804176</v>
      </c>
      <c r="R88" s="26"/>
      <c r="S88" s="14">
        <f t="shared" si="13"/>
        <v>2.117142038</v>
      </c>
    </row>
    <row r="89">
      <c r="A89" s="11">
        <v>77.0</v>
      </c>
      <c r="B89" s="11">
        <v>1.4197304347826E9</v>
      </c>
      <c r="C89" s="2">
        <v>-102.4100876</v>
      </c>
      <c r="D89" s="24">
        <f t="shared" si="1"/>
        <v>-669565.2174</v>
      </c>
      <c r="E89" s="25">
        <f t="shared" si="2"/>
        <v>140.4993082</v>
      </c>
      <c r="F89" s="24">
        <f t="shared" si="3"/>
        <v>0.0002098366292</v>
      </c>
      <c r="G89" s="24">
        <f t="shared" si="4"/>
        <v>0</v>
      </c>
      <c r="H89" s="26">
        <f t="shared" si="5"/>
        <v>0</v>
      </c>
      <c r="I89" s="24">
        <f t="shared" si="6"/>
        <v>0</v>
      </c>
      <c r="J89" s="24">
        <f t="shared" si="7"/>
        <v>0</v>
      </c>
      <c r="K89" s="24"/>
      <c r="L89" s="24">
        <f t="shared" si="8"/>
        <v>436.6137488</v>
      </c>
      <c r="M89" s="14">
        <f t="shared" si="9"/>
        <v>436.8413294</v>
      </c>
      <c r="N89" s="27">
        <f t="shared" si="10"/>
        <v>-0.2275805268</v>
      </c>
      <c r="O89" s="24"/>
      <c r="P89" s="28">
        <f t="shared" si="14"/>
        <v>-179.9860419</v>
      </c>
      <c r="Q89" s="27">
        <f t="shared" si="15"/>
        <v>406.1192892</v>
      </c>
      <c r="R89" s="26"/>
      <c r="S89" s="14">
        <f t="shared" si="13"/>
        <v>-0.2089863176</v>
      </c>
    </row>
    <row r="90">
      <c r="A90" s="11">
        <v>78.0</v>
      </c>
      <c r="B90" s="11">
        <v>1.41973478260869E9</v>
      </c>
      <c r="C90" s="2">
        <v>-102.3685913</v>
      </c>
      <c r="D90" s="24">
        <f t="shared" si="1"/>
        <v>-665217.3913</v>
      </c>
      <c r="E90" s="25">
        <f t="shared" si="2"/>
        <v>139.5810121</v>
      </c>
      <c r="F90" s="24">
        <f t="shared" si="3"/>
        <v>0.0002098276652</v>
      </c>
      <c r="G90" s="24">
        <f t="shared" si="4"/>
        <v>0</v>
      </c>
      <c r="H90" s="26">
        <f t="shared" si="5"/>
        <v>0</v>
      </c>
      <c r="I90" s="24">
        <f t="shared" si="6"/>
        <v>0</v>
      </c>
      <c r="J90" s="24">
        <f t="shared" si="7"/>
        <v>0</v>
      </c>
      <c r="K90" s="24"/>
      <c r="L90" s="24">
        <f t="shared" si="8"/>
        <v>440.8055332</v>
      </c>
      <c r="M90" s="14">
        <f t="shared" si="9"/>
        <v>436.8110518</v>
      </c>
      <c r="N90" s="27">
        <f t="shared" si="10"/>
        <v>3.994481397</v>
      </c>
      <c r="O90" s="24"/>
      <c r="P90" s="28">
        <f t="shared" si="14"/>
        <v>-180.904338</v>
      </c>
      <c r="Q90" s="27">
        <f t="shared" si="15"/>
        <v>411.7911677</v>
      </c>
      <c r="R90" s="26"/>
      <c r="S90" s="14">
        <f t="shared" si="13"/>
        <v>3.66811682</v>
      </c>
    </row>
    <row r="91">
      <c r="A91" s="11">
        <v>79.0</v>
      </c>
      <c r="B91" s="11">
        <v>1.41973913043478E9</v>
      </c>
      <c r="C91" s="2">
        <v>-102.4033737</v>
      </c>
      <c r="D91" s="24">
        <f t="shared" si="1"/>
        <v>-660869.5652</v>
      </c>
      <c r="E91" s="25">
        <f t="shared" si="2"/>
        <v>138.662716</v>
      </c>
      <c r="F91" s="24">
        <f t="shared" si="3"/>
        <v>0.0002098185833</v>
      </c>
      <c r="G91" s="24">
        <f t="shared" si="4"/>
        <v>0</v>
      </c>
      <c r="H91" s="26">
        <f t="shared" si="5"/>
        <v>0</v>
      </c>
      <c r="I91" s="24">
        <f t="shared" si="6"/>
        <v>0</v>
      </c>
      <c r="J91" s="24">
        <f t="shared" si="7"/>
        <v>0</v>
      </c>
      <c r="K91" s="24"/>
      <c r="L91" s="24">
        <f t="shared" si="8"/>
        <v>437.2892463</v>
      </c>
      <c r="M91" s="14">
        <f t="shared" si="9"/>
        <v>436.7805942</v>
      </c>
      <c r="N91" s="27">
        <f t="shared" si="10"/>
        <v>0.5086520153</v>
      </c>
      <c r="O91" s="24"/>
      <c r="P91" s="28">
        <f t="shared" si="14"/>
        <v>-181.8226342</v>
      </c>
      <c r="Q91" s="27">
        <f t="shared" si="15"/>
        <v>410.0456768</v>
      </c>
      <c r="R91" s="26"/>
      <c r="S91" s="14">
        <f t="shared" si="13"/>
        <v>0.4670931775</v>
      </c>
    </row>
    <row r="92">
      <c r="A92" s="11">
        <v>80.0</v>
      </c>
      <c r="B92" s="11">
        <v>1.41974347826087E9</v>
      </c>
      <c r="C92" s="2">
        <v>-102.4053955</v>
      </c>
      <c r="D92" s="24">
        <f t="shared" si="1"/>
        <v>-656521.7391</v>
      </c>
      <c r="E92" s="25">
        <f t="shared" si="2"/>
        <v>137.7444198</v>
      </c>
      <c r="F92" s="24">
        <f t="shared" si="3"/>
        <v>0.0002098093812</v>
      </c>
      <c r="G92" s="24">
        <f t="shared" si="4"/>
        <v>0</v>
      </c>
      <c r="H92" s="26">
        <f t="shared" si="5"/>
        <v>0</v>
      </c>
      <c r="I92" s="24">
        <f t="shared" si="6"/>
        <v>0</v>
      </c>
      <c r="J92" s="24">
        <f t="shared" si="7"/>
        <v>0</v>
      </c>
      <c r="K92" s="24"/>
      <c r="L92" s="24">
        <f t="shared" si="8"/>
        <v>437.0857195</v>
      </c>
      <c r="M92" s="14">
        <f t="shared" si="9"/>
        <v>436.7499556</v>
      </c>
      <c r="N92" s="27">
        <f t="shared" si="10"/>
        <v>0.3357638438</v>
      </c>
      <c r="O92" s="24"/>
      <c r="P92" s="28">
        <f t="shared" si="14"/>
        <v>-182.7409303</v>
      </c>
      <c r="Q92" s="27">
        <f t="shared" si="15"/>
        <v>406.5675825</v>
      </c>
      <c r="R92" s="26"/>
      <c r="S92" s="14">
        <f t="shared" si="13"/>
        <v>0.3083306393</v>
      </c>
    </row>
    <row r="93">
      <c r="A93" s="11">
        <v>81.0</v>
      </c>
      <c r="B93" s="11">
        <v>1.41974782608695E9</v>
      </c>
      <c r="C93" s="2">
        <v>-102.3877335</v>
      </c>
      <c r="D93" s="24">
        <f t="shared" si="1"/>
        <v>-652173.913</v>
      </c>
      <c r="E93" s="25">
        <f t="shared" si="2"/>
        <v>136.8261237</v>
      </c>
      <c r="F93" s="24">
        <f t="shared" si="3"/>
        <v>0.0002098000563</v>
      </c>
      <c r="G93" s="24">
        <f t="shared" si="4"/>
        <v>0</v>
      </c>
      <c r="H93" s="26">
        <f t="shared" si="5"/>
        <v>0</v>
      </c>
      <c r="I93" s="24">
        <f t="shared" si="6"/>
        <v>0</v>
      </c>
      <c r="J93" s="24">
        <f t="shared" si="7"/>
        <v>0</v>
      </c>
      <c r="K93" s="24"/>
      <c r="L93" s="24">
        <f t="shared" si="8"/>
        <v>438.8668903</v>
      </c>
      <c r="M93" s="14">
        <f t="shared" si="9"/>
        <v>436.719135</v>
      </c>
      <c r="N93" s="27">
        <f t="shared" si="10"/>
        <v>2.147755327</v>
      </c>
      <c r="O93" s="24"/>
      <c r="P93" s="28">
        <f t="shared" si="14"/>
        <v>-183.6592264</v>
      </c>
      <c r="Q93" s="27">
        <f t="shared" si="15"/>
        <v>413.7591846</v>
      </c>
      <c r="R93" s="26"/>
      <c r="S93" s="14">
        <f t="shared" si="13"/>
        <v>1.972275411</v>
      </c>
    </row>
    <row r="94">
      <c r="A94" s="11">
        <v>82.0</v>
      </c>
      <c r="B94" s="11">
        <v>1.41975217391304E9</v>
      </c>
      <c r="C94" s="2">
        <v>-102.406723</v>
      </c>
      <c r="D94" s="24">
        <f t="shared" si="1"/>
        <v>-647826.087</v>
      </c>
      <c r="E94" s="25">
        <f t="shared" si="2"/>
        <v>135.9078276</v>
      </c>
      <c r="F94" s="24">
        <f t="shared" si="3"/>
        <v>0.0002097906063</v>
      </c>
      <c r="G94" s="24">
        <f t="shared" si="4"/>
        <v>0</v>
      </c>
      <c r="H94" s="26">
        <f t="shared" si="5"/>
        <v>0</v>
      </c>
      <c r="I94" s="24">
        <f t="shared" si="6"/>
        <v>0</v>
      </c>
      <c r="J94" s="24">
        <f t="shared" si="7"/>
        <v>0</v>
      </c>
      <c r="K94" s="24"/>
      <c r="L94" s="24">
        <f t="shared" si="8"/>
        <v>436.9521367</v>
      </c>
      <c r="M94" s="14">
        <f t="shared" si="9"/>
        <v>436.6881315</v>
      </c>
      <c r="N94" s="27">
        <f t="shared" si="10"/>
        <v>0.2640052128</v>
      </c>
      <c r="O94" s="24"/>
      <c r="P94" s="28">
        <f t="shared" si="14"/>
        <v>-184.5775226</v>
      </c>
      <c r="Q94" s="27">
        <f t="shared" si="15"/>
        <v>410.9543174</v>
      </c>
      <c r="R94" s="26"/>
      <c r="S94" s="14">
        <f t="shared" si="13"/>
        <v>0.2424349654</v>
      </c>
    </row>
    <row r="95">
      <c r="A95" s="11">
        <v>83.0</v>
      </c>
      <c r="B95" s="11">
        <v>1.41975652173913E9</v>
      </c>
      <c r="C95" s="2">
        <v>-102.3657532</v>
      </c>
      <c r="D95" s="24">
        <f t="shared" si="1"/>
        <v>-643478.2609</v>
      </c>
      <c r="E95" s="25">
        <f t="shared" si="2"/>
        <v>134.9895314</v>
      </c>
      <c r="F95" s="24">
        <f t="shared" si="3"/>
        <v>0.0002097810286</v>
      </c>
      <c r="G95" s="24">
        <f t="shared" si="4"/>
        <v>0</v>
      </c>
      <c r="H95" s="26">
        <f t="shared" si="5"/>
        <v>0</v>
      </c>
      <c r="I95" s="24">
        <f t="shared" si="6"/>
        <v>0</v>
      </c>
      <c r="J95" s="24">
        <f t="shared" si="7"/>
        <v>0</v>
      </c>
      <c r="K95" s="24"/>
      <c r="L95" s="24">
        <f t="shared" si="8"/>
        <v>441.0936923</v>
      </c>
      <c r="M95" s="14">
        <f t="shared" si="9"/>
        <v>436.656944</v>
      </c>
      <c r="N95" s="27">
        <f t="shared" si="10"/>
        <v>4.43674828</v>
      </c>
      <c r="O95" s="24"/>
      <c r="P95" s="28">
        <f t="shared" si="14"/>
        <v>-185.4958187</v>
      </c>
      <c r="Q95" s="27">
        <f t="shared" si="15"/>
        <v>411.8345778</v>
      </c>
      <c r="R95" s="26"/>
      <c r="S95" s="14">
        <f t="shared" si="13"/>
        <v>4.074248787</v>
      </c>
    </row>
    <row r="96">
      <c r="A96" s="11">
        <v>84.0</v>
      </c>
      <c r="B96" s="11">
        <v>1.41976086956521E9</v>
      </c>
      <c r="C96" s="2">
        <v>-102.3553619</v>
      </c>
      <c r="D96" s="24">
        <f t="shared" si="1"/>
        <v>-639130.4348</v>
      </c>
      <c r="E96" s="25">
        <f t="shared" si="2"/>
        <v>134.0712353</v>
      </c>
      <c r="F96" s="24">
        <f t="shared" si="3"/>
        <v>0.0002097713205</v>
      </c>
      <c r="G96" s="24">
        <f t="shared" si="4"/>
        <v>0</v>
      </c>
      <c r="H96" s="26">
        <f t="shared" si="5"/>
        <v>0</v>
      </c>
      <c r="I96" s="24">
        <f t="shared" si="6"/>
        <v>0</v>
      </c>
      <c r="J96" s="24">
        <f t="shared" si="7"/>
        <v>0</v>
      </c>
      <c r="K96" s="24"/>
      <c r="L96" s="24">
        <f t="shared" si="8"/>
        <v>442.1503543</v>
      </c>
      <c r="M96" s="14">
        <f t="shared" si="9"/>
        <v>436.6255718</v>
      </c>
      <c r="N96" s="27">
        <f t="shared" si="10"/>
        <v>5.524782542</v>
      </c>
      <c r="O96" s="24"/>
      <c r="P96" s="28">
        <f t="shared" si="14"/>
        <v>-186.4141148</v>
      </c>
      <c r="Q96" s="27">
        <f t="shared" si="15"/>
        <v>411.6595333</v>
      </c>
      <c r="R96" s="26"/>
      <c r="S96" s="14">
        <f t="shared" si="13"/>
        <v>5.073386443</v>
      </c>
    </row>
    <row r="97">
      <c r="A97" s="11">
        <v>85.0</v>
      </c>
      <c r="B97" s="11">
        <v>1.4197652173913E9</v>
      </c>
      <c r="C97" s="2">
        <v>-102.4572678</v>
      </c>
      <c r="D97" s="24">
        <f t="shared" si="1"/>
        <v>-634782.6087</v>
      </c>
      <c r="E97" s="25">
        <f t="shared" si="2"/>
        <v>133.1529392</v>
      </c>
      <c r="F97" s="24">
        <f t="shared" si="3"/>
        <v>0.0002097614795</v>
      </c>
      <c r="G97" s="24">
        <f t="shared" si="4"/>
        <v>0</v>
      </c>
      <c r="H97" s="26">
        <f t="shared" si="5"/>
        <v>0</v>
      </c>
      <c r="I97" s="24">
        <f t="shared" si="6"/>
        <v>0</v>
      </c>
      <c r="J97" s="24">
        <f t="shared" si="7"/>
        <v>0</v>
      </c>
      <c r="K97" s="24"/>
      <c r="L97" s="24">
        <f t="shared" si="8"/>
        <v>431.8962044</v>
      </c>
      <c r="M97" s="14">
        <f t="shared" si="9"/>
        <v>436.5940137</v>
      </c>
      <c r="N97" s="27">
        <f t="shared" si="10"/>
        <v>-4.697809332</v>
      </c>
      <c r="O97" s="24"/>
      <c r="P97" s="28">
        <f t="shared" si="14"/>
        <v>-187.332411</v>
      </c>
      <c r="Q97" s="27">
        <f t="shared" si="15"/>
        <v>404.4440283</v>
      </c>
      <c r="R97" s="26"/>
      <c r="S97" s="14">
        <f t="shared" si="13"/>
        <v>-4.313980132</v>
      </c>
    </row>
    <row r="98">
      <c r="A98" s="11">
        <v>86.0</v>
      </c>
      <c r="B98" s="11">
        <v>1.41976956521739E9</v>
      </c>
      <c r="C98" s="2">
        <v>-102.4154129</v>
      </c>
      <c r="D98" s="24">
        <f t="shared" si="1"/>
        <v>-630434.7826</v>
      </c>
      <c r="E98" s="25">
        <f t="shared" si="2"/>
        <v>132.234643</v>
      </c>
      <c r="F98" s="24">
        <f t="shared" si="3"/>
        <v>0.0002097515027</v>
      </c>
      <c r="G98" s="24">
        <f t="shared" si="4"/>
        <v>0</v>
      </c>
      <c r="H98" s="26">
        <f t="shared" si="5"/>
        <v>0</v>
      </c>
      <c r="I98" s="24">
        <f t="shared" si="6"/>
        <v>0</v>
      </c>
      <c r="J98" s="24">
        <f t="shared" si="7"/>
        <v>0</v>
      </c>
      <c r="K98" s="24"/>
      <c r="L98" s="24">
        <f t="shared" si="8"/>
        <v>436.0787031</v>
      </c>
      <c r="M98" s="14">
        <f t="shared" si="9"/>
        <v>436.5622689</v>
      </c>
      <c r="N98" s="27">
        <f t="shared" si="10"/>
        <v>-0.4835658702</v>
      </c>
      <c r="O98" s="24"/>
      <c r="P98" s="28">
        <f t="shared" si="14"/>
        <v>-188.2507071</v>
      </c>
      <c r="Q98" s="27">
        <f t="shared" si="15"/>
        <v>408.2494961</v>
      </c>
      <c r="R98" s="26"/>
      <c r="S98" s="14">
        <f t="shared" si="13"/>
        <v>-0.4440566685</v>
      </c>
    </row>
    <row r="99">
      <c r="A99" s="11">
        <v>87.0</v>
      </c>
      <c r="B99" s="11">
        <v>1.41977391304347E9</v>
      </c>
      <c r="C99" s="2">
        <v>-102.3454514</v>
      </c>
      <c r="D99" s="24">
        <f t="shared" si="1"/>
        <v>-626086.9565</v>
      </c>
      <c r="E99" s="25">
        <f t="shared" si="2"/>
        <v>131.3163469</v>
      </c>
      <c r="F99" s="24">
        <f t="shared" si="3"/>
        <v>0.0002097413874</v>
      </c>
      <c r="G99" s="24">
        <f t="shared" si="4"/>
        <v>0</v>
      </c>
      <c r="H99" s="26">
        <f t="shared" si="5"/>
        <v>0</v>
      </c>
      <c r="I99" s="24">
        <f t="shared" si="6"/>
        <v>0</v>
      </c>
      <c r="J99" s="24">
        <f t="shared" si="7"/>
        <v>0</v>
      </c>
      <c r="K99" s="24"/>
      <c r="L99" s="24">
        <f t="shared" si="8"/>
        <v>443.1604834</v>
      </c>
      <c r="M99" s="14">
        <f t="shared" si="9"/>
        <v>436.5303364</v>
      </c>
      <c r="N99" s="27">
        <f t="shared" si="10"/>
        <v>6.630146928</v>
      </c>
      <c r="O99" s="24"/>
      <c r="P99" s="28">
        <f t="shared" si="14"/>
        <v>-189.1690032</v>
      </c>
      <c r="Q99" s="27">
        <f t="shared" si="15"/>
        <v>406.1792257</v>
      </c>
      <c r="R99" s="26"/>
      <c r="S99" s="14">
        <f t="shared" si="13"/>
        <v>6.088438284</v>
      </c>
    </row>
    <row r="100">
      <c r="A100" s="11">
        <v>88.0</v>
      </c>
      <c r="B100" s="11">
        <v>1.41977826086956E9</v>
      </c>
      <c r="C100" s="2">
        <v>-102.3880234</v>
      </c>
      <c r="D100" s="24">
        <f t="shared" si="1"/>
        <v>-621739.1304</v>
      </c>
      <c r="E100" s="25">
        <f t="shared" si="2"/>
        <v>130.3980508</v>
      </c>
      <c r="F100" s="24">
        <f t="shared" si="3"/>
        <v>0.0002097311306</v>
      </c>
      <c r="G100" s="24">
        <f t="shared" si="4"/>
        <v>0</v>
      </c>
      <c r="H100" s="26">
        <f t="shared" si="5"/>
        <v>0</v>
      </c>
      <c r="I100" s="24">
        <f t="shared" si="6"/>
        <v>0</v>
      </c>
      <c r="J100" s="24">
        <f t="shared" si="7"/>
        <v>0</v>
      </c>
      <c r="K100" s="24"/>
      <c r="L100" s="24">
        <f t="shared" si="8"/>
        <v>438.8375961</v>
      </c>
      <c r="M100" s="14">
        <f t="shared" si="9"/>
        <v>436.4982153</v>
      </c>
      <c r="N100" s="27">
        <f t="shared" si="10"/>
        <v>2.339380827</v>
      </c>
      <c r="O100" s="24"/>
      <c r="P100" s="28">
        <f t="shared" si="14"/>
        <v>-190.0872994</v>
      </c>
      <c r="Q100" s="27">
        <f t="shared" si="15"/>
        <v>404.7773915</v>
      </c>
      <c r="R100" s="26"/>
      <c r="S100" s="14">
        <f t="shared" si="13"/>
        <v>2.148244361</v>
      </c>
    </row>
    <row r="101">
      <c r="A101" s="11">
        <v>89.0</v>
      </c>
      <c r="B101" s="11">
        <v>1.41978260869565E9</v>
      </c>
      <c r="C101" s="2">
        <v>-102.3966599</v>
      </c>
      <c r="D101" s="24">
        <f t="shared" si="1"/>
        <v>-617391.3043</v>
      </c>
      <c r="E101" s="25">
        <f t="shared" si="2"/>
        <v>129.4797546</v>
      </c>
      <c r="F101" s="24">
        <f t="shared" si="3"/>
        <v>0.0002097207293</v>
      </c>
      <c r="G101" s="24">
        <f t="shared" si="4"/>
        <v>0</v>
      </c>
      <c r="H101" s="26">
        <f t="shared" si="5"/>
        <v>0</v>
      </c>
      <c r="I101" s="24">
        <f t="shared" si="6"/>
        <v>0</v>
      </c>
      <c r="J101" s="24">
        <f t="shared" si="7"/>
        <v>0</v>
      </c>
      <c r="K101" s="24"/>
      <c r="L101" s="24">
        <f t="shared" si="8"/>
        <v>437.9657787</v>
      </c>
      <c r="M101" s="14">
        <f t="shared" si="9"/>
        <v>436.4659045</v>
      </c>
      <c r="N101" s="27">
        <f t="shared" si="10"/>
        <v>1.499874162</v>
      </c>
      <c r="O101" s="24"/>
      <c r="P101" s="28">
        <f t="shared" si="14"/>
        <v>-191.0055955</v>
      </c>
      <c r="Q101" s="27">
        <f t="shared" si="15"/>
        <v>404.5676729</v>
      </c>
      <c r="R101" s="26"/>
      <c r="S101" s="14">
        <f t="shared" si="13"/>
        <v>1.377328643</v>
      </c>
    </row>
    <row r="102">
      <c r="A102" s="11">
        <v>90.0</v>
      </c>
      <c r="B102" s="11">
        <v>1.41978695652173E9</v>
      </c>
      <c r="C102" s="2">
        <v>-102.3934097</v>
      </c>
      <c r="D102" s="24">
        <f t="shared" si="1"/>
        <v>-613043.4783</v>
      </c>
      <c r="E102" s="25">
        <f t="shared" si="2"/>
        <v>128.5614585</v>
      </c>
      <c r="F102" s="24">
        <f t="shared" si="3"/>
        <v>0.0002097101805</v>
      </c>
      <c r="G102" s="24">
        <f t="shared" si="4"/>
        <v>0</v>
      </c>
      <c r="H102" s="26">
        <f t="shared" si="5"/>
        <v>0</v>
      </c>
      <c r="I102" s="24">
        <f t="shared" si="6"/>
        <v>0</v>
      </c>
      <c r="J102" s="24">
        <f t="shared" si="7"/>
        <v>0</v>
      </c>
      <c r="K102" s="24"/>
      <c r="L102" s="24">
        <f t="shared" si="8"/>
        <v>438.2936689</v>
      </c>
      <c r="M102" s="14">
        <f t="shared" si="9"/>
        <v>436.4334032</v>
      </c>
      <c r="N102" s="27">
        <f t="shared" si="10"/>
        <v>1.860265694</v>
      </c>
      <c r="O102" s="24"/>
      <c r="P102" s="28">
        <f t="shared" si="14"/>
        <v>-191.9238916</v>
      </c>
      <c r="Q102" s="27">
        <f t="shared" si="15"/>
        <v>408.1254405</v>
      </c>
      <c r="R102" s="26"/>
      <c r="S102" s="14">
        <f t="shared" si="13"/>
        <v>1.708274792</v>
      </c>
    </row>
    <row r="103">
      <c r="A103" s="11">
        <v>91.0</v>
      </c>
      <c r="B103" s="11">
        <v>1.41979130434782E9</v>
      </c>
      <c r="C103" s="2">
        <v>-102.4011765</v>
      </c>
      <c r="D103" s="24">
        <f t="shared" si="1"/>
        <v>-608695.6522</v>
      </c>
      <c r="E103" s="25">
        <f t="shared" si="2"/>
        <v>127.6431624</v>
      </c>
      <c r="F103" s="24">
        <f t="shared" si="3"/>
        <v>0.000209699481</v>
      </c>
      <c r="G103" s="24">
        <f t="shared" si="4"/>
        <v>0</v>
      </c>
      <c r="H103" s="26">
        <f t="shared" si="5"/>
        <v>0</v>
      </c>
      <c r="I103" s="24">
        <f t="shared" si="6"/>
        <v>0</v>
      </c>
      <c r="J103" s="24">
        <f t="shared" si="7"/>
        <v>0</v>
      </c>
      <c r="K103" s="24"/>
      <c r="L103" s="24">
        <f t="shared" si="8"/>
        <v>437.5105374</v>
      </c>
      <c r="M103" s="14">
        <f t="shared" si="9"/>
        <v>436.4007104</v>
      </c>
      <c r="N103" s="27">
        <f t="shared" si="10"/>
        <v>1.109826946</v>
      </c>
      <c r="O103" s="24"/>
      <c r="P103" s="28">
        <f t="shared" si="14"/>
        <v>-192.8421877</v>
      </c>
      <c r="Q103" s="27">
        <f t="shared" si="15"/>
        <v>407.7334457</v>
      </c>
      <c r="R103" s="26"/>
      <c r="S103" s="14">
        <f t="shared" si="13"/>
        <v>1.019149793</v>
      </c>
    </row>
    <row r="104">
      <c r="A104" s="11">
        <v>92.0</v>
      </c>
      <c r="B104" s="11">
        <v>1.41979565217391E9</v>
      </c>
      <c r="C104" s="2">
        <v>-102.3831863</v>
      </c>
      <c r="D104" s="24">
        <f t="shared" si="1"/>
        <v>-604347.8261</v>
      </c>
      <c r="E104" s="25">
        <f t="shared" si="2"/>
        <v>126.7248662</v>
      </c>
      <c r="F104" s="24">
        <f t="shared" si="3"/>
        <v>0.0002096886276</v>
      </c>
      <c r="G104" s="24">
        <f t="shared" si="4"/>
        <v>0</v>
      </c>
      <c r="H104" s="26">
        <f t="shared" si="5"/>
        <v>0</v>
      </c>
      <c r="I104" s="24">
        <f t="shared" si="6"/>
        <v>0</v>
      </c>
      <c r="J104" s="24">
        <f t="shared" si="7"/>
        <v>0</v>
      </c>
      <c r="K104" s="24"/>
      <c r="L104" s="24">
        <f t="shared" si="8"/>
        <v>439.3266384</v>
      </c>
      <c r="M104" s="14">
        <f t="shared" si="9"/>
        <v>436.3678251</v>
      </c>
      <c r="N104" s="27">
        <f t="shared" si="10"/>
        <v>2.958813303</v>
      </c>
      <c r="O104" s="24"/>
      <c r="P104" s="28">
        <f t="shared" si="14"/>
        <v>-193.7604839</v>
      </c>
      <c r="Q104" s="27">
        <f t="shared" si="15"/>
        <v>404.57833</v>
      </c>
      <c r="R104" s="26"/>
      <c r="S104" s="14">
        <f t="shared" si="13"/>
        <v>2.717066807</v>
      </c>
    </row>
    <row r="105">
      <c r="A105" s="11">
        <v>93.0</v>
      </c>
      <c r="B105" s="11">
        <v>1.4198E9</v>
      </c>
      <c r="C105" s="2">
        <v>-102.3542786</v>
      </c>
      <c r="D105" s="24">
        <f t="shared" si="1"/>
        <v>-600000</v>
      </c>
      <c r="E105" s="25">
        <f t="shared" si="2"/>
        <v>125.8065701</v>
      </c>
      <c r="F105" s="24">
        <f t="shared" si="3"/>
        <v>0.0002096776168</v>
      </c>
      <c r="G105" s="24">
        <f t="shared" si="4"/>
        <v>0</v>
      </c>
      <c r="H105" s="26">
        <f t="shared" si="5"/>
        <v>0</v>
      </c>
      <c r="I105" s="24">
        <f t="shared" si="6"/>
        <v>0</v>
      </c>
      <c r="J105" s="24">
        <f t="shared" si="7"/>
        <v>0</v>
      </c>
      <c r="K105" s="24"/>
      <c r="L105" s="24">
        <f t="shared" si="8"/>
        <v>442.2606576</v>
      </c>
      <c r="M105" s="14">
        <f t="shared" si="9"/>
        <v>436.3347465</v>
      </c>
      <c r="N105" s="27">
        <f t="shared" si="10"/>
        <v>5.925911187</v>
      </c>
      <c r="O105" s="24"/>
      <c r="P105" s="28">
        <f t="shared" si="14"/>
        <v>-194.67878</v>
      </c>
      <c r="Q105" s="27">
        <f t="shared" si="15"/>
        <v>406.9134146</v>
      </c>
      <c r="R105" s="26"/>
      <c r="S105" s="14">
        <f t="shared" si="13"/>
        <v>5.441741326</v>
      </c>
    </row>
    <row r="106">
      <c r="A106" s="11">
        <v>94.0</v>
      </c>
      <c r="B106" s="11">
        <v>1.41980434782608E9</v>
      </c>
      <c r="C106" s="2">
        <v>-102.3844528</v>
      </c>
      <c r="D106" s="24">
        <f t="shared" si="1"/>
        <v>-595652.1739</v>
      </c>
      <c r="E106" s="25">
        <f t="shared" si="2"/>
        <v>124.888274</v>
      </c>
      <c r="F106" s="24">
        <f t="shared" si="3"/>
        <v>0.0002096664454</v>
      </c>
      <c r="G106" s="24">
        <f t="shared" si="4"/>
        <v>0</v>
      </c>
      <c r="H106" s="26">
        <f t="shared" si="5"/>
        <v>0</v>
      </c>
      <c r="I106" s="24">
        <f t="shared" si="6"/>
        <v>0</v>
      </c>
      <c r="J106" s="24">
        <f t="shared" si="7"/>
        <v>0</v>
      </c>
      <c r="K106" s="24"/>
      <c r="L106" s="24">
        <f t="shared" si="8"/>
        <v>439.1985396</v>
      </c>
      <c r="M106" s="14">
        <f t="shared" si="9"/>
        <v>436.3014734</v>
      </c>
      <c r="N106" s="27">
        <f t="shared" si="10"/>
        <v>2.897066221</v>
      </c>
      <c r="O106" s="24"/>
      <c r="P106" s="28">
        <f t="shared" si="14"/>
        <v>-195.5970761</v>
      </c>
      <c r="Q106" s="27">
        <f t="shared" si="15"/>
        <v>402.4778899</v>
      </c>
      <c r="R106" s="26"/>
      <c r="S106" s="14">
        <f t="shared" si="13"/>
        <v>2.660364708</v>
      </c>
    </row>
    <row r="107">
      <c r="A107" s="11">
        <v>95.0</v>
      </c>
      <c r="B107" s="11">
        <v>1.41980869565217E9</v>
      </c>
      <c r="C107" s="2">
        <v>-102.4056473</v>
      </c>
      <c r="D107" s="24">
        <f t="shared" si="1"/>
        <v>-591304.3478</v>
      </c>
      <c r="E107" s="25">
        <f t="shared" si="2"/>
        <v>123.9699778</v>
      </c>
      <c r="F107" s="24">
        <f t="shared" si="3"/>
        <v>0.0002096551096</v>
      </c>
      <c r="G107" s="24">
        <f t="shared" si="4"/>
        <v>0</v>
      </c>
      <c r="H107" s="26">
        <f t="shared" si="5"/>
        <v>0</v>
      </c>
      <c r="I107" s="24">
        <f t="shared" si="6"/>
        <v>0</v>
      </c>
      <c r="J107" s="24">
        <f t="shared" si="7"/>
        <v>0</v>
      </c>
      <c r="K107" s="24"/>
      <c r="L107" s="24">
        <f t="shared" si="8"/>
        <v>437.0603784</v>
      </c>
      <c r="M107" s="14">
        <f t="shared" si="9"/>
        <v>436.268005</v>
      </c>
      <c r="N107" s="27">
        <f t="shared" si="10"/>
        <v>0.7923733197</v>
      </c>
      <c r="O107" s="24"/>
      <c r="P107" s="28">
        <f t="shared" si="14"/>
        <v>-196.5153723</v>
      </c>
      <c r="Q107" s="27">
        <f t="shared" si="15"/>
        <v>402.8244913</v>
      </c>
      <c r="R107" s="26"/>
      <c r="S107" s="14">
        <f t="shared" si="13"/>
        <v>0.7276333535</v>
      </c>
    </row>
    <row r="108">
      <c r="A108" s="11">
        <v>96.0</v>
      </c>
      <c r="B108" s="11">
        <v>1.41981304347826E9</v>
      </c>
      <c r="C108" s="2">
        <v>-102.3701782</v>
      </c>
      <c r="D108" s="24">
        <f t="shared" si="1"/>
        <v>-586956.5217</v>
      </c>
      <c r="E108" s="25">
        <f t="shared" si="2"/>
        <v>123.0516817</v>
      </c>
      <c r="F108" s="24">
        <f t="shared" si="3"/>
        <v>0.0002096436059</v>
      </c>
      <c r="G108" s="24">
        <f t="shared" si="4"/>
        <v>0</v>
      </c>
      <c r="H108" s="26">
        <f t="shared" si="5"/>
        <v>0</v>
      </c>
      <c r="I108" s="24">
        <f t="shared" si="6"/>
        <v>0</v>
      </c>
      <c r="J108" s="24">
        <f t="shared" si="7"/>
        <v>0</v>
      </c>
      <c r="K108" s="24"/>
      <c r="L108" s="24">
        <f t="shared" si="8"/>
        <v>440.6444935</v>
      </c>
      <c r="M108" s="14">
        <f t="shared" si="9"/>
        <v>436.2343404</v>
      </c>
      <c r="N108" s="27">
        <f t="shared" si="10"/>
        <v>4.410153124</v>
      </c>
      <c r="O108" s="24"/>
      <c r="P108" s="28">
        <f t="shared" si="14"/>
        <v>-197.4336684</v>
      </c>
      <c r="Q108" s="27">
        <f t="shared" si="15"/>
        <v>405.3309881</v>
      </c>
      <c r="R108" s="26"/>
      <c r="S108" s="14">
        <f t="shared" si="13"/>
        <v>4.049826559</v>
      </c>
    </row>
    <row r="109">
      <c r="A109" s="11">
        <v>97.0</v>
      </c>
      <c r="B109" s="11">
        <v>1.41981739130434E9</v>
      </c>
      <c r="C109" s="2">
        <v>-102.3960342</v>
      </c>
      <c r="D109" s="24">
        <f t="shared" si="1"/>
        <v>-582608.6957</v>
      </c>
      <c r="E109" s="25">
        <f t="shared" si="2"/>
        <v>122.1333856</v>
      </c>
      <c r="F109" s="24">
        <f t="shared" si="3"/>
        <v>0.0002096319305</v>
      </c>
      <c r="G109" s="24">
        <f t="shared" si="4"/>
        <v>0</v>
      </c>
      <c r="H109" s="26">
        <f t="shared" si="5"/>
        <v>0</v>
      </c>
      <c r="I109" s="24">
        <f t="shared" si="6"/>
        <v>0</v>
      </c>
      <c r="J109" s="24">
        <f t="shared" si="7"/>
        <v>0</v>
      </c>
      <c r="K109" s="24"/>
      <c r="L109" s="24">
        <f t="shared" si="8"/>
        <v>438.0288822</v>
      </c>
      <c r="M109" s="14">
        <f t="shared" si="9"/>
        <v>436.2004786</v>
      </c>
      <c r="N109" s="27">
        <f t="shared" si="10"/>
        <v>1.828403608</v>
      </c>
      <c r="O109" s="24"/>
      <c r="P109" s="28">
        <f t="shared" si="14"/>
        <v>-198.3519645</v>
      </c>
      <c r="Q109" s="27">
        <f t="shared" si="15"/>
        <v>410.8705821</v>
      </c>
      <c r="R109" s="26"/>
      <c r="S109" s="14">
        <f t="shared" si="13"/>
        <v>1.679015963</v>
      </c>
    </row>
    <row r="110">
      <c r="A110" s="11">
        <v>98.0</v>
      </c>
      <c r="B110" s="11">
        <v>1.41982173913043E9</v>
      </c>
      <c r="C110" s="2">
        <v>-102.4847565</v>
      </c>
      <c r="D110" s="24">
        <f t="shared" si="1"/>
        <v>-578260.8696</v>
      </c>
      <c r="E110" s="25">
        <f t="shared" si="2"/>
        <v>121.2150894</v>
      </c>
      <c r="F110" s="24">
        <f t="shared" si="3"/>
        <v>0.0002096200795</v>
      </c>
      <c r="G110" s="24">
        <f t="shared" si="4"/>
        <v>0</v>
      </c>
      <c r="H110" s="26">
        <f t="shared" si="5"/>
        <v>0</v>
      </c>
      <c r="I110" s="24">
        <f t="shared" si="6"/>
        <v>0</v>
      </c>
      <c r="J110" s="24">
        <f t="shared" si="7"/>
        <v>0</v>
      </c>
      <c r="K110" s="24"/>
      <c r="L110" s="24">
        <f t="shared" si="8"/>
        <v>429.1711475</v>
      </c>
      <c r="M110" s="14">
        <f t="shared" si="9"/>
        <v>436.1664185</v>
      </c>
      <c r="N110" s="27">
        <f t="shared" si="10"/>
        <v>-6.995270991</v>
      </c>
      <c r="O110" s="24"/>
      <c r="P110" s="28">
        <f t="shared" si="14"/>
        <v>-199.2702607</v>
      </c>
      <c r="Q110" s="27">
        <f t="shared" si="15"/>
        <v>406.315535</v>
      </c>
      <c r="R110" s="26"/>
      <c r="S110" s="14">
        <f t="shared" si="13"/>
        <v>-6.423730284</v>
      </c>
    </row>
    <row r="111">
      <c r="A111" s="11">
        <v>99.0</v>
      </c>
      <c r="B111" s="11">
        <v>1.41982608695652E9</v>
      </c>
      <c r="C111" s="2">
        <v>-102.4027481</v>
      </c>
      <c r="D111" s="24">
        <f t="shared" si="1"/>
        <v>-573913.0435</v>
      </c>
      <c r="E111" s="25">
        <f t="shared" si="2"/>
        <v>120.2967933</v>
      </c>
      <c r="F111" s="24">
        <f t="shared" si="3"/>
        <v>0.000209608049</v>
      </c>
      <c r="G111" s="24">
        <f t="shared" si="4"/>
        <v>0</v>
      </c>
      <c r="H111" s="26">
        <f t="shared" si="5"/>
        <v>0</v>
      </c>
      <c r="I111" s="24">
        <f t="shared" si="6"/>
        <v>0</v>
      </c>
      <c r="J111" s="24">
        <f t="shared" si="7"/>
        <v>0</v>
      </c>
      <c r="K111" s="24"/>
      <c r="L111" s="24">
        <f t="shared" si="8"/>
        <v>437.3522422</v>
      </c>
      <c r="M111" s="14">
        <f t="shared" si="9"/>
        <v>436.1321594</v>
      </c>
      <c r="N111" s="27">
        <f t="shared" si="10"/>
        <v>1.220082815</v>
      </c>
      <c r="O111" s="24"/>
      <c r="P111" s="28">
        <f t="shared" si="14"/>
        <v>-200.1885568</v>
      </c>
      <c r="Q111" s="27">
        <f t="shared" si="15"/>
        <v>405.9238579</v>
      </c>
      <c r="R111" s="26"/>
      <c r="S111" s="14">
        <f t="shared" si="13"/>
        <v>1.120397331</v>
      </c>
      <c r="U111" s="21"/>
    </row>
    <row r="112">
      <c r="A112" s="11">
        <v>100.0</v>
      </c>
      <c r="B112" s="11">
        <v>1.4198304347826E9</v>
      </c>
      <c r="C112" s="2">
        <v>-102.3782654</v>
      </c>
      <c r="D112" s="24">
        <f t="shared" si="1"/>
        <v>-569565.2174</v>
      </c>
      <c r="E112" s="25">
        <f t="shared" si="2"/>
        <v>119.3784972</v>
      </c>
      <c r="F112" s="24">
        <f t="shared" si="3"/>
        <v>0.0002095958347</v>
      </c>
      <c r="G112" s="24">
        <f t="shared" si="4"/>
        <v>0</v>
      </c>
      <c r="H112" s="26">
        <f t="shared" si="5"/>
        <v>0</v>
      </c>
      <c r="I112" s="24">
        <f t="shared" si="6"/>
        <v>0</v>
      </c>
      <c r="J112" s="24">
        <f t="shared" si="7"/>
        <v>0</v>
      </c>
      <c r="K112" s="24"/>
      <c r="L112" s="24">
        <f t="shared" si="8"/>
        <v>439.8247124</v>
      </c>
      <c r="M112" s="14">
        <f t="shared" si="9"/>
        <v>436.0977001</v>
      </c>
      <c r="N112" s="27">
        <f t="shared" si="10"/>
        <v>3.727012256</v>
      </c>
      <c r="O112" s="24"/>
      <c r="P112" s="28">
        <f t="shared" si="14"/>
        <v>-201.1068529</v>
      </c>
      <c r="Q112" s="27">
        <f t="shared" si="15"/>
        <v>406.0408211</v>
      </c>
      <c r="R112" s="26"/>
      <c r="S112" s="14">
        <f t="shared" si="13"/>
        <v>3.422500941</v>
      </c>
      <c r="U112" s="21"/>
      <c r="V112" s="21"/>
    </row>
    <row r="113">
      <c r="A113" s="11">
        <v>101.0</v>
      </c>
      <c r="B113" s="11">
        <v>1.41983478260869E9</v>
      </c>
      <c r="C113" s="2">
        <v>-102.4187393</v>
      </c>
      <c r="D113" s="24">
        <f t="shared" si="1"/>
        <v>-565217.3913</v>
      </c>
      <c r="E113" s="25">
        <f t="shared" si="2"/>
        <v>118.460201</v>
      </c>
      <c r="F113" s="24">
        <f t="shared" si="3"/>
        <v>0.0002095834326</v>
      </c>
      <c r="G113" s="24">
        <f t="shared" si="4"/>
        <v>0</v>
      </c>
      <c r="H113" s="26">
        <f t="shared" si="5"/>
        <v>0</v>
      </c>
      <c r="I113" s="24">
        <f t="shared" si="6"/>
        <v>0</v>
      </c>
      <c r="J113" s="24">
        <f t="shared" si="7"/>
        <v>0</v>
      </c>
      <c r="K113" s="24"/>
      <c r="L113" s="24">
        <f t="shared" si="8"/>
        <v>435.7448243</v>
      </c>
      <c r="M113" s="14">
        <f t="shared" si="9"/>
        <v>436.0630399</v>
      </c>
      <c r="N113" s="27">
        <f t="shared" si="10"/>
        <v>-0.3182155341</v>
      </c>
      <c r="O113" s="24"/>
      <c r="P113" s="28">
        <f t="shared" si="14"/>
        <v>-202.0251491</v>
      </c>
      <c r="Q113" s="27">
        <f t="shared" si="15"/>
        <v>403.9107922</v>
      </c>
      <c r="R113" s="26"/>
      <c r="S113" s="14">
        <f t="shared" si="13"/>
        <v>-0.2922160944</v>
      </c>
      <c r="U113" s="21"/>
      <c r="V113" s="21"/>
    </row>
    <row r="114">
      <c r="A114" s="11">
        <v>102.0</v>
      </c>
      <c r="B114" s="11">
        <v>1.41983913043478E9</v>
      </c>
      <c r="C114" s="2">
        <v>-102.3826904</v>
      </c>
      <c r="D114" s="24">
        <f t="shared" si="1"/>
        <v>-560869.5652</v>
      </c>
      <c r="E114" s="25">
        <f t="shared" si="2"/>
        <v>117.5419049</v>
      </c>
      <c r="F114" s="24">
        <f t="shared" si="3"/>
        <v>0.0002095708382</v>
      </c>
      <c r="G114" s="24">
        <f t="shared" si="4"/>
        <v>0</v>
      </c>
      <c r="H114" s="26">
        <f t="shared" si="5"/>
        <v>0</v>
      </c>
      <c r="I114" s="24">
        <f t="shared" si="6"/>
        <v>0</v>
      </c>
      <c r="J114" s="24">
        <f t="shared" si="7"/>
        <v>0</v>
      </c>
      <c r="K114" s="24"/>
      <c r="L114" s="24">
        <f t="shared" si="8"/>
        <v>439.3768059</v>
      </c>
      <c r="M114" s="14">
        <f t="shared" si="9"/>
        <v>436.0281776</v>
      </c>
      <c r="N114" s="27">
        <f t="shared" si="10"/>
        <v>3.348628276</v>
      </c>
      <c r="O114" s="24"/>
      <c r="P114" s="28">
        <f t="shared" si="14"/>
        <v>-202.9434452</v>
      </c>
      <c r="Q114" s="27">
        <f t="shared" si="15"/>
        <v>405.5432408</v>
      </c>
      <c r="R114" s="26"/>
      <c r="S114" s="14">
        <f t="shared" si="13"/>
        <v>3.075032389</v>
      </c>
      <c r="U114" s="21"/>
      <c r="V114" s="21"/>
    </row>
    <row r="115">
      <c r="A115" s="11">
        <v>103.0</v>
      </c>
      <c r="B115" s="11">
        <v>1.41984347826087E9</v>
      </c>
      <c r="C115" s="2">
        <v>-102.4249802</v>
      </c>
      <c r="D115" s="24">
        <f t="shared" si="1"/>
        <v>-556521.7391</v>
      </c>
      <c r="E115" s="25">
        <f t="shared" si="2"/>
        <v>116.6236088</v>
      </c>
      <c r="F115" s="24">
        <f t="shared" si="3"/>
        <v>0.000209558047</v>
      </c>
      <c r="G115" s="24">
        <f t="shared" si="4"/>
        <v>0</v>
      </c>
      <c r="H115" s="26">
        <f t="shared" si="5"/>
        <v>0</v>
      </c>
      <c r="I115" s="24">
        <f t="shared" si="6"/>
        <v>0</v>
      </c>
      <c r="J115" s="24">
        <f t="shared" si="7"/>
        <v>0</v>
      </c>
      <c r="K115" s="24"/>
      <c r="L115" s="24">
        <f t="shared" si="8"/>
        <v>435.1190999</v>
      </c>
      <c r="M115" s="14">
        <f t="shared" si="9"/>
        <v>435.9931124</v>
      </c>
      <c r="N115" s="27">
        <f t="shared" si="10"/>
        <v>-0.874012573</v>
      </c>
      <c r="O115" s="24"/>
      <c r="P115" s="28">
        <f t="shared" si="14"/>
        <v>-203.8617413</v>
      </c>
      <c r="Q115" s="27">
        <f t="shared" si="15"/>
        <v>406.7954881</v>
      </c>
      <c r="R115" s="26"/>
      <c r="S115" s="14">
        <f t="shared" si="13"/>
        <v>-0.8026023658</v>
      </c>
      <c r="U115" s="21"/>
      <c r="V115" s="21"/>
    </row>
    <row r="116">
      <c r="A116" s="11">
        <v>104.0</v>
      </c>
      <c r="B116" s="11">
        <v>1.41984782608695E9</v>
      </c>
      <c r="C116" s="2">
        <v>-102.4793625</v>
      </c>
      <c r="D116" s="24">
        <f t="shared" si="1"/>
        <v>-552173.913</v>
      </c>
      <c r="E116" s="25">
        <f t="shared" si="2"/>
        <v>115.7053126</v>
      </c>
      <c r="F116" s="24">
        <f t="shared" si="3"/>
        <v>0.0002095450544</v>
      </c>
      <c r="G116" s="24">
        <f t="shared" si="4"/>
        <v>0</v>
      </c>
      <c r="H116" s="26">
        <f t="shared" si="5"/>
        <v>0</v>
      </c>
      <c r="I116" s="24">
        <f t="shared" si="6"/>
        <v>0</v>
      </c>
      <c r="J116" s="24">
        <f t="shared" si="7"/>
        <v>0</v>
      </c>
      <c r="K116" s="24"/>
      <c r="L116" s="24">
        <f t="shared" si="8"/>
        <v>429.7045154</v>
      </c>
      <c r="M116" s="14">
        <f t="shared" si="9"/>
        <v>435.9578434</v>
      </c>
      <c r="N116" s="27">
        <f t="shared" si="10"/>
        <v>-6.253327924</v>
      </c>
      <c r="O116" s="24"/>
      <c r="P116" s="28">
        <f t="shared" si="14"/>
        <v>-204.7800375</v>
      </c>
      <c r="Q116" s="27">
        <f t="shared" si="15"/>
        <v>399.9026181</v>
      </c>
      <c r="R116" s="26"/>
      <c r="S116" s="14">
        <f t="shared" si="13"/>
        <v>-5.74240685</v>
      </c>
      <c r="U116" s="21"/>
      <c r="V116" s="21"/>
    </row>
    <row r="117">
      <c r="A117" s="11">
        <v>105.0</v>
      </c>
      <c r="B117" s="11">
        <v>1.41985217391304E9</v>
      </c>
      <c r="C117" s="2">
        <v>-102.3805695</v>
      </c>
      <c r="D117" s="24">
        <f t="shared" si="1"/>
        <v>-547826.087</v>
      </c>
      <c r="E117" s="25">
        <f t="shared" si="2"/>
        <v>114.7870165</v>
      </c>
      <c r="F117" s="24">
        <f t="shared" si="3"/>
        <v>0.0002095318555</v>
      </c>
      <c r="G117" s="24">
        <f t="shared" si="4"/>
        <v>0</v>
      </c>
      <c r="H117" s="26">
        <f t="shared" si="5"/>
        <v>0</v>
      </c>
      <c r="I117" s="24">
        <f t="shared" si="6"/>
        <v>0</v>
      </c>
      <c r="J117" s="24">
        <f t="shared" si="7"/>
        <v>0</v>
      </c>
      <c r="K117" s="24"/>
      <c r="L117" s="24">
        <f t="shared" si="8"/>
        <v>439.5914303</v>
      </c>
      <c r="M117" s="14">
        <f t="shared" si="9"/>
        <v>435.9223694</v>
      </c>
      <c r="N117" s="27">
        <f t="shared" si="10"/>
        <v>3.669060836</v>
      </c>
      <c r="O117" s="24"/>
      <c r="P117" s="28">
        <f t="shared" si="14"/>
        <v>-205.6983336</v>
      </c>
      <c r="Q117" s="27">
        <f t="shared" si="15"/>
        <v>404.2153087</v>
      </c>
      <c r="R117" s="26"/>
      <c r="S117" s="14">
        <f t="shared" si="13"/>
        <v>3.369284369</v>
      </c>
      <c r="U117" s="21"/>
      <c r="V117" s="21"/>
    </row>
    <row r="118">
      <c r="A118" s="11">
        <v>106.0</v>
      </c>
      <c r="B118" s="11">
        <v>1.41985652173913E9</v>
      </c>
      <c r="C118" s="2">
        <v>-102.4002609</v>
      </c>
      <c r="D118" s="24">
        <f t="shared" si="1"/>
        <v>-543478.2609</v>
      </c>
      <c r="E118" s="25">
        <f t="shared" si="2"/>
        <v>113.8687204</v>
      </c>
      <c r="F118" s="24">
        <f t="shared" si="3"/>
        <v>0.0002095184455</v>
      </c>
      <c r="G118" s="24">
        <f t="shared" si="4"/>
        <v>0</v>
      </c>
      <c r="H118" s="26">
        <f t="shared" si="5"/>
        <v>0</v>
      </c>
      <c r="I118" s="24">
        <f t="shared" si="6"/>
        <v>0</v>
      </c>
      <c r="J118" s="24">
        <f t="shared" si="7"/>
        <v>0</v>
      </c>
      <c r="K118" s="24"/>
      <c r="L118" s="24">
        <f t="shared" si="8"/>
        <v>437.6027851</v>
      </c>
      <c r="M118" s="14">
        <f t="shared" si="9"/>
        <v>435.8866897</v>
      </c>
      <c r="N118" s="27">
        <f t="shared" si="10"/>
        <v>1.716095364</v>
      </c>
      <c r="O118" s="24"/>
      <c r="P118" s="28">
        <f t="shared" si="14"/>
        <v>-206.6166297</v>
      </c>
      <c r="Q118" s="27">
        <f t="shared" si="15"/>
        <v>399.4736129</v>
      </c>
      <c r="R118" s="26"/>
      <c r="S118" s="14">
        <f t="shared" si="13"/>
        <v>1.575883736</v>
      </c>
      <c r="U118" s="21"/>
      <c r="V118" s="21"/>
    </row>
    <row r="119">
      <c r="A119" s="11">
        <v>107.0</v>
      </c>
      <c r="B119" s="11">
        <v>1.41986086956521E9</v>
      </c>
      <c r="C119" s="2">
        <v>-102.3827209</v>
      </c>
      <c r="D119" s="24">
        <f t="shared" si="1"/>
        <v>-539130.4348</v>
      </c>
      <c r="E119" s="25">
        <f t="shared" si="2"/>
        <v>112.9504243</v>
      </c>
      <c r="F119" s="24">
        <f t="shared" si="3"/>
        <v>0.0002095048192</v>
      </c>
      <c r="G119" s="24">
        <f t="shared" si="4"/>
        <v>0</v>
      </c>
      <c r="H119" s="26">
        <f t="shared" si="5"/>
        <v>0</v>
      </c>
      <c r="I119" s="24">
        <f t="shared" si="6"/>
        <v>0</v>
      </c>
      <c r="J119" s="24">
        <f t="shared" si="7"/>
        <v>0</v>
      </c>
      <c r="K119" s="24"/>
      <c r="L119" s="24">
        <f t="shared" si="8"/>
        <v>439.3737202</v>
      </c>
      <c r="M119" s="14">
        <f t="shared" si="9"/>
        <v>435.8508033</v>
      </c>
      <c r="N119" s="27">
        <f t="shared" si="10"/>
        <v>3.522916939</v>
      </c>
      <c r="O119" s="24"/>
      <c r="P119" s="28">
        <f t="shared" si="14"/>
        <v>-207.5349259</v>
      </c>
      <c r="Q119" s="27">
        <f t="shared" si="15"/>
        <v>404.233775</v>
      </c>
      <c r="R119" s="26"/>
      <c r="S119" s="14">
        <f t="shared" si="13"/>
        <v>3.235081001</v>
      </c>
      <c r="U119" s="21"/>
      <c r="V119" s="21"/>
    </row>
    <row r="120">
      <c r="A120" s="11">
        <v>108.0</v>
      </c>
      <c r="B120" s="11">
        <v>1.4198652173913E9</v>
      </c>
      <c r="C120" s="2">
        <v>-102.3795471</v>
      </c>
      <c r="D120" s="24">
        <f t="shared" si="1"/>
        <v>-534782.6087</v>
      </c>
      <c r="E120" s="25">
        <f t="shared" si="2"/>
        <v>112.0321281</v>
      </c>
      <c r="F120" s="24">
        <f t="shared" si="3"/>
        <v>0.0002094909713</v>
      </c>
      <c r="G120" s="24">
        <f t="shared" si="4"/>
        <v>0</v>
      </c>
      <c r="H120" s="26">
        <f t="shared" si="5"/>
        <v>0</v>
      </c>
      <c r="I120" s="24">
        <f t="shared" si="6"/>
        <v>0</v>
      </c>
      <c r="J120" s="24">
        <f t="shared" si="7"/>
        <v>0</v>
      </c>
      <c r="K120" s="24"/>
      <c r="L120" s="24">
        <f t="shared" si="8"/>
        <v>439.6949295</v>
      </c>
      <c r="M120" s="14">
        <f t="shared" si="9"/>
        <v>435.8147091</v>
      </c>
      <c r="N120" s="27">
        <f t="shared" si="10"/>
        <v>3.880220329</v>
      </c>
      <c r="O120" s="24"/>
      <c r="P120" s="28">
        <f t="shared" si="14"/>
        <v>-208.453222</v>
      </c>
      <c r="Q120" s="27">
        <f t="shared" si="15"/>
        <v>401.7517039</v>
      </c>
      <c r="R120" s="26"/>
      <c r="S120" s="14">
        <f t="shared" si="13"/>
        <v>3.563191314</v>
      </c>
      <c r="U120" s="21"/>
      <c r="V120" s="21"/>
    </row>
    <row r="121">
      <c r="A121" s="11">
        <v>109.0</v>
      </c>
      <c r="B121" s="11">
        <v>1.41986956521739E9</v>
      </c>
      <c r="C121" s="2">
        <v>-102.4438858</v>
      </c>
      <c r="D121" s="24">
        <f t="shared" si="1"/>
        <v>-530434.7826</v>
      </c>
      <c r="E121" s="25">
        <f t="shared" si="2"/>
        <v>111.113832</v>
      </c>
      <c r="F121" s="24">
        <f t="shared" si="3"/>
        <v>0.0002094768964</v>
      </c>
      <c r="G121" s="24">
        <f t="shared" si="4"/>
        <v>0</v>
      </c>
      <c r="H121" s="26">
        <f t="shared" si="5"/>
        <v>0</v>
      </c>
      <c r="I121" s="24">
        <f t="shared" si="6"/>
        <v>0</v>
      </c>
      <c r="J121" s="24">
        <f t="shared" si="7"/>
        <v>0</v>
      </c>
      <c r="K121" s="24"/>
      <c r="L121" s="24">
        <f t="shared" si="8"/>
        <v>433.229067</v>
      </c>
      <c r="M121" s="14">
        <f t="shared" si="9"/>
        <v>435.7784063</v>
      </c>
      <c r="N121" s="27">
        <f t="shared" si="10"/>
        <v>-2.549339352</v>
      </c>
      <c r="O121" s="24"/>
      <c r="P121" s="28">
        <f t="shared" si="14"/>
        <v>-209.3715181</v>
      </c>
      <c r="Q121" s="27">
        <f t="shared" si="15"/>
        <v>404.8321429</v>
      </c>
      <c r="R121" s="26"/>
      <c r="S121" s="14">
        <f t="shared" si="13"/>
        <v>-2.341048468</v>
      </c>
      <c r="U121" s="21"/>
      <c r="V121" s="21"/>
    </row>
    <row r="122">
      <c r="A122" s="11">
        <v>110.0</v>
      </c>
      <c r="B122" s="11">
        <v>1.41987391304347E9</v>
      </c>
      <c r="C122" s="2">
        <v>-102.4285431</v>
      </c>
      <c r="D122" s="24">
        <f t="shared" si="1"/>
        <v>-526086.9565</v>
      </c>
      <c r="E122" s="25">
        <f t="shared" si="2"/>
        <v>110.1955359</v>
      </c>
      <c r="F122" s="24">
        <f t="shared" si="3"/>
        <v>0.0002094625888</v>
      </c>
      <c r="G122" s="24">
        <f t="shared" si="4"/>
        <v>0</v>
      </c>
      <c r="H122" s="26">
        <f t="shared" si="5"/>
        <v>0</v>
      </c>
      <c r="I122" s="24">
        <f t="shared" si="6"/>
        <v>0</v>
      </c>
      <c r="J122" s="24">
        <f t="shared" si="7"/>
        <v>0</v>
      </c>
      <c r="K122" s="24"/>
      <c r="L122" s="24">
        <f t="shared" si="8"/>
        <v>434.7622797</v>
      </c>
      <c r="M122" s="14">
        <f t="shared" si="9"/>
        <v>435.7418939</v>
      </c>
      <c r="N122" s="27">
        <f t="shared" si="10"/>
        <v>-0.9796141624</v>
      </c>
      <c r="O122" s="24"/>
      <c r="P122" s="28">
        <f t="shared" si="14"/>
        <v>-210.2898143</v>
      </c>
      <c r="Q122" s="27">
        <f t="shared" si="15"/>
        <v>402.8089276</v>
      </c>
      <c r="R122" s="26"/>
      <c r="S122" s="14">
        <f t="shared" si="13"/>
        <v>-0.899575897</v>
      </c>
      <c r="U122" s="21"/>
      <c r="V122" s="21"/>
    </row>
    <row r="123">
      <c r="A123" s="11">
        <v>111.0</v>
      </c>
      <c r="B123" s="11">
        <v>1.41987826086956E9</v>
      </c>
      <c r="C123" s="2">
        <v>-102.4103928</v>
      </c>
      <c r="D123" s="24">
        <f t="shared" si="1"/>
        <v>-521739.1304</v>
      </c>
      <c r="E123" s="25">
        <f t="shared" si="2"/>
        <v>109.2772397</v>
      </c>
      <c r="F123" s="24">
        <f t="shared" si="3"/>
        <v>0.0002094480428</v>
      </c>
      <c r="G123" s="24">
        <f t="shared" si="4"/>
        <v>0</v>
      </c>
      <c r="H123" s="26">
        <f t="shared" si="5"/>
        <v>0</v>
      </c>
      <c r="I123" s="24">
        <f t="shared" si="6"/>
        <v>0</v>
      </c>
      <c r="J123" s="24">
        <f t="shared" si="7"/>
        <v>0</v>
      </c>
      <c r="K123" s="24"/>
      <c r="L123" s="24">
        <f t="shared" si="8"/>
        <v>436.5830669</v>
      </c>
      <c r="M123" s="14">
        <f t="shared" si="9"/>
        <v>435.7051709</v>
      </c>
      <c r="N123" s="27">
        <f t="shared" si="10"/>
        <v>0.8778959762</v>
      </c>
      <c r="O123" s="24"/>
      <c r="P123" s="28">
        <f t="shared" si="14"/>
        <v>-211.2081104</v>
      </c>
      <c r="Q123" s="27">
        <f t="shared" si="15"/>
        <v>402.5019302</v>
      </c>
      <c r="R123" s="26"/>
      <c r="S123" s="14">
        <f t="shared" si="13"/>
        <v>0.806168478</v>
      </c>
      <c r="U123" s="21"/>
      <c r="V123" s="21"/>
    </row>
    <row r="124">
      <c r="A124" s="11">
        <v>112.0</v>
      </c>
      <c r="B124" s="11">
        <v>1.41988260869565E9</v>
      </c>
      <c r="C124" s="2">
        <v>-102.421051</v>
      </c>
      <c r="D124" s="24">
        <f t="shared" si="1"/>
        <v>-517391.3043</v>
      </c>
      <c r="E124" s="25">
        <f t="shared" si="2"/>
        <v>108.3589436</v>
      </c>
      <c r="F124" s="24">
        <f t="shared" si="3"/>
        <v>0.0002094332523</v>
      </c>
      <c r="G124" s="24">
        <f t="shared" si="4"/>
        <v>0</v>
      </c>
      <c r="H124" s="26">
        <f t="shared" si="5"/>
        <v>0</v>
      </c>
      <c r="I124" s="24">
        <f t="shared" si="6"/>
        <v>0</v>
      </c>
      <c r="J124" s="24">
        <f t="shared" si="7"/>
        <v>0</v>
      </c>
      <c r="K124" s="24"/>
      <c r="L124" s="24">
        <f t="shared" si="8"/>
        <v>435.5129441</v>
      </c>
      <c r="M124" s="14">
        <f t="shared" si="9"/>
        <v>435.6682365</v>
      </c>
      <c r="N124" s="27">
        <f t="shared" si="10"/>
        <v>-0.1552924055</v>
      </c>
      <c r="O124" s="24"/>
      <c r="P124" s="28"/>
      <c r="Q124" s="27"/>
      <c r="R124" s="26"/>
      <c r="S124" s="14">
        <f t="shared" si="13"/>
        <v>-0.1426044154</v>
      </c>
      <c r="U124" s="21"/>
      <c r="V124" s="21"/>
    </row>
    <row r="125">
      <c r="A125" s="11">
        <v>113.0</v>
      </c>
      <c r="B125" s="11">
        <v>1.41988695652173E9</v>
      </c>
      <c r="C125" s="2">
        <v>-102.3987579</v>
      </c>
      <c r="D125" s="24">
        <f t="shared" si="1"/>
        <v>-513043.4783</v>
      </c>
      <c r="E125" s="25">
        <f t="shared" si="2"/>
        <v>107.4406475</v>
      </c>
      <c r="F125" s="24">
        <f t="shared" si="3"/>
        <v>0.0002094182111</v>
      </c>
      <c r="G125" s="24">
        <f t="shared" si="4"/>
        <v>0</v>
      </c>
      <c r="H125" s="26">
        <f t="shared" si="5"/>
        <v>0</v>
      </c>
      <c r="I125" s="24">
        <f t="shared" si="6"/>
        <v>0</v>
      </c>
      <c r="J125" s="24">
        <f t="shared" si="7"/>
        <v>0</v>
      </c>
      <c r="K125" s="24"/>
      <c r="L125" s="24">
        <f t="shared" si="8"/>
        <v>437.7542562</v>
      </c>
      <c r="M125" s="14">
        <f t="shared" si="9"/>
        <v>435.6310895</v>
      </c>
      <c r="N125" s="27">
        <f t="shared" si="10"/>
        <v>2.123166716</v>
      </c>
      <c r="O125" s="24"/>
      <c r="P125" s="24"/>
      <c r="Q125" s="24"/>
      <c r="R125" s="26"/>
      <c r="S125" s="14">
        <f t="shared" si="13"/>
        <v>1.949695784</v>
      </c>
      <c r="U125" s="21"/>
      <c r="V125" s="21"/>
    </row>
    <row r="126">
      <c r="A126" s="11">
        <v>114.0</v>
      </c>
      <c r="B126" s="11">
        <v>1.41989130434782E9</v>
      </c>
      <c r="C126" s="2">
        <v>-102.3680954</v>
      </c>
      <c r="D126" s="24">
        <f t="shared" si="1"/>
        <v>-508695.6522</v>
      </c>
      <c r="E126" s="25">
        <f t="shared" si="2"/>
        <v>106.5223513</v>
      </c>
      <c r="F126" s="24">
        <f t="shared" si="3"/>
        <v>0.0002094029129</v>
      </c>
      <c r="G126" s="24">
        <f t="shared" si="4"/>
        <v>0</v>
      </c>
      <c r="H126" s="26">
        <f t="shared" si="5"/>
        <v>0</v>
      </c>
      <c r="I126" s="24">
        <f t="shared" si="6"/>
        <v>0</v>
      </c>
      <c r="J126" s="24">
        <f t="shared" si="7"/>
        <v>0</v>
      </c>
      <c r="K126" s="24"/>
      <c r="L126" s="24">
        <f t="shared" si="8"/>
        <v>440.8558696</v>
      </c>
      <c r="M126" s="14">
        <f t="shared" si="9"/>
        <v>435.5937292</v>
      </c>
      <c r="N126" s="27">
        <f t="shared" si="10"/>
        <v>5.262140395</v>
      </c>
      <c r="O126" s="24"/>
      <c r="P126" s="24"/>
      <c r="Q126" s="24"/>
      <c r="R126" s="26"/>
      <c r="S126" s="14">
        <f t="shared" si="13"/>
        <v>4.832203175</v>
      </c>
      <c r="U126" s="21"/>
      <c r="V126" s="21"/>
    </row>
    <row r="127">
      <c r="A127" s="11">
        <v>115.0</v>
      </c>
      <c r="B127" s="11">
        <v>1.41989565217391E9</v>
      </c>
      <c r="C127" s="2">
        <v>-102.3794098</v>
      </c>
      <c r="D127" s="24">
        <f t="shared" si="1"/>
        <v>-504347.8261</v>
      </c>
      <c r="E127" s="25">
        <f t="shared" si="2"/>
        <v>105.6040552</v>
      </c>
      <c r="F127" s="24">
        <f t="shared" si="3"/>
        <v>0.0002093873508</v>
      </c>
      <c r="G127" s="24">
        <f t="shared" si="4"/>
        <v>0</v>
      </c>
      <c r="H127" s="26">
        <f t="shared" si="5"/>
        <v>0</v>
      </c>
      <c r="I127" s="24">
        <f t="shared" si="6"/>
        <v>0</v>
      </c>
      <c r="J127" s="24">
        <f t="shared" si="7"/>
        <v>0</v>
      </c>
      <c r="K127" s="24"/>
      <c r="L127" s="24">
        <f t="shared" si="8"/>
        <v>439.7088304</v>
      </c>
      <c r="M127" s="14">
        <f t="shared" si="9"/>
        <v>435.5561545</v>
      </c>
      <c r="N127" s="27">
        <f t="shared" si="10"/>
        <v>4.152675946</v>
      </c>
      <c r="O127" s="24"/>
      <c r="P127" s="24"/>
      <c r="Q127" s="24"/>
      <c r="R127" s="26"/>
      <c r="S127" s="14">
        <f t="shared" si="13"/>
        <v>3.813386253</v>
      </c>
      <c r="U127" s="21"/>
      <c r="V127" s="21"/>
    </row>
    <row r="128">
      <c r="A128" s="11">
        <v>116.0</v>
      </c>
      <c r="B128" s="11">
        <v>1.4199E9</v>
      </c>
      <c r="C128" s="2">
        <v>-102.4150696</v>
      </c>
      <c r="D128" s="24">
        <f t="shared" si="1"/>
        <v>-500000</v>
      </c>
      <c r="E128" s="25">
        <f t="shared" si="2"/>
        <v>104.6857591</v>
      </c>
      <c r="F128" s="24">
        <f t="shared" si="3"/>
        <v>0.0002093715181</v>
      </c>
      <c r="G128" s="24">
        <f t="shared" si="4"/>
        <v>0</v>
      </c>
      <c r="H128" s="26">
        <f t="shared" si="5"/>
        <v>0</v>
      </c>
      <c r="I128" s="24">
        <f t="shared" si="6"/>
        <v>0</v>
      </c>
      <c r="J128" s="24">
        <f t="shared" si="7"/>
        <v>0</v>
      </c>
      <c r="K128" s="24"/>
      <c r="L128" s="24">
        <f t="shared" si="8"/>
        <v>436.1131755</v>
      </c>
      <c r="M128" s="14">
        <f t="shared" si="9"/>
        <v>435.5183644</v>
      </c>
      <c r="N128" s="27">
        <f t="shared" si="10"/>
        <v>0.5948110289</v>
      </c>
      <c r="O128" s="24"/>
      <c r="P128" s="24"/>
      <c r="Q128" s="24"/>
      <c r="R128" s="26"/>
      <c r="S128" s="14">
        <f t="shared" si="13"/>
        <v>0.5462126676</v>
      </c>
      <c r="U128" s="21"/>
      <c r="V128" s="21"/>
    </row>
    <row r="129">
      <c r="A129" s="11">
        <v>117.0</v>
      </c>
      <c r="B129" s="11">
        <v>1.41990434782608E9</v>
      </c>
      <c r="C129" s="2">
        <v>-102.4112854</v>
      </c>
      <c r="D129" s="24">
        <f t="shared" si="1"/>
        <v>-495652.1739</v>
      </c>
      <c r="E129" s="25">
        <f t="shared" si="2"/>
        <v>103.7674629</v>
      </c>
      <c r="F129" s="24">
        <f t="shared" si="3"/>
        <v>0.0002093554077</v>
      </c>
      <c r="G129" s="24">
        <f t="shared" si="4"/>
        <v>0</v>
      </c>
      <c r="H129" s="26">
        <f t="shared" si="5"/>
        <v>0</v>
      </c>
      <c r="I129" s="24">
        <f t="shared" si="6"/>
        <v>0</v>
      </c>
      <c r="J129" s="24">
        <f t="shared" si="7"/>
        <v>0</v>
      </c>
      <c r="K129" s="24"/>
      <c r="L129" s="24">
        <f t="shared" si="8"/>
        <v>436.4933458</v>
      </c>
      <c r="M129" s="14">
        <f t="shared" si="9"/>
        <v>435.4803581</v>
      </c>
      <c r="N129" s="27">
        <f t="shared" si="10"/>
        <v>1.012987649</v>
      </c>
      <c r="O129" s="24"/>
      <c r="P129" s="24"/>
      <c r="Q129" s="24"/>
      <c r="R129" s="26"/>
      <c r="S129" s="14">
        <f t="shared" si="13"/>
        <v>0.930222641</v>
      </c>
      <c r="U129" s="21"/>
      <c r="V129" s="21"/>
    </row>
    <row r="130">
      <c r="A130" s="11">
        <v>118.0</v>
      </c>
      <c r="B130" s="11">
        <v>1.41990869565217E9</v>
      </c>
      <c r="C130" s="2">
        <v>-102.370697</v>
      </c>
      <c r="D130" s="24">
        <f t="shared" si="1"/>
        <v>-491304.3478</v>
      </c>
      <c r="E130" s="25">
        <f t="shared" si="2"/>
        <v>102.8491668</v>
      </c>
      <c r="F130" s="24">
        <f t="shared" si="3"/>
        <v>0.0002093390121</v>
      </c>
      <c r="G130" s="24">
        <f t="shared" si="4"/>
        <v>0</v>
      </c>
      <c r="H130" s="26">
        <f t="shared" si="5"/>
        <v>0</v>
      </c>
      <c r="I130" s="24">
        <f t="shared" si="6"/>
        <v>0</v>
      </c>
      <c r="J130" s="24">
        <f t="shared" si="7"/>
        <v>0</v>
      </c>
      <c r="K130" s="24"/>
      <c r="L130" s="24">
        <f t="shared" si="8"/>
        <v>440.5918581</v>
      </c>
      <c r="M130" s="14">
        <f t="shared" si="9"/>
        <v>435.4421346</v>
      </c>
      <c r="N130" s="27">
        <f t="shared" si="10"/>
        <v>5.149723532</v>
      </c>
      <c r="O130" s="24"/>
      <c r="P130" s="24"/>
      <c r="Q130" s="24"/>
      <c r="R130" s="26"/>
      <c r="S130" s="14">
        <f t="shared" si="13"/>
        <v>4.728971193</v>
      </c>
      <c r="U130" s="21"/>
      <c r="V130" s="21"/>
    </row>
    <row r="131">
      <c r="A131" s="11">
        <v>119.0</v>
      </c>
      <c r="B131" s="11">
        <v>1.41991304347826E9</v>
      </c>
      <c r="C131" s="2">
        <v>-102.4250412</v>
      </c>
      <c r="D131" s="24">
        <f t="shared" si="1"/>
        <v>-486956.5217</v>
      </c>
      <c r="E131" s="25">
        <f t="shared" si="2"/>
        <v>101.9308707</v>
      </c>
      <c r="F131" s="24">
        <f t="shared" si="3"/>
        <v>0.0002093223237</v>
      </c>
      <c r="G131" s="24">
        <f t="shared" si="4"/>
        <v>0</v>
      </c>
      <c r="H131" s="26">
        <f t="shared" si="5"/>
        <v>0</v>
      </c>
      <c r="I131" s="24">
        <f t="shared" si="6"/>
        <v>0</v>
      </c>
      <c r="J131" s="24">
        <f t="shared" si="7"/>
        <v>0</v>
      </c>
      <c r="K131" s="24"/>
      <c r="L131" s="24">
        <f t="shared" si="8"/>
        <v>435.1129883</v>
      </c>
      <c r="M131" s="14">
        <f t="shared" si="9"/>
        <v>435.4036929</v>
      </c>
      <c r="N131" s="27">
        <f t="shared" si="10"/>
        <v>-0.2907045541</v>
      </c>
      <c r="O131" s="24"/>
      <c r="P131" s="24"/>
      <c r="Q131" s="24"/>
      <c r="R131" s="26"/>
      <c r="S131" s="14">
        <f t="shared" si="13"/>
        <v>-0.2669528679</v>
      </c>
      <c r="U131" s="21"/>
      <c r="V131" s="21"/>
    </row>
    <row r="132">
      <c r="A132" s="11">
        <v>120.0</v>
      </c>
      <c r="B132" s="11">
        <v>1.41991739130434E9</v>
      </c>
      <c r="C132" s="2">
        <v>-102.3840561</v>
      </c>
      <c r="D132" s="24">
        <f t="shared" si="1"/>
        <v>-482608.6957</v>
      </c>
      <c r="E132" s="25">
        <f t="shared" si="2"/>
        <v>101.0125745</v>
      </c>
      <c r="F132" s="24">
        <f t="shared" si="3"/>
        <v>0.0002093053346</v>
      </c>
      <c r="G132" s="24">
        <f t="shared" si="4"/>
        <v>0</v>
      </c>
      <c r="H132" s="26">
        <f t="shared" si="5"/>
        <v>0</v>
      </c>
      <c r="I132" s="24">
        <f t="shared" si="6"/>
        <v>0</v>
      </c>
      <c r="J132" s="24">
        <f t="shared" si="7"/>
        <v>0</v>
      </c>
      <c r="K132" s="24"/>
      <c r="L132" s="24">
        <f t="shared" si="8"/>
        <v>439.2386594</v>
      </c>
      <c r="M132" s="14">
        <f t="shared" si="9"/>
        <v>435.365032</v>
      </c>
      <c r="N132" s="27">
        <f t="shared" si="10"/>
        <v>3.87362737</v>
      </c>
      <c r="O132" s="24"/>
      <c r="P132" s="24"/>
      <c r="Q132" s="24"/>
      <c r="R132" s="26"/>
      <c r="S132" s="14">
        <f t="shared" si="13"/>
        <v>3.557137034</v>
      </c>
      <c r="U132" s="21"/>
      <c r="V132" s="21"/>
    </row>
    <row r="133">
      <c r="A133" s="11">
        <v>121.0</v>
      </c>
      <c r="B133" s="11">
        <v>1.41992173913043E9</v>
      </c>
      <c r="C133" s="2">
        <v>-102.4361038</v>
      </c>
      <c r="D133" s="24">
        <f t="shared" si="1"/>
        <v>-478260.8696</v>
      </c>
      <c r="E133" s="25">
        <f t="shared" si="2"/>
        <v>100.0942784</v>
      </c>
      <c r="F133" s="24">
        <f t="shared" si="3"/>
        <v>0.0002092880367</v>
      </c>
      <c r="G133" s="24">
        <f t="shared" si="4"/>
        <v>0</v>
      </c>
      <c r="H133" s="26">
        <f t="shared" si="5"/>
        <v>0</v>
      </c>
      <c r="I133" s="24">
        <f t="shared" si="6"/>
        <v>0</v>
      </c>
      <c r="J133" s="24">
        <f t="shared" si="7"/>
        <v>0</v>
      </c>
      <c r="K133" s="24"/>
      <c r="L133" s="24">
        <f t="shared" si="8"/>
        <v>434.0060538</v>
      </c>
      <c r="M133" s="14">
        <f t="shared" si="9"/>
        <v>435.3261511</v>
      </c>
      <c r="N133" s="27">
        <f t="shared" si="10"/>
        <v>-1.320097328</v>
      </c>
      <c r="O133" s="24"/>
      <c r="P133" s="24"/>
      <c r="Q133" s="24"/>
      <c r="R133" s="26"/>
      <c r="S133" s="14">
        <f t="shared" si="13"/>
        <v>-1.212240268</v>
      </c>
      <c r="U133" s="21"/>
      <c r="V133" s="21"/>
    </row>
    <row r="134">
      <c r="A134" s="11">
        <v>122.0</v>
      </c>
      <c r="B134" s="11">
        <v>1.41992608695652E9</v>
      </c>
      <c r="C134" s="2">
        <v>-102.416069</v>
      </c>
      <c r="D134" s="24">
        <f t="shared" si="1"/>
        <v>-473913.0435</v>
      </c>
      <c r="E134" s="25">
        <f t="shared" si="2"/>
        <v>99.17598227</v>
      </c>
      <c r="F134" s="24">
        <f t="shared" si="3"/>
        <v>0.0002092704213</v>
      </c>
      <c r="G134" s="24">
        <f t="shared" si="4"/>
        <v>0</v>
      </c>
      <c r="H134" s="26">
        <f t="shared" si="5"/>
        <v>0</v>
      </c>
      <c r="I134" s="24">
        <f t="shared" si="6"/>
        <v>0</v>
      </c>
      <c r="J134" s="24">
        <f t="shared" si="7"/>
        <v>0</v>
      </c>
      <c r="K134" s="24"/>
      <c r="L134" s="24">
        <f t="shared" si="8"/>
        <v>436.0128285</v>
      </c>
      <c r="M134" s="14">
        <f t="shared" si="9"/>
        <v>435.2870492</v>
      </c>
      <c r="N134" s="27">
        <f t="shared" si="10"/>
        <v>0.7257793008</v>
      </c>
      <c r="O134" s="24"/>
      <c r="P134" s="24"/>
      <c r="Q134" s="24"/>
      <c r="R134" s="26"/>
      <c r="S134" s="14">
        <f t="shared" si="13"/>
        <v>0.6664803251</v>
      </c>
      <c r="U134" s="21"/>
      <c r="V134" s="21"/>
    </row>
    <row r="135">
      <c r="A135" s="11">
        <v>123.0</v>
      </c>
      <c r="B135" s="11">
        <v>1.4199304347826E9</v>
      </c>
      <c r="C135" s="2">
        <v>-102.4125519</v>
      </c>
      <c r="D135" s="24">
        <f t="shared" si="1"/>
        <v>-469565.2174</v>
      </c>
      <c r="E135" s="25">
        <f t="shared" si="2"/>
        <v>98.25768614</v>
      </c>
      <c r="F135" s="24">
        <f t="shared" si="3"/>
        <v>0.0002092524797</v>
      </c>
      <c r="G135" s="24">
        <f t="shared" si="4"/>
        <v>0</v>
      </c>
      <c r="H135" s="26">
        <f t="shared" si="5"/>
        <v>0</v>
      </c>
      <c r="I135" s="24">
        <f t="shared" si="6"/>
        <v>0</v>
      </c>
      <c r="J135" s="24">
        <f t="shared" si="7"/>
        <v>0</v>
      </c>
      <c r="K135" s="24"/>
      <c r="L135" s="24">
        <f t="shared" si="8"/>
        <v>436.3660731</v>
      </c>
      <c r="M135" s="14">
        <f t="shared" si="9"/>
        <v>435.2477252</v>
      </c>
      <c r="N135" s="27">
        <f t="shared" si="10"/>
        <v>1.118347843</v>
      </c>
      <c r="O135" s="24"/>
      <c r="P135" s="24"/>
      <c r="Q135" s="24"/>
      <c r="R135" s="26"/>
      <c r="S135" s="14">
        <f t="shared" si="13"/>
        <v>1.026974499</v>
      </c>
      <c r="U135" s="21"/>
      <c r="V135" s="21"/>
    </row>
    <row r="136">
      <c r="A136" s="11">
        <v>124.0</v>
      </c>
      <c r="B136" s="11">
        <v>1.41993478260869E9</v>
      </c>
      <c r="C136" s="2">
        <v>-102.4029236</v>
      </c>
      <c r="D136" s="24">
        <f t="shared" si="1"/>
        <v>-465217.3913</v>
      </c>
      <c r="E136" s="25">
        <f t="shared" si="2"/>
        <v>97.33939001</v>
      </c>
      <c r="F136" s="24">
        <f t="shared" si="3"/>
        <v>0.0002092342028</v>
      </c>
      <c r="G136" s="24">
        <f t="shared" si="4"/>
        <v>0</v>
      </c>
      <c r="H136" s="26">
        <f t="shared" si="5"/>
        <v>0</v>
      </c>
      <c r="I136" s="24">
        <f t="shared" si="6"/>
        <v>0</v>
      </c>
      <c r="J136" s="24">
        <f t="shared" si="7"/>
        <v>0</v>
      </c>
      <c r="K136" s="24"/>
      <c r="L136" s="24">
        <f t="shared" si="8"/>
        <v>437.334569</v>
      </c>
      <c r="M136" s="14">
        <f t="shared" si="9"/>
        <v>435.2081784</v>
      </c>
      <c r="N136" s="27">
        <f t="shared" si="10"/>
        <v>2.12639061</v>
      </c>
      <c r="O136" s="24"/>
      <c r="P136" s="24"/>
      <c r="Q136" s="24"/>
      <c r="R136" s="26"/>
      <c r="S136" s="14">
        <f t="shared" si="13"/>
        <v>1.952656274</v>
      </c>
      <c r="U136" s="21"/>
      <c r="V136" s="21"/>
    </row>
    <row r="137">
      <c r="A137" s="11">
        <v>125.0</v>
      </c>
      <c r="B137" s="11">
        <v>1.41993913043478E9</v>
      </c>
      <c r="C137" s="2">
        <v>-102.4024658</v>
      </c>
      <c r="D137" s="24">
        <f t="shared" si="1"/>
        <v>-460869.5652</v>
      </c>
      <c r="E137" s="25">
        <f t="shared" si="2"/>
        <v>96.42109387</v>
      </c>
      <c r="F137" s="24">
        <f t="shared" si="3"/>
        <v>0.000209215581</v>
      </c>
      <c r="G137" s="24">
        <f t="shared" si="4"/>
        <v>0</v>
      </c>
      <c r="H137" s="26">
        <f t="shared" si="5"/>
        <v>0</v>
      </c>
      <c r="I137" s="24">
        <f t="shared" si="6"/>
        <v>0</v>
      </c>
      <c r="J137" s="24">
        <f t="shared" si="7"/>
        <v>0</v>
      </c>
      <c r="K137" s="24"/>
      <c r="L137" s="24">
        <f t="shared" si="8"/>
        <v>437.3806719</v>
      </c>
      <c r="M137" s="14">
        <f t="shared" si="9"/>
        <v>435.1684076</v>
      </c>
      <c r="N137" s="27">
        <f t="shared" si="10"/>
        <v>2.212264268</v>
      </c>
      <c r="O137" s="24"/>
      <c r="P137" s="24"/>
      <c r="Q137" s="24"/>
      <c r="R137" s="26"/>
      <c r="S137" s="14">
        <f t="shared" si="13"/>
        <v>2.031513717</v>
      </c>
      <c r="U137" s="21"/>
      <c r="V137" s="21"/>
    </row>
    <row r="138">
      <c r="A138" s="11">
        <v>126.0</v>
      </c>
      <c r="B138" s="11">
        <v>1.41994347826087E9</v>
      </c>
      <c r="C138" s="2">
        <v>-102.3701553</v>
      </c>
      <c r="D138" s="24">
        <f t="shared" si="1"/>
        <v>-456521.7391</v>
      </c>
      <c r="E138" s="25">
        <f t="shared" si="2"/>
        <v>95.50279774</v>
      </c>
      <c r="F138" s="24">
        <f t="shared" si="3"/>
        <v>0.0002091966046</v>
      </c>
      <c r="G138" s="24">
        <f t="shared" si="4"/>
        <v>0</v>
      </c>
      <c r="H138" s="26">
        <f t="shared" si="5"/>
        <v>0</v>
      </c>
      <c r="I138" s="24">
        <f t="shared" si="6"/>
        <v>0</v>
      </c>
      <c r="J138" s="24">
        <f t="shared" si="7"/>
        <v>0</v>
      </c>
      <c r="K138" s="24"/>
      <c r="L138" s="24">
        <f t="shared" si="8"/>
        <v>440.646817</v>
      </c>
      <c r="M138" s="14">
        <f t="shared" si="9"/>
        <v>435.128412</v>
      </c>
      <c r="N138" s="27">
        <f t="shared" si="10"/>
        <v>5.518405027</v>
      </c>
      <c r="O138" s="24"/>
      <c r="P138" s="24"/>
      <c r="Q138" s="24"/>
      <c r="R138" s="26"/>
      <c r="S138" s="14">
        <f t="shared" si="13"/>
        <v>5.067529995</v>
      </c>
      <c r="U138" s="21"/>
      <c r="V138" s="21"/>
    </row>
    <row r="139">
      <c r="A139" s="11">
        <v>127.0</v>
      </c>
      <c r="B139" s="11">
        <v>1.41994782608695E9</v>
      </c>
      <c r="C139" s="2">
        <v>-102.4224396</v>
      </c>
      <c r="D139" s="24">
        <f t="shared" si="1"/>
        <v>-452173.913</v>
      </c>
      <c r="E139" s="25">
        <f t="shared" si="2"/>
        <v>94.58450161</v>
      </c>
      <c r="F139" s="24">
        <f t="shared" si="3"/>
        <v>0.0002091772632</v>
      </c>
      <c r="G139" s="24">
        <f t="shared" si="4"/>
        <v>0</v>
      </c>
      <c r="H139" s="26">
        <f t="shared" si="5"/>
        <v>0</v>
      </c>
      <c r="I139" s="24">
        <f t="shared" si="6"/>
        <v>0</v>
      </c>
      <c r="J139" s="24">
        <f t="shared" si="7"/>
        <v>0</v>
      </c>
      <c r="K139" s="24"/>
      <c r="L139" s="24">
        <f t="shared" si="8"/>
        <v>435.3737167</v>
      </c>
      <c r="M139" s="14">
        <f t="shared" si="9"/>
        <v>435.0881906</v>
      </c>
      <c r="N139" s="27">
        <f t="shared" si="10"/>
        <v>0.2855261371</v>
      </c>
      <c r="O139" s="24"/>
      <c r="P139" s="24"/>
      <c r="Q139" s="24"/>
      <c r="R139" s="26"/>
      <c r="S139" s="14">
        <f t="shared" si="13"/>
        <v>0.2621975475</v>
      </c>
      <c r="U139" s="21"/>
      <c r="V139" s="21"/>
    </row>
    <row r="140">
      <c r="A140" s="11">
        <v>128.0</v>
      </c>
      <c r="B140" s="11">
        <v>1.41995217391304E9</v>
      </c>
      <c r="C140" s="2">
        <v>-102.3469696</v>
      </c>
      <c r="D140" s="24">
        <f t="shared" si="1"/>
        <v>-447826.087</v>
      </c>
      <c r="E140" s="25">
        <f t="shared" si="2"/>
        <v>93.66620548</v>
      </c>
      <c r="F140" s="24">
        <f t="shared" si="3"/>
        <v>0.0002091575462</v>
      </c>
      <c r="G140" s="24">
        <f t="shared" si="4"/>
        <v>0</v>
      </c>
      <c r="H140" s="26">
        <f t="shared" si="5"/>
        <v>0</v>
      </c>
      <c r="I140" s="24">
        <f t="shared" si="6"/>
        <v>0</v>
      </c>
      <c r="J140" s="24">
        <f t="shared" si="7"/>
        <v>0</v>
      </c>
      <c r="K140" s="24"/>
      <c r="L140" s="24">
        <f t="shared" si="8"/>
        <v>443.0055911</v>
      </c>
      <c r="M140" s="14">
        <f t="shared" si="9"/>
        <v>435.0477424</v>
      </c>
      <c r="N140" s="27">
        <f t="shared" si="10"/>
        <v>7.957848622</v>
      </c>
      <c r="O140" s="24"/>
      <c r="P140" s="24"/>
      <c r="Q140" s="24"/>
      <c r="R140" s="26"/>
      <c r="S140" s="14">
        <f t="shared" si="13"/>
        <v>7.307661598</v>
      </c>
      <c r="U140" s="21"/>
      <c r="V140" s="21"/>
    </row>
    <row r="141">
      <c r="A141" s="11">
        <v>129.0</v>
      </c>
      <c r="B141" s="11">
        <v>1.41995652173913E9</v>
      </c>
      <c r="C141" s="2">
        <v>-102.3411789</v>
      </c>
      <c r="D141" s="24">
        <f t="shared" si="1"/>
        <v>-443478.2609</v>
      </c>
      <c r="E141" s="25">
        <f t="shared" si="2"/>
        <v>92.74790935</v>
      </c>
      <c r="F141" s="24">
        <f t="shared" si="3"/>
        <v>0.0002091374426</v>
      </c>
      <c r="G141" s="24">
        <f t="shared" si="4"/>
        <v>0</v>
      </c>
      <c r="H141" s="26">
        <f t="shared" si="5"/>
        <v>0</v>
      </c>
      <c r="I141" s="24">
        <f t="shared" si="6"/>
        <v>0</v>
      </c>
      <c r="J141" s="24">
        <f t="shared" si="7"/>
        <v>0</v>
      </c>
      <c r="K141" s="24"/>
      <c r="L141" s="24">
        <f t="shared" si="8"/>
        <v>443.5966701</v>
      </c>
      <c r="M141" s="14">
        <f t="shared" si="9"/>
        <v>435.0070666</v>
      </c>
      <c r="N141" s="27">
        <f t="shared" si="10"/>
        <v>8.589603474</v>
      </c>
      <c r="O141" s="24"/>
      <c r="P141" s="24"/>
      <c r="Q141" s="24"/>
      <c r="R141" s="26"/>
      <c r="S141" s="14">
        <f t="shared" si="13"/>
        <v>7.887799652</v>
      </c>
      <c r="U141" s="21"/>
      <c r="V141" s="21"/>
    </row>
    <row r="142">
      <c r="A142" s="11">
        <v>130.0</v>
      </c>
      <c r="B142" s="11">
        <v>1.41996086956521E9</v>
      </c>
      <c r="C142" s="2">
        <v>-102.3287659</v>
      </c>
      <c r="D142" s="24">
        <f t="shared" si="1"/>
        <v>-439130.4348</v>
      </c>
      <c r="E142" s="25">
        <f t="shared" si="2"/>
        <v>91.82961321</v>
      </c>
      <c r="F142" s="24">
        <f t="shared" si="3"/>
        <v>0.000209116941</v>
      </c>
      <c r="G142" s="24">
        <f t="shared" si="4"/>
        <v>0</v>
      </c>
      <c r="H142" s="26">
        <f t="shared" si="5"/>
        <v>0</v>
      </c>
      <c r="I142" s="24">
        <f t="shared" si="6"/>
        <v>0</v>
      </c>
      <c r="J142" s="24">
        <f t="shared" si="7"/>
        <v>0</v>
      </c>
      <c r="K142" s="24"/>
      <c r="L142" s="24">
        <f t="shared" si="8"/>
        <v>444.8663712</v>
      </c>
      <c r="M142" s="14">
        <f t="shared" si="9"/>
        <v>434.9661621</v>
      </c>
      <c r="N142" s="27">
        <f t="shared" si="10"/>
        <v>9.900209149</v>
      </c>
      <c r="O142" s="24"/>
      <c r="P142" s="24"/>
      <c r="Q142" s="24"/>
      <c r="R142" s="26"/>
      <c r="S142" s="14">
        <f t="shared" si="13"/>
        <v>9.091323776</v>
      </c>
      <c r="U142" s="21"/>
      <c r="V142" s="21"/>
    </row>
    <row r="143">
      <c r="A143" s="11">
        <v>131.0</v>
      </c>
      <c r="B143" s="11">
        <v>1.4199652173913E9</v>
      </c>
      <c r="C143" s="2">
        <v>-102.3355865</v>
      </c>
      <c r="D143" s="24">
        <f t="shared" si="1"/>
        <v>-434782.6087</v>
      </c>
      <c r="E143" s="25">
        <f t="shared" si="2"/>
        <v>90.91131708</v>
      </c>
      <c r="F143" s="24">
        <f t="shared" si="3"/>
        <v>0.0002090960293</v>
      </c>
      <c r="G143" s="24">
        <f t="shared" si="4"/>
        <v>0</v>
      </c>
      <c r="H143" s="26">
        <f t="shared" si="5"/>
        <v>0</v>
      </c>
      <c r="I143" s="24">
        <f t="shared" si="6"/>
        <v>0</v>
      </c>
      <c r="J143" s="24">
        <f t="shared" si="7"/>
        <v>0</v>
      </c>
      <c r="K143" s="24"/>
      <c r="L143" s="24">
        <f t="shared" si="8"/>
        <v>444.1682564</v>
      </c>
      <c r="M143" s="14">
        <f t="shared" si="9"/>
        <v>434.925028</v>
      </c>
      <c r="N143" s="27">
        <f t="shared" si="10"/>
        <v>9.243228436</v>
      </c>
      <c r="O143" s="24"/>
      <c r="P143" s="24"/>
      <c r="Q143" s="24"/>
      <c r="R143" s="26"/>
      <c r="S143" s="14">
        <f t="shared" si="13"/>
        <v>8.488020907</v>
      </c>
      <c r="U143" s="21"/>
      <c r="V143" s="21"/>
    </row>
    <row r="144">
      <c r="A144" s="11">
        <v>132.0</v>
      </c>
      <c r="B144" s="11">
        <v>1.41996956521739E9</v>
      </c>
      <c r="C144" s="2">
        <v>-102.2553711</v>
      </c>
      <c r="D144" s="24">
        <f t="shared" si="1"/>
        <v>-430434.7826</v>
      </c>
      <c r="E144" s="25">
        <f t="shared" si="2"/>
        <v>89.99302095</v>
      </c>
      <c r="F144" s="24">
        <f t="shared" si="3"/>
        <v>0.0002090746951</v>
      </c>
      <c r="G144" s="24">
        <f t="shared" si="4"/>
        <v>0</v>
      </c>
      <c r="H144" s="26">
        <f t="shared" si="5"/>
        <v>0</v>
      </c>
      <c r="I144" s="24">
        <f t="shared" si="6"/>
        <v>0</v>
      </c>
      <c r="J144" s="24">
        <f t="shared" si="7"/>
        <v>0</v>
      </c>
      <c r="K144" s="24"/>
      <c r="L144" s="24">
        <f t="shared" si="8"/>
        <v>452.4484007</v>
      </c>
      <c r="M144" s="14">
        <f t="shared" si="9"/>
        <v>434.8836633</v>
      </c>
      <c r="N144" s="27">
        <f t="shared" si="10"/>
        <v>17.56473736</v>
      </c>
      <c r="O144" s="24"/>
      <c r="P144" s="24"/>
      <c r="Q144" s="24"/>
      <c r="R144" s="26"/>
      <c r="S144" s="14">
        <f t="shared" si="13"/>
        <v>16.12963039</v>
      </c>
      <c r="U144" s="21"/>
      <c r="V144" s="21"/>
    </row>
    <row r="145">
      <c r="A145" s="11">
        <v>133.0</v>
      </c>
      <c r="B145" s="11">
        <v>1.41997391304347E9</v>
      </c>
      <c r="C145" s="2">
        <v>-102.2324371</v>
      </c>
      <c r="D145" s="24">
        <f t="shared" si="1"/>
        <v>-426086.9565</v>
      </c>
      <c r="E145" s="25">
        <f t="shared" si="2"/>
        <v>89.07472482</v>
      </c>
      <c r="F145" s="24">
        <f t="shared" si="3"/>
        <v>0.0002090529256</v>
      </c>
      <c r="G145" s="24">
        <f t="shared" si="4"/>
        <v>0</v>
      </c>
      <c r="H145" s="26">
        <f t="shared" si="5"/>
        <v>0</v>
      </c>
      <c r="I145" s="24">
        <f t="shared" si="6"/>
        <v>0</v>
      </c>
      <c r="J145" s="24">
        <f t="shared" si="7"/>
        <v>0</v>
      </c>
      <c r="K145" s="24"/>
      <c r="L145" s="24">
        <f t="shared" si="8"/>
        <v>454.8439866</v>
      </c>
      <c r="M145" s="14">
        <f t="shared" si="9"/>
        <v>434.8420671</v>
      </c>
      <c r="N145" s="27">
        <f t="shared" si="10"/>
        <v>20.0019195</v>
      </c>
      <c r="O145" s="24"/>
      <c r="P145" s="24"/>
      <c r="Q145" s="24"/>
      <c r="R145" s="26"/>
      <c r="S145" s="14">
        <f t="shared" si="13"/>
        <v>18.36768532</v>
      </c>
      <c r="U145" s="21"/>
      <c r="V145" s="21"/>
    </row>
    <row r="146">
      <c r="A146" s="11">
        <v>134.0</v>
      </c>
      <c r="B146" s="11">
        <v>1.41997826086956E9</v>
      </c>
      <c r="C146" s="2">
        <v>-102.2562866</v>
      </c>
      <c r="D146" s="24">
        <f t="shared" si="1"/>
        <v>-421739.1304</v>
      </c>
      <c r="E146" s="25">
        <f t="shared" si="2"/>
        <v>88.15642869</v>
      </c>
      <c r="F146" s="24">
        <f t="shared" si="3"/>
        <v>0.0002090307072</v>
      </c>
      <c r="G146" s="24">
        <f t="shared" si="4"/>
        <v>0</v>
      </c>
      <c r="H146" s="26">
        <f t="shared" si="5"/>
        <v>0</v>
      </c>
      <c r="I146" s="24">
        <f t="shared" si="6"/>
        <v>0</v>
      </c>
      <c r="J146" s="24">
        <f t="shared" si="7"/>
        <v>0</v>
      </c>
      <c r="K146" s="24"/>
      <c r="L146" s="24">
        <f t="shared" si="8"/>
        <v>452.3530338</v>
      </c>
      <c r="M146" s="14">
        <f t="shared" si="9"/>
        <v>434.8002385</v>
      </c>
      <c r="N146" s="27">
        <f t="shared" si="10"/>
        <v>17.55279536</v>
      </c>
      <c r="O146" s="24"/>
      <c r="P146" s="24"/>
      <c r="Q146" s="24"/>
      <c r="R146" s="26"/>
      <c r="S146" s="14">
        <f t="shared" si="13"/>
        <v>16.11866406</v>
      </c>
      <c r="U146" s="21"/>
      <c r="V146" s="21"/>
    </row>
    <row r="147">
      <c r="A147" s="11">
        <v>135.0</v>
      </c>
      <c r="B147" s="11">
        <v>1.41998260869565E9</v>
      </c>
      <c r="C147" s="2">
        <v>-102.2194214</v>
      </c>
      <c r="D147" s="24">
        <f t="shared" si="1"/>
        <v>-417391.3043</v>
      </c>
      <c r="E147" s="25">
        <f t="shared" si="2"/>
        <v>87.23813255</v>
      </c>
      <c r="F147" s="24">
        <f t="shared" si="3"/>
        <v>0.0002090080259</v>
      </c>
      <c r="G147" s="24">
        <f t="shared" si="4"/>
        <v>0</v>
      </c>
      <c r="H147" s="26">
        <f t="shared" si="5"/>
        <v>0</v>
      </c>
      <c r="I147" s="24">
        <f t="shared" si="6"/>
        <v>0</v>
      </c>
      <c r="J147" s="24">
        <f t="shared" si="7"/>
        <v>0</v>
      </c>
      <c r="K147" s="24"/>
      <c r="L147" s="24">
        <f t="shared" si="8"/>
        <v>456.2091877</v>
      </c>
      <c r="M147" s="14">
        <f t="shared" si="9"/>
        <v>434.7581764</v>
      </c>
      <c r="N147" s="27">
        <f t="shared" si="10"/>
        <v>21.45101128</v>
      </c>
      <c r="O147" s="24"/>
      <c r="P147" s="24"/>
      <c r="Q147" s="24"/>
      <c r="R147" s="26"/>
      <c r="S147" s="14">
        <f t="shared" si="13"/>
        <v>19.69838071</v>
      </c>
      <c r="U147" s="21"/>
      <c r="V147" s="21"/>
    </row>
    <row r="148">
      <c r="A148" s="11">
        <v>136.0</v>
      </c>
      <c r="B148" s="11">
        <v>1.41998695652173E9</v>
      </c>
      <c r="C148" s="2">
        <v>-102.180748</v>
      </c>
      <c r="D148" s="24">
        <f t="shared" si="1"/>
        <v>-413043.4783</v>
      </c>
      <c r="E148" s="25">
        <f t="shared" si="2"/>
        <v>86.31983642</v>
      </c>
      <c r="F148" s="24">
        <f t="shared" si="3"/>
        <v>0.0002089848671</v>
      </c>
      <c r="G148" s="24">
        <f t="shared" si="4"/>
        <v>0</v>
      </c>
      <c r="H148" s="26">
        <f t="shared" si="5"/>
        <v>0</v>
      </c>
      <c r="I148" s="24">
        <f t="shared" si="6"/>
        <v>0</v>
      </c>
      <c r="J148" s="24">
        <f t="shared" si="7"/>
        <v>0</v>
      </c>
      <c r="K148" s="24"/>
      <c r="L148" s="24">
        <f t="shared" si="8"/>
        <v>460.2898173</v>
      </c>
      <c r="M148" s="14">
        <f t="shared" si="9"/>
        <v>434.71588</v>
      </c>
      <c r="N148" s="27">
        <f t="shared" si="10"/>
        <v>25.57393732</v>
      </c>
      <c r="O148" s="24"/>
      <c r="P148" s="24"/>
      <c r="Q148" s="24"/>
      <c r="R148" s="26"/>
      <c r="S148" s="14">
        <f t="shared" si="13"/>
        <v>23.48444774</v>
      </c>
      <c r="U148" s="21"/>
      <c r="V148" s="21"/>
    </row>
    <row r="149">
      <c r="A149" s="11">
        <v>137.0</v>
      </c>
      <c r="B149" s="11">
        <v>1.41999130434782E9</v>
      </c>
      <c r="C149" s="2">
        <v>-102.1604004</v>
      </c>
      <c r="D149" s="24">
        <f t="shared" si="1"/>
        <v>-408695.6522</v>
      </c>
      <c r="E149" s="25">
        <f t="shared" si="2"/>
        <v>85.40154029</v>
      </c>
      <c r="F149" s="24">
        <f t="shared" si="3"/>
        <v>0.0002089612156</v>
      </c>
      <c r="G149" s="24">
        <f t="shared" si="4"/>
        <v>0</v>
      </c>
      <c r="H149" s="26">
        <f t="shared" si="5"/>
        <v>0</v>
      </c>
      <c r="I149" s="24">
        <f t="shared" si="6"/>
        <v>0</v>
      </c>
      <c r="J149" s="24">
        <f t="shared" si="7"/>
        <v>0</v>
      </c>
      <c r="K149" s="24"/>
      <c r="L149" s="24">
        <f t="shared" si="8"/>
        <v>462.4514307</v>
      </c>
      <c r="M149" s="14">
        <f t="shared" si="9"/>
        <v>434.6733482</v>
      </c>
      <c r="N149" s="27">
        <f t="shared" si="10"/>
        <v>27.77808247</v>
      </c>
      <c r="O149" s="24"/>
      <c r="P149" s="24"/>
      <c r="Q149" s="24"/>
      <c r="R149" s="26"/>
      <c r="S149" s="14">
        <f t="shared" si="13"/>
        <v>25.50850571</v>
      </c>
      <c r="U149" s="21"/>
      <c r="V149" s="21"/>
    </row>
    <row r="150">
      <c r="A150" s="11">
        <v>138.0</v>
      </c>
      <c r="B150" s="11">
        <v>1.41999565217391E9</v>
      </c>
      <c r="C150" s="2">
        <v>-102.1257095</v>
      </c>
      <c r="D150" s="24">
        <f t="shared" si="1"/>
        <v>-404347.8261</v>
      </c>
      <c r="E150" s="25">
        <f t="shared" si="2"/>
        <v>84.48324416</v>
      </c>
      <c r="F150" s="24">
        <f t="shared" si="3"/>
        <v>0.0002089370554</v>
      </c>
      <c r="G150" s="24">
        <f t="shared" si="4"/>
        <v>0</v>
      </c>
      <c r="H150" s="26">
        <f t="shared" si="5"/>
        <v>0</v>
      </c>
      <c r="I150" s="24">
        <f t="shared" si="6"/>
        <v>0</v>
      </c>
      <c r="J150" s="24">
        <f t="shared" si="7"/>
        <v>0</v>
      </c>
      <c r="K150" s="24"/>
      <c r="L150" s="24">
        <f t="shared" si="8"/>
        <v>466.1602279</v>
      </c>
      <c r="M150" s="14">
        <f t="shared" si="9"/>
        <v>434.6305802</v>
      </c>
      <c r="N150" s="27">
        <f t="shared" si="10"/>
        <v>31.52964766</v>
      </c>
      <c r="O150" s="24"/>
      <c r="P150" s="24"/>
      <c r="Q150" s="24"/>
      <c r="R150" s="26"/>
      <c r="S150" s="14">
        <f t="shared" si="13"/>
        <v>28.95355345</v>
      </c>
      <c r="U150" s="21"/>
      <c r="V150" s="21"/>
    </row>
    <row r="151">
      <c r="A151" s="11">
        <v>139.0</v>
      </c>
      <c r="B151" s="11">
        <v>1.42E9</v>
      </c>
      <c r="C151" s="2">
        <v>-102.0583191</v>
      </c>
      <c r="D151" s="24">
        <f t="shared" si="1"/>
        <v>-400000</v>
      </c>
      <c r="E151" s="25">
        <f t="shared" si="2"/>
        <v>83.56494803</v>
      </c>
      <c r="F151" s="24">
        <f t="shared" si="3"/>
        <v>0.0002089123701</v>
      </c>
      <c r="G151" s="24">
        <f t="shared" si="4"/>
        <v>0</v>
      </c>
      <c r="H151" s="26">
        <f t="shared" si="5"/>
        <v>0</v>
      </c>
      <c r="I151" s="24">
        <f t="shared" si="6"/>
        <v>0</v>
      </c>
      <c r="J151" s="24">
        <f t="shared" si="7"/>
        <v>0</v>
      </c>
      <c r="K151" s="24"/>
      <c r="L151" s="24">
        <f t="shared" si="8"/>
        <v>473.4501488</v>
      </c>
      <c r="M151" s="14">
        <f t="shared" si="9"/>
        <v>434.587575</v>
      </c>
      <c r="N151" s="27">
        <f t="shared" si="10"/>
        <v>38.86257383</v>
      </c>
      <c r="O151" s="24"/>
      <c r="P151" s="24"/>
      <c r="Q151" s="24"/>
      <c r="R151" s="26"/>
      <c r="S151" s="14">
        <f t="shared" si="13"/>
        <v>35.68735126</v>
      </c>
      <c r="U151" s="21"/>
      <c r="V151" s="21"/>
    </row>
    <row r="152">
      <c r="A152" s="11">
        <v>140.0</v>
      </c>
      <c r="B152" s="11">
        <v>1.42000434782608E9</v>
      </c>
      <c r="C152" s="2">
        <v>-102.0849228</v>
      </c>
      <c r="D152" s="24">
        <f t="shared" si="1"/>
        <v>-395652.1739</v>
      </c>
      <c r="E152" s="25">
        <f t="shared" si="2"/>
        <v>82.64665189</v>
      </c>
      <c r="F152" s="24">
        <f t="shared" si="3"/>
        <v>0.0002088871421</v>
      </c>
      <c r="G152" s="24">
        <f t="shared" si="4"/>
        <v>0</v>
      </c>
      <c r="H152" s="26">
        <f t="shared" si="5"/>
        <v>0</v>
      </c>
      <c r="I152" s="24">
        <f t="shared" si="6"/>
        <v>0</v>
      </c>
      <c r="J152" s="24">
        <f t="shared" si="7"/>
        <v>0</v>
      </c>
      <c r="K152" s="24"/>
      <c r="L152" s="24">
        <f t="shared" si="8"/>
        <v>470.5587867</v>
      </c>
      <c r="M152" s="14">
        <f t="shared" si="9"/>
        <v>434.5443315</v>
      </c>
      <c r="N152" s="27">
        <f t="shared" si="10"/>
        <v>36.01445517</v>
      </c>
      <c r="O152" s="24"/>
      <c r="P152" s="24"/>
      <c r="Q152" s="24"/>
      <c r="R152" s="26"/>
      <c r="S152" s="14">
        <f t="shared" si="13"/>
        <v>33.07193491</v>
      </c>
      <c r="U152" s="21"/>
      <c r="V152" s="21"/>
    </row>
    <row r="153">
      <c r="A153" s="11">
        <v>141.0</v>
      </c>
      <c r="B153" s="11">
        <v>1.42000869565217E9</v>
      </c>
      <c r="C153" s="2">
        <v>-102.0908127</v>
      </c>
      <c r="D153" s="24">
        <f t="shared" si="1"/>
        <v>-391304.3478</v>
      </c>
      <c r="E153" s="25">
        <f t="shared" si="2"/>
        <v>81.72835576</v>
      </c>
      <c r="F153" s="24">
        <f t="shared" si="3"/>
        <v>0.0002088613536</v>
      </c>
      <c r="G153" s="24">
        <f t="shared" si="4"/>
        <v>0</v>
      </c>
      <c r="H153" s="26">
        <f t="shared" si="5"/>
        <v>0</v>
      </c>
      <c r="I153" s="24">
        <f t="shared" si="6"/>
        <v>0</v>
      </c>
      <c r="J153" s="24">
        <f t="shared" si="7"/>
        <v>0</v>
      </c>
      <c r="K153" s="24"/>
      <c r="L153" s="24">
        <f t="shared" si="8"/>
        <v>469.9210476</v>
      </c>
      <c r="M153" s="14">
        <f t="shared" si="9"/>
        <v>434.500849</v>
      </c>
      <c r="N153" s="27">
        <f t="shared" si="10"/>
        <v>35.42019864</v>
      </c>
      <c r="O153" s="24"/>
      <c r="P153" s="24"/>
      <c r="Q153" s="24"/>
      <c r="R153" s="26"/>
      <c r="S153" s="14">
        <f t="shared" si="13"/>
        <v>32.52623136</v>
      </c>
      <c r="U153" s="21"/>
      <c r="V153" s="21"/>
    </row>
    <row r="154">
      <c r="A154" s="11">
        <v>142.0</v>
      </c>
      <c r="B154" s="11">
        <v>1.42001304347826E9</v>
      </c>
      <c r="C154" s="2">
        <v>-102.0643234</v>
      </c>
      <c r="D154" s="24">
        <f t="shared" si="1"/>
        <v>-386956.5217</v>
      </c>
      <c r="E154" s="25">
        <f t="shared" si="2"/>
        <v>80.81005963</v>
      </c>
      <c r="F154" s="24">
        <f t="shared" si="3"/>
        <v>0.0002088349856</v>
      </c>
      <c r="G154" s="24">
        <f t="shared" si="4"/>
        <v>0</v>
      </c>
      <c r="H154" s="26">
        <f t="shared" si="5"/>
        <v>0</v>
      </c>
      <c r="I154" s="24">
        <f t="shared" si="6"/>
        <v>0</v>
      </c>
      <c r="J154" s="24">
        <f t="shared" si="7"/>
        <v>0</v>
      </c>
      <c r="K154" s="24"/>
      <c r="L154" s="24">
        <f t="shared" si="8"/>
        <v>472.7960367</v>
      </c>
      <c r="M154" s="14">
        <f t="shared" si="9"/>
        <v>434.4571263</v>
      </c>
      <c r="N154" s="27">
        <f t="shared" si="10"/>
        <v>38.33891041</v>
      </c>
      <c r="O154" s="24"/>
      <c r="P154" s="24"/>
      <c r="Q154" s="24"/>
      <c r="R154" s="26"/>
      <c r="S154" s="14">
        <f t="shared" si="13"/>
        <v>35.20647316</v>
      </c>
      <c r="U154" s="21"/>
      <c r="V154" s="21"/>
    </row>
    <row r="155">
      <c r="A155" s="11">
        <v>143.0</v>
      </c>
      <c r="B155" s="11">
        <v>1.42001739130434E9</v>
      </c>
      <c r="C155" s="2">
        <v>-102.0093002</v>
      </c>
      <c r="D155" s="24">
        <f t="shared" si="1"/>
        <v>-382608.6957</v>
      </c>
      <c r="E155" s="25">
        <f t="shared" si="2"/>
        <v>79.8917635</v>
      </c>
      <c r="F155" s="24">
        <f t="shared" si="3"/>
        <v>0.0002088080182</v>
      </c>
      <c r="G155" s="24">
        <f t="shared" si="4"/>
        <v>0</v>
      </c>
      <c r="H155" s="26">
        <f t="shared" si="5"/>
        <v>0</v>
      </c>
      <c r="I155" s="24">
        <f t="shared" si="6"/>
        <v>0</v>
      </c>
      <c r="J155" s="24">
        <f t="shared" si="7"/>
        <v>0</v>
      </c>
      <c r="K155" s="24"/>
      <c r="L155" s="24">
        <f t="shared" si="8"/>
        <v>478.8242613</v>
      </c>
      <c r="M155" s="14">
        <f t="shared" si="9"/>
        <v>434.4131627</v>
      </c>
      <c r="N155" s="27">
        <f t="shared" si="10"/>
        <v>44.41109868</v>
      </c>
      <c r="O155" s="24"/>
      <c r="P155" s="24"/>
      <c r="Q155" s="24"/>
      <c r="R155" s="26"/>
      <c r="S155" s="14">
        <f t="shared" si="13"/>
        <v>40.78254017</v>
      </c>
      <c r="U155" s="21"/>
      <c r="V155" s="21"/>
    </row>
    <row r="156">
      <c r="A156" s="11">
        <v>144.0</v>
      </c>
      <c r="B156" s="11">
        <v>1.42002173913043E9</v>
      </c>
      <c r="C156" s="2">
        <v>-101.9234238</v>
      </c>
      <c r="D156" s="24">
        <f t="shared" si="1"/>
        <v>-378260.8696</v>
      </c>
      <c r="E156" s="25">
        <f t="shared" si="2"/>
        <v>78.97346736</v>
      </c>
      <c r="F156" s="24">
        <f t="shared" si="3"/>
        <v>0.000208780431</v>
      </c>
      <c r="G156" s="24">
        <f t="shared" si="4"/>
        <v>0</v>
      </c>
      <c r="H156" s="26">
        <f t="shared" si="5"/>
        <v>0</v>
      </c>
      <c r="I156" s="24">
        <f t="shared" si="6"/>
        <v>0</v>
      </c>
      <c r="J156" s="24">
        <f t="shared" si="7"/>
        <v>0</v>
      </c>
      <c r="K156" s="24"/>
      <c r="L156" s="24">
        <f t="shared" si="8"/>
        <v>488.3866538</v>
      </c>
      <c r="M156" s="14">
        <f t="shared" si="9"/>
        <v>434.368957</v>
      </c>
      <c r="N156" s="27">
        <f t="shared" si="10"/>
        <v>54.01769675</v>
      </c>
      <c r="O156" s="24"/>
      <c r="P156" s="24"/>
      <c r="Q156" s="24"/>
      <c r="R156" s="26"/>
      <c r="S156" s="14">
        <f t="shared" si="13"/>
        <v>49.60424191</v>
      </c>
      <c r="U156" s="21"/>
      <c r="V156" s="21"/>
    </row>
    <row r="157">
      <c r="A157" s="11">
        <v>145.0</v>
      </c>
      <c r="B157" s="11">
        <v>1.42002608695652E9</v>
      </c>
      <c r="C157" s="2">
        <v>-101.975174</v>
      </c>
      <c r="D157" s="24">
        <f t="shared" si="1"/>
        <v>-373913.0435</v>
      </c>
      <c r="E157" s="25">
        <f t="shared" si="2"/>
        <v>78.05517123</v>
      </c>
      <c r="F157" s="24">
        <f t="shared" si="3"/>
        <v>0.0002087522021</v>
      </c>
      <c r="G157" s="24">
        <f t="shared" si="4"/>
        <v>0</v>
      </c>
      <c r="H157" s="26">
        <f t="shared" si="5"/>
        <v>0</v>
      </c>
      <c r="I157" s="24">
        <f t="shared" si="6"/>
        <v>0</v>
      </c>
      <c r="J157" s="24">
        <f t="shared" si="7"/>
        <v>0</v>
      </c>
      <c r="K157" s="24"/>
      <c r="L157" s="24">
        <f t="shared" si="8"/>
        <v>482.6016111</v>
      </c>
      <c r="M157" s="14">
        <f t="shared" si="9"/>
        <v>434.3245084</v>
      </c>
      <c r="N157" s="27">
        <f t="shared" si="10"/>
        <v>48.27710267</v>
      </c>
      <c r="O157" s="24"/>
      <c r="P157" s="24"/>
      <c r="Q157" s="24"/>
      <c r="R157" s="26"/>
      <c r="S157" s="14">
        <f t="shared" si="13"/>
        <v>44.33267668</v>
      </c>
      <c r="U157" s="21"/>
      <c r="V157" s="21"/>
    </row>
    <row r="158">
      <c r="A158" s="11">
        <v>146.0</v>
      </c>
      <c r="B158" s="11">
        <v>1.4200304347826E9</v>
      </c>
      <c r="C158" s="2">
        <v>-101.9420471</v>
      </c>
      <c r="D158" s="24">
        <f t="shared" si="1"/>
        <v>-369565.2174</v>
      </c>
      <c r="E158" s="25">
        <f t="shared" si="2"/>
        <v>77.1368751</v>
      </c>
      <c r="F158" s="24">
        <f t="shared" si="3"/>
        <v>0.0002087233091</v>
      </c>
      <c r="G158" s="24">
        <f t="shared" si="4"/>
        <v>0</v>
      </c>
      <c r="H158" s="26">
        <f t="shared" si="5"/>
        <v>0</v>
      </c>
      <c r="I158" s="24">
        <f t="shared" si="6"/>
        <v>0</v>
      </c>
      <c r="J158" s="24">
        <f t="shared" si="7"/>
        <v>0</v>
      </c>
      <c r="K158" s="24"/>
      <c r="L158" s="24">
        <f t="shared" si="8"/>
        <v>486.2968511</v>
      </c>
      <c r="M158" s="14">
        <f t="shared" si="9"/>
        <v>434.2798159</v>
      </c>
      <c r="N158" s="27">
        <f t="shared" si="10"/>
        <v>52.01703516</v>
      </c>
      <c r="O158" s="24"/>
      <c r="P158" s="24"/>
      <c r="Q158" s="24"/>
      <c r="R158" s="26"/>
      <c r="S158" s="14">
        <f t="shared" si="13"/>
        <v>47.76704223</v>
      </c>
      <c r="U158" s="21"/>
      <c r="V158" s="21"/>
    </row>
    <row r="159">
      <c r="A159" s="11">
        <v>147.0</v>
      </c>
      <c r="B159" s="11">
        <v>1.42003478260869E9</v>
      </c>
      <c r="C159" s="2">
        <v>-101.8771973</v>
      </c>
      <c r="D159" s="24">
        <f t="shared" si="1"/>
        <v>-365217.3913</v>
      </c>
      <c r="E159" s="25">
        <f t="shared" si="2"/>
        <v>76.21857897</v>
      </c>
      <c r="F159" s="24">
        <f t="shared" si="3"/>
        <v>0.0002086937281</v>
      </c>
      <c r="G159" s="24">
        <f t="shared" si="4"/>
        <v>0</v>
      </c>
      <c r="H159" s="26">
        <f t="shared" si="5"/>
        <v>0</v>
      </c>
      <c r="I159" s="24">
        <f t="shared" si="6"/>
        <v>0</v>
      </c>
      <c r="J159" s="24">
        <f t="shared" si="7"/>
        <v>0</v>
      </c>
      <c r="K159" s="24"/>
      <c r="L159" s="24">
        <f t="shared" si="8"/>
        <v>493.6128277</v>
      </c>
      <c r="M159" s="14">
        <f t="shared" si="9"/>
        <v>434.2348786</v>
      </c>
      <c r="N159" s="27">
        <f t="shared" si="10"/>
        <v>59.37794917</v>
      </c>
      <c r="O159" s="24"/>
      <c r="P159" s="24"/>
      <c r="Q159" s="24"/>
      <c r="R159" s="26"/>
      <c r="S159" s="14">
        <f t="shared" si="13"/>
        <v>54.5265411</v>
      </c>
      <c r="U159" s="21"/>
      <c r="V159" s="21"/>
    </row>
    <row r="160">
      <c r="A160" s="11">
        <v>148.0</v>
      </c>
      <c r="B160" s="11">
        <v>1.42003913043478E9</v>
      </c>
      <c r="C160" s="2">
        <v>-101.9057541</v>
      </c>
      <c r="D160" s="24">
        <f t="shared" si="1"/>
        <v>-360869.5652</v>
      </c>
      <c r="E160" s="25">
        <f t="shared" si="2"/>
        <v>75.30028284</v>
      </c>
      <c r="F160" s="24">
        <f t="shared" si="3"/>
        <v>0.0002086634344</v>
      </c>
      <c r="G160" s="24">
        <f t="shared" si="4"/>
        <v>0</v>
      </c>
      <c r="H160" s="26">
        <f t="shared" si="5"/>
        <v>0</v>
      </c>
      <c r="I160" s="24">
        <f t="shared" si="6"/>
        <v>0</v>
      </c>
      <c r="J160" s="24">
        <f t="shared" si="7"/>
        <v>0</v>
      </c>
      <c r="K160" s="24"/>
      <c r="L160" s="24">
        <f t="shared" si="8"/>
        <v>490.3777508</v>
      </c>
      <c r="M160" s="14">
        <f t="shared" si="9"/>
        <v>434.1896954</v>
      </c>
      <c r="N160" s="27">
        <f t="shared" si="10"/>
        <v>56.18805542</v>
      </c>
      <c r="O160" s="24"/>
      <c r="P160" s="24"/>
      <c r="Q160" s="24"/>
      <c r="R160" s="26"/>
      <c r="S160" s="14">
        <f t="shared" si="13"/>
        <v>51.59727388</v>
      </c>
      <c r="U160" s="21"/>
      <c r="V160" s="21"/>
    </row>
    <row r="161">
      <c r="A161" s="11">
        <v>149.0</v>
      </c>
      <c r="B161" s="11">
        <v>1.42004347826087E9</v>
      </c>
      <c r="C161" s="2">
        <v>-101.8768997</v>
      </c>
      <c r="D161" s="24">
        <f t="shared" si="1"/>
        <v>-356521.7391</v>
      </c>
      <c r="E161" s="25">
        <f t="shared" si="2"/>
        <v>74.3819867</v>
      </c>
      <c r="F161" s="24">
        <f t="shared" si="3"/>
        <v>0.0002086324017</v>
      </c>
      <c r="G161" s="24">
        <f t="shared" si="4"/>
        <v>0</v>
      </c>
      <c r="H161" s="26">
        <f t="shared" si="5"/>
        <v>0</v>
      </c>
      <c r="I161" s="24">
        <f t="shared" si="6"/>
        <v>0</v>
      </c>
      <c r="J161" s="24">
        <f t="shared" si="7"/>
        <v>0</v>
      </c>
      <c r="K161" s="24"/>
      <c r="L161" s="24">
        <f t="shared" si="8"/>
        <v>493.6466537</v>
      </c>
      <c r="M161" s="14">
        <f t="shared" si="9"/>
        <v>434.1442655</v>
      </c>
      <c r="N161" s="27">
        <f t="shared" si="10"/>
        <v>59.50238815</v>
      </c>
      <c r="O161" s="24"/>
      <c r="P161" s="24"/>
      <c r="Q161" s="24"/>
      <c r="R161" s="26"/>
      <c r="S161" s="14">
        <f t="shared" si="13"/>
        <v>54.64081293</v>
      </c>
      <c r="U161" s="21"/>
      <c r="V161" s="21"/>
    </row>
    <row r="162">
      <c r="A162" s="11">
        <v>150.0</v>
      </c>
      <c r="B162" s="11">
        <v>1.42004782608695E9</v>
      </c>
      <c r="C162" s="2">
        <v>-101.8342896</v>
      </c>
      <c r="D162" s="24">
        <f t="shared" si="1"/>
        <v>-352173.913</v>
      </c>
      <c r="E162" s="25">
        <f t="shared" si="2"/>
        <v>73.46369057</v>
      </c>
      <c r="F162" s="24">
        <f t="shared" si="3"/>
        <v>0.0002086006029</v>
      </c>
      <c r="G162" s="24">
        <f t="shared" si="4"/>
        <v>0</v>
      </c>
      <c r="H162" s="26">
        <f t="shared" si="5"/>
        <v>0</v>
      </c>
      <c r="I162" s="24">
        <f t="shared" si="6"/>
        <v>0</v>
      </c>
      <c r="J162" s="24">
        <f t="shared" si="7"/>
        <v>0</v>
      </c>
      <c r="K162" s="24"/>
      <c r="L162" s="24">
        <f t="shared" si="8"/>
        <v>498.5138256</v>
      </c>
      <c r="M162" s="14">
        <f t="shared" si="9"/>
        <v>434.0985879</v>
      </c>
      <c r="N162" s="27">
        <f t="shared" si="10"/>
        <v>64.41523766</v>
      </c>
      <c r="O162" s="24"/>
      <c r="P162" s="24"/>
      <c r="Q162" s="24"/>
      <c r="R162" s="26"/>
      <c r="S162" s="14">
        <f t="shared" si="13"/>
        <v>59.15226363</v>
      </c>
      <c r="U162" s="21"/>
      <c r="V162" s="21"/>
    </row>
    <row r="163">
      <c r="A163" s="11">
        <v>151.0</v>
      </c>
      <c r="B163" s="11">
        <v>1.42005217391304E9</v>
      </c>
      <c r="C163" s="2">
        <v>-101.8383713</v>
      </c>
      <c r="D163" s="24">
        <f t="shared" si="1"/>
        <v>-347826.087</v>
      </c>
      <c r="E163" s="25">
        <f t="shared" si="2"/>
        <v>72.54539444</v>
      </c>
      <c r="F163" s="24">
        <f t="shared" si="3"/>
        <v>0.000208568009</v>
      </c>
      <c r="G163" s="24">
        <f t="shared" si="4"/>
        <v>0</v>
      </c>
      <c r="H163" s="26">
        <f t="shared" si="5"/>
        <v>0</v>
      </c>
      <c r="I163" s="24">
        <f t="shared" si="6"/>
        <v>0</v>
      </c>
      <c r="J163" s="24">
        <f t="shared" si="7"/>
        <v>0</v>
      </c>
      <c r="K163" s="24"/>
      <c r="L163" s="24">
        <f t="shared" si="8"/>
        <v>498.0455194</v>
      </c>
      <c r="M163" s="14">
        <f t="shared" si="9"/>
        <v>434.0526617</v>
      </c>
      <c r="N163" s="27">
        <f t="shared" si="10"/>
        <v>63.9928577</v>
      </c>
      <c r="O163" s="24"/>
      <c r="P163" s="24"/>
      <c r="Q163" s="24"/>
      <c r="R163" s="26"/>
      <c r="S163" s="14">
        <f t="shared" si="13"/>
        <v>58.76439362</v>
      </c>
      <c r="U163" s="21"/>
      <c r="V163" s="21"/>
    </row>
    <row r="164">
      <c r="A164" s="11">
        <v>152.0</v>
      </c>
      <c r="B164" s="11">
        <v>1.42005652173913E9</v>
      </c>
      <c r="C164" s="2">
        <v>-101.7939529</v>
      </c>
      <c r="D164" s="24">
        <f t="shared" si="1"/>
        <v>-343478.2609</v>
      </c>
      <c r="E164" s="25">
        <f t="shared" si="2"/>
        <v>71.62709831</v>
      </c>
      <c r="F164" s="24">
        <f t="shared" si="3"/>
        <v>0.00020853459</v>
      </c>
      <c r="G164" s="24">
        <f t="shared" si="4"/>
        <v>0</v>
      </c>
      <c r="H164" s="26">
        <f t="shared" si="5"/>
        <v>0</v>
      </c>
      <c r="I164" s="24">
        <f t="shared" si="6"/>
        <v>0</v>
      </c>
      <c r="J164" s="24">
        <f t="shared" si="7"/>
        <v>0</v>
      </c>
      <c r="K164" s="24"/>
      <c r="L164" s="24">
        <f t="shared" si="8"/>
        <v>503.1655252</v>
      </c>
      <c r="M164" s="14">
        <f t="shared" si="9"/>
        <v>434.0064858</v>
      </c>
      <c r="N164" s="27">
        <f t="shared" si="10"/>
        <v>69.15903932</v>
      </c>
      <c r="O164" s="24"/>
      <c r="P164" s="24"/>
      <c r="Q164" s="24"/>
      <c r="R164" s="26"/>
      <c r="S164" s="14">
        <f t="shared" si="13"/>
        <v>63.50847835</v>
      </c>
      <c r="U164" s="21"/>
      <c r="V164" s="21"/>
    </row>
    <row r="165">
      <c r="A165" s="11">
        <v>153.0</v>
      </c>
      <c r="B165" s="11">
        <v>1.42006086956521E9</v>
      </c>
      <c r="C165" s="2">
        <v>-101.8143005</v>
      </c>
      <c r="D165" s="24">
        <f t="shared" si="1"/>
        <v>-339130.4348</v>
      </c>
      <c r="E165" s="25">
        <f t="shared" si="2"/>
        <v>70.70880218</v>
      </c>
      <c r="F165" s="24">
        <f t="shared" si="3"/>
        <v>0.0002085003141</v>
      </c>
      <c r="G165" s="24">
        <f t="shared" si="4"/>
        <v>0</v>
      </c>
      <c r="H165" s="26">
        <f t="shared" si="5"/>
        <v>0</v>
      </c>
      <c r="I165" s="24">
        <f t="shared" si="6"/>
        <v>0</v>
      </c>
      <c r="J165" s="24">
        <f t="shared" si="7"/>
        <v>0</v>
      </c>
      <c r="K165" s="24"/>
      <c r="L165" s="24">
        <f t="shared" si="8"/>
        <v>500.8136039</v>
      </c>
      <c r="M165" s="14">
        <f t="shared" si="9"/>
        <v>433.9600594</v>
      </c>
      <c r="N165" s="27">
        <f t="shared" si="10"/>
        <v>66.85354449</v>
      </c>
      <c r="O165" s="24"/>
      <c r="P165" s="24"/>
      <c r="Q165" s="24"/>
      <c r="R165" s="26"/>
      <c r="S165" s="14">
        <f t="shared" si="13"/>
        <v>61.39135137</v>
      </c>
      <c r="U165" s="21"/>
      <c r="V165" s="21"/>
    </row>
    <row r="166">
      <c r="A166" s="11">
        <v>154.0</v>
      </c>
      <c r="B166" s="11">
        <v>1.4200652173913E9</v>
      </c>
      <c r="C166" s="2">
        <v>-101.7371979</v>
      </c>
      <c r="D166" s="24">
        <f t="shared" si="1"/>
        <v>-334782.6087</v>
      </c>
      <c r="E166" s="25">
        <f t="shared" si="2"/>
        <v>69.79050604</v>
      </c>
      <c r="F166" s="24">
        <f t="shared" si="3"/>
        <v>0.0002084651479</v>
      </c>
      <c r="G166" s="24">
        <f t="shared" si="4"/>
        <v>0</v>
      </c>
      <c r="H166" s="26">
        <f t="shared" si="5"/>
        <v>0</v>
      </c>
      <c r="I166" s="24">
        <f t="shared" si="6"/>
        <v>0</v>
      </c>
      <c r="J166" s="24">
        <f t="shared" si="7"/>
        <v>0</v>
      </c>
      <c r="K166" s="24"/>
      <c r="L166" s="24">
        <f t="shared" si="8"/>
        <v>509.7842074</v>
      </c>
      <c r="M166" s="14">
        <f t="shared" si="9"/>
        <v>433.9133815</v>
      </c>
      <c r="N166" s="27">
        <f t="shared" si="10"/>
        <v>75.87082595</v>
      </c>
      <c r="O166" s="24"/>
      <c r="P166" s="24"/>
      <c r="Q166" s="24"/>
      <c r="R166" s="26"/>
      <c r="S166" s="14">
        <f t="shared" si="13"/>
        <v>69.6718859</v>
      </c>
      <c r="U166" s="21"/>
      <c r="V166" s="21"/>
    </row>
    <row r="167">
      <c r="A167" s="11">
        <v>155.0</v>
      </c>
      <c r="B167" s="11">
        <v>1.42006956521739E9</v>
      </c>
      <c r="C167" s="2">
        <v>-101.7537689</v>
      </c>
      <c r="D167" s="24">
        <f t="shared" si="1"/>
        <v>-330434.7826</v>
      </c>
      <c r="E167" s="25">
        <f t="shared" si="2"/>
        <v>68.87220991</v>
      </c>
      <c r="F167" s="24">
        <f t="shared" si="3"/>
        <v>0.0002084290563</v>
      </c>
      <c r="G167" s="24">
        <f t="shared" si="4"/>
        <v>0</v>
      </c>
      <c r="H167" s="26">
        <f t="shared" si="5"/>
        <v>0</v>
      </c>
      <c r="I167" s="24">
        <f t="shared" si="6"/>
        <v>0</v>
      </c>
      <c r="J167" s="24">
        <f t="shared" si="7"/>
        <v>0</v>
      </c>
      <c r="K167" s="24"/>
      <c r="L167" s="24">
        <f t="shared" si="8"/>
        <v>507.8427741</v>
      </c>
      <c r="M167" s="14">
        <f t="shared" si="9"/>
        <v>433.8664511</v>
      </c>
      <c r="N167" s="27">
        <f t="shared" si="10"/>
        <v>73.97632295</v>
      </c>
      <c r="O167" s="24"/>
      <c r="P167" s="24"/>
      <c r="Q167" s="24"/>
      <c r="R167" s="26"/>
      <c r="S167" s="14">
        <f t="shared" si="13"/>
        <v>67.93217128</v>
      </c>
      <c r="U167" s="21"/>
      <c r="V167" s="21"/>
    </row>
    <row r="168">
      <c r="A168" s="11">
        <v>156.0</v>
      </c>
      <c r="B168" s="11">
        <v>1.42007391304347E9</v>
      </c>
      <c r="C168" s="2">
        <v>-101.7057877</v>
      </c>
      <c r="D168" s="24">
        <f t="shared" si="1"/>
        <v>-326086.9565</v>
      </c>
      <c r="E168" s="25">
        <f t="shared" si="2"/>
        <v>67.95391378</v>
      </c>
      <c r="F168" s="24">
        <f t="shared" si="3"/>
        <v>0.0002083920023</v>
      </c>
      <c r="G168" s="24">
        <f t="shared" si="4"/>
        <v>0</v>
      </c>
      <c r="H168" s="26">
        <f t="shared" si="5"/>
        <v>0</v>
      </c>
      <c r="I168" s="24">
        <f t="shared" si="6"/>
        <v>0</v>
      </c>
      <c r="J168" s="24">
        <f t="shared" si="7"/>
        <v>0</v>
      </c>
      <c r="K168" s="24"/>
      <c r="L168" s="24">
        <f t="shared" si="8"/>
        <v>513.4845696</v>
      </c>
      <c r="M168" s="14">
        <f t="shared" si="9"/>
        <v>433.8192673</v>
      </c>
      <c r="N168" s="27">
        <f t="shared" si="10"/>
        <v>79.66530226</v>
      </c>
      <c r="O168" s="24"/>
      <c r="P168" s="24"/>
      <c r="Q168" s="24"/>
      <c r="R168" s="26"/>
      <c r="S168" s="14">
        <f t="shared" si="13"/>
        <v>73.15633898</v>
      </c>
      <c r="U168" s="21"/>
      <c r="V168" s="21"/>
    </row>
    <row r="169">
      <c r="A169" s="11">
        <v>157.0</v>
      </c>
      <c r="B169" s="11">
        <v>1.42007826086956E9</v>
      </c>
      <c r="C169" s="2">
        <v>-101.6967468</v>
      </c>
      <c r="D169" s="24">
        <f t="shared" si="1"/>
        <v>-321739.1304</v>
      </c>
      <c r="E169" s="25">
        <f t="shared" si="2"/>
        <v>67.03561765</v>
      </c>
      <c r="F169" s="24">
        <f t="shared" si="3"/>
        <v>0.0002083539467</v>
      </c>
      <c r="G169" s="24">
        <f t="shared" si="4"/>
        <v>0</v>
      </c>
      <c r="H169" s="26">
        <f t="shared" si="5"/>
        <v>0</v>
      </c>
      <c r="I169" s="24">
        <f t="shared" si="6"/>
        <v>0</v>
      </c>
      <c r="J169" s="24">
        <f t="shared" si="7"/>
        <v>0</v>
      </c>
      <c r="K169" s="24"/>
      <c r="L169" s="24">
        <f t="shared" si="8"/>
        <v>514.5546265</v>
      </c>
      <c r="M169" s="14">
        <f t="shared" si="9"/>
        <v>433.7718291</v>
      </c>
      <c r="N169" s="27">
        <f t="shared" si="10"/>
        <v>80.78279735</v>
      </c>
      <c r="O169" s="24"/>
      <c r="P169" s="24"/>
      <c r="Q169" s="24"/>
      <c r="R169" s="26"/>
      <c r="S169" s="14">
        <f t="shared" si="13"/>
        <v>74.18253023</v>
      </c>
      <c r="U169" s="21"/>
      <c r="V169" s="21"/>
    </row>
    <row r="170">
      <c r="A170" s="11">
        <v>158.0</v>
      </c>
      <c r="B170" s="11">
        <v>1.42008260869565E9</v>
      </c>
      <c r="C170" s="2">
        <v>-101.7484283</v>
      </c>
      <c r="D170" s="24">
        <f t="shared" si="1"/>
        <v>-317391.3043</v>
      </c>
      <c r="E170" s="25">
        <f t="shared" si="2"/>
        <v>66.11732152</v>
      </c>
      <c r="F170" s="24">
        <f t="shared" si="3"/>
        <v>0.0002083148486</v>
      </c>
      <c r="G170" s="24">
        <f t="shared" si="4"/>
        <v>0</v>
      </c>
      <c r="H170" s="26">
        <f t="shared" si="5"/>
        <v>0</v>
      </c>
      <c r="I170" s="24">
        <f t="shared" si="6"/>
        <v>0</v>
      </c>
      <c r="J170" s="24">
        <f t="shared" si="7"/>
        <v>0</v>
      </c>
      <c r="K170" s="24"/>
      <c r="L170" s="24">
        <f t="shared" si="8"/>
        <v>508.4676619</v>
      </c>
      <c r="M170" s="14">
        <f t="shared" si="9"/>
        <v>433.7241356</v>
      </c>
      <c r="N170" s="27">
        <f t="shared" si="10"/>
        <v>74.74352628</v>
      </c>
      <c r="O170" s="24"/>
      <c r="P170" s="24"/>
      <c r="Q170" s="24"/>
      <c r="R170" s="26"/>
      <c r="S170" s="14">
        <f t="shared" si="13"/>
        <v>68.63669114</v>
      </c>
      <c r="U170" s="21"/>
      <c r="V170" s="21"/>
    </row>
    <row r="171">
      <c r="A171" s="11">
        <v>159.0</v>
      </c>
      <c r="B171" s="11">
        <v>1.42008695652173E9</v>
      </c>
      <c r="C171" s="2">
        <v>-101.7107773</v>
      </c>
      <c r="D171" s="24">
        <f t="shared" si="1"/>
        <v>-313043.4783</v>
      </c>
      <c r="E171" s="25">
        <f t="shared" si="2"/>
        <v>65.19902538</v>
      </c>
      <c r="F171" s="24">
        <f t="shared" si="3"/>
        <v>0.0002082746644</v>
      </c>
      <c r="G171" s="24">
        <f t="shared" si="4"/>
        <v>0</v>
      </c>
      <c r="H171" s="26">
        <f t="shared" si="5"/>
        <v>0</v>
      </c>
      <c r="I171" s="24">
        <f t="shared" si="6"/>
        <v>0</v>
      </c>
      <c r="J171" s="24">
        <f t="shared" si="7"/>
        <v>0</v>
      </c>
      <c r="K171" s="24"/>
      <c r="L171" s="24">
        <f t="shared" si="8"/>
        <v>512.894967</v>
      </c>
      <c r="M171" s="14">
        <f t="shared" si="9"/>
        <v>433.6761858</v>
      </c>
      <c r="N171" s="27">
        <f t="shared" si="10"/>
        <v>79.21878116</v>
      </c>
      <c r="O171" s="24"/>
      <c r="P171" s="24"/>
      <c r="Q171" s="24"/>
      <c r="R171" s="26"/>
      <c r="S171" s="14">
        <f t="shared" si="13"/>
        <v>72.74630038</v>
      </c>
      <c r="U171" s="21"/>
      <c r="V171" s="21"/>
    </row>
    <row r="172">
      <c r="A172" s="11">
        <v>160.0</v>
      </c>
      <c r="B172" s="11">
        <v>1.42009130434782E9</v>
      </c>
      <c r="C172" s="2">
        <v>-101.6833267</v>
      </c>
      <c r="D172" s="24">
        <f t="shared" si="1"/>
        <v>-308695.6522</v>
      </c>
      <c r="E172" s="25">
        <f t="shared" si="2"/>
        <v>64.28072925</v>
      </c>
      <c r="F172" s="24">
        <f t="shared" si="3"/>
        <v>0.0002082333483</v>
      </c>
      <c r="G172" s="24">
        <f t="shared" si="4"/>
        <v>0</v>
      </c>
      <c r="H172" s="26">
        <f t="shared" si="5"/>
        <v>0</v>
      </c>
      <c r="I172" s="24">
        <f t="shared" si="6"/>
        <v>0</v>
      </c>
      <c r="J172" s="24">
        <f t="shared" si="7"/>
        <v>0</v>
      </c>
      <c r="K172" s="24"/>
      <c r="L172" s="24">
        <f t="shared" si="8"/>
        <v>516.1471069</v>
      </c>
      <c r="M172" s="14">
        <f t="shared" si="9"/>
        <v>433.6279788</v>
      </c>
      <c r="N172" s="27">
        <f t="shared" si="10"/>
        <v>82.51912807</v>
      </c>
      <c r="O172" s="24"/>
      <c r="P172" s="24"/>
      <c r="Q172" s="24"/>
      <c r="R172" s="26"/>
      <c r="S172" s="14">
        <f t="shared" si="13"/>
        <v>75.77699619</v>
      </c>
      <c r="U172" s="21"/>
      <c r="V172" s="21"/>
    </row>
    <row r="173">
      <c r="A173" s="11">
        <v>161.0</v>
      </c>
      <c r="B173" s="11">
        <v>1.42009565217391E9</v>
      </c>
      <c r="C173" s="2">
        <v>-101.7177429</v>
      </c>
      <c r="D173" s="24">
        <f t="shared" si="1"/>
        <v>-304347.8261</v>
      </c>
      <c r="E173" s="25">
        <f t="shared" si="2"/>
        <v>63.36243312</v>
      </c>
      <c r="F173" s="24">
        <f t="shared" si="3"/>
        <v>0.0002081908517</v>
      </c>
      <c r="G173" s="24">
        <f t="shared" si="4"/>
        <v>0</v>
      </c>
      <c r="H173" s="26">
        <f t="shared" si="5"/>
        <v>0</v>
      </c>
      <c r="I173" s="24">
        <f t="shared" si="6"/>
        <v>0</v>
      </c>
      <c r="J173" s="24">
        <f t="shared" si="7"/>
        <v>0</v>
      </c>
      <c r="K173" s="24"/>
      <c r="L173" s="24">
        <f t="shared" si="8"/>
        <v>512.0729999</v>
      </c>
      <c r="M173" s="14">
        <f t="shared" si="9"/>
        <v>433.5795136</v>
      </c>
      <c r="N173" s="27">
        <f t="shared" si="10"/>
        <v>78.49348627</v>
      </c>
      <c r="O173" s="24"/>
      <c r="P173" s="24"/>
      <c r="Q173" s="24"/>
      <c r="R173" s="26"/>
      <c r="S173" s="14">
        <f t="shared" si="13"/>
        <v>72.08026473</v>
      </c>
      <c r="U173" s="21"/>
      <c r="V173" s="21"/>
    </row>
    <row r="174">
      <c r="A174" s="11">
        <v>162.0</v>
      </c>
      <c r="B174" s="11">
        <v>1.4201E9</v>
      </c>
      <c r="C174" s="2">
        <v>-101.6459274</v>
      </c>
      <c r="D174" s="24">
        <f t="shared" si="1"/>
        <v>-300000</v>
      </c>
      <c r="E174" s="25">
        <f t="shared" si="2"/>
        <v>62.44413699</v>
      </c>
      <c r="F174" s="24">
        <f t="shared" si="3"/>
        <v>0.0002081471233</v>
      </c>
      <c r="G174" s="24">
        <f t="shared" si="4"/>
        <v>0</v>
      </c>
      <c r="H174" s="26">
        <f t="shared" si="5"/>
        <v>0</v>
      </c>
      <c r="I174" s="24">
        <f t="shared" si="6"/>
        <v>0</v>
      </c>
      <c r="J174" s="24">
        <f t="shared" si="7"/>
        <v>0</v>
      </c>
      <c r="K174" s="24"/>
      <c r="L174" s="24">
        <f t="shared" si="8"/>
        <v>520.6111046</v>
      </c>
      <c r="M174" s="14">
        <f t="shared" si="9"/>
        <v>433.5307893</v>
      </c>
      <c r="N174" s="27">
        <f t="shared" si="10"/>
        <v>87.08031532</v>
      </c>
      <c r="O174" s="24"/>
      <c r="P174" s="24"/>
      <c r="Q174" s="24"/>
      <c r="R174" s="26"/>
      <c r="S174" s="14">
        <f t="shared" si="13"/>
        <v>79.9655168</v>
      </c>
      <c r="U174" s="21"/>
      <c r="V174" s="21"/>
    </row>
    <row r="175">
      <c r="A175" s="11">
        <v>163.0</v>
      </c>
      <c r="B175" s="11">
        <v>1.42010434782608E9</v>
      </c>
      <c r="C175" s="2">
        <v>-101.7113571</v>
      </c>
      <c r="D175" s="24">
        <f t="shared" si="1"/>
        <v>-295652.1739</v>
      </c>
      <c r="E175" s="25">
        <f t="shared" si="2"/>
        <v>61.52584085</v>
      </c>
      <c r="F175" s="24">
        <f t="shared" si="3"/>
        <v>0.0002081021088</v>
      </c>
      <c r="G175" s="24">
        <f t="shared" si="4"/>
        <v>0</v>
      </c>
      <c r="H175" s="26">
        <f t="shared" si="5"/>
        <v>0</v>
      </c>
      <c r="I175" s="24">
        <f t="shared" si="6"/>
        <v>0</v>
      </c>
      <c r="J175" s="24">
        <f t="shared" si="7"/>
        <v>0</v>
      </c>
      <c r="K175" s="24"/>
      <c r="L175" s="24">
        <f t="shared" si="8"/>
        <v>512.8264981</v>
      </c>
      <c r="M175" s="14">
        <f t="shared" si="9"/>
        <v>433.4818049</v>
      </c>
      <c r="N175" s="27">
        <f t="shared" si="10"/>
        <v>79.34469318</v>
      </c>
      <c r="O175" s="24"/>
      <c r="P175" s="24"/>
      <c r="Q175" s="24"/>
      <c r="R175" s="26"/>
      <c r="S175" s="14">
        <f t="shared" si="13"/>
        <v>72.8619249</v>
      </c>
      <c r="U175" s="21"/>
      <c r="V175" s="21"/>
    </row>
    <row r="176">
      <c r="A176" s="11">
        <v>164.0</v>
      </c>
      <c r="B176" s="11">
        <v>1.42010869565217E9</v>
      </c>
      <c r="C176" s="2">
        <v>-101.6777496</v>
      </c>
      <c r="D176" s="24">
        <f t="shared" si="1"/>
        <v>-291304.3478</v>
      </c>
      <c r="E176" s="25">
        <f t="shared" si="2"/>
        <v>60.60754472</v>
      </c>
      <c r="F176" s="24">
        <f t="shared" si="3"/>
        <v>0.0002080557505</v>
      </c>
      <c r="G176" s="24">
        <f t="shared" si="4"/>
        <v>0</v>
      </c>
      <c r="H176" s="26">
        <f t="shared" si="5"/>
        <v>0</v>
      </c>
      <c r="I176" s="24">
        <f t="shared" si="6"/>
        <v>0</v>
      </c>
      <c r="J176" s="24">
        <f t="shared" si="7"/>
        <v>0</v>
      </c>
      <c r="K176" s="24"/>
      <c r="L176" s="24">
        <f t="shared" si="8"/>
        <v>516.8103557</v>
      </c>
      <c r="M176" s="14">
        <f t="shared" si="9"/>
        <v>433.4325595</v>
      </c>
      <c r="N176" s="27">
        <f t="shared" si="10"/>
        <v>83.37779627</v>
      </c>
      <c r="O176" s="24"/>
      <c r="P176" s="24"/>
      <c r="Q176" s="24"/>
      <c r="R176" s="26"/>
      <c r="S176" s="14">
        <f t="shared" si="13"/>
        <v>76.56550769</v>
      </c>
      <c r="U176" s="21"/>
      <c r="V176" s="21"/>
    </row>
    <row r="177">
      <c r="A177" s="11">
        <v>165.0</v>
      </c>
      <c r="B177" s="11">
        <v>1.42011304347826E9</v>
      </c>
      <c r="C177" s="2">
        <v>-101.6815033</v>
      </c>
      <c r="D177" s="24">
        <f t="shared" si="1"/>
        <v>-286956.5217</v>
      </c>
      <c r="E177" s="25">
        <f t="shared" si="2"/>
        <v>59.68924859</v>
      </c>
      <c r="F177" s="24">
        <f t="shared" si="3"/>
        <v>0.0002080079875</v>
      </c>
      <c r="G177" s="24">
        <f t="shared" si="4"/>
        <v>0</v>
      </c>
      <c r="H177" s="26">
        <f t="shared" si="5"/>
        <v>0</v>
      </c>
      <c r="I177" s="24">
        <f t="shared" si="6"/>
        <v>0</v>
      </c>
      <c r="J177" s="24">
        <f t="shared" si="7"/>
        <v>0</v>
      </c>
      <c r="K177" s="24"/>
      <c r="L177" s="24">
        <f t="shared" si="8"/>
        <v>516.3638585</v>
      </c>
      <c r="M177" s="14">
        <f t="shared" si="9"/>
        <v>433.383052</v>
      </c>
      <c r="N177" s="27">
        <f t="shared" si="10"/>
        <v>82.98080645</v>
      </c>
      <c r="O177" s="24"/>
      <c r="P177" s="24"/>
      <c r="Q177" s="24"/>
      <c r="R177" s="26"/>
      <c r="S177" s="14">
        <f t="shared" si="13"/>
        <v>76.20095366</v>
      </c>
      <c r="U177" s="21"/>
      <c r="V177" s="21"/>
    </row>
    <row r="178">
      <c r="A178" s="11">
        <v>166.0</v>
      </c>
      <c r="B178" s="11">
        <v>1.42011739130434E9</v>
      </c>
      <c r="C178" s="2">
        <v>-101.6990433</v>
      </c>
      <c r="D178" s="24">
        <f t="shared" si="1"/>
        <v>-282608.6957</v>
      </c>
      <c r="E178" s="25">
        <f t="shared" si="2"/>
        <v>58.77095246</v>
      </c>
      <c r="F178" s="24">
        <f t="shared" si="3"/>
        <v>0.0002079587548</v>
      </c>
      <c r="G178" s="24">
        <f t="shared" si="4"/>
        <v>0</v>
      </c>
      <c r="H178" s="26">
        <f t="shared" si="5"/>
        <v>0</v>
      </c>
      <c r="I178" s="24">
        <f t="shared" si="6"/>
        <v>0</v>
      </c>
      <c r="J178" s="24">
        <f t="shared" si="7"/>
        <v>0</v>
      </c>
      <c r="K178" s="24"/>
      <c r="L178" s="24">
        <f t="shared" si="8"/>
        <v>514.2826077</v>
      </c>
      <c r="M178" s="14">
        <f t="shared" si="9"/>
        <v>433.3332817</v>
      </c>
      <c r="N178" s="27">
        <f t="shared" si="10"/>
        <v>80.94932606</v>
      </c>
      <c r="O178" s="24"/>
      <c r="P178" s="24"/>
      <c r="Q178" s="24"/>
      <c r="R178" s="26"/>
      <c r="S178" s="14">
        <f t="shared" si="13"/>
        <v>74.33545308</v>
      </c>
      <c r="U178" s="21"/>
      <c r="V178" s="21"/>
    </row>
    <row r="179">
      <c r="A179" s="11">
        <v>167.0</v>
      </c>
      <c r="B179" s="11">
        <v>1.42012173913043E9</v>
      </c>
      <c r="C179" s="2">
        <v>-101.6668854</v>
      </c>
      <c r="D179" s="24">
        <f t="shared" si="1"/>
        <v>-278260.8696</v>
      </c>
      <c r="E179" s="25">
        <f t="shared" si="2"/>
        <v>57.85265632</v>
      </c>
      <c r="F179" s="24">
        <f t="shared" si="3"/>
        <v>0.0002079079837</v>
      </c>
      <c r="G179" s="24">
        <f t="shared" si="4"/>
        <v>0</v>
      </c>
      <c r="H179" s="26">
        <f t="shared" si="5"/>
        <v>0</v>
      </c>
      <c r="I179" s="24">
        <f t="shared" si="6"/>
        <v>0</v>
      </c>
      <c r="J179" s="24">
        <f t="shared" si="7"/>
        <v>0</v>
      </c>
      <c r="K179" s="24"/>
      <c r="L179" s="24">
        <f t="shared" si="8"/>
        <v>518.1048138</v>
      </c>
      <c r="M179" s="14">
        <f t="shared" si="9"/>
        <v>433.2832474</v>
      </c>
      <c r="N179" s="27">
        <f t="shared" si="10"/>
        <v>84.82156636</v>
      </c>
      <c r="O179" s="24"/>
      <c r="P179" s="24"/>
      <c r="Q179" s="24"/>
      <c r="R179" s="26"/>
      <c r="S179" s="14">
        <f t="shared" si="13"/>
        <v>77.89131619</v>
      </c>
      <c r="U179" s="21"/>
      <c r="V179" s="21"/>
    </row>
    <row r="180">
      <c r="A180" s="11">
        <v>168.0</v>
      </c>
      <c r="B180" s="11">
        <v>1.42012608695652E9</v>
      </c>
      <c r="C180" s="2">
        <v>-101.7462463</v>
      </c>
      <c r="D180" s="24">
        <f t="shared" si="1"/>
        <v>-273913.0435</v>
      </c>
      <c r="E180" s="25">
        <f t="shared" si="2"/>
        <v>56.93436019</v>
      </c>
      <c r="F180" s="24">
        <f t="shared" si="3"/>
        <v>0.0002078556007</v>
      </c>
      <c r="G180" s="24">
        <f t="shared" si="4"/>
        <v>0</v>
      </c>
      <c r="H180" s="26">
        <f t="shared" si="5"/>
        <v>0</v>
      </c>
      <c r="I180" s="24">
        <f t="shared" si="6"/>
        <v>0</v>
      </c>
      <c r="J180" s="24">
        <f t="shared" si="7"/>
        <v>0</v>
      </c>
      <c r="K180" s="24"/>
      <c r="L180" s="24">
        <f t="shared" si="8"/>
        <v>508.7231925</v>
      </c>
      <c r="M180" s="14">
        <f t="shared" si="9"/>
        <v>433.2329483</v>
      </c>
      <c r="N180" s="27">
        <f t="shared" si="10"/>
        <v>75.49024418</v>
      </c>
      <c r="O180" s="24"/>
      <c r="P180" s="24"/>
      <c r="Q180" s="24"/>
      <c r="R180" s="26"/>
      <c r="S180" s="14">
        <f t="shared" si="13"/>
        <v>69.3223993</v>
      </c>
      <c r="U180" s="21"/>
      <c r="V180" s="21"/>
    </row>
    <row r="181">
      <c r="A181" s="11">
        <v>169.0</v>
      </c>
      <c r="B181" s="11">
        <v>1.4201304347826E9</v>
      </c>
      <c r="C181" s="2">
        <v>-101.6722031</v>
      </c>
      <c r="D181" s="24">
        <f t="shared" si="1"/>
        <v>-269565.2174</v>
      </c>
      <c r="E181" s="25">
        <f t="shared" si="2"/>
        <v>56.01606406</v>
      </c>
      <c r="F181" s="24">
        <f t="shared" si="3"/>
        <v>0.000207801528</v>
      </c>
      <c r="G181" s="24">
        <f t="shared" si="4"/>
        <v>0</v>
      </c>
      <c r="H181" s="26">
        <f t="shared" si="5"/>
        <v>0</v>
      </c>
      <c r="I181" s="24">
        <f t="shared" si="6"/>
        <v>0</v>
      </c>
      <c r="J181" s="24">
        <f t="shared" si="7"/>
        <v>0</v>
      </c>
      <c r="K181" s="24"/>
      <c r="L181" s="24">
        <f t="shared" si="8"/>
        <v>517.4708108</v>
      </c>
      <c r="M181" s="14">
        <f t="shared" si="9"/>
        <v>433.1823834</v>
      </c>
      <c r="N181" s="27">
        <f t="shared" si="10"/>
        <v>84.28842743</v>
      </c>
      <c r="O181" s="24"/>
      <c r="P181" s="24"/>
      <c r="Q181" s="24"/>
      <c r="R181" s="26"/>
      <c r="S181" s="14">
        <f t="shared" si="13"/>
        <v>77.40173694</v>
      </c>
      <c r="U181" s="21"/>
      <c r="V181" s="21"/>
    </row>
    <row r="182">
      <c r="A182" s="11">
        <v>170.0</v>
      </c>
      <c r="B182" s="11">
        <v>1.42013478260869E9</v>
      </c>
      <c r="C182" s="2">
        <v>-101.67733</v>
      </c>
      <c r="D182" s="24">
        <f t="shared" si="1"/>
        <v>-265217.3913</v>
      </c>
      <c r="E182" s="25">
        <f t="shared" si="2"/>
        <v>55.09776793</v>
      </c>
      <c r="F182" s="24">
        <f t="shared" si="3"/>
        <v>0.0002077456823</v>
      </c>
      <c r="G182" s="24">
        <f t="shared" si="4"/>
        <v>0</v>
      </c>
      <c r="H182" s="26">
        <f t="shared" si="5"/>
        <v>0</v>
      </c>
      <c r="I182" s="24">
        <f t="shared" si="6"/>
        <v>0</v>
      </c>
      <c r="J182" s="24">
        <f t="shared" si="7"/>
        <v>0</v>
      </c>
      <c r="K182" s="24"/>
      <c r="L182" s="24">
        <f t="shared" si="8"/>
        <v>516.8602905</v>
      </c>
      <c r="M182" s="14">
        <f t="shared" si="9"/>
        <v>433.1315517</v>
      </c>
      <c r="N182" s="27">
        <f t="shared" si="10"/>
        <v>83.72873884</v>
      </c>
      <c r="O182" s="24"/>
      <c r="P182" s="24"/>
      <c r="Q182" s="24"/>
      <c r="R182" s="26"/>
      <c r="S182" s="14">
        <f t="shared" si="13"/>
        <v>76.88777709</v>
      </c>
      <c r="U182" s="21"/>
      <c r="V182" s="21"/>
    </row>
    <row r="183">
      <c r="A183" s="11">
        <v>171.0</v>
      </c>
      <c r="B183" s="11">
        <v>1.42013913043478E9</v>
      </c>
      <c r="C183" s="2">
        <v>-101.69384</v>
      </c>
      <c r="D183" s="24">
        <f t="shared" si="1"/>
        <v>-260869.5652</v>
      </c>
      <c r="E183" s="25">
        <f t="shared" si="2"/>
        <v>54.1794718</v>
      </c>
      <c r="F183" s="24">
        <f t="shared" si="3"/>
        <v>0.0002076879752</v>
      </c>
      <c r="G183" s="24">
        <f t="shared" si="4"/>
        <v>0</v>
      </c>
      <c r="H183" s="26">
        <f t="shared" si="5"/>
        <v>0</v>
      </c>
      <c r="I183" s="24">
        <f t="shared" si="6"/>
        <v>0</v>
      </c>
      <c r="J183" s="24">
        <f t="shared" si="7"/>
        <v>0</v>
      </c>
      <c r="K183" s="24"/>
      <c r="L183" s="24">
        <f t="shared" si="8"/>
        <v>514.8991411</v>
      </c>
      <c r="M183" s="14">
        <f t="shared" si="9"/>
        <v>433.0804523</v>
      </c>
      <c r="N183" s="27">
        <f t="shared" si="10"/>
        <v>81.81868877</v>
      </c>
      <c r="O183" s="24"/>
      <c r="P183" s="24"/>
      <c r="Q183" s="24"/>
      <c r="R183" s="26"/>
      <c r="S183" s="14">
        <f t="shared" si="13"/>
        <v>75.13378531</v>
      </c>
      <c r="U183" s="21"/>
      <c r="V183" s="21"/>
    </row>
    <row r="184">
      <c r="A184" s="11">
        <v>172.0</v>
      </c>
      <c r="B184" s="11">
        <v>1.42014347826087E9</v>
      </c>
      <c r="C184" s="2">
        <v>-101.6059036</v>
      </c>
      <c r="D184" s="24">
        <f t="shared" si="1"/>
        <v>-256521.7391</v>
      </c>
      <c r="E184" s="25">
        <f t="shared" si="2"/>
        <v>53.26117567</v>
      </c>
      <c r="F184" s="24">
        <f t="shared" si="3"/>
        <v>0.0002076283119</v>
      </c>
      <c r="G184" s="24">
        <f t="shared" si="4"/>
        <v>0</v>
      </c>
      <c r="H184" s="26">
        <f t="shared" si="5"/>
        <v>0</v>
      </c>
      <c r="I184" s="24">
        <f t="shared" si="6"/>
        <v>0</v>
      </c>
      <c r="J184" s="24">
        <f t="shared" si="7"/>
        <v>0</v>
      </c>
      <c r="K184" s="24"/>
      <c r="L184" s="24">
        <f t="shared" si="8"/>
        <v>525.4311393</v>
      </c>
      <c r="M184" s="14">
        <f t="shared" si="9"/>
        <v>433.0290843</v>
      </c>
      <c r="N184" s="27">
        <f t="shared" si="10"/>
        <v>92.40205502</v>
      </c>
      <c r="O184" s="24"/>
      <c r="P184" s="24"/>
      <c r="Q184" s="24"/>
      <c r="R184" s="26"/>
      <c r="S184" s="14">
        <f t="shared" si="13"/>
        <v>84.85244978</v>
      </c>
      <c r="U184" s="21"/>
      <c r="V184" s="21"/>
    </row>
    <row r="185">
      <c r="A185" s="11">
        <v>173.0</v>
      </c>
      <c r="B185" s="11">
        <v>1.42014782608695E9</v>
      </c>
      <c r="C185" s="2">
        <v>-101.6161041</v>
      </c>
      <c r="D185" s="24">
        <f t="shared" si="1"/>
        <v>-252173.913</v>
      </c>
      <c r="E185" s="25">
        <f t="shared" si="2"/>
        <v>52.34287953</v>
      </c>
      <c r="F185" s="24">
        <f t="shared" si="3"/>
        <v>0.0002075665912</v>
      </c>
      <c r="G185" s="24">
        <f t="shared" si="4"/>
        <v>0</v>
      </c>
      <c r="H185" s="26">
        <f t="shared" si="5"/>
        <v>0</v>
      </c>
      <c r="I185" s="24">
        <f t="shared" si="6"/>
        <v>0</v>
      </c>
      <c r="J185" s="24">
        <f t="shared" si="7"/>
        <v>0</v>
      </c>
      <c r="K185" s="24"/>
      <c r="L185" s="24">
        <f t="shared" si="8"/>
        <v>524.1984801</v>
      </c>
      <c r="M185" s="14">
        <f t="shared" si="9"/>
        <v>432.9774467</v>
      </c>
      <c r="N185" s="27">
        <f t="shared" si="10"/>
        <v>91.22103343</v>
      </c>
      <c r="O185" s="24"/>
      <c r="P185" s="24"/>
      <c r="Q185" s="24"/>
      <c r="R185" s="26"/>
      <c r="S185" s="14">
        <f t="shared" si="13"/>
        <v>83.76792223</v>
      </c>
      <c r="U185" s="21"/>
      <c r="V185" s="21"/>
    </row>
    <row r="186">
      <c r="A186" s="11">
        <v>174.0</v>
      </c>
      <c r="B186" s="11">
        <v>1.42015217391304E9</v>
      </c>
      <c r="C186" s="2">
        <v>-101.7364502</v>
      </c>
      <c r="D186" s="24">
        <f t="shared" si="1"/>
        <v>-247826.087</v>
      </c>
      <c r="E186" s="25">
        <f t="shared" si="2"/>
        <v>51.4245834</v>
      </c>
      <c r="F186" s="24">
        <f t="shared" si="3"/>
        <v>0.0002075027049</v>
      </c>
      <c r="G186" s="24">
        <f t="shared" si="4"/>
        <v>0</v>
      </c>
      <c r="H186" s="26">
        <f t="shared" si="5"/>
        <v>0</v>
      </c>
      <c r="I186" s="24">
        <f t="shared" si="6"/>
        <v>0</v>
      </c>
      <c r="J186" s="24">
        <f t="shared" si="7"/>
        <v>0</v>
      </c>
      <c r="K186" s="24"/>
      <c r="L186" s="24">
        <f t="shared" si="8"/>
        <v>509.8719816</v>
      </c>
      <c r="M186" s="14">
        <f t="shared" si="9"/>
        <v>432.9255385</v>
      </c>
      <c r="N186" s="27">
        <f t="shared" si="10"/>
        <v>76.94644318</v>
      </c>
      <c r="O186" s="24"/>
      <c r="P186" s="24"/>
      <c r="Q186" s="24"/>
      <c r="R186" s="26"/>
      <c r="S186" s="14">
        <f t="shared" si="13"/>
        <v>70.65962104</v>
      </c>
      <c r="U186" s="21"/>
      <c r="V186" s="21"/>
    </row>
    <row r="187">
      <c r="A187" s="11">
        <v>175.0</v>
      </c>
      <c r="B187" s="11">
        <v>1.42015652173913E9</v>
      </c>
      <c r="C187" s="2">
        <v>-101.712059</v>
      </c>
      <c r="D187" s="24">
        <f t="shared" si="1"/>
        <v>-243478.2609</v>
      </c>
      <c r="E187" s="25">
        <f t="shared" si="2"/>
        <v>50.50628727</v>
      </c>
      <c r="F187" s="24">
        <f t="shared" si="3"/>
        <v>0.000207436537</v>
      </c>
      <c r="G187" s="24">
        <f t="shared" si="4"/>
        <v>0</v>
      </c>
      <c r="H187" s="26">
        <f t="shared" si="5"/>
        <v>0</v>
      </c>
      <c r="I187" s="24">
        <f t="shared" si="6"/>
        <v>0</v>
      </c>
      <c r="J187" s="24">
        <f t="shared" si="7"/>
        <v>0</v>
      </c>
      <c r="K187" s="24"/>
      <c r="L187" s="24">
        <f t="shared" si="8"/>
        <v>512.7436226</v>
      </c>
      <c r="M187" s="14">
        <f t="shared" si="9"/>
        <v>432.8733587</v>
      </c>
      <c r="N187" s="27">
        <f t="shared" si="10"/>
        <v>79.87026382</v>
      </c>
      <c r="O187" s="24"/>
      <c r="P187" s="24"/>
      <c r="Q187" s="24"/>
      <c r="R187" s="26"/>
      <c r="S187" s="14">
        <f t="shared" si="13"/>
        <v>73.34455439</v>
      </c>
      <c r="U187" s="21"/>
      <c r="V187" s="21"/>
    </row>
    <row r="188">
      <c r="A188" s="11">
        <v>176.0</v>
      </c>
      <c r="B188" s="11">
        <v>1.42016086956521E9</v>
      </c>
      <c r="C188" s="2">
        <v>-101.7087708</v>
      </c>
      <c r="D188" s="24">
        <f t="shared" si="1"/>
        <v>-239130.4348</v>
      </c>
      <c r="E188" s="25">
        <f t="shared" si="2"/>
        <v>49.58799114</v>
      </c>
      <c r="F188" s="24">
        <f t="shared" si="3"/>
        <v>0.0002073679629</v>
      </c>
      <c r="G188" s="24">
        <f t="shared" si="4"/>
        <v>0</v>
      </c>
      <c r="H188" s="26">
        <f t="shared" si="5"/>
        <v>0</v>
      </c>
      <c r="I188" s="24">
        <f t="shared" si="6"/>
        <v>0</v>
      </c>
      <c r="J188" s="24">
        <f t="shared" si="7"/>
        <v>0</v>
      </c>
      <c r="K188" s="24"/>
      <c r="L188" s="24">
        <f t="shared" si="8"/>
        <v>513.1319862</v>
      </c>
      <c r="M188" s="14">
        <f t="shared" si="9"/>
        <v>432.8209066</v>
      </c>
      <c r="N188" s="27">
        <f t="shared" si="10"/>
        <v>80.31107968</v>
      </c>
      <c r="O188" s="24"/>
      <c r="P188" s="24"/>
      <c r="Q188" s="24"/>
      <c r="R188" s="26"/>
      <c r="S188" s="14">
        <f t="shared" si="13"/>
        <v>73.74935389</v>
      </c>
      <c r="U188" s="21"/>
      <c r="V188" s="21"/>
    </row>
    <row r="189">
      <c r="A189" s="11">
        <v>177.0</v>
      </c>
      <c r="B189" s="11">
        <v>1.4201652173913E9</v>
      </c>
      <c r="C189" s="2">
        <v>-101.6994934</v>
      </c>
      <c r="D189" s="24">
        <f t="shared" si="1"/>
        <v>-234782.6087</v>
      </c>
      <c r="E189" s="25">
        <f t="shared" si="2"/>
        <v>48.669695</v>
      </c>
      <c r="F189" s="24">
        <f t="shared" si="3"/>
        <v>0.0002072968491</v>
      </c>
      <c r="G189" s="24">
        <f t="shared" si="4"/>
        <v>0</v>
      </c>
      <c r="H189" s="26">
        <f t="shared" si="5"/>
        <v>0</v>
      </c>
      <c r="I189" s="24">
        <f t="shared" si="6"/>
        <v>0</v>
      </c>
      <c r="J189" s="24">
        <f t="shared" si="7"/>
        <v>0</v>
      </c>
      <c r="K189" s="24"/>
      <c r="L189" s="24">
        <f t="shared" si="8"/>
        <v>514.2293106</v>
      </c>
      <c r="M189" s="14">
        <f t="shared" si="9"/>
        <v>432.768181</v>
      </c>
      <c r="N189" s="27">
        <f t="shared" si="10"/>
        <v>81.46112962</v>
      </c>
      <c r="O189" s="24"/>
      <c r="P189" s="24"/>
      <c r="Q189" s="24"/>
      <c r="R189" s="26"/>
      <c r="S189" s="14">
        <f t="shared" si="13"/>
        <v>74.80544013</v>
      </c>
      <c r="U189" s="21"/>
      <c r="V189" s="21"/>
    </row>
    <row r="190">
      <c r="A190" s="11">
        <v>178.0</v>
      </c>
      <c r="B190" s="11">
        <v>1.42016956521739E9</v>
      </c>
      <c r="C190" s="2">
        <v>-101.6626053</v>
      </c>
      <c r="D190" s="24">
        <f t="shared" si="1"/>
        <v>-230434.7826</v>
      </c>
      <c r="E190" s="25">
        <f t="shared" si="2"/>
        <v>47.75139887</v>
      </c>
      <c r="F190" s="24">
        <f t="shared" si="3"/>
        <v>0.0002072230517</v>
      </c>
      <c r="G190" s="24">
        <f t="shared" si="4"/>
        <v>0</v>
      </c>
      <c r="H190" s="26">
        <f t="shared" si="5"/>
        <v>0</v>
      </c>
      <c r="I190" s="24">
        <f t="shared" si="6"/>
        <v>0</v>
      </c>
      <c r="J190" s="24">
        <f t="shared" si="7"/>
        <v>0</v>
      </c>
      <c r="K190" s="24"/>
      <c r="L190" s="24">
        <f t="shared" si="8"/>
        <v>518.615673</v>
      </c>
      <c r="M190" s="14">
        <f t="shared" si="9"/>
        <v>432.715181</v>
      </c>
      <c r="N190" s="27">
        <f t="shared" si="10"/>
        <v>85.90049203</v>
      </c>
      <c r="O190" s="24"/>
      <c r="P190" s="24"/>
      <c r="Q190" s="24"/>
      <c r="R190" s="26"/>
      <c r="S190" s="14">
        <f t="shared" si="13"/>
        <v>78.88208963</v>
      </c>
      <c r="U190" s="21"/>
      <c r="V190" s="21"/>
    </row>
    <row r="191">
      <c r="A191" s="11">
        <v>179.0</v>
      </c>
      <c r="B191" s="11">
        <v>1.42017391304347E9</v>
      </c>
      <c r="C191" s="2">
        <v>-101.6723709</v>
      </c>
      <c r="D191" s="24">
        <f t="shared" si="1"/>
        <v>-226086.9565</v>
      </c>
      <c r="E191" s="25">
        <f t="shared" si="2"/>
        <v>46.83310274</v>
      </c>
      <c r="F191" s="24">
        <f t="shared" si="3"/>
        <v>0.000207146416</v>
      </c>
      <c r="G191" s="24">
        <f t="shared" si="4"/>
        <v>0</v>
      </c>
      <c r="H191" s="26">
        <f t="shared" si="5"/>
        <v>0</v>
      </c>
      <c r="I191" s="24">
        <f t="shared" si="6"/>
        <v>0</v>
      </c>
      <c r="J191" s="24">
        <f t="shared" si="7"/>
        <v>0</v>
      </c>
      <c r="K191" s="24"/>
      <c r="L191" s="24">
        <f t="shared" si="8"/>
        <v>517.4508175</v>
      </c>
      <c r="M191" s="14">
        <f t="shared" si="9"/>
        <v>432.6619057</v>
      </c>
      <c r="N191" s="27">
        <f t="shared" si="10"/>
        <v>84.78891179</v>
      </c>
      <c r="O191" s="24"/>
      <c r="P191" s="24"/>
      <c r="Q191" s="24"/>
      <c r="R191" s="26"/>
      <c r="S191" s="14">
        <f t="shared" si="13"/>
        <v>77.8613298</v>
      </c>
      <c r="U191" s="21"/>
      <c r="V191" s="21"/>
    </row>
    <row r="192">
      <c r="A192" s="11">
        <v>180.0</v>
      </c>
      <c r="B192" s="11">
        <v>1.42017826086956E9</v>
      </c>
      <c r="C192" s="2">
        <v>-101.6746368</v>
      </c>
      <c r="D192" s="24">
        <f t="shared" si="1"/>
        <v>-221739.1304</v>
      </c>
      <c r="E192" s="25">
        <f t="shared" si="2"/>
        <v>45.91480661</v>
      </c>
      <c r="F192" s="24">
        <f t="shared" si="3"/>
        <v>0.0002070667749</v>
      </c>
      <c r="G192" s="24">
        <f t="shared" si="4"/>
        <v>0</v>
      </c>
      <c r="H192" s="26">
        <f t="shared" si="5"/>
        <v>0</v>
      </c>
      <c r="I192" s="24">
        <f t="shared" si="6"/>
        <v>0</v>
      </c>
      <c r="J192" s="24">
        <f t="shared" si="7"/>
        <v>0</v>
      </c>
      <c r="K192" s="24"/>
      <c r="L192" s="24">
        <f t="shared" si="8"/>
        <v>517.1809117</v>
      </c>
      <c r="M192" s="14">
        <f t="shared" si="9"/>
        <v>432.6083541</v>
      </c>
      <c r="N192" s="27">
        <f t="shared" si="10"/>
        <v>84.57255756</v>
      </c>
      <c r="O192" s="24"/>
      <c r="P192" s="24"/>
      <c r="Q192" s="24"/>
      <c r="R192" s="26"/>
      <c r="S192" s="14">
        <f t="shared" si="13"/>
        <v>77.66265237</v>
      </c>
      <c r="U192" s="21"/>
      <c r="V192" s="21"/>
    </row>
    <row r="193">
      <c r="A193" s="11">
        <v>181.0</v>
      </c>
      <c r="B193" s="11">
        <v>1.42018260869565E9</v>
      </c>
      <c r="C193" s="2">
        <v>-101.6569443</v>
      </c>
      <c r="D193" s="24">
        <f t="shared" si="1"/>
        <v>-217391.3043</v>
      </c>
      <c r="E193" s="25">
        <f t="shared" si="2"/>
        <v>44.99651048</v>
      </c>
      <c r="F193" s="24">
        <f t="shared" si="3"/>
        <v>0.0002069839482</v>
      </c>
      <c r="G193" s="24">
        <f t="shared" si="4"/>
        <v>0</v>
      </c>
      <c r="H193" s="26">
        <f t="shared" si="5"/>
        <v>0</v>
      </c>
      <c r="I193" s="24">
        <f t="shared" si="6"/>
        <v>0</v>
      </c>
      <c r="J193" s="24">
        <f t="shared" si="7"/>
        <v>0</v>
      </c>
      <c r="K193" s="24"/>
      <c r="L193" s="24">
        <f t="shared" si="8"/>
        <v>519.2921259</v>
      </c>
      <c r="M193" s="14">
        <f t="shared" si="9"/>
        <v>432.5545253</v>
      </c>
      <c r="N193" s="27">
        <f t="shared" si="10"/>
        <v>86.73760061</v>
      </c>
      <c r="O193" s="24"/>
      <c r="P193" s="24"/>
      <c r="Q193" s="24"/>
      <c r="R193" s="26"/>
      <c r="S193" s="14">
        <f t="shared" si="13"/>
        <v>79.6508032</v>
      </c>
      <c r="U193" s="21"/>
      <c r="V193" s="21"/>
    </row>
    <row r="194">
      <c r="A194" s="11">
        <v>182.0</v>
      </c>
      <c r="B194" s="11">
        <v>1.42018695652173E9</v>
      </c>
      <c r="C194" s="2">
        <v>-101.7216187</v>
      </c>
      <c r="D194" s="24">
        <f t="shared" si="1"/>
        <v>-213043.4783</v>
      </c>
      <c r="E194" s="25">
        <f t="shared" si="2"/>
        <v>44.07821434</v>
      </c>
      <c r="F194" s="24">
        <f t="shared" si="3"/>
        <v>0.0002068977408</v>
      </c>
      <c r="G194" s="24">
        <f t="shared" si="4"/>
        <v>0</v>
      </c>
      <c r="H194" s="26">
        <f t="shared" si="5"/>
        <v>0</v>
      </c>
      <c r="I194" s="24">
        <f t="shared" si="6"/>
        <v>0</v>
      </c>
      <c r="J194" s="24">
        <f t="shared" si="7"/>
        <v>0</v>
      </c>
      <c r="K194" s="24"/>
      <c r="L194" s="24">
        <f t="shared" si="8"/>
        <v>511.6162114</v>
      </c>
      <c r="M194" s="14">
        <f t="shared" si="9"/>
        <v>432.5004183</v>
      </c>
      <c r="N194" s="27">
        <f t="shared" si="10"/>
        <v>79.11579312</v>
      </c>
      <c r="O194" s="24"/>
      <c r="P194" s="24"/>
      <c r="Q194" s="24"/>
      <c r="R194" s="26"/>
      <c r="S194" s="14">
        <f t="shared" si="13"/>
        <v>72.65172686</v>
      </c>
      <c r="U194" s="21"/>
      <c r="V194" s="21"/>
    </row>
    <row r="195">
      <c r="A195" s="11">
        <v>183.0</v>
      </c>
      <c r="B195" s="11">
        <v>1.42019130434782E9</v>
      </c>
      <c r="C195" s="2">
        <v>-101.6990433</v>
      </c>
      <c r="D195" s="24">
        <f t="shared" si="1"/>
        <v>-208695.6522</v>
      </c>
      <c r="E195" s="25">
        <f t="shared" si="2"/>
        <v>43.15991821</v>
      </c>
      <c r="F195" s="24">
        <f t="shared" si="3"/>
        <v>0.0002068079414</v>
      </c>
      <c r="G195" s="24">
        <f t="shared" si="4"/>
        <v>0</v>
      </c>
      <c r="H195" s="26">
        <f t="shared" si="5"/>
        <v>0</v>
      </c>
      <c r="I195" s="24">
        <f t="shared" si="6"/>
        <v>0</v>
      </c>
      <c r="J195" s="24">
        <f t="shared" si="7"/>
        <v>0</v>
      </c>
      <c r="K195" s="24"/>
      <c r="L195" s="24">
        <f t="shared" si="8"/>
        <v>514.2826077</v>
      </c>
      <c r="M195" s="14">
        <f t="shared" si="9"/>
        <v>432.4460322</v>
      </c>
      <c r="N195" s="27">
        <f t="shared" si="10"/>
        <v>81.83657554</v>
      </c>
      <c r="O195" s="24"/>
      <c r="P195" s="24"/>
      <c r="Q195" s="24"/>
      <c r="R195" s="26"/>
      <c r="S195" s="14">
        <f t="shared" si="13"/>
        <v>75.15021084</v>
      </c>
      <c r="U195" s="21"/>
      <c r="V195" s="21"/>
    </row>
    <row r="196">
      <c r="A196" s="11">
        <v>184.0</v>
      </c>
      <c r="B196" s="11">
        <v>1.42019565217391E9</v>
      </c>
      <c r="C196" s="2">
        <v>-101.6390228</v>
      </c>
      <c r="D196" s="24">
        <f t="shared" si="1"/>
        <v>-204347.8261</v>
      </c>
      <c r="E196" s="25">
        <f t="shared" si="2"/>
        <v>42.24162208</v>
      </c>
      <c r="F196" s="24">
        <f t="shared" si="3"/>
        <v>0.0002067143208</v>
      </c>
      <c r="G196" s="24">
        <f t="shared" si="4"/>
        <v>0</v>
      </c>
      <c r="H196" s="26">
        <f t="shared" si="5"/>
        <v>0</v>
      </c>
      <c r="I196" s="24">
        <f t="shared" si="6"/>
        <v>0</v>
      </c>
      <c r="J196" s="24">
        <f t="shared" si="7"/>
        <v>0</v>
      </c>
      <c r="K196" s="24"/>
      <c r="L196" s="24">
        <f t="shared" si="8"/>
        <v>521.4394528</v>
      </c>
      <c r="M196" s="14">
        <f t="shared" si="9"/>
        <v>432.391366</v>
      </c>
      <c r="N196" s="27">
        <f t="shared" si="10"/>
        <v>89.04808683</v>
      </c>
      <c r="O196" s="24"/>
      <c r="P196" s="24"/>
      <c r="Q196" s="24"/>
      <c r="R196" s="26"/>
      <c r="S196" s="14">
        <f t="shared" si="13"/>
        <v>81.77251358</v>
      </c>
      <c r="U196" s="21"/>
      <c r="V196" s="21"/>
    </row>
    <row r="197">
      <c r="A197" s="11">
        <v>185.0</v>
      </c>
      <c r="B197" s="11">
        <v>1.4202E9</v>
      </c>
      <c r="C197" s="2">
        <v>-101.7267303</v>
      </c>
      <c r="D197" s="24">
        <f t="shared" si="1"/>
        <v>-200000</v>
      </c>
      <c r="E197" s="25">
        <f t="shared" si="2"/>
        <v>41.32332595</v>
      </c>
      <c r="F197" s="24">
        <f t="shared" si="3"/>
        <v>0.0002066166297</v>
      </c>
      <c r="G197" s="24">
        <f t="shared" si="4"/>
        <v>0</v>
      </c>
      <c r="H197" s="26">
        <f t="shared" si="5"/>
        <v>0</v>
      </c>
      <c r="I197" s="24">
        <f t="shared" si="6"/>
        <v>0</v>
      </c>
      <c r="J197" s="24">
        <f t="shared" si="7"/>
        <v>0</v>
      </c>
      <c r="K197" s="24"/>
      <c r="L197" s="24">
        <f t="shared" si="8"/>
        <v>511.0143988</v>
      </c>
      <c r="M197" s="14">
        <f t="shared" si="9"/>
        <v>432.3364187</v>
      </c>
      <c r="N197" s="27">
        <f t="shared" si="10"/>
        <v>78.67798007</v>
      </c>
      <c r="O197" s="24"/>
      <c r="P197" s="24"/>
      <c r="Q197" s="24"/>
      <c r="R197" s="26"/>
      <c r="S197" s="14">
        <f t="shared" si="13"/>
        <v>72.24968483</v>
      </c>
      <c r="U197" s="21"/>
      <c r="V197" s="21"/>
    </row>
    <row r="198">
      <c r="A198" s="11">
        <v>186.0</v>
      </c>
      <c r="B198" s="11">
        <v>1.42020434782608E9</v>
      </c>
      <c r="C198" s="2">
        <v>-101.70961</v>
      </c>
      <c r="D198" s="24">
        <f t="shared" si="1"/>
        <v>-195652.1739</v>
      </c>
      <c r="E198" s="25">
        <f t="shared" si="2"/>
        <v>40.40502981</v>
      </c>
      <c r="F198" s="24">
        <f t="shared" si="3"/>
        <v>0.0002065145968</v>
      </c>
      <c r="G198" s="24">
        <f t="shared" si="4"/>
        <v>0</v>
      </c>
      <c r="H198" s="26">
        <f t="shared" si="5"/>
        <v>0</v>
      </c>
      <c r="I198" s="24">
        <f t="shared" si="6"/>
        <v>0</v>
      </c>
      <c r="J198" s="24">
        <f t="shared" si="7"/>
        <v>0</v>
      </c>
      <c r="K198" s="24"/>
      <c r="L198" s="24">
        <f t="shared" si="8"/>
        <v>513.0328418</v>
      </c>
      <c r="M198" s="14">
        <f t="shared" si="9"/>
        <v>432.2811895</v>
      </c>
      <c r="N198" s="27">
        <f t="shared" si="10"/>
        <v>80.75165233</v>
      </c>
      <c r="O198" s="24"/>
      <c r="P198" s="24"/>
      <c r="Q198" s="24"/>
      <c r="R198" s="26"/>
      <c r="S198" s="14">
        <f t="shared" si="13"/>
        <v>74.15393005</v>
      </c>
      <c r="U198" s="21"/>
      <c r="V198" s="21"/>
    </row>
    <row r="199">
      <c r="A199" s="11">
        <v>187.0</v>
      </c>
      <c r="B199" s="11">
        <v>1.42020869565217E9</v>
      </c>
      <c r="C199" s="2">
        <v>-101.7105789</v>
      </c>
      <c r="D199" s="24">
        <f t="shared" si="1"/>
        <v>-191304.3478</v>
      </c>
      <c r="E199" s="25">
        <f t="shared" si="2"/>
        <v>39.48673368</v>
      </c>
      <c r="F199" s="24">
        <f t="shared" si="3"/>
        <v>0.0002064079261</v>
      </c>
      <c r="G199" s="24">
        <f t="shared" si="4"/>
        <v>0</v>
      </c>
      <c r="H199" s="26">
        <f t="shared" si="5"/>
        <v>0</v>
      </c>
      <c r="I199" s="24">
        <f t="shared" si="6"/>
        <v>0</v>
      </c>
      <c r="J199" s="24">
        <f t="shared" si="7"/>
        <v>0</v>
      </c>
      <c r="K199" s="24"/>
      <c r="L199" s="24">
        <f t="shared" si="8"/>
        <v>512.9183983</v>
      </c>
      <c r="M199" s="14">
        <f t="shared" si="9"/>
        <v>432.2256773</v>
      </c>
      <c r="N199" s="27">
        <f t="shared" si="10"/>
        <v>80.69272095</v>
      </c>
      <c r="O199" s="24"/>
      <c r="P199" s="24"/>
      <c r="Q199" s="24"/>
      <c r="R199" s="26"/>
      <c r="S199" s="14">
        <f t="shared" si="13"/>
        <v>74.09981342</v>
      </c>
      <c r="U199" s="21"/>
      <c r="V199" s="21"/>
    </row>
    <row r="200">
      <c r="A200" s="11">
        <v>188.0</v>
      </c>
      <c r="B200" s="11">
        <v>1.42021304347826E9</v>
      </c>
      <c r="C200" s="2">
        <v>-101.7379761</v>
      </c>
      <c r="D200" s="24">
        <f t="shared" si="1"/>
        <v>-186956.5217</v>
      </c>
      <c r="E200" s="25">
        <f t="shared" si="2"/>
        <v>38.56843755</v>
      </c>
      <c r="F200" s="24">
        <f t="shared" si="3"/>
        <v>0.0002062962939</v>
      </c>
      <c r="G200" s="24">
        <f t="shared" si="4"/>
        <v>0</v>
      </c>
      <c r="H200" s="26">
        <f t="shared" si="5"/>
        <v>0</v>
      </c>
      <c r="I200" s="24">
        <f t="shared" si="6"/>
        <v>0</v>
      </c>
      <c r="J200" s="24">
        <f t="shared" si="7"/>
        <v>0</v>
      </c>
      <c r="K200" s="24"/>
      <c r="L200" s="24">
        <f t="shared" si="8"/>
        <v>509.6928688</v>
      </c>
      <c r="M200" s="14">
        <f t="shared" si="9"/>
        <v>432.1698812</v>
      </c>
      <c r="N200" s="27">
        <f t="shared" si="10"/>
        <v>77.52298762</v>
      </c>
      <c r="O200" s="24"/>
      <c r="P200" s="24"/>
      <c r="Q200" s="24"/>
      <c r="R200" s="26"/>
      <c r="S200" s="14">
        <f t="shared" si="13"/>
        <v>71.18905974</v>
      </c>
      <c r="U200" s="21"/>
      <c r="V200" s="21"/>
    </row>
    <row r="201">
      <c r="A201" s="11">
        <v>189.0</v>
      </c>
      <c r="B201" s="11">
        <v>1.42021739130434E9</v>
      </c>
      <c r="C201" s="2">
        <v>-101.6713486</v>
      </c>
      <c r="D201" s="24">
        <f t="shared" si="1"/>
        <v>-182608.6957</v>
      </c>
      <c r="E201" s="25">
        <f t="shared" si="2"/>
        <v>37.65014142</v>
      </c>
      <c r="F201" s="24">
        <f t="shared" si="3"/>
        <v>0.0002061793459</v>
      </c>
      <c r="G201" s="24">
        <f t="shared" si="4"/>
        <v>0</v>
      </c>
      <c r="H201" s="26">
        <f t="shared" si="5"/>
        <v>0</v>
      </c>
      <c r="I201" s="24">
        <f t="shared" si="6"/>
        <v>0</v>
      </c>
      <c r="J201" s="24">
        <f t="shared" si="7"/>
        <v>0</v>
      </c>
      <c r="K201" s="24"/>
      <c r="L201" s="24">
        <f t="shared" si="8"/>
        <v>517.5726362</v>
      </c>
      <c r="M201" s="14">
        <f t="shared" si="9"/>
        <v>432.1138003</v>
      </c>
      <c r="N201" s="27">
        <f t="shared" si="10"/>
        <v>85.45883596</v>
      </c>
      <c r="O201" s="24"/>
      <c r="P201" s="24"/>
      <c r="Q201" s="24"/>
      <c r="R201" s="26"/>
      <c r="S201" s="14">
        <f t="shared" si="13"/>
        <v>78.47651857</v>
      </c>
      <c r="U201" s="21"/>
      <c r="V201" s="21"/>
    </row>
    <row r="202">
      <c r="A202" s="11">
        <v>190.0</v>
      </c>
      <c r="B202" s="11">
        <v>1.42022173913043E9</v>
      </c>
      <c r="C202" s="2">
        <v>-101.687355</v>
      </c>
      <c r="D202" s="24">
        <f t="shared" si="1"/>
        <v>-178260.8696</v>
      </c>
      <c r="E202" s="25">
        <f t="shared" si="2"/>
        <v>36.73184529</v>
      </c>
      <c r="F202" s="24">
        <f t="shared" si="3"/>
        <v>0.0002060566931</v>
      </c>
      <c r="G202" s="24">
        <f t="shared" si="4"/>
        <v>0</v>
      </c>
      <c r="H202" s="26">
        <f t="shared" si="5"/>
        <v>0</v>
      </c>
      <c r="I202" s="24">
        <f t="shared" si="6"/>
        <v>0</v>
      </c>
      <c r="J202" s="24">
        <f t="shared" si="7"/>
        <v>0</v>
      </c>
      <c r="K202" s="24"/>
      <c r="L202" s="24">
        <f t="shared" si="8"/>
        <v>515.6685764</v>
      </c>
      <c r="M202" s="14">
        <f t="shared" si="9"/>
        <v>432.0574336</v>
      </c>
      <c r="N202" s="27">
        <f t="shared" si="10"/>
        <v>83.61114287</v>
      </c>
      <c r="O202" s="24"/>
      <c r="P202" s="24"/>
      <c r="Q202" s="24"/>
      <c r="R202" s="26"/>
      <c r="S202" s="14">
        <f t="shared" si="13"/>
        <v>76.77978898</v>
      </c>
      <c r="U202" s="21"/>
      <c r="V202" s="21"/>
    </row>
    <row r="203">
      <c r="A203" s="11">
        <v>191.0</v>
      </c>
      <c r="B203" s="11">
        <v>1.42022608695652E9</v>
      </c>
      <c r="C203" s="2">
        <v>-101.7044525</v>
      </c>
      <c r="D203" s="24">
        <f t="shared" si="1"/>
        <v>-173913.0435</v>
      </c>
      <c r="E203" s="25">
        <f t="shared" si="2"/>
        <v>35.81354916</v>
      </c>
      <c r="F203" s="24">
        <f t="shared" si="3"/>
        <v>0.0002059279076</v>
      </c>
      <c r="G203" s="24">
        <f t="shared" si="4"/>
        <v>0</v>
      </c>
      <c r="H203" s="26">
        <f t="shared" si="5"/>
        <v>0</v>
      </c>
      <c r="I203" s="24">
        <f t="shared" si="6"/>
        <v>0</v>
      </c>
      <c r="J203" s="24">
        <f t="shared" si="7"/>
        <v>0</v>
      </c>
      <c r="K203" s="24"/>
      <c r="L203" s="24">
        <f t="shared" si="8"/>
        <v>513.6424601</v>
      </c>
      <c r="M203" s="14">
        <f t="shared" si="9"/>
        <v>432.0007801</v>
      </c>
      <c r="N203" s="27">
        <f t="shared" si="10"/>
        <v>81.64168005</v>
      </c>
      <c r="O203" s="24"/>
      <c r="P203" s="24"/>
      <c r="Q203" s="24"/>
      <c r="R203" s="26"/>
      <c r="S203" s="14">
        <f t="shared" si="13"/>
        <v>74.97123906</v>
      </c>
      <c r="U203" s="21"/>
      <c r="V203" s="21"/>
    </row>
    <row r="204">
      <c r="A204" s="11">
        <v>192.0</v>
      </c>
      <c r="B204" s="11">
        <v>1.4202304347826E9</v>
      </c>
      <c r="C204" s="2">
        <v>-101.7451096</v>
      </c>
      <c r="D204" s="24">
        <f t="shared" si="1"/>
        <v>-169565.2174</v>
      </c>
      <c r="E204" s="25">
        <f t="shared" si="2"/>
        <v>34.89525302</v>
      </c>
      <c r="F204" s="24">
        <f t="shared" si="3"/>
        <v>0.0002057925178</v>
      </c>
      <c r="G204" s="24">
        <f t="shared" si="4"/>
        <v>0</v>
      </c>
      <c r="H204" s="26">
        <f t="shared" si="5"/>
        <v>0</v>
      </c>
      <c r="I204" s="24">
        <f t="shared" si="6"/>
        <v>0</v>
      </c>
      <c r="J204" s="24">
        <f t="shared" si="7"/>
        <v>0</v>
      </c>
      <c r="K204" s="24"/>
      <c r="L204" s="24">
        <f t="shared" si="8"/>
        <v>508.8563605</v>
      </c>
      <c r="M204" s="14">
        <f t="shared" si="9"/>
        <v>431.9438389</v>
      </c>
      <c r="N204" s="27">
        <f t="shared" si="10"/>
        <v>76.91252161</v>
      </c>
      <c r="O204" s="24"/>
      <c r="P204" s="24"/>
      <c r="Q204" s="24"/>
      <c r="R204" s="26"/>
      <c r="S204" s="14">
        <f t="shared" si="13"/>
        <v>70.62847115</v>
      </c>
      <c r="U204" s="21"/>
      <c r="V204" s="21"/>
    </row>
    <row r="205">
      <c r="A205" s="11">
        <v>193.0</v>
      </c>
      <c r="B205" s="11">
        <v>1.42023478260869E9</v>
      </c>
      <c r="C205" s="2">
        <v>-101.6658783</v>
      </c>
      <c r="D205" s="24">
        <f t="shared" si="1"/>
        <v>-165217.3913</v>
      </c>
      <c r="E205" s="25">
        <f t="shared" si="2"/>
        <v>33.97695689</v>
      </c>
      <c r="F205" s="24">
        <f t="shared" si="3"/>
        <v>0.0002056500022</v>
      </c>
      <c r="G205" s="24">
        <f t="shared" si="4"/>
        <v>0</v>
      </c>
      <c r="H205" s="26">
        <f t="shared" si="5"/>
        <v>0</v>
      </c>
      <c r="I205" s="24">
        <f t="shared" si="6"/>
        <v>0</v>
      </c>
      <c r="J205" s="24">
        <f t="shared" si="7"/>
        <v>0</v>
      </c>
      <c r="K205" s="24"/>
      <c r="L205" s="24">
        <f t="shared" si="8"/>
        <v>518.2249728</v>
      </c>
      <c r="M205" s="14">
        <f t="shared" si="9"/>
        <v>431.886609</v>
      </c>
      <c r="N205" s="27">
        <f t="shared" si="10"/>
        <v>86.33836373</v>
      </c>
      <c r="O205" s="24"/>
      <c r="P205" s="24"/>
      <c r="Q205" s="24"/>
      <c r="R205" s="26"/>
      <c r="S205" s="14">
        <f t="shared" si="13"/>
        <v>79.28418553</v>
      </c>
      <c r="U205" s="21"/>
      <c r="V205" s="21"/>
    </row>
    <row r="206">
      <c r="A206" s="11">
        <v>194.0</v>
      </c>
      <c r="B206" s="11">
        <v>1.42023913043478E9</v>
      </c>
      <c r="C206" s="2">
        <v>-101.6729584</v>
      </c>
      <c r="D206" s="24">
        <f t="shared" si="1"/>
        <v>-160869.5652</v>
      </c>
      <c r="E206" s="25">
        <f t="shared" si="2"/>
        <v>33.05866076</v>
      </c>
      <c r="F206" s="24">
        <f t="shared" si="3"/>
        <v>0.0002054997831</v>
      </c>
      <c r="G206" s="24">
        <f t="shared" si="4"/>
        <v>0</v>
      </c>
      <c r="H206" s="26">
        <f t="shared" si="5"/>
        <v>0</v>
      </c>
      <c r="I206" s="24">
        <f t="shared" si="6"/>
        <v>0</v>
      </c>
      <c r="J206" s="24">
        <f t="shared" si="7"/>
        <v>0</v>
      </c>
      <c r="K206" s="24"/>
      <c r="L206" s="24">
        <f t="shared" si="8"/>
        <v>517.3808231</v>
      </c>
      <c r="M206" s="14">
        <f t="shared" si="9"/>
        <v>431.8290896</v>
      </c>
      <c r="N206" s="27">
        <f t="shared" si="10"/>
        <v>85.55173352</v>
      </c>
      <c r="O206" s="24"/>
      <c r="P206" s="24"/>
      <c r="Q206" s="24"/>
      <c r="R206" s="26"/>
      <c r="S206" s="14">
        <f t="shared" si="13"/>
        <v>78.56182586</v>
      </c>
      <c r="U206" s="21"/>
      <c r="V206" s="21"/>
    </row>
    <row r="207">
      <c r="A207" s="11">
        <v>195.0</v>
      </c>
      <c r="B207" s="11">
        <v>1.42024347826087E9</v>
      </c>
      <c r="C207" s="2">
        <v>-101.6757507</v>
      </c>
      <c r="D207" s="24">
        <f t="shared" si="1"/>
        <v>-156521.7391</v>
      </c>
      <c r="E207" s="25">
        <f t="shared" si="2"/>
        <v>32.14036463</v>
      </c>
      <c r="F207" s="24">
        <f t="shared" si="3"/>
        <v>0.0002053412184</v>
      </c>
      <c r="G207" s="24">
        <f t="shared" si="4"/>
        <v>0</v>
      </c>
      <c r="H207" s="26">
        <f t="shared" si="5"/>
        <v>0</v>
      </c>
      <c r="I207" s="24">
        <f t="shared" si="6"/>
        <v>0</v>
      </c>
      <c r="J207" s="24">
        <f t="shared" si="7"/>
        <v>0</v>
      </c>
      <c r="K207" s="24"/>
      <c r="L207" s="24">
        <f t="shared" si="8"/>
        <v>517.0482796</v>
      </c>
      <c r="M207" s="14">
        <f t="shared" si="9"/>
        <v>431.7712795</v>
      </c>
      <c r="N207" s="27">
        <f t="shared" si="10"/>
        <v>85.27700003</v>
      </c>
      <c r="O207" s="24"/>
      <c r="P207" s="24"/>
      <c r="Q207" s="24"/>
      <c r="R207" s="26"/>
      <c r="S207" s="14">
        <f t="shared" si="13"/>
        <v>78.30953934</v>
      </c>
      <c r="U207" s="21"/>
      <c r="V207" s="21"/>
    </row>
    <row r="208">
      <c r="A208" s="11">
        <v>196.0</v>
      </c>
      <c r="B208" s="11">
        <v>1.42024782608695E9</v>
      </c>
      <c r="C208" s="2">
        <v>-101.6651382</v>
      </c>
      <c r="D208" s="24">
        <f t="shared" si="1"/>
        <v>-152173.913</v>
      </c>
      <c r="E208" s="25">
        <f t="shared" si="2"/>
        <v>31.22206849</v>
      </c>
      <c r="F208" s="24">
        <f t="shared" si="3"/>
        <v>0.0002051735929</v>
      </c>
      <c r="G208" s="24">
        <f t="shared" si="4"/>
        <v>0</v>
      </c>
      <c r="H208" s="26">
        <f t="shared" si="5"/>
        <v>0</v>
      </c>
      <c r="I208" s="24">
        <f t="shared" si="6"/>
        <v>0</v>
      </c>
      <c r="J208" s="24">
        <f t="shared" si="7"/>
        <v>0</v>
      </c>
      <c r="K208" s="24"/>
      <c r="L208" s="24">
        <f t="shared" si="8"/>
        <v>518.3132932</v>
      </c>
      <c r="M208" s="14">
        <f t="shared" si="9"/>
        <v>431.713178</v>
      </c>
      <c r="N208" s="27">
        <f t="shared" si="10"/>
        <v>86.60011526</v>
      </c>
      <c r="O208" s="24"/>
      <c r="P208" s="24"/>
      <c r="Q208" s="24"/>
      <c r="R208" s="26"/>
      <c r="S208" s="14">
        <f t="shared" si="13"/>
        <v>79.52455094</v>
      </c>
      <c r="U208" s="21"/>
      <c r="V208" s="21"/>
    </row>
    <row r="209">
      <c r="A209" s="11">
        <v>197.0</v>
      </c>
      <c r="B209" s="11">
        <v>1.42025217391304E9</v>
      </c>
      <c r="C209" s="2">
        <v>-101.6463699</v>
      </c>
      <c r="D209" s="24">
        <f t="shared" si="1"/>
        <v>-147826.087</v>
      </c>
      <c r="E209" s="25">
        <f t="shared" si="2"/>
        <v>30.30377236</v>
      </c>
      <c r="F209" s="24">
        <f t="shared" si="3"/>
        <v>0.0002049961071</v>
      </c>
      <c r="G209" s="24">
        <f t="shared" si="4"/>
        <v>0</v>
      </c>
      <c r="H209" s="26">
        <f t="shared" si="5"/>
        <v>0</v>
      </c>
      <c r="I209" s="24">
        <f t="shared" si="6"/>
        <v>0</v>
      </c>
      <c r="J209" s="24">
        <f t="shared" si="7"/>
        <v>0</v>
      </c>
      <c r="K209" s="24"/>
      <c r="L209" s="24">
        <f t="shared" si="8"/>
        <v>520.5580626</v>
      </c>
      <c r="M209" s="14">
        <f t="shared" si="9"/>
        <v>431.654784</v>
      </c>
      <c r="N209" s="27">
        <f t="shared" si="10"/>
        <v>88.90327863</v>
      </c>
      <c r="O209" s="24"/>
      <c r="P209" s="24"/>
      <c r="Q209" s="24"/>
      <c r="R209" s="26"/>
      <c r="S209" s="14">
        <f t="shared" si="13"/>
        <v>81.63953677</v>
      </c>
      <c r="U209" s="21"/>
      <c r="V209" s="21"/>
    </row>
    <row r="210">
      <c r="A210" s="11">
        <v>198.0</v>
      </c>
      <c r="B210" s="11">
        <v>1.42025652173913E9</v>
      </c>
      <c r="C210" s="2">
        <v>-101.6190186</v>
      </c>
      <c r="D210" s="24">
        <f t="shared" si="1"/>
        <v>-143478.2609</v>
      </c>
      <c r="E210" s="25">
        <f t="shared" si="2"/>
        <v>29.38547623</v>
      </c>
      <c r="F210" s="24">
        <f t="shared" si="3"/>
        <v>0.0002048078646</v>
      </c>
      <c r="G210" s="24">
        <f t="shared" si="4"/>
        <v>0</v>
      </c>
      <c r="H210" s="26">
        <f t="shared" si="5"/>
        <v>0</v>
      </c>
      <c r="I210" s="24">
        <f t="shared" si="6"/>
        <v>0</v>
      </c>
      <c r="J210" s="24">
        <f t="shared" si="7"/>
        <v>0</v>
      </c>
      <c r="K210" s="24"/>
      <c r="L210" s="24">
        <f t="shared" si="8"/>
        <v>523.8468146</v>
      </c>
      <c r="M210" s="14">
        <f t="shared" si="9"/>
        <v>431.5960965</v>
      </c>
      <c r="N210" s="27">
        <f t="shared" si="10"/>
        <v>92.25071804</v>
      </c>
      <c r="O210" s="24"/>
      <c r="P210" s="24"/>
      <c r="Q210" s="24"/>
      <c r="R210" s="26"/>
      <c r="S210" s="14">
        <f t="shared" si="13"/>
        <v>84.71347762</v>
      </c>
      <c r="U210" s="21"/>
      <c r="V210" s="21"/>
    </row>
    <row r="211">
      <c r="A211" s="11">
        <v>199.0</v>
      </c>
      <c r="B211" s="11">
        <v>1.42026086956521E9</v>
      </c>
      <c r="C211" s="2">
        <v>-101.6108246</v>
      </c>
      <c r="D211" s="24">
        <f t="shared" si="1"/>
        <v>-139130.4348</v>
      </c>
      <c r="E211" s="25">
        <f t="shared" si="2"/>
        <v>28.4671801</v>
      </c>
      <c r="F211" s="24">
        <f t="shared" si="3"/>
        <v>0.0002046078569</v>
      </c>
      <c r="G211" s="24">
        <f t="shared" si="4"/>
        <v>0</v>
      </c>
      <c r="H211" s="26">
        <f t="shared" si="5"/>
        <v>0</v>
      </c>
      <c r="I211" s="24">
        <f t="shared" si="6"/>
        <v>0</v>
      </c>
      <c r="J211" s="24">
        <f t="shared" si="7"/>
        <v>0</v>
      </c>
      <c r="K211" s="24"/>
      <c r="L211" s="24">
        <f t="shared" si="8"/>
        <v>524.8361094</v>
      </c>
      <c r="M211" s="14">
        <f t="shared" si="9"/>
        <v>431.5371147</v>
      </c>
      <c r="N211" s="27">
        <f t="shared" si="10"/>
        <v>93.29899464</v>
      </c>
      <c r="O211" s="24"/>
      <c r="P211" s="24"/>
      <c r="Q211" s="24"/>
      <c r="R211" s="26"/>
      <c r="S211" s="14">
        <f t="shared" si="13"/>
        <v>85.67610597</v>
      </c>
      <c r="U211" s="21"/>
      <c r="V211" s="21"/>
    </row>
    <row r="212">
      <c r="A212" s="11">
        <v>200.0</v>
      </c>
      <c r="B212" s="11">
        <v>1.4202652173913E9</v>
      </c>
      <c r="C212" s="2">
        <v>-101.5550079</v>
      </c>
      <c r="D212" s="24">
        <f t="shared" si="1"/>
        <v>-134782.6087</v>
      </c>
      <c r="E212" s="25">
        <f t="shared" si="2"/>
        <v>27.54888396</v>
      </c>
      <c r="F212" s="24">
        <f t="shared" si="3"/>
        <v>0.0002043949455</v>
      </c>
      <c r="G212" s="24">
        <f t="shared" si="4"/>
        <v>0</v>
      </c>
      <c r="H212" s="26">
        <f t="shared" si="5"/>
        <v>0</v>
      </c>
      <c r="I212" s="24">
        <f t="shared" si="6"/>
        <v>0</v>
      </c>
      <c r="J212" s="24">
        <f t="shared" si="7"/>
        <v>0</v>
      </c>
      <c r="K212" s="24"/>
      <c r="L212" s="24">
        <f t="shared" si="8"/>
        <v>531.6249775</v>
      </c>
      <c r="M212" s="14">
        <f t="shared" si="9"/>
        <v>431.4778376</v>
      </c>
      <c r="N212" s="27">
        <f t="shared" si="10"/>
        <v>100.14714</v>
      </c>
      <c r="O212" s="24"/>
      <c r="P212" s="24"/>
      <c r="Q212" s="24"/>
      <c r="R212" s="26"/>
      <c r="S212" s="14">
        <f t="shared" si="13"/>
        <v>91.96473112</v>
      </c>
      <c r="U212" s="21"/>
      <c r="V212" s="21"/>
    </row>
    <row r="213">
      <c r="A213" s="11">
        <v>201.0</v>
      </c>
      <c r="B213" s="11">
        <v>1.42026956521739E9</v>
      </c>
      <c r="C213" s="2">
        <v>-101.5428314</v>
      </c>
      <c r="D213" s="24">
        <f t="shared" si="1"/>
        <v>-130434.7826</v>
      </c>
      <c r="E213" s="25">
        <f t="shared" si="2"/>
        <v>26.63058783</v>
      </c>
      <c r="F213" s="24">
        <f t="shared" si="3"/>
        <v>0.0002041678401</v>
      </c>
      <c r="G213" s="24">
        <f t="shared" si="4"/>
        <v>0</v>
      </c>
      <c r="H213" s="26">
        <f t="shared" si="5"/>
        <v>0</v>
      </c>
      <c r="I213" s="24">
        <f t="shared" si="6"/>
        <v>0</v>
      </c>
      <c r="J213" s="24">
        <f t="shared" si="7"/>
        <v>0</v>
      </c>
      <c r="K213" s="24"/>
      <c r="L213" s="24">
        <f t="shared" si="8"/>
        <v>533.1176087</v>
      </c>
      <c r="M213" s="14">
        <f t="shared" si="9"/>
        <v>431.4182642</v>
      </c>
      <c r="N213" s="27">
        <f t="shared" si="10"/>
        <v>101.6993445</v>
      </c>
      <c r="O213" s="24"/>
      <c r="P213" s="24"/>
      <c r="Q213" s="24"/>
      <c r="R213" s="26"/>
      <c r="S213" s="14">
        <f t="shared" si="13"/>
        <v>93.39011481</v>
      </c>
      <c r="U213" s="21"/>
      <c r="V213" s="21"/>
    </row>
    <row r="214">
      <c r="A214" s="11">
        <v>202.0</v>
      </c>
      <c r="B214" s="11">
        <v>1.42027391304347E9</v>
      </c>
      <c r="C214" s="2">
        <v>-101.55896</v>
      </c>
      <c r="D214" s="24">
        <f t="shared" si="1"/>
        <v>-126086.9565</v>
      </c>
      <c r="E214" s="25">
        <f t="shared" si="2"/>
        <v>25.7122917</v>
      </c>
      <c r="F214" s="24">
        <f t="shared" si="3"/>
        <v>0.0002039250721</v>
      </c>
      <c r="G214" s="24">
        <f t="shared" si="4"/>
        <v>0</v>
      </c>
      <c r="H214" s="26">
        <f t="shared" si="5"/>
        <v>0</v>
      </c>
      <c r="I214" s="24">
        <f t="shared" si="6"/>
        <v>0</v>
      </c>
      <c r="J214" s="24">
        <f t="shared" si="7"/>
        <v>0</v>
      </c>
      <c r="K214" s="24"/>
      <c r="L214" s="24">
        <f t="shared" si="8"/>
        <v>531.1414164</v>
      </c>
      <c r="M214" s="14">
        <f t="shared" si="9"/>
        <v>431.3583935</v>
      </c>
      <c r="N214" s="27">
        <f t="shared" si="10"/>
        <v>99.78302288</v>
      </c>
      <c r="O214" s="24"/>
      <c r="P214" s="24"/>
      <c r="Q214" s="24"/>
      <c r="R214" s="26"/>
      <c r="S214" s="14">
        <f t="shared" si="13"/>
        <v>91.63036403</v>
      </c>
      <c r="U214" s="21"/>
      <c r="V214" s="21"/>
    </row>
    <row r="215">
      <c r="A215" s="11">
        <v>203.0</v>
      </c>
      <c r="B215" s="11">
        <v>1.42027826086956E9</v>
      </c>
      <c r="C215" s="2">
        <v>-101.4980392</v>
      </c>
      <c r="D215" s="24">
        <f t="shared" si="1"/>
        <v>-121739.1304</v>
      </c>
      <c r="E215" s="25">
        <f t="shared" si="2"/>
        <v>24.79399557</v>
      </c>
      <c r="F215" s="24">
        <f t="shared" si="3"/>
        <v>0.0002036649636</v>
      </c>
      <c r="G215" s="24">
        <f t="shared" si="4"/>
        <v>0</v>
      </c>
      <c r="H215" s="26">
        <f t="shared" si="5"/>
        <v>0</v>
      </c>
      <c r="I215" s="24">
        <f t="shared" si="6"/>
        <v>0</v>
      </c>
      <c r="J215" s="24">
        <f t="shared" si="7"/>
        <v>0</v>
      </c>
      <c r="K215" s="24"/>
      <c r="L215" s="24">
        <f t="shared" si="8"/>
        <v>538.6445219</v>
      </c>
      <c r="M215" s="14">
        <f t="shared" si="9"/>
        <v>431.2982247</v>
      </c>
      <c r="N215" s="27">
        <f t="shared" si="10"/>
        <v>107.3462972</v>
      </c>
      <c r="O215" s="24"/>
      <c r="P215" s="24"/>
      <c r="Q215" s="24"/>
      <c r="R215" s="26"/>
      <c r="S215" s="14">
        <f t="shared" si="13"/>
        <v>98.57568939</v>
      </c>
      <c r="U215" s="21"/>
      <c r="V215" s="21"/>
    </row>
    <row r="216">
      <c r="A216" s="11">
        <v>204.0</v>
      </c>
      <c r="B216" s="11">
        <v>1.42028260869565E9</v>
      </c>
      <c r="C216" s="2">
        <v>-101.4969025</v>
      </c>
      <c r="D216" s="24">
        <f t="shared" si="1"/>
        <v>-117391.3043</v>
      </c>
      <c r="E216" s="25">
        <f t="shared" si="2"/>
        <v>23.87569944</v>
      </c>
      <c r="F216" s="24">
        <f t="shared" si="3"/>
        <v>0.0002033855878</v>
      </c>
      <c r="G216" s="24">
        <f t="shared" si="4"/>
        <v>0</v>
      </c>
      <c r="H216" s="26">
        <f t="shared" si="5"/>
        <v>0</v>
      </c>
      <c r="I216" s="24">
        <f t="shared" si="6"/>
        <v>0</v>
      </c>
      <c r="J216" s="24">
        <f t="shared" si="7"/>
        <v>0</v>
      </c>
      <c r="K216" s="24"/>
      <c r="L216" s="24">
        <f t="shared" si="8"/>
        <v>538.7855224</v>
      </c>
      <c r="M216" s="14">
        <f t="shared" si="9"/>
        <v>431.2377567</v>
      </c>
      <c r="N216" s="27">
        <f t="shared" si="10"/>
        <v>107.5477657</v>
      </c>
      <c r="O216" s="24"/>
      <c r="P216" s="24"/>
      <c r="Q216" s="24"/>
      <c r="R216" s="26"/>
      <c r="S216" s="14">
        <f t="shared" si="13"/>
        <v>98.76069733</v>
      </c>
      <c r="U216" s="21"/>
      <c r="V216" s="21"/>
    </row>
    <row r="217">
      <c r="A217" s="11">
        <v>205.0</v>
      </c>
      <c r="B217" s="11">
        <v>1.42028695652173E9</v>
      </c>
      <c r="C217" s="2">
        <v>-101.5368729</v>
      </c>
      <c r="D217" s="24">
        <f t="shared" si="1"/>
        <v>-113043.4783</v>
      </c>
      <c r="E217" s="25">
        <f t="shared" si="2"/>
        <v>22.9574033</v>
      </c>
      <c r="F217" s="24">
        <f t="shared" si="3"/>
        <v>0.0002030847215</v>
      </c>
      <c r="G217" s="24">
        <f t="shared" si="4"/>
        <v>0</v>
      </c>
      <c r="H217" s="26">
        <f t="shared" si="5"/>
        <v>0</v>
      </c>
      <c r="I217" s="24">
        <f t="shared" si="6"/>
        <v>0</v>
      </c>
      <c r="J217" s="24">
        <f t="shared" si="7"/>
        <v>0</v>
      </c>
      <c r="K217" s="24"/>
      <c r="L217" s="24">
        <f t="shared" si="8"/>
        <v>533.8495456</v>
      </c>
      <c r="M217" s="14">
        <f t="shared" si="9"/>
        <v>431.1769887</v>
      </c>
      <c r="N217" s="27">
        <f t="shared" si="10"/>
        <v>102.6725569</v>
      </c>
      <c r="O217" s="24"/>
      <c r="P217" s="24"/>
      <c r="Q217" s="24"/>
      <c r="R217" s="26"/>
      <c r="S217" s="14">
        <f t="shared" si="13"/>
        <v>94.28381195</v>
      </c>
      <c r="U217" s="21"/>
      <c r="V217" s="21"/>
    </row>
    <row r="218">
      <c r="A218" s="11">
        <v>206.0</v>
      </c>
      <c r="B218" s="11">
        <v>1.42029130434782E9</v>
      </c>
      <c r="C218" s="2">
        <v>-101.5319366</v>
      </c>
      <c r="D218" s="24">
        <f t="shared" si="1"/>
        <v>-108695.6522</v>
      </c>
      <c r="E218" s="25">
        <f t="shared" si="2"/>
        <v>22.03910717</v>
      </c>
      <c r="F218" s="24">
        <f t="shared" si="3"/>
        <v>0.000202759786</v>
      </c>
      <c r="G218" s="24">
        <f t="shared" si="4"/>
        <v>0</v>
      </c>
      <c r="H218" s="26">
        <f t="shared" si="5"/>
        <v>0</v>
      </c>
      <c r="I218" s="24">
        <f t="shared" si="6"/>
        <v>0</v>
      </c>
      <c r="J218" s="24">
        <f t="shared" si="7"/>
        <v>0</v>
      </c>
      <c r="K218" s="24"/>
      <c r="L218" s="24">
        <f t="shared" si="8"/>
        <v>534.4566773</v>
      </c>
      <c r="M218" s="14">
        <f t="shared" si="9"/>
        <v>431.1159196</v>
      </c>
      <c r="N218" s="27">
        <f t="shared" si="10"/>
        <v>103.3407578</v>
      </c>
      <c r="O218" s="24"/>
      <c r="P218" s="24"/>
      <c r="Q218" s="24"/>
      <c r="R218" s="26"/>
      <c r="S218" s="14">
        <f t="shared" si="13"/>
        <v>94.89741822</v>
      </c>
      <c r="U218" s="21"/>
      <c r="V218" s="21"/>
    </row>
    <row r="219">
      <c r="A219" s="11">
        <v>207.0</v>
      </c>
      <c r="B219" s="11">
        <v>1.42029565217391E9</v>
      </c>
      <c r="C219" s="2">
        <v>-101.5047302</v>
      </c>
      <c r="D219" s="24">
        <f t="shared" si="1"/>
        <v>-104347.8261</v>
      </c>
      <c r="E219" s="25">
        <f t="shared" si="2"/>
        <v>21.12081104</v>
      </c>
      <c r="F219" s="24">
        <f t="shared" si="3"/>
        <v>0.0002024077725</v>
      </c>
      <c r="G219" s="24">
        <f t="shared" si="4"/>
        <v>0</v>
      </c>
      <c r="H219" s="26">
        <f t="shared" si="5"/>
        <v>0</v>
      </c>
      <c r="I219" s="24">
        <f t="shared" si="6"/>
        <v>0</v>
      </c>
      <c r="J219" s="24">
        <f t="shared" si="7"/>
        <v>0</v>
      </c>
      <c r="K219" s="24"/>
      <c r="L219" s="24">
        <f t="shared" si="8"/>
        <v>537.815293</v>
      </c>
      <c r="M219" s="14">
        <f t="shared" si="9"/>
        <v>431.0545485</v>
      </c>
      <c r="N219" s="27">
        <f t="shared" si="10"/>
        <v>106.7607445</v>
      </c>
      <c r="O219" s="24"/>
      <c r="P219" s="24"/>
      <c r="Q219" s="24"/>
      <c r="R219" s="26"/>
      <c r="S219" s="14">
        <f t="shared" si="13"/>
        <v>98.03797858</v>
      </c>
      <c r="U219" s="21"/>
      <c r="V219" s="21"/>
    </row>
    <row r="220">
      <c r="A220" s="11">
        <v>208.0</v>
      </c>
      <c r="B220" s="11">
        <v>1.4203E9</v>
      </c>
      <c r="C220" s="2">
        <v>-101.5598145</v>
      </c>
      <c r="D220" s="24">
        <f t="shared" si="1"/>
        <v>-100000</v>
      </c>
      <c r="E220" s="25">
        <f t="shared" si="2"/>
        <v>20.20251491</v>
      </c>
      <c r="F220" s="24">
        <f t="shared" si="3"/>
        <v>0.0002020251491</v>
      </c>
      <c r="G220" s="24">
        <f t="shared" si="4"/>
        <v>0</v>
      </c>
      <c r="H220" s="26">
        <f t="shared" si="5"/>
        <v>0</v>
      </c>
      <c r="I220" s="24">
        <f t="shared" si="6"/>
        <v>0</v>
      </c>
      <c r="J220" s="24">
        <f t="shared" si="7"/>
        <v>0</v>
      </c>
      <c r="K220" s="24"/>
      <c r="L220" s="24">
        <f t="shared" si="8"/>
        <v>531.0369215</v>
      </c>
      <c r="M220" s="14">
        <f t="shared" si="9"/>
        <v>430.9928744</v>
      </c>
      <c r="N220" s="27">
        <f t="shared" si="10"/>
        <v>100.044047</v>
      </c>
      <c r="O220" s="24"/>
      <c r="P220" s="24"/>
      <c r="Q220" s="24"/>
      <c r="R220" s="26"/>
      <c r="S220" s="14">
        <f t="shared" si="13"/>
        <v>91.8700615</v>
      </c>
      <c r="U220" s="21"/>
      <c r="V220" s="21"/>
    </row>
    <row r="221">
      <c r="A221" s="11">
        <v>209.0</v>
      </c>
      <c r="B221" s="11">
        <v>1.42030434782608E9</v>
      </c>
      <c r="C221" s="2">
        <v>-101.4902954</v>
      </c>
      <c r="D221" s="24">
        <f t="shared" si="1"/>
        <v>-95652.17392</v>
      </c>
      <c r="E221" s="25">
        <f t="shared" si="2"/>
        <v>19.28421878</v>
      </c>
      <c r="F221" s="24">
        <f t="shared" si="3"/>
        <v>0.0002016077417</v>
      </c>
      <c r="G221" s="24">
        <f t="shared" si="4"/>
        <v>0</v>
      </c>
      <c r="H221" s="26">
        <f t="shared" si="5"/>
        <v>0</v>
      </c>
      <c r="I221" s="24">
        <f t="shared" si="6"/>
        <v>0</v>
      </c>
      <c r="J221" s="24">
        <f t="shared" si="7"/>
        <v>0</v>
      </c>
      <c r="K221" s="24"/>
      <c r="L221" s="24">
        <f t="shared" si="8"/>
        <v>539.6058227</v>
      </c>
      <c r="M221" s="14">
        <f t="shared" si="9"/>
        <v>430.9308965</v>
      </c>
      <c r="N221" s="27">
        <f t="shared" si="10"/>
        <v>108.6749262</v>
      </c>
      <c r="O221" s="24"/>
      <c r="P221" s="24"/>
      <c r="Q221" s="24"/>
      <c r="R221" s="26"/>
      <c r="S221" s="14">
        <f t="shared" si="13"/>
        <v>99.7957645</v>
      </c>
      <c r="U221" s="21"/>
      <c r="V221" s="21"/>
    </row>
    <row r="222">
      <c r="A222" s="11">
        <v>210.0</v>
      </c>
      <c r="B222" s="11">
        <v>1.42030869565217E9</v>
      </c>
      <c r="C222" s="2">
        <v>-101.4935913</v>
      </c>
      <c r="D222" s="24">
        <f t="shared" si="1"/>
        <v>-91304.34783</v>
      </c>
      <c r="E222" s="25">
        <f t="shared" si="2"/>
        <v>18.36592264</v>
      </c>
      <c r="F222" s="24">
        <f t="shared" si="3"/>
        <v>0.0002011505813</v>
      </c>
      <c r="G222" s="24">
        <f t="shared" si="4"/>
        <v>0</v>
      </c>
      <c r="H222" s="26">
        <f t="shared" si="5"/>
        <v>0</v>
      </c>
      <c r="I222" s="24">
        <f t="shared" si="6"/>
        <v>0</v>
      </c>
      <c r="J222" s="24">
        <f t="shared" si="7"/>
        <v>0</v>
      </c>
      <c r="K222" s="24"/>
      <c r="L222" s="24">
        <f t="shared" si="8"/>
        <v>539.1964664</v>
      </c>
      <c r="M222" s="14">
        <f t="shared" si="9"/>
        <v>430.8686137</v>
      </c>
      <c r="N222" s="27">
        <f t="shared" si="10"/>
        <v>108.3278527</v>
      </c>
      <c r="O222" s="24"/>
      <c r="P222" s="24"/>
      <c r="Q222" s="24"/>
      <c r="R222" s="26"/>
      <c r="S222" s="14">
        <f t="shared" si="13"/>
        <v>99.47704793</v>
      </c>
      <c r="U222" s="21"/>
      <c r="V222" s="21"/>
    </row>
    <row r="223">
      <c r="A223" s="11">
        <v>211.0</v>
      </c>
      <c r="B223" s="11">
        <v>1.42031304347826E9</v>
      </c>
      <c r="C223" s="2">
        <v>-101.4455795</v>
      </c>
      <c r="D223" s="24">
        <f t="shared" si="1"/>
        <v>-86956.52174</v>
      </c>
      <c r="E223" s="25">
        <f t="shared" si="2"/>
        <v>17.44762651</v>
      </c>
      <c r="F223" s="24">
        <f t="shared" si="3"/>
        <v>0.0002006477049</v>
      </c>
      <c r="G223" s="24">
        <f t="shared" si="4"/>
        <v>0</v>
      </c>
      <c r="H223" s="26">
        <f t="shared" si="5"/>
        <v>0</v>
      </c>
      <c r="I223" s="24">
        <f t="shared" si="6"/>
        <v>0</v>
      </c>
      <c r="J223" s="24">
        <f t="shared" si="7"/>
        <v>0</v>
      </c>
      <c r="K223" s="24"/>
      <c r="L223" s="24">
        <f t="shared" si="8"/>
        <v>545.1904219</v>
      </c>
      <c r="M223" s="14">
        <f t="shared" si="9"/>
        <v>430.8060251</v>
      </c>
      <c r="N223" s="27">
        <f t="shared" si="10"/>
        <v>114.3843968</v>
      </c>
      <c r="O223" s="24"/>
      <c r="P223" s="24"/>
      <c r="Q223" s="24"/>
      <c r="R223" s="26"/>
      <c r="S223" s="14">
        <f t="shared" si="13"/>
        <v>105.0387492</v>
      </c>
      <c r="U223" s="21"/>
      <c r="V223" s="21"/>
    </row>
    <row r="224">
      <c r="A224" s="11">
        <v>212.0</v>
      </c>
      <c r="B224" s="11">
        <v>1.42031739130434E9</v>
      </c>
      <c r="C224" s="2">
        <v>-101.5044403</v>
      </c>
      <c r="D224" s="24">
        <f t="shared" si="1"/>
        <v>-82608.69566</v>
      </c>
      <c r="E224" s="25">
        <f t="shared" si="2"/>
        <v>16.52933038</v>
      </c>
      <c r="F224" s="24">
        <f t="shared" si="3"/>
        <v>0.000200091894</v>
      </c>
      <c r="G224" s="24">
        <f t="shared" si="4"/>
        <v>0</v>
      </c>
      <c r="H224" s="26">
        <f t="shared" si="5"/>
        <v>0</v>
      </c>
      <c r="I224" s="24">
        <f t="shared" si="6"/>
        <v>0</v>
      </c>
      <c r="J224" s="24">
        <f t="shared" si="7"/>
        <v>0</v>
      </c>
      <c r="K224" s="24"/>
      <c r="L224" s="24">
        <f t="shared" si="8"/>
        <v>537.8511944</v>
      </c>
      <c r="M224" s="14">
        <f t="shared" si="9"/>
        <v>430.7431298</v>
      </c>
      <c r="N224" s="27">
        <f t="shared" si="10"/>
        <v>107.1080646</v>
      </c>
      <c r="O224" s="24"/>
      <c r="P224" s="24"/>
      <c r="Q224" s="24"/>
      <c r="R224" s="26"/>
      <c r="S224" s="14">
        <f t="shared" si="13"/>
        <v>98.35692152</v>
      </c>
      <c r="U224" s="21"/>
      <c r="V224" s="21"/>
    </row>
    <row r="225">
      <c r="A225" s="11">
        <v>213.0</v>
      </c>
      <c r="B225" s="11">
        <v>1.42032173913043E9</v>
      </c>
      <c r="C225" s="2">
        <v>-101.4731369</v>
      </c>
      <c r="D225" s="24">
        <f t="shared" si="1"/>
        <v>-78260.86957</v>
      </c>
      <c r="E225" s="25">
        <f t="shared" si="2"/>
        <v>15.61103425</v>
      </c>
      <c r="F225" s="24">
        <f t="shared" si="3"/>
        <v>0.0001994743265</v>
      </c>
      <c r="G225" s="24">
        <f t="shared" si="4"/>
        <v>0</v>
      </c>
      <c r="H225" s="26">
        <f t="shared" si="5"/>
        <v>0</v>
      </c>
      <c r="I225" s="24">
        <f t="shared" si="6"/>
        <v>0</v>
      </c>
      <c r="J225" s="24">
        <f t="shared" si="7"/>
        <v>0</v>
      </c>
      <c r="K225" s="24"/>
      <c r="L225" s="24">
        <f t="shared" si="8"/>
        <v>541.7419634</v>
      </c>
      <c r="M225" s="14">
        <f t="shared" si="9"/>
        <v>430.6799267</v>
      </c>
      <c r="N225" s="27">
        <f t="shared" si="10"/>
        <v>111.0620367</v>
      </c>
      <c r="O225" s="24"/>
      <c r="P225" s="24"/>
      <c r="Q225" s="24"/>
      <c r="R225" s="26"/>
      <c r="S225" s="14">
        <f t="shared" si="13"/>
        <v>101.9878385</v>
      </c>
      <c r="U225" s="21"/>
      <c r="V225" s="21"/>
    </row>
    <row r="226">
      <c r="A226" s="11">
        <v>214.0</v>
      </c>
      <c r="B226" s="11">
        <v>1.42032608695652E9</v>
      </c>
      <c r="C226" s="2">
        <v>-101.4753647</v>
      </c>
      <c r="D226" s="24">
        <f t="shared" si="1"/>
        <v>-73913.04348</v>
      </c>
      <c r="E226" s="25">
        <f t="shared" si="2"/>
        <v>14.69273812</v>
      </c>
      <c r="F226" s="24">
        <f t="shared" si="3"/>
        <v>0.0001987841039</v>
      </c>
      <c r="G226" s="24">
        <f t="shared" si="4"/>
        <v>0</v>
      </c>
      <c r="H226" s="26">
        <f t="shared" si="5"/>
        <v>0</v>
      </c>
      <c r="I226" s="24">
        <f t="shared" si="6"/>
        <v>0</v>
      </c>
      <c r="J226" s="24">
        <f t="shared" si="7"/>
        <v>0</v>
      </c>
      <c r="K226" s="24"/>
      <c r="L226" s="24">
        <f t="shared" si="8"/>
        <v>541.4641373</v>
      </c>
      <c r="M226" s="14">
        <f t="shared" si="9"/>
        <v>430.616415</v>
      </c>
      <c r="N226" s="27">
        <f t="shared" si="10"/>
        <v>110.8477223</v>
      </c>
      <c r="O226" s="24"/>
      <c r="P226" s="24"/>
      <c r="Q226" s="24"/>
      <c r="R226" s="26"/>
      <c r="S226" s="14">
        <f t="shared" si="13"/>
        <v>101.7910347</v>
      </c>
      <c r="U226" s="21"/>
      <c r="V226" s="21"/>
    </row>
    <row r="227">
      <c r="A227" s="11">
        <v>215.0</v>
      </c>
      <c r="B227" s="11">
        <v>1.4203304347826E9</v>
      </c>
      <c r="C227" s="2">
        <v>-101.4764938</v>
      </c>
      <c r="D227" s="24">
        <f t="shared" si="1"/>
        <v>-69565.2174</v>
      </c>
      <c r="E227" s="25">
        <f t="shared" si="2"/>
        <v>13.77444198</v>
      </c>
      <c r="F227" s="24">
        <f t="shared" si="3"/>
        <v>0.0001980076035</v>
      </c>
      <c r="G227" s="24">
        <f t="shared" si="4"/>
        <v>0</v>
      </c>
      <c r="H227" s="26">
        <f t="shared" si="5"/>
        <v>0</v>
      </c>
      <c r="I227" s="24">
        <f t="shared" si="6"/>
        <v>0</v>
      </c>
      <c r="J227" s="24">
        <f t="shared" si="7"/>
        <v>0</v>
      </c>
      <c r="K227" s="24"/>
      <c r="L227" s="24">
        <f t="shared" si="8"/>
        <v>541.3233831</v>
      </c>
      <c r="M227" s="14">
        <f t="shared" si="9"/>
        <v>430.5525937</v>
      </c>
      <c r="N227" s="27">
        <f t="shared" si="10"/>
        <v>110.7707895</v>
      </c>
      <c r="O227" s="24"/>
      <c r="P227" s="24"/>
      <c r="Q227" s="24"/>
      <c r="R227" s="26"/>
      <c r="S227" s="14">
        <f t="shared" si="13"/>
        <v>101.7203876</v>
      </c>
      <c r="U227" s="21"/>
      <c r="V227" s="21"/>
    </row>
    <row r="228">
      <c r="A228" s="11">
        <v>216.0</v>
      </c>
      <c r="B228" s="11">
        <v>1.42033478260869E9</v>
      </c>
      <c r="C228" s="2">
        <v>-101.4822922</v>
      </c>
      <c r="D228" s="24">
        <f t="shared" si="1"/>
        <v>-65217.39131</v>
      </c>
      <c r="E228" s="25">
        <f t="shared" si="2"/>
        <v>12.85614585</v>
      </c>
      <c r="F228" s="24">
        <f t="shared" si="3"/>
        <v>0.0001971275697</v>
      </c>
      <c r="G228" s="24">
        <f t="shared" si="4"/>
        <v>0</v>
      </c>
      <c r="H228" s="26">
        <f t="shared" si="5"/>
        <v>0</v>
      </c>
      <c r="I228" s="24">
        <f t="shared" si="6"/>
        <v>0</v>
      </c>
      <c r="J228" s="24">
        <f t="shared" si="7"/>
        <v>0</v>
      </c>
      <c r="K228" s="24"/>
      <c r="L228" s="24">
        <f t="shared" si="8"/>
        <v>540.6011278</v>
      </c>
      <c r="M228" s="14">
        <f t="shared" si="9"/>
        <v>430.4884618</v>
      </c>
      <c r="N228" s="27">
        <f t="shared" si="10"/>
        <v>110.112666</v>
      </c>
      <c r="O228" s="24"/>
      <c r="P228" s="24"/>
      <c r="Q228" s="24"/>
      <c r="R228" s="26"/>
      <c r="S228" s="14">
        <f t="shared" si="13"/>
        <v>101.1160354</v>
      </c>
      <c r="U228" s="21"/>
      <c r="V228" s="21"/>
    </row>
    <row r="229">
      <c r="A229" s="11">
        <v>217.0</v>
      </c>
      <c r="B229" s="11">
        <v>1.42033913043478E9</v>
      </c>
      <c r="C229" s="2">
        <v>-101.5332108</v>
      </c>
      <c r="D229" s="24">
        <f t="shared" si="1"/>
        <v>-60869.56522</v>
      </c>
      <c r="E229" s="25">
        <f t="shared" si="2"/>
        <v>11.93784972</v>
      </c>
      <c r="F229" s="24">
        <f t="shared" si="3"/>
        <v>0.0001961218168</v>
      </c>
      <c r="G229" s="24">
        <f t="shared" si="4"/>
        <v>0</v>
      </c>
      <c r="H229" s="26">
        <f t="shared" si="5"/>
        <v>0</v>
      </c>
      <c r="I229" s="24">
        <f t="shared" si="6"/>
        <v>0</v>
      </c>
      <c r="J229" s="24">
        <f t="shared" si="7"/>
        <v>0</v>
      </c>
      <c r="K229" s="24"/>
      <c r="L229" s="24">
        <f t="shared" si="8"/>
        <v>534.2998932</v>
      </c>
      <c r="M229" s="14">
        <f t="shared" si="9"/>
        <v>430.4240184</v>
      </c>
      <c r="N229" s="27">
        <f t="shared" si="10"/>
        <v>103.8758749</v>
      </c>
      <c r="O229" s="24"/>
      <c r="P229" s="24"/>
      <c r="Q229" s="24"/>
      <c r="R229" s="26"/>
      <c r="S229" s="14">
        <f t="shared" si="13"/>
        <v>95.38881395</v>
      </c>
      <c r="U229" s="21"/>
      <c r="V229" s="21"/>
    </row>
    <row r="230">
      <c r="A230" s="11">
        <v>218.0</v>
      </c>
      <c r="B230" s="11">
        <v>1.42034347826087E9</v>
      </c>
      <c r="C230" s="2">
        <v>-101.5705643</v>
      </c>
      <c r="D230" s="24">
        <f t="shared" si="1"/>
        <v>-56521.73913</v>
      </c>
      <c r="E230" s="25">
        <f t="shared" si="2"/>
        <v>11.01955359</v>
      </c>
      <c r="F230" s="24">
        <f t="shared" si="3"/>
        <v>0.0001949613327</v>
      </c>
      <c r="G230" s="24">
        <f t="shared" si="4"/>
        <v>0</v>
      </c>
      <c r="H230" s="26">
        <f t="shared" si="5"/>
        <v>0</v>
      </c>
      <c r="I230" s="24">
        <f t="shared" si="6"/>
        <v>0</v>
      </c>
      <c r="J230" s="24">
        <f t="shared" si="7"/>
        <v>0</v>
      </c>
      <c r="K230" s="24"/>
      <c r="L230" s="24">
        <f t="shared" si="8"/>
        <v>529.7241068</v>
      </c>
      <c r="M230" s="14">
        <f t="shared" si="9"/>
        <v>430.3592625</v>
      </c>
      <c r="N230" s="27">
        <f t="shared" si="10"/>
        <v>99.36484437</v>
      </c>
      <c r="O230" s="24"/>
      <c r="P230" s="24"/>
      <c r="Q230" s="24"/>
      <c r="R230" s="26"/>
      <c r="S230" s="14">
        <f t="shared" si="13"/>
        <v>91.24635232</v>
      </c>
      <c r="U230" s="21"/>
      <c r="V230" s="21"/>
    </row>
    <row r="231">
      <c r="A231" s="11">
        <v>219.0</v>
      </c>
      <c r="B231" s="11">
        <v>1.42034782608695E9</v>
      </c>
      <c r="C231" s="2">
        <v>-101.4548798</v>
      </c>
      <c r="D231" s="24">
        <f t="shared" si="1"/>
        <v>-52173.91305</v>
      </c>
      <c r="E231" s="25">
        <f t="shared" si="2"/>
        <v>10.10125745</v>
      </c>
      <c r="F231" s="24">
        <f t="shared" si="3"/>
        <v>0.0001936074345</v>
      </c>
      <c r="G231" s="24">
        <f t="shared" si="4"/>
        <v>0</v>
      </c>
      <c r="H231" s="26">
        <f t="shared" si="5"/>
        <v>0</v>
      </c>
      <c r="I231" s="24">
        <f t="shared" si="6"/>
        <v>0</v>
      </c>
      <c r="J231" s="24">
        <f t="shared" si="7"/>
        <v>0</v>
      </c>
      <c r="K231" s="24"/>
      <c r="L231" s="24">
        <f t="shared" si="8"/>
        <v>544.0241604</v>
      </c>
      <c r="M231" s="14">
        <f t="shared" si="9"/>
        <v>430.2941932</v>
      </c>
      <c r="N231" s="27">
        <f t="shared" si="10"/>
        <v>113.7299673</v>
      </c>
      <c r="O231" s="24"/>
      <c r="P231" s="24"/>
      <c r="Q231" s="24"/>
      <c r="R231" s="26"/>
      <c r="S231" s="14">
        <f t="shared" si="13"/>
        <v>104.4377891</v>
      </c>
      <c r="U231" s="21"/>
      <c r="V231" s="21"/>
    </row>
    <row r="232">
      <c r="A232" s="11">
        <v>220.0</v>
      </c>
      <c r="B232" s="11">
        <v>1.42035217391304E9</v>
      </c>
      <c r="C232" s="2">
        <v>-101.5150833</v>
      </c>
      <c r="D232" s="24">
        <f t="shared" si="1"/>
        <v>-47826.08696</v>
      </c>
      <c r="E232" s="25">
        <f t="shared" si="2"/>
        <v>9.182961321</v>
      </c>
      <c r="F232" s="24">
        <f t="shared" si="3"/>
        <v>0.0001920073731</v>
      </c>
      <c r="G232" s="24">
        <f t="shared" si="4"/>
        <v>0</v>
      </c>
      <c r="H232" s="26">
        <f t="shared" si="5"/>
        <v>0</v>
      </c>
      <c r="I232" s="24">
        <f t="shared" si="6"/>
        <v>0</v>
      </c>
      <c r="J232" s="24">
        <f t="shared" si="7"/>
        <v>0</v>
      </c>
      <c r="K232" s="24"/>
      <c r="L232" s="24">
        <f t="shared" si="8"/>
        <v>536.5347278</v>
      </c>
      <c r="M232" s="14">
        <f t="shared" si="9"/>
        <v>430.2288095</v>
      </c>
      <c r="N232" s="27">
        <f t="shared" si="10"/>
        <v>106.3059183</v>
      </c>
      <c r="O232" s="24"/>
      <c r="P232" s="24"/>
      <c r="Q232" s="24"/>
      <c r="R232" s="26"/>
      <c r="S232" s="14">
        <f t="shared" si="13"/>
        <v>97.62031345</v>
      </c>
      <c r="U232" s="21"/>
      <c r="V232" s="21"/>
    </row>
    <row r="233">
      <c r="A233" s="11">
        <v>221.0</v>
      </c>
      <c r="B233" s="11">
        <v>1.42035652173913E9</v>
      </c>
      <c r="C233" s="2">
        <v>-101.4959564</v>
      </c>
      <c r="D233" s="24">
        <f t="shared" si="1"/>
        <v>-43478.26087</v>
      </c>
      <c r="E233" s="25">
        <f t="shared" si="2"/>
        <v>8.264665191</v>
      </c>
      <c r="F233" s="24">
        <f t="shared" si="3"/>
        <v>0.0001900872994</v>
      </c>
      <c r="G233" s="24">
        <f t="shared" si="4"/>
        <v>0</v>
      </c>
      <c r="H233" s="26">
        <f t="shared" si="5"/>
        <v>0</v>
      </c>
      <c r="I233" s="24">
        <f t="shared" si="6"/>
        <v>0</v>
      </c>
      <c r="J233" s="24">
        <f t="shared" si="7"/>
        <v>0</v>
      </c>
      <c r="K233" s="24"/>
      <c r="L233" s="24">
        <f t="shared" si="8"/>
        <v>538.9029083</v>
      </c>
      <c r="M233" s="14">
        <f t="shared" si="9"/>
        <v>430.1631104</v>
      </c>
      <c r="N233" s="27">
        <f t="shared" si="10"/>
        <v>108.7397979</v>
      </c>
      <c r="O233" s="24"/>
      <c r="P233" s="24"/>
      <c r="Q233" s="24"/>
      <c r="R233" s="26"/>
      <c r="S233" s="14">
        <f t="shared" si="13"/>
        <v>99.85533586</v>
      </c>
      <c r="U233" s="21"/>
      <c r="V233" s="21"/>
    </row>
    <row r="234">
      <c r="A234" s="11">
        <v>222.0</v>
      </c>
      <c r="B234" s="11">
        <v>1.42036086956521E9</v>
      </c>
      <c r="C234" s="2">
        <v>-101.4548492</v>
      </c>
      <c r="D234" s="24">
        <f t="shared" si="1"/>
        <v>-39130.43479</v>
      </c>
      <c r="E234" s="25">
        <f t="shared" si="2"/>
        <v>7.346369058</v>
      </c>
      <c r="F234" s="24">
        <f t="shared" si="3"/>
        <v>0.0001877405426</v>
      </c>
      <c r="G234" s="24">
        <f t="shared" si="4"/>
        <v>0</v>
      </c>
      <c r="H234" s="26">
        <f t="shared" si="5"/>
        <v>0</v>
      </c>
      <c r="I234" s="24">
        <f t="shared" si="6"/>
        <v>0</v>
      </c>
      <c r="J234" s="24">
        <f t="shared" si="7"/>
        <v>0</v>
      </c>
      <c r="K234" s="24"/>
      <c r="L234" s="24">
        <f t="shared" si="8"/>
        <v>544.0279936</v>
      </c>
      <c r="M234" s="14">
        <f t="shared" si="9"/>
        <v>430.0970952</v>
      </c>
      <c r="N234" s="27">
        <f t="shared" si="10"/>
        <v>113.9308984</v>
      </c>
      <c r="O234" s="24"/>
      <c r="P234" s="24"/>
      <c r="Q234" s="24"/>
      <c r="R234" s="26"/>
      <c r="S234" s="14">
        <f t="shared" si="13"/>
        <v>104.6223034</v>
      </c>
      <c r="U234" s="21"/>
      <c r="V234" s="21"/>
    </row>
    <row r="235">
      <c r="A235" s="11">
        <v>223.0</v>
      </c>
      <c r="B235" s="11">
        <v>1.4203652173913E9</v>
      </c>
      <c r="C235" s="2">
        <v>-101.5058289</v>
      </c>
      <c r="D235" s="24">
        <f t="shared" si="1"/>
        <v>-34782.6087</v>
      </c>
      <c r="E235" s="25">
        <f t="shared" si="2"/>
        <v>6.428072925</v>
      </c>
      <c r="F235" s="24">
        <f t="shared" si="3"/>
        <v>0.0001848070966</v>
      </c>
      <c r="G235" s="24">
        <f t="shared" si="4"/>
        <v>0</v>
      </c>
      <c r="H235" s="26">
        <f t="shared" si="5"/>
        <v>0</v>
      </c>
      <c r="I235" s="24">
        <f t="shared" si="6"/>
        <v>0</v>
      </c>
      <c r="J235" s="24">
        <f t="shared" si="7"/>
        <v>0</v>
      </c>
      <c r="K235" s="24"/>
      <c r="L235" s="24">
        <f t="shared" si="8"/>
        <v>537.679251</v>
      </c>
      <c r="M235" s="14">
        <f t="shared" si="9"/>
        <v>430.0307626</v>
      </c>
      <c r="N235" s="27">
        <f t="shared" si="10"/>
        <v>107.6484883</v>
      </c>
      <c r="O235" s="24"/>
      <c r="P235" s="24"/>
      <c r="Q235" s="24"/>
      <c r="R235" s="26"/>
      <c r="S235" s="14">
        <f t="shared" si="13"/>
        <v>98.85319031</v>
      </c>
      <c r="U235" s="21"/>
      <c r="V235" s="21"/>
    </row>
    <row r="236">
      <c r="A236" s="11">
        <v>224.0</v>
      </c>
      <c r="B236" s="11">
        <v>1.42036956521739E9</v>
      </c>
      <c r="C236" s="2">
        <v>-101.4539795</v>
      </c>
      <c r="D236" s="24">
        <f t="shared" si="1"/>
        <v>-30434.78261</v>
      </c>
      <c r="E236" s="25">
        <f t="shared" si="2"/>
        <v>5.509776795</v>
      </c>
      <c r="F236" s="24">
        <f t="shared" si="3"/>
        <v>0.0001810355232</v>
      </c>
      <c r="G236" s="24">
        <f t="shared" si="4"/>
        <v>0</v>
      </c>
      <c r="H236" s="26">
        <f t="shared" si="5"/>
        <v>0</v>
      </c>
      <c r="I236" s="24">
        <f t="shared" si="6"/>
        <v>0</v>
      </c>
      <c r="J236" s="24">
        <f t="shared" si="7"/>
        <v>0</v>
      </c>
      <c r="K236" s="24"/>
      <c r="L236" s="24">
        <f t="shared" si="8"/>
        <v>544.1369493</v>
      </c>
      <c r="M236" s="14">
        <f t="shared" si="9"/>
        <v>429.9641119</v>
      </c>
      <c r="N236" s="27">
        <f t="shared" si="10"/>
        <v>114.1728373</v>
      </c>
      <c r="O236" s="24"/>
      <c r="P236" s="24"/>
      <c r="Q236" s="24"/>
      <c r="R236" s="26"/>
      <c r="S236" s="14">
        <f t="shared" si="13"/>
        <v>104.844475</v>
      </c>
      <c r="U236" s="21"/>
      <c r="V236" s="21"/>
    </row>
    <row r="237">
      <c r="A237" s="11">
        <v>225.0</v>
      </c>
      <c r="B237" s="11">
        <v>1.42037391304347E9</v>
      </c>
      <c r="C237" s="2">
        <v>-101.4668198</v>
      </c>
      <c r="D237" s="24">
        <f t="shared" si="1"/>
        <v>-26086.95653</v>
      </c>
      <c r="E237" s="25">
        <f t="shared" si="2"/>
        <v>4.591480662</v>
      </c>
      <c r="F237" s="24">
        <f t="shared" si="3"/>
        <v>0.0001760067586</v>
      </c>
      <c r="G237" s="24">
        <f t="shared" si="4"/>
        <v>0</v>
      </c>
      <c r="H237" s="26">
        <f t="shared" si="5"/>
        <v>0</v>
      </c>
      <c r="I237" s="24">
        <f t="shared" si="6"/>
        <v>0</v>
      </c>
      <c r="J237" s="24">
        <f t="shared" si="7"/>
        <v>0</v>
      </c>
      <c r="K237" s="24"/>
      <c r="L237" s="24">
        <f t="shared" si="8"/>
        <v>542.5305362</v>
      </c>
      <c r="M237" s="14">
        <f t="shared" si="9"/>
        <v>429.8971421</v>
      </c>
      <c r="N237" s="27">
        <f t="shared" si="10"/>
        <v>112.6333942</v>
      </c>
      <c r="O237" s="24"/>
      <c r="P237" s="24"/>
      <c r="Q237" s="24"/>
      <c r="R237" s="26"/>
      <c r="S237" s="14">
        <f t="shared" si="13"/>
        <v>103.4308103</v>
      </c>
      <c r="U237" s="21"/>
      <c r="V237" s="21"/>
    </row>
    <row r="238">
      <c r="A238" s="11">
        <v>226.0</v>
      </c>
      <c r="B238" s="11">
        <v>1.42037826086956E9</v>
      </c>
      <c r="C238" s="2">
        <v>-101.3731995</v>
      </c>
      <c r="D238" s="24">
        <f t="shared" si="1"/>
        <v>-21739.13044</v>
      </c>
      <c r="E238" s="25">
        <f t="shared" si="2"/>
        <v>3.673184529</v>
      </c>
      <c r="F238" s="24">
        <f t="shared" si="3"/>
        <v>0.0001689664883</v>
      </c>
      <c r="G238" s="24">
        <f t="shared" si="4"/>
        <v>0</v>
      </c>
      <c r="H238" s="26">
        <f t="shared" si="5"/>
        <v>0</v>
      </c>
      <c r="I238" s="24">
        <f t="shared" si="6"/>
        <v>0</v>
      </c>
      <c r="J238" s="24">
        <f t="shared" si="7"/>
        <v>0</v>
      </c>
      <c r="K238" s="24"/>
      <c r="L238" s="24">
        <f t="shared" si="8"/>
        <v>554.3527642</v>
      </c>
      <c r="M238" s="14">
        <f t="shared" si="9"/>
        <v>429.8298521</v>
      </c>
      <c r="N238" s="27">
        <f t="shared" si="10"/>
        <v>124.522912</v>
      </c>
      <c r="O238" s="24"/>
      <c r="P238" s="24"/>
      <c r="Q238" s="24"/>
      <c r="R238" s="26"/>
      <c r="S238" s="14">
        <f t="shared" si="13"/>
        <v>114.3489083</v>
      </c>
      <c r="U238" s="21"/>
      <c r="V238" s="21"/>
    </row>
    <row r="239">
      <c r="A239" s="11">
        <v>227.0</v>
      </c>
      <c r="B239" s="11">
        <v>1.42038260869565E9</v>
      </c>
      <c r="C239" s="2">
        <v>-101.4470978</v>
      </c>
      <c r="D239" s="24">
        <f t="shared" si="1"/>
        <v>-17391.30435</v>
      </c>
      <c r="E239" s="25">
        <f t="shared" si="2"/>
        <v>2.754888398</v>
      </c>
      <c r="F239" s="24">
        <f t="shared" si="3"/>
        <v>0.0001584060829</v>
      </c>
      <c r="G239" s="24">
        <f t="shared" si="4"/>
        <v>0</v>
      </c>
      <c r="H239" s="26">
        <f t="shared" si="5"/>
        <v>0</v>
      </c>
      <c r="I239" s="24">
        <f t="shared" si="6"/>
        <v>0</v>
      </c>
      <c r="J239" s="24">
        <f t="shared" si="7"/>
        <v>0</v>
      </c>
      <c r="K239" s="24"/>
      <c r="L239" s="24">
        <f t="shared" si="8"/>
        <v>544.9998558</v>
      </c>
      <c r="M239" s="14">
        <f t="shared" si="9"/>
        <v>429.7622411</v>
      </c>
      <c r="N239" s="27">
        <f t="shared" si="10"/>
        <v>115.2376147</v>
      </c>
      <c r="O239" s="24"/>
      <c r="P239" s="24"/>
      <c r="Q239" s="24"/>
      <c r="R239" s="26"/>
      <c r="S239" s="14">
        <f t="shared" si="13"/>
        <v>105.8222559</v>
      </c>
      <c r="U239" s="21"/>
      <c r="V239" s="21"/>
    </row>
    <row r="240">
      <c r="A240" s="11">
        <v>228.0</v>
      </c>
      <c r="B240" s="11">
        <v>1.42038695652173E9</v>
      </c>
      <c r="C240" s="2">
        <v>-101.342804</v>
      </c>
      <c r="D240" s="24">
        <f t="shared" si="1"/>
        <v>-13043.47827</v>
      </c>
      <c r="E240" s="25">
        <f t="shared" si="2"/>
        <v>1.836592266</v>
      </c>
      <c r="F240" s="24">
        <f t="shared" si="3"/>
        <v>0.0001408054069</v>
      </c>
      <c r="G240" s="24">
        <f t="shared" si="4"/>
        <v>0</v>
      </c>
      <c r="H240" s="26">
        <f t="shared" si="5"/>
        <v>0</v>
      </c>
      <c r="I240" s="24">
        <f t="shared" si="6"/>
        <v>0</v>
      </c>
      <c r="J240" s="24">
        <f t="shared" si="7"/>
        <v>0</v>
      </c>
      <c r="K240" s="24"/>
      <c r="L240" s="24">
        <f t="shared" si="8"/>
        <v>558.2461896</v>
      </c>
      <c r="M240" s="14">
        <f t="shared" si="9"/>
        <v>429.6943081</v>
      </c>
      <c r="N240" s="27">
        <f t="shared" si="10"/>
        <v>128.5518814</v>
      </c>
      <c r="O240" s="24"/>
      <c r="P240" s="24"/>
      <c r="Q240" s="24"/>
      <c r="R240" s="26"/>
      <c r="S240" s="14">
        <f t="shared" si="13"/>
        <v>118.0486956</v>
      </c>
      <c r="U240" s="21"/>
      <c r="V240" s="21"/>
    </row>
    <row r="241">
      <c r="A241" s="11">
        <v>229.0</v>
      </c>
      <c r="B241" s="11">
        <v>1.42039130434782E9</v>
      </c>
      <c r="C241" s="2">
        <v>-101.3423996</v>
      </c>
      <c r="D241" s="24">
        <f t="shared" si="1"/>
        <v>-8695.65218</v>
      </c>
      <c r="E241" s="25">
        <f t="shared" si="2"/>
        <v>0.9182961328</v>
      </c>
      <c r="F241" s="24">
        <f t="shared" si="3"/>
        <v>0.0001056040552</v>
      </c>
      <c r="G241" s="24">
        <f t="shared" si="4"/>
        <v>0</v>
      </c>
      <c r="H241" s="26">
        <f t="shared" si="5"/>
        <v>0</v>
      </c>
      <c r="I241" s="24">
        <f t="shared" si="6"/>
        <v>0</v>
      </c>
      <c r="J241" s="24">
        <f t="shared" si="7"/>
        <v>0</v>
      </c>
      <c r="K241" s="24"/>
      <c r="L241" s="24">
        <f t="shared" si="8"/>
        <v>558.2981739</v>
      </c>
      <c r="M241" s="14">
        <f t="shared" si="9"/>
        <v>429.6260522</v>
      </c>
      <c r="N241" s="27">
        <f t="shared" si="10"/>
        <v>128.6721217</v>
      </c>
      <c r="O241" s="24"/>
      <c r="P241" s="24"/>
      <c r="Q241" s="24"/>
      <c r="R241" s="26"/>
      <c r="S241" s="14">
        <f t="shared" si="13"/>
        <v>118.1591118</v>
      </c>
      <c r="U241" s="21"/>
      <c r="V241" s="21"/>
    </row>
    <row r="242">
      <c r="A242" s="11">
        <v>230.0</v>
      </c>
      <c r="B242" s="11">
        <v>1.42039565217391E9</v>
      </c>
      <c r="C242" s="2">
        <v>-101.2664642</v>
      </c>
      <c r="D242" s="24">
        <f t="shared" si="1"/>
        <v>-4347.82609</v>
      </c>
      <c r="E242" s="25">
        <f t="shared" si="2"/>
        <v>0</v>
      </c>
      <c r="F242" s="24">
        <f t="shared" si="3"/>
        <v>0</v>
      </c>
      <c r="G242" s="24">
        <f t="shared" si="4"/>
        <v>0</v>
      </c>
      <c r="H242" s="26">
        <f t="shared" si="5"/>
        <v>0</v>
      </c>
      <c r="I242" s="24">
        <f t="shared" si="6"/>
        <v>0</v>
      </c>
      <c r="J242" s="24" t="str">
        <f t="shared" si="7"/>
        <v>#DIV/0!</v>
      </c>
      <c r="K242" s="24"/>
      <c r="L242" s="24">
        <f t="shared" si="8"/>
        <v>568.1457305</v>
      </c>
      <c r="M242" s="14">
        <f t="shared" si="9"/>
        <v>429.5574724</v>
      </c>
      <c r="N242" s="27">
        <f t="shared" si="10"/>
        <v>138.5882581</v>
      </c>
      <c r="O242" s="24"/>
      <c r="P242" s="24"/>
      <c r="Q242" s="24"/>
      <c r="R242" s="26"/>
      <c r="S242" s="14">
        <f t="shared" si="13"/>
        <v>127.2650612</v>
      </c>
      <c r="U242" s="21"/>
      <c r="V242" s="21"/>
    </row>
    <row r="243">
      <c r="A243" s="11">
        <v>231.0</v>
      </c>
      <c r="B243" s="11">
        <v>1.4204E9</v>
      </c>
      <c r="C243" s="2">
        <v>-101.2810211</v>
      </c>
      <c r="D243" s="24">
        <f t="shared" si="1"/>
        <v>0</v>
      </c>
      <c r="E243" s="25">
        <f t="shared" si="2"/>
        <v>-0.9182961307</v>
      </c>
      <c r="F243" s="24" t="str">
        <f t="shared" si="3"/>
        <v>#DIV/0!</v>
      </c>
      <c r="G243" s="24">
        <f t="shared" si="4"/>
        <v>0</v>
      </c>
      <c r="H243" s="26">
        <f t="shared" si="5"/>
        <v>0</v>
      </c>
      <c r="I243" s="24">
        <f t="shared" si="6"/>
        <v>0</v>
      </c>
      <c r="J243" s="24" t="str">
        <f t="shared" si="7"/>
        <v>#DIV/0!</v>
      </c>
      <c r="K243" s="24"/>
      <c r="L243" s="24">
        <f t="shared" si="8"/>
        <v>566.2445791</v>
      </c>
      <c r="M243" s="14">
        <f t="shared" si="9"/>
        <v>429.4885677</v>
      </c>
      <c r="N243" s="27">
        <f t="shared" si="10"/>
        <v>136.7560114</v>
      </c>
      <c r="O243" s="24"/>
      <c r="P243" s="24"/>
      <c r="Q243" s="24"/>
      <c r="R243" s="26"/>
      <c r="S243" s="14">
        <f t="shared" si="13"/>
        <v>125.5825164</v>
      </c>
      <c r="U243" s="21"/>
      <c r="V243" s="21"/>
    </row>
    <row r="244">
      <c r="A244" s="11">
        <v>232.0</v>
      </c>
      <c r="B244" s="11">
        <v>1.42040434782608E9</v>
      </c>
      <c r="C244" s="2">
        <v>-101.1696167</v>
      </c>
      <c r="D244" s="24">
        <f t="shared" si="1"/>
        <v>4347.82608</v>
      </c>
      <c r="E244" s="25">
        <f t="shared" si="2"/>
        <v>-1.836592263</v>
      </c>
      <c r="F244" s="24">
        <f t="shared" si="3"/>
        <v>0.0004224162213</v>
      </c>
      <c r="G244" s="24">
        <f t="shared" si="4"/>
        <v>0</v>
      </c>
      <c r="H244" s="26">
        <f t="shared" si="5"/>
        <v>0</v>
      </c>
      <c r="I244" s="24">
        <f t="shared" si="6"/>
        <v>0</v>
      </c>
      <c r="J244" s="24">
        <f t="shared" si="7"/>
        <v>0</v>
      </c>
      <c r="K244" s="24"/>
      <c r="L244" s="24">
        <f t="shared" si="8"/>
        <v>580.9576802</v>
      </c>
      <c r="M244" s="14">
        <f t="shared" si="9"/>
        <v>429.4193372</v>
      </c>
      <c r="N244" s="27">
        <f t="shared" si="10"/>
        <v>151.538343</v>
      </c>
      <c r="O244" s="24"/>
      <c r="P244" s="24"/>
      <c r="Q244" s="24"/>
      <c r="R244" s="26"/>
      <c r="S244" s="14">
        <f t="shared" si="13"/>
        <v>139.1570743</v>
      </c>
      <c r="U244" s="21"/>
      <c r="V244" s="21"/>
    </row>
    <row r="245">
      <c r="A245" s="11">
        <v>233.0</v>
      </c>
      <c r="B245" s="11">
        <v>1.42040869565217E9</v>
      </c>
      <c r="C245" s="2">
        <v>-101.1789093</v>
      </c>
      <c r="D245" s="24">
        <f t="shared" si="1"/>
        <v>8695.65217</v>
      </c>
      <c r="E245" s="25">
        <f t="shared" si="2"/>
        <v>-2.754888396</v>
      </c>
      <c r="F245" s="24">
        <f t="shared" si="3"/>
        <v>0.0003168121657</v>
      </c>
      <c r="G245" s="24">
        <f t="shared" si="4"/>
        <v>0</v>
      </c>
      <c r="H245" s="26">
        <f t="shared" si="5"/>
        <v>0</v>
      </c>
      <c r="I245" s="24">
        <f t="shared" si="6"/>
        <v>0</v>
      </c>
      <c r="J245" s="24">
        <f t="shared" si="7"/>
        <v>0</v>
      </c>
      <c r="K245" s="24"/>
      <c r="L245" s="24">
        <f t="shared" si="8"/>
        <v>579.7159338</v>
      </c>
      <c r="M245" s="14">
        <f t="shared" si="9"/>
        <v>429.3497799</v>
      </c>
      <c r="N245" s="27">
        <f t="shared" si="10"/>
        <v>150.3661539</v>
      </c>
      <c r="O245" s="24"/>
      <c r="P245" s="24"/>
      <c r="Q245" s="24"/>
      <c r="R245" s="26"/>
      <c r="S245" s="14">
        <f t="shared" si="13"/>
        <v>138.0806573</v>
      </c>
      <c r="U245" s="21"/>
      <c r="V245" s="21"/>
    </row>
    <row r="246">
      <c r="A246" s="11">
        <v>234.0</v>
      </c>
      <c r="B246" s="11">
        <v>1.42041304347826E9</v>
      </c>
      <c r="C246" s="2">
        <v>-101.148613</v>
      </c>
      <c r="D246" s="24">
        <f t="shared" si="1"/>
        <v>13043.47826</v>
      </c>
      <c r="E246" s="25">
        <f t="shared" si="2"/>
        <v>-3.673184527</v>
      </c>
      <c r="F246" s="24">
        <f t="shared" si="3"/>
        <v>0.0002816108137</v>
      </c>
      <c r="G246" s="24">
        <f t="shared" si="4"/>
        <v>0</v>
      </c>
      <c r="H246" s="26">
        <f t="shared" si="5"/>
        <v>0</v>
      </c>
      <c r="I246" s="24">
        <f t="shared" si="6"/>
        <v>0</v>
      </c>
      <c r="J246" s="24">
        <f t="shared" si="7"/>
        <v>0</v>
      </c>
      <c r="K246" s="24"/>
      <c r="L246" s="24">
        <f t="shared" si="8"/>
        <v>583.7741597</v>
      </c>
      <c r="M246" s="14">
        <f t="shared" si="9"/>
        <v>429.279895</v>
      </c>
      <c r="N246" s="27">
        <f t="shared" si="10"/>
        <v>154.4942647</v>
      </c>
      <c r="O246" s="24"/>
      <c r="P246" s="24"/>
      <c r="Q246" s="24"/>
      <c r="R246" s="26"/>
      <c r="S246" s="14">
        <f t="shared" si="13"/>
        <v>141.8714858</v>
      </c>
      <c r="U246" s="21"/>
      <c r="V246" s="21"/>
    </row>
    <row r="247">
      <c r="A247" s="11">
        <v>235.0</v>
      </c>
      <c r="B247" s="11">
        <v>1.42041739130434E9</v>
      </c>
      <c r="C247" s="2">
        <v>-101.0941925</v>
      </c>
      <c r="D247" s="24">
        <f t="shared" si="1"/>
        <v>17391.30434</v>
      </c>
      <c r="E247" s="25">
        <f t="shared" si="2"/>
        <v>-4.59148066</v>
      </c>
      <c r="F247" s="24">
        <f t="shared" si="3"/>
        <v>0.0002640101381</v>
      </c>
      <c r="G247" s="24">
        <f t="shared" si="4"/>
        <v>0</v>
      </c>
      <c r="H247" s="26">
        <f t="shared" si="5"/>
        <v>0</v>
      </c>
      <c r="I247" s="24">
        <f t="shared" si="6"/>
        <v>0</v>
      </c>
      <c r="J247" s="24">
        <f t="shared" si="7"/>
        <v>0</v>
      </c>
      <c r="K247" s="24"/>
      <c r="L247" s="24">
        <f t="shared" si="8"/>
        <v>591.1353314</v>
      </c>
      <c r="M247" s="14">
        <f t="shared" si="9"/>
        <v>429.2096814</v>
      </c>
      <c r="N247" s="27">
        <f t="shared" si="10"/>
        <v>161.9256501</v>
      </c>
      <c r="O247" s="24"/>
      <c r="P247" s="24"/>
      <c r="Q247" s="24"/>
      <c r="R247" s="26"/>
      <c r="S247" s="14">
        <f t="shared" si="13"/>
        <v>148.6956983</v>
      </c>
      <c r="U247" s="21"/>
      <c r="V247" s="21"/>
    </row>
    <row r="248">
      <c r="A248" s="11">
        <v>236.0</v>
      </c>
      <c r="B248" s="11">
        <v>1.42042173913043E9</v>
      </c>
      <c r="C248" s="2">
        <v>-101.0481033</v>
      </c>
      <c r="D248" s="24">
        <f t="shared" si="1"/>
        <v>21739.13043</v>
      </c>
      <c r="E248" s="25">
        <f t="shared" si="2"/>
        <v>-5.509776792</v>
      </c>
      <c r="F248" s="24">
        <f t="shared" si="3"/>
        <v>0.0002534497325</v>
      </c>
      <c r="G248" s="24">
        <f t="shared" si="4"/>
        <v>0</v>
      </c>
      <c r="H248" s="26">
        <f t="shared" si="5"/>
        <v>0</v>
      </c>
      <c r="I248" s="24">
        <f t="shared" si="6"/>
        <v>0</v>
      </c>
      <c r="J248" s="24">
        <f t="shared" si="7"/>
        <v>0</v>
      </c>
      <c r="K248" s="24"/>
      <c r="L248" s="24">
        <f t="shared" si="8"/>
        <v>597.44212</v>
      </c>
      <c r="M248" s="14">
        <f t="shared" si="9"/>
        <v>429.1391381</v>
      </c>
      <c r="N248" s="27">
        <f t="shared" si="10"/>
        <v>168.3029819</v>
      </c>
      <c r="O248" s="24"/>
      <c r="P248" s="24"/>
      <c r="Q248" s="24"/>
      <c r="R248" s="26"/>
      <c r="S248" s="14">
        <f t="shared" si="13"/>
        <v>154.5519771</v>
      </c>
      <c r="U248" s="21"/>
      <c r="V248" s="21"/>
    </row>
    <row r="249">
      <c r="A249" s="11">
        <v>237.0</v>
      </c>
      <c r="B249" s="11">
        <v>1.42042608695652E9</v>
      </c>
      <c r="C249" s="2">
        <v>-101.0293655</v>
      </c>
      <c r="D249" s="24">
        <f t="shared" si="1"/>
        <v>26086.95652</v>
      </c>
      <c r="E249" s="25">
        <f t="shared" si="2"/>
        <v>-6.428072923</v>
      </c>
      <c r="F249" s="24">
        <f t="shared" si="3"/>
        <v>0.0002464094621</v>
      </c>
      <c r="G249" s="24">
        <f t="shared" si="4"/>
        <v>0</v>
      </c>
      <c r="H249" s="26">
        <f t="shared" si="5"/>
        <v>0</v>
      </c>
      <c r="I249" s="24">
        <f t="shared" si="6"/>
        <v>0</v>
      </c>
      <c r="J249" s="24">
        <f t="shared" si="7"/>
        <v>0</v>
      </c>
      <c r="K249" s="24"/>
      <c r="L249" s="24">
        <f t="shared" si="8"/>
        <v>600.0253755</v>
      </c>
      <c r="M249" s="14">
        <f t="shared" si="9"/>
        <v>429.0682643</v>
      </c>
      <c r="N249" s="27">
        <f t="shared" si="10"/>
        <v>170.9571112</v>
      </c>
      <c r="O249" s="24"/>
      <c r="P249" s="24"/>
      <c r="Q249" s="24"/>
      <c r="R249" s="26"/>
      <c r="S249" s="14">
        <f t="shared" si="13"/>
        <v>156.9892541</v>
      </c>
      <c r="U249" s="21"/>
      <c r="V249" s="21"/>
    </row>
    <row r="250">
      <c r="A250" s="11">
        <v>238.0</v>
      </c>
      <c r="B250" s="11">
        <v>1.4204304347826E9</v>
      </c>
      <c r="C250" s="2">
        <v>-100.9884491</v>
      </c>
      <c r="D250" s="24">
        <f t="shared" si="1"/>
        <v>30434.7826</v>
      </c>
      <c r="E250" s="25">
        <f t="shared" si="2"/>
        <v>-7.346369056</v>
      </c>
      <c r="F250" s="24">
        <f t="shared" si="3"/>
        <v>0.0002413806976</v>
      </c>
      <c r="G250" s="24">
        <f t="shared" si="4"/>
        <v>0</v>
      </c>
      <c r="H250" s="26">
        <f t="shared" si="5"/>
        <v>0</v>
      </c>
      <c r="I250" s="24">
        <f t="shared" si="6"/>
        <v>0</v>
      </c>
      <c r="J250" s="24">
        <f t="shared" si="7"/>
        <v>0</v>
      </c>
      <c r="K250" s="24"/>
      <c r="L250" s="24">
        <f t="shared" si="8"/>
        <v>605.7051376</v>
      </c>
      <c r="M250" s="14">
        <f t="shared" si="9"/>
        <v>428.997059</v>
      </c>
      <c r="N250" s="27">
        <f t="shared" si="10"/>
        <v>176.7080786</v>
      </c>
      <c r="O250" s="24"/>
      <c r="P250" s="24"/>
      <c r="Q250" s="24"/>
      <c r="R250" s="26"/>
      <c r="S250" s="14">
        <f t="shared" si="13"/>
        <v>162.2703452</v>
      </c>
      <c r="U250" s="21"/>
      <c r="V250" s="21"/>
    </row>
    <row r="251">
      <c r="A251" s="11">
        <v>239.0</v>
      </c>
      <c r="B251" s="11">
        <v>1.42043478260869E9</v>
      </c>
      <c r="C251" s="2">
        <v>-101.0454865</v>
      </c>
      <c r="D251" s="24">
        <f t="shared" si="1"/>
        <v>34782.60869</v>
      </c>
      <c r="E251" s="25">
        <f t="shared" si="2"/>
        <v>-8.264665189</v>
      </c>
      <c r="F251" s="24">
        <f t="shared" si="3"/>
        <v>0.0002376091242</v>
      </c>
      <c r="G251" s="24">
        <f t="shared" si="4"/>
        <v>0</v>
      </c>
      <c r="H251" s="26">
        <f t="shared" si="5"/>
        <v>0</v>
      </c>
      <c r="I251" s="24">
        <f t="shared" si="6"/>
        <v>0</v>
      </c>
      <c r="J251" s="24">
        <f t="shared" si="7"/>
        <v>0</v>
      </c>
      <c r="K251" s="24"/>
      <c r="L251" s="24">
        <f t="shared" si="8"/>
        <v>597.8022116</v>
      </c>
      <c r="M251" s="14">
        <f t="shared" si="9"/>
        <v>428.9255212</v>
      </c>
      <c r="N251" s="27">
        <f t="shared" si="10"/>
        <v>168.8766904</v>
      </c>
      <c r="O251" s="24"/>
      <c r="P251" s="24"/>
      <c r="Q251" s="24"/>
      <c r="R251" s="26"/>
      <c r="S251" s="14">
        <f t="shared" si="13"/>
        <v>155.0788117</v>
      </c>
      <c r="U251" s="21"/>
      <c r="V251" s="21"/>
    </row>
    <row r="252">
      <c r="A252" s="11">
        <v>240.0</v>
      </c>
      <c r="B252" s="11">
        <v>1.42043913043478E9</v>
      </c>
      <c r="C252" s="2">
        <v>-100.9419098</v>
      </c>
      <c r="D252" s="24">
        <f t="shared" si="1"/>
        <v>39130.43478</v>
      </c>
      <c r="E252" s="25">
        <f t="shared" si="2"/>
        <v>-9.182961321</v>
      </c>
      <c r="F252" s="24">
        <f t="shared" si="3"/>
        <v>0.0002346756782</v>
      </c>
      <c r="G252" s="24">
        <f t="shared" si="4"/>
        <v>0</v>
      </c>
      <c r="H252" s="26">
        <f t="shared" si="5"/>
        <v>0</v>
      </c>
      <c r="I252" s="24">
        <f t="shared" si="6"/>
        <v>0</v>
      </c>
      <c r="J252" s="24">
        <f t="shared" si="7"/>
        <v>0</v>
      </c>
      <c r="K252" s="24"/>
      <c r="L252" s="24">
        <f t="shared" si="8"/>
        <v>612.2308185</v>
      </c>
      <c r="M252" s="14">
        <f t="shared" si="9"/>
        <v>428.85365</v>
      </c>
      <c r="N252" s="27">
        <f t="shared" si="10"/>
        <v>183.3771686</v>
      </c>
      <c r="O252" s="24"/>
      <c r="P252" s="24"/>
      <c r="Q252" s="24"/>
      <c r="R252" s="26"/>
      <c r="S252" s="14">
        <f t="shared" si="13"/>
        <v>168.3945444</v>
      </c>
      <c r="U252" s="21"/>
      <c r="V252" s="21"/>
    </row>
    <row r="253">
      <c r="A253" s="11">
        <v>241.0</v>
      </c>
      <c r="B253" s="11">
        <v>1.42044347826087E9</v>
      </c>
      <c r="C253" s="2">
        <v>-100.9644089</v>
      </c>
      <c r="D253" s="24">
        <f t="shared" si="1"/>
        <v>43478.26087</v>
      </c>
      <c r="E253" s="25">
        <f t="shared" si="2"/>
        <v>-10.10125745</v>
      </c>
      <c r="F253" s="24">
        <f t="shared" si="3"/>
        <v>0.0002323289214</v>
      </c>
      <c r="G253" s="24">
        <f t="shared" si="4"/>
        <v>0</v>
      </c>
      <c r="H253" s="26">
        <f t="shared" si="5"/>
        <v>0</v>
      </c>
      <c r="I253" s="24">
        <f t="shared" si="6"/>
        <v>0</v>
      </c>
      <c r="J253" s="24">
        <f t="shared" si="7"/>
        <v>0</v>
      </c>
      <c r="K253" s="24"/>
      <c r="L253" s="24">
        <f t="shared" si="8"/>
        <v>609.0672915</v>
      </c>
      <c r="M253" s="14">
        <f t="shared" si="9"/>
        <v>428.7814443</v>
      </c>
      <c r="N253" s="27">
        <f t="shared" si="10"/>
        <v>180.2858471</v>
      </c>
      <c r="O253" s="24"/>
      <c r="P253" s="24"/>
      <c r="Q253" s="24"/>
      <c r="R253" s="26"/>
      <c r="S253" s="14">
        <f t="shared" si="13"/>
        <v>165.5557962</v>
      </c>
      <c r="U253" s="21"/>
      <c r="V253" s="21"/>
    </row>
    <row r="254">
      <c r="A254" s="11">
        <v>242.0</v>
      </c>
      <c r="B254" s="11">
        <v>1.42044782608695E9</v>
      </c>
      <c r="C254" s="2">
        <v>-100.8803101</v>
      </c>
      <c r="D254" s="24">
        <f t="shared" si="1"/>
        <v>47826.08695</v>
      </c>
      <c r="E254" s="25">
        <f t="shared" si="2"/>
        <v>-11.01955358</v>
      </c>
      <c r="F254" s="24">
        <f t="shared" si="3"/>
        <v>0.0002304088477</v>
      </c>
      <c r="G254" s="24">
        <f t="shared" si="4"/>
        <v>0</v>
      </c>
      <c r="H254" s="26">
        <f t="shared" si="5"/>
        <v>0</v>
      </c>
      <c r="I254" s="24">
        <f t="shared" si="6"/>
        <v>0</v>
      </c>
      <c r="J254" s="24">
        <f t="shared" si="7"/>
        <v>0</v>
      </c>
      <c r="K254" s="24"/>
      <c r="L254" s="24">
        <f t="shared" si="8"/>
        <v>620.9764888</v>
      </c>
      <c r="M254" s="14">
        <f t="shared" si="9"/>
        <v>428.7089034</v>
      </c>
      <c r="N254" s="27">
        <f t="shared" si="10"/>
        <v>192.2675854</v>
      </c>
      <c r="O254" s="24"/>
      <c r="P254" s="24"/>
      <c r="Q254" s="24"/>
      <c r="R254" s="26"/>
      <c r="S254" s="14">
        <f t="shared" si="13"/>
        <v>176.5585801</v>
      </c>
      <c r="U254" s="21"/>
      <c r="V254" s="21"/>
    </row>
    <row r="255">
      <c r="A255" s="11">
        <v>243.0</v>
      </c>
      <c r="B255" s="11">
        <v>1.42045217391304E9</v>
      </c>
      <c r="C255" s="2">
        <v>-100.8800125</v>
      </c>
      <c r="D255" s="24">
        <f t="shared" si="1"/>
        <v>52173.91304</v>
      </c>
      <c r="E255" s="25">
        <f t="shared" si="2"/>
        <v>-11.93784972</v>
      </c>
      <c r="F255" s="24">
        <f t="shared" si="3"/>
        <v>0.0002288087863</v>
      </c>
      <c r="G255" s="24">
        <f t="shared" si="4"/>
        <v>0</v>
      </c>
      <c r="H255" s="26">
        <f t="shared" si="5"/>
        <v>0</v>
      </c>
      <c r="I255" s="24">
        <f t="shared" si="6"/>
        <v>0</v>
      </c>
      <c r="J255" s="24">
        <f t="shared" si="7"/>
        <v>0</v>
      </c>
      <c r="K255" s="24"/>
      <c r="L255" s="24">
        <f t="shared" si="8"/>
        <v>621.0190426</v>
      </c>
      <c r="M255" s="14">
        <f t="shared" si="9"/>
        <v>428.6360262</v>
      </c>
      <c r="N255" s="27">
        <f t="shared" si="10"/>
        <v>192.3830164</v>
      </c>
      <c r="O255" s="24"/>
      <c r="P255" s="24"/>
      <c r="Q255" s="24"/>
      <c r="R255" s="26"/>
      <c r="S255" s="14">
        <f t="shared" si="13"/>
        <v>176.6645796</v>
      </c>
      <c r="U255" s="21"/>
      <c r="V255" s="21"/>
    </row>
    <row r="256">
      <c r="A256" s="11">
        <v>244.0</v>
      </c>
      <c r="B256" s="11">
        <v>1.42045652173913E9</v>
      </c>
      <c r="C256" s="2">
        <v>-100.874321</v>
      </c>
      <c r="D256" s="24">
        <f t="shared" si="1"/>
        <v>56521.73913</v>
      </c>
      <c r="E256" s="25">
        <f t="shared" si="2"/>
        <v>-12.85614585</v>
      </c>
      <c r="F256" s="24">
        <f t="shared" si="3"/>
        <v>0.0002274548881</v>
      </c>
      <c r="G256" s="24">
        <f t="shared" si="4"/>
        <v>0</v>
      </c>
      <c r="H256" s="26">
        <f t="shared" si="5"/>
        <v>0</v>
      </c>
      <c r="I256" s="24">
        <f t="shared" si="6"/>
        <v>0</v>
      </c>
      <c r="J256" s="24">
        <f t="shared" si="7"/>
        <v>0</v>
      </c>
      <c r="K256" s="24"/>
      <c r="L256" s="24">
        <f t="shared" si="8"/>
        <v>621.8334317</v>
      </c>
      <c r="M256" s="14">
        <f t="shared" si="9"/>
        <v>428.5628117</v>
      </c>
      <c r="N256" s="27">
        <f t="shared" si="10"/>
        <v>193.27062</v>
      </c>
      <c r="O256" s="24"/>
      <c r="P256" s="24"/>
      <c r="Q256" s="24"/>
      <c r="R256" s="26"/>
      <c r="S256" s="14">
        <f t="shared" si="13"/>
        <v>177.4796629</v>
      </c>
      <c r="U256" s="21"/>
      <c r="V256" s="21"/>
    </row>
    <row r="257">
      <c r="A257" s="11">
        <v>245.0</v>
      </c>
      <c r="B257" s="11">
        <v>1.42046086956521E9</v>
      </c>
      <c r="C257" s="2">
        <v>-100.9250107</v>
      </c>
      <c r="D257" s="24">
        <f t="shared" si="1"/>
        <v>60869.56521</v>
      </c>
      <c r="E257" s="25">
        <f t="shared" si="2"/>
        <v>-13.77444198</v>
      </c>
      <c r="F257" s="24">
        <f t="shared" si="3"/>
        <v>0.000226294404</v>
      </c>
      <c r="G257" s="24">
        <f t="shared" si="4"/>
        <v>0</v>
      </c>
      <c r="H257" s="26">
        <f t="shared" si="5"/>
        <v>0</v>
      </c>
      <c r="I257" s="24">
        <f t="shared" si="6"/>
        <v>0</v>
      </c>
      <c r="J257" s="24">
        <f t="shared" si="7"/>
        <v>0</v>
      </c>
      <c r="K257" s="24"/>
      <c r="L257" s="24">
        <f t="shared" si="8"/>
        <v>614.6177485</v>
      </c>
      <c r="M257" s="14">
        <f t="shared" si="9"/>
        <v>428.4892591</v>
      </c>
      <c r="N257" s="27">
        <f t="shared" si="10"/>
        <v>186.1284894</v>
      </c>
      <c r="O257" s="24"/>
      <c r="P257" s="24"/>
      <c r="Q257" s="24"/>
      <c r="R257" s="26"/>
      <c r="S257" s="14">
        <f t="shared" si="13"/>
        <v>170.9210721</v>
      </c>
      <c r="U257" s="21"/>
      <c r="V257" s="21"/>
    </row>
    <row r="258">
      <c r="A258" s="11">
        <v>246.0</v>
      </c>
      <c r="B258" s="11">
        <v>1.4204652173913E9</v>
      </c>
      <c r="C258" s="2">
        <v>-100.9832153</v>
      </c>
      <c r="D258" s="24">
        <f t="shared" si="1"/>
        <v>65217.3913</v>
      </c>
      <c r="E258" s="25">
        <f t="shared" si="2"/>
        <v>-14.69273811</v>
      </c>
      <c r="F258" s="24">
        <f t="shared" si="3"/>
        <v>0.0002252886511</v>
      </c>
      <c r="G258" s="24">
        <f t="shared" si="4"/>
        <v>0</v>
      </c>
      <c r="H258" s="26">
        <f t="shared" si="5"/>
        <v>0</v>
      </c>
      <c r="I258" s="24">
        <f t="shared" si="6"/>
        <v>0</v>
      </c>
      <c r="J258" s="24">
        <f t="shared" si="7"/>
        <v>0</v>
      </c>
      <c r="K258" s="24"/>
      <c r="L258" s="24">
        <f t="shared" si="8"/>
        <v>606.4355292</v>
      </c>
      <c r="M258" s="14">
        <f t="shared" si="9"/>
        <v>428.4153673</v>
      </c>
      <c r="N258" s="27">
        <f t="shared" si="10"/>
        <v>178.0201619</v>
      </c>
      <c r="O258" s="24"/>
      <c r="P258" s="24"/>
      <c r="Q258" s="24"/>
      <c r="R258" s="26"/>
      <c r="S258" s="14">
        <f t="shared" si="13"/>
        <v>163.4752259</v>
      </c>
      <c r="U258" s="21"/>
      <c r="V258" s="21"/>
    </row>
    <row r="259">
      <c r="A259" s="11">
        <v>247.0</v>
      </c>
      <c r="B259" s="11">
        <v>1.42046956521739E9</v>
      </c>
      <c r="C259" s="2">
        <v>-101.0227585</v>
      </c>
      <c r="D259" s="24">
        <f t="shared" si="1"/>
        <v>69565.21739</v>
      </c>
      <c r="E259" s="25">
        <f t="shared" si="2"/>
        <v>-15.61103424</v>
      </c>
      <c r="F259" s="24">
        <f t="shared" si="3"/>
        <v>0.0002244086173</v>
      </c>
      <c r="G259" s="24">
        <f t="shared" si="4"/>
        <v>0</v>
      </c>
      <c r="H259" s="26">
        <f t="shared" si="5"/>
        <v>0</v>
      </c>
      <c r="I259" s="24">
        <f t="shared" si="6"/>
        <v>0</v>
      </c>
      <c r="J259" s="24">
        <f t="shared" si="7"/>
        <v>0</v>
      </c>
      <c r="K259" s="24"/>
      <c r="L259" s="24">
        <f t="shared" si="8"/>
        <v>600.9388996</v>
      </c>
      <c r="M259" s="14">
        <f t="shared" si="9"/>
        <v>428.3411354</v>
      </c>
      <c r="N259" s="27">
        <f t="shared" si="10"/>
        <v>172.5977641</v>
      </c>
      <c r="O259" s="24"/>
      <c r="P259" s="24"/>
      <c r="Q259" s="24"/>
      <c r="R259" s="26"/>
      <c r="S259" s="14">
        <f t="shared" si="13"/>
        <v>158.4958593</v>
      </c>
      <c r="U259" s="21"/>
      <c r="V259" s="21"/>
    </row>
    <row r="260">
      <c r="A260" s="11">
        <v>248.0</v>
      </c>
      <c r="B260" s="11">
        <v>1.42047391304347E9</v>
      </c>
      <c r="C260" s="2">
        <v>-101.0224304</v>
      </c>
      <c r="D260" s="24">
        <f t="shared" si="1"/>
        <v>73913.04347</v>
      </c>
      <c r="E260" s="25">
        <f t="shared" si="2"/>
        <v>-16.52933038</v>
      </c>
      <c r="F260" s="24">
        <f t="shared" si="3"/>
        <v>0.0002236321169</v>
      </c>
      <c r="G260" s="24">
        <f t="shared" si="4"/>
        <v>0</v>
      </c>
      <c r="H260" s="26">
        <f t="shared" si="5"/>
        <v>0</v>
      </c>
      <c r="I260" s="24">
        <f t="shared" si="6"/>
        <v>0</v>
      </c>
      <c r="J260" s="24">
        <f t="shared" si="7"/>
        <v>0</v>
      </c>
      <c r="K260" s="24"/>
      <c r="L260" s="24">
        <f t="shared" si="8"/>
        <v>600.9843009</v>
      </c>
      <c r="M260" s="14">
        <f t="shared" si="9"/>
        <v>428.2665625</v>
      </c>
      <c r="N260" s="27">
        <f t="shared" si="10"/>
        <v>172.7177384</v>
      </c>
      <c r="O260" s="24"/>
      <c r="P260" s="24"/>
      <c r="Q260" s="24"/>
      <c r="R260" s="26"/>
      <c r="S260" s="14">
        <f t="shared" si="13"/>
        <v>158.6060312</v>
      </c>
      <c r="U260" s="21"/>
      <c r="V260" s="21"/>
    </row>
    <row r="261">
      <c r="A261" s="11">
        <v>249.0</v>
      </c>
      <c r="B261" s="11">
        <v>1.42047826086956E9</v>
      </c>
      <c r="C261" s="2">
        <v>-100.9899216</v>
      </c>
      <c r="D261" s="24">
        <f t="shared" si="1"/>
        <v>78260.86956</v>
      </c>
      <c r="E261" s="25">
        <f t="shared" si="2"/>
        <v>-17.44762651</v>
      </c>
      <c r="F261" s="24">
        <f t="shared" si="3"/>
        <v>0.0002229418943</v>
      </c>
      <c r="G261" s="24">
        <f t="shared" si="4"/>
        <v>0</v>
      </c>
      <c r="H261" s="26">
        <f t="shared" si="5"/>
        <v>0</v>
      </c>
      <c r="I261" s="24">
        <f t="shared" si="6"/>
        <v>0</v>
      </c>
      <c r="J261" s="24">
        <f t="shared" si="7"/>
        <v>0</v>
      </c>
      <c r="K261" s="24"/>
      <c r="L261" s="24">
        <f t="shared" si="8"/>
        <v>605.4998047</v>
      </c>
      <c r="M261" s="14">
        <f t="shared" si="9"/>
        <v>428.1916476</v>
      </c>
      <c r="N261" s="27">
        <f t="shared" si="10"/>
        <v>177.3081571</v>
      </c>
      <c r="O261" s="24"/>
      <c r="P261" s="24"/>
      <c r="Q261" s="24"/>
      <c r="R261" s="26"/>
      <c r="S261" s="14">
        <f t="shared" si="13"/>
        <v>162.8213946</v>
      </c>
      <c r="U261" s="21"/>
      <c r="V261" s="21"/>
    </row>
    <row r="262">
      <c r="A262" s="11">
        <v>250.0</v>
      </c>
      <c r="B262" s="11">
        <v>1.42048260869565E9</v>
      </c>
      <c r="C262" s="2">
        <v>-101.0211945</v>
      </c>
      <c r="D262" s="24">
        <f t="shared" si="1"/>
        <v>82608.69565</v>
      </c>
      <c r="E262" s="25">
        <f t="shared" si="2"/>
        <v>-18.36592264</v>
      </c>
      <c r="F262" s="24">
        <f t="shared" si="3"/>
        <v>0.0002223243267</v>
      </c>
      <c r="G262" s="24">
        <f t="shared" si="4"/>
        <v>0</v>
      </c>
      <c r="H262" s="26">
        <f t="shared" si="5"/>
        <v>0</v>
      </c>
      <c r="I262" s="24">
        <f t="shared" si="6"/>
        <v>0</v>
      </c>
      <c r="J262" s="24">
        <f t="shared" si="7"/>
        <v>0</v>
      </c>
      <c r="K262" s="24"/>
      <c r="L262" s="24">
        <f t="shared" si="8"/>
        <v>601.1553512</v>
      </c>
      <c r="M262" s="14">
        <f t="shared" si="9"/>
        <v>428.1163897</v>
      </c>
      <c r="N262" s="27">
        <f t="shared" si="10"/>
        <v>173.0389615</v>
      </c>
      <c r="O262" s="24"/>
      <c r="P262" s="24"/>
      <c r="Q262" s="24"/>
      <c r="R262" s="26"/>
      <c r="S262" s="14">
        <f t="shared" si="13"/>
        <v>158.9010092</v>
      </c>
      <c r="U262" s="21"/>
      <c r="V262" s="21"/>
    </row>
    <row r="263">
      <c r="A263" s="11">
        <v>251.0</v>
      </c>
      <c r="B263" s="11">
        <v>1.42048695652173E9</v>
      </c>
      <c r="C263" s="2">
        <v>-101.037384</v>
      </c>
      <c r="D263" s="24">
        <f t="shared" si="1"/>
        <v>86956.52173</v>
      </c>
      <c r="E263" s="25">
        <f t="shared" si="2"/>
        <v>-19.28421877</v>
      </c>
      <c r="F263" s="24">
        <f t="shared" si="3"/>
        <v>0.0002217685159</v>
      </c>
      <c r="G263" s="24">
        <f t="shared" si="4"/>
        <v>0</v>
      </c>
      <c r="H263" s="26">
        <f t="shared" si="5"/>
        <v>0</v>
      </c>
      <c r="I263" s="24">
        <f t="shared" si="6"/>
        <v>0</v>
      </c>
      <c r="J263" s="24">
        <f t="shared" si="7"/>
        <v>0</v>
      </c>
      <c r="K263" s="24"/>
      <c r="L263" s="24">
        <f t="shared" si="8"/>
        <v>598.918554</v>
      </c>
      <c r="M263" s="14">
        <f t="shared" si="9"/>
        <v>428.040788</v>
      </c>
      <c r="N263" s="27">
        <f t="shared" si="10"/>
        <v>170.877766</v>
      </c>
      <c r="O263" s="24"/>
      <c r="P263" s="24"/>
      <c r="Q263" s="24"/>
      <c r="R263" s="26"/>
      <c r="S263" s="14">
        <f t="shared" si="13"/>
        <v>156.9163917</v>
      </c>
      <c r="U263" s="21"/>
      <c r="V263" s="21"/>
    </row>
    <row r="264">
      <c r="A264" s="11">
        <v>252.0</v>
      </c>
      <c r="B264" s="11">
        <v>1.42049130434782E9</v>
      </c>
      <c r="C264" s="2">
        <v>-101.0265121</v>
      </c>
      <c r="D264" s="24">
        <f t="shared" si="1"/>
        <v>91304.34782</v>
      </c>
      <c r="E264" s="25">
        <f t="shared" si="2"/>
        <v>-20.20251491</v>
      </c>
      <c r="F264" s="24">
        <f t="shared" si="3"/>
        <v>0.0002212656395</v>
      </c>
      <c r="G264" s="24">
        <f t="shared" si="4"/>
        <v>0</v>
      </c>
      <c r="H264" s="26">
        <f t="shared" si="5"/>
        <v>0</v>
      </c>
      <c r="I264" s="24">
        <f t="shared" si="6"/>
        <v>0</v>
      </c>
      <c r="J264" s="24">
        <f t="shared" si="7"/>
        <v>0</v>
      </c>
      <c r="K264" s="24"/>
      <c r="L264" s="24">
        <f t="shared" si="8"/>
        <v>600.4197335</v>
      </c>
      <c r="M264" s="14">
        <f t="shared" si="9"/>
        <v>427.9648413</v>
      </c>
      <c r="N264" s="27">
        <f t="shared" si="10"/>
        <v>172.4548921</v>
      </c>
      <c r="O264" s="24"/>
      <c r="P264" s="24"/>
      <c r="Q264" s="24"/>
      <c r="R264" s="26"/>
      <c r="S264" s="14">
        <f t="shared" si="13"/>
        <v>158.3646605</v>
      </c>
      <c r="U264" s="21"/>
      <c r="V264" s="21"/>
    </row>
    <row r="265">
      <c r="A265" s="11">
        <v>253.0</v>
      </c>
      <c r="B265" s="11">
        <v>1.42049565217391E9</v>
      </c>
      <c r="C265" s="2">
        <v>-101.069519</v>
      </c>
      <c r="D265" s="24">
        <f t="shared" si="1"/>
        <v>95652.17391</v>
      </c>
      <c r="E265" s="25">
        <f t="shared" si="2"/>
        <v>-21.12081104</v>
      </c>
      <c r="F265" s="24">
        <f t="shared" si="3"/>
        <v>0.0002208084791</v>
      </c>
      <c r="G265" s="24">
        <f t="shared" si="4"/>
        <v>0</v>
      </c>
      <c r="H265" s="26">
        <f t="shared" si="5"/>
        <v>0</v>
      </c>
      <c r="I265" s="24">
        <f t="shared" si="6"/>
        <v>0</v>
      </c>
      <c r="J265" s="24">
        <f t="shared" si="7"/>
        <v>0</v>
      </c>
      <c r="K265" s="24"/>
      <c r="L265" s="24">
        <f t="shared" si="8"/>
        <v>594.5032969</v>
      </c>
      <c r="M265" s="14">
        <f t="shared" si="9"/>
        <v>427.8885489</v>
      </c>
      <c r="N265" s="27">
        <f t="shared" si="10"/>
        <v>166.614748</v>
      </c>
      <c r="O265" s="24"/>
      <c r="P265" s="24"/>
      <c r="Q265" s="24"/>
      <c r="R265" s="26"/>
      <c r="S265" s="14">
        <f t="shared" si="13"/>
        <v>153.0016784</v>
      </c>
      <c r="U265" s="21"/>
      <c r="V265" s="21"/>
    </row>
    <row r="266">
      <c r="A266" s="11">
        <v>254.0</v>
      </c>
      <c r="B266" s="11">
        <v>1.4205E9</v>
      </c>
      <c r="C266" s="2">
        <v>-101.0469055</v>
      </c>
      <c r="D266" s="24">
        <f t="shared" si="1"/>
        <v>100000</v>
      </c>
      <c r="E266" s="25">
        <f t="shared" si="2"/>
        <v>-22.03910717</v>
      </c>
      <c r="F266" s="24">
        <f t="shared" si="3"/>
        <v>0.0002203910717</v>
      </c>
      <c r="G266" s="24">
        <f t="shared" si="4"/>
        <v>0</v>
      </c>
      <c r="H266" s="26">
        <f t="shared" si="5"/>
        <v>0</v>
      </c>
      <c r="I266" s="24">
        <f t="shared" si="6"/>
        <v>0</v>
      </c>
      <c r="J266" s="24">
        <f t="shared" si="7"/>
        <v>0</v>
      </c>
      <c r="K266" s="24"/>
      <c r="L266" s="24">
        <f t="shared" si="8"/>
        <v>597.6069195</v>
      </c>
      <c r="M266" s="14">
        <f t="shared" si="9"/>
        <v>427.8119097</v>
      </c>
      <c r="N266" s="27">
        <f t="shared" si="10"/>
        <v>169.7950098</v>
      </c>
      <c r="O266" s="24"/>
      <c r="P266" s="24"/>
      <c r="Q266" s="24"/>
      <c r="R266" s="26"/>
      <c r="S266" s="14">
        <f t="shared" si="13"/>
        <v>155.9221008</v>
      </c>
      <c r="U266" s="21"/>
      <c r="V266" s="21"/>
    </row>
    <row r="267">
      <c r="A267" s="11">
        <v>255.0</v>
      </c>
      <c r="B267" s="11">
        <v>1.42050434782608E9</v>
      </c>
      <c r="C267" s="2">
        <v>-101.1039047</v>
      </c>
      <c r="D267" s="24">
        <f t="shared" si="1"/>
        <v>104347.8261</v>
      </c>
      <c r="E267" s="25">
        <f t="shared" si="2"/>
        <v>-22.9574033</v>
      </c>
      <c r="F267" s="24">
        <f t="shared" si="3"/>
        <v>0.0002200084483</v>
      </c>
      <c r="G267" s="24">
        <f t="shared" si="4"/>
        <v>0</v>
      </c>
      <c r="H267" s="26">
        <f t="shared" si="5"/>
        <v>0</v>
      </c>
      <c r="I267" s="24">
        <f t="shared" si="6"/>
        <v>0</v>
      </c>
      <c r="J267" s="24">
        <f t="shared" si="7"/>
        <v>0</v>
      </c>
      <c r="K267" s="24"/>
      <c r="L267" s="24">
        <f t="shared" si="8"/>
        <v>589.8148427</v>
      </c>
      <c r="M267" s="14">
        <f t="shared" si="9"/>
        <v>427.7349228</v>
      </c>
      <c r="N267" s="27">
        <f t="shared" si="10"/>
        <v>162.0799199</v>
      </c>
      <c r="O267" s="24"/>
      <c r="P267" s="24"/>
      <c r="Q267" s="24"/>
      <c r="R267" s="26"/>
      <c r="S267" s="14">
        <f t="shared" si="13"/>
        <v>148.8373636</v>
      </c>
      <c r="U267" s="21"/>
      <c r="V267" s="21"/>
    </row>
    <row r="268">
      <c r="A268" s="11">
        <v>256.0</v>
      </c>
      <c r="B268" s="11">
        <v>1.42050869565217E9</v>
      </c>
      <c r="C268" s="2">
        <v>-101.1346588</v>
      </c>
      <c r="D268" s="24">
        <f t="shared" si="1"/>
        <v>108695.6522</v>
      </c>
      <c r="E268" s="25">
        <f t="shared" si="2"/>
        <v>-23.87569944</v>
      </c>
      <c r="F268" s="24">
        <f t="shared" si="3"/>
        <v>0.0002196564348</v>
      </c>
      <c r="G268" s="24">
        <f t="shared" si="4"/>
        <v>0</v>
      </c>
      <c r="H268" s="26">
        <f t="shared" si="5"/>
        <v>0</v>
      </c>
      <c r="I268" s="24">
        <f t="shared" si="6"/>
        <v>0</v>
      </c>
      <c r="J268" s="24">
        <f t="shared" si="7"/>
        <v>0</v>
      </c>
      <c r="K268" s="24"/>
      <c r="L268" s="24">
        <f t="shared" si="8"/>
        <v>585.6528855</v>
      </c>
      <c r="M268" s="14">
        <f t="shared" si="9"/>
        <v>427.6575872</v>
      </c>
      <c r="N268" s="27">
        <f t="shared" si="10"/>
        <v>157.9952983</v>
      </c>
      <c r="O268" s="24"/>
      <c r="P268" s="24"/>
      <c r="Q268" s="24"/>
      <c r="R268" s="26"/>
      <c r="S268" s="14">
        <f t="shared" si="13"/>
        <v>145.086471</v>
      </c>
      <c r="U268" s="21"/>
      <c r="V268" s="21"/>
    </row>
    <row r="269">
      <c r="A269" s="11">
        <v>257.0</v>
      </c>
      <c r="B269" s="11">
        <v>1.42051304347826E9</v>
      </c>
      <c r="C269" s="2">
        <v>-101.246788</v>
      </c>
      <c r="D269" s="24">
        <f t="shared" si="1"/>
        <v>113043.4783</v>
      </c>
      <c r="E269" s="25">
        <f t="shared" si="2"/>
        <v>-24.79399557</v>
      </c>
      <c r="F269" s="24">
        <f t="shared" si="3"/>
        <v>0.0002193314992</v>
      </c>
      <c r="G269" s="24">
        <f t="shared" si="4"/>
        <v>0</v>
      </c>
      <c r="H269" s="26">
        <f t="shared" si="5"/>
        <v>0</v>
      </c>
      <c r="I269" s="24">
        <f t="shared" si="6"/>
        <v>0</v>
      </c>
      <c r="J269" s="24">
        <f t="shared" si="7"/>
        <v>0</v>
      </c>
      <c r="K269" s="24"/>
      <c r="L269" s="24">
        <f t="shared" si="8"/>
        <v>570.7256184</v>
      </c>
      <c r="M269" s="14">
        <f t="shared" si="9"/>
        <v>427.579902</v>
      </c>
      <c r="N269" s="27">
        <f t="shared" si="10"/>
        <v>143.1457164</v>
      </c>
      <c r="O269" s="24"/>
      <c r="P269" s="24"/>
      <c r="Q269" s="24"/>
      <c r="R269" s="26"/>
      <c r="S269" s="14">
        <f t="shared" si="13"/>
        <v>131.4501578</v>
      </c>
      <c r="U269" s="21"/>
      <c r="V269" s="21"/>
    </row>
    <row r="270">
      <c r="A270" s="11">
        <v>258.0</v>
      </c>
      <c r="B270" s="11">
        <v>1.42051739130434E9</v>
      </c>
      <c r="C270" s="2">
        <v>-101.2323837</v>
      </c>
      <c r="D270" s="24">
        <f t="shared" si="1"/>
        <v>117391.3043</v>
      </c>
      <c r="E270" s="25">
        <f t="shared" si="2"/>
        <v>-25.7122917</v>
      </c>
      <c r="F270" s="24">
        <f t="shared" si="3"/>
        <v>0.000219030633</v>
      </c>
      <c r="G270" s="24">
        <f t="shared" si="4"/>
        <v>0</v>
      </c>
      <c r="H270" s="26">
        <f t="shared" si="5"/>
        <v>0</v>
      </c>
      <c r="I270" s="24">
        <f t="shared" si="6"/>
        <v>0</v>
      </c>
      <c r="J270" s="24">
        <f t="shared" si="7"/>
        <v>0</v>
      </c>
      <c r="K270" s="24"/>
      <c r="L270" s="24">
        <f t="shared" si="8"/>
        <v>572.621694</v>
      </c>
      <c r="M270" s="14">
        <f t="shared" si="9"/>
        <v>427.5018663</v>
      </c>
      <c r="N270" s="27">
        <f t="shared" si="10"/>
        <v>145.1198277</v>
      </c>
      <c r="O270" s="24"/>
      <c r="P270" s="24"/>
      <c r="Q270" s="24"/>
      <c r="R270" s="26"/>
      <c r="S270" s="14">
        <f t="shared" si="13"/>
        <v>133.2629765</v>
      </c>
      <c r="U270" s="21"/>
      <c r="V270" s="21"/>
    </row>
    <row r="271">
      <c r="A271" s="11">
        <v>259.0</v>
      </c>
      <c r="B271" s="11">
        <v>1.42052173913043E9</v>
      </c>
      <c r="C271" s="2">
        <v>-101.3989944</v>
      </c>
      <c r="D271" s="24">
        <f t="shared" si="1"/>
        <v>121739.1304</v>
      </c>
      <c r="E271" s="25">
        <f t="shared" si="2"/>
        <v>-26.63058783</v>
      </c>
      <c r="F271" s="24">
        <f t="shared" si="3"/>
        <v>0.0002187512572</v>
      </c>
      <c r="G271" s="24">
        <f t="shared" si="4"/>
        <v>0</v>
      </c>
      <c r="H271" s="26">
        <f t="shared" si="5"/>
        <v>0</v>
      </c>
      <c r="I271" s="24">
        <f t="shared" si="6"/>
        <v>0</v>
      </c>
      <c r="J271" s="24">
        <f t="shared" si="7"/>
        <v>0</v>
      </c>
      <c r="K271" s="24"/>
      <c r="L271" s="24">
        <f t="shared" si="8"/>
        <v>551.0699473</v>
      </c>
      <c r="M271" s="14">
        <f t="shared" si="9"/>
        <v>427.423479</v>
      </c>
      <c r="N271" s="27">
        <f t="shared" si="10"/>
        <v>123.6464683</v>
      </c>
      <c r="O271" s="24"/>
      <c r="P271" s="24"/>
      <c r="Q271" s="24"/>
      <c r="R271" s="26"/>
      <c r="S271" s="14">
        <f t="shared" si="13"/>
        <v>113.5440734</v>
      </c>
      <c r="U271" s="21"/>
      <c r="V271" s="21"/>
    </row>
    <row r="272">
      <c r="A272" s="11">
        <v>260.0</v>
      </c>
      <c r="B272" s="11">
        <v>1.42052608695652E9</v>
      </c>
      <c r="C272" s="2">
        <v>-101.5280838</v>
      </c>
      <c r="D272" s="24">
        <f t="shared" si="1"/>
        <v>126086.9565</v>
      </c>
      <c r="E272" s="25">
        <f t="shared" si="2"/>
        <v>-27.54888396</v>
      </c>
      <c r="F272" s="24">
        <f t="shared" si="3"/>
        <v>0.0002184911487</v>
      </c>
      <c r="G272" s="24">
        <f t="shared" si="4"/>
        <v>0</v>
      </c>
      <c r="H272" s="26">
        <f t="shared" si="5"/>
        <v>0</v>
      </c>
      <c r="I272" s="24">
        <f t="shared" si="6"/>
        <v>0</v>
      </c>
      <c r="J272" s="24">
        <f t="shared" si="7"/>
        <v>0</v>
      </c>
      <c r="K272" s="24"/>
      <c r="L272" s="24">
        <f t="shared" si="8"/>
        <v>534.9310256</v>
      </c>
      <c r="M272" s="14">
        <f t="shared" si="9"/>
        <v>427.3447393</v>
      </c>
      <c r="N272" s="27">
        <f t="shared" si="10"/>
        <v>107.5862863</v>
      </c>
      <c r="O272" s="24"/>
      <c r="P272" s="24"/>
      <c r="Q272" s="24"/>
      <c r="R272" s="26"/>
      <c r="S272" s="14">
        <f t="shared" si="13"/>
        <v>98.7960707</v>
      </c>
      <c r="U272" s="21"/>
      <c r="V272" s="21"/>
    </row>
    <row r="273">
      <c r="A273" s="11">
        <v>261.0</v>
      </c>
      <c r="B273" s="11">
        <v>1.4205304347826E9</v>
      </c>
      <c r="C273" s="2">
        <v>-101.5650711</v>
      </c>
      <c r="D273" s="24">
        <f t="shared" si="1"/>
        <v>130434.7826</v>
      </c>
      <c r="E273" s="25">
        <f t="shared" si="2"/>
        <v>-28.4671801</v>
      </c>
      <c r="F273" s="24">
        <f t="shared" si="3"/>
        <v>0.0002182483807</v>
      </c>
      <c r="G273" s="24">
        <f t="shared" si="4"/>
        <v>0</v>
      </c>
      <c r="H273" s="26">
        <f t="shared" si="5"/>
        <v>0</v>
      </c>
      <c r="I273" s="24">
        <f t="shared" si="6"/>
        <v>0</v>
      </c>
      <c r="J273" s="24">
        <f t="shared" si="7"/>
        <v>0</v>
      </c>
      <c r="K273" s="24"/>
      <c r="L273" s="24">
        <f t="shared" si="8"/>
        <v>530.3945555</v>
      </c>
      <c r="M273" s="14">
        <f t="shared" si="9"/>
        <v>427.2656461</v>
      </c>
      <c r="N273" s="27">
        <f t="shared" si="10"/>
        <v>103.1289094</v>
      </c>
      <c r="O273" s="24"/>
      <c r="P273" s="24"/>
      <c r="Q273" s="24"/>
      <c r="R273" s="26"/>
      <c r="S273" s="14">
        <f t="shared" si="13"/>
        <v>94.7028787</v>
      </c>
      <c r="U273" s="21"/>
      <c r="V273" s="21"/>
    </row>
    <row r="274">
      <c r="A274" s="11">
        <v>262.0</v>
      </c>
      <c r="B274" s="11">
        <v>1.42053478260869E9</v>
      </c>
      <c r="C274" s="2">
        <v>-101.7022247</v>
      </c>
      <c r="D274" s="24">
        <f t="shared" si="1"/>
        <v>134782.6087</v>
      </c>
      <c r="E274" s="25">
        <f t="shared" si="2"/>
        <v>-29.38547623</v>
      </c>
      <c r="F274" s="24">
        <f t="shared" si="3"/>
        <v>0.0002180212752</v>
      </c>
      <c r="G274" s="24">
        <f t="shared" si="4"/>
        <v>0</v>
      </c>
      <c r="H274" s="26">
        <f t="shared" si="5"/>
        <v>0</v>
      </c>
      <c r="I274" s="24">
        <f t="shared" si="6"/>
        <v>0</v>
      </c>
      <c r="J274" s="24">
        <f t="shared" si="7"/>
        <v>0</v>
      </c>
      <c r="K274" s="24"/>
      <c r="L274" s="24">
        <f t="shared" si="8"/>
        <v>513.9060108</v>
      </c>
      <c r="M274" s="14">
        <f t="shared" si="9"/>
        <v>427.1861985</v>
      </c>
      <c r="N274" s="27">
        <f t="shared" si="10"/>
        <v>86.71981233</v>
      </c>
      <c r="O274" s="24"/>
      <c r="P274" s="24"/>
      <c r="Q274" s="24"/>
      <c r="R274" s="26"/>
      <c r="S274" s="14">
        <f t="shared" si="13"/>
        <v>79.6344683</v>
      </c>
      <c r="U274" s="21"/>
      <c r="V274" s="21"/>
    </row>
    <row r="275">
      <c r="A275" s="11">
        <v>263.0</v>
      </c>
      <c r="B275" s="11">
        <v>1.42053913043478E9</v>
      </c>
      <c r="C275" s="2">
        <v>-101.731308</v>
      </c>
      <c r="D275" s="24">
        <f t="shared" si="1"/>
        <v>139130.4348</v>
      </c>
      <c r="E275" s="25">
        <f t="shared" si="2"/>
        <v>-30.30377236</v>
      </c>
      <c r="F275" s="24">
        <f t="shared" si="3"/>
        <v>0.0002178083638</v>
      </c>
      <c r="G275" s="24">
        <f t="shared" si="4"/>
        <v>0</v>
      </c>
      <c r="H275" s="26">
        <f t="shared" si="5"/>
        <v>0</v>
      </c>
      <c r="I275" s="24">
        <f t="shared" si="6"/>
        <v>0</v>
      </c>
      <c r="J275" s="24">
        <f t="shared" si="7"/>
        <v>0</v>
      </c>
      <c r="K275" s="24"/>
      <c r="L275" s="24">
        <f t="shared" si="8"/>
        <v>510.4760456</v>
      </c>
      <c r="M275" s="14">
        <f t="shared" si="9"/>
        <v>427.1063956</v>
      </c>
      <c r="N275" s="27">
        <f t="shared" si="10"/>
        <v>83.36965001</v>
      </c>
      <c r="O275" s="24"/>
      <c r="P275" s="24"/>
      <c r="Q275" s="24"/>
      <c r="R275" s="26"/>
      <c r="S275" s="14">
        <f t="shared" si="13"/>
        <v>76.55802702</v>
      </c>
      <c r="U275" s="21"/>
      <c r="V275" s="21"/>
    </row>
    <row r="276">
      <c r="A276" s="11">
        <v>264.0</v>
      </c>
      <c r="B276" s="11">
        <v>1.42054347826087E9</v>
      </c>
      <c r="C276" s="2">
        <v>-101.8688202</v>
      </c>
      <c r="D276" s="24">
        <f t="shared" si="1"/>
        <v>143478.2609</v>
      </c>
      <c r="E276" s="25">
        <f t="shared" si="2"/>
        <v>-31.22206849</v>
      </c>
      <c r="F276" s="24">
        <f t="shared" si="3"/>
        <v>0.0002176083562</v>
      </c>
      <c r="G276" s="24">
        <f t="shared" si="4"/>
        <v>0</v>
      </c>
      <c r="H276" s="26">
        <f t="shared" si="5"/>
        <v>0</v>
      </c>
      <c r="I276" s="24">
        <f t="shared" si="6"/>
        <v>0</v>
      </c>
      <c r="J276" s="24">
        <f t="shared" si="7"/>
        <v>0</v>
      </c>
      <c r="K276" s="24"/>
      <c r="L276" s="24">
        <f t="shared" si="8"/>
        <v>494.5658757</v>
      </c>
      <c r="M276" s="14">
        <f t="shared" si="9"/>
        <v>427.0262364</v>
      </c>
      <c r="N276" s="27">
        <f t="shared" si="10"/>
        <v>67.53963926</v>
      </c>
      <c r="O276" s="24"/>
      <c r="P276" s="24"/>
      <c r="Q276" s="24"/>
      <c r="R276" s="26"/>
      <c r="S276" s="14">
        <f t="shared" si="13"/>
        <v>62.02138954</v>
      </c>
      <c r="U276" s="21"/>
      <c r="V276" s="21"/>
    </row>
    <row r="277">
      <c r="A277" s="11">
        <v>265.0</v>
      </c>
      <c r="B277" s="11">
        <v>1.42054782608695E9</v>
      </c>
      <c r="C277" s="2">
        <v>-101.8854294</v>
      </c>
      <c r="D277" s="24">
        <f t="shared" si="1"/>
        <v>147826.087</v>
      </c>
      <c r="E277" s="25">
        <f t="shared" si="2"/>
        <v>-32.14036462</v>
      </c>
      <c r="F277" s="24">
        <f t="shared" si="3"/>
        <v>0.0002174201136</v>
      </c>
      <c r="G277" s="24">
        <f t="shared" si="4"/>
        <v>0</v>
      </c>
      <c r="H277" s="26">
        <f t="shared" si="5"/>
        <v>0</v>
      </c>
      <c r="I277" s="24">
        <f t="shared" si="6"/>
        <v>0</v>
      </c>
      <c r="J277" s="24">
        <f t="shared" si="7"/>
        <v>0</v>
      </c>
      <c r="K277" s="24"/>
      <c r="L277" s="24">
        <f t="shared" si="8"/>
        <v>492.6780654</v>
      </c>
      <c r="M277" s="14">
        <f t="shared" si="9"/>
        <v>426.94572</v>
      </c>
      <c r="N277" s="27">
        <f t="shared" si="10"/>
        <v>65.73234536</v>
      </c>
      <c r="O277" s="24"/>
      <c r="P277" s="24"/>
      <c r="Q277" s="24"/>
      <c r="R277" s="26"/>
      <c r="S277" s="14">
        <f t="shared" si="13"/>
        <v>60.36175854</v>
      </c>
      <c r="U277" s="21"/>
      <c r="V277" s="21"/>
    </row>
    <row r="278">
      <c r="A278" s="11">
        <v>266.0</v>
      </c>
      <c r="B278" s="11">
        <v>1.42055217391304E9</v>
      </c>
      <c r="C278" s="2">
        <v>-101.979393</v>
      </c>
      <c r="D278" s="24">
        <f t="shared" si="1"/>
        <v>152173.913</v>
      </c>
      <c r="E278" s="25">
        <f t="shared" si="2"/>
        <v>-33.05866076</v>
      </c>
      <c r="F278" s="24">
        <f t="shared" si="3"/>
        <v>0.0002172426278</v>
      </c>
      <c r="G278" s="24">
        <f t="shared" si="4"/>
        <v>0</v>
      </c>
      <c r="H278" s="26">
        <f t="shared" si="5"/>
        <v>0</v>
      </c>
      <c r="I278" s="24">
        <f t="shared" si="6"/>
        <v>0</v>
      </c>
      <c r="J278" s="24">
        <f t="shared" si="7"/>
        <v>0</v>
      </c>
      <c r="K278" s="24"/>
      <c r="L278" s="24">
        <f t="shared" si="8"/>
        <v>482.1330102</v>
      </c>
      <c r="M278" s="14">
        <f t="shared" si="9"/>
        <v>426.8648454</v>
      </c>
      <c r="N278" s="27">
        <f t="shared" si="10"/>
        <v>55.26816485</v>
      </c>
      <c r="O278" s="24"/>
      <c r="P278" s="24"/>
      <c r="Q278" s="24"/>
      <c r="R278" s="26"/>
      <c r="S278" s="14">
        <f t="shared" si="13"/>
        <v>50.75254193</v>
      </c>
      <c r="U278" s="21"/>
      <c r="V278" s="21"/>
    </row>
    <row r="279">
      <c r="A279" s="11">
        <v>267.0</v>
      </c>
      <c r="B279" s="11">
        <v>1.42055652173913E9</v>
      </c>
      <c r="C279" s="2">
        <v>-102.0019913</v>
      </c>
      <c r="D279" s="24">
        <f t="shared" si="1"/>
        <v>156521.7391</v>
      </c>
      <c r="E279" s="25">
        <f t="shared" si="2"/>
        <v>-33.97695689</v>
      </c>
      <c r="F279" s="24">
        <f t="shared" si="3"/>
        <v>0.0002170750023</v>
      </c>
      <c r="G279" s="24">
        <f t="shared" si="4"/>
        <v>0</v>
      </c>
      <c r="H279" s="26">
        <f t="shared" si="5"/>
        <v>0</v>
      </c>
      <c r="I279" s="24">
        <f t="shared" si="6"/>
        <v>0</v>
      </c>
      <c r="J279" s="24">
        <f t="shared" si="7"/>
        <v>0</v>
      </c>
      <c r="K279" s="24"/>
      <c r="L279" s="24">
        <f t="shared" si="8"/>
        <v>479.6307706</v>
      </c>
      <c r="M279" s="14">
        <f t="shared" si="9"/>
        <v>426.7836116</v>
      </c>
      <c r="N279" s="27">
        <f t="shared" si="10"/>
        <v>52.84715895</v>
      </c>
      <c r="O279" s="24"/>
      <c r="P279" s="24"/>
      <c r="Q279" s="24"/>
      <c r="R279" s="26"/>
      <c r="S279" s="14">
        <f t="shared" si="13"/>
        <v>48.52934169</v>
      </c>
      <c r="U279" s="21"/>
      <c r="V279" s="21"/>
    </row>
    <row r="280">
      <c r="A280" s="11">
        <v>268.0</v>
      </c>
      <c r="B280" s="11">
        <v>1.42056086956521E9</v>
      </c>
      <c r="C280" s="2">
        <v>-102.0360641</v>
      </c>
      <c r="D280" s="24">
        <f t="shared" si="1"/>
        <v>160869.5652</v>
      </c>
      <c r="E280" s="25">
        <f t="shared" si="2"/>
        <v>-34.89525302</v>
      </c>
      <c r="F280" s="24">
        <f t="shared" si="3"/>
        <v>0.0002169164377</v>
      </c>
      <c r="G280" s="24">
        <f t="shared" si="4"/>
        <v>0</v>
      </c>
      <c r="H280" s="26">
        <f t="shared" si="5"/>
        <v>0</v>
      </c>
      <c r="I280" s="24">
        <f t="shared" si="6"/>
        <v>0</v>
      </c>
      <c r="J280" s="24">
        <f t="shared" si="7"/>
        <v>0</v>
      </c>
      <c r="K280" s="24"/>
      <c r="L280" s="24">
        <f t="shared" si="8"/>
        <v>475.8825251</v>
      </c>
      <c r="M280" s="14">
        <f t="shared" si="9"/>
        <v>426.7020178</v>
      </c>
      <c r="N280" s="27">
        <f t="shared" si="10"/>
        <v>49.18050733</v>
      </c>
      <c r="O280" s="24"/>
      <c r="P280" s="24"/>
      <c r="Q280" s="24"/>
      <c r="R280" s="26"/>
      <c r="S280" s="14">
        <f t="shared" si="13"/>
        <v>45.16226969</v>
      </c>
      <c r="U280" s="21"/>
      <c r="V280" s="21"/>
    </row>
    <row r="281">
      <c r="A281" s="11">
        <v>269.0</v>
      </c>
      <c r="B281" s="11">
        <v>1.4205652173913E9</v>
      </c>
      <c r="C281" s="2">
        <v>-102.0187836</v>
      </c>
      <c r="D281" s="24">
        <f t="shared" si="1"/>
        <v>165217.3913</v>
      </c>
      <c r="E281" s="25">
        <f t="shared" si="2"/>
        <v>-35.81354915</v>
      </c>
      <c r="F281" s="24">
        <f t="shared" si="3"/>
        <v>0.0002167662186</v>
      </c>
      <c r="G281" s="24">
        <f t="shared" si="4"/>
        <v>0</v>
      </c>
      <c r="H281" s="26">
        <f t="shared" si="5"/>
        <v>0</v>
      </c>
      <c r="I281" s="24">
        <f t="shared" si="6"/>
        <v>0</v>
      </c>
      <c r="J281" s="24">
        <f t="shared" si="7"/>
        <v>0</v>
      </c>
      <c r="K281" s="24"/>
      <c r="L281" s="24">
        <f t="shared" si="8"/>
        <v>477.7798254</v>
      </c>
      <c r="M281" s="14">
        <f t="shared" si="9"/>
        <v>426.6200629</v>
      </c>
      <c r="N281" s="27">
        <f t="shared" si="10"/>
        <v>51.15976247</v>
      </c>
      <c r="O281" s="24"/>
      <c r="P281" s="24"/>
      <c r="Q281" s="24"/>
      <c r="R281" s="26"/>
      <c r="S281" s="14">
        <f t="shared" si="13"/>
        <v>46.97981192</v>
      </c>
      <c r="U281" s="21"/>
      <c r="V281" s="21"/>
    </row>
    <row r="282">
      <c r="A282" s="11">
        <v>270.0</v>
      </c>
      <c r="B282" s="11">
        <v>1.42056956521739E9</v>
      </c>
      <c r="C282" s="2">
        <v>-102.0581436</v>
      </c>
      <c r="D282" s="24">
        <f t="shared" si="1"/>
        <v>169565.2174</v>
      </c>
      <c r="E282" s="25">
        <f t="shared" si="2"/>
        <v>-36.73184528</v>
      </c>
      <c r="F282" s="24">
        <f t="shared" si="3"/>
        <v>0.000216623703</v>
      </c>
      <c r="G282" s="24">
        <f t="shared" si="4"/>
        <v>0</v>
      </c>
      <c r="H282" s="26">
        <f t="shared" si="5"/>
        <v>0</v>
      </c>
      <c r="I282" s="24">
        <f t="shared" si="6"/>
        <v>0</v>
      </c>
      <c r="J282" s="24">
        <f t="shared" si="7"/>
        <v>0</v>
      </c>
      <c r="K282" s="24"/>
      <c r="L282" s="24">
        <f t="shared" si="8"/>
        <v>473.4692815</v>
      </c>
      <c r="M282" s="14">
        <f t="shared" si="9"/>
        <v>426.537746</v>
      </c>
      <c r="N282" s="27">
        <f t="shared" si="10"/>
        <v>46.93153546</v>
      </c>
      <c r="O282" s="24"/>
      <c r="P282" s="24"/>
      <c r="Q282" s="24"/>
      <c r="R282" s="26"/>
      <c r="S282" s="14">
        <f t="shared" si="13"/>
        <v>43.09704752</v>
      </c>
      <c r="U282" s="21"/>
      <c r="V282" s="21"/>
    </row>
    <row r="283">
      <c r="A283" s="11">
        <v>271.0</v>
      </c>
      <c r="B283" s="11">
        <v>1.42057391304347E9</v>
      </c>
      <c r="C283" s="2">
        <v>-102.0796432</v>
      </c>
      <c r="D283" s="24">
        <f t="shared" si="1"/>
        <v>173913.0435</v>
      </c>
      <c r="E283" s="25">
        <f t="shared" si="2"/>
        <v>-37.65014142</v>
      </c>
      <c r="F283" s="24">
        <f t="shared" si="3"/>
        <v>0.0002164883132</v>
      </c>
      <c r="G283" s="24">
        <f t="shared" si="4"/>
        <v>0</v>
      </c>
      <c r="H283" s="26">
        <f t="shared" si="5"/>
        <v>0</v>
      </c>
      <c r="I283" s="24">
        <f t="shared" si="6"/>
        <v>0</v>
      </c>
      <c r="J283" s="24">
        <f t="shared" si="7"/>
        <v>0</v>
      </c>
      <c r="K283" s="24"/>
      <c r="L283" s="24">
        <f t="shared" si="8"/>
        <v>471.1311801</v>
      </c>
      <c r="M283" s="14">
        <f t="shared" si="9"/>
        <v>426.4550662</v>
      </c>
      <c r="N283" s="27">
        <f t="shared" si="10"/>
        <v>44.67611392</v>
      </c>
      <c r="O283" s="24"/>
      <c r="P283" s="24"/>
      <c r="Q283" s="24"/>
      <c r="R283" s="26"/>
      <c r="S283" s="14">
        <f t="shared" si="13"/>
        <v>41.02590264</v>
      </c>
      <c r="U283" s="21"/>
      <c r="V283" s="21"/>
    </row>
    <row r="284">
      <c r="A284" s="11">
        <v>272.0</v>
      </c>
      <c r="B284" s="11">
        <v>1.42057826086956E9</v>
      </c>
      <c r="C284" s="2">
        <v>-102.074501</v>
      </c>
      <c r="D284" s="24">
        <f t="shared" si="1"/>
        <v>178260.8696</v>
      </c>
      <c r="E284" s="25">
        <f t="shared" si="2"/>
        <v>-38.56843755</v>
      </c>
      <c r="F284" s="24">
        <f t="shared" si="3"/>
        <v>0.0002163595277</v>
      </c>
      <c r="G284" s="24">
        <f t="shared" si="4"/>
        <v>0</v>
      </c>
      <c r="H284" s="26">
        <f t="shared" si="5"/>
        <v>0</v>
      </c>
      <c r="I284" s="24">
        <f t="shared" si="6"/>
        <v>0</v>
      </c>
      <c r="J284" s="24">
        <f t="shared" si="7"/>
        <v>0</v>
      </c>
      <c r="K284" s="24"/>
      <c r="L284" s="24">
        <f t="shared" si="8"/>
        <v>471.6893464</v>
      </c>
      <c r="M284" s="14">
        <f t="shared" si="9"/>
        <v>426.3720224</v>
      </c>
      <c r="N284" s="27">
        <f t="shared" si="10"/>
        <v>45.317324</v>
      </c>
      <c r="O284" s="24"/>
      <c r="P284" s="24"/>
      <c r="Q284" s="24"/>
      <c r="R284" s="26"/>
      <c r="S284" s="14">
        <f t="shared" si="13"/>
        <v>41.61472328</v>
      </c>
      <c r="U284" s="21"/>
      <c r="V284" s="21"/>
    </row>
    <row r="285">
      <c r="A285" s="11">
        <v>273.0</v>
      </c>
      <c r="B285" s="11">
        <v>1.42058260869565E9</v>
      </c>
      <c r="C285" s="2">
        <v>-102.0946732</v>
      </c>
      <c r="D285" s="24">
        <f t="shared" si="1"/>
        <v>182608.6957</v>
      </c>
      <c r="E285" s="25">
        <f t="shared" si="2"/>
        <v>-39.48673368</v>
      </c>
      <c r="F285" s="24">
        <f t="shared" si="3"/>
        <v>0.0002162368749</v>
      </c>
      <c r="G285" s="24">
        <f t="shared" si="4"/>
        <v>0</v>
      </c>
      <c r="H285" s="26">
        <f t="shared" si="5"/>
        <v>0</v>
      </c>
      <c r="I285" s="24">
        <f t="shared" si="6"/>
        <v>0</v>
      </c>
      <c r="J285" s="24">
        <f t="shared" si="7"/>
        <v>0</v>
      </c>
      <c r="K285" s="24"/>
      <c r="L285" s="24">
        <f t="shared" si="8"/>
        <v>469.5035143</v>
      </c>
      <c r="M285" s="14">
        <f t="shared" si="9"/>
        <v>426.2886138</v>
      </c>
      <c r="N285" s="27">
        <f t="shared" si="10"/>
        <v>43.21490049</v>
      </c>
      <c r="O285" s="24"/>
      <c r="P285" s="24"/>
      <c r="Q285" s="24"/>
      <c r="R285" s="26"/>
      <c r="S285" s="14">
        <f t="shared" si="13"/>
        <v>39.684076</v>
      </c>
      <c r="U285" s="21"/>
      <c r="V285" s="21"/>
    </row>
    <row r="286">
      <c r="A286" s="11">
        <v>274.0</v>
      </c>
      <c r="B286" s="11">
        <v>1.42058695652173E9</v>
      </c>
      <c r="C286" s="2">
        <v>-102.0524979</v>
      </c>
      <c r="D286" s="24">
        <f t="shared" si="1"/>
        <v>186956.5217</v>
      </c>
      <c r="E286" s="25">
        <f t="shared" si="2"/>
        <v>-40.40502981</v>
      </c>
      <c r="F286" s="24">
        <f t="shared" si="3"/>
        <v>0.0002161199269</v>
      </c>
      <c r="G286" s="24">
        <f t="shared" si="4"/>
        <v>0</v>
      </c>
      <c r="H286" s="26">
        <f t="shared" si="5"/>
        <v>0</v>
      </c>
      <c r="I286" s="24">
        <f t="shared" si="6"/>
        <v>0</v>
      </c>
      <c r="J286" s="24">
        <f t="shared" si="7"/>
        <v>0</v>
      </c>
      <c r="K286" s="24"/>
      <c r="L286" s="24">
        <f t="shared" si="8"/>
        <v>474.0851778</v>
      </c>
      <c r="M286" s="14">
        <f t="shared" si="9"/>
        <v>426.2048394</v>
      </c>
      <c r="N286" s="27">
        <f t="shared" si="10"/>
        <v>47.8803384</v>
      </c>
      <c r="O286" s="24"/>
      <c r="P286" s="24"/>
      <c r="Q286" s="24"/>
      <c r="R286" s="26"/>
      <c r="S286" s="14">
        <f t="shared" si="13"/>
        <v>43.96832959</v>
      </c>
      <c r="U286" s="21"/>
      <c r="V286" s="21"/>
    </row>
    <row r="287">
      <c r="A287" s="11">
        <v>275.0</v>
      </c>
      <c r="B287" s="11">
        <v>1.42059130434782E9</v>
      </c>
      <c r="C287" s="2">
        <v>-102.062149</v>
      </c>
      <c r="D287" s="24">
        <f t="shared" si="1"/>
        <v>191304.3478</v>
      </c>
      <c r="E287" s="25">
        <f t="shared" si="2"/>
        <v>-41.32332595</v>
      </c>
      <c r="F287" s="24">
        <f t="shared" si="3"/>
        <v>0.0002160082947</v>
      </c>
      <c r="G287" s="24">
        <f t="shared" si="4"/>
        <v>0</v>
      </c>
      <c r="H287" s="26">
        <f t="shared" si="5"/>
        <v>0</v>
      </c>
      <c r="I287" s="24">
        <f t="shared" si="6"/>
        <v>0</v>
      </c>
      <c r="J287" s="24">
        <f t="shared" si="7"/>
        <v>0</v>
      </c>
      <c r="K287" s="24"/>
      <c r="L287" s="24">
        <f t="shared" si="8"/>
        <v>473.0328127</v>
      </c>
      <c r="M287" s="14">
        <f t="shared" si="9"/>
        <v>426.1206982</v>
      </c>
      <c r="N287" s="27">
        <f t="shared" si="10"/>
        <v>46.91211453</v>
      </c>
      <c r="O287" s="24"/>
      <c r="P287" s="24"/>
      <c r="Q287" s="24"/>
      <c r="R287" s="26"/>
      <c r="S287" s="14">
        <f t="shared" si="13"/>
        <v>43.07921335</v>
      </c>
      <c r="U287" s="21"/>
      <c r="V287" s="21"/>
    </row>
    <row r="288">
      <c r="A288" s="11">
        <v>276.0</v>
      </c>
      <c r="B288" s="11">
        <v>1.42059565217391E9</v>
      </c>
      <c r="C288" s="2">
        <v>-102.1055298</v>
      </c>
      <c r="D288" s="24">
        <f t="shared" si="1"/>
        <v>195652.1739</v>
      </c>
      <c r="E288" s="25">
        <f t="shared" si="2"/>
        <v>-42.24162208</v>
      </c>
      <c r="F288" s="24">
        <f t="shared" si="3"/>
        <v>0.000215901624</v>
      </c>
      <c r="G288" s="24">
        <f t="shared" si="4"/>
        <v>0</v>
      </c>
      <c r="H288" s="26">
        <f t="shared" si="5"/>
        <v>0</v>
      </c>
      <c r="I288" s="24">
        <f t="shared" si="6"/>
        <v>0</v>
      </c>
      <c r="J288" s="24">
        <f t="shared" si="7"/>
        <v>0</v>
      </c>
      <c r="K288" s="24"/>
      <c r="L288" s="24">
        <f t="shared" si="8"/>
        <v>468.3313037</v>
      </c>
      <c r="M288" s="14">
        <f t="shared" si="9"/>
        <v>426.0361893</v>
      </c>
      <c r="N288" s="27">
        <f t="shared" si="10"/>
        <v>42.29511435</v>
      </c>
      <c r="O288" s="24"/>
      <c r="P288" s="24"/>
      <c r="Q288" s="24"/>
      <c r="R288" s="26"/>
      <c r="S288" s="14">
        <f t="shared" si="13"/>
        <v>38.83943985</v>
      </c>
      <c r="U288" s="21"/>
      <c r="V288" s="21"/>
    </row>
    <row r="289">
      <c r="A289" s="11">
        <v>277.0</v>
      </c>
      <c r="B289" s="11">
        <v>1.4206E9</v>
      </c>
      <c r="C289" s="2">
        <v>-102.0217819</v>
      </c>
      <c r="D289" s="24">
        <f t="shared" si="1"/>
        <v>200000</v>
      </c>
      <c r="E289" s="25">
        <f t="shared" si="2"/>
        <v>-43.15991821</v>
      </c>
      <c r="F289" s="24">
        <f t="shared" si="3"/>
        <v>0.000215799591</v>
      </c>
      <c r="G289" s="24">
        <f t="shared" si="4"/>
        <v>0</v>
      </c>
      <c r="H289" s="26">
        <f t="shared" si="5"/>
        <v>0</v>
      </c>
      <c r="I289" s="24">
        <f t="shared" si="6"/>
        <v>0</v>
      </c>
      <c r="J289" s="24">
        <f t="shared" si="7"/>
        <v>0</v>
      </c>
      <c r="K289" s="24"/>
      <c r="L289" s="24">
        <f t="shared" si="8"/>
        <v>477.4500876</v>
      </c>
      <c r="M289" s="14">
        <f t="shared" si="9"/>
        <v>425.9513118</v>
      </c>
      <c r="N289" s="27">
        <f t="shared" si="10"/>
        <v>51.49877585</v>
      </c>
      <c r="O289" s="24"/>
      <c r="P289" s="24"/>
      <c r="Q289" s="24"/>
      <c r="R289" s="26"/>
      <c r="S289" s="14">
        <f t="shared" si="13"/>
        <v>47.29112671</v>
      </c>
      <c r="U289" s="21"/>
      <c r="V289" s="21"/>
    </row>
    <row r="290">
      <c r="A290" s="11">
        <v>278.0</v>
      </c>
      <c r="B290" s="11">
        <v>1.42060434782608E9</v>
      </c>
      <c r="C290" s="2">
        <v>-102.1101837</v>
      </c>
      <c r="D290" s="24">
        <f t="shared" si="1"/>
        <v>204347.8261</v>
      </c>
      <c r="E290" s="25">
        <f t="shared" si="2"/>
        <v>-44.07821434</v>
      </c>
      <c r="F290" s="24">
        <f t="shared" si="3"/>
        <v>0.0002157019</v>
      </c>
      <c r="G290" s="24">
        <f t="shared" si="4"/>
        <v>0</v>
      </c>
      <c r="H290" s="26">
        <f t="shared" si="5"/>
        <v>0</v>
      </c>
      <c r="I290" s="24">
        <f t="shared" si="6"/>
        <v>0</v>
      </c>
      <c r="J290" s="24">
        <f t="shared" si="7"/>
        <v>0</v>
      </c>
      <c r="K290" s="24"/>
      <c r="L290" s="24">
        <f t="shared" si="8"/>
        <v>467.8297086</v>
      </c>
      <c r="M290" s="14">
        <f t="shared" si="9"/>
        <v>425.8660646</v>
      </c>
      <c r="N290" s="27">
        <f t="shared" si="10"/>
        <v>41.96364403</v>
      </c>
      <c r="O290" s="24"/>
      <c r="P290" s="24"/>
      <c r="Q290" s="24"/>
      <c r="R290" s="26"/>
      <c r="S290" s="14">
        <f t="shared" si="13"/>
        <v>38.53505203</v>
      </c>
      <c r="U290" s="21"/>
      <c r="V290" s="21"/>
    </row>
    <row r="291">
      <c r="A291" s="11">
        <v>279.0</v>
      </c>
      <c r="B291" s="11">
        <v>1.42060869565217E9</v>
      </c>
      <c r="C291" s="2">
        <v>-102.0585098</v>
      </c>
      <c r="D291" s="24">
        <f t="shared" si="1"/>
        <v>208695.6522</v>
      </c>
      <c r="E291" s="25">
        <f t="shared" si="2"/>
        <v>-44.99651047</v>
      </c>
      <c r="F291" s="24">
        <f t="shared" si="3"/>
        <v>0.0002156082794</v>
      </c>
      <c r="G291" s="24">
        <f t="shared" si="4"/>
        <v>0</v>
      </c>
      <c r="H291" s="26">
        <f t="shared" si="5"/>
        <v>0</v>
      </c>
      <c r="I291" s="24">
        <f t="shared" si="6"/>
        <v>0</v>
      </c>
      <c r="J291" s="24">
        <f t="shared" si="7"/>
        <v>0</v>
      </c>
      <c r="K291" s="24"/>
      <c r="L291" s="24">
        <f t="shared" si="8"/>
        <v>473.4293599</v>
      </c>
      <c r="M291" s="14">
        <f t="shared" si="9"/>
        <v>425.7804468</v>
      </c>
      <c r="N291" s="27">
        <f t="shared" si="10"/>
        <v>47.64891308</v>
      </c>
      <c r="O291" s="24"/>
      <c r="P291" s="24"/>
      <c r="Q291" s="24"/>
      <c r="R291" s="26"/>
      <c r="S291" s="14">
        <f t="shared" si="13"/>
        <v>43.75581251</v>
      </c>
      <c r="U291" s="21"/>
      <c r="V291" s="21"/>
    </row>
    <row r="292">
      <c r="A292" s="11">
        <v>280.0</v>
      </c>
      <c r="B292" s="11">
        <v>1.42061304347826E9</v>
      </c>
      <c r="C292" s="2">
        <v>-102.0935516</v>
      </c>
      <c r="D292" s="24">
        <f t="shared" si="1"/>
        <v>213043.4783</v>
      </c>
      <c r="E292" s="25">
        <f t="shared" si="2"/>
        <v>-45.91480661</v>
      </c>
      <c r="F292" s="24">
        <f t="shared" si="3"/>
        <v>0.00021551848</v>
      </c>
      <c r="G292" s="24">
        <f t="shared" si="4"/>
        <v>0</v>
      </c>
      <c r="H292" s="26">
        <f t="shared" si="5"/>
        <v>0</v>
      </c>
      <c r="I292" s="24">
        <f t="shared" si="6"/>
        <v>0</v>
      </c>
      <c r="J292" s="24">
        <f t="shared" si="7"/>
        <v>0</v>
      </c>
      <c r="K292" s="24"/>
      <c r="L292" s="24">
        <f t="shared" si="8"/>
        <v>469.624783</v>
      </c>
      <c r="M292" s="14">
        <f t="shared" si="9"/>
        <v>425.6944576</v>
      </c>
      <c r="N292" s="27">
        <f t="shared" si="10"/>
        <v>43.93032542</v>
      </c>
      <c r="O292" s="24"/>
      <c r="P292" s="24"/>
      <c r="Q292" s="24"/>
      <c r="R292" s="26"/>
      <c r="S292" s="14">
        <f t="shared" si="13"/>
        <v>40.34104795</v>
      </c>
      <c r="U292" s="21"/>
      <c r="V292" s="21"/>
    </row>
    <row r="293">
      <c r="A293" s="11">
        <v>281.0</v>
      </c>
      <c r="B293" s="11">
        <v>1.42061739130434E9</v>
      </c>
      <c r="C293" s="2">
        <v>-102.0975266</v>
      </c>
      <c r="D293" s="24">
        <f t="shared" si="1"/>
        <v>217391.3043</v>
      </c>
      <c r="E293" s="25">
        <f t="shared" si="2"/>
        <v>-46.83310274</v>
      </c>
      <c r="F293" s="24">
        <f t="shared" si="3"/>
        <v>0.0002154322726</v>
      </c>
      <c r="G293" s="24">
        <f t="shared" si="4"/>
        <v>0</v>
      </c>
      <c r="H293" s="26">
        <f t="shared" si="5"/>
        <v>0</v>
      </c>
      <c r="I293" s="24">
        <f t="shared" si="6"/>
        <v>0</v>
      </c>
      <c r="J293" s="24">
        <f t="shared" si="7"/>
        <v>0</v>
      </c>
      <c r="K293" s="24"/>
      <c r="L293" s="24">
        <f t="shared" si="8"/>
        <v>469.1951426</v>
      </c>
      <c r="M293" s="14">
        <f t="shared" si="9"/>
        <v>425.6080958</v>
      </c>
      <c r="N293" s="27">
        <f t="shared" si="10"/>
        <v>43.58704679</v>
      </c>
      <c r="O293" s="24"/>
      <c r="P293" s="24"/>
      <c r="Q293" s="24"/>
      <c r="R293" s="26"/>
      <c r="S293" s="14">
        <f t="shared" si="13"/>
        <v>40.02581651</v>
      </c>
      <c r="U293" s="21"/>
      <c r="V293" s="21"/>
    </row>
    <row r="294">
      <c r="A294" s="11">
        <v>282.0</v>
      </c>
      <c r="B294" s="11">
        <v>1.42062173913043E9</v>
      </c>
      <c r="C294" s="2">
        <v>-102.0920029</v>
      </c>
      <c r="D294" s="24">
        <f t="shared" si="1"/>
        <v>221739.1304</v>
      </c>
      <c r="E294" s="25">
        <f t="shared" si="2"/>
        <v>-47.75139887</v>
      </c>
      <c r="F294" s="24">
        <f t="shared" si="3"/>
        <v>0.0002153494459</v>
      </c>
      <c r="G294" s="24">
        <f t="shared" si="4"/>
        <v>0</v>
      </c>
      <c r="H294" s="26">
        <f t="shared" si="5"/>
        <v>0</v>
      </c>
      <c r="I294" s="24">
        <f t="shared" si="6"/>
        <v>0</v>
      </c>
      <c r="J294" s="24">
        <f t="shared" si="7"/>
        <v>0</v>
      </c>
      <c r="K294" s="24"/>
      <c r="L294" s="24">
        <f t="shared" si="8"/>
        <v>469.7922817</v>
      </c>
      <c r="M294" s="14">
        <f t="shared" si="9"/>
        <v>425.5213606</v>
      </c>
      <c r="N294" s="27">
        <f t="shared" si="10"/>
        <v>44.27092105</v>
      </c>
      <c r="O294" s="24"/>
      <c r="P294" s="24"/>
      <c r="Q294" s="24"/>
      <c r="R294" s="26"/>
      <c r="S294" s="14">
        <f t="shared" si="13"/>
        <v>40.6538155</v>
      </c>
      <c r="U294" s="21"/>
      <c r="V294" s="21"/>
    </row>
    <row r="295">
      <c r="A295" s="11">
        <v>283.0</v>
      </c>
      <c r="B295" s="11">
        <v>1.42062608695652E9</v>
      </c>
      <c r="C295" s="2">
        <v>-102.0894241</v>
      </c>
      <c r="D295" s="24">
        <f t="shared" si="1"/>
        <v>226086.9565</v>
      </c>
      <c r="E295" s="25">
        <f t="shared" si="2"/>
        <v>-48.669695</v>
      </c>
      <c r="F295" s="24">
        <f t="shared" si="3"/>
        <v>0.0002152698048</v>
      </c>
      <c r="G295" s="24">
        <f t="shared" si="4"/>
        <v>0</v>
      </c>
      <c r="H295" s="26">
        <f t="shared" si="5"/>
        <v>0</v>
      </c>
      <c r="I295" s="24">
        <f t="shared" si="6"/>
        <v>0</v>
      </c>
      <c r="J295" s="24">
        <f t="shared" si="7"/>
        <v>0</v>
      </c>
      <c r="K295" s="24"/>
      <c r="L295" s="24">
        <f t="shared" si="8"/>
        <v>470.0713228</v>
      </c>
      <c r="M295" s="14">
        <f t="shared" si="9"/>
        <v>425.4342511</v>
      </c>
      <c r="N295" s="27">
        <f t="shared" si="10"/>
        <v>44.63707172</v>
      </c>
      <c r="O295" s="24"/>
      <c r="P295" s="24"/>
      <c r="Q295" s="24"/>
      <c r="R295" s="26"/>
      <c r="S295" s="14">
        <f t="shared" si="13"/>
        <v>40.99005034</v>
      </c>
      <c r="U295" s="21"/>
      <c r="V295" s="21"/>
    </row>
    <row r="296">
      <c r="A296" s="11">
        <v>284.0</v>
      </c>
      <c r="B296" s="11">
        <v>1.4206304347826E9</v>
      </c>
      <c r="C296" s="2">
        <v>-102.07621</v>
      </c>
      <c r="D296" s="24">
        <f t="shared" si="1"/>
        <v>230434.7826</v>
      </c>
      <c r="E296" s="25">
        <f t="shared" si="2"/>
        <v>-49.58799113</v>
      </c>
      <c r="F296" s="24">
        <f t="shared" si="3"/>
        <v>0.0002151931691</v>
      </c>
      <c r="G296" s="24">
        <f t="shared" si="4"/>
        <v>0</v>
      </c>
      <c r="H296" s="26">
        <f t="shared" si="5"/>
        <v>0</v>
      </c>
      <c r="I296" s="24">
        <f t="shared" si="6"/>
        <v>0</v>
      </c>
      <c r="J296" s="24">
        <f t="shared" si="7"/>
        <v>0</v>
      </c>
      <c r="K296" s="24"/>
      <c r="L296" s="24">
        <f t="shared" si="8"/>
        <v>471.5037676</v>
      </c>
      <c r="M296" s="14">
        <f t="shared" si="9"/>
        <v>425.3467662</v>
      </c>
      <c r="N296" s="27">
        <f t="shared" si="10"/>
        <v>46.15700146</v>
      </c>
      <c r="O296" s="24"/>
      <c r="P296" s="24"/>
      <c r="Q296" s="24"/>
      <c r="R296" s="26"/>
      <c r="S296" s="14">
        <f t="shared" si="13"/>
        <v>42.38579594</v>
      </c>
      <c r="U296" s="21"/>
      <c r="V296" s="21"/>
    </row>
    <row r="297">
      <c r="A297" s="11">
        <v>285.0</v>
      </c>
      <c r="B297" s="11">
        <v>1.42063478260869E9</v>
      </c>
      <c r="C297" s="2">
        <v>-102.1417542</v>
      </c>
      <c r="D297" s="24">
        <f t="shared" si="1"/>
        <v>234782.6087</v>
      </c>
      <c r="E297" s="25">
        <f t="shared" si="2"/>
        <v>-50.50628727</v>
      </c>
      <c r="F297" s="24">
        <f t="shared" si="3"/>
        <v>0.0002151193717</v>
      </c>
      <c r="G297" s="24">
        <f t="shared" si="4"/>
        <v>0</v>
      </c>
      <c r="H297" s="26">
        <f t="shared" si="5"/>
        <v>0</v>
      </c>
      <c r="I297" s="24">
        <f t="shared" si="6"/>
        <v>0</v>
      </c>
      <c r="J297" s="24">
        <f t="shared" si="7"/>
        <v>0</v>
      </c>
      <c r="K297" s="24"/>
      <c r="L297" s="24">
        <f t="shared" si="8"/>
        <v>464.4412095</v>
      </c>
      <c r="M297" s="14">
        <f t="shared" si="9"/>
        <v>425.258905</v>
      </c>
      <c r="N297" s="27">
        <f t="shared" si="10"/>
        <v>39.18230452</v>
      </c>
      <c r="O297" s="24"/>
      <c r="P297" s="24"/>
      <c r="Q297" s="24"/>
      <c r="R297" s="26"/>
      <c r="S297" s="14">
        <f t="shared" si="13"/>
        <v>35.98095872</v>
      </c>
      <c r="U297" s="21"/>
      <c r="V297" s="21"/>
    </row>
    <row r="298">
      <c r="A298" s="11">
        <v>286.0</v>
      </c>
      <c r="B298" s="11">
        <v>1.42063913043478E9</v>
      </c>
      <c r="C298" s="2">
        <v>-102.1088638</v>
      </c>
      <c r="D298" s="24">
        <f t="shared" si="1"/>
        <v>239130.4348</v>
      </c>
      <c r="E298" s="25">
        <f t="shared" si="2"/>
        <v>-51.4245834</v>
      </c>
      <c r="F298" s="24">
        <f t="shared" si="3"/>
        <v>0.0002150482579</v>
      </c>
      <c r="G298" s="24">
        <f t="shared" si="4"/>
        <v>0</v>
      </c>
      <c r="H298" s="26">
        <f t="shared" si="5"/>
        <v>0</v>
      </c>
      <c r="I298" s="24">
        <f t="shared" si="6"/>
        <v>0</v>
      </c>
      <c r="J298" s="24">
        <f t="shared" si="7"/>
        <v>0</v>
      </c>
      <c r="K298" s="24"/>
      <c r="L298" s="24">
        <f t="shared" si="8"/>
        <v>467.9719122</v>
      </c>
      <c r="M298" s="14">
        <f t="shared" si="9"/>
        <v>425.1706666</v>
      </c>
      <c r="N298" s="27">
        <f t="shared" si="10"/>
        <v>42.80124564</v>
      </c>
      <c r="O298" s="24"/>
      <c r="P298" s="24"/>
      <c r="Q298" s="24"/>
      <c r="R298" s="26"/>
      <c r="S298" s="14">
        <f t="shared" si="13"/>
        <v>39.30421826</v>
      </c>
      <c r="U298" s="21"/>
      <c r="V298" s="21"/>
    </row>
    <row r="299">
      <c r="A299" s="11">
        <v>287.0</v>
      </c>
      <c r="B299" s="11">
        <v>1.42064347826087E9</v>
      </c>
      <c r="C299" s="2">
        <v>-102.1140289</v>
      </c>
      <c r="D299" s="24">
        <f t="shared" si="1"/>
        <v>243478.2609</v>
      </c>
      <c r="E299" s="25">
        <f t="shared" si="2"/>
        <v>-52.34287953</v>
      </c>
      <c r="F299" s="24">
        <f t="shared" si="3"/>
        <v>0.0002149796838</v>
      </c>
      <c r="G299" s="24">
        <f t="shared" si="4"/>
        <v>0</v>
      </c>
      <c r="H299" s="26">
        <f t="shared" si="5"/>
        <v>0</v>
      </c>
      <c r="I299" s="24">
        <f t="shared" si="6"/>
        <v>0</v>
      </c>
      <c r="J299" s="24">
        <f t="shared" si="7"/>
        <v>0</v>
      </c>
      <c r="K299" s="24"/>
      <c r="L299" s="24">
        <f t="shared" si="8"/>
        <v>467.4156802</v>
      </c>
      <c r="M299" s="14">
        <f t="shared" si="9"/>
        <v>425.0820499</v>
      </c>
      <c r="N299" s="27">
        <f t="shared" si="10"/>
        <v>42.33363024</v>
      </c>
      <c r="O299" s="24"/>
      <c r="P299" s="24"/>
      <c r="Q299" s="24"/>
      <c r="R299" s="26"/>
      <c r="S299" s="14">
        <f t="shared" si="13"/>
        <v>38.87480894</v>
      </c>
      <c r="U299" s="21"/>
      <c r="V299" s="21"/>
    </row>
    <row r="300">
      <c r="A300" s="11">
        <v>288.0</v>
      </c>
      <c r="B300" s="11">
        <v>1.42064782608695E9</v>
      </c>
      <c r="C300" s="2">
        <v>-102.0593872</v>
      </c>
      <c r="D300" s="24">
        <f t="shared" si="1"/>
        <v>247826.087</v>
      </c>
      <c r="E300" s="25">
        <f t="shared" si="2"/>
        <v>-53.26117566</v>
      </c>
      <c r="F300" s="24">
        <f t="shared" si="3"/>
        <v>0.0002149135158</v>
      </c>
      <c r="G300" s="24">
        <f t="shared" si="4"/>
        <v>0</v>
      </c>
      <c r="H300" s="26">
        <f t="shared" si="5"/>
        <v>0</v>
      </c>
      <c r="I300" s="24">
        <f t="shared" si="6"/>
        <v>0</v>
      </c>
      <c r="J300" s="24">
        <f t="shared" si="7"/>
        <v>0</v>
      </c>
      <c r="K300" s="24"/>
      <c r="L300" s="24">
        <f t="shared" si="8"/>
        <v>473.3337232</v>
      </c>
      <c r="M300" s="14">
        <f t="shared" si="9"/>
        <v>424.9930542</v>
      </c>
      <c r="N300" s="27">
        <f t="shared" si="10"/>
        <v>48.34066903</v>
      </c>
      <c r="O300" s="24"/>
      <c r="P300" s="24"/>
      <c r="Q300" s="24"/>
      <c r="R300" s="26"/>
      <c r="S300" s="14">
        <f t="shared" si="13"/>
        <v>44.39104943</v>
      </c>
      <c r="U300" s="21"/>
      <c r="V300" s="21"/>
    </row>
    <row r="301">
      <c r="A301" s="11">
        <v>289.0</v>
      </c>
      <c r="B301" s="11">
        <v>1.42065217391304E9</v>
      </c>
      <c r="C301" s="2">
        <v>-102.117424</v>
      </c>
      <c r="D301" s="24">
        <f t="shared" si="1"/>
        <v>252173.913</v>
      </c>
      <c r="E301" s="25">
        <f t="shared" si="2"/>
        <v>-54.1794718</v>
      </c>
      <c r="F301" s="24">
        <f t="shared" si="3"/>
        <v>0.0002148496295</v>
      </c>
      <c r="G301" s="24">
        <f t="shared" si="4"/>
        <v>0</v>
      </c>
      <c r="H301" s="26">
        <f t="shared" si="5"/>
        <v>0</v>
      </c>
      <c r="I301" s="24">
        <f t="shared" si="6"/>
        <v>0</v>
      </c>
      <c r="J301" s="24">
        <f t="shared" si="7"/>
        <v>0</v>
      </c>
      <c r="K301" s="24"/>
      <c r="L301" s="24">
        <f t="shared" si="8"/>
        <v>467.0504205</v>
      </c>
      <c r="M301" s="14">
        <f t="shared" si="9"/>
        <v>424.9036783</v>
      </c>
      <c r="N301" s="27">
        <f t="shared" si="10"/>
        <v>42.14674213</v>
      </c>
      <c r="O301" s="24"/>
      <c r="P301" s="24"/>
      <c r="Q301" s="24"/>
      <c r="R301" s="26"/>
      <c r="S301" s="14">
        <f t="shared" si="13"/>
        <v>38.70319022</v>
      </c>
      <c r="U301" s="21"/>
      <c r="V301" s="21"/>
    </row>
    <row r="302">
      <c r="A302" s="11">
        <v>290.0</v>
      </c>
      <c r="B302" s="11">
        <v>1.42065652173913E9</v>
      </c>
      <c r="C302" s="2">
        <v>-102.086174</v>
      </c>
      <c r="D302" s="24">
        <f t="shared" si="1"/>
        <v>256521.7391</v>
      </c>
      <c r="E302" s="25">
        <f t="shared" si="2"/>
        <v>-55.09776793</v>
      </c>
      <c r="F302" s="24">
        <f t="shared" si="3"/>
        <v>0.0002147879089</v>
      </c>
      <c r="G302" s="24">
        <f t="shared" si="4"/>
        <v>0</v>
      </c>
      <c r="H302" s="26">
        <f t="shared" si="5"/>
        <v>0</v>
      </c>
      <c r="I302" s="24">
        <f t="shared" si="6"/>
        <v>0</v>
      </c>
      <c r="J302" s="24">
        <f t="shared" si="7"/>
        <v>0</v>
      </c>
      <c r="K302" s="24"/>
      <c r="L302" s="24">
        <f t="shared" si="8"/>
        <v>470.4232385</v>
      </c>
      <c r="M302" s="14">
        <f t="shared" si="9"/>
        <v>424.8139214</v>
      </c>
      <c r="N302" s="27">
        <f t="shared" si="10"/>
        <v>45.6093171</v>
      </c>
      <c r="O302" s="24"/>
      <c r="P302" s="24"/>
      <c r="Q302" s="24"/>
      <c r="R302" s="26"/>
      <c r="S302" s="14">
        <f t="shared" si="13"/>
        <v>41.88285951</v>
      </c>
      <c r="U302" s="21"/>
      <c r="V302" s="21"/>
    </row>
    <row r="303">
      <c r="A303" s="11">
        <v>291.0</v>
      </c>
      <c r="B303" s="11">
        <v>1.42066086956521E9</v>
      </c>
      <c r="C303" s="2">
        <v>-102.0708694</v>
      </c>
      <c r="D303" s="24">
        <f t="shared" si="1"/>
        <v>260869.5652</v>
      </c>
      <c r="E303" s="25">
        <f t="shared" si="2"/>
        <v>-56.01606406</v>
      </c>
      <c r="F303" s="24">
        <f t="shared" si="3"/>
        <v>0.0002147282456</v>
      </c>
      <c r="G303" s="24">
        <f t="shared" si="4"/>
        <v>0</v>
      </c>
      <c r="H303" s="26">
        <f t="shared" si="5"/>
        <v>0</v>
      </c>
      <c r="I303" s="24">
        <f t="shared" si="6"/>
        <v>0</v>
      </c>
      <c r="J303" s="24">
        <f t="shared" si="7"/>
        <v>0</v>
      </c>
      <c r="K303" s="24"/>
      <c r="L303" s="24">
        <f t="shared" si="8"/>
        <v>472.0839412</v>
      </c>
      <c r="M303" s="14">
        <f t="shared" si="9"/>
        <v>424.7237825</v>
      </c>
      <c r="N303" s="27">
        <f t="shared" si="10"/>
        <v>47.36015872</v>
      </c>
      <c r="O303" s="24"/>
      <c r="P303" s="24"/>
      <c r="Q303" s="24"/>
      <c r="R303" s="26"/>
      <c r="S303" s="14">
        <f t="shared" si="13"/>
        <v>43.4906506</v>
      </c>
      <c r="U303" s="21"/>
      <c r="V303" s="21"/>
    </row>
    <row r="304">
      <c r="A304" s="11">
        <v>292.0</v>
      </c>
      <c r="B304" s="11">
        <v>1.4206652173913E9</v>
      </c>
      <c r="C304" s="2">
        <v>-102.0840225</v>
      </c>
      <c r="D304" s="24">
        <f t="shared" si="1"/>
        <v>265217.3913</v>
      </c>
      <c r="E304" s="25">
        <f t="shared" si="2"/>
        <v>-56.93436019</v>
      </c>
      <c r="F304" s="24">
        <f t="shared" si="3"/>
        <v>0.0002146705384</v>
      </c>
      <c r="G304" s="24">
        <f t="shared" si="4"/>
        <v>0</v>
      </c>
      <c r="H304" s="26">
        <f t="shared" si="5"/>
        <v>0</v>
      </c>
      <c r="I304" s="24">
        <f t="shared" si="6"/>
        <v>0</v>
      </c>
      <c r="J304" s="24">
        <f t="shared" si="7"/>
        <v>0</v>
      </c>
      <c r="K304" s="24"/>
      <c r="L304" s="24">
        <f t="shared" si="8"/>
        <v>470.6563445</v>
      </c>
      <c r="M304" s="14">
        <f t="shared" si="9"/>
        <v>424.6332606</v>
      </c>
      <c r="N304" s="27">
        <f t="shared" si="10"/>
        <v>46.02308384</v>
      </c>
      <c r="O304" s="24"/>
      <c r="P304" s="24"/>
      <c r="Q304" s="24"/>
      <c r="R304" s="26"/>
      <c r="S304" s="14">
        <f t="shared" si="13"/>
        <v>42.26281981</v>
      </c>
      <c r="U304" s="21"/>
      <c r="V304" s="21"/>
    </row>
    <row r="305">
      <c r="A305" s="11">
        <v>293.0</v>
      </c>
      <c r="B305" s="11">
        <v>1.42066956521739E9</v>
      </c>
      <c r="C305" s="2">
        <v>-102.0495605</v>
      </c>
      <c r="D305" s="24">
        <f t="shared" si="1"/>
        <v>269565.2174</v>
      </c>
      <c r="E305" s="25">
        <f t="shared" si="2"/>
        <v>-57.85265632</v>
      </c>
      <c r="F305" s="24">
        <f t="shared" si="3"/>
        <v>0.0002146146928</v>
      </c>
      <c r="G305" s="24">
        <f t="shared" si="4"/>
        <v>0</v>
      </c>
      <c r="H305" s="26">
        <f t="shared" si="5"/>
        <v>0</v>
      </c>
      <c r="I305" s="24">
        <f t="shared" si="6"/>
        <v>0</v>
      </c>
      <c r="J305" s="24">
        <f t="shared" si="7"/>
        <v>0</v>
      </c>
      <c r="K305" s="24"/>
      <c r="L305" s="24">
        <f t="shared" si="8"/>
        <v>474.4059392</v>
      </c>
      <c r="M305" s="14">
        <f t="shared" si="9"/>
        <v>424.5423549</v>
      </c>
      <c r="N305" s="27">
        <f t="shared" si="10"/>
        <v>49.86358428</v>
      </c>
      <c r="O305" s="24"/>
      <c r="P305" s="24"/>
      <c r="Q305" s="24"/>
      <c r="R305" s="26"/>
      <c r="S305" s="14">
        <f t="shared" si="13"/>
        <v>45.78953661</v>
      </c>
      <c r="U305" s="21"/>
      <c r="V305" s="21"/>
    </row>
    <row r="306">
      <c r="A306" s="11">
        <v>294.0</v>
      </c>
      <c r="B306" s="11">
        <v>1.42067391304347E9</v>
      </c>
      <c r="C306" s="2">
        <v>-102.0192032</v>
      </c>
      <c r="D306" s="24">
        <f t="shared" si="1"/>
        <v>273913.0435</v>
      </c>
      <c r="E306" s="25">
        <f t="shared" si="2"/>
        <v>-58.77095246</v>
      </c>
      <c r="F306" s="24">
        <f t="shared" si="3"/>
        <v>0.0002145606201</v>
      </c>
      <c r="G306" s="24">
        <f t="shared" si="4"/>
        <v>0</v>
      </c>
      <c r="H306" s="26">
        <f t="shared" si="5"/>
        <v>0</v>
      </c>
      <c r="I306" s="24">
        <f t="shared" si="6"/>
        <v>0</v>
      </c>
      <c r="J306" s="24">
        <f t="shared" si="7"/>
        <v>0</v>
      </c>
      <c r="K306" s="24"/>
      <c r="L306" s="24">
        <f t="shared" si="8"/>
        <v>477.7336662</v>
      </c>
      <c r="M306" s="14">
        <f t="shared" si="9"/>
        <v>424.4510642</v>
      </c>
      <c r="N306" s="27">
        <f t="shared" si="10"/>
        <v>53.28260196</v>
      </c>
      <c r="O306" s="24"/>
      <c r="P306" s="24"/>
      <c r="Q306" s="24"/>
      <c r="R306" s="26"/>
      <c r="S306" s="14">
        <f t="shared" si="13"/>
        <v>48.92920733</v>
      </c>
      <c r="U306" s="21"/>
      <c r="V306" s="21"/>
    </row>
    <row r="307">
      <c r="A307" s="11">
        <v>295.0</v>
      </c>
      <c r="B307" s="11">
        <v>1.42067826086956E9</v>
      </c>
      <c r="C307" s="2">
        <v>-102.0979233</v>
      </c>
      <c r="D307" s="24">
        <f t="shared" si="1"/>
        <v>278260.8696</v>
      </c>
      <c r="E307" s="25">
        <f t="shared" si="2"/>
        <v>-59.68924859</v>
      </c>
      <c r="F307" s="24">
        <f t="shared" si="3"/>
        <v>0.0002145082371</v>
      </c>
      <c r="G307" s="24">
        <f t="shared" si="4"/>
        <v>0</v>
      </c>
      <c r="H307" s="26">
        <f t="shared" si="5"/>
        <v>0</v>
      </c>
      <c r="I307" s="24">
        <f t="shared" si="6"/>
        <v>0</v>
      </c>
      <c r="J307" s="24">
        <f t="shared" si="7"/>
        <v>0</v>
      </c>
      <c r="K307" s="24"/>
      <c r="L307" s="24">
        <f t="shared" si="8"/>
        <v>469.1522866</v>
      </c>
      <c r="M307" s="14">
        <f t="shared" si="9"/>
        <v>424.3593878</v>
      </c>
      <c r="N307" s="27">
        <f t="shared" si="10"/>
        <v>44.79289881</v>
      </c>
      <c r="O307" s="24"/>
      <c r="P307" s="24"/>
      <c r="Q307" s="24"/>
      <c r="R307" s="26"/>
      <c r="S307" s="14">
        <f t="shared" si="13"/>
        <v>41.13314565</v>
      </c>
      <c r="U307" s="21"/>
      <c r="V307" s="21"/>
    </row>
    <row r="308">
      <c r="A308" s="11">
        <v>296.0</v>
      </c>
      <c r="B308" s="11">
        <v>1.42068260869565E9</v>
      </c>
      <c r="C308" s="2">
        <v>-101.9533386</v>
      </c>
      <c r="D308" s="24">
        <f t="shared" si="1"/>
        <v>282608.6957</v>
      </c>
      <c r="E308" s="25">
        <f t="shared" si="2"/>
        <v>-60.60754472</v>
      </c>
      <c r="F308" s="24">
        <f t="shared" si="3"/>
        <v>0.0002144574659</v>
      </c>
      <c r="G308" s="24">
        <f t="shared" si="4"/>
        <v>0</v>
      </c>
      <c r="H308" s="26">
        <f t="shared" si="5"/>
        <v>0</v>
      </c>
      <c r="I308" s="24">
        <f t="shared" si="6"/>
        <v>0</v>
      </c>
      <c r="J308" s="24">
        <f t="shared" si="7"/>
        <v>0</v>
      </c>
      <c r="K308" s="24"/>
      <c r="L308" s="24">
        <f t="shared" si="8"/>
        <v>485.034139</v>
      </c>
      <c r="M308" s="14">
        <f t="shared" si="9"/>
        <v>424.2673246</v>
      </c>
      <c r="N308" s="27">
        <f t="shared" si="10"/>
        <v>60.7668144</v>
      </c>
      <c r="O308" s="24"/>
      <c r="P308" s="24"/>
      <c r="Q308" s="24"/>
      <c r="R308" s="26"/>
      <c r="S308" s="14">
        <f t="shared" si="13"/>
        <v>55.80193067</v>
      </c>
      <c r="U308" s="21"/>
      <c r="V308" s="21"/>
    </row>
    <row r="309">
      <c r="A309" s="11">
        <v>297.0</v>
      </c>
      <c r="B309" s="11">
        <v>1.42068695652173E9</v>
      </c>
      <c r="C309" s="2">
        <v>-102.0434113</v>
      </c>
      <c r="D309" s="24">
        <f t="shared" si="1"/>
        <v>286956.5217</v>
      </c>
      <c r="E309" s="25">
        <f t="shared" si="2"/>
        <v>-61.52584085</v>
      </c>
      <c r="F309" s="24">
        <f t="shared" si="3"/>
        <v>0.0002144082333</v>
      </c>
      <c r="G309" s="24">
        <f t="shared" si="4"/>
        <v>0</v>
      </c>
      <c r="H309" s="26">
        <f t="shared" si="5"/>
        <v>0</v>
      </c>
      <c r="I309" s="24">
        <f t="shared" si="6"/>
        <v>0</v>
      </c>
      <c r="J309" s="24">
        <f t="shared" si="7"/>
        <v>0</v>
      </c>
      <c r="K309" s="24"/>
      <c r="L309" s="24">
        <f t="shared" si="8"/>
        <v>475.078129</v>
      </c>
      <c r="M309" s="14">
        <f t="shared" si="9"/>
        <v>424.1748737</v>
      </c>
      <c r="N309" s="27">
        <f t="shared" si="10"/>
        <v>50.90325528</v>
      </c>
      <c r="O309" s="24"/>
      <c r="P309" s="24"/>
      <c r="Q309" s="24"/>
      <c r="R309" s="26"/>
      <c r="S309" s="14">
        <f t="shared" si="13"/>
        <v>46.74426247</v>
      </c>
      <c r="U309" s="21"/>
      <c r="V309" s="21"/>
    </row>
    <row r="310">
      <c r="A310" s="11">
        <v>298.0</v>
      </c>
      <c r="B310" s="11">
        <v>1.42069130434782E9</v>
      </c>
      <c r="C310" s="2">
        <v>-102.0044022</v>
      </c>
      <c r="D310" s="24">
        <f t="shared" si="1"/>
        <v>291304.3478</v>
      </c>
      <c r="E310" s="25">
        <f t="shared" si="2"/>
        <v>-62.44413698</v>
      </c>
      <c r="F310" s="24">
        <f t="shared" si="3"/>
        <v>0.0002143604703</v>
      </c>
      <c r="G310" s="24">
        <f t="shared" si="4"/>
        <v>0</v>
      </c>
      <c r="H310" s="26">
        <f t="shared" si="5"/>
        <v>0</v>
      </c>
      <c r="I310" s="24">
        <f t="shared" si="6"/>
        <v>0</v>
      </c>
      <c r="J310" s="24">
        <f t="shared" si="7"/>
        <v>0</v>
      </c>
      <c r="K310" s="24"/>
      <c r="L310" s="24">
        <f t="shared" si="8"/>
        <v>479.3645869</v>
      </c>
      <c r="M310" s="14">
        <f t="shared" si="9"/>
        <v>424.0820341</v>
      </c>
      <c r="N310" s="27">
        <f t="shared" si="10"/>
        <v>55.28255286</v>
      </c>
      <c r="O310" s="24"/>
      <c r="P310" s="24"/>
      <c r="Q310" s="24"/>
      <c r="R310" s="26"/>
      <c r="S310" s="14">
        <f t="shared" si="13"/>
        <v>50.7657545</v>
      </c>
      <c r="U310" s="21"/>
      <c r="V310" s="21"/>
    </row>
    <row r="311">
      <c r="A311" s="11">
        <v>299.0</v>
      </c>
      <c r="B311" s="11">
        <v>1.42069565217391E9</v>
      </c>
      <c r="C311" s="2">
        <v>-102.0831985</v>
      </c>
      <c r="D311" s="24">
        <f t="shared" si="1"/>
        <v>295652.1739</v>
      </c>
      <c r="E311" s="25">
        <f t="shared" si="2"/>
        <v>-63.36243312</v>
      </c>
      <c r="F311" s="24">
        <f t="shared" si="3"/>
        <v>0.000214314112</v>
      </c>
      <c r="G311" s="24">
        <f t="shared" si="4"/>
        <v>0</v>
      </c>
      <c r="H311" s="26">
        <f t="shared" si="5"/>
        <v>0</v>
      </c>
      <c r="I311" s="24">
        <f t="shared" si="6"/>
        <v>0</v>
      </c>
      <c r="J311" s="24">
        <f t="shared" si="7"/>
        <v>0</v>
      </c>
      <c r="K311" s="24"/>
      <c r="L311" s="24">
        <f t="shared" si="8"/>
        <v>470.745652</v>
      </c>
      <c r="M311" s="14">
        <f t="shared" si="9"/>
        <v>423.9888049</v>
      </c>
      <c r="N311" s="27">
        <f t="shared" si="10"/>
        <v>46.75684712</v>
      </c>
      <c r="O311" s="24"/>
      <c r="P311" s="24"/>
      <c r="Q311" s="24"/>
      <c r="R311" s="26"/>
      <c r="S311" s="14">
        <f t="shared" si="13"/>
        <v>42.93663179</v>
      </c>
      <c r="U311" s="21"/>
      <c r="V311" s="21"/>
    </row>
    <row r="312">
      <c r="A312" s="11">
        <v>300.0</v>
      </c>
      <c r="B312" s="11">
        <v>1.4207E9</v>
      </c>
      <c r="C312" s="2">
        <v>-102.1135559</v>
      </c>
      <c r="D312" s="24">
        <f t="shared" si="1"/>
        <v>300000</v>
      </c>
      <c r="E312" s="25">
        <f t="shared" si="2"/>
        <v>-64.28072925</v>
      </c>
      <c r="F312" s="24">
        <f t="shared" si="3"/>
        <v>0.0002142690975</v>
      </c>
      <c r="G312" s="24">
        <f t="shared" si="4"/>
        <v>0</v>
      </c>
      <c r="H312" s="26">
        <f t="shared" si="5"/>
        <v>0</v>
      </c>
      <c r="I312" s="24">
        <f t="shared" si="6"/>
        <v>0</v>
      </c>
      <c r="J312" s="24">
        <f t="shared" si="7"/>
        <v>0</v>
      </c>
      <c r="K312" s="24"/>
      <c r="L312" s="24">
        <f t="shared" si="8"/>
        <v>467.4665903</v>
      </c>
      <c r="M312" s="14">
        <f t="shared" si="9"/>
        <v>423.8951851</v>
      </c>
      <c r="N312" s="27">
        <f t="shared" si="10"/>
        <v>43.57140517</v>
      </c>
      <c r="O312" s="24"/>
      <c r="P312" s="24"/>
      <c r="Q312" s="24"/>
      <c r="R312" s="26"/>
      <c r="S312" s="14">
        <f t="shared" si="13"/>
        <v>40.01145286</v>
      </c>
      <c r="U312" s="21"/>
      <c r="V312" s="21"/>
    </row>
    <row r="313">
      <c r="A313" s="11">
        <v>301.0</v>
      </c>
      <c r="B313" s="11">
        <v>1.42070434782608E9</v>
      </c>
      <c r="C313" s="2">
        <v>-102.067131</v>
      </c>
      <c r="D313" s="24">
        <f t="shared" si="1"/>
        <v>304347.8261</v>
      </c>
      <c r="E313" s="25">
        <f t="shared" si="2"/>
        <v>-65.19902538</v>
      </c>
      <c r="F313" s="24">
        <f t="shared" si="3"/>
        <v>0.0002142253691</v>
      </c>
      <c r="G313" s="24">
        <f t="shared" si="4"/>
        <v>0</v>
      </c>
      <c r="H313" s="26">
        <f t="shared" si="5"/>
        <v>0</v>
      </c>
      <c r="I313" s="24">
        <f t="shared" si="6"/>
        <v>0</v>
      </c>
      <c r="J313" s="24">
        <f t="shared" si="7"/>
        <v>0</v>
      </c>
      <c r="K313" s="24"/>
      <c r="L313" s="24">
        <f t="shared" si="8"/>
        <v>472.4904853</v>
      </c>
      <c r="M313" s="14">
        <f t="shared" si="9"/>
        <v>423.8011738</v>
      </c>
      <c r="N313" s="27">
        <f t="shared" si="10"/>
        <v>48.6893115</v>
      </c>
      <c r="O313" s="24"/>
      <c r="P313" s="24"/>
      <c r="Q313" s="24"/>
      <c r="R313" s="26"/>
      <c r="S313" s="14">
        <f t="shared" si="13"/>
        <v>44.71120646</v>
      </c>
      <c r="U313" s="21"/>
      <c r="V313" s="21"/>
    </row>
    <row r="314">
      <c r="A314" s="11">
        <v>302.0</v>
      </c>
      <c r="B314" s="11">
        <v>1.42070869565217E9</v>
      </c>
      <c r="C314" s="2">
        <v>-102.0914764</v>
      </c>
      <c r="D314" s="24">
        <f t="shared" si="1"/>
        <v>308695.6522</v>
      </c>
      <c r="E314" s="25">
        <f t="shared" si="2"/>
        <v>-66.11732151</v>
      </c>
      <c r="F314" s="24">
        <f t="shared" si="3"/>
        <v>0.0002141828725</v>
      </c>
      <c r="G314" s="24">
        <f t="shared" si="4"/>
        <v>0</v>
      </c>
      <c r="H314" s="26">
        <f t="shared" si="5"/>
        <v>0</v>
      </c>
      <c r="I314" s="24">
        <f t="shared" si="6"/>
        <v>0</v>
      </c>
      <c r="J314" s="24">
        <f t="shared" si="7"/>
        <v>0</v>
      </c>
      <c r="K314" s="24"/>
      <c r="L314" s="24">
        <f t="shared" si="8"/>
        <v>469.8492386</v>
      </c>
      <c r="M314" s="14">
        <f t="shared" si="9"/>
        <v>423.70677</v>
      </c>
      <c r="N314" s="27">
        <f t="shared" si="10"/>
        <v>46.14246858</v>
      </c>
      <c r="O314" s="24"/>
      <c r="P314" s="24"/>
      <c r="Q314" s="24"/>
      <c r="R314" s="26"/>
      <c r="S314" s="14">
        <f t="shared" si="13"/>
        <v>42.37245036</v>
      </c>
      <c r="U314" s="21"/>
      <c r="V314" s="21"/>
    </row>
    <row r="315">
      <c r="A315" s="11">
        <v>303.0</v>
      </c>
      <c r="B315" s="11">
        <v>1.42071304347826E9</v>
      </c>
      <c r="C315" s="2">
        <v>-102.1159363</v>
      </c>
      <c r="D315" s="24">
        <f t="shared" si="1"/>
        <v>313043.4783</v>
      </c>
      <c r="E315" s="25">
        <f t="shared" si="2"/>
        <v>-67.03561764</v>
      </c>
      <c r="F315" s="24">
        <f t="shared" si="3"/>
        <v>0.0002141415564</v>
      </c>
      <c r="G315" s="24">
        <f t="shared" si="4"/>
        <v>0</v>
      </c>
      <c r="H315" s="26">
        <f t="shared" si="5"/>
        <v>0</v>
      </c>
      <c r="I315" s="24">
        <f t="shared" si="6"/>
        <v>0</v>
      </c>
      <c r="J315" s="24">
        <f t="shared" si="7"/>
        <v>0</v>
      </c>
      <c r="K315" s="24"/>
      <c r="L315" s="24">
        <f t="shared" si="8"/>
        <v>467.2104386</v>
      </c>
      <c r="M315" s="14">
        <f t="shared" si="9"/>
        <v>423.6119728</v>
      </c>
      <c r="N315" s="27">
        <f t="shared" si="10"/>
        <v>43.59846582</v>
      </c>
      <c r="O315" s="24"/>
      <c r="P315" s="24"/>
      <c r="Q315" s="24"/>
      <c r="R315" s="26"/>
      <c r="S315" s="14">
        <f t="shared" si="13"/>
        <v>40.03630256</v>
      </c>
      <c r="U315" s="21"/>
      <c r="V315" s="21"/>
    </row>
    <row r="316">
      <c r="A316" s="11">
        <v>304.0</v>
      </c>
      <c r="B316" s="11">
        <v>1.42071739130434E9</v>
      </c>
      <c r="C316" s="2">
        <v>-102.1131058</v>
      </c>
      <c r="D316" s="24">
        <f t="shared" si="1"/>
        <v>317391.3043</v>
      </c>
      <c r="E316" s="25">
        <f t="shared" si="2"/>
        <v>-67.95391378</v>
      </c>
      <c r="F316" s="24">
        <f t="shared" si="3"/>
        <v>0.0002141013722</v>
      </c>
      <c r="G316" s="24">
        <f t="shared" si="4"/>
        <v>0</v>
      </c>
      <c r="H316" s="26">
        <f t="shared" si="5"/>
        <v>0</v>
      </c>
      <c r="I316" s="24">
        <f t="shared" si="6"/>
        <v>0</v>
      </c>
      <c r="J316" s="24">
        <f t="shared" si="7"/>
        <v>0</v>
      </c>
      <c r="K316" s="24"/>
      <c r="L316" s="24">
        <f t="shared" si="8"/>
        <v>467.5150407</v>
      </c>
      <c r="M316" s="14">
        <f t="shared" si="9"/>
        <v>423.5167812</v>
      </c>
      <c r="N316" s="27">
        <f t="shared" si="10"/>
        <v>43.99825954</v>
      </c>
      <c r="O316" s="24"/>
      <c r="P316" s="24"/>
      <c r="Q316" s="24"/>
      <c r="R316" s="26"/>
      <c r="S316" s="14">
        <f t="shared" si="13"/>
        <v>40.40343159</v>
      </c>
      <c r="U316" s="21"/>
      <c r="V316" s="21"/>
    </row>
    <row r="317">
      <c r="A317" s="11">
        <v>305.0</v>
      </c>
      <c r="B317" s="11">
        <v>1.42072173913043E9</v>
      </c>
      <c r="C317" s="2">
        <v>-102.1086349</v>
      </c>
      <c r="D317" s="24">
        <f t="shared" si="1"/>
        <v>321739.1304</v>
      </c>
      <c r="E317" s="25">
        <f t="shared" si="2"/>
        <v>-68.87220991</v>
      </c>
      <c r="F317" s="24">
        <f t="shared" si="3"/>
        <v>0.000214062274</v>
      </c>
      <c r="G317" s="24">
        <f t="shared" si="4"/>
        <v>0</v>
      </c>
      <c r="H317" s="26">
        <f t="shared" si="5"/>
        <v>0</v>
      </c>
      <c r="I317" s="24">
        <f t="shared" si="6"/>
        <v>0</v>
      </c>
      <c r="J317" s="24">
        <f t="shared" si="7"/>
        <v>0</v>
      </c>
      <c r="K317" s="24"/>
      <c r="L317" s="24">
        <f t="shared" si="8"/>
        <v>467.9965779</v>
      </c>
      <c r="M317" s="14">
        <f t="shared" si="9"/>
        <v>423.4211942</v>
      </c>
      <c r="N317" s="27">
        <f t="shared" si="10"/>
        <v>44.57538364</v>
      </c>
      <c r="O317" s="24"/>
      <c r="P317" s="24"/>
      <c r="Q317" s="24"/>
      <c r="R317" s="26"/>
      <c r="S317" s="14">
        <f t="shared" si="13"/>
        <v>40.93340231</v>
      </c>
      <c r="U317" s="21"/>
      <c r="V317" s="21"/>
    </row>
    <row r="318">
      <c r="A318" s="11">
        <v>306.0</v>
      </c>
      <c r="B318" s="11">
        <v>1.42072608695652E9</v>
      </c>
      <c r="C318" s="2">
        <v>-102.1511307</v>
      </c>
      <c r="D318" s="24">
        <f t="shared" si="1"/>
        <v>326086.9565</v>
      </c>
      <c r="E318" s="25">
        <f t="shared" si="2"/>
        <v>-69.79050604</v>
      </c>
      <c r="F318" s="24">
        <f t="shared" si="3"/>
        <v>0.0002140242185</v>
      </c>
      <c r="G318" s="24">
        <f t="shared" si="4"/>
        <v>0</v>
      </c>
      <c r="H318" s="26">
        <f t="shared" si="5"/>
        <v>0</v>
      </c>
      <c r="I318" s="24">
        <f t="shared" si="6"/>
        <v>0</v>
      </c>
      <c r="J318" s="24">
        <f t="shared" si="7"/>
        <v>0</v>
      </c>
      <c r="K318" s="24"/>
      <c r="L318" s="24">
        <f t="shared" si="8"/>
        <v>463.4395538</v>
      </c>
      <c r="M318" s="14">
        <f t="shared" si="9"/>
        <v>423.325211</v>
      </c>
      <c r="N318" s="27">
        <f t="shared" si="10"/>
        <v>40.11434284</v>
      </c>
      <c r="O318" s="24"/>
      <c r="P318" s="24"/>
      <c r="Q318" s="24"/>
      <c r="R318" s="26"/>
      <c r="S318" s="14">
        <f t="shared" si="13"/>
        <v>36.8368459</v>
      </c>
      <c r="U318" s="21"/>
      <c r="V318" s="21"/>
    </row>
    <row r="319">
      <c r="A319" s="11">
        <v>307.0</v>
      </c>
      <c r="B319" s="11">
        <v>1.4207304347826E9</v>
      </c>
      <c r="C319" s="2">
        <v>-102.1921921</v>
      </c>
      <c r="D319" s="24">
        <f t="shared" si="1"/>
        <v>330434.7826</v>
      </c>
      <c r="E319" s="25">
        <f t="shared" si="2"/>
        <v>-70.70880217</v>
      </c>
      <c r="F319" s="24">
        <f t="shared" si="3"/>
        <v>0.0002139871645</v>
      </c>
      <c r="G319" s="24">
        <f t="shared" si="4"/>
        <v>0</v>
      </c>
      <c r="H319" s="26">
        <f t="shared" si="5"/>
        <v>0</v>
      </c>
      <c r="I319" s="24">
        <f t="shared" si="6"/>
        <v>0</v>
      </c>
      <c r="J319" s="24">
        <f t="shared" si="7"/>
        <v>0</v>
      </c>
      <c r="K319" s="24"/>
      <c r="L319" s="24">
        <f t="shared" si="8"/>
        <v>459.0785036</v>
      </c>
      <c r="M319" s="14">
        <f t="shared" si="9"/>
        <v>423.2288305</v>
      </c>
      <c r="N319" s="27">
        <f t="shared" si="10"/>
        <v>35.84967311</v>
      </c>
      <c r="O319" s="24"/>
      <c r="P319" s="24"/>
      <c r="Q319" s="24"/>
      <c r="R319" s="26"/>
      <c r="S319" s="14">
        <f t="shared" si="13"/>
        <v>32.92061618</v>
      </c>
      <c r="U319" s="21"/>
      <c r="V319" s="21"/>
    </row>
    <row r="320">
      <c r="A320" s="11">
        <v>308.0</v>
      </c>
      <c r="B320" s="11">
        <v>1.42073478260869E9</v>
      </c>
      <c r="C320" s="2">
        <v>-102.2624588</v>
      </c>
      <c r="D320" s="24">
        <f t="shared" si="1"/>
        <v>334782.6087</v>
      </c>
      <c r="E320" s="25">
        <f t="shared" si="2"/>
        <v>-71.62709831</v>
      </c>
      <c r="F320" s="24">
        <f t="shared" si="3"/>
        <v>0.0002139510729</v>
      </c>
      <c r="G320" s="24">
        <f t="shared" si="4"/>
        <v>0</v>
      </c>
      <c r="H320" s="26">
        <f t="shared" si="5"/>
        <v>0</v>
      </c>
      <c r="I320" s="24">
        <f t="shared" si="6"/>
        <v>0</v>
      </c>
      <c r="J320" s="24">
        <f t="shared" si="7"/>
        <v>0</v>
      </c>
      <c r="K320" s="24"/>
      <c r="L320" s="24">
        <f t="shared" si="8"/>
        <v>451.7106056</v>
      </c>
      <c r="M320" s="14">
        <f t="shared" si="9"/>
        <v>423.1320518</v>
      </c>
      <c r="N320" s="27">
        <f t="shared" si="10"/>
        <v>28.57855376</v>
      </c>
      <c r="O320" s="24"/>
      <c r="P320" s="24"/>
      <c r="Q320" s="24"/>
      <c r="R320" s="26"/>
      <c r="S320" s="14">
        <f t="shared" si="13"/>
        <v>26.2435754</v>
      </c>
      <c r="U320" s="21"/>
      <c r="V320" s="21"/>
    </row>
    <row r="321">
      <c r="A321" s="11">
        <v>309.0</v>
      </c>
      <c r="B321" s="11">
        <v>1.42073913043478E9</v>
      </c>
      <c r="C321" s="2">
        <v>-102.2206345</v>
      </c>
      <c r="D321" s="24">
        <f t="shared" si="1"/>
        <v>339130.4348</v>
      </c>
      <c r="E321" s="25">
        <f t="shared" si="2"/>
        <v>-72.54539444</v>
      </c>
      <c r="F321" s="24">
        <f t="shared" si="3"/>
        <v>0.0002139159067</v>
      </c>
      <c r="G321" s="24">
        <f t="shared" si="4"/>
        <v>0</v>
      </c>
      <c r="H321" s="26">
        <f t="shared" si="5"/>
        <v>0</v>
      </c>
      <c r="I321" s="24">
        <f t="shared" si="6"/>
        <v>0</v>
      </c>
      <c r="J321" s="24">
        <f t="shared" si="7"/>
        <v>0</v>
      </c>
      <c r="K321" s="24"/>
      <c r="L321" s="24">
        <f t="shared" si="8"/>
        <v>456.0817741</v>
      </c>
      <c r="M321" s="14">
        <f t="shared" si="9"/>
        <v>423.034874</v>
      </c>
      <c r="N321" s="27">
        <f t="shared" si="10"/>
        <v>33.0469001</v>
      </c>
      <c r="O321" s="24"/>
      <c r="P321" s="24"/>
      <c r="Q321" s="24"/>
      <c r="R321" s="26"/>
      <c r="S321" s="14">
        <f t="shared" si="13"/>
        <v>30.34684049</v>
      </c>
      <c r="U321" s="21"/>
      <c r="V321" s="21"/>
    </row>
    <row r="322">
      <c r="A322" s="11">
        <v>310.0</v>
      </c>
      <c r="B322" s="11">
        <v>1.42074347826087E9</v>
      </c>
      <c r="C322" s="2">
        <v>-102.2197647</v>
      </c>
      <c r="D322" s="24">
        <f t="shared" si="1"/>
        <v>343478.2609</v>
      </c>
      <c r="E322" s="25">
        <f t="shared" si="2"/>
        <v>-73.46369057</v>
      </c>
      <c r="F322" s="24">
        <f t="shared" si="3"/>
        <v>0.0002138816308</v>
      </c>
      <c r="G322" s="24">
        <f t="shared" si="4"/>
        <v>0</v>
      </c>
      <c r="H322" s="26">
        <f t="shared" si="5"/>
        <v>0</v>
      </c>
      <c r="I322" s="24">
        <f t="shared" si="6"/>
        <v>0</v>
      </c>
      <c r="J322" s="24">
        <f t="shared" si="7"/>
        <v>0</v>
      </c>
      <c r="K322" s="24"/>
      <c r="L322" s="24">
        <f t="shared" si="8"/>
        <v>456.1731268</v>
      </c>
      <c r="M322" s="14">
        <f t="shared" si="9"/>
        <v>422.9372961</v>
      </c>
      <c r="N322" s="27">
        <f t="shared" si="10"/>
        <v>33.23583069</v>
      </c>
      <c r="O322" s="24"/>
      <c r="P322" s="24"/>
      <c r="Q322" s="24"/>
      <c r="R322" s="26"/>
      <c r="S322" s="14">
        <f t="shared" si="13"/>
        <v>30.52033479</v>
      </c>
      <c r="U322" s="21"/>
      <c r="V322" s="21"/>
    </row>
    <row r="323">
      <c r="A323" s="11">
        <v>311.0</v>
      </c>
      <c r="B323" s="11">
        <v>1.42074782608695E9</v>
      </c>
      <c r="C323" s="2">
        <v>-102.2097778</v>
      </c>
      <c r="D323" s="24">
        <f t="shared" si="1"/>
        <v>347826.087</v>
      </c>
      <c r="E323" s="25">
        <f t="shared" si="2"/>
        <v>-74.3819867</v>
      </c>
      <c r="F323" s="24">
        <f t="shared" si="3"/>
        <v>0.0002138482118</v>
      </c>
      <c r="G323" s="24">
        <f t="shared" si="4"/>
        <v>0</v>
      </c>
      <c r="H323" s="26">
        <f t="shared" si="5"/>
        <v>0</v>
      </c>
      <c r="I323" s="24">
        <f t="shared" si="6"/>
        <v>0</v>
      </c>
      <c r="J323" s="24">
        <f t="shared" si="7"/>
        <v>0</v>
      </c>
      <c r="K323" s="24"/>
      <c r="L323" s="24">
        <f t="shared" si="8"/>
        <v>457.2233353</v>
      </c>
      <c r="M323" s="14">
        <f t="shared" si="9"/>
        <v>422.8393172</v>
      </c>
      <c r="N323" s="27">
        <f t="shared" si="10"/>
        <v>34.38401815</v>
      </c>
      <c r="O323" s="24"/>
      <c r="P323" s="24"/>
      <c r="Q323" s="24"/>
      <c r="R323" s="26"/>
      <c r="S323" s="14">
        <f t="shared" si="13"/>
        <v>31.5747109</v>
      </c>
      <c r="U323" s="21"/>
      <c r="V323" s="21"/>
    </row>
    <row r="324">
      <c r="A324" s="11">
        <v>312.0</v>
      </c>
      <c r="B324" s="11">
        <v>1.42075217391304E9</v>
      </c>
      <c r="C324" s="2">
        <v>-102.263237</v>
      </c>
      <c r="D324" s="24">
        <f t="shared" si="1"/>
        <v>352173.913</v>
      </c>
      <c r="E324" s="25">
        <f t="shared" si="2"/>
        <v>-75.30028284</v>
      </c>
      <c r="F324" s="24">
        <f t="shared" si="3"/>
        <v>0.0002138156179</v>
      </c>
      <c r="G324" s="24">
        <f t="shared" si="4"/>
        <v>0</v>
      </c>
      <c r="H324" s="26">
        <f t="shared" si="5"/>
        <v>0</v>
      </c>
      <c r="I324" s="24">
        <f t="shared" si="6"/>
        <v>0</v>
      </c>
      <c r="J324" s="24">
        <f t="shared" si="7"/>
        <v>0</v>
      </c>
      <c r="K324" s="24"/>
      <c r="L324" s="24">
        <f t="shared" si="8"/>
        <v>451.6296721</v>
      </c>
      <c r="M324" s="14">
        <f t="shared" si="9"/>
        <v>422.7409362</v>
      </c>
      <c r="N324" s="27">
        <f t="shared" si="10"/>
        <v>28.88873592</v>
      </c>
      <c r="O324" s="24"/>
      <c r="P324" s="24"/>
      <c r="Q324" s="24"/>
      <c r="R324" s="26"/>
      <c r="S324" s="14">
        <f t="shared" si="13"/>
        <v>26.52841441</v>
      </c>
      <c r="U324" s="21"/>
      <c r="V324" s="21"/>
    </row>
    <row r="325">
      <c r="A325" s="11">
        <v>313.0</v>
      </c>
      <c r="B325" s="11">
        <v>1.42075652173913E9</v>
      </c>
      <c r="C325" s="2">
        <v>-102.34758</v>
      </c>
      <c r="D325" s="24">
        <f t="shared" si="1"/>
        <v>356521.7391</v>
      </c>
      <c r="E325" s="25">
        <f t="shared" si="2"/>
        <v>-76.21857897</v>
      </c>
      <c r="F325" s="24">
        <f t="shared" si="3"/>
        <v>0.0002137838191</v>
      </c>
      <c r="G325" s="24">
        <f t="shared" si="4"/>
        <v>0</v>
      </c>
      <c r="H325" s="26">
        <f t="shared" si="5"/>
        <v>0</v>
      </c>
      <c r="I325" s="24">
        <f t="shared" si="6"/>
        <v>0</v>
      </c>
      <c r="J325" s="24">
        <f t="shared" si="7"/>
        <v>0</v>
      </c>
      <c r="K325" s="24"/>
      <c r="L325" s="24">
        <f t="shared" si="8"/>
        <v>442.9433311</v>
      </c>
      <c r="M325" s="14">
        <f t="shared" si="9"/>
        <v>422.6421523</v>
      </c>
      <c r="N325" s="27">
        <f t="shared" si="10"/>
        <v>20.30117882</v>
      </c>
      <c r="O325" s="24"/>
      <c r="P325" s="24"/>
      <c r="Q325" s="24"/>
      <c r="R325" s="26"/>
      <c r="S325" s="14">
        <f t="shared" si="13"/>
        <v>18.642494</v>
      </c>
      <c r="U325" s="21"/>
      <c r="V325" s="21"/>
    </row>
    <row r="326">
      <c r="A326" s="11">
        <v>314.0</v>
      </c>
      <c r="B326" s="11">
        <v>1.42076086956521E9</v>
      </c>
      <c r="C326" s="2">
        <v>-102.3510666</v>
      </c>
      <c r="D326" s="24">
        <f t="shared" si="1"/>
        <v>360869.5652</v>
      </c>
      <c r="E326" s="25">
        <f t="shared" si="2"/>
        <v>-77.1368751</v>
      </c>
      <c r="F326" s="24">
        <f t="shared" si="3"/>
        <v>0.0002137527864</v>
      </c>
      <c r="G326" s="24">
        <f t="shared" si="4"/>
        <v>0</v>
      </c>
      <c r="H326" s="26">
        <f t="shared" si="5"/>
        <v>0</v>
      </c>
      <c r="I326" s="24">
        <f t="shared" si="6"/>
        <v>0</v>
      </c>
      <c r="J326" s="24">
        <f t="shared" si="7"/>
        <v>0</v>
      </c>
      <c r="K326" s="24"/>
      <c r="L326" s="24">
        <f t="shared" si="8"/>
        <v>442.5878703</v>
      </c>
      <c r="M326" s="14">
        <f t="shared" si="9"/>
        <v>422.5429644</v>
      </c>
      <c r="N326" s="27">
        <f t="shared" si="10"/>
        <v>20.04490589</v>
      </c>
      <c r="O326" s="24"/>
      <c r="P326" s="24"/>
      <c r="Q326" s="24"/>
      <c r="R326" s="26"/>
      <c r="S326" s="14">
        <f t="shared" si="13"/>
        <v>18.40715956</v>
      </c>
      <c r="U326" s="21"/>
      <c r="V326" s="21"/>
    </row>
    <row r="327">
      <c r="A327" s="11">
        <v>315.0</v>
      </c>
      <c r="B327" s="11">
        <v>1.4207652173913E9</v>
      </c>
      <c r="C327" s="2">
        <v>-102.324028</v>
      </c>
      <c r="D327" s="24">
        <f t="shared" si="1"/>
        <v>365217.3913</v>
      </c>
      <c r="E327" s="25">
        <f t="shared" si="2"/>
        <v>-78.05517123</v>
      </c>
      <c r="F327" s="24">
        <f t="shared" si="3"/>
        <v>0.0002137224927</v>
      </c>
      <c r="G327" s="24">
        <f t="shared" si="4"/>
        <v>0</v>
      </c>
      <c r="H327" s="26">
        <f t="shared" si="5"/>
        <v>0</v>
      </c>
      <c r="I327" s="24">
        <f t="shared" si="6"/>
        <v>0</v>
      </c>
      <c r="J327" s="24">
        <f t="shared" si="7"/>
        <v>0</v>
      </c>
      <c r="K327" s="24"/>
      <c r="L327" s="24">
        <f t="shared" si="8"/>
        <v>445.3519594</v>
      </c>
      <c r="M327" s="14">
        <f t="shared" si="9"/>
        <v>422.4433718</v>
      </c>
      <c r="N327" s="27">
        <f t="shared" si="10"/>
        <v>22.90858762</v>
      </c>
      <c r="O327" s="24"/>
      <c r="P327" s="24"/>
      <c r="Q327" s="24"/>
      <c r="R327" s="26"/>
      <c r="S327" s="14">
        <f t="shared" si="13"/>
        <v>21.03686737</v>
      </c>
      <c r="U327" s="21"/>
      <c r="V327" s="21"/>
    </row>
    <row r="328">
      <c r="A328" s="11">
        <v>316.0</v>
      </c>
      <c r="B328" s="11">
        <v>1.42076956521739E9</v>
      </c>
      <c r="C328" s="2">
        <v>-102.2825241</v>
      </c>
      <c r="D328" s="24">
        <f t="shared" si="1"/>
        <v>369565.2174</v>
      </c>
      <c r="E328" s="25">
        <f t="shared" si="2"/>
        <v>-78.97346736</v>
      </c>
      <c r="F328" s="24">
        <f t="shared" si="3"/>
        <v>0.0002136929117</v>
      </c>
      <c r="G328" s="24">
        <f t="shared" si="4"/>
        <v>0</v>
      </c>
      <c r="H328" s="26">
        <f t="shared" si="5"/>
        <v>0</v>
      </c>
      <c r="I328" s="24">
        <f t="shared" si="6"/>
        <v>0</v>
      </c>
      <c r="J328" s="24">
        <f t="shared" si="7"/>
        <v>0</v>
      </c>
      <c r="K328" s="24"/>
      <c r="L328" s="24">
        <f t="shared" si="8"/>
        <v>449.6284233</v>
      </c>
      <c r="M328" s="14">
        <f t="shared" si="9"/>
        <v>422.3433732</v>
      </c>
      <c r="N328" s="27">
        <f t="shared" si="10"/>
        <v>27.28505004</v>
      </c>
      <c r="O328" s="24"/>
      <c r="P328" s="24"/>
      <c r="Q328" s="24"/>
      <c r="R328" s="26"/>
      <c r="S328" s="14">
        <f t="shared" si="13"/>
        <v>25.05575594</v>
      </c>
      <c r="U328" s="21"/>
      <c r="V328" s="21"/>
    </row>
    <row r="329">
      <c r="A329" s="11">
        <v>317.0</v>
      </c>
      <c r="B329" s="11">
        <v>1.42077391304347E9</v>
      </c>
      <c r="C329" s="2">
        <v>-102.4212341</v>
      </c>
      <c r="D329" s="24">
        <f t="shared" si="1"/>
        <v>373913.0435</v>
      </c>
      <c r="E329" s="25">
        <f t="shared" si="2"/>
        <v>-79.89176349</v>
      </c>
      <c r="F329" s="24">
        <f t="shared" si="3"/>
        <v>0.0002136640187</v>
      </c>
      <c r="G329" s="24">
        <f t="shared" si="4"/>
        <v>0</v>
      </c>
      <c r="H329" s="26">
        <f t="shared" si="5"/>
        <v>0</v>
      </c>
      <c r="I329" s="24">
        <f t="shared" si="6"/>
        <v>0</v>
      </c>
      <c r="J329" s="24">
        <f t="shared" si="7"/>
        <v>0</v>
      </c>
      <c r="K329" s="24"/>
      <c r="L329" s="24">
        <f t="shared" si="8"/>
        <v>435.4945831</v>
      </c>
      <c r="M329" s="14">
        <f t="shared" si="9"/>
        <v>422.242968</v>
      </c>
      <c r="N329" s="27">
        <f t="shared" si="10"/>
        <v>13.2516151</v>
      </c>
      <c r="O329" s="24"/>
      <c r="P329" s="24"/>
      <c r="Q329" s="24"/>
      <c r="R329" s="26"/>
      <c r="S329" s="14">
        <f t="shared" si="13"/>
        <v>12.1689069</v>
      </c>
      <c r="U329" s="21"/>
      <c r="V329" s="21"/>
    </row>
    <row r="330">
      <c r="A330" s="11">
        <v>318.0</v>
      </c>
      <c r="B330" s="11">
        <v>1.42077826086956E9</v>
      </c>
      <c r="C330" s="2">
        <v>-102.4850082</v>
      </c>
      <c r="D330" s="24">
        <f t="shared" si="1"/>
        <v>378260.8696</v>
      </c>
      <c r="E330" s="25">
        <f t="shared" si="2"/>
        <v>-80.81005963</v>
      </c>
      <c r="F330" s="24">
        <f t="shared" si="3"/>
        <v>0.0002136357898</v>
      </c>
      <c r="G330" s="24">
        <f t="shared" si="4"/>
        <v>0</v>
      </c>
      <c r="H330" s="26">
        <f t="shared" si="5"/>
        <v>0</v>
      </c>
      <c r="I330" s="24">
        <f t="shared" si="6"/>
        <v>0</v>
      </c>
      <c r="J330" s="24">
        <f t="shared" si="7"/>
        <v>0</v>
      </c>
      <c r="K330" s="24"/>
      <c r="L330" s="24">
        <f t="shared" si="8"/>
        <v>429.1462752</v>
      </c>
      <c r="M330" s="14">
        <f t="shared" si="9"/>
        <v>422.142155</v>
      </c>
      <c r="N330" s="27">
        <f t="shared" si="10"/>
        <v>7.004120202</v>
      </c>
      <c r="O330" s="24"/>
      <c r="P330" s="24"/>
      <c r="Q330" s="24"/>
      <c r="R330" s="26"/>
      <c r="S330" s="14">
        <f t="shared" si="13"/>
        <v>6.43185648</v>
      </c>
      <c r="U330" s="21"/>
      <c r="V330" s="21"/>
    </row>
    <row r="331">
      <c r="A331" s="11">
        <v>319.0</v>
      </c>
      <c r="B331" s="11">
        <v>1.42078260869565E9</v>
      </c>
      <c r="C331" s="2">
        <v>-102.4244385</v>
      </c>
      <c r="D331" s="24">
        <f t="shared" si="1"/>
        <v>382608.6957</v>
      </c>
      <c r="E331" s="25">
        <f t="shared" si="2"/>
        <v>-81.72835576</v>
      </c>
      <c r="F331" s="24">
        <f t="shared" si="3"/>
        <v>0.0002136082026</v>
      </c>
      <c r="G331" s="24">
        <f t="shared" si="4"/>
        <v>0</v>
      </c>
      <c r="H331" s="26">
        <f t="shared" si="5"/>
        <v>0</v>
      </c>
      <c r="I331" s="24">
        <f t="shared" si="6"/>
        <v>0</v>
      </c>
      <c r="J331" s="24">
        <f t="shared" si="7"/>
        <v>0</v>
      </c>
      <c r="K331" s="24"/>
      <c r="L331" s="24">
        <f t="shared" si="8"/>
        <v>435.1733761</v>
      </c>
      <c r="M331" s="14">
        <f t="shared" si="9"/>
        <v>422.0409333</v>
      </c>
      <c r="N331" s="27">
        <f t="shared" si="10"/>
        <v>13.13244278</v>
      </c>
      <c r="O331" s="24"/>
      <c r="P331" s="24"/>
      <c r="Q331" s="24"/>
      <c r="R331" s="26"/>
      <c r="S331" s="14">
        <f t="shared" si="13"/>
        <v>12.05947142</v>
      </c>
      <c r="U331" s="21"/>
      <c r="V331" s="21"/>
    </row>
    <row r="332">
      <c r="A332" s="11">
        <v>320.0</v>
      </c>
      <c r="B332" s="11">
        <v>1.42078695652173E9</v>
      </c>
      <c r="C332" s="2">
        <v>-102.3864594</v>
      </c>
      <c r="D332" s="24">
        <f t="shared" si="1"/>
        <v>386956.5217</v>
      </c>
      <c r="E332" s="25">
        <f t="shared" si="2"/>
        <v>-82.64665189</v>
      </c>
      <c r="F332" s="24">
        <f t="shared" si="3"/>
        <v>0.0002135812352</v>
      </c>
      <c r="G332" s="24">
        <f t="shared" si="4"/>
        <v>0</v>
      </c>
      <c r="H332" s="26">
        <f t="shared" si="5"/>
        <v>0</v>
      </c>
      <c r="I332" s="24">
        <f t="shared" si="6"/>
        <v>0</v>
      </c>
      <c r="J332" s="24">
        <f t="shared" si="7"/>
        <v>0</v>
      </c>
      <c r="K332" s="24"/>
      <c r="L332" s="24">
        <f t="shared" si="8"/>
        <v>438.9956606</v>
      </c>
      <c r="M332" s="14">
        <f t="shared" si="9"/>
        <v>421.939302</v>
      </c>
      <c r="N332" s="27">
        <f t="shared" si="10"/>
        <v>17.05635861</v>
      </c>
      <c r="O332" s="24"/>
      <c r="P332" s="24"/>
      <c r="Q332" s="24"/>
      <c r="R332" s="26"/>
      <c r="S332" s="14">
        <f t="shared" si="13"/>
        <v>15.66278815</v>
      </c>
      <c r="U332" s="21"/>
      <c r="V332" s="21"/>
    </row>
    <row r="333">
      <c r="A333" s="11">
        <v>321.0</v>
      </c>
      <c r="B333" s="11">
        <v>1.42079130434782E9</v>
      </c>
      <c r="C333" s="2">
        <v>-102.4463882</v>
      </c>
      <c r="D333" s="24">
        <f t="shared" si="1"/>
        <v>391304.3478</v>
      </c>
      <c r="E333" s="25">
        <f t="shared" si="2"/>
        <v>-83.56494802</v>
      </c>
      <c r="F333" s="24">
        <f t="shared" si="3"/>
        <v>0.0002135548672</v>
      </c>
      <c r="G333" s="24">
        <f t="shared" si="4"/>
        <v>0</v>
      </c>
      <c r="H333" s="26">
        <f t="shared" si="5"/>
        <v>0</v>
      </c>
      <c r="I333" s="24">
        <f t="shared" si="6"/>
        <v>0</v>
      </c>
      <c r="J333" s="24">
        <f t="shared" si="7"/>
        <v>0</v>
      </c>
      <c r="K333" s="24"/>
      <c r="L333" s="24">
        <f t="shared" si="8"/>
        <v>432.9795128</v>
      </c>
      <c r="M333" s="14">
        <f t="shared" si="9"/>
        <v>421.8372602</v>
      </c>
      <c r="N333" s="27">
        <f t="shared" si="10"/>
        <v>11.14225258</v>
      </c>
      <c r="O333" s="24"/>
      <c r="P333" s="24"/>
      <c r="Q333" s="24"/>
      <c r="R333" s="26"/>
      <c r="S333" s="14">
        <f t="shared" si="13"/>
        <v>10.23188746</v>
      </c>
      <c r="U333" s="21"/>
      <c r="V333" s="21"/>
    </row>
    <row r="334">
      <c r="A334" s="11">
        <v>322.0</v>
      </c>
      <c r="B334" s="11">
        <v>1.42079565217391E9</v>
      </c>
      <c r="C334" s="2">
        <v>-102.5456314</v>
      </c>
      <c r="D334" s="24">
        <f t="shared" si="1"/>
        <v>395652.1739</v>
      </c>
      <c r="E334" s="25">
        <f t="shared" si="2"/>
        <v>-84.48324416</v>
      </c>
      <c r="F334" s="24">
        <f t="shared" si="3"/>
        <v>0.0002135290786</v>
      </c>
      <c r="G334" s="24">
        <f t="shared" si="4"/>
        <v>0</v>
      </c>
      <c r="H334" s="26">
        <f t="shared" si="5"/>
        <v>0</v>
      </c>
      <c r="I334" s="24">
        <f t="shared" si="6"/>
        <v>0</v>
      </c>
      <c r="J334" s="24">
        <f t="shared" si="7"/>
        <v>0</v>
      </c>
      <c r="K334" s="24"/>
      <c r="L334" s="24">
        <f t="shared" si="8"/>
        <v>423.1974356</v>
      </c>
      <c r="M334" s="14">
        <f t="shared" si="9"/>
        <v>421.7348068</v>
      </c>
      <c r="N334" s="27">
        <f t="shared" si="10"/>
        <v>1.462628798</v>
      </c>
      <c r="O334" s="24"/>
      <c r="P334" s="24"/>
      <c r="Q334" s="24"/>
      <c r="R334" s="26"/>
      <c r="S334" s="14">
        <f t="shared" si="13"/>
        <v>1.343126366</v>
      </c>
      <c r="U334" s="21"/>
      <c r="V334" s="21"/>
    </row>
    <row r="335">
      <c r="A335" s="11">
        <v>323.0</v>
      </c>
      <c r="B335" s="11">
        <v>1.4208E9</v>
      </c>
      <c r="C335" s="2">
        <v>-102.5061035</v>
      </c>
      <c r="D335" s="24">
        <f t="shared" si="1"/>
        <v>400000</v>
      </c>
      <c r="E335" s="25">
        <f t="shared" si="2"/>
        <v>-85.40154029</v>
      </c>
      <c r="F335" s="24">
        <f t="shared" si="3"/>
        <v>0.0002135038507</v>
      </c>
      <c r="G335" s="24">
        <f t="shared" si="4"/>
        <v>0</v>
      </c>
      <c r="H335" s="26">
        <f t="shared" si="5"/>
        <v>0</v>
      </c>
      <c r="I335" s="24">
        <f t="shared" si="6"/>
        <v>0</v>
      </c>
      <c r="J335" s="24">
        <f t="shared" si="7"/>
        <v>0</v>
      </c>
      <c r="K335" s="24"/>
      <c r="L335" s="24">
        <f t="shared" si="8"/>
        <v>427.0668064</v>
      </c>
      <c r="M335" s="14">
        <f t="shared" si="9"/>
        <v>421.6319409</v>
      </c>
      <c r="N335" s="27">
        <f t="shared" si="10"/>
        <v>5.434865488</v>
      </c>
      <c r="O335" s="24"/>
      <c r="P335" s="24"/>
      <c r="Q335" s="24"/>
      <c r="R335" s="26"/>
      <c r="S335" s="14">
        <f t="shared" si="13"/>
        <v>4.99081596</v>
      </c>
      <c r="U335" s="21"/>
      <c r="V335" s="21"/>
    </row>
    <row r="336">
      <c r="A336" s="11">
        <v>324.0</v>
      </c>
      <c r="B336" s="11">
        <v>1.42080434782608E9</v>
      </c>
      <c r="C336" s="2">
        <v>-102.5127487</v>
      </c>
      <c r="D336" s="24">
        <f t="shared" si="1"/>
        <v>404347.8261</v>
      </c>
      <c r="E336" s="25">
        <f t="shared" si="2"/>
        <v>-86.31983642</v>
      </c>
      <c r="F336" s="24">
        <f t="shared" si="3"/>
        <v>0.0002134791653</v>
      </c>
      <c r="G336" s="24">
        <f t="shared" si="4"/>
        <v>0</v>
      </c>
      <c r="H336" s="26">
        <f t="shared" si="5"/>
        <v>0</v>
      </c>
      <c r="I336" s="24">
        <f t="shared" si="6"/>
        <v>0</v>
      </c>
      <c r="J336" s="24">
        <f t="shared" si="7"/>
        <v>0</v>
      </c>
      <c r="K336" s="24"/>
      <c r="L336" s="24">
        <f t="shared" si="8"/>
        <v>426.4138453</v>
      </c>
      <c r="M336" s="14">
        <f t="shared" si="9"/>
        <v>421.5286616</v>
      </c>
      <c r="N336" s="27">
        <f t="shared" si="10"/>
        <v>4.885183638</v>
      </c>
      <c r="O336" s="24"/>
      <c r="P336" s="24"/>
      <c r="Q336" s="24"/>
      <c r="R336" s="26"/>
      <c r="S336" s="14">
        <f t="shared" si="13"/>
        <v>4.486045242</v>
      </c>
      <c r="U336" s="21"/>
      <c r="V336" s="21"/>
    </row>
    <row r="337">
      <c r="A337" s="11">
        <v>325.0</v>
      </c>
      <c r="B337" s="11">
        <v>1.42080869565217E9</v>
      </c>
      <c r="C337" s="2">
        <v>-102.5511932</v>
      </c>
      <c r="D337" s="24">
        <f t="shared" si="1"/>
        <v>408695.6522</v>
      </c>
      <c r="E337" s="25">
        <f t="shared" si="2"/>
        <v>-87.23813255</v>
      </c>
      <c r="F337" s="24">
        <f t="shared" si="3"/>
        <v>0.0002134550052</v>
      </c>
      <c r="G337" s="24">
        <f t="shared" si="4"/>
        <v>0</v>
      </c>
      <c r="H337" s="26">
        <f t="shared" si="5"/>
        <v>0</v>
      </c>
      <c r="I337" s="24">
        <f t="shared" si="6"/>
        <v>0</v>
      </c>
      <c r="J337" s="24">
        <f t="shared" si="7"/>
        <v>0</v>
      </c>
      <c r="K337" s="24"/>
      <c r="L337" s="24">
        <f t="shared" si="8"/>
        <v>422.6558139</v>
      </c>
      <c r="M337" s="14">
        <f t="shared" si="9"/>
        <v>421.4249679</v>
      </c>
      <c r="N337" s="27">
        <f t="shared" si="10"/>
        <v>1.230846</v>
      </c>
      <c r="O337" s="24"/>
      <c r="P337" s="24"/>
      <c r="Q337" s="24"/>
      <c r="R337" s="26"/>
      <c r="S337" s="14">
        <f t="shared" si="13"/>
        <v>1.130281119</v>
      </c>
      <c r="U337" s="21"/>
      <c r="V337" s="21"/>
    </row>
    <row r="338">
      <c r="A338" s="11">
        <v>326.0</v>
      </c>
      <c r="B338" s="11">
        <v>1.42081304347826E9</v>
      </c>
      <c r="C338" s="2">
        <v>-102.5415955</v>
      </c>
      <c r="D338" s="24">
        <f t="shared" si="1"/>
        <v>413043.4783</v>
      </c>
      <c r="E338" s="25">
        <f t="shared" si="2"/>
        <v>-88.15642868</v>
      </c>
      <c r="F338" s="24">
        <f t="shared" si="3"/>
        <v>0.0002134313537</v>
      </c>
      <c r="G338" s="24">
        <f t="shared" si="4"/>
        <v>0</v>
      </c>
      <c r="H338" s="26">
        <f t="shared" si="5"/>
        <v>0</v>
      </c>
      <c r="I338" s="24">
        <f t="shared" si="6"/>
        <v>0</v>
      </c>
      <c r="J338" s="24">
        <f t="shared" si="7"/>
        <v>0</v>
      </c>
      <c r="K338" s="24"/>
      <c r="L338" s="24">
        <f t="shared" si="8"/>
        <v>423.5908959</v>
      </c>
      <c r="M338" s="14">
        <f t="shared" si="9"/>
        <v>421.3208589</v>
      </c>
      <c r="N338" s="27">
        <f t="shared" si="10"/>
        <v>2.270036991</v>
      </c>
      <c r="O338" s="24"/>
      <c r="P338" s="24"/>
      <c r="Q338" s="24"/>
      <c r="R338" s="26"/>
      <c r="S338" s="14">
        <f t="shared" si="13"/>
        <v>2.08456619</v>
      </c>
      <c r="U338" s="21"/>
      <c r="V338" s="21"/>
    </row>
    <row r="339">
      <c r="A339" s="11">
        <v>327.0</v>
      </c>
      <c r="B339" s="11">
        <v>1.42081739130434E9</v>
      </c>
      <c r="C339" s="2">
        <v>-102.5537033</v>
      </c>
      <c r="D339" s="24">
        <f t="shared" si="1"/>
        <v>417391.3043</v>
      </c>
      <c r="E339" s="25">
        <f t="shared" si="2"/>
        <v>-89.07472482</v>
      </c>
      <c r="F339" s="24">
        <f t="shared" si="3"/>
        <v>0.0002134081949</v>
      </c>
      <c r="G339" s="24">
        <f t="shared" si="4"/>
        <v>0</v>
      </c>
      <c r="H339" s="26">
        <f t="shared" si="5"/>
        <v>0</v>
      </c>
      <c r="I339" s="24">
        <f t="shared" si="6"/>
        <v>0</v>
      </c>
      <c r="J339" s="24">
        <f t="shared" si="7"/>
        <v>0</v>
      </c>
      <c r="K339" s="24"/>
      <c r="L339" s="24">
        <f t="shared" si="8"/>
        <v>422.4116013</v>
      </c>
      <c r="M339" s="14">
        <f t="shared" si="9"/>
        <v>421.2163336</v>
      </c>
      <c r="N339" s="27">
        <f t="shared" si="10"/>
        <v>1.195267749</v>
      </c>
      <c r="O339" s="24"/>
      <c r="P339" s="24"/>
      <c r="Q339" s="24"/>
      <c r="R339" s="26"/>
      <c r="S339" s="14">
        <f t="shared" si="13"/>
        <v>1.097609751</v>
      </c>
      <c r="U339" s="21"/>
      <c r="V339" s="21"/>
    </row>
    <row r="340">
      <c r="A340" s="11">
        <v>328.0</v>
      </c>
      <c r="B340" s="11">
        <v>1.42082173913043E9</v>
      </c>
      <c r="C340" s="2">
        <v>-102.5438385</v>
      </c>
      <c r="D340" s="24">
        <f t="shared" si="1"/>
        <v>421739.1304</v>
      </c>
      <c r="E340" s="25">
        <f t="shared" si="2"/>
        <v>-89.99302095</v>
      </c>
      <c r="F340" s="24">
        <f t="shared" si="3"/>
        <v>0.0002133855136</v>
      </c>
      <c r="G340" s="24">
        <f t="shared" si="4"/>
        <v>0</v>
      </c>
      <c r="H340" s="26">
        <f t="shared" si="5"/>
        <v>0</v>
      </c>
      <c r="I340" s="24">
        <f t="shared" si="6"/>
        <v>0</v>
      </c>
      <c r="J340" s="24">
        <f t="shared" si="7"/>
        <v>0</v>
      </c>
      <c r="K340" s="24"/>
      <c r="L340" s="24">
        <f t="shared" si="8"/>
        <v>423.3721805</v>
      </c>
      <c r="M340" s="14">
        <f t="shared" si="9"/>
        <v>421.111391</v>
      </c>
      <c r="N340" s="27">
        <f t="shared" si="10"/>
        <v>2.260789434</v>
      </c>
      <c r="O340" s="24"/>
      <c r="P340" s="24"/>
      <c r="Q340" s="24"/>
      <c r="R340" s="26"/>
      <c r="S340" s="14">
        <f t="shared" si="13"/>
        <v>2.07607419</v>
      </c>
      <c r="U340" s="21"/>
      <c r="V340" s="21"/>
    </row>
    <row r="341">
      <c r="A341" s="11">
        <v>329.0</v>
      </c>
      <c r="B341" s="11">
        <v>1.42082608695652E9</v>
      </c>
      <c r="C341" s="2">
        <v>-102.5200806</v>
      </c>
      <c r="D341" s="24">
        <f t="shared" si="1"/>
        <v>426086.9565</v>
      </c>
      <c r="E341" s="25">
        <f t="shared" si="2"/>
        <v>-90.91131708</v>
      </c>
      <c r="F341" s="24">
        <f t="shared" si="3"/>
        <v>0.0002133632952</v>
      </c>
      <c r="G341" s="24">
        <f t="shared" si="4"/>
        <v>0</v>
      </c>
      <c r="H341" s="26">
        <f t="shared" si="5"/>
        <v>0</v>
      </c>
      <c r="I341" s="24">
        <f t="shared" si="6"/>
        <v>0</v>
      </c>
      <c r="J341" s="24">
        <f t="shared" si="7"/>
        <v>0</v>
      </c>
      <c r="K341" s="24"/>
      <c r="L341" s="24">
        <f t="shared" si="8"/>
        <v>425.6945669</v>
      </c>
      <c r="M341" s="14">
        <f t="shared" si="9"/>
        <v>421.0060303</v>
      </c>
      <c r="N341" s="27">
        <f t="shared" si="10"/>
        <v>4.688536661</v>
      </c>
      <c r="O341" s="24"/>
      <c r="P341" s="24"/>
      <c r="Q341" s="24"/>
      <c r="R341" s="26"/>
      <c r="S341" s="14">
        <f t="shared" si="13"/>
        <v>4.305465084</v>
      </c>
      <c r="U341" s="21"/>
      <c r="V341" s="21"/>
    </row>
    <row r="342">
      <c r="A342" s="11">
        <v>330.0</v>
      </c>
      <c r="B342" s="11">
        <v>1.4208304347826E9</v>
      </c>
      <c r="C342" s="2">
        <v>-102.5664139</v>
      </c>
      <c r="D342" s="24">
        <f t="shared" si="1"/>
        <v>430434.7826</v>
      </c>
      <c r="E342" s="25">
        <f t="shared" si="2"/>
        <v>-91.82961321</v>
      </c>
      <c r="F342" s="24">
        <f t="shared" si="3"/>
        <v>0.0002133415256</v>
      </c>
      <c r="G342" s="24">
        <f t="shared" si="4"/>
        <v>0</v>
      </c>
      <c r="H342" s="26">
        <f t="shared" si="5"/>
        <v>0</v>
      </c>
      <c r="I342" s="24">
        <f t="shared" si="6"/>
        <v>0</v>
      </c>
      <c r="J342" s="24">
        <f t="shared" si="7"/>
        <v>0</v>
      </c>
      <c r="K342" s="24"/>
      <c r="L342" s="24">
        <f t="shared" si="8"/>
        <v>421.1771266</v>
      </c>
      <c r="M342" s="14">
        <f t="shared" si="9"/>
        <v>420.9002504</v>
      </c>
      <c r="N342" s="27">
        <f t="shared" si="10"/>
        <v>0.2768762457</v>
      </c>
      <c r="O342" s="24"/>
      <c r="P342" s="24"/>
      <c r="Q342" s="24"/>
      <c r="R342" s="26"/>
      <c r="S342" s="14">
        <f t="shared" si="13"/>
        <v>0.2542543857</v>
      </c>
      <c r="U342" s="21"/>
      <c r="V342" s="21"/>
    </row>
    <row r="343">
      <c r="A343" s="11">
        <v>331.0</v>
      </c>
      <c r="B343" s="11">
        <v>1.42083478260869E9</v>
      </c>
      <c r="C343" s="2">
        <v>-102.598938</v>
      </c>
      <c r="D343" s="24">
        <f t="shared" si="1"/>
        <v>434782.6087</v>
      </c>
      <c r="E343" s="25">
        <f t="shared" si="2"/>
        <v>-92.74790935</v>
      </c>
      <c r="F343" s="24">
        <f t="shared" si="3"/>
        <v>0.0002133201915</v>
      </c>
      <c r="G343" s="24">
        <f t="shared" si="4"/>
        <v>0</v>
      </c>
      <c r="H343" s="26">
        <f t="shared" si="5"/>
        <v>0</v>
      </c>
      <c r="I343" s="24">
        <f t="shared" si="6"/>
        <v>0</v>
      </c>
      <c r="J343" s="24">
        <f t="shared" si="7"/>
        <v>0</v>
      </c>
      <c r="K343" s="24"/>
      <c r="L343" s="24">
        <f t="shared" si="8"/>
        <v>418.0347331</v>
      </c>
      <c r="M343" s="14">
        <f t="shared" si="9"/>
        <v>420.7940504</v>
      </c>
      <c r="N343" s="27">
        <f t="shared" si="10"/>
        <v>-2.759317219</v>
      </c>
      <c r="O343" s="24"/>
      <c r="P343" s="24"/>
      <c r="Q343" s="24"/>
      <c r="R343" s="26"/>
      <c r="S343" s="14">
        <f t="shared" si="13"/>
        <v>-2.533870331</v>
      </c>
      <c r="U343" s="21"/>
      <c r="V343" s="21"/>
    </row>
    <row r="344">
      <c r="A344" s="11">
        <v>332.0</v>
      </c>
      <c r="B344" s="11">
        <v>1.42083913043478E9</v>
      </c>
      <c r="C344" s="2">
        <v>-102.5930939</v>
      </c>
      <c r="D344" s="24">
        <f t="shared" si="1"/>
        <v>439130.4348</v>
      </c>
      <c r="E344" s="25">
        <f t="shared" si="2"/>
        <v>-93.66620548</v>
      </c>
      <c r="F344" s="24">
        <f t="shared" si="3"/>
        <v>0.0002132992798</v>
      </c>
      <c r="G344" s="24">
        <f t="shared" si="4"/>
        <v>0</v>
      </c>
      <c r="H344" s="26">
        <f t="shared" si="5"/>
        <v>0</v>
      </c>
      <c r="I344" s="24">
        <f t="shared" si="6"/>
        <v>0</v>
      </c>
      <c r="J344" s="24">
        <f t="shared" si="7"/>
        <v>0</v>
      </c>
      <c r="K344" s="24"/>
      <c r="L344" s="24">
        <f t="shared" si="8"/>
        <v>418.5976418</v>
      </c>
      <c r="M344" s="14">
        <f t="shared" si="9"/>
        <v>420.6874293</v>
      </c>
      <c r="N344" s="27">
        <f t="shared" si="10"/>
        <v>-2.089787496</v>
      </c>
      <c r="O344" s="24"/>
      <c r="P344" s="24"/>
      <c r="Q344" s="24"/>
      <c r="R344" s="26"/>
      <c r="S344" s="14">
        <f t="shared" si="13"/>
        <v>-1.919043772</v>
      </c>
      <c r="U344" s="21"/>
      <c r="V344" s="21"/>
    </row>
    <row r="345">
      <c r="A345" s="11">
        <v>333.0</v>
      </c>
      <c r="B345" s="11">
        <v>1.42084347826087E9</v>
      </c>
      <c r="C345" s="2">
        <v>-102.5524902</v>
      </c>
      <c r="D345" s="24">
        <f t="shared" si="1"/>
        <v>443478.2609</v>
      </c>
      <c r="E345" s="25">
        <f t="shared" si="2"/>
        <v>-94.58450161</v>
      </c>
      <c r="F345" s="24">
        <f t="shared" si="3"/>
        <v>0.0002132787781</v>
      </c>
      <c r="G345" s="24">
        <f t="shared" si="4"/>
        <v>0</v>
      </c>
      <c r="H345" s="26">
        <f t="shared" si="5"/>
        <v>0</v>
      </c>
      <c r="I345" s="24">
        <f t="shared" si="6"/>
        <v>0</v>
      </c>
      <c r="J345" s="24">
        <f t="shared" si="7"/>
        <v>0</v>
      </c>
      <c r="K345" s="24"/>
      <c r="L345" s="24">
        <f t="shared" si="8"/>
        <v>422.5296086</v>
      </c>
      <c r="M345" s="14">
        <f t="shared" si="9"/>
        <v>420.5803862</v>
      </c>
      <c r="N345" s="27">
        <f t="shared" si="10"/>
        <v>1.949222377</v>
      </c>
      <c r="O345" s="24"/>
      <c r="P345" s="24"/>
      <c r="Q345" s="24"/>
      <c r="R345" s="26"/>
      <c r="S345" s="14">
        <f t="shared" si="13"/>
        <v>1.789963371</v>
      </c>
      <c r="U345" s="21"/>
      <c r="V345" s="21"/>
    </row>
    <row r="346">
      <c r="A346" s="11">
        <v>334.0</v>
      </c>
      <c r="B346" s="11">
        <v>1.42084782608695E9</v>
      </c>
      <c r="C346" s="2">
        <v>-102.567337</v>
      </c>
      <c r="D346" s="24">
        <f t="shared" si="1"/>
        <v>447826.087</v>
      </c>
      <c r="E346" s="25">
        <f t="shared" si="2"/>
        <v>-95.50279774</v>
      </c>
      <c r="F346" s="24">
        <f t="shared" si="3"/>
        <v>0.0002132586746</v>
      </c>
      <c r="G346" s="24">
        <f t="shared" si="4"/>
        <v>0</v>
      </c>
      <c r="H346" s="26">
        <f t="shared" si="5"/>
        <v>0</v>
      </c>
      <c r="I346" s="24">
        <f t="shared" si="6"/>
        <v>0</v>
      </c>
      <c r="J346" s="24">
        <f t="shared" si="7"/>
        <v>0</v>
      </c>
      <c r="K346" s="24"/>
      <c r="L346" s="24">
        <f t="shared" si="8"/>
        <v>421.0876142</v>
      </c>
      <c r="M346" s="14">
        <f t="shared" si="9"/>
        <v>420.4729202</v>
      </c>
      <c r="N346" s="27">
        <f t="shared" si="10"/>
        <v>0.6146940264</v>
      </c>
      <c r="O346" s="24"/>
      <c r="P346" s="24"/>
      <c r="Q346" s="24"/>
      <c r="R346" s="26"/>
      <c r="S346" s="14">
        <f t="shared" si="13"/>
        <v>0.5644711473</v>
      </c>
      <c r="U346" s="21"/>
      <c r="V346" s="21"/>
    </row>
    <row r="347">
      <c r="A347" s="11">
        <v>335.0</v>
      </c>
      <c r="B347" s="11">
        <v>1.42085217391304E9</v>
      </c>
      <c r="C347" s="2">
        <v>-102.6163025</v>
      </c>
      <c r="D347" s="24">
        <f t="shared" si="1"/>
        <v>452173.913</v>
      </c>
      <c r="E347" s="25">
        <f t="shared" si="2"/>
        <v>-96.42109387</v>
      </c>
      <c r="F347" s="24">
        <f t="shared" si="3"/>
        <v>0.0002132389576</v>
      </c>
      <c r="G347" s="24">
        <f t="shared" si="4"/>
        <v>0</v>
      </c>
      <c r="H347" s="26">
        <f t="shared" si="5"/>
        <v>0</v>
      </c>
      <c r="I347" s="24">
        <f t="shared" si="6"/>
        <v>0</v>
      </c>
      <c r="J347" s="24">
        <f t="shared" si="7"/>
        <v>0</v>
      </c>
      <c r="K347" s="24"/>
      <c r="L347" s="24">
        <f t="shared" si="8"/>
        <v>416.3666319</v>
      </c>
      <c r="M347" s="14">
        <f t="shared" si="9"/>
        <v>420.3650303</v>
      </c>
      <c r="N347" s="27">
        <f t="shared" si="10"/>
        <v>-3.99839837</v>
      </c>
      <c r="O347" s="24"/>
      <c r="P347" s="24"/>
      <c r="Q347" s="24"/>
      <c r="R347" s="26"/>
      <c r="S347" s="14">
        <f t="shared" si="13"/>
        <v>-3.671713752</v>
      </c>
      <c r="U347" s="21"/>
      <c r="V347" s="21"/>
    </row>
    <row r="348">
      <c r="A348" s="11">
        <v>336.0</v>
      </c>
      <c r="B348" s="11">
        <v>1.42085652173913E9</v>
      </c>
      <c r="C348" s="2">
        <v>-102.5903244</v>
      </c>
      <c r="D348" s="24">
        <f t="shared" si="1"/>
        <v>456521.7391</v>
      </c>
      <c r="E348" s="25">
        <f t="shared" si="2"/>
        <v>-97.33939</v>
      </c>
      <c r="F348" s="24">
        <f t="shared" si="3"/>
        <v>0.0002132196162</v>
      </c>
      <c r="G348" s="24">
        <f t="shared" si="4"/>
        <v>0</v>
      </c>
      <c r="H348" s="26">
        <f t="shared" si="5"/>
        <v>0</v>
      </c>
      <c r="I348" s="24">
        <f t="shared" si="6"/>
        <v>0</v>
      </c>
      <c r="J348" s="24">
        <f t="shared" si="7"/>
        <v>0</v>
      </c>
      <c r="K348" s="24"/>
      <c r="L348" s="24">
        <f t="shared" si="8"/>
        <v>418.864667</v>
      </c>
      <c r="M348" s="14">
        <f t="shared" si="9"/>
        <v>420.2567155</v>
      </c>
      <c r="N348" s="27">
        <f t="shared" si="10"/>
        <v>-1.392048437</v>
      </c>
      <c r="O348" s="24"/>
      <c r="P348" s="24"/>
      <c r="Q348" s="24"/>
      <c r="R348" s="26"/>
      <c r="S348" s="14">
        <f t="shared" si="13"/>
        <v>-1.278312697</v>
      </c>
      <c r="U348" s="21"/>
      <c r="V348" s="21"/>
    </row>
    <row r="349">
      <c r="A349" s="11">
        <v>337.0</v>
      </c>
      <c r="B349" s="11">
        <v>1.42086086956521E9</v>
      </c>
      <c r="C349" s="2">
        <v>-102.5567703</v>
      </c>
      <c r="D349" s="24">
        <f t="shared" si="1"/>
        <v>460869.5652</v>
      </c>
      <c r="E349" s="25">
        <f t="shared" si="2"/>
        <v>-98.25768614</v>
      </c>
      <c r="F349" s="24">
        <f t="shared" si="3"/>
        <v>0.0002132006397</v>
      </c>
      <c r="G349" s="24">
        <f t="shared" si="4"/>
        <v>0</v>
      </c>
      <c r="H349" s="26">
        <f t="shared" si="5"/>
        <v>0</v>
      </c>
      <c r="I349" s="24">
        <f t="shared" si="6"/>
        <v>0</v>
      </c>
      <c r="J349" s="24">
        <f t="shared" si="7"/>
        <v>0</v>
      </c>
      <c r="K349" s="24"/>
      <c r="L349" s="24">
        <f t="shared" si="8"/>
        <v>422.1133984</v>
      </c>
      <c r="M349" s="14">
        <f t="shared" si="9"/>
        <v>420.1479749</v>
      </c>
      <c r="N349" s="27">
        <f t="shared" si="10"/>
        <v>1.965423498</v>
      </c>
      <c r="O349" s="24"/>
      <c r="P349" s="24"/>
      <c r="Q349" s="24"/>
      <c r="R349" s="26"/>
      <c r="S349" s="14">
        <f t="shared" si="13"/>
        <v>1.804840797</v>
      </c>
      <c r="U349" s="21"/>
      <c r="V349" s="21"/>
    </row>
    <row r="350">
      <c r="A350" s="11">
        <v>338.0</v>
      </c>
      <c r="B350" s="11">
        <v>1.4208652173913E9</v>
      </c>
      <c r="C350" s="2">
        <v>-102.6055298</v>
      </c>
      <c r="D350" s="24">
        <f t="shared" si="1"/>
        <v>465217.3913</v>
      </c>
      <c r="E350" s="25">
        <f t="shared" si="2"/>
        <v>-99.17598227</v>
      </c>
      <c r="F350" s="24">
        <f t="shared" si="3"/>
        <v>0.000213182018</v>
      </c>
      <c r="G350" s="24">
        <f t="shared" si="4"/>
        <v>0</v>
      </c>
      <c r="H350" s="26">
        <f t="shared" si="5"/>
        <v>0</v>
      </c>
      <c r="I350" s="24">
        <f t="shared" si="6"/>
        <v>0</v>
      </c>
      <c r="J350" s="24">
        <f t="shared" si="7"/>
        <v>0</v>
      </c>
      <c r="K350" s="24"/>
      <c r="L350" s="24">
        <f t="shared" si="8"/>
        <v>417.4007138</v>
      </c>
      <c r="M350" s="14">
        <f t="shared" si="9"/>
        <v>420.0388075</v>
      </c>
      <c r="N350" s="27">
        <f t="shared" si="10"/>
        <v>-2.638093726</v>
      </c>
      <c r="O350" s="24"/>
      <c r="P350" s="24"/>
      <c r="Q350" s="24"/>
      <c r="R350" s="26"/>
      <c r="S350" s="14">
        <f t="shared" si="13"/>
        <v>-2.422551261</v>
      </c>
      <c r="U350" s="21"/>
      <c r="V350" s="21"/>
    </row>
    <row r="351">
      <c r="A351" s="11">
        <v>339.0</v>
      </c>
      <c r="B351" s="11">
        <v>1.42086956521739E9</v>
      </c>
      <c r="C351" s="2">
        <v>-102.6308136</v>
      </c>
      <c r="D351" s="24">
        <f t="shared" si="1"/>
        <v>469565.2174</v>
      </c>
      <c r="E351" s="25">
        <f t="shared" si="2"/>
        <v>-100.0942784</v>
      </c>
      <c r="F351" s="24">
        <f t="shared" si="3"/>
        <v>0.000213163741</v>
      </c>
      <c r="G351" s="24">
        <f t="shared" si="4"/>
        <v>0</v>
      </c>
      <c r="H351" s="26">
        <f t="shared" si="5"/>
        <v>0</v>
      </c>
      <c r="I351" s="24">
        <f t="shared" si="6"/>
        <v>0</v>
      </c>
      <c r="J351" s="24">
        <f t="shared" si="7"/>
        <v>0</v>
      </c>
      <c r="K351" s="24"/>
      <c r="L351" s="24">
        <f t="shared" si="8"/>
        <v>414.9777459</v>
      </c>
      <c r="M351" s="14">
        <f t="shared" si="9"/>
        <v>419.9292124</v>
      </c>
      <c r="N351" s="27">
        <f t="shared" si="10"/>
        <v>-4.951466443</v>
      </c>
      <c r="O351" s="24"/>
      <c r="P351" s="24"/>
      <c r="Q351" s="24"/>
      <c r="R351" s="26"/>
      <c r="S351" s="14">
        <f t="shared" si="13"/>
        <v>-4.546912486</v>
      </c>
      <c r="U351" s="21"/>
      <c r="V351" s="21"/>
    </row>
    <row r="352">
      <c r="A352" s="11">
        <v>340.0</v>
      </c>
      <c r="B352" s="11">
        <v>1.42087391304347E9</v>
      </c>
      <c r="C352" s="2">
        <v>-102.61483</v>
      </c>
      <c r="D352" s="24">
        <f t="shared" si="1"/>
        <v>473913.0435</v>
      </c>
      <c r="E352" s="25">
        <f t="shared" si="2"/>
        <v>-101.0125745</v>
      </c>
      <c r="F352" s="24">
        <f t="shared" si="3"/>
        <v>0.0002131457995</v>
      </c>
      <c r="G352" s="24">
        <f t="shared" si="4"/>
        <v>0</v>
      </c>
      <c r="H352" s="26">
        <f t="shared" si="5"/>
        <v>0</v>
      </c>
      <c r="I352" s="24">
        <f t="shared" si="6"/>
        <v>0</v>
      </c>
      <c r="J352" s="24">
        <f t="shared" si="7"/>
        <v>0</v>
      </c>
      <c r="K352" s="24"/>
      <c r="L352" s="24">
        <f t="shared" si="8"/>
        <v>416.5078273</v>
      </c>
      <c r="M352" s="14">
        <f t="shared" si="9"/>
        <v>419.8191886</v>
      </c>
      <c r="N352" s="27">
        <f t="shared" si="10"/>
        <v>-3.311361312</v>
      </c>
      <c r="O352" s="24"/>
      <c r="P352" s="24"/>
      <c r="Q352" s="24"/>
      <c r="R352" s="26"/>
      <c r="S352" s="14">
        <f t="shared" si="13"/>
        <v>-3.040810287</v>
      </c>
      <c r="U352" s="21"/>
      <c r="V352" s="21"/>
    </row>
    <row r="353">
      <c r="A353" s="11">
        <v>341.0</v>
      </c>
      <c r="B353" s="11">
        <v>1.42087826086956E9</v>
      </c>
      <c r="C353" s="2">
        <v>-102.6096573</v>
      </c>
      <c r="D353" s="24">
        <f t="shared" si="1"/>
        <v>478260.8696</v>
      </c>
      <c r="E353" s="25">
        <f t="shared" si="2"/>
        <v>-101.9308707</v>
      </c>
      <c r="F353" s="24">
        <f t="shared" si="3"/>
        <v>0.0002131281841</v>
      </c>
      <c r="G353" s="24">
        <f t="shared" si="4"/>
        <v>0</v>
      </c>
      <c r="H353" s="26">
        <f t="shared" si="5"/>
        <v>0</v>
      </c>
      <c r="I353" s="24">
        <f t="shared" si="6"/>
        <v>0</v>
      </c>
      <c r="J353" s="24">
        <f t="shared" si="7"/>
        <v>0</v>
      </c>
      <c r="K353" s="24"/>
      <c r="L353" s="24">
        <f t="shared" si="8"/>
        <v>417.0042079</v>
      </c>
      <c r="M353" s="14">
        <f t="shared" si="9"/>
        <v>419.7087352</v>
      </c>
      <c r="N353" s="27">
        <f t="shared" si="10"/>
        <v>-2.704527304</v>
      </c>
      <c r="O353" s="24"/>
      <c r="P353" s="24"/>
      <c r="Q353" s="24"/>
      <c r="R353" s="26"/>
      <c r="S353" s="14">
        <f t="shared" si="13"/>
        <v>-2.483556958</v>
      </c>
      <c r="U353" s="21"/>
      <c r="V353" s="21"/>
    </row>
    <row r="354">
      <c r="A354" s="11">
        <v>342.0</v>
      </c>
      <c r="B354" s="11">
        <v>1.42088260869565E9</v>
      </c>
      <c r="C354" s="2">
        <v>-102.5807648</v>
      </c>
      <c r="D354" s="24">
        <f t="shared" si="1"/>
        <v>482608.6957</v>
      </c>
      <c r="E354" s="25">
        <f t="shared" si="2"/>
        <v>-102.8491668</v>
      </c>
      <c r="F354" s="24">
        <f t="shared" si="3"/>
        <v>0.0002131108862</v>
      </c>
      <c r="G354" s="24">
        <f t="shared" si="4"/>
        <v>0</v>
      </c>
      <c r="H354" s="26">
        <f t="shared" si="5"/>
        <v>0</v>
      </c>
      <c r="I354" s="24">
        <f t="shared" si="6"/>
        <v>0</v>
      </c>
      <c r="J354" s="24">
        <f t="shared" si="7"/>
        <v>0</v>
      </c>
      <c r="K354" s="24"/>
      <c r="L354" s="24">
        <f t="shared" si="8"/>
        <v>419.7876787</v>
      </c>
      <c r="M354" s="14">
        <f t="shared" si="9"/>
        <v>419.5978512</v>
      </c>
      <c r="N354" s="27">
        <f t="shared" si="10"/>
        <v>0.1898274998</v>
      </c>
      <c r="O354" s="24"/>
      <c r="P354" s="24"/>
      <c r="Q354" s="24"/>
      <c r="R354" s="26"/>
      <c r="S354" s="14">
        <f t="shared" si="13"/>
        <v>0.174317859</v>
      </c>
      <c r="U354" s="21"/>
      <c r="V354" s="21"/>
    </row>
    <row r="355">
      <c r="A355" s="11">
        <v>343.0</v>
      </c>
      <c r="B355" s="11">
        <v>1.42088695652173E9</v>
      </c>
      <c r="C355" s="2">
        <v>-102.6223831</v>
      </c>
      <c r="D355" s="24">
        <f t="shared" si="1"/>
        <v>486956.5217</v>
      </c>
      <c r="E355" s="25">
        <f t="shared" si="2"/>
        <v>-103.7674629</v>
      </c>
      <c r="F355" s="24">
        <f t="shared" si="3"/>
        <v>0.0002130938971</v>
      </c>
      <c r="G355" s="24">
        <f t="shared" si="4"/>
        <v>0</v>
      </c>
      <c r="H355" s="26">
        <f t="shared" si="5"/>
        <v>0</v>
      </c>
      <c r="I355" s="24">
        <f t="shared" si="6"/>
        <v>0</v>
      </c>
      <c r="J355" s="24">
        <f t="shared" si="7"/>
        <v>0</v>
      </c>
      <c r="K355" s="24"/>
      <c r="L355" s="24">
        <f t="shared" si="8"/>
        <v>415.7840808</v>
      </c>
      <c r="M355" s="14">
        <f t="shared" si="9"/>
        <v>419.4865357</v>
      </c>
      <c r="N355" s="27">
        <f t="shared" si="10"/>
        <v>-3.702454953</v>
      </c>
      <c r="O355" s="24"/>
      <c r="P355" s="24"/>
      <c r="Q355" s="24"/>
      <c r="R355" s="26"/>
      <c r="S355" s="14">
        <f t="shared" si="13"/>
        <v>-3.399950065</v>
      </c>
      <c r="U355" s="21"/>
      <c r="V355" s="21"/>
    </row>
    <row r="356">
      <c r="A356" s="11">
        <v>344.0</v>
      </c>
      <c r="B356" s="11">
        <v>1.42089130434782E9</v>
      </c>
      <c r="C356" s="2">
        <v>-102.6256561</v>
      </c>
      <c r="D356" s="24">
        <f t="shared" si="1"/>
        <v>491304.3478</v>
      </c>
      <c r="E356" s="25">
        <f t="shared" si="2"/>
        <v>-104.6857591</v>
      </c>
      <c r="F356" s="24">
        <f t="shared" si="3"/>
        <v>0.0002130772087</v>
      </c>
      <c r="G356" s="24">
        <f t="shared" si="4"/>
        <v>0</v>
      </c>
      <c r="H356" s="26">
        <f t="shared" si="5"/>
        <v>0</v>
      </c>
      <c r="I356" s="24">
        <f t="shared" si="6"/>
        <v>0</v>
      </c>
      <c r="J356" s="24">
        <f t="shared" si="7"/>
        <v>0</v>
      </c>
      <c r="K356" s="24"/>
      <c r="L356" s="24">
        <f t="shared" si="8"/>
        <v>415.4708489</v>
      </c>
      <c r="M356" s="14">
        <f t="shared" si="9"/>
        <v>419.3747877</v>
      </c>
      <c r="N356" s="27">
        <f t="shared" si="10"/>
        <v>-3.90393881</v>
      </c>
      <c r="O356" s="24"/>
      <c r="P356" s="24"/>
      <c r="Q356" s="24"/>
      <c r="R356" s="26"/>
      <c r="S356" s="14">
        <f t="shared" si="13"/>
        <v>-3.584971912</v>
      </c>
      <c r="U356" s="21"/>
      <c r="V356" s="21"/>
    </row>
    <row r="357">
      <c r="A357" s="11">
        <v>345.0</v>
      </c>
      <c r="B357" s="11">
        <v>1.42089565217391E9</v>
      </c>
      <c r="C357" s="2">
        <v>-102.6404877</v>
      </c>
      <c r="D357" s="24">
        <f t="shared" si="1"/>
        <v>495652.1739</v>
      </c>
      <c r="E357" s="25">
        <f t="shared" si="2"/>
        <v>-105.6040552</v>
      </c>
      <c r="F357" s="24">
        <f t="shared" si="3"/>
        <v>0.0002130608131</v>
      </c>
      <c r="G357" s="24">
        <f t="shared" si="4"/>
        <v>0</v>
      </c>
      <c r="H357" s="26">
        <f t="shared" si="5"/>
        <v>0</v>
      </c>
      <c r="I357" s="24">
        <f t="shared" si="6"/>
        <v>0</v>
      </c>
      <c r="J357" s="24">
        <f t="shared" si="7"/>
        <v>0</v>
      </c>
      <c r="K357" s="24"/>
      <c r="L357" s="24">
        <f t="shared" si="8"/>
        <v>414.0543936</v>
      </c>
      <c r="M357" s="14">
        <f t="shared" si="9"/>
        <v>419.2626063</v>
      </c>
      <c r="N357" s="27">
        <f t="shared" si="10"/>
        <v>-5.20821271</v>
      </c>
      <c r="O357" s="24"/>
      <c r="P357" s="24"/>
      <c r="Q357" s="24"/>
      <c r="R357" s="26"/>
      <c r="S357" s="14">
        <f t="shared" si="13"/>
        <v>-4.782681579</v>
      </c>
      <c r="U357" s="21"/>
      <c r="V357" s="21"/>
    </row>
    <row r="358">
      <c r="A358" s="11">
        <v>346.0</v>
      </c>
      <c r="B358" s="11">
        <v>1.4209E9</v>
      </c>
      <c r="C358" s="2">
        <v>-102.5593948</v>
      </c>
      <c r="D358" s="24">
        <f t="shared" si="1"/>
        <v>500000</v>
      </c>
      <c r="E358" s="25">
        <f t="shared" si="2"/>
        <v>-106.5223513</v>
      </c>
      <c r="F358" s="24">
        <f t="shared" si="3"/>
        <v>0.0002130447027</v>
      </c>
      <c r="G358" s="24">
        <f t="shared" si="4"/>
        <v>0</v>
      </c>
      <c r="H358" s="26">
        <f t="shared" si="5"/>
        <v>0</v>
      </c>
      <c r="I358" s="24">
        <f t="shared" si="6"/>
        <v>0</v>
      </c>
      <c r="J358" s="24">
        <f t="shared" si="7"/>
        <v>0</v>
      </c>
      <c r="K358" s="24"/>
      <c r="L358" s="24">
        <f t="shared" si="8"/>
        <v>421.8583866</v>
      </c>
      <c r="M358" s="14">
        <f t="shared" si="9"/>
        <v>419.1499905</v>
      </c>
      <c r="N358" s="27">
        <f t="shared" si="10"/>
        <v>2.708396116</v>
      </c>
      <c r="O358" s="24"/>
      <c r="P358" s="24"/>
      <c r="Q358" s="24"/>
      <c r="R358" s="26"/>
      <c r="S358" s="14">
        <f t="shared" si="13"/>
        <v>2.487109679</v>
      </c>
      <c r="U358" s="21"/>
      <c r="V358" s="21"/>
    </row>
    <row r="359">
      <c r="A359" s="11">
        <v>347.0</v>
      </c>
      <c r="B359" s="11">
        <v>1.42090434782608E9</v>
      </c>
      <c r="C359" s="2">
        <v>-102.6917725</v>
      </c>
      <c r="D359" s="24">
        <f t="shared" si="1"/>
        <v>504347.8261</v>
      </c>
      <c r="E359" s="25">
        <f t="shared" si="2"/>
        <v>-107.4406475</v>
      </c>
      <c r="F359" s="24">
        <f t="shared" si="3"/>
        <v>0.00021302887</v>
      </c>
      <c r="G359" s="24">
        <f t="shared" si="4"/>
        <v>0</v>
      </c>
      <c r="H359" s="26">
        <f t="shared" si="5"/>
        <v>0</v>
      </c>
      <c r="I359" s="24">
        <f t="shared" si="6"/>
        <v>0</v>
      </c>
      <c r="J359" s="24">
        <f t="shared" si="7"/>
        <v>0</v>
      </c>
      <c r="K359" s="24"/>
      <c r="L359" s="24">
        <f t="shared" si="8"/>
        <v>409.19368</v>
      </c>
      <c r="M359" s="14">
        <f t="shared" si="9"/>
        <v>419.0369393</v>
      </c>
      <c r="N359" s="27">
        <f t="shared" si="10"/>
        <v>-9.843259378</v>
      </c>
      <c r="O359" s="24"/>
      <c r="P359" s="24"/>
      <c r="Q359" s="24"/>
      <c r="R359" s="26"/>
      <c r="S359" s="14">
        <f t="shared" si="13"/>
        <v>-9.039027021</v>
      </c>
      <c r="U359" s="21"/>
      <c r="V359" s="21"/>
    </row>
    <row r="360">
      <c r="A360" s="11">
        <v>348.0</v>
      </c>
      <c r="B360" s="11">
        <v>1.42090869565217E9</v>
      </c>
      <c r="C360" s="2">
        <v>-102.6595688</v>
      </c>
      <c r="D360" s="24">
        <f t="shared" si="1"/>
        <v>508695.6522</v>
      </c>
      <c r="E360" s="25">
        <f t="shared" si="2"/>
        <v>-108.3589436</v>
      </c>
      <c r="F360" s="24">
        <f t="shared" si="3"/>
        <v>0.0002130133079</v>
      </c>
      <c r="G360" s="24">
        <f t="shared" si="4"/>
        <v>0</v>
      </c>
      <c r="H360" s="26">
        <f t="shared" si="5"/>
        <v>0</v>
      </c>
      <c r="I360" s="24">
        <f t="shared" si="6"/>
        <v>0</v>
      </c>
      <c r="J360" s="24">
        <f t="shared" si="7"/>
        <v>0</v>
      </c>
      <c r="K360" s="24"/>
      <c r="L360" s="24">
        <f t="shared" si="8"/>
        <v>412.2392007</v>
      </c>
      <c r="M360" s="14">
        <f t="shared" si="9"/>
        <v>418.9234519</v>
      </c>
      <c r="N360" s="27">
        <f t="shared" si="10"/>
        <v>-6.684251214</v>
      </c>
      <c r="O360" s="24"/>
      <c r="P360" s="24"/>
      <c r="Q360" s="24"/>
      <c r="R360" s="26"/>
      <c r="S360" s="14">
        <f t="shared" si="13"/>
        <v>-6.138122026</v>
      </c>
      <c r="U360" s="21"/>
      <c r="V360" s="21"/>
    </row>
    <row r="361">
      <c r="A361" s="11">
        <v>349.0</v>
      </c>
      <c r="B361" s="11">
        <v>1.42091304347826E9</v>
      </c>
      <c r="C361" s="2">
        <v>-102.6260757</v>
      </c>
      <c r="D361" s="24">
        <f t="shared" si="1"/>
        <v>513043.4783</v>
      </c>
      <c r="E361" s="25">
        <f t="shared" si="2"/>
        <v>-109.2772397</v>
      </c>
      <c r="F361" s="24">
        <f t="shared" si="3"/>
        <v>0.0002129980096</v>
      </c>
      <c r="G361" s="24">
        <f t="shared" si="4"/>
        <v>0</v>
      </c>
      <c r="H361" s="26">
        <f t="shared" si="5"/>
        <v>0</v>
      </c>
      <c r="I361" s="24">
        <f t="shared" si="6"/>
        <v>0</v>
      </c>
      <c r="J361" s="24">
        <f t="shared" si="7"/>
        <v>0</v>
      </c>
      <c r="K361" s="24"/>
      <c r="L361" s="24">
        <f t="shared" si="8"/>
        <v>415.4307095</v>
      </c>
      <c r="M361" s="14">
        <f t="shared" si="9"/>
        <v>418.8095272</v>
      </c>
      <c r="N361" s="27">
        <f t="shared" si="10"/>
        <v>-3.37881767</v>
      </c>
      <c r="O361" s="24"/>
      <c r="P361" s="24"/>
      <c r="Q361" s="24"/>
      <c r="R361" s="26"/>
      <c r="S361" s="14">
        <f t="shared" si="13"/>
        <v>-3.102755199</v>
      </c>
      <c r="U361" s="21"/>
      <c r="V361" s="21"/>
    </row>
    <row r="362">
      <c r="A362" s="11">
        <v>350.0</v>
      </c>
      <c r="B362" s="11">
        <v>1.42091739130434E9</v>
      </c>
      <c r="C362" s="2">
        <v>-102.6337891</v>
      </c>
      <c r="D362" s="24">
        <f t="shared" si="1"/>
        <v>517391.3043</v>
      </c>
      <c r="E362" s="25">
        <f t="shared" si="2"/>
        <v>-110.1955359</v>
      </c>
      <c r="F362" s="24">
        <f t="shared" si="3"/>
        <v>0.0002129829685</v>
      </c>
      <c r="G362" s="24">
        <f t="shared" si="4"/>
        <v>0</v>
      </c>
      <c r="H362" s="26">
        <f t="shared" si="5"/>
        <v>0</v>
      </c>
      <c r="I362" s="24">
        <f t="shared" si="6"/>
        <v>0</v>
      </c>
      <c r="J362" s="24">
        <f t="shared" si="7"/>
        <v>0</v>
      </c>
      <c r="K362" s="24"/>
      <c r="L362" s="24">
        <f t="shared" si="8"/>
        <v>414.6935279</v>
      </c>
      <c r="M362" s="14">
        <f t="shared" si="9"/>
        <v>418.6951643</v>
      </c>
      <c r="N362" s="27">
        <f t="shared" si="10"/>
        <v>-4.001636448</v>
      </c>
      <c r="O362" s="24"/>
      <c r="P362" s="24"/>
      <c r="Q362" s="24"/>
      <c r="R362" s="26"/>
      <c r="S362" s="14">
        <f t="shared" si="13"/>
        <v>-3.674687275</v>
      </c>
      <c r="U362" s="21"/>
      <c r="V362" s="21"/>
    </row>
    <row r="363">
      <c r="A363" s="11">
        <v>351.0</v>
      </c>
      <c r="B363" s="11">
        <v>1.42092173913043E9</v>
      </c>
      <c r="C363" s="2">
        <v>-102.6396561</v>
      </c>
      <c r="D363" s="24">
        <f t="shared" si="1"/>
        <v>521739.1304</v>
      </c>
      <c r="E363" s="25">
        <f t="shared" si="2"/>
        <v>-111.113832</v>
      </c>
      <c r="F363" s="24">
        <f t="shared" si="3"/>
        <v>0.000212968178</v>
      </c>
      <c r="G363" s="24">
        <f t="shared" si="4"/>
        <v>0</v>
      </c>
      <c r="H363" s="26">
        <f t="shared" si="5"/>
        <v>0</v>
      </c>
      <c r="I363" s="24">
        <f t="shared" si="6"/>
        <v>0</v>
      </c>
      <c r="J363" s="24">
        <f t="shared" si="7"/>
        <v>0</v>
      </c>
      <c r="K363" s="24"/>
      <c r="L363" s="24">
        <f t="shared" si="8"/>
        <v>414.1336856</v>
      </c>
      <c r="M363" s="14">
        <f t="shared" si="9"/>
        <v>418.5803623</v>
      </c>
      <c r="N363" s="27">
        <f t="shared" si="10"/>
        <v>-4.446676719</v>
      </c>
      <c r="O363" s="24"/>
      <c r="P363" s="24"/>
      <c r="Q363" s="24"/>
      <c r="R363" s="26"/>
      <c r="S363" s="14">
        <f t="shared" si="13"/>
        <v>-4.083366025</v>
      </c>
      <c r="U363" s="21"/>
      <c r="V363" s="21"/>
    </row>
    <row r="364">
      <c r="A364" s="11">
        <v>352.0</v>
      </c>
      <c r="B364" s="11">
        <v>1.42092608695652E9</v>
      </c>
      <c r="C364" s="2">
        <v>-102.5857239</v>
      </c>
      <c r="D364" s="24">
        <f t="shared" si="1"/>
        <v>526086.9565</v>
      </c>
      <c r="E364" s="25">
        <f t="shared" si="2"/>
        <v>-112.0321281</v>
      </c>
      <c r="F364" s="24">
        <f t="shared" si="3"/>
        <v>0.000212953632</v>
      </c>
      <c r="G364" s="24">
        <f t="shared" si="4"/>
        <v>0</v>
      </c>
      <c r="H364" s="26">
        <f t="shared" si="5"/>
        <v>0</v>
      </c>
      <c r="I364" s="24">
        <f t="shared" si="6"/>
        <v>0</v>
      </c>
      <c r="J364" s="24">
        <f t="shared" si="7"/>
        <v>0</v>
      </c>
      <c r="K364" s="24"/>
      <c r="L364" s="24">
        <f t="shared" si="8"/>
        <v>419.3086073</v>
      </c>
      <c r="M364" s="14">
        <f t="shared" si="9"/>
        <v>418.4651201</v>
      </c>
      <c r="N364" s="27">
        <f t="shared" si="10"/>
        <v>0.843487123</v>
      </c>
      <c r="O364" s="24"/>
      <c r="P364" s="24"/>
      <c r="Q364" s="24"/>
      <c r="R364" s="26"/>
      <c r="S364" s="14">
        <f t="shared" si="13"/>
        <v>0.7745709631</v>
      </c>
      <c r="U364" s="21"/>
      <c r="V364" s="21"/>
    </row>
    <row r="365">
      <c r="A365" s="11">
        <v>353.0</v>
      </c>
      <c r="B365" s="11">
        <v>1.4209304347826E9</v>
      </c>
      <c r="C365" s="2">
        <v>-102.6068878</v>
      </c>
      <c r="D365" s="24">
        <f t="shared" si="1"/>
        <v>530434.7826</v>
      </c>
      <c r="E365" s="25">
        <f t="shared" si="2"/>
        <v>-112.9504243</v>
      </c>
      <c r="F365" s="24">
        <f t="shared" si="3"/>
        <v>0.0002129393244</v>
      </c>
      <c r="G365" s="24">
        <f t="shared" si="4"/>
        <v>0</v>
      </c>
      <c r="H365" s="26">
        <f t="shared" si="5"/>
        <v>0</v>
      </c>
      <c r="I365" s="24">
        <f t="shared" si="6"/>
        <v>0</v>
      </c>
      <c r="J365" s="24">
        <f t="shared" si="7"/>
        <v>0</v>
      </c>
      <c r="K365" s="24"/>
      <c r="L365" s="24">
        <f t="shared" si="8"/>
        <v>417.2702167</v>
      </c>
      <c r="M365" s="14">
        <f t="shared" si="9"/>
        <v>418.3494369</v>
      </c>
      <c r="N365" s="27">
        <f t="shared" si="10"/>
        <v>-1.07922025</v>
      </c>
      <c r="O365" s="24"/>
      <c r="P365" s="24"/>
      <c r="Q365" s="24"/>
      <c r="R365" s="26"/>
      <c r="S365" s="14">
        <f t="shared" si="13"/>
        <v>-0.9910437824</v>
      </c>
      <c r="U365" s="21"/>
      <c r="V365" s="21"/>
    </row>
    <row r="366">
      <c r="A366" s="11">
        <v>354.0</v>
      </c>
      <c r="B366" s="11">
        <v>1.42093478260869E9</v>
      </c>
      <c r="C366" s="2">
        <v>-102.6530838</v>
      </c>
      <c r="D366" s="24">
        <f t="shared" si="1"/>
        <v>534782.6087</v>
      </c>
      <c r="E366" s="25">
        <f t="shared" si="2"/>
        <v>-113.8687204</v>
      </c>
      <c r="F366" s="24">
        <f t="shared" si="3"/>
        <v>0.0002129252495</v>
      </c>
      <c r="G366" s="24">
        <f t="shared" si="4"/>
        <v>0</v>
      </c>
      <c r="H366" s="26">
        <f t="shared" si="5"/>
        <v>0</v>
      </c>
      <c r="I366" s="24">
        <f t="shared" si="6"/>
        <v>0</v>
      </c>
      <c r="J366" s="24">
        <f t="shared" si="7"/>
        <v>0</v>
      </c>
      <c r="K366" s="24"/>
      <c r="L366" s="24">
        <f t="shared" si="8"/>
        <v>412.855227</v>
      </c>
      <c r="M366" s="14">
        <f t="shared" si="9"/>
        <v>418.2333117</v>
      </c>
      <c r="N366" s="27">
        <f t="shared" si="10"/>
        <v>-5.378084761</v>
      </c>
      <c r="O366" s="24"/>
      <c r="P366" s="24"/>
      <c r="Q366" s="24"/>
      <c r="R366" s="26"/>
      <c r="S366" s="14">
        <f t="shared" si="13"/>
        <v>-4.938674438</v>
      </c>
      <c r="U366" s="21"/>
      <c r="V366" s="21"/>
    </row>
    <row r="367">
      <c r="A367" s="11">
        <v>355.0</v>
      </c>
      <c r="B367" s="11">
        <v>1.42093913043478E9</v>
      </c>
      <c r="C367" s="2">
        <v>-102.630188</v>
      </c>
      <c r="D367" s="24">
        <f t="shared" si="1"/>
        <v>539130.4348</v>
      </c>
      <c r="E367" s="25">
        <f t="shared" si="2"/>
        <v>-114.7870165</v>
      </c>
      <c r="F367" s="24">
        <f t="shared" si="3"/>
        <v>0.0002129114016</v>
      </c>
      <c r="G367" s="24">
        <f t="shared" si="4"/>
        <v>0</v>
      </c>
      <c r="H367" s="26">
        <f t="shared" si="5"/>
        <v>0</v>
      </c>
      <c r="I367" s="24">
        <f t="shared" si="6"/>
        <v>0</v>
      </c>
      <c r="J367" s="24">
        <f t="shared" si="7"/>
        <v>0</v>
      </c>
      <c r="K367" s="24"/>
      <c r="L367" s="24">
        <f t="shared" si="8"/>
        <v>415.0375277</v>
      </c>
      <c r="M367" s="14">
        <f t="shared" si="9"/>
        <v>418.1167436</v>
      </c>
      <c r="N367" s="27">
        <f t="shared" si="10"/>
        <v>-3.079215897</v>
      </c>
      <c r="O367" s="24"/>
      <c r="P367" s="24"/>
      <c r="Q367" s="24"/>
      <c r="R367" s="26"/>
      <c r="S367" s="14">
        <f t="shared" si="13"/>
        <v>-2.827632044</v>
      </c>
      <c r="U367" s="21"/>
      <c r="V367" s="21"/>
    </row>
    <row r="368">
      <c r="A368" s="11">
        <v>356.0</v>
      </c>
      <c r="B368" s="11">
        <v>1.42094347826087E9</v>
      </c>
      <c r="C368" s="2">
        <v>-102.6144867</v>
      </c>
      <c r="D368" s="24">
        <f t="shared" si="1"/>
        <v>543478.2609</v>
      </c>
      <c r="E368" s="25">
        <f t="shared" si="2"/>
        <v>-115.7053126</v>
      </c>
      <c r="F368" s="24">
        <f t="shared" si="3"/>
        <v>0.0002128977753</v>
      </c>
      <c r="G368" s="24">
        <f t="shared" si="4"/>
        <v>0</v>
      </c>
      <c r="H368" s="26">
        <f t="shared" si="5"/>
        <v>0</v>
      </c>
      <c r="I368" s="24">
        <f t="shared" si="6"/>
        <v>0</v>
      </c>
      <c r="J368" s="24">
        <f t="shared" si="7"/>
        <v>0</v>
      </c>
      <c r="K368" s="24"/>
      <c r="L368" s="24">
        <f t="shared" si="8"/>
        <v>416.5407526</v>
      </c>
      <c r="M368" s="14">
        <f t="shared" si="9"/>
        <v>417.9997315</v>
      </c>
      <c r="N368" s="27">
        <f t="shared" si="10"/>
        <v>-1.458978892</v>
      </c>
      <c r="O368" s="24"/>
      <c r="P368" s="24"/>
      <c r="Q368" s="24"/>
      <c r="R368" s="26"/>
      <c r="S368" s="14">
        <f t="shared" si="13"/>
        <v>-1.339774674</v>
      </c>
      <c r="U368" s="21"/>
      <c r="V368" s="21"/>
    </row>
    <row r="369">
      <c r="A369" s="11">
        <v>357.0</v>
      </c>
      <c r="B369" s="11">
        <v>1.42094782608695E9</v>
      </c>
      <c r="C369" s="2">
        <v>-102.6244736</v>
      </c>
      <c r="D369" s="24">
        <f t="shared" si="1"/>
        <v>547826.087</v>
      </c>
      <c r="E369" s="25">
        <f t="shared" si="2"/>
        <v>-116.6236088</v>
      </c>
      <c r="F369" s="24">
        <f t="shared" si="3"/>
        <v>0.0002128843652</v>
      </c>
      <c r="G369" s="24">
        <f t="shared" si="4"/>
        <v>0</v>
      </c>
      <c r="H369" s="26">
        <f t="shared" si="5"/>
        <v>0</v>
      </c>
      <c r="I369" s="24">
        <f t="shared" si="6"/>
        <v>0</v>
      </c>
      <c r="J369" s="24">
        <f t="shared" si="7"/>
        <v>0</v>
      </c>
      <c r="K369" s="24"/>
      <c r="L369" s="24">
        <f t="shared" si="8"/>
        <v>415.583989</v>
      </c>
      <c r="M369" s="14">
        <f t="shared" si="9"/>
        <v>417.8822746</v>
      </c>
      <c r="N369" s="27">
        <f t="shared" si="10"/>
        <v>-2.298285536</v>
      </c>
      <c r="O369" s="24"/>
      <c r="P369" s="24"/>
      <c r="Q369" s="24"/>
      <c r="R369" s="26"/>
      <c r="S369" s="14">
        <f t="shared" si="13"/>
        <v>-2.110506719</v>
      </c>
      <c r="U369" s="21"/>
      <c r="V369" s="21"/>
    </row>
    <row r="370">
      <c r="A370" s="11">
        <v>358.0</v>
      </c>
      <c r="B370" s="11">
        <v>1.42095217391304E9</v>
      </c>
      <c r="C370" s="2">
        <v>-102.6205444</v>
      </c>
      <c r="D370" s="24">
        <f t="shared" si="1"/>
        <v>552173.913</v>
      </c>
      <c r="E370" s="25">
        <f t="shared" si="2"/>
        <v>-117.5419049</v>
      </c>
      <c r="F370" s="24">
        <f t="shared" si="3"/>
        <v>0.0002128711664</v>
      </c>
      <c r="G370" s="24">
        <f t="shared" si="4"/>
        <v>0</v>
      </c>
      <c r="H370" s="26">
        <f t="shared" si="5"/>
        <v>0</v>
      </c>
      <c r="I370" s="24">
        <f t="shared" si="6"/>
        <v>0</v>
      </c>
      <c r="J370" s="24">
        <f t="shared" si="7"/>
        <v>0</v>
      </c>
      <c r="K370" s="24"/>
      <c r="L370" s="24">
        <f t="shared" si="8"/>
        <v>415.9601512</v>
      </c>
      <c r="M370" s="14">
        <f t="shared" si="9"/>
        <v>417.7643718</v>
      </c>
      <c r="N370" s="27">
        <f t="shared" si="10"/>
        <v>-1.804220615</v>
      </c>
      <c r="O370" s="24"/>
      <c r="P370" s="24"/>
      <c r="Q370" s="24"/>
      <c r="R370" s="26"/>
      <c r="S370" s="14">
        <f t="shared" si="13"/>
        <v>-1.65680881</v>
      </c>
      <c r="U370" s="21"/>
      <c r="V370" s="21"/>
    </row>
    <row r="371">
      <c r="A371" s="11">
        <v>359.0</v>
      </c>
      <c r="B371" s="11">
        <v>1.42095652173913E9</v>
      </c>
      <c r="C371" s="2">
        <v>-102.5944061</v>
      </c>
      <c r="D371" s="24">
        <f t="shared" si="1"/>
        <v>556521.7391</v>
      </c>
      <c r="E371" s="25">
        <f t="shared" si="2"/>
        <v>-118.460201</v>
      </c>
      <c r="F371" s="24">
        <f t="shared" si="3"/>
        <v>0.0002128581738</v>
      </c>
      <c r="G371" s="24">
        <f t="shared" si="4"/>
        <v>0</v>
      </c>
      <c r="H371" s="26">
        <f t="shared" si="5"/>
        <v>0</v>
      </c>
      <c r="I371" s="24">
        <f t="shared" si="6"/>
        <v>0</v>
      </c>
      <c r="J371" s="24">
        <f t="shared" si="7"/>
        <v>0</v>
      </c>
      <c r="K371" s="24"/>
      <c r="L371" s="24">
        <f t="shared" si="8"/>
        <v>418.4711836</v>
      </c>
      <c r="M371" s="14">
        <f t="shared" si="9"/>
        <v>417.6460223</v>
      </c>
      <c r="N371" s="27">
        <f t="shared" si="10"/>
        <v>0.8251613622</v>
      </c>
      <c r="O371" s="24"/>
      <c r="P371" s="24"/>
      <c r="Q371" s="24"/>
      <c r="R371" s="26"/>
      <c r="S371" s="14">
        <f t="shared" si="13"/>
        <v>0.7577424878</v>
      </c>
      <c r="U371" s="21"/>
      <c r="V371" s="21"/>
    </row>
    <row r="372">
      <c r="A372" s="11">
        <v>360.0</v>
      </c>
      <c r="B372" s="11">
        <v>1.42096086956521E9</v>
      </c>
      <c r="C372" s="2">
        <v>-102.6131897</v>
      </c>
      <c r="D372" s="24">
        <f t="shared" si="1"/>
        <v>560869.5652</v>
      </c>
      <c r="E372" s="25">
        <f t="shared" si="2"/>
        <v>-119.3784972</v>
      </c>
      <c r="F372" s="24">
        <f t="shared" si="3"/>
        <v>0.0002128453826</v>
      </c>
      <c r="G372" s="24">
        <f t="shared" si="4"/>
        <v>0</v>
      </c>
      <c r="H372" s="26">
        <f t="shared" si="5"/>
        <v>0</v>
      </c>
      <c r="I372" s="24">
        <f t="shared" si="6"/>
        <v>0</v>
      </c>
      <c r="J372" s="24">
        <f t="shared" si="7"/>
        <v>0</v>
      </c>
      <c r="K372" s="24"/>
      <c r="L372" s="24">
        <f t="shared" si="8"/>
        <v>416.6651691</v>
      </c>
      <c r="M372" s="14">
        <f t="shared" si="9"/>
        <v>417.527225</v>
      </c>
      <c r="N372" s="27">
        <f t="shared" si="10"/>
        <v>-0.8620558983</v>
      </c>
      <c r="O372" s="24"/>
      <c r="P372" s="24"/>
      <c r="Q372" s="24"/>
      <c r="R372" s="26"/>
      <c r="S372" s="14">
        <f t="shared" si="13"/>
        <v>-0.7916225977</v>
      </c>
      <c r="U372" s="21"/>
      <c r="V372" s="21"/>
    </row>
    <row r="373">
      <c r="A373" s="11">
        <v>361.0</v>
      </c>
      <c r="B373" s="11">
        <v>1.4209652173913E9</v>
      </c>
      <c r="C373" s="2">
        <v>-102.6202164</v>
      </c>
      <c r="D373" s="24">
        <f t="shared" si="1"/>
        <v>565217.3913</v>
      </c>
      <c r="E373" s="25">
        <f t="shared" si="2"/>
        <v>-120.2967933</v>
      </c>
      <c r="F373" s="24">
        <f t="shared" si="3"/>
        <v>0.0002128327882</v>
      </c>
      <c r="G373" s="24">
        <f t="shared" si="4"/>
        <v>0</v>
      </c>
      <c r="H373" s="26">
        <f t="shared" si="5"/>
        <v>0</v>
      </c>
      <c r="I373" s="24">
        <f t="shared" si="6"/>
        <v>0</v>
      </c>
      <c r="J373" s="24">
        <f t="shared" si="7"/>
        <v>0</v>
      </c>
      <c r="K373" s="24"/>
      <c r="L373" s="24">
        <f t="shared" si="8"/>
        <v>415.9915677</v>
      </c>
      <c r="M373" s="14">
        <f t="shared" si="9"/>
        <v>417.4079791</v>
      </c>
      <c r="N373" s="27">
        <f t="shared" si="10"/>
        <v>-1.416411417</v>
      </c>
      <c r="O373" s="24"/>
      <c r="P373" s="24"/>
      <c r="Q373" s="24"/>
      <c r="R373" s="26"/>
      <c r="S373" s="14">
        <f t="shared" si="13"/>
        <v>-1.300685123</v>
      </c>
      <c r="V373" s="21"/>
    </row>
    <row r="374">
      <c r="A374" s="11">
        <v>362.0</v>
      </c>
      <c r="B374" s="11">
        <v>1.42096956521739E9</v>
      </c>
      <c r="C374" s="2">
        <v>-102.6378174</v>
      </c>
      <c r="D374" s="24">
        <f t="shared" si="1"/>
        <v>569565.2174</v>
      </c>
      <c r="E374" s="25">
        <f t="shared" si="2"/>
        <v>-121.2150894</v>
      </c>
      <c r="F374" s="24">
        <f t="shared" si="3"/>
        <v>0.000212820386</v>
      </c>
      <c r="G374" s="24">
        <f t="shared" si="4"/>
        <v>0</v>
      </c>
      <c r="H374" s="26">
        <f t="shared" si="5"/>
        <v>0</v>
      </c>
      <c r="I374" s="24">
        <f t="shared" si="6"/>
        <v>0</v>
      </c>
      <c r="J374" s="24">
        <f t="shared" si="7"/>
        <v>0</v>
      </c>
      <c r="K374" s="24"/>
      <c r="L374" s="24">
        <f t="shared" si="8"/>
        <v>414.3090571</v>
      </c>
      <c r="M374" s="14">
        <f t="shared" si="9"/>
        <v>417.2882835</v>
      </c>
      <c r="N374" s="27">
        <f t="shared" si="10"/>
        <v>-2.979226452</v>
      </c>
      <c r="O374" s="24"/>
      <c r="P374" s="24"/>
      <c r="Q374" s="24"/>
      <c r="R374" s="26"/>
      <c r="S374" s="14">
        <f t="shared" si="13"/>
        <v>-2.735812129</v>
      </c>
    </row>
    <row r="375">
      <c r="A375" s="11">
        <v>363.0</v>
      </c>
      <c r="B375" s="11">
        <v>1.42097391304347E9</v>
      </c>
      <c r="C375" s="2">
        <v>-102.6440735</v>
      </c>
      <c r="D375" s="24">
        <f t="shared" si="1"/>
        <v>573913.0435</v>
      </c>
      <c r="E375" s="25">
        <f t="shared" si="2"/>
        <v>-122.1333856</v>
      </c>
      <c r="F375" s="24">
        <f t="shared" si="3"/>
        <v>0.0002128081718</v>
      </c>
      <c r="G375" s="24">
        <f t="shared" si="4"/>
        <v>0</v>
      </c>
      <c r="H375" s="26">
        <f t="shared" si="5"/>
        <v>0</v>
      </c>
      <c r="I375" s="24">
        <f t="shared" si="6"/>
        <v>0</v>
      </c>
      <c r="J375" s="24">
        <f t="shared" si="7"/>
        <v>0</v>
      </c>
      <c r="K375" s="24"/>
      <c r="L375" s="24">
        <f t="shared" si="8"/>
        <v>413.7126662</v>
      </c>
      <c r="M375" s="14">
        <f t="shared" si="9"/>
        <v>417.1681374</v>
      </c>
      <c r="N375" s="27">
        <f t="shared" si="10"/>
        <v>-3.455471248</v>
      </c>
      <c r="O375" s="24"/>
      <c r="P375" s="24"/>
      <c r="Q375" s="24"/>
      <c r="R375" s="26"/>
      <c r="S375" s="14">
        <f t="shared" si="13"/>
        <v>-3.173145884</v>
      </c>
    </row>
    <row r="376">
      <c r="A376" s="11">
        <v>364.0</v>
      </c>
      <c r="B376" s="11">
        <v>1.42097826086956E9</v>
      </c>
      <c r="C376" s="2">
        <v>-102.6477585</v>
      </c>
      <c r="D376" s="24">
        <f t="shared" si="1"/>
        <v>578260.8696</v>
      </c>
      <c r="E376" s="25">
        <f t="shared" si="2"/>
        <v>-123.0516817</v>
      </c>
      <c r="F376" s="24">
        <f t="shared" si="3"/>
        <v>0.0002127961413</v>
      </c>
      <c r="G376" s="24">
        <f t="shared" si="4"/>
        <v>0</v>
      </c>
      <c r="H376" s="26">
        <f t="shared" si="5"/>
        <v>0</v>
      </c>
      <c r="I376" s="24">
        <f t="shared" si="6"/>
        <v>0</v>
      </c>
      <c r="J376" s="24">
        <f t="shared" si="7"/>
        <v>0</v>
      </c>
      <c r="K376" s="24"/>
      <c r="L376" s="24">
        <f t="shared" si="8"/>
        <v>413.3617788</v>
      </c>
      <c r="M376" s="14">
        <f t="shared" si="9"/>
        <v>417.0475397</v>
      </c>
      <c r="N376" s="27">
        <f t="shared" si="10"/>
        <v>-3.685760972</v>
      </c>
      <c r="O376" s="24"/>
      <c r="P376" s="24"/>
      <c r="Q376" s="24"/>
      <c r="R376" s="26"/>
      <c r="S376" s="14">
        <f t="shared" si="13"/>
        <v>-3.384620039</v>
      </c>
    </row>
    <row r="377">
      <c r="A377" s="11">
        <v>365.0</v>
      </c>
      <c r="B377" s="11">
        <v>1.42098260869565E9</v>
      </c>
      <c r="C377" s="2">
        <v>-102.6059418</v>
      </c>
      <c r="D377" s="24">
        <f t="shared" si="1"/>
        <v>582608.6957</v>
      </c>
      <c r="E377" s="25">
        <f t="shared" si="2"/>
        <v>-123.9699778</v>
      </c>
      <c r="F377" s="24">
        <f t="shared" si="3"/>
        <v>0.0002127842903</v>
      </c>
      <c r="G377" s="24">
        <f t="shared" si="4"/>
        <v>0</v>
      </c>
      <c r="H377" s="26">
        <f t="shared" si="5"/>
        <v>0</v>
      </c>
      <c r="I377" s="24">
        <f t="shared" si="6"/>
        <v>0</v>
      </c>
      <c r="J377" s="24">
        <f t="shared" si="7"/>
        <v>0</v>
      </c>
      <c r="K377" s="24"/>
      <c r="L377" s="24">
        <f t="shared" si="8"/>
        <v>417.3611183</v>
      </c>
      <c r="M377" s="14">
        <f t="shared" si="9"/>
        <v>416.9264896</v>
      </c>
      <c r="N377" s="27">
        <f t="shared" si="10"/>
        <v>0.43462871</v>
      </c>
      <c r="O377" s="24"/>
      <c r="P377" s="24"/>
      <c r="Q377" s="24"/>
      <c r="R377" s="26"/>
      <c r="S377" s="14">
        <f t="shared" si="13"/>
        <v>0.3991178636</v>
      </c>
    </row>
    <row r="378">
      <c r="A378" s="11">
        <v>366.0</v>
      </c>
      <c r="B378" s="11">
        <v>1.42098695652173E9</v>
      </c>
      <c r="C378" s="2">
        <v>-102.6048889</v>
      </c>
      <c r="D378" s="24">
        <f t="shared" si="1"/>
        <v>586956.5217</v>
      </c>
      <c r="E378" s="25">
        <f t="shared" si="2"/>
        <v>-124.888274</v>
      </c>
      <c r="F378" s="24">
        <f t="shared" si="3"/>
        <v>0.0002127726149</v>
      </c>
      <c r="G378" s="24">
        <f t="shared" si="4"/>
        <v>0</v>
      </c>
      <c r="H378" s="26">
        <f t="shared" si="5"/>
        <v>0</v>
      </c>
      <c r="I378" s="24">
        <f t="shared" si="6"/>
        <v>0</v>
      </c>
      <c r="J378" s="24">
        <f t="shared" si="7"/>
        <v>0</v>
      </c>
      <c r="K378" s="24"/>
      <c r="L378" s="24">
        <f t="shared" si="8"/>
        <v>417.4623152</v>
      </c>
      <c r="M378" s="14">
        <f t="shared" si="9"/>
        <v>416.804986</v>
      </c>
      <c r="N378" s="27">
        <f t="shared" si="10"/>
        <v>0.6573292545</v>
      </c>
      <c r="O378" s="24"/>
      <c r="P378" s="24"/>
      <c r="Q378" s="24"/>
      <c r="R378" s="26"/>
      <c r="S378" s="14">
        <f t="shared" si="13"/>
        <v>0.6036229124</v>
      </c>
    </row>
    <row r="379">
      <c r="A379" s="11">
        <v>367.0</v>
      </c>
      <c r="B379" s="11">
        <v>1.42099130434782E9</v>
      </c>
      <c r="C379" s="2">
        <v>-102.6615829</v>
      </c>
      <c r="D379" s="24">
        <f t="shared" si="1"/>
        <v>591304.3478</v>
      </c>
      <c r="E379" s="25">
        <f t="shared" si="2"/>
        <v>-125.8065701</v>
      </c>
      <c r="F379" s="24">
        <f t="shared" si="3"/>
        <v>0.0002127611112</v>
      </c>
      <c r="G379" s="24">
        <f t="shared" si="4"/>
        <v>0</v>
      </c>
      <c r="H379" s="26">
        <f t="shared" si="5"/>
        <v>0</v>
      </c>
      <c r="I379" s="24">
        <f t="shared" si="6"/>
        <v>0</v>
      </c>
      <c r="J379" s="24">
        <f t="shared" si="7"/>
        <v>0</v>
      </c>
      <c r="K379" s="24"/>
      <c r="L379" s="24">
        <f t="shared" si="8"/>
        <v>412.0480635</v>
      </c>
      <c r="M379" s="14">
        <f t="shared" si="9"/>
        <v>416.683028</v>
      </c>
      <c r="N379" s="27">
        <f t="shared" si="10"/>
        <v>-4.634964562</v>
      </c>
      <c r="O379" s="24"/>
      <c r="P379" s="24"/>
      <c r="Q379" s="24"/>
      <c r="R379" s="26"/>
      <c r="S379" s="14">
        <f t="shared" si="13"/>
        <v>-4.256270033</v>
      </c>
    </row>
    <row r="380">
      <c r="A380" s="11">
        <v>368.0</v>
      </c>
      <c r="B380" s="11">
        <v>1.42099565217391E9</v>
      </c>
      <c r="C380" s="2">
        <v>-102.6666183</v>
      </c>
      <c r="D380" s="24">
        <f t="shared" si="1"/>
        <v>595652.1739</v>
      </c>
      <c r="E380" s="25">
        <f t="shared" si="2"/>
        <v>-126.7248662</v>
      </c>
      <c r="F380" s="24">
        <f t="shared" si="3"/>
        <v>0.0002127497754</v>
      </c>
      <c r="G380" s="24">
        <f t="shared" si="4"/>
        <v>0</v>
      </c>
      <c r="H380" s="26">
        <f t="shared" si="5"/>
        <v>0</v>
      </c>
      <c r="I380" s="24">
        <f t="shared" si="6"/>
        <v>0</v>
      </c>
      <c r="J380" s="24">
        <f t="shared" si="7"/>
        <v>0</v>
      </c>
      <c r="K380" s="24"/>
      <c r="L380" s="24">
        <f t="shared" si="8"/>
        <v>411.5705938</v>
      </c>
      <c r="M380" s="14">
        <f t="shared" si="9"/>
        <v>416.5606147</v>
      </c>
      <c r="N380" s="27">
        <f t="shared" si="10"/>
        <v>-4.990020918</v>
      </c>
      <c r="O380" s="24"/>
      <c r="P380" s="24"/>
      <c r="Q380" s="24"/>
      <c r="R380" s="26"/>
      <c r="S380" s="14">
        <f t="shared" si="13"/>
        <v>-4.582316901</v>
      </c>
    </row>
    <row r="381">
      <c r="A381" s="11">
        <v>369.0</v>
      </c>
      <c r="B381" s="11">
        <v>1.421E9</v>
      </c>
      <c r="C381" s="2">
        <v>-102.6402893</v>
      </c>
      <c r="D381" s="24">
        <f t="shared" si="1"/>
        <v>600000</v>
      </c>
      <c r="E381" s="25">
        <f t="shared" si="2"/>
        <v>-127.6431624</v>
      </c>
      <c r="F381" s="24">
        <f t="shared" si="3"/>
        <v>0.0002127386039</v>
      </c>
      <c r="G381" s="24">
        <f t="shared" si="4"/>
        <v>0</v>
      </c>
      <c r="H381" s="26">
        <f t="shared" si="5"/>
        <v>0</v>
      </c>
      <c r="I381" s="24">
        <f t="shared" si="6"/>
        <v>0</v>
      </c>
      <c r="J381" s="24">
        <f t="shared" si="7"/>
        <v>0</v>
      </c>
      <c r="K381" s="24"/>
      <c r="L381" s="24">
        <f t="shared" si="8"/>
        <v>414.0733094</v>
      </c>
      <c r="M381" s="14">
        <f t="shared" si="9"/>
        <v>416.4377451</v>
      </c>
      <c r="N381" s="27">
        <f t="shared" si="10"/>
        <v>-2.364435674</v>
      </c>
      <c r="O381" s="24"/>
      <c r="P381" s="24"/>
      <c r="Q381" s="24"/>
      <c r="R381" s="26"/>
      <c r="S381" s="14">
        <f t="shared" si="13"/>
        <v>-2.171252136</v>
      </c>
    </row>
    <row r="382">
      <c r="A382" s="11">
        <v>370.0</v>
      </c>
      <c r="B382" s="11">
        <v>1.42100434782608E9</v>
      </c>
      <c r="C382" s="2">
        <v>-102.629303</v>
      </c>
      <c r="D382" s="24">
        <f t="shared" si="1"/>
        <v>604347.8261</v>
      </c>
      <c r="E382" s="25">
        <f t="shared" si="2"/>
        <v>-128.5614585</v>
      </c>
      <c r="F382" s="24">
        <f t="shared" si="3"/>
        <v>0.0002127275932</v>
      </c>
      <c r="G382" s="24">
        <f t="shared" si="4"/>
        <v>0</v>
      </c>
      <c r="H382" s="26">
        <f t="shared" si="5"/>
        <v>0</v>
      </c>
      <c r="I382" s="24">
        <f t="shared" si="6"/>
        <v>0</v>
      </c>
      <c r="J382" s="24">
        <f t="shared" si="7"/>
        <v>0</v>
      </c>
      <c r="K382" s="24"/>
      <c r="L382" s="24">
        <f t="shared" si="8"/>
        <v>415.1221121</v>
      </c>
      <c r="M382" s="14">
        <f t="shared" si="9"/>
        <v>416.3144182</v>
      </c>
      <c r="N382" s="27">
        <f t="shared" si="10"/>
        <v>-1.192306077</v>
      </c>
      <c r="O382" s="24"/>
      <c r="P382" s="24"/>
      <c r="Q382" s="24"/>
      <c r="R382" s="26"/>
      <c r="S382" s="14">
        <f t="shared" si="13"/>
        <v>-1.09489006</v>
      </c>
    </row>
    <row r="383">
      <c r="A383" s="11">
        <v>371.0</v>
      </c>
      <c r="B383" s="11">
        <v>1.42100869565217E9</v>
      </c>
      <c r="C383" s="2">
        <v>-102.5624084</v>
      </c>
      <c r="D383" s="24">
        <f t="shared" si="1"/>
        <v>608695.6522</v>
      </c>
      <c r="E383" s="25">
        <f t="shared" si="2"/>
        <v>-129.4797546</v>
      </c>
      <c r="F383" s="24">
        <f t="shared" si="3"/>
        <v>0.0002127167398</v>
      </c>
      <c r="G383" s="24">
        <f t="shared" si="4"/>
        <v>0</v>
      </c>
      <c r="H383" s="26">
        <f t="shared" si="5"/>
        <v>0</v>
      </c>
      <c r="I383" s="24">
        <f t="shared" si="6"/>
        <v>0</v>
      </c>
      <c r="J383" s="24">
        <f t="shared" si="7"/>
        <v>0</v>
      </c>
      <c r="K383" s="24"/>
      <c r="L383" s="24">
        <f t="shared" si="8"/>
        <v>421.5657577</v>
      </c>
      <c r="M383" s="14">
        <f t="shared" si="9"/>
        <v>416.1906332</v>
      </c>
      <c r="N383" s="27">
        <f t="shared" si="10"/>
        <v>5.3751245</v>
      </c>
      <c r="O383" s="24"/>
      <c r="P383" s="24"/>
      <c r="Q383" s="24"/>
      <c r="R383" s="26"/>
      <c r="S383" s="14">
        <f t="shared" si="13"/>
        <v>4.93595603</v>
      </c>
    </row>
    <row r="384">
      <c r="A384" s="11">
        <v>372.0</v>
      </c>
      <c r="B384" s="11">
        <v>1.42101304347826E9</v>
      </c>
      <c r="C384" s="2">
        <v>-102.6497803</v>
      </c>
      <c r="D384" s="24">
        <f t="shared" si="1"/>
        <v>613043.4783</v>
      </c>
      <c r="E384" s="25">
        <f t="shared" si="2"/>
        <v>-130.3980508</v>
      </c>
      <c r="F384" s="24">
        <f t="shared" si="3"/>
        <v>0.0002127060402</v>
      </c>
      <c r="G384" s="24">
        <f t="shared" si="4"/>
        <v>0</v>
      </c>
      <c r="H384" s="26">
        <f t="shared" si="5"/>
        <v>0</v>
      </c>
      <c r="I384" s="24">
        <f t="shared" si="6"/>
        <v>0</v>
      </c>
      <c r="J384" s="24">
        <f t="shared" si="7"/>
        <v>0</v>
      </c>
      <c r="K384" s="24"/>
      <c r="L384" s="24">
        <f t="shared" si="8"/>
        <v>413.1693885</v>
      </c>
      <c r="M384" s="14">
        <f t="shared" si="9"/>
        <v>416.0663889</v>
      </c>
      <c r="N384" s="27">
        <f t="shared" si="10"/>
        <v>-2.897000451</v>
      </c>
      <c r="O384" s="24"/>
      <c r="P384" s="24"/>
      <c r="Q384" s="24"/>
      <c r="R384" s="26"/>
      <c r="S384" s="14">
        <f t="shared" si="13"/>
        <v>-2.660304311</v>
      </c>
    </row>
    <row r="385">
      <c r="A385" s="11">
        <v>373.0</v>
      </c>
      <c r="B385" s="11">
        <v>1.42101739130434E9</v>
      </c>
      <c r="C385" s="2">
        <v>-102.6344986</v>
      </c>
      <c r="D385" s="24">
        <f t="shared" si="1"/>
        <v>617391.3043</v>
      </c>
      <c r="E385" s="25">
        <f t="shared" si="2"/>
        <v>-131.3163469</v>
      </c>
      <c r="F385" s="24">
        <f t="shared" si="3"/>
        <v>0.0002126954915</v>
      </c>
      <c r="G385" s="24">
        <f t="shared" si="4"/>
        <v>0</v>
      </c>
      <c r="H385" s="26">
        <f t="shared" si="5"/>
        <v>0</v>
      </c>
      <c r="I385" s="24">
        <f t="shared" si="6"/>
        <v>0</v>
      </c>
      <c r="J385" s="24">
        <f t="shared" si="7"/>
        <v>0</v>
      </c>
      <c r="K385" s="24"/>
      <c r="L385" s="24">
        <f t="shared" si="8"/>
        <v>414.6257856</v>
      </c>
      <c r="M385" s="14">
        <f t="shared" si="9"/>
        <v>415.9416846</v>
      </c>
      <c r="N385" s="27">
        <f t="shared" si="10"/>
        <v>-1.315899035</v>
      </c>
      <c r="O385" s="24"/>
      <c r="P385" s="24"/>
      <c r="Q385" s="24"/>
      <c r="R385" s="26"/>
      <c r="S385" s="14">
        <f t="shared" si="13"/>
        <v>-1.208384995</v>
      </c>
    </row>
    <row r="386">
      <c r="A386" s="11">
        <v>374.0</v>
      </c>
      <c r="B386" s="11">
        <v>1.42102173913043E9</v>
      </c>
      <c r="C386" s="2">
        <v>-102.5627441</v>
      </c>
      <c r="D386" s="24">
        <f t="shared" si="1"/>
        <v>621739.1304</v>
      </c>
      <c r="E386" s="25">
        <f t="shared" si="2"/>
        <v>-132.234643</v>
      </c>
      <c r="F386" s="24">
        <f t="shared" si="3"/>
        <v>0.0002126850902</v>
      </c>
      <c r="G386" s="24">
        <f t="shared" si="4"/>
        <v>0</v>
      </c>
      <c r="H386" s="26">
        <f t="shared" si="5"/>
        <v>0</v>
      </c>
      <c r="I386" s="24">
        <f t="shared" si="6"/>
        <v>0</v>
      </c>
      <c r="J386" s="24">
        <f t="shared" si="7"/>
        <v>0</v>
      </c>
      <c r="K386" s="24"/>
      <c r="L386" s="24">
        <f t="shared" si="8"/>
        <v>421.5331728</v>
      </c>
      <c r="M386" s="14">
        <f t="shared" si="9"/>
        <v>415.8165192</v>
      </c>
      <c r="N386" s="27">
        <f t="shared" si="10"/>
        <v>5.716653571</v>
      </c>
      <c r="O386" s="24"/>
      <c r="P386" s="24"/>
      <c r="Q386" s="24"/>
      <c r="R386" s="26"/>
      <c r="S386" s="14">
        <f t="shared" si="13"/>
        <v>5.249580855</v>
      </c>
    </row>
    <row r="387">
      <c r="A387" s="11">
        <v>375.0</v>
      </c>
      <c r="B387" s="11">
        <v>1.42102608695652E9</v>
      </c>
      <c r="C387" s="2">
        <v>-102.6576538</v>
      </c>
      <c r="D387" s="24">
        <f t="shared" si="1"/>
        <v>626086.9565</v>
      </c>
      <c r="E387" s="25">
        <f t="shared" si="2"/>
        <v>-133.1529392</v>
      </c>
      <c r="F387" s="24">
        <f t="shared" si="3"/>
        <v>0.0002126748334</v>
      </c>
      <c r="G387" s="24">
        <f t="shared" si="4"/>
        <v>0</v>
      </c>
      <c r="H387" s="26">
        <f t="shared" si="5"/>
        <v>0</v>
      </c>
      <c r="I387" s="24">
        <f t="shared" si="6"/>
        <v>0</v>
      </c>
      <c r="J387" s="24">
        <f t="shared" si="7"/>
        <v>0</v>
      </c>
      <c r="K387" s="24"/>
      <c r="L387" s="24">
        <f t="shared" si="8"/>
        <v>412.4210156</v>
      </c>
      <c r="M387" s="14">
        <f t="shared" si="9"/>
        <v>415.6908919</v>
      </c>
      <c r="N387" s="27">
        <f t="shared" si="10"/>
        <v>-3.269876253</v>
      </c>
      <c r="O387" s="24"/>
      <c r="P387" s="24"/>
      <c r="Q387" s="24"/>
      <c r="R387" s="26"/>
      <c r="S387" s="14">
        <f t="shared" si="13"/>
        <v>-3.002714718</v>
      </c>
    </row>
    <row r="388">
      <c r="A388" s="11">
        <v>376.0</v>
      </c>
      <c r="B388" s="11">
        <v>1.4210304347826E9</v>
      </c>
      <c r="C388" s="2">
        <v>-102.6617584</v>
      </c>
      <c r="D388" s="24">
        <f t="shared" si="1"/>
        <v>630434.7826</v>
      </c>
      <c r="E388" s="25">
        <f t="shared" si="2"/>
        <v>-134.0712353</v>
      </c>
      <c r="F388" s="24">
        <f t="shared" si="3"/>
        <v>0.0002126647181</v>
      </c>
      <c r="G388" s="24">
        <f t="shared" si="4"/>
        <v>0</v>
      </c>
      <c r="H388" s="26">
        <f t="shared" si="5"/>
        <v>0</v>
      </c>
      <c r="I388" s="24">
        <f t="shared" si="6"/>
        <v>0</v>
      </c>
      <c r="J388" s="24">
        <f t="shared" si="7"/>
        <v>0</v>
      </c>
      <c r="K388" s="24"/>
      <c r="L388" s="24">
        <f t="shared" si="8"/>
        <v>412.0314128</v>
      </c>
      <c r="M388" s="14">
        <f t="shared" si="9"/>
        <v>415.5648015</v>
      </c>
      <c r="N388" s="27">
        <f t="shared" si="10"/>
        <v>-3.533388735</v>
      </c>
      <c r="O388" s="24"/>
      <c r="P388" s="24"/>
      <c r="Q388" s="24"/>
      <c r="R388" s="26"/>
      <c r="S388" s="14">
        <f t="shared" si="13"/>
        <v>-3.244697211</v>
      </c>
    </row>
    <row r="389">
      <c r="A389" s="11">
        <v>377.0</v>
      </c>
      <c r="B389" s="11">
        <v>1.42103478260869E9</v>
      </c>
      <c r="C389" s="2">
        <v>-102.7033234</v>
      </c>
      <c r="D389" s="24">
        <f t="shared" si="1"/>
        <v>634782.6087</v>
      </c>
      <c r="E389" s="25">
        <f t="shared" si="2"/>
        <v>-134.9895314</v>
      </c>
      <c r="F389" s="24">
        <f t="shared" si="3"/>
        <v>0.0002126547413</v>
      </c>
      <c r="G389" s="24">
        <f t="shared" si="4"/>
        <v>0</v>
      </c>
      <c r="H389" s="26">
        <f t="shared" si="5"/>
        <v>0</v>
      </c>
      <c r="I389" s="24">
        <f t="shared" si="6"/>
        <v>0</v>
      </c>
      <c r="J389" s="24">
        <f t="shared" si="7"/>
        <v>0</v>
      </c>
      <c r="K389" s="24"/>
      <c r="L389" s="24">
        <f t="shared" si="8"/>
        <v>408.1067964</v>
      </c>
      <c r="M389" s="14">
        <f t="shared" si="9"/>
        <v>415.4382472</v>
      </c>
      <c r="N389" s="27">
        <f t="shared" si="10"/>
        <v>-7.33145082</v>
      </c>
      <c r="O389" s="24"/>
      <c r="P389" s="24"/>
      <c r="Q389" s="24"/>
      <c r="R389" s="26"/>
      <c r="S389" s="14">
        <f t="shared" si="13"/>
        <v>-6.732442936</v>
      </c>
    </row>
    <row r="390">
      <c r="A390" s="11">
        <v>378.0</v>
      </c>
      <c r="B390" s="11">
        <v>1.42103913043478E9</v>
      </c>
      <c r="C390" s="2">
        <v>-102.6135025</v>
      </c>
      <c r="D390" s="24">
        <f t="shared" si="1"/>
        <v>639130.4348</v>
      </c>
      <c r="E390" s="25">
        <f t="shared" si="2"/>
        <v>-135.9078276</v>
      </c>
      <c r="F390" s="24">
        <f t="shared" si="3"/>
        <v>0.0002126449003</v>
      </c>
      <c r="G390" s="24">
        <f t="shared" si="4"/>
        <v>0</v>
      </c>
      <c r="H390" s="26">
        <f t="shared" si="5"/>
        <v>0</v>
      </c>
      <c r="I390" s="24">
        <f t="shared" si="6"/>
        <v>0</v>
      </c>
      <c r="J390" s="24">
        <f t="shared" si="7"/>
        <v>0</v>
      </c>
      <c r="K390" s="24"/>
      <c r="L390" s="24">
        <f t="shared" si="8"/>
        <v>416.6351599</v>
      </c>
      <c r="M390" s="14">
        <f t="shared" si="9"/>
        <v>415.3112281</v>
      </c>
      <c r="N390" s="27">
        <f t="shared" si="10"/>
        <v>1.323931828</v>
      </c>
      <c r="O390" s="24"/>
      <c r="P390" s="24"/>
      <c r="Q390" s="24"/>
      <c r="R390" s="26"/>
      <c r="S390" s="14">
        <f t="shared" si="13"/>
        <v>1.215761475</v>
      </c>
    </row>
    <row r="391">
      <c r="A391" s="11">
        <v>379.0</v>
      </c>
      <c r="B391" s="11">
        <v>1.42104347826087E9</v>
      </c>
      <c r="C391" s="2">
        <v>-102.6738205</v>
      </c>
      <c r="D391" s="24">
        <f t="shared" si="1"/>
        <v>643478.2609</v>
      </c>
      <c r="E391" s="25">
        <f t="shared" si="2"/>
        <v>-136.8261237</v>
      </c>
      <c r="F391" s="24">
        <f t="shared" si="3"/>
        <v>0.0002126351922</v>
      </c>
      <c r="G391" s="24">
        <f t="shared" si="4"/>
        <v>0</v>
      </c>
      <c r="H391" s="26">
        <f t="shared" si="5"/>
        <v>0</v>
      </c>
      <c r="I391" s="24">
        <f t="shared" si="6"/>
        <v>0</v>
      </c>
      <c r="J391" s="24">
        <f t="shared" si="7"/>
        <v>0</v>
      </c>
      <c r="K391" s="24"/>
      <c r="L391" s="24">
        <f t="shared" si="8"/>
        <v>410.888624</v>
      </c>
      <c r="M391" s="14">
        <f t="shared" si="9"/>
        <v>415.1837432</v>
      </c>
      <c r="N391" s="27">
        <f t="shared" si="10"/>
        <v>-4.295119195</v>
      </c>
      <c r="O391" s="24"/>
      <c r="P391" s="24"/>
      <c r="Q391" s="24"/>
      <c r="R391" s="26"/>
      <c r="S391" s="14">
        <f t="shared" si="13"/>
        <v>-3.944191346</v>
      </c>
    </row>
    <row r="392">
      <c r="A392" s="11">
        <v>380.0</v>
      </c>
      <c r="B392" s="11">
        <v>1.42104782608695E9</v>
      </c>
      <c r="C392" s="2">
        <v>-102.6691818</v>
      </c>
      <c r="D392" s="24">
        <f t="shared" si="1"/>
        <v>647826.087</v>
      </c>
      <c r="E392" s="25">
        <f t="shared" si="2"/>
        <v>-137.7444198</v>
      </c>
      <c r="F392" s="24">
        <f t="shared" si="3"/>
        <v>0.0002126256145</v>
      </c>
      <c r="G392" s="24">
        <f t="shared" si="4"/>
        <v>0</v>
      </c>
      <c r="H392" s="26">
        <f t="shared" si="5"/>
        <v>0</v>
      </c>
      <c r="I392" s="24">
        <f t="shared" si="6"/>
        <v>0</v>
      </c>
      <c r="J392" s="24">
        <f t="shared" si="7"/>
        <v>0</v>
      </c>
      <c r="K392" s="24"/>
      <c r="L392" s="24">
        <f t="shared" si="8"/>
        <v>411.3277286</v>
      </c>
      <c r="M392" s="14">
        <f t="shared" si="9"/>
        <v>415.0557914</v>
      </c>
      <c r="N392" s="27">
        <f t="shared" si="10"/>
        <v>-3.728062812</v>
      </c>
      <c r="O392" s="24"/>
      <c r="P392" s="24"/>
      <c r="Q392" s="24"/>
      <c r="R392" s="26"/>
      <c r="S392" s="14">
        <f t="shared" si="13"/>
        <v>-3.423465663</v>
      </c>
    </row>
    <row r="393">
      <c r="A393" s="11">
        <v>381.0</v>
      </c>
      <c r="B393" s="11">
        <v>1.42105217391304E9</v>
      </c>
      <c r="C393" s="2">
        <v>-102.6579971</v>
      </c>
      <c r="D393" s="24">
        <f t="shared" si="1"/>
        <v>652173.913</v>
      </c>
      <c r="E393" s="25">
        <f t="shared" si="2"/>
        <v>-138.662716</v>
      </c>
      <c r="F393" s="24">
        <f t="shared" si="3"/>
        <v>0.0002126161645</v>
      </c>
      <c r="G393" s="24">
        <f t="shared" si="4"/>
        <v>0</v>
      </c>
      <c r="H393" s="26">
        <f t="shared" si="5"/>
        <v>0</v>
      </c>
      <c r="I393" s="24">
        <f t="shared" si="6"/>
        <v>0</v>
      </c>
      <c r="J393" s="24">
        <f t="shared" si="7"/>
        <v>0</v>
      </c>
      <c r="K393" s="24"/>
      <c r="L393" s="24">
        <f t="shared" si="8"/>
        <v>412.3884159</v>
      </c>
      <c r="M393" s="14">
        <f t="shared" si="9"/>
        <v>414.927372</v>
      </c>
      <c r="N393" s="27">
        <f t="shared" si="10"/>
        <v>-2.538956062</v>
      </c>
      <c r="O393" s="24"/>
      <c r="P393" s="24"/>
      <c r="Q393" s="24"/>
      <c r="R393" s="26"/>
      <c r="S393" s="14">
        <f t="shared" si="13"/>
        <v>-2.331513528</v>
      </c>
    </row>
    <row r="394">
      <c r="A394" s="11">
        <v>382.0</v>
      </c>
      <c r="B394" s="11">
        <v>1.42105652173913E9</v>
      </c>
      <c r="C394" s="2">
        <v>-102.6287308</v>
      </c>
      <c r="D394" s="24">
        <f t="shared" si="1"/>
        <v>656521.7391</v>
      </c>
      <c r="E394" s="25">
        <f t="shared" si="2"/>
        <v>-139.5810121</v>
      </c>
      <c r="F394" s="24">
        <f t="shared" si="3"/>
        <v>0.0002126068396</v>
      </c>
      <c r="G394" s="24">
        <f t="shared" si="4"/>
        <v>0</v>
      </c>
      <c r="H394" s="26">
        <f t="shared" si="5"/>
        <v>0</v>
      </c>
      <c r="I394" s="24">
        <f t="shared" si="6"/>
        <v>0</v>
      </c>
      <c r="J394" s="24">
        <f t="shared" si="7"/>
        <v>0</v>
      </c>
      <c r="K394" s="24"/>
      <c r="L394" s="24">
        <f t="shared" si="8"/>
        <v>415.1768097</v>
      </c>
      <c r="M394" s="14">
        <f t="shared" si="9"/>
        <v>414.7984839</v>
      </c>
      <c r="N394" s="27">
        <f t="shared" si="10"/>
        <v>0.3783258242</v>
      </c>
      <c r="O394" s="24"/>
      <c r="P394" s="24"/>
      <c r="Q394" s="24"/>
      <c r="R394" s="26"/>
      <c r="S394" s="14">
        <f t="shared" si="13"/>
        <v>0.3474151413</v>
      </c>
    </row>
    <row r="395">
      <c r="A395" s="11">
        <v>383.0</v>
      </c>
      <c r="B395" s="11">
        <v>1.42106086956521E9</v>
      </c>
      <c r="C395" s="2">
        <v>-102.7057571</v>
      </c>
      <c r="D395" s="24">
        <f t="shared" si="1"/>
        <v>660869.5652</v>
      </c>
      <c r="E395" s="25">
        <f t="shared" si="2"/>
        <v>-140.4993082</v>
      </c>
      <c r="F395" s="24">
        <f t="shared" si="3"/>
        <v>0.0002125976374</v>
      </c>
      <c r="G395" s="24">
        <f t="shared" si="4"/>
        <v>0</v>
      </c>
      <c r="H395" s="26">
        <f t="shared" si="5"/>
        <v>0</v>
      </c>
      <c r="I395" s="24">
        <f t="shared" si="6"/>
        <v>0</v>
      </c>
      <c r="J395" s="24">
        <f t="shared" si="7"/>
        <v>0</v>
      </c>
      <c r="K395" s="24"/>
      <c r="L395" s="24">
        <f t="shared" si="8"/>
        <v>407.8781656</v>
      </c>
      <c r="M395" s="14">
        <f t="shared" si="9"/>
        <v>414.6691261</v>
      </c>
      <c r="N395" s="27">
        <f t="shared" si="10"/>
        <v>-6.790960578</v>
      </c>
      <c r="O395" s="24"/>
      <c r="P395" s="24"/>
      <c r="Q395" s="24"/>
      <c r="R395" s="26"/>
      <c r="S395" s="14">
        <f t="shared" si="13"/>
        <v>-6.236112837</v>
      </c>
    </row>
    <row r="396">
      <c r="A396" s="11">
        <v>384.0</v>
      </c>
      <c r="B396" s="11">
        <v>1.4210652173913E9</v>
      </c>
      <c r="C396" s="2">
        <v>-102.7271271</v>
      </c>
      <c r="D396" s="24">
        <f t="shared" si="1"/>
        <v>665217.3913</v>
      </c>
      <c r="E396" s="25">
        <f t="shared" si="2"/>
        <v>-141.4176043</v>
      </c>
      <c r="F396" s="24">
        <f t="shared" si="3"/>
        <v>0.0002125885556</v>
      </c>
      <c r="G396" s="24">
        <f t="shared" si="4"/>
        <v>0</v>
      </c>
      <c r="H396" s="26">
        <f t="shared" si="5"/>
        <v>0</v>
      </c>
      <c r="I396" s="24">
        <f t="shared" si="6"/>
        <v>0</v>
      </c>
      <c r="J396" s="24">
        <f t="shared" si="7"/>
        <v>0</v>
      </c>
      <c r="K396" s="24"/>
      <c r="L396" s="24">
        <f t="shared" si="8"/>
        <v>405.8760801</v>
      </c>
      <c r="M396" s="14">
        <f t="shared" si="9"/>
        <v>414.5392978</v>
      </c>
      <c r="N396" s="27">
        <f t="shared" si="10"/>
        <v>-8.663217681</v>
      </c>
      <c r="O396" s="24"/>
      <c r="P396" s="24"/>
      <c r="Q396" s="24"/>
      <c r="R396" s="26"/>
      <c r="S396" s="14">
        <f t="shared" si="13"/>
        <v>-7.955399275</v>
      </c>
    </row>
    <row r="397">
      <c r="A397" s="11">
        <v>385.0</v>
      </c>
      <c r="B397" s="11">
        <v>1.42106956521739E9</v>
      </c>
      <c r="C397" s="2">
        <v>-102.6848755</v>
      </c>
      <c r="D397" s="24">
        <f t="shared" si="1"/>
        <v>669565.2174</v>
      </c>
      <c r="E397" s="25">
        <f t="shared" si="2"/>
        <v>-142.3359005</v>
      </c>
      <c r="F397" s="24">
        <f t="shared" si="3"/>
        <v>0.0002125795916</v>
      </c>
      <c r="G397" s="24">
        <f t="shared" si="4"/>
        <v>0</v>
      </c>
      <c r="H397" s="26">
        <f t="shared" si="5"/>
        <v>0</v>
      </c>
      <c r="I397" s="24">
        <f t="shared" si="6"/>
        <v>0</v>
      </c>
      <c r="J397" s="24">
        <f t="shared" si="7"/>
        <v>0</v>
      </c>
      <c r="K397" s="24"/>
      <c r="L397" s="24">
        <f t="shared" si="8"/>
        <v>409.8440338</v>
      </c>
      <c r="M397" s="14">
        <f t="shared" si="9"/>
        <v>414.4089979</v>
      </c>
      <c r="N397" s="27">
        <f t="shared" si="10"/>
        <v>-4.564964091</v>
      </c>
      <c r="O397" s="24"/>
      <c r="P397" s="24"/>
      <c r="Q397" s="24"/>
      <c r="R397" s="26"/>
      <c r="S397" s="14">
        <f t="shared" si="13"/>
        <v>-4.191988871</v>
      </c>
    </row>
    <row r="398">
      <c r="A398" s="11">
        <v>386.0</v>
      </c>
      <c r="B398" s="11">
        <v>1.42107391304347E9</v>
      </c>
      <c r="C398" s="2">
        <v>-102.7032089</v>
      </c>
      <c r="D398" s="24">
        <f t="shared" si="1"/>
        <v>673913.0435</v>
      </c>
      <c r="E398" s="25">
        <f t="shared" si="2"/>
        <v>-143.2541966</v>
      </c>
      <c r="F398" s="24">
        <f t="shared" si="3"/>
        <v>0.0002125707434</v>
      </c>
      <c r="G398" s="24">
        <f t="shared" si="4"/>
        <v>0</v>
      </c>
      <c r="H398" s="26">
        <f t="shared" si="5"/>
        <v>0</v>
      </c>
      <c r="I398" s="24">
        <f t="shared" si="6"/>
        <v>0</v>
      </c>
      <c r="J398" s="24">
        <f t="shared" si="7"/>
        <v>0</v>
      </c>
      <c r="K398" s="24"/>
      <c r="L398" s="24">
        <f t="shared" si="8"/>
        <v>408.1175561</v>
      </c>
      <c r="M398" s="14">
        <f t="shared" si="9"/>
        <v>414.2782256</v>
      </c>
      <c r="N398" s="27">
        <f t="shared" si="10"/>
        <v>-6.160669434</v>
      </c>
      <c r="O398" s="24"/>
      <c r="P398" s="24"/>
      <c r="Q398" s="24"/>
      <c r="R398" s="26"/>
      <c r="S398" s="14">
        <f t="shared" si="13"/>
        <v>-5.657318917</v>
      </c>
    </row>
    <row r="399">
      <c r="A399" s="11">
        <v>387.0</v>
      </c>
      <c r="B399" s="11">
        <v>1.42107826086956E9</v>
      </c>
      <c r="C399" s="2">
        <v>-102.657074</v>
      </c>
      <c r="D399" s="24">
        <f t="shared" si="1"/>
        <v>678260.8696</v>
      </c>
      <c r="E399" s="25">
        <f t="shared" si="2"/>
        <v>-144.1724927</v>
      </c>
      <c r="F399" s="24">
        <f t="shared" si="3"/>
        <v>0.0002125620085</v>
      </c>
      <c r="G399" s="24">
        <f t="shared" si="4"/>
        <v>0</v>
      </c>
      <c r="H399" s="26">
        <f t="shared" si="5"/>
        <v>0</v>
      </c>
      <c r="I399" s="24">
        <f t="shared" si="6"/>
        <v>0</v>
      </c>
      <c r="J399" s="24">
        <f t="shared" si="7"/>
        <v>0</v>
      </c>
      <c r="K399" s="24"/>
      <c r="L399" s="24">
        <f t="shared" si="8"/>
        <v>412.4760791</v>
      </c>
      <c r="M399" s="14">
        <f t="shared" si="9"/>
        <v>414.1469798</v>
      </c>
      <c r="N399" s="27">
        <f t="shared" si="10"/>
        <v>-1.670900695</v>
      </c>
      <c r="O399" s="24"/>
      <c r="P399" s="24"/>
      <c r="Q399" s="24"/>
      <c r="R399" s="26"/>
      <c r="S399" s="14">
        <f t="shared" si="13"/>
        <v>-1.534381643</v>
      </c>
    </row>
    <row r="400">
      <c r="A400" s="11">
        <v>388.0</v>
      </c>
      <c r="B400" s="11">
        <v>1.42108260869565E9</v>
      </c>
      <c r="C400" s="2">
        <v>-102.6460571</v>
      </c>
      <c r="D400" s="24">
        <f t="shared" si="1"/>
        <v>682608.6957</v>
      </c>
      <c r="E400" s="25">
        <f t="shared" si="2"/>
        <v>-145.0907889</v>
      </c>
      <c r="F400" s="24">
        <f t="shared" si="3"/>
        <v>0.000212553385</v>
      </c>
      <c r="G400" s="24">
        <f t="shared" si="4"/>
        <v>0</v>
      </c>
      <c r="H400" s="26">
        <f t="shared" si="5"/>
        <v>0</v>
      </c>
      <c r="I400" s="24">
        <f t="shared" si="6"/>
        <v>0</v>
      </c>
      <c r="J400" s="24">
        <f t="shared" si="7"/>
        <v>0</v>
      </c>
      <c r="K400" s="24"/>
      <c r="L400" s="24">
        <f t="shared" si="8"/>
        <v>413.5237499</v>
      </c>
      <c r="M400" s="14">
        <f t="shared" si="9"/>
        <v>414.0152596</v>
      </c>
      <c r="N400" s="27">
        <f t="shared" si="10"/>
        <v>-0.4915097454</v>
      </c>
      <c r="O400" s="24"/>
      <c r="P400" s="24"/>
      <c r="Q400" s="24"/>
      <c r="R400" s="26"/>
      <c r="S400" s="14">
        <f t="shared" si="13"/>
        <v>-0.4513514985</v>
      </c>
    </row>
    <row r="401">
      <c r="A401" s="11">
        <v>389.0</v>
      </c>
      <c r="B401" s="11">
        <v>1.42108695652173E9</v>
      </c>
      <c r="C401" s="2">
        <v>-102.6410904</v>
      </c>
      <c r="D401" s="24">
        <f t="shared" si="1"/>
        <v>686956.5217</v>
      </c>
      <c r="E401" s="25">
        <f t="shared" si="2"/>
        <v>-146.009085</v>
      </c>
      <c r="F401" s="24">
        <f t="shared" si="3"/>
        <v>0.0002125448706</v>
      </c>
      <c r="G401" s="24">
        <f t="shared" si="4"/>
        <v>0</v>
      </c>
      <c r="H401" s="26">
        <f t="shared" si="5"/>
        <v>0</v>
      </c>
      <c r="I401" s="24">
        <f t="shared" si="6"/>
        <v>0</v>
      </c>
      <c r="J401" s="24">
        <f t="shared" si="7"/>
        <v>0</v>
      </c>
      <c r="K401" s="24"/>
      <c r="L401" s="24">
        <f t="shared" si="8"/>
        <v>413.9969364</v>
      </c>
      <c r="M401" s="14">
        <f t="shared" si="9"/>
        <v>413.8830641</v>
      </c>
      <c r="N401" s="27">
        <f t="shared" si="10"/>
        <v>0.1138723794</v>
      </c>
      <c r="O401" s="24"/>
      <c r="P401" s="24"/>
      <c r="Q401" s="24"/>
      <c r="R401" s="26"/>
      <c r="S401" s="14">
        <f t="shared" si="13"/>
        <v>0.1045685656</v>
      </c>
    </row>
    <row r="402">
      <c r="A402" s="11">
        <v>390.0</v>
      </c>
      <c r="B402" s="11">
        <v>1.42109130434782E9</v>
      </c>
      <c r="C402" s="2">
        <v>-102.663002</v>
      </c>
      <c r="D402" s="24">
        <f t="shared" si="1"/>
        <v>691304.3478</v>
      </c>
      <c r="E402" s="25">
        <f t="shared" si="2"/>
        <v>-146.9273811</v>
      </c>
      <c r="F402" s="24">
        <f t="shared" si="3"/>
        <v>0.0002125364633</v>
      </c>
      <c r="G402" s="24">
        <f t="shared" si="4"/>
        <v>0</v>
      </c>
      <c r="H402" s="26">
        <f t="shared" si="5"/>
        <v>0</v>
      </c>
      <c r="I402" s="24">
        <f t="shared" si="6"/>
        <v>0</v>
      </c>
      <c r="J402" s="24">
        <f t="shared" si="7"/>
        <v>0</v>
      </c>
      <c r="K402" s="24"/>
      <c r="L402" s="24">
        <f t="shared" si="8"/>
        <v>411.9134447</v>
      </c>
      <c r="M402" s="14">
        <f t="shared" si="9"/>
        <v>413.7503922</v>
      </c>
      <c r="N402" s="27">
        <f t="shared" si="10"/>
        <v>-1.836947558</v>
      </c>
      <c r="O402" s="24"/>
      <c r="P402" s="24"/>
      <c r="Q402" s="24"/>
      <c r="R402" s="26"/>
      <c r="S402" s="14">
        <f t="shared" si="13"/>
        <v>-1.686861838</v>
      </c>
    </row>
    <row r="403">
      <c r="A403" s="11">
        <v>391.0</v>
      </c>
      <c r="B403" s="11">
        <v>1.42109565217391E9</v>
      </c>
      <c r="C403" s="2">
        <v>-102.7149353</v>
      </c>
      <c r="D403" s="24">
        <f t="shared" si="1"/>
        <v>695652.1739</v>
      </c>
      <c r="E403" s="25">
        <f t="shared" si="2"/>
        <v>-147.8456773</v>
      </c>
      <c r="F403" s="24">
        <f t="shared" si="3"/>
        <v>0.0002125281611</v>
      </c>
      <c r="G403" s="24">
        <f t="shared" si="4"/>
        <v>0</v>
      </c>
      <c r="H403" s="26">
        <f t="shared" si="5"/>
        <v>0</v>
      </c>
      <c r="I403" s="24">
        <f t="shared" si="6"/>
        <v>0</v>
      </c>
      <c r="J403" s="24">
        <f t="shared" si="7"/>
        <v>0</v>
      </c>
      <c r="K403" s="24"/>
      <c r="L403" s="24">
        <f t="shared" si="8"/>
        <v>407.0170829</v>
      </c>
      <c r="M403" s="14">
        <f t="shared" si="9"/>
        <v>413.6172432</v>
      </c>
      <c r="N403" s="27">
        <f t="shared" si="10"/>
        <v>-6.600160254</v>
      </c>
      <c r="O403" s="24"/>
      <c r="P403" s="24"/>
      <c r="Q403" s="24"/>
      <c r="R403" s="26"/>
      <c r="S403" s="14">
        <f t="shared" si="13"/>
        <v>-6.060901623</v>
      </c>
    </row>
    <row r="404">
      <c r="A404" s="11">
        <v>392.0</v>
      </c>
      <c r="B404" s="11">
        <v>1.4211E9</v>
      </c>
      <c r="C404" s="2">
        <v>-102.6675339</v>
      </c>
      <c r="D404" s="24">
        <f t="shared" si="1"/>
        <v>700000</v>
      </c>
      <c r="E404" s="25">
        <f t="shared" si="2"/>
        <v>-148.7639734</v>
      </c>
      <c r="F404" s="24">
        <f t="shared" si="3"/>
        <v>0.000212519962</v>
      </c>
      <c r="G404" s="24">
        <f t="shared" si="4"/>
        <v>0</v>
      </c>
      <c r="H404" s="26">
        <f t="shared" si="5"/>
        <v>0</v>
      </c>
      <c r="I404" s="24">
        <f t="shared" si="6"/>
        <v>0</v>
      </c>
      <c r="J404" s="24">
        <f t="shared" si="7"/>
        <v>0</v>
      </c>
      <c r="K404" s="24"/>
      <c r="L404" s="24">
        <f t="shared" si="8"/>
        <v>411.4838337</v>
      </c>
      <c r="M404" s="14">
        <f t="shared" si="9"/>
        <v>413.4836159</v>
      </c>
      <c r="N404" s="27">
        <f t="shared" si="10"/>
        <v>-1.999782212</v>
      </c>
      <c r="O404" s="24"/>
      <c r="P404" s="24"/>
      <c r="Q404" s="24"/>
      <c r="R404" s="26"/>
      <c r="S404" s="14">
        <f t="shared" si="13"/>
        <v>-1.836392272</v>
      </c>
    </row>
    <row r="405">
      <c r="A405" s="11">
        <v>393.0</v>
      </c>
      <c r="B405" s="11">
        <v>1.42110434782608E9</v>
      </c>
      <c r="C405" s="2">
        <v>-102.6463242</v>
      </c>
      <c r="D405" s="24">
        <f t="shared" si="1"/>
        <v>704347.8261</v>
      </c>
      <c r="E405" s="25">
        <f t="shared" si="2"/>
        <v>-149.6822695</v>
      </c>
      <c r="F405" s="24">
        <f t="shared" si="3"/>
        <v>0.0002125118642</v>
      </c>
      <c r="G405" s="24">
        <f t="shared" si="4"/>
        <v>0</v>
      </c>
      <c r="H405" s="26">
        <f t="shared" si="5"/>
        <v>0</v>
      </c>
      <c r="I405" s="24">
        <f t="shared" si="6"/>
        <v>0</v>
      </c>
      <c r="J405" s="24">
        <f t="shared" si="7"/>
        <v>0</v>
      </c>
      <c r="K405" s="24"/>
      <c r="L405" s="24">
        <f t="shared" si="8"/>
        <v>413.4983181</v>
      </c>
      <c r="M405" s="14">
        <f t="shared" si="9"/>
        <v>413.3495095</v>
      </c>
      <c r="N405" s="27">
        <f t="shared" si="10"/>
        <v>0.1488086181</v>
      </c>
      <c r="O405" s="24"/>
      <c r="P405" s="24"/>
      <c r="Q405" s="24"/>
      <c r="R405" s="26"/>
      <c r="S405" s="14">
        <f t="shared" si="13"/>
        <v>0.1366503785</v>
      </c>
    </row>
    <row r="406">
      <c r="A406" s="11">
        <v>394.0</v>
      </c>
      <c r="B406" s="11">
        <v>1.42110869565217E9</v>
      </c>
      <c r="C406" s="2">
        <v>-102.6810379</v>
      </c>
      <c r="D406" s="24">
        <f t="shared" si="1"/>
        <v>708695.6522</v>
      </c>
      <c r="E406" s="25">
        <f t="shared" si="2"/>
        <v>-150.6005657</v>
      </c>
      <c r="F406" s="24">
        <f t="shared" si="3"/>
        <v>0.0002125038657</v>
      </c>
      <c r="G406" s="24">
        <f t="shared" si="4"/>
        <v>0</v>
      </c>
      <c r="H406" s="26">
        <f t="shared" si="5"/>
        <v>0</v>
      </c>
      <c r="I406" s="24">
        <f t="shared" si="6"/>
        <v>0</v>
      </c>
      <c r="J406" s="24">
        <f t="shared" si="7"/>
        <v>0</v>
      </c>
      <c r="K406" s="24"/>
      <c r="L406" s="24">
        <f t="shared" si="8"/>
        <v>410.2063485</v>
      </c>
      <c r="M406" s="14">
        <f t="shared" si="9"/>
        <v>413.2149229</v>
      </c>
      <c r="N406" s="27">
        <f t="shared" si="10"/>
        <v>-3.008574422</v>
      </c>
      <c r="O406" s="24"/>
      <c r="P406" s="24"/>
      <c r="Q406" s="24"/>
      <c r="R406" s="26"/>
      <c r="S406" s="14">
        <f t="shared" si="13"/>
        <v>-2.762762251</v>
      </c>
    </row>
    <row r="407">
      <c r="A407" s="11">
        <v>395.0</v>
      </c>
      <c r="B407" s="11">
        <v>1.42111304347826E9</v>
      </c>
      <c r="C407" s="2">
        <v>-102.6825562</v>
      </c>
      <c r="D407" s="24">
        <f t="shared" si="1"/>
        <v>713043.4783</v>
      </c>
      <c r="E407" s="25">
        <f t="shared" si="2"/>
        <v>-151.5188618</v>
      </c>
      <c r="F407" s="24">
        <f t="shared" si="3"/>
        <v>0.0002124959647</v>
      </c>
      <c r="G407" s="24">
        <f t="shared" si="4"/>
        <v>0</v>
      </c>
      <c r="H407" s="26">
        <f t="shared" si="5"/>
        <v>0</v>
      </c>
      <c r="I407" s="24">
        <f t="shared" si="6"/>
        <v>0</v>
      </c>
      <c r="J407" s="24">
        <f t="shared" si="7"/>
        <v>0</v>
      </c>
      <c r="K407" s="24"/>
      <c r="L407" s="24">
        <f t="shared" si="8"/>
        <v>410.0629648</v>
      </c>
      <c r="M407" s="14">
        <f t="shared" si="9"/>
        <v>413.0798553</v>
      </c>
      <c r="N407" s="27">
        <f t="shared" si="10"/>
        <v>-3.016890513</v>
      </c>
      <c r="O407" s="24"/>
      <c r="P407" s="24"/>
      <c r="Q407" s="24"/>
      <c r="R407" s="26"/>
      <c r="S407" s="14">
        <f t="shared" si="13"/>
        <v>-2.770398891</v>
      </c>
    </row>
    <row r="408">
      <c r="A408" s="11">
        <v>396.0</v>
      </c>
      <c r="B408" s="11">
        <v>1.42111739130434E9</v>
      </c>
      <c r="C408" s="2">
        <v>-102.6520386</v>
      </c>
      <c r="D408" s="24">
        <f t="shared" si="1"/>
        <v>717391.3043</v>
      </c>
      <c r="E408" s="25">
        <f t="shared" si="2"/>
        <v>-152.4371579</v>
      </c>
      <c r="F408" s="24">
        <f t="shared" si="3"/>
        <v>0.0002124881595</v>
      </c>
      <c r="G408" s="24">
        <f t="shared" si="4"/>
        <v>0</v>
      </c>
      <c r="H408" s="26">
        <f t="shared" si="5"/>
        <v>0</v>
      </c>
      <c r="I408" s="24">
        <f t="shared" si="6"/>
        <v>0</v>
      </c>
      <c r="J408" s="24">
        <f t="shared" si="7"/>
        <v>0</v>
      </c>
      <c r="K408" s="24"/>
      <c r="L408" s="24">
        <f t="shared" si="8"/>
        <v>412.9545992</v>
      </c>
      <c r="M408" s="14">
        <f t="shared" si="9"/>
        <v>412.9443057</v>
      </c>
      <c r="N408" s="27">
        <f t="shared" si="10"/>
        <v>0.01029351693</v>
      </c>
      <c r="O408" s="24"/>
      <c r="P408" s="24"/>
      <c r="Q408" s="24"/>
      <c r="R408" s="26"/>
      <c r="S408" s="14">
        <f t="shared" si="13"/>
        <v>0.009452496788</v>
      </c>
    </row>
    <row r="409">
      <c r="A409" s="11">
        <v>397.0</v>
      </c>
      <c r="B409" s="11">
        <v>1.42112173913043E9</v>
      </c>
      <c r="C409" s="2">
        <v>-102.6451187</v>
      </c>
      <c r="D409" s="24">
        <f t="shared" si="1"/>
        <v>721739.1304</v>
      </c>
      <c r="E409" s="25">
        <f t="shared" si="2"/>
        <v>-153.3554541</v>
      </c>
      <c r="F409" s="24">
        <f t="shared" si="3"/>
        <v>0.0002124804484</v>
      </c>
      <c r="G409" s="24">
        <f t="shared" si="4"/>
        <v>0</v>
      </c>
      <c r="H409" s="26">
        <f t="shared" si="5"/>
        <v>0</v>
      </c>
      <c r="I409" s="24">
        <f t="shared" si="6"/>
        <v>0</v>
      </c>
      <c r="J409" s="24">
        <f t="shared" si="7"/>
        <v>0</v>
      </c>
      <c r="K409" s="24"/>
      <c r="L409" s="24">
        <f t="shared" si="8"/>
        <v>413.6131115</v>
      </c>
      <c r="M409" s="14">
        <f t="shared" si="9"/>
        <v>412.8082731</v>
      </c>
      <c r="N409" s="27">
        <f t="shared" si="10"/>
        <v>0.8048383349</v>
      </c>
      <c r="O409" s="24"/>
      <c r="P409" s="24"/>
      <c r="Q409" s="24"/>
      <c r="R409" s="26"/>
      <c r="S409" s="14">
        <f t="shared" si="13"/>
        <v>0.7390799287</v>
      </c>
    </row>
    <row r="410">
      <c r="A410" s="11">
        <v>398.0</v>
      </c>
      <c r="B410" s="11">
        <v>1.42112608695652E9</v>
      </c>
      <c r="C410" s="2">
        <v>-102.7073212</v>
      </c>
      <c r="D410" s="24">
        <f t="shared" si="1"/>
        <v>726086.9565</v>
      </c>
      <c r="E410" s="25">
        <f t="shared" si="2"/>
        <v>-154.2737502</v>
      </c>
      <c r="F410" s="24">
        <f t="shared" si="3"/>
        <v>0.0002124728296</v>
      </c>
      <c r="G410" s="24">
        <f t="shared" si="4"/>
        <v>0</v>
      </c>
      <c r="H410" s="26">
        <f t="shared" si="5"/>
        <v>0</v>
      </c>
      <c r="I410" s="24">
        <f t="shared" si="6"/>
        <v>0</v>
      </c>
      <c r="J410" s="24">
        <f t="shared" si="7"/>
        <v>0</v>
      </c>
      <c r="K410" s="24"/>
      <c r="L410" s="24">
        <f t="shared" si="8"/>
        <v>407.7312958</v>
      </c>
      <c r="M410" s="14">
        <f t="shared" si="9"/>
        <v>412.6717567</v>
      </c>
      <c r="N410" s="27">
        <f t="shared" si="10"/>
        <v>-4.940460888</v>
      </c>
      <c r="O410" s="24"/>
      <c r="P410" s="24"/>
      <c r="Q410" s="24"/>
      <c r="R410" s="26"/>
      <c r="S410" s="14">
        <f t="shared" si="13"/>
        <v>-4.536806128</v>
      </c>
    </row>
    <row r="411">
      <c r="A411" s="11">
        <v>399.0</v>
      </c>
      <c r="B411" s="11">
        <v>1.4211304347826E9</v>
      </c>
      <c r="C411" s="2">
        <v>-102.6279984</v>
      </c>
      <c r="D411" s="24">
        <f t="shared" si="1"/>
        <v>730434.7826</v>
      </c>
      <c r="E411" s="25">
        <f t="shared" si="2"/>
        <v>-155.1920463</v>
      </c>
      <c r="F411" s="24">
        <f t="shared" si="3"/>
        <v>0.0002124653015</v>
      </c>
      <c r="G411" s="24">
        <f t="shared" si="4"/>
        <v>0</v>
      </c>
      <c r="H411" s="26">
        <f t="shared" si="5"/>
        <v>0</v>
      </c>
      <c r="I411" s="24">
        <f t="shared" si="6"/>
        <v>0</v>
      </c>
      <c r="J411" s="24">
        <f t="shared" si="7"/>
        <v>0</v>
      </c>
      <c r="K411" s="24"/>
      <c r="L411" s="24">
        <f t="shared" si="8"/>
        <v>415.2468316</v>
      </c>
      <c r="M411" s="14">
        <f t="shared" si="9"/>
        <v>412.5347553</v>
      </c>
      <c r="N411" s="27">
        <f t="shared" si="10"/>
        <v>2.712076283</v>
      </c>
      <c r="O411" s="24"/>
      <c r="P411" s="24"/>
      <c r="Q411" s="24"/>
      <c r="R411" s="26"/>
      <c r="S411" s="14">
        <f t="shared" si="13"/>
        <v>2.490489163</v>
      </c>
    </row>
    <row r="412">
      <c r="A412" s="11">
        <v>400.0</v>
      </c>
      <c r="B412" s="11">
        <v>1.42113478260869E9</v>
      </c>
      <c r="C412" s="2">
        <v>-102.6395874</v>
      </c>
      <c r="D412" s="24">
        <f t="shared" si="1"/>
        <v>734782.6087</v>
      </c>
      <c r="E412" s="25">
        <f t="shared" si="2"/>
        <v>-156.1103425</v>
      </c>
      <c r="F412" s="24">
        <f t="shared" si="3"/>
        <v>0.0002124578625</v>
      </c>
      <c r="G412" s="24">
        <f t="shared" si="4"/>
        <v>0</v>
      </c>
      <c r="H412" s="26">
        <f t="shared" si="5"/>
        <v>0</v>
      </c>
      <c r="I412" s="24">
        <f t="shared" si="6"/>
        <v>0</v>
      </c>
      <c r="J412" s="24">
        <f t="shared" si="7"/>
        <v>0</v>
      </c>
      <c r="K412" s="24"/>
      <c r="L412" s="24">
        <f t="shared" si="8"/>
        <v>414.1402367</v>
      </c>
      <c r="M412" s="14">
        <f t="shared" si="9"/>
        <v>412.3972681</v>
      </c>
      <c r="N412" s="27">
        <f t="shared" si="10"/>
        <v>1.742968579</v>
      </c>
      <c r="O412" s="24"/>
      <c r="P412" s="24"/>
      <c r="Q412" s="24"/>
      <c r="R412" s="26"/>
      <c r="S412" s="14">
        <f t="shared" si="13"/>
        <v>1.600561306</v>
      </c>
    </row>
    <row r="413">
      <c r="A413" s="11">
        <v>401.0</v>
      </c>
      <c r="B413" s="11">
        <v>1.42113913043478E9</v>
      </c>
      <c r="C413" s="2">
        <v>-102.6696777</v>
      </c>
      <c r="D413" s="24">
        <f t="shared" si="1"/>
        <v>739130.4348</v>
      </c>
      <c r="E413" s="25">
        <f t="shared" si="2"/>
        <v>-157.0286386</v>
      </c>
      <c r="F413" s="24">
        <f t="shared" si="3"/>
        <v>0.000212450511</v>
      </c>
      <c r="G413" s="24">
        <f t="shared" si="4"/>
        <v>0</v>
      </c>
      <c r="H413" s="26">
        <f t="shared" si="5"/>
        <v>0</v>
      </c>
      <c r="I413" s="24">
        <f t="shared" si="6"/>
        <v>0</v>
      </c>
      <c r="J413" s="24">
        <f t="shared" si="7"/>
        <v>0</v>
      </c>
      <c r="K413" s="24"/>
      <c r="L413" s="24">
        <f t="shared" si="8"/>
        <v>411.2807638</v>
      </c>
      <c r="M413" s="14">
        <f t="shared" si="9"/>
        <v>412.2592942</v>
      </c>
      <c r="N413" s="27">
        <f t="shared" si="10"/>
        <v>-0.9785303841</v>
      </c>
      <c r="O413" s="24"/>
      <c r="P413" s="24"/>
      <c r="Q413" s="24"/>
      <c r="R413" s="26"/>
      <c r="S413" s="14">
        <f t="shared" si="13"/>
        <v>-0.8985806655</v>
      </c>
    </row>
    <row r="414">
      <c r="A414" s="11">
        <v>402.0</v>
      </c>
      <c r="B414" s="11">
        <v>1.42114347826087E9</v>
      </c>
      <c r="C414" s="2">
        <v>-102.6751785</v>
      </c>
      <c r="D414" s="24">
        <f t="shared" si="1"/>
        <v>743478.2609</v>
      </c>
      <c r="E414" s="25">
        <f t="shared" si="2"/>
        <v>-157.9469347</v>
      </c>
      <c r="F414" s="24">
        <f t="shared" si="3"/>
        <v>0.0002124432455</v>
      </c>
      <c r="G414" s="24">
        <f t="shared" si="4"/>
        <v>0</v>
      </c>
      <c r="H414" s="26">
        <f t="shared" si="5"/>
        <v>0</v>
      </c>
      <c r="I414" s="24">
        <f t="shared" si="6"/>
        <v>0</v>
      </c>
      <c r="J414" s="24">
        <f t="shared" si="7"/>
        <v>0</v>
      </c>
      <c r="K414" s="24"/>
      <c r="L414" s="24">
        <f t="shared" si="8"/>
        <v>410.7601629</v>
      </c>
      <c r="M414" s="14">
        <f t="shared" si="9"/>
        <v>412.1208325</v>
      </c>
      <c r="N414" s="27">
        <f t="shared" si="10"/>
        <v>-1.360669624</v>
      </c>
      <c r="O414" s="24"/>
      <c r="P414" s="24"/>
      <c r="Q414" s="24"/>
      <c r="R414" s="26"/>
      <c r="S414" s="14">
        <f t="shared" si="13"/>
        <v>-1.249497653</v>
      </c>
    </row>
    <row r="415">
      <c r="A415" s="11">
        <v>403.0</v>
      </c>
      <c r="B415" s="11">
        <v>1.42114782608695E9</v>
      </c>
      <c r="C415" s="2">
        <v>-102.6913757</v>
      </c>
      <c r="D415" s="24">
        <f t="shared" si="1"/>
        <v>747826.087</v>
      </c>
      <c r="E415" s="25">
        <f t="shared" si="2"/>
        <v>-158.8652309</v>
      </c>
      <c r="F415" s="24">
        <f t="shared" si="3"/>
        <v>0.0002124360645</v>
      </c>
      <c r="G415" s="24">
        <f t="shared" si="4"/>
        <v>0</v>
      </c>
      <c r="H415" s="26">
        <f t="shared" si="5"/>
        <v>0</v>
      </c>
      <c r="I415" s="24">
        <f t="shared" si="6"/>
        <v>0</v>
      </c>
      <c r="J415" s="24">
        <f t="shared" si="7"/>
        <v>0</v>
      </c>
      <c r="K415" s="24"/>
      <c r="L415" s="24">
        <f t="shared" si="8"/>
        <v>409.2310683</v>
      </c>
      <c r="M415" s="14">
        <f t="shared" si="9"/>
        <v>411.9818821</v>
      </c>
      <c r="N415" s="27">
        <f t="shared" si="10"/>
        <v>-2.750813823</v>
      </c>
      <c r="O415" s="24"/>
      <c r="P415" s="24"/>
      <c r="Q415" s="24"/>
      <c r="R415" s="26"/>
      <c r="S415" s="14">
        <f t="shared" si="13"/>
        <v>-2.526061696</v>
      </c>
    </row>
    <row r="416">
      <c r="A416" s="11">
        <v>404.0</v>
      </c>
      <c r="B416" s="11">
        <v>1.42115217391304E9</v>
      </c>
      <c r="C416" s="2">
        <v>-102.6645737</v>
      </c>
      <c r="D416" s="24">
        <f t="shared" si="1"/>
        <v>752173.913</v>
      </c>
      <c r="E416" s="25">
        <f t="shared" si="2"/>
        <v>-159.783527</v>
      </c>
      <c r="F416" s="24">
        <f t="shared" si="3"/>
        <v>0.0002124289665</v>
      </c>
      <c r="G416" s="24">
        <f t="shared" si="4"/>
        <v>0</v>
      </c>
      <c r="H416" s="26">
        <f t="shared" si="5"/>
        <v>0</v>
      </c>
      <c r="I416" s="24">
        <f t="shared" si="6"/>
        <v>0</v>
      </c>
      <c r="J416" s="24">
        <f t="shared" si="7"/>
        <v>0</v>
      </c>
      <c r="K416" s="24"/>
      <c r="L416" s="24">
        <f t="shared" si="8"/>
        <v>411.7644013</v>
      </c>
      <c r="M416" s="14">
        <f t="shared" si="9"/>
        <v>411.8424421</v>
      </c>
      <c r="N416" s="27">
        <f t="shared" si="10"/>
        <v>-0.07804084691</v>
      </c>
      <c r="O416" s="24"/>
      <c r="P416" s="24"/>
      <c r="Q416" s="24"/>
      <c r="R416" s="26"/>
      <c r="S416" s="14">
        <f t="shared" si="13"/>
        <v>-0.07166460776</v>
      </c>
    </row>
    <row r="417">
      <c r="A417" s="11">
        <v>405.0</v>
      </c>
      <c r="B417" s="11">
        <v>1.42115652173913E9</v>
      </c>
      <c r="C417" s="2">
        <v>-102.6868057</v>
      </c>
      <c r="D417" s="3">
        <f t="shared" si="1"/>
        <v>756521.7391</v>
      </c>
      <c r="E417" s="4">
        <f t="shared" si="2"/>
        <v>-160.7018231</v>
      </c>
      <c r="F417" s="3">
        <f t="shared" si="3"/>
        <v>0.0002124219501</v>
      </c>
      <c r="G417" s="3">
        <f t="shared" si="4"/>
        <v>0</v>
      </c>
      <c r="H417" s="2">
        <f t="shared" si="5"/>
        <v>0</v>
      </c>
      <c r="I417" s="3">
        <f t="shared" si="6"/>
        <v>0</v>
      </c>
      <c r="J417" s="3">
        <f t="shared" si="7"/>
        <v>0</v>
      </c>
      <c r="K417" s="3"/>
      <c r="L417" s="3">
        <f t="shared" si="8"/>
        <v>409.6619212</v>
      </c>
      <c r="M417" s="14">
        <f t="shared" si="9"/>
        <v>411.7025116</v>
      </c>
      <c r="N417" s="14">
        <f t="shared" si="10"/>
        <v>-2.040590375</v>
      </c>
      <c r="O417" s="3"/>
      <c r="P417" s="3"/>
      <c r="Q417" s="3"/>
      <c r="R417" s="2"/>
      <c r="S417" s="14">
        <f t="shared" si="13"/>
        <v>-1.87386625</v>
      </c>
    </row>
    <row r="418">
      <c r="A418" s="11">
        <v>406.0</v>
      </c>
      <c r="B418" s="11">
        <v>1.42116086956521E9</v>
      </c>
      <c r="C418" s="2">
        <v>-102.6240692</v>
      </c>
      <c r="D418" s="3">
        <f t="shared" si="1"/>
        <v>760869.5652</v>
      </c>
      <c r="E418" s="4">
        <f t="shared" si="2"/>
        <v>-161.6201193</v>
      </c>
      <c r="F418" s="3">
        <f t="shared" si="3"/>
        <v>0.0002124150139</v>
      </c>
      <c r="G418" s="3">
        <f t="shared" si="4"/>
        <v>0</v>
      </c>
      <c r="H418" s="2">
        <f t="shared" si="5"/>
        <v>0</v>
      </c>
      <c r="I418" s="3">
        <f t="shared" si="6"/>
        <v>0</v>
      </c>
      <c r="J418" s="3">
        <f t="shared" si="7"/>
        <v>0</v>
      </c>
      <c r="K418" s="3"/>
      <c r="L418" s="3">
        <f t="shared" si="8"/>
        <v>415.6226886</v>
      </c>
      <c r="M418" s="14">
        <f t="shared" si="9"/>
        <v>411.5620895</v>
      </c>
      <c r="N418" s="14">
        <f t="shared" si="10"/>
        <v>4.060599111</v>
      </c>
      <c r="O418" s="3"/>
      <c r="P418" s="3"/>
      <c r="Q418" s="3"/>
      <c r="R418" s="2"/>
      <c r="S418" s="14">
        <f t="shared" si="13"/>
        <v>3.72883246</v>
      </c>
    </row>
    <row r="419">
      <c r="A419" s="11">
        <v>407.0</v>
      </c>
      <c r="B419" s="11">
        <v>1.4211652173913E9</v>
      </c>
      <c r="C419" s="2">
        <v>-102.6650162</v>
      </c>
      <c r="D419" s="3">
        <f t="shared" si="1"/>
        <v>765217.3913</v>
      </c>
      <c r="E419" s="4">
        <f t="shared" si="2"/>
        <v>-162.5384154</v>
      </c>
      <c r="F419" s="3">
        <f t="shared" si="3"/>
        <v>0.0002124081565</v>
      </c>
      <c r="G419" s="3">
        <f t="shared" si="4"/>
        <v>0</v>
      </c>
      <c r="H419" s="2">
        <f t="shared" si="5"/>
        <v>0</v>
      </c>
      <c r="I419" s="3">
        <f t="shared" si="6"/>
        <v>0</v>
      </c>
      <c r="J419" s="3">
        <f t="shared" si="7"/>
        <v>0</v>
      </c>
      <c r="K419" s="3"/>
      <c r="L419" s="3">
        <f t="shared" si="8"/>
        <v>411.722449</v>
      </c>
      <c r="M419" s="14">
        <f t="shared" si="9"/>
        <v>411.4211749</v>
      </c>
      <c r="N419" s="14">
        <f t="shared" si="10"/>
        <v>0.3012741477</v>
      </c>
      <c r="O419" s="3"/>
      <c r="P419" s="3"/>
      <c r="Q419" s="3"/>
      <c r="R419" s="2"/>
      <c r="S419" s="14">
        <f t="shared" si="13"/>
        <v>0.2766588841</v>
      </c>
    </row>
    <row r="420">
      <c r="A420" s="11">
        <v>408.0</v>
      </c>
      <c r="B420" s="11">
        <v>1.42116956521739E9</v>
      </c>
      <c r="C420" s="2">
        <v>-102.697464</v>
      </c>
      <c r="D420" s="3">
        <f t="shared" si="1"/>
        <v>769565.2174</v>
      </c>
      <c r="E420" s="4">
        <f t="shared" si="2"/>
        <v>-163.4567115</v>
      </c>
      <c r="F420" s="3">
        <f t="shared" si="3"/>
        <v>0.0002124013765</v>
      </c>
      <c r="G420" s="3">
        <f t="shared" si="4"/>
        <v>0</v>
      </c>
      <c r="H420" s="2">
        <f t="shared" si="5"/>
        <v>0</v>
      </c>
      <c r="I420" s="3">
        <f t="shared" si="6"/>
        <v>0</v>
      </c>
      <c r="J420" s="3">
        <f t="shared" si="7"/>
        <v>0</v>
      </c>
      <c r="K420" s="3"/>
      <c r="L420" s="3">
        <f t="shared" si="8"/>
        <v>408.6577762</v>
      </c>
      <c r="M420" s="14">
        <f t="shared" si="9"/>
        <v>411.2797668</v>
      </c>
      <c r="N420" s="14">
        <f t="shared" si="10"/>
        <v>-2.621990604</v>
      </c>
      <c r="O420" s="3"/>
      <c r="P420" s="3"/>
      <c r="Q420" s="3"/>
      <c r="R420" s="2"/>
      <c r="S420" s="14">
        <f t="shared" si="13"/>
        <v>-2.407763832</v>
      </c>
    </row>
    <row r="421">
      <c r="A421" s="11">
        <v>409.0</v>
      </c>
      <c r="B421" s="11">
        <v>1.42117391304347E9</v>
      </c>
      <c r="C421" s="2">
        <v>-102.6609344</v>
      </c>
      <c r="D421" s="3">
        <f t="shared" si="1"/>
        <v>773913.0435</v>
      </c>
      <c r="E421" s="4">
        <f t="shared" si="2"/>
        <v>-164.3750077</v>
      </c>
      <c r="F421" s="3">
        <f t="shared" si="3"/>
        <v>0.0002123946728</v>
      </c>
      <c r="G421" s="3">
        <f t="shared" si="4"/>
        <v>0</v>
      </c>
      <c r="H421" s="2">
        <f t="shared" si="5"/>
        <v>0</v>
      </c>
      <c r="I421" s="3">
        <f t="shared" si="6"/>
        <v>0</v>
      </c>
      <c r="J421" s="3">
        <f t="shared" si="7"/>
        <v>0</v>
      </c>
      <c r="K421" s="3"/>
      <c r="L421" s="3">
        <f t="shared" si="8"/>
        <v>412.1095962</v>
      </c>
      <c r="M421" s="14">
        <f t="shared" si="9"/>
        <v>411.1378644</v>
      </c>
      <c r="N421" s="14">
        <f t="shared" si="10"/>
        <v>0.9717317676</v>
      </c>
      <c r="O421" s="3"/>
      <c r="P421" s="3"/>
      <c r="Q421" s="3"/>
      <c r="R421" s="2"/>
      <c r="S421" s="14">
        <f t="shared" si="13"/>
        <v>0.8923375243</v>
      </c>
    </row>
    <row r="422">
      <c r="A422" s="11">
        <v>410.0</v>
      </c>
      <c r="B422" s="11">
        <v>1.42117826086956E9</v>
      </c>
      <c r="C422" s="2">
        <v>-102.6992035</v>
      </c>
      <c r="D422" s="3">
        <f t="shared" si="1"/>
        <v>778260.8696</v>
      </c>
      <c r="E422" s="4">
        <f t="shared" si="2"/>
        <v>-165.2933038</v>
      </c>
      <c r="F422" s="3">
        <f t="shared" si="3"/>
        <v>0.000212388044</v>
      </c>
      <c r="G422" s="3">
        <f t="shared" si="4"/>
        <v>0</v>
      </c>
      <c r="H422" s="2">
        <f t="shared" si="5"/>
        <v>0</v>
      </c>
      <c r="I422" s="3">
        <f t="shared" si="6"/>
        <v>0</v>
      </c>
      <c r="J422" s="3">
        <f t="shared" si="7"/>
        <v>0</v>
      </c>
      <c r="K422" s="3"/>
      <c r="L422" s="3">
        <f t="shared" si="8"/>
        <v>408.4941274</v>
      </c>
      <c r="M422" s="14">
        <f t="shared" si="9"/>
        <v>410.9954666</v>
      </c>
      <c r="N422" s="14">
        <f t="shared" si="10"/>
        <v>-2.501339226</v>
      </c>
      <c r="O422" s="3"/>
      <c r="P422" s="3"/>
      <c r="Q422" s="3"/>
      <c r="R422" s="2"/>
      <c r="S422" s="14">
        <f t="shared" si="13"/>
        <v>-2.296970133</v>
      </c>
    </row>
    <row r="423">
      <c r="A423" s="11">
        <v>411.0</v>
      </c>
      <c r="B423" s="11">
        <v>1.42118260869565E9</v>
      </c>
      <c r="C423" s="2">
        <v>-102.7612305</v>
      </c>
      <c r="D423" s="3">
        <f t="shared" si="1"/>
        <v>782608.6957</v>
      </c>
      <c r="E423" s="4">
        <f t="shared" si="2"/>
        <v>-166.2115999</v>
      </c>
      <c r="F423" s="3">
        <f t="shared" si="3"/>
        <v>0.0002123814888</v>
      </c>
      <c r="G423" s="3">
        <f t="shared" si="4"/>
        <v>0</v>
      </c>
      <c r="H423" s="2">
        <f t="shared" si="5"/>
        <v>0</v>
      </c>
      <c r="I423" s="3">
        <f t="shared" si="6"/>
        <v>0</v>
      </c>
      <c r="J423" s="3">
        <f t="shared" si="7"/>
        <v>0</v>
      </c>
      <c r="K423" s="3"/>
      <c r="L423" s="3">
        <f t="shared" si="8"/>
        <v>402.7013795</v>
      </c>
      <c r="M423" s="14">
        <f t="shared" si="9"/>
        <v>410.8525725</v>
      </c>
      <c r="N423" s="14">
        <f t="shared" si="10"/>
        <v>-8.151192987</v>
      </c>
      <c r="O423" s="3"/>
      <c r="P423" s="3"/>
      <c r="Q423" s="3"/>
      <c r="R423" s="2"/>
      <c r="S423" s="14">
        <f t="shared" si="13"/>
        <v>-7.485208998</v>
      </c>
    </row>
    <row r="424">
      <c r="A424" s="11">
        <v>412.0</v>
      </c>
      <c r="B424" s="11">
        <v>1.42118695652173E9</v>
      </c>
      <c r="C424" s="2">
        <v>-102.6625824</v>
      </c>
      <c r="D424" s="3">
        <f t="shared" si="1"/>
        <v>786956.5217</v>
      </c>
      <c r="E424" s="4">
        <f t="shared" si="2"/>
        <v>-167.129896</v>
      </c>
      <c r="F424" s="3">
        <f t="shared" si="3"/>
        <v>0.000212375006</v>
      </c>
      <c r="G424" s="3">
        <f t="shared" si="4"/>
        <v>0</v>
      </c>
      <c r="H424" s="2">
        <f t="shared" si="5"/>
        <v>0</v>
      </c>
      <c r="I424" s="3">
        <f t="shared" si="6"/>
        <v>0</v>
      </c>
      <c r="J424" s="3">
        <f t="shared" si="7"/>
        <v>0</v>
      </c>
      <c r="K424" s="3"/>
      <c r="L424" s="3">
        <f t="shared" si="8"/>
        <v>411.9532442</v>
      </c>
      <c r="M424" s="14">
        <f t="shared" si="9"/>
        <v>410.7091812</v>
      </c>
      <c r="N424" s="14">
        <f t="shared" si="10"/>
        <v>1.244063032</v>
      </c>
      <c r="O424" s="3"/>
      <c r="P424" s="3"/>
      <c r="Q424" s="3"/>
      <c r="R424" s="2"/>
      <c r="S424" s="14">
        <f t="shared" si="13"/>
        <v>1.142418271</v>
      </c>
    </row>
    <row r="425">
      <c r="A425" s="11">
        <v>413.0</v>
      </c>
      <c r="B425" s="11">
        <v>1.42119130434782E9</v>
      </c>
      <c r="C425" s="2">
        <v>-102.6923447</v>
      </c>
      <c r="D425" s="3">
        <f t="shared" si="1"/>
        <v>791304.3478</v>
      </c>
      <c r="E425" s="4">
        <f t="shared" si="2"/>
        <v>-168.0481922</v>
      </c>
      <c r="F425" s="3">
        <f t="shared" si="3"/>
        <v>0.0002123685945</v>
      </c>
      <c r="G425" s="3">
        <f t="shared" si="4"/>
        <v>0</v>
      </c>
      <c r="H425" s="2">
        <f t="shared" si="5"/>
        <v>0</v>
      </c>
      <c r="I425" s="3">
        <f t="shared" si="6"/>
        <v>0</v>
      </c>
      <c r="J425" s="3">
        <f t="shared" si="7"/>
        <v>0</v>
      </c>
      <c r="K425" s="3"/>
      <c r="L425" s="3">
        <f t="shared" si="8"/>
        <v>409.1397707</v>
      </c>
      <c r="M425" s="14">
        <f t="shared" si="9"/>
        <v>410.5652917</v>
      </c>
      <c r="N425" s="14">
        <f t="shared" si="10"/>
        <v>-1.425521013</v>
      </c>
      <c r="O425" s="3"/>
      <c r="P425" s="3"/>
      <c r="Q425" s="3"/>
      <c r="R425" s="2"/>
      <c r="S425" s="14">
        <f t="shared" si="13"/>
        <v>-1.309050434</v>
      </c>
    </row>
    <row r="426">
      <c r="A426" s="11">
        <v>414.0</v>
      </c>
      <c r="B426" s="11">
        <v>1.42119565217391E9</v>
      </c>
      <c r="C426" s="2">
        <v>-102.6872559</v>
      </c>
      <c r="D426" s="3">
        <f t="shared" si="1"/>
        <v>795652.1739</v>
      </c>
      <c r="E426" s="4">
        <f t="shared" si="2"/>
        <v>-168.9664883</v>
      </c>
      <c r="F426" s="3">
        <f t="shared" si="3"/>
        <v>0.0002123622531</v>
      </c>
      <c r="G426" s="3">
        <f t="shared" si="4"/>
        <v>0</v>
      </c>
      <c r="H426" s="2">
        <f t="shared" si="5"/>
        <v>0</v>
      </c>
      <c r="I426" s="3">
        <f t="shared" si="6"/>
        <v>0</v>
      </c>
      <c r="J426" s="3">
        <f t="shared" si="7"/>
        <v>0</v>
      </c>
      <c r="K426" s="3"/>
      <c r="L426" s="3">
        <f t="shared" si="8"/>
        <v>409.6194569</v>
      </c>
      <c r="M426" s="14">
        <f t="shared" si="9"/>
        <v>410.420903</v>
      </c>
      <c r="N426" s="14">
        <f t="shared" si="10"/>
        <v>-0.8014461145</v>
      </c>
      <c r="O426" s="3"/>
      <c r="P426" s="3"/>
      <c r="Q426" s="3"/>
      <c r="R426" s="2"/>
      <c r="S426" s="14">
        <f t="shared" si="13"/>
        <v>-0.7359648659</v>
      </c>
    </row>
    <row r="427">
      <c r="A427" s="11">
        <v>415.0</v>
      </c>
      <c r="B427" s="11">
        <v>1.4212E9</v>
      </c>
      <c r="C427" s="2">
        <v>-102.7199249</v>
      </c>
      <c r="D427" s="3">
        <f t="shared" si="1"/>
        <v>800000</v>
      </c>
      <c r="E427" s="4">
        <f t="shared" si="2"/>
        <v>-169.8847844</v>
      </c>
      <c r="F427" s="3">
        <f t="shared" si="3"/>
        <v>0.0002123559806</v>
      </c>
      <c r="G427" s="3">
        <f t="shared" si="4"/>
        <v>0</v>
      </c>
      <c r="H427" s="2">
        <f t="shared" si="5"/>
        <v>0</v>
      </c>
      <c r="I427" s="3">
        <f t="shared" si="6"/>
        <v>0</v>
      </c>
      <c r="J427" s="3">
        <f t="shared" si="7"/>
        <v>0</v>
      </c>
      <c r="K427" s="3"/>
      <c r="L427" s="3">
        <f t="shared" si="8"/>
        <v>406.5497304</v>
      </c>
      <c r="M427" s="14">
        <f t="shared" si="9"/>
        <v>410.2760142</v>
      </c>
      <c r="N427" s="14">
        <f t="shared" si="10"/>
        <v>-3.7262838</v>
      </c>
      <c r="O427" s="3"/>
      <c r="P427" s="3"/>
      <c r="Q427" s="3"/>
      <c r="R427" s="2"/>
      <c r="S427" s="14">
        <f t="shared" si="13"/>
        <v>-3.421832003</v>
      </c>
    </row>
    <row r="428">
      <c r="A428" s="11">
        <v>416.0</v>
      </c>
      <c r="B428" s="11">
        <v>1.42120434782608E9</v>
      </c>
      <c r="C428" s="2">
        <v>-102.6384354</v>
      </c>
      <c r="D428" s="3">
        <f t="shared" si="1"/>
        <v>804347.8261</v>
      </c>
      <c r="E428" s="4">
        <f t="shared" si="2"/>
        <v>-170.8030806</v>
      </c>
      <c r="F428" s="3">
        <f t="shared" si="3"/>
        <v>0.0002123497759</v>
      </c>
      <c r="G428" s="3">
        <f t="shared" si="4"/>
        <v>0</v>
      </c>
      <c r="H428" s="2">
        <f t="shared" si="5"/>
        <v>0</v>
      </c>
      <c r="I428" s="3">
        <f t="shared" si="6"/>
        <v>0</v>
      </c>
      <c r="J428" s="3">
        <f t="shared" si="7"/>
        <v>0</v>
      </c>
      <c r="K428" s="3"/>
      <c r="L428" s="3">
        <f t="shared" si="8"/>
        <v>414.2501052</v>
      </c>
      <c r="M428" s="14">
        <f t="shared" si="9"/>
        <v>410.1306243</v>
      </c>
      <c r="N428" s="14">
        <f t="shared" si="10"/>
        <v>4.119480877</v>
      </c>
      <c r="O428" s="3"/>
      <c r="P428" s="3"/>
      <c r="Q428" s="3"/>
      <c r="R428" s="2"/>
      <c r="S428" s="14">
        <f t="shared" si="13"/>
        <v>3.782903359</v>
      </c>
    </row>
    <row r="429">
      <c r="A429" s="11">
        <v>417.0</v>
      </c>
      <c r="B429" s="11">
        <v>1.42120869565217E9</v>
      </c>
      <c r="C429" s="2">
        <v>-102.7145004</v>
      </c>
      <c r="D429" s="3">
        <f t="shared" si="1"/>
        <v>808695.6522</v>
      </c>
      <c r="E429" s="4">
        <f t="shared" si="2"/>
        <v>-171.7213767</v>
      </c>
      <c r="F429" s="3">
        <f t="shared" si="3"/>
        <v>0.0002123436379</v>
      </c>
      <c r="G429" s="3">
        <f t="shared" si="4"/>
        <v>0</v>
      </c>
      <c r="H429" s="2">
        <f t="shared" si="5"/>
        <v>0</v>
      </c>
      <c r="I429" s="3">
        <f t="shared" si="6"/>
        <v>0</v>
      </c>
      <c r="J429" s="3">
        <f t="shared" si="7"/>
        <v>0</v>
      </c>
      <c r="K429" s="3"/>
      <c r="L429" s="3">
        <f t="shared" si="8"/>
        <v>407.0578434</v>
      </c>
      <c r="M429" s="14">
        <f t="shared" si="9"/>
        <v>409.9847324</v>
      </c>
      <c r="N429" s="14">
        <f t="shared" si="10"/>
        <v>-2.926889039</v>
      </c>
      <c r="O429" s="3"/>
      <c r="P429" s="3"/>
      <c r="Q429" s="3"/>
      <c r="R429" s="2"/>
      <c r="S429" s="14">
        <f t="shared" si="13"/>
        <v>-2.687750879</v>
      </c>
    </row>
    <row r="430">
      <c r="A430" s="11">
        <v>418.0</v>
      </c>
      <c r="B430" s="11">
        <v>1.42121304347826E9</v>
      </c>
      <c r="C430" s="2">
        <v>-102.6942215</v>
      </c>
      <c r="D430" s="3">
        <f t="shared" si="1"/>
        <v>813043.4783</v>
      </c>
      <c r="E430" s="4">
        <f t="shared" si="2"/>
        <v>-172.6396728</v>
      </c>
      <c r="F430" s="3">
        <f t="shared" si="3"/>
        <v>0.0002123375655</v>
      </c>
      <c r="G430" s="3">
        <f t="shared" si="4"/>
        <v>0</v>
      </c>
      <c r="H430" s="2">
        <f t="shared" si="5"/>
        <v>0</v>
      </c>
      <c r="I430" s="3">
        <f t="shared" si="6"/>
        <v>0</v>
      </c>
      <c r="J430" s="3">
        <f t="shared" si="7"/>
        <v>0</v>
      </c>
      <c r="K430" s="3"/>
      <c r="L430" s="3">
        <f t="shared" si="8"/>
        <v>408.9629994</v>
      </c>
      <c r="M430" s="14">
        <f t="shared" si="9"/>
        <v>409.8383376</v>
      </c>
      <c r="N430" s="14">
        <f t="shared" si="10"/>
        <v>-0.8753381729</v>
      </c>
      <c r="O430" s="3"/>
      <c r="P430" s="3"/>
      <c r="Q430" s="3"/>
      <c r="R430" s="2"/>
      <c r="S430" s="14">
        <f t="shared" si="13"/>
        <v>-0.8038196591</v>
      </c>
    </row>
    <row r="431">
      <c r="A431" s="11">
        <v>419.0</v>
      </c>
      <c r="B431" s="11">
        <v>1.42121739130434E9</v>
      </c>
      <c r="C431" s="2">
        <v>-102.7081604</v>
      </c>
      <c r="D431" s="3">
        <f t="shared" si="1"/>
        <v>817391.3043</v>
      </c>
      <c r="E431" s="4">
        <f t="shared" si="2"/>
        <v>-173.557969</v>
      </c>
      <c r="F431" s="3">
        <f t="shared" si="3"/>
        <v>0.0002123315578</v>
      </c>
      <c r="G431" s="3">
        <f t="shared" si="4"/>
        <v>0</v>
      </c>
      <c r="H431" s="2">
        <f t="shared" si="5"/>
        <v>0</v>
      </c>
      <c r="I431" s="3">
        <f t="shared" si="6"/>
        <v>0</v>
      </c>
      <c r="J431" s="3">
        <f t="shared" si="7"/>
        <v>0</v>
      </c>
      <c r="K431" s="3"/>
      <c r="L431" s="3">
        <f t="shared" si="8"/>
        <v>407.6525163</v>
      </c>
      <c r="M431" s="14">
        <f t="shared" si="9"/>
        <v>409.6914389</v>
      </c>
      <c r="N431" s="14">
        <f t="shared" si="10"/>
        <v>-2.038922593</v>
      </c>
      <c r="O431" s="3"/>
      <c r="P431" s="3"/>
      <c r="Q431" s="3"/>
      <c r="R431" s="2"/>
      <c r="S431" s="14">
        <f t="shared" si="13"/>
        <v>-1.872334732</v>
      </c>
    </row>
    <row r="432">
      <c r="A432" s="11">
        <v>420.0</v>
      </c>
      <c r="B432" s="11">
        <v>1.42122173913043E9</v>
      </c>
      <c r="C432" s="2">
        <v>-102.7166748</v>
      </c>
      <c r="D432" s="3">
        <f t="shared" si="1"/>
        <v>821739.1304</v>
      </c>
      <c r="E432" s="4">
        <f t="shared" si="2"/>
        <v>-174.4762651</v>
      </c>
      <c r="F432" s="3">
        <f t="shared" si="3"/>
        <v>0.0002123256136</v>
      </c>
      <c r="G432" s="3">
        <f t="shared" si="4"/>
        <v>0</v>
      </c>
      <c r="H432" s="2">
        <f t="shared" si="5"/>
        <v>0</v>
      </c>
      <c r="I432" s="3">
        <f t="shared" si="6"/>
        <v>0</v>
      </c>
      <c r="J432" s="3">
        <f t="shared" si="7"/>
        <v>0</v>
      </c>
      <c r="K432" s="3"/>
      <c r="L432" s="3">
        <f t="shared" si="8"/>
        <v>406.8540911</v>
      </c>
      <c r="M432" s="14">
        <f t="shared" si="9"/>
        <v>409.5440352</v>
      </c>
      <c r="N432" s="14">
        <f t="shared" si="10"/>
        <v>-2.689944127</v>
      </c>
      <c r="O432" s="3"/>
      <c r="P432" s="3"/>
      <c r="Q432" s="3"/>
      <c r="R432" s="2"/>
      <c r="S432" s="14">
        <f t="shared" si="13"/>
        <v>-2.470165283</v>
      </c>
    </row>
    <row r="433">
      <c r="A433" s="11">
        <v>421.0</v>
      </c>
      <c r="B433" s="11">
        <v>1.42122608695652E9</v>
      </c>
      <c r="C433" s="2">
        <v>-102.646431</v>
      </c>
      <c r="D433" s="3">
        <f t="shared" si="1"/>
        <v>826086.9565</v>
      </c>
      <c r="E433" s="4">
        <f t="shared" si="2"/>
        <v>-175.3945612</v>
      </c>
      <c r="F433" s="3">
        <f t="shared" si="3"/>
        <v>0.000212319732</v>
      </c>
      <c r="G433" s="3">
        <f t="shared" si="4"/>
        <v>0</v>
      </c>
      <c r="H433" s="2">
        <f t="shared" si="5"/>
        <v>0</v>
      </c>
      <c r="I433" s="3">
        <f t="shared" si="6"/>
        <v>0</v>
      </c>
      <c r="J433" s="3">
        <f t="shared" si="7"/>
        <v>0</v>
      </c>
      <c r="K433" s="3"/>
      <c r="L433" s="3">
        <f t="shared" si="8"/>
        <v>413.4881496</v>
      </c>
      <c r="M433" s="14">
        <f t="shared" si="9"/>
        <v>409.3961258</v>
      </c>
      <c r="N433" s="14">
        <f t="shared" si="10"/>
        <v>4.092023836</v>
      </c>
      <c r="O433" s="3"/>
      <c r="P433" s="3"/>
      <c r="Q433" s="3"/>
      <c r="R433" s="2"/>
      <c r="S433" s="14">
        <f t="shared" si="13"/>
        <v>3.757689664</v>
      </c>
    </row>
    <row r="434">
      <c r="A434" s="11">
        <v>422.0</v>
      </c>
      <c r="B434" s="11">
        <v>1.4212304347826E9</v>
      </c>
      <c r="C434" s="2">
        <v>-102.7079086</v>
      </c>
      <c r="D434" s="3">
        <f t="shared" si="1"/>
        <v>830434.7826</v>
      </c>
      <c r="E434" s="4">
        <f t="shared" si="2"/>
        <v>-176.3128574</v>
      </c>
      <c r="F434" s="3">
        <f t="shared" si="3"/>
        <v>0.000212313912</v>
      </c>
      <c r="G434" s="3">
        <f t="shared" si="4"/>
        <v>0</v>
      </c>
      <c r="H434" s="2">
        <f t="shared" si="5"/>
        <v>0</v>
      </c>
      <c r="I434" s="3">
        <f t="shared" si="6"/>
        <v>0</v>
      </c>
      <c r="J434" s="3">
        <f t="shared" si="7"/>
        <v>0</v>
      </c>
      <c r="K434" s="3"/>
      <c r="L434" s="3">
        <f t="shared" si="8"/>
        <v>407.6761523</v>
      </c>
      <c r="M434" s="14">
        <f t="shared" si="9"/>
        <v>409.2477096</v>
      </c>
      <c r="N434" s="14">
        <f t="shared" si="10"/>
        <v>-1.57155728</v>
      </c>
      <c r="O434" s="3"/>
      <c r="P434" s="3"/>
      <c r="Q434" s="3"/>
      <c r="R434" s="2"/>
      <c r="S434" s="14">
        <f t="shared" si="13"/>
        <v>-1.443154973</v>
      </c>
    </row>
    <row r="435">
      <c r="A435" s="11">
        <v>423.0</v>
      </c>
      <c r="B435" s="11">
        <v>1.42123478260869E9</v>
      </c>
      <c r="C435" s="2">
        <v>-102.6569061</v>
      </c>
      <c r="D435" s="3">
        <f t="shared" si="1"/>
        <v>834782.6087</v>
      </c>
      <c r="E435" s="4">
        <f t="shared" si="2"/>
        <v>-177.2311535</v>
      </c>
      <c r="F435" s="3">
        <f t="shared" si="3"/>
        <v>0.0002123081526</v>
      </c>
      <c r="G435" s="3">
        <f t="shared" si="4"/>
        <v>0</v>
      </c>
      <c r="H435" s="2">
        <f t="shared" si="5"/>
        <v>0</v>
      </c>
      <c r="I435" s="3">
        <f t="shared" si="6"/>
        <v>0</v>
      </c>
      <c r="J435" s="3">
        <f t="shared" si="7"/>
        <v>0</v>
      </c>
      <c r="K435" s="3"/>
      <c r="L435" s="3">
        <f t="shared" si="8"/>
        <v>412.4920259</v>
      </c>
      <c r="M435" s="14">
        <f t="shared" si="9"/>
        <v>409.0987856</v>
      </c>
      <c r="N435" s="14">
        <f t="shared" si="10"/>
        <v>3.393240293</v>
      </c>
      <c r="O435" s="3"/>
      <c r="P435" s="3"/>
      <c r="Q435" s="3"/>
      <c r="R435" s="2"/>
      <c r="S435" s="14">
        <f t="shared" si="13"/>
        <v>3.115999438</v>
      </c>
    </row>
    <row r="436">
      <c r="A436" s="11">
        <v>424.0</v>
      </c>
      <c r="B436" s="11">
        <v>1.42123913043478E9</v>
      </c>
      <c r="C436" s="2">
        <v>-102.6985703</v>
      </c>
      <c r="D436" s="3">
        <f t="shared" si="1"/>
        <v>839130.4348</v>
      </c>
      <c r="E436" s="4">
        <f t="shared" si="2"/>
        <v>-178.1494496</v>
      </c>
      <c r="F436" s="3">
        <f t="shared" si="3"/>
        <v>0.0002123024529</v>
      </c>
      <c r="G436" s="3">
        <f t="shared" si="4"/>
        <v>0</v>
      </c>
      <c r="H436" s="2">
        <f t="shared" si="5"/>
        <v>0</v>
      </c>
      <c r="I436" s="3">
        <f t="shared" si="6"/>
        <v>0</v>
      </c>
      <c r="J436" s="3">
        <f t="shared" si="7"/>
        <v>0</v>
      </c>
      <c r="K436" s="3"/>
      <c r="L436" s="3">
        <f t="shared" si="8"/>
        <v>408.55369</v>
      </c>
      <c r="M436" s="14">
        <f t="shared" si="9"/>
        <v>408.949353</v>
      </c>
      <c r="N436" s="14">
        <f t="shared" si="10"/>
        <v>-0.3956629221</v>
      </c>
      <c r="O436" s="3"/>
      <c r="P436" s="3"/>
      <c r="Q436" s="3"/>
      <c r="R436" s="2"/>
      <c r="S436" s="14">
        <f t="shared" si="13"/>
        <v>-0.3633357304</v>
      </c>
    </row>
    <row r="437">
      <c r="A437" s="11">
        <v>425.0</v>
      </c>
      <c r="B437" s="11">
        <v>1.42124347826087E9</v>
      </c>
      <c r="C437" s="2">
        <v>-102.645462</v>
      </c>
      <c r="D437" s="3">
        <f t="shared" si="1"/>
        <v>843478.2609</v>
      </c>
      <c r="E437" s="4">
        <f t="shared" si="2"/>
        <v>-179.0677458</v>
      </c>
      <c r="F437" s="3">
        <f t="shared" si="3"/>
        <v>0.000212296812</v>
      </c>
      <c r="G437" s="3">
        <f t="shared" si="4"/>
        <v>0</v>
      </c>
      <c r="H437" s="2">
        <f t="shared" si="5"/>
        <v>0</v>
      </c>
      <c r="I437" s="3">
        <f t="shared" si="6"/>
        <v>0</v>
      </c>
      <c r="J437" s="3">
        <f t="shared" si="7"/>
        <v>0</v>
      </c>
      <c r="K437" s="3"/>
      <c r="L437" s="3">
        <f t="shared" si="8"/>
        <v>413.5804176</v>
      </c>
      <c r="M437" s="14">
        <f t="shared" si="9"/>
        <v>408.7994107</v>
      </c>
      <c r="N437" s="14">
        <f t="shared" si="10"/>
        <v>4.781006896</v>
      </c>
      <c r="O437" s="3"/>
      <c r="P437" s="3"/>
      <c r="Q437" s="3"/>
      <c r="R437" s="2"/>
      <c r="S437" s="14">
        <f t="shared" si="13"/>
        <v>4.390380143</v>
      </c>
    </row>
    <row r="438">
      <c r="A438" s="11">
        <v>426.0</v>
      </c>
      <c r="B438" s="11">
        <v>1.42124782608695E9</v>
      </c>
      <c r="C438" s="2">
        <v>-102.7245255</v>
      </c>
      <c r="D438" s="3">
        <f t="shared" si="1"/>
        <v>847826.087</v>
      </c>
      <c r="E438" s="4">
        <f t="shared" si="2"/>
        <v>-179.9860419</v>
      </c>
      <c r="F438" s="3">
        <f t="shared" si="3"/>
        <v>0.0002122912289</v>
      </c>
      <c r="G438" s="3">
        <f t="shared" si="4"/>
        <v>0</v>
      </c>
      <c r="H438" s="2">
        <f t="shared" si="5"/>
        <v>0</v>
      </c>
      <c r="I438" s="3">
        <f t="shared" si="6"/>
        <v>0</v>
      </c>
      <c r="J438" s="3">
        <f t="shared" si="7"/>
        <v>0</v>
      </c>
      <c r="K438" s="3"/>
      <c r="L438" s="3">
        <f t="shared" si="8"/>
        <v>406.1192892</v>
      </c>
      <c r="M438" s="14">
        <f t="shared" si="9"/>
        <v>408.6489578</v>
      </c>
      <c r="N438" s="14">
        <f t="shared" si="10"/>
        <v>-2.529668655</v>
      </c>
      <c r="O438" s="3"/>
      <c r="P438" s="3"/>
      <c r="Q438" s="3"/>
      <c r="R438" s="2"/>
      <c r="S438" s="14">
        <f t="shared" si="13"/>
        <v>-2.322984943</v>
      </c>
    </row>
    <row r="439">
      <c r="A439" s="11">
        <v>427.0</v>
      </c>
      <c r="B439" s="11">
        <v>1.42125217391304E9</v>
      </c>
      <c r="C439" s="2">
        <v>-102.6642914</v>
      </c>
      <c r="D439" s="3">
        <f t="shared" si="1"/>
        <v>852173.913</v>
      </c>
      <c r="E439" s="4">
        <f t="shared" si="2"/>
        <v>-180.904338</v>
      </c>
      <c r="F439" s="3">
        <f t="shared" si="3"/>
        <v>0.0002122857028</v>
      </c>
      <c r="G439" s="3">
        <f t="shared" si="4"/>
        <v>0</v>
      </c>
      <c r="H439" s="2">
        <f t="shared" si="5"/>
        <v>0</v>
      </c>
      <c r="I439" s="3">
        <f t="shared" si="6"/>
        <v>0</v>
      </c>
      <c r="J439" s="3">
        <f t="shared" si="7"/>
        <v>0</v>
      </c>
      <c r="K439" s="3"/>
      <c r="L439" s="3">
        <f t="shared" si="8"/>
        <v>411.7911677</v>
      </c>
      <c r="M439" s="14">
        <f t="shared" si="9"/>
        <v>408.4979934</v>
      </c>
      <c r="N439" s="14">
        <f t="shared" si="10"/>
        <v>3.293174219</v>
      </c>
      <c r="O439" s="3"/>
      <c r="P439" s="3"/>
      <c r="Q439" s="3"/>
      <c r="R439" s="2"/>
      <c r="S439" s="14">
        <f t="shared" si="13"/>
        <v>3.024109143</v>
      </c>
    </row>
    <row r="440">
      <c r="A440" s="11">
        <v>428.0</v>
      </c>
      <c r="B440" s="11">
        <v>1.42125652173913E9</v>
      </c>
      <c r="C440" s="2">
        <v>-102.6827393</v>
      </c>
      <c r="D440" s="3">
        <f t="shared" si="1"/>
        <v>856521.7391</v>
      </c>
      <c r="E440" s="4">
        <f t="shared" si="2"/>
        <v>-181.8226342</v>
      </c>
      <c r="F440" s="3">
        <f t="shared" si="3"/>
        <v>0.0002122802328</v>
      </c>
      <c r="G440" s="3">
        <f t="shared" si="4"/>
        <v>0</v>
      </c>
      <c r="H440" s="2">
        <f t="shared" si="5"/>
        <v>0</v>
      </c>
      <c r="I440" s="3">
        <f t="shared" si="6"/>
        <v>0</v>
      </c>
      <c r="J440" s="3">
        <f t="shared" si="7"/>
        <v>0</v>
      </c>
      <c r="K440" s="3"/>
      <c r="L440" s="3">
        <f t="shared" si="8"/>
        <v>410.0456768</v>
      </c>
      <c r="M440" s="14">
        <f t="shared" si="9"/>
        <v>408.3465166</v>
      </c>
      <c r="N440" s="14">
        <f t="shared" si="10"/>
        <v>1.699160225</v>
      </c>
      <c r="O440" s="3"/>
      <c r="P440" s="3"/>
      <c r="Q440" s="3"/>
      <c r="R440" s="2"/>
      <c r="S440" s="14">
        <f t="shared" si="13"/>
        <v>1.560332264</v>
      </c>
    </row>
    <row r="441">
      <c r="A441" s="11">
        <v>429.0</v>
      </c>
      <c r="B441" s="11">
        <v>1.42126086956521E9</v>
      </c>
      <c r="C441" s="2">
        <v>-102.7197342</v>
      </c>
      <c r="D441" s="3">
        <f t="shared" si="1"/>
        <v>860869.5652</v>
      </c>
      <c r="E441" s="4">
        <f t="shared" si="2"/>
        <v>-182.7409303</v>
      </c>
      <c r="F441" s="3">
        <f t="shared" si="3"/>
        <v>0.000212274818</v>
      </c>
      <c r="G441" s="3">
        <f t="shared" si="4"/>
        <v>0</v>
      </c>
      <c r="H441" s="2">
        <f t="shared" si="5"/>
        <v>0</v>
      </c>
      <c r="I441" s="3">
        <f t="shared" si="6"/>
        <v>0</v>
      </c>
      <c r="J441" s="3">
        <f t="shared" si="7"/>
        <v>0</v>
      </c>
      <c r="K441" s="3"/>
      <c r="L441" s="3">
        <f t="shared" si="8"/>
        <v>406.5675825</v>
      </c>
      <c r="M441" s="14">
        <f t="shared" si="9"/>
        <v>408.1945262</v>
      </c>
      <c r="N441" s="14">
        <f t="shared" si="10"/>
        <v>-1.626943742</v>
      </c>
      <c r="O441" s="3"/>
      <c r="P441" s="3"/>
      <c r="Q441" s="3"/>
      <c r="R441" s="2"/>
      <c r="S441" s="14">
        <f t="shared" si="13"/>
        <v>-1.494016146</v>
      </c>
    </row>
    <row r="442">
      <c r="A442" s="11">
        <v>430.0</v>
      </c>
      <c r="B442" s="11">
        <v>1.4212652173913E9</v>
      </c>
      <c r="C442" s="2">
        <v>-102.6435852</v>
      </c>
      <c r="D442" s="3">
        <f t="shared" si="1"/>
        <v>865217.3913</v>
      </c>
      <c r="E442" s="4">
        <f t="shared" si="2"/>
        <v>-183.6592264</v>
      </c>
      <c r="F442" s="3">
        <f t="shared" si="3"/>
        <v>0.0002122694577</v>
      </c>
      <c r="G442" s="3">
        <f t="shared" si="4"/>
        <v>0</v>
      </c>
      <c r="H442" s="2">
        <f t="shared" si="5"/>
        <v>0</v>
      </c>
      <c r="I442" s="3">
        <f t="shared" si="6"/>
        <v>0</v>
      </c>
      <c r="J442" s="3">
        <f t="shared" si="7"/>
        <v>0</v>
      </c>
      <c r="K442" s="3"/>
      <c r="L442" s="3">
        <f t="shared" si="8"/>
        <v>413.7591846</v>
      </c>
      <c r="M442" s="14">
        <f t="shared" si="9"/>
        <v>408.0420215</v>
      </c>
      <c r="N442" s="14">
        <f t="shared" si="10"/>
        <v>5.717163135</v>
      </c>
      <c r="O442" s="3"/>
      <c r="P442" s="3"/>
      <c r="Q442" s="3"/>
      <c r="R442" s="2"/>
      <c r="S442" s="14">
        <f t="shared" si="13"/>
        <v>5.250048785</v>
      </c>
    </row>
    <row r="443">
      <c r="A443" s="11">
        <v>431.0</v>
      </c>
      <c r="B443" s="11">
        <v>1.42126956521739E9</v>
      </c>
      <c r="C443" s="2">
        <v>-102.6731262</v>
      </c>
      <c r="D443" s="3">
        <f t="shared" si="1"/>
        <v>869565.2174</v>
      </c>
      <c r="E443" s="4">
        <f t="shared" si="2"/>
        <v>-184.5775226</v>
      </c>
      <c r="F443" s="3">
        <f t="shared" si="3"/>
        <v>0.0002122641509</v>
      </c>
      <c r="G443" s="3">
        <f t="shared" si="4"/>
        <v>0</v>
      </c>
      <c r="H443" s="2">
        <f t="shared" si="5"/>
        <v>0</v>
      </c>
      <c r="I443" s="3">
        <f t="shared" si="6"/>
        <v>0</v>
      </c>
      <c r="J443" s="3">
        <f t="shared" si="7"/>
        <v>0</v>
      </c>
      <c r="K443" s="3"/>
      <c r="L443" s="3">
        <f t="shared" si="8"/>
        <v>410.9543174</v>
      </c>
      <c r="M443" s="14">
        <f t="shared" si="9"/>
        <v>407.8890014</v>
      </c>
      <c r="N443" s="14">
        <f t="shared" si="10"/>
        <v>3.065315928</v>
      </c>
      <c r="O443" s="3"/>
      <c r="P443" s="3"/>
      <c r="Q443" s="3"/>
      <c r="R443" s="2"/>
      <c r="S443" s="14">
        <f t="shared" si="13"/>
        <v>2.814867762</v>
      </c>
    </row>
    <row r="444">
      <c r="A444" s="11">
        <v>432.0</v>
      </c>
      <c r="B444" s="11">
        <v>1.42127391304347E9</v>
      </c>
      <c r="C444" s="2">
        <v>-102.6638336</v>
      </c>
      <c r="D444" s="3">
        <f t="shared" si="1"/>
        <v>873913.0435</v>
      </c>
      <c r="E444" s="4">
        <f t="shared" si="2"/>
        <v>-185.4958187</v>
      </c>
      <c r="F444" s="3">
        <f t="shared" si="3"/>
        <v>0.000212258897</v>
      </c>
      <c r="G444" s="3">
        <f t="shared" si="4"/>
        <v>0</v>
      </c>
      <c r="H444" s="2">
        <f t="shared" si="5"/>
        <v>0</v>
      </c>
      <c r="I444" s="3">
        <f t="shared" si="6"/>
        <v>0</v>
      </c>
      <c r="J444" s="3">
        <f t="shared" si="7"/>
        <v>0</v>
      </c>
      <c r="K444" s="3"/>
      <c r="L444" s="3">
        <f t="shared" si="8"/>
        <v>411.8345778</v>
      </c>
      <c r="M444" s="14">
        <f t="shared" si="9"/>
        <v>407.7354651</v>
      </c>
      <c r="N444" s="14">
        <f t="shared" si="10"/>
        <v>4.099112755</v>
      </c>
      <c r="O444" s="3"/>
      <c r="P444" s="3"/>
      <c r="Q444" s="3"/>
      <c r="R444" s="2"/>
      <c r="S444" s="14">
        <f t="shared" si="13"/>
        <v>3.764199391</v>
      </c>
    </row>
    <row r="445">
      <c r="A445" s="11">
        <v>433.0</v>
      </c>
      <c r="B445" s="11">
        <v>1.42127826086956E9</v>
      </c>
      <c r="C445" s="2">
        <v>-102.6656799</v>
      </c>
      <c r="D445" s="3">
        <f t="shared" si="1"/>
        <v>878260.8696</v>
      </c>
      <c r="E445" s="4">
        <f t="shared" si="2"/>
        <v>-186.4141148</v>
      </c>
      <c r="F445" s="3">
        <f t="shared" si="3"/>
        <v>0.0002122536951</v>
      </c>
      <c r="G445" s="3">
        <f t="shared" si="4"/>
        <v>0</v>
      </c>
      <c r="H445" s="2">
        <f t="shared" si="5"/>
        <v>0</v>
      </c>
      <c r="I445" s="3">
        <f t="shared" si="6"/>
        <v>0</v>
      </c>
      <c r="J445" s="3">
        <f t="shared" si="7"/>
        <v>0</v>
      </c>
      <c r="K445" s="3"/>
      <c r="L445" s="3">
        <f t="shared" si="8"/>
        <v>411.6595333</v>
      </c>
      <c r="M445" s="14">
        <f t="shared" si="9"/>
        <v>407.5814114</v>
      </c>
      <c r="N445" s="14">
        <f t="shared" si="10"/>
        <v>4.078121885</v>
      </c>
      <c r="O445" s="3"/>
      <c r="P445" s="3"/>
      <c r="Q445" s="3"/>
      <c r="R445" s="2"/>
      <c r="S445" s="14">
        <f t="shared" si="13"/>
        <v>3.744923548</v>
      </c>
    </row>
    <row r="446">
      <c r="A446" s="11">
        <v>434.0</v>
      </c>
      <c r="B446" s="11">
        <v>1.42128260869565E9</v>
      </c>
      <c r="C446" s="2">
        <v>-102.7424774</v>
      </c>
      <c r="D446" s="3">
        <f t="shared" si="1"/>
        <v>882608.6957</v>
      </c>
      <c r="E446" s="4">
        <f t="shared" si="2"/>
        <v>-187.332411</v>
      </c>
      <c r="F446" s="3">
        <f t="shared" si="3"/>
        <v>0.0002122485444</v>
      </c>
      <c r="G446" s="3">
        <f t="shared" si="4"/>
        <v>0</v>
      </c>
      <c r="H446" s="2">
        <f t="shared" si="5"/>
        <v>0</v>
      </c>
      <c r="I446" s="3">
        <f t="shared" si="6"/>
        <v>0</v>
      </c>
      <c r="J446" s="3">
        <f t="shared" si="7"/>
        <v>0</v>
      </c>
      <c r="K446" s="3"/>
      <c r="L446" s="3">
        <f t="shared" si="8"/>
        <v>404.4440283</v>
      </c>
      <c r="M446" s="14">
        <f t="shared" si="9"/>
        <v>407.4268396</v>
      </c>
      <c r="N446" s="14">
        <f t="shared" si="10"/>
        <v>-2.982811288</v>
      </c>
      <c r="O446" s="3"/>
      <c r="P446" s="3"/>
      <c r="Q446" s="3"/>
      <c r="R446" s="2"/>
      <c r="S446" s="14">
        <f t="shared" si="13"/>
        <v>-2.73910407</v>
      </c>
    </row>
    <row r="447">
      <c r="A447" s="11">
        <v>435.0</v>
      </c>
      <c r="B447" s="11">
        <v>1.42128695652173E9</v>
      </c>
      <c r="C447" s="2">
        <v>-102.7018051</v>
      </c>
      <c r="D447" s="3">
        <f t="shared" si="1"/>
        <v>886956.5217</v>
      </c>
      <c r="E447" s="4">
        <f t="shared" si="2"/>
        <v>-188.2507071</v>
      </c>
      <c r="F447" s="3">
        <f t="shared" si="3"/>
        <v>0.0002122434443</v>
      </c>
      <c r="G447" s="3">
        <f t="shared" si="4"/>
        <v>0</v>
      </c>
      <c r="H447" s="2">
        <f t="shared" si="5"/>
        <v>0</v>
      </c>
      <c r="I447" s="3">
        <f t="shared" si="6"/>
        <v>0</v>
      </c>
      <c r="J447" s="3">
        <f t="shared" si="7"/>
        <v>0</v>
      </c>
      <c r="K447" s="3"/>
      <c r="L447" s="3">
        <f t="shared" si="8"/>
        <v>408.2494961</v>
      </c>
      <c r="M447" s="14">
        <f t="shared" si="9"/>
        <v>407.2717486</v>
      </c>
      <c r="N447" s="14">
        <f t="shared" si="10"/>
        <v>0.9777474908</v>
      </c>
      <c r="O447" s="3"/>
      <c r="P447" s="3"/>
      <c r="Q447" s="3"/>
      <c r="R447" s="2"/>
      <c r="S447" s="14">
        <f t="shared" si="13"/>
        <v>0.8978617396</v>
      </c>
    </row>
    <row r="448">
      <c r="A448" s="11">
        <v>436.0</v>
      </c>
      <c r="B448" s="11">
        <v>1.42129130434782E9</v>
      </c>
      <c r="C448" s="2">
        <v>-102.7238846</v>
      </c>
      <c r="D448" s="3">
        <f t="shared" si="1"/>
        <v>891304.3478</v>
      </c>
      <c r="E448" s="4">
        <f t="shared" si="2"/>
        <v>-189.1690032</v>
      </c>
      <c r="F448" s="3">
        <f t="shared" si="3"/>
        <v>0.0002122383939</v>
      </c>
      <c r="G448" s="3">
        <f t="shared" si="4"/>
        <v>0</v>
      </c>
      <c r="H448" s="2">
        <f t="shared" si="5"/>
        <v>0</v>
      </c>
      <c r="I448" s="3">
        <f t="shared" si="6"/>
        <v>0</v>
      </c>
      <c r="J448" s="3">
        <f t="shared" si="7"/>
        <v>0</v>
      </c>
      <c r="K448" s="3"/>
      <c r="L448" s="3">
        <f t="shared" si="8"/>
        <v>406.1792257</v>
      </c>
      <c r="M448" s="14">
        <f t="shared" si="9"/>
        <v>407.1161375</v>
      </c>
      <c r="N448" s="14">
        <f t="shared" si="10"/>
        <v>-0.9369118125</v>
      </c>
      <c r="O448" s="3"/>
      <c r="P448" s="3"/>
      <c r="Q448" s="3"/>
      <c r="R448" s="2"/>
      <c r="S448" s="14">
        <f t="shared" si="13"/>
        <v>-0.8603624942</v>
      </c>
    </row>
    <row r="449">
      <c r="A449" s="11">
        <v>437.0</v>
      </c>
      <c r="B449" s="11">
        <v>1.42129565217391E9</v>
      </c>
      <c r="C449" s="2">
        <v>-102.7388992</v>
      </c>
      <c r="D449" s="3">
        <f t="shared" si="1"/>
        <v>895652.1739</v>
      </c>
      <c r="E449" s="4">
        <f t="shared" si="2"/>
        <v>-190.0872994</v>
      </c>
      <c r="F449" s="3">
        <f t="shared" si="3"/>
        <v>0.0002122333925</v>
      </c>
      <c r="G449" s="3">
        <f t="shared" si="4"/>
        <v>0</v>
      </c>
      <c r="H449" s="2">
        <f t="shared" si="5"/>
        <v>0</v>
      </c>
      <c r="I449" s="3">
        <f t="shared" si="6"/>
        <v>0</v>
      </c>
      <c r="J449" s="3">
        <f t="shared" si="7"/>
        <v>0</v>
      </c>
      <c r="K449" s="3"/>
      <c r="L449" s="3">
        <f t="shared" si="8"/>
        <v>404.7773915</v>
      </c>
      <c r="M449" s="14">
        <f t="shared" si="9"/>
        <v>406.9600054</v>
      </c>
      <c r="N449" s="14">
        <f t="shared" si="10"/>
        <v>-2.182613845</v>
      </c>
      <c r="O449" s="3"/>
      <c r="P449" s="3"/>
      <c r="Q449" s="3"/>
      <c r="R449" s="2"/>
      <c r="S449" s="14">
        <f t="shared" si="13"/>
        <v>-2.004285848</v>
      </c>
    </row>
    <row r="450">
      <c r="A450" s="11">
        <v>438.0</v>
      </c>
      <c r="B450" s="11">
        <v>1.4213E9</v>
      </c>
      <c r="C450" s="2">
        <v>-102.7411499</v>
      </c>
      <c r="D450" s="3">
        <f t="shared" si="1"/>
        <v>900000</v>
      </c>
      <c r="E450" s="4">
        <f t="shared" si="2"/>
        <v>-191.0055955</v>
      </c>
      <c r="F450" s="3">
        <f t="shared" si="3"/>
        <v>0.0002122284394</v>
      </c>
      <c r="G450" s="3">
        <f t="shared" si="4"/>
        <v>0</v>
      </c>
      <c r="H450" s="2">
        <f t="shared" si="5"/>
        <v>0</v>
      </c>
      <c r="I450" s="3">
        <f t="shared" si="6"/>
        <v>0</v>
      </c>
      <c r="J450" s="3">
        <f t="shared" si="7"/>
        <v>0</v>
      </c>
      <c r="K450" s="3"/>
      <c r="L450" s="3">
        <f t="shared" si="8"/>
        <v>404.5676729</v>
      </c>
      <c r="M450" s="14">
        <f t="shared" si="9"/>
        <v>406.8033512</v>
      </c>
      <c r="N450" s="14">
        <f t="shared" si="10"/>
        <v>-2.2356783</v>
      </c>
      <c r="O450" s="3"/>
      <c r="P450" s="3"/>
      <c r="Q450" s="3"/>
      <c r="R450" s="2"/>
      <c r="S450" s="14">
        <f t="shared" si="13"/>
        <v>-2.053014737</v>
      </c>
    </row>
    <row r="451">
      <c r="A451" s="11">
        <v>439.0</v>
      </c>
      <c r="B451" s="11">
        <v>1.42130434782608E9</v>
      </c>
      <c r="C451" s="2">
        <v>-102.703125</v>
      </c>
      <c r="D451" s="3">
        <f t="shared" si="1"/>
        <v>904347.8261</v>
      </c>
      <c r="E451" s="4">
        <f t="shared" si="2"/>
        <v>-191.9238916</v>
      </c>
      <c r="F451" s="3">
        <f t="shared" si="3"/>
        <v>0.000212223534</v>
      </c>
      <c r="G451" s="3">
        <f t="shared" si="4"/>
        <v>0</v>
      </c>
      <c r="H451" s="2">
        <f t="shared" si="5"/>
        <v>0</v>
      </c>
      <c r="I451" s="3">
        <f t="shared" si="6"/>
        <v>0</v>
      </c>
      <c r="J451" s="3">
        <f t="shared" si="7"/>
        <v>0</v>
      </c>
      <c r="K451" s="3"/>
      <c r="L451" s="3">
        <f t="shared" si="8"/>
        <v>408.1254405</v>
      </c>
      <c r="M451" s="14">
        <f t="shared" si="9"/>
        <v>406.646174</v>
      </c>
      <c r="N451" s="14">
        <f t="shared" si="10"/>
        <v>1.47926647</v>
      </c>
      <c r="O451" s="3"/>
      <c r="P451" s="3"/>
      <c r="Q451" s="3"/>
      <c r="R451" s="2"/>
      <c r="S451" s="14">
        <f t="shared" si="13"/>
        <v>1.358404679</v>
      </c>
    </row>
    <row r="452">
      <c r="A452" s="11">
        <v>440.0</v>
      </c>
      <c r="B452" s="11">
        <v>1.42130869565217E9</v>
      </c>
      <c r="C452" s="2">
        <v>-102.7072983</v>
      </c>
      <c r="D452" s="3">
        <f t="shared" si="1"/>
        <v>908695.6522</v>
      </c>
      <c r="E452" s="4">
        <f t="shared" si="2"/>
        <v>-192.8421877</v>
      </c>
      <c r="F452" s="3">
        <f t="shared" si="3"/>
        <v>0.0002122186755</v>
      </c>
      <c r="G452" s="3">
        <f t="shared" si="4"/>
        <v>0</v>
      </c>
      <c r="H452" s="2">
        <f t="shared" si="5"/>
        <v>0</v>
      </c>
      <c r="I452" s="3">
        <f t="shared" si="6"/>
        <v>0</v>
      </c>
      <c r="J452" s="3">
        <f t="shared" si="7"/>
        <v>0</v>
      </c>
      <c r="K452" s="3"/>
      <c r="L452" s="3">
        <f t="shared" si="8"/>
        <v>407.7334457</v>
      </c>
      <c r="M452" s="14">
        <f t="shared" si="9"/>
        <v>406.488473</v>
      </c>
      <c r="N452" s="14">
        <f t="shared" si="10"/>
        <v>1.244972729</v>
      </c>
      <c r="O452" s="3"/>
      <c r="P452" s="3"/>
      <c r="Q452" s="3"/>
      <c r="R452" s="2"/>
      <c r="S452" s="14">
        <f t="shared" si="13"/>
        <v>1.14325364</v>
      </c>
    </row>
    <row r="453">
      <c r="A453" s="11">
        <v>441.0</v>
      </c>
      <c r="B453" s="11">
        <v>1.42131304347826E9</v>
      </c>
      <c r="C453" s="2">
        <v>-102.7410355</v>
      </c>
      <c r="D453" s="3">
        <f t="shared" si="1"/>
        <v>913043.4783</v>
      </c>
      <c r="E453" s="4">
        <f t="shared" si="2"/>
        <v>-193.7604839</v>
      </c>
      <c r="F453" s="3">
        <f t="shared" si="3"/>
        <v>0.0002122138633</v>
      </c>
      <c r="G453" s="3">
        <f t="shared" si="4"/>
        <v>0</v>
      </c>
      <c r="H453" s="2">
        <f t="shared" si="5"/>
        <v>0</v>
      </c>
      <c r="I453" s="3">
        <f t="shared" si="6"/>
        <v>0</v>
      </c>
      <c r="J453" s="3">
        <f t="shared" si="7"/>
        <v>0</v>
      </c>
      <c r="K453" s="3"/>
      <c r="L453" s="3">
        <f t="shared" si="8"/>
        <v>404.57833</v>
      </c>
      <c r="M453" s="14">
        <f t="shared" si="9"/>
        <v>406.330247</v>
      </c>
      <c r="N453" s="14">
        <f t="shared" si="10"/>
        <v>-1.751917063</v>
      </c>
      <c r="O453" s="3"/>
      <c r="P453" s="3"/>
      <c r="Q453" s="3"/>
      <c r="R453" s="2"/>
      <c r="S453" s="14">
        <f t="shared" si="13"/>
        <v>-1.608778664</v>
      </c>
    </row>
    <row r="454">
      <c r="A454" s="11">
        <v>442.0</v>
      </c>
      <c r="B454" s="11">
        <v>1.42131739130434E9</v>
      </c>
      <c r="C454" s="2">
        <v>-102.7160416</v>
      </c>
      <c r="D454" s="3">
        <f t="shared" si="1"/>
        <v>917391.3043</v>
      </c>
      <c r="E454" s="4">
        <f t="shared" si="2"/>
        <v>-194.67878</v>
      </c>
      <c r="F454" s="3">
        <f t="shared" si="3"/>
        <v>0.0002122090967</v>
      </c>
      <c r="G454" s="3">
        <f t="shared" si="4"/>
        <v>0</v>
      </c>
      <c r="H454" s="2">
        <f t="shared" si="5"/>
        <v>0</v>
      </c>
      <c r="I454" s="3">
        <f t="shared" si="6"/>
        <v>0</v>
      </c>
      <c r="J454" s="3">
        <f t="shared" si="7"/>
        <v>0</v>
      </c>
      <c r="K454" s="3"/>
      <c r="L454" s="3">
        <f t="shared" si="8"/>
        <v>406.9134146</v>
      </c>
      <c r="M454" s="14">
        <f t="shared" si="9"/>
        <v>406.1714953</v>
      </c>
      <c r="N454" s="14">
        <f t="shared" si="10"/>
        <v>0.7419193475</v>
      </c>
      <c r="O454" s="3"/>
      <c r="P454" s="3"/>
      <c r="Q454" s="3"/>
      <c r="R454" s="2"/>
      <c r="S454" s="14">
        <f t="shared" si="13"/>
        <v>0.6813016677</v>
      </c>
    </row>
    <row r="455">
      <c r="A455" s="11">
        <v>443.0</v>
      </c>
      <c r="B455" s="11">
        <v>1.42132173913043E9</v>
      </c>
      <c r="C455" s="2">
        <v>-102.7636414</v>
      </c>
      <c r="D455" s="3">
        <f t="shared" si="1"/>
        <v>921739.1304</v>
      </c>
      <c r="E455" s="4">
        <f t="shared" si="2"/>
        <v>-195.5970761</v>
      </c>
      <c r="F455" s="3">
        <f t="shared" si="3"/>
        <v>0.0002122043751</v>
      </c>
      <c r="G455" s="3">
        <f t="shared" si="4"/>
        <v>0</v>
      </c>
      <c r="H455" s="2">
        <f t="shared" si="5"/>
        <v>0</v>
      </c>
      <c r="I455" s="3">
        <f t="shared" si="6"/>
        <v>0</v>
      </c>
      <c r="J455" s="3">
        <f t="shared" si="7"/>
        <v>0</v>
      </c>
      <c r="K455" s="3"/>
      <c r="L455" s="3">
        <f t="shared" si="8"/>
        <v>402.4778899</v>
      </c>
      <c r="M455" s="14">
        <f t="shared" si="9"/>
        <v>406.0122167</v>
      </c>
      <c r="N455" s="14">
        <f t="shared" si="10"/>
        <v>-3.53432687</v>
      </c>
      <c r="O455" s="3"/>
      <c r="P455" s="3"/>
      <c r="Q455" s="3"/>
      <c r="R455" s="2"/>
      <c r="S455" s="14">
        <f t="shared" si="13"/>
        <v>-3.245558689</v>
      </c>
    </row>
    <row r="456">
      <c r="A456" s="11">
        <v>444.0</v>
      </c>
      <c r="B456" s="11">
        <v>1.42132608695652E9</v>
      </c>
      <c r="C456" s="2">
        <v>-102.759903</v>
      </c>
      <c r="D456" s="3">
        <f t="shared" si="1"/>
        <v>926086.9565</v>
      </c>
      <c r="E456" s="4">
        <f t="shared" si="2"/>
        <v>-196.5153723</v>
      </c>
      <c r="F456" s="3">
        <f t="shared" si="3"/>
        <v>0.0002121996978</v>
      </c>
      <c r="G456" s="3">
        <f t="shared" si="4"/>
        <v>0</v>
      </c>
      <c r="H456" s="2">
        <f t="shared" si="5"/>
        <v>0</v>
      </c>
      <c r="I456" s="3">
        <f t="shared" si="6"/>
        <v>0</v>
      </c>
      <c r="J456" s="3">
        <f t="shared" si="7"/>
        <v>0</v>
      </c>
      <c r="K456" s="3"/>
      <c r="L456" s="3">
        <f t="shared" si="8"/>
        <v>402.8244913</v>
      </c>
      <c r="M456" s="14">
        <f t="shared" si="9"/>
        <v>405.8524105</v>
      </c>
      <c r="N456" s="14">
        <f t="shared" si="10"/>
        <v>-3.027919115</v>
      </c>
      <c r="O456" s="3"/>
      <c r="P456" s="3"/>
      <c r="Q456" s="3"/>
      <c r="R456" s="2"/>
      <c r="S456" s="14">
        <f t="shared" si="13"/>
        <v>-2.780526414</v>
      </c>
    </row>
    <row r="457">
      <c r="A457" s="11">
        <v>445.0</v>
      </c>
      <c r="B457" s="11">
        <v>1.4213304347826E9</v>
      </c>
      <c r="C457" s="2">
        <v>-102.7329636</v>
      </c>
      <c r="D457" s="3">
        <f t="shared" si="1"/>
        <v>930434.7826</v>
      </c>
      <c r="E457" s="4">
        <f t="shared" si="2"/>
        <v>-197.4336684</v>
      </c>
      <c r="F457" s="3">
        <f t="shared" si="3"/>
        <v>0.0002121950642</v>
      </c>
      <c r="G457" s="3">
        <f t="shared" si="4"/>
        <v>0</v>
      </c>
      <c r="H457" s="2">
        <f t="shared" si="5"/>
        <v>0</v>
      </c>
      <c r="I457" s="3">
        <f t="shared" si="6"/>
        <v>0</v>
      </c>
      <c r="J457" s="3">
        <f t="shared" si="7"/>
        <v>0</v>
      </c>
      <c r="K457" s="3"/>
      <c r="L457" s="3">
        <f t="shared" si="8"/>
        <v>405.3309881</v>
      </c>
      <c r="M457" s="14">
        <f t="shared" si="9"/>
        <v>405.6920755</v>
      </c>
      <c r="N457" s="14">
        <f t="shared" si="10"/>
        <v>-0.3610874373</v>
      </c>
      <c r="O457" s="3"/>
      <c r="P457" s="3"/>
      <c r="Q457" s="3"/>
      <c r="R457" s="2"/>
      <c r="S457" s="14">
        <f t="shared" si="13"/>
        <v>-0.3315851972</v>
      </c>
    </row>
    <row r="458">
      <c r="A458" s="11">
        <v>446.0</v>
      </c>
      <c r="B458" s="11">
        <v>1.42133478260869E9</v>
      </c>
      <c r="C458" s="2">
        <v>-102.6740112</v>
      </c>
      <c r="D458" s="3">
        <f t="shared" si="1"/>
        <v>934782.6087</v>
      </c>
      <c r="E458" s="4">
        <f t="shared" si="2"/>
        <v>-198.3519645</v>
      </c>
      <c r="F458" s="3">
        <f t="shared" si="3"/>
        <v>0.0002121904737</v>
      </c>
      <c r="G458" s="3">
        <f t="shared" si="4"/>
        <v>0</v>
      </c>
      <c r="H458" s="2">
        <f t="shared" si="5"/>
        <v>0</v>
      </c>
      <c r="I458" s="3">
        <f t="shared" si="6"/>
        <v>0</v>
      </c>
      <c r="J458" s="3">
        <f t="shared" si="7"/>
        <v>0</v>
      </c>
      <c r="K458" s="3"/>
      <c r="L458" s="3">
        <f t="shared" si="8"/>
        <v>410.8705821</v>
      </c>
      <c r="M458" s="14">
        <f t="shared" si="9"/>
        <v>405.5312109</v>
      </c>
      <c r="N458" s="14">
        <f t="shared" si="10"/>
        <v>5.339371209</v>
      </c>
      <c r="O458" s="3"/>
      <c r="P458" s="3"/>
      <c r="Q458" s="3"/>
      <c r="R458" s="2"/>
      <c r="S458" s="14">
        <f t="shared" si="13"/>
        <v>4.903123933</v>
      </c>
    </row>
    <row r="459">
      <c r="A459" s="11">
        <v>447.0</v>
      </c>
      <c r="B459" s="11">
        <v>1.42133913043478E9</v>
      </c>
      <c r="C459" s="2">
        <v>-102.7224274</v>
      </c>
      <c r="D459" s="3">
        <f t="shared" si="1"/>
        <v>939130.4348</v>
      </c>
      <c r="E459" s="4">
        <f t="shared" si="2"/>
        <v>-199.2702607</v>
      </c>
      <c r="F459" s="3">
        <f t="shared" si="3"/>
        <v>0.0002121859257</v>
      </c>
      <c r="G459" s="3">
        <f t="shared" si="4"/>
        <v>0</v>
      </c>
      <c r="H459" s="2">
        <f t="shared" si="5"/>
        <v>0</v>
      </c>
      <c r="I459" s="3">
        <f t="shared" si="6"/>
        <v>0</v>
      </c>
      <c r="J459" s="3">
        <f t="shared" si="7"/>
        <v>0</v>
      </c>
      <c r="K459" s="3"/>
      <c r="L459" s="3">
        <f t="shared" si="8"/>
        <v>406.315535</v>
      </c>
      <c r="M459" s="14">
        <f t="shared" si="9"/>
        <v>405.3698157</v>
      </c>
      <c r="N459" s="14">
        <f t="shared" si="10"/>
        <v>0.9457192514</v>
      </c>
      <c r="O459" s="3"/>
      <c r="P459" s="3"/>
      <c r="Q459" s="3"/>
      <c r="R459" s="2"/>
      <c r="S459" s="14">
        <f t="shared" si="13"/>
        <v>0.8684503292</v>
      </c>
    </row>
    <row r="460">
      <c r="A460" s="11">
        <v>448.0</v>
      </c>
      <c r="B460" s="11">
        <v>1.42134347826087E9</v>
      </c>
      <c r="C460" s="2">
        <v>-102.7266159</v>
      </c>
      <c r="D460" s="3">
        <f t="shared" si="1"/>
        <v>943478.2609</v>
      </c>
      <c r="E460" s="4">
        <f t="shared" si="2"/>
        <v>-200.1885568</v>
      </c>
      <c r="F460" s="3">
        <f t="shared" si="3"/>
        <v>0.0002121814197</v>
      </c>
      <c r="G460" s="3">
        <f t="shared" si="4"/>
        <v>0</v>
      </c>
      <c r="H460" s="2">
        <f t="shared" si="5"/>
        <v>0</v>
      </c>
      <c r="I460" s="3">
        <f t="shared" si="6"/>
        <v>0</v>
      </c>
      <c r="J460" s="3">
        <f t="shared" si="7"/>
        <v>0</v>
      </c>
      <c r="K460" s="3"/>
      <c r="L460" s="3">
        <f t="shared" si="8"/>
        <v>405.9238579</v>
      </c>
      <c r="M460" s="14">
        <f t="shared" si="9"/>
        <v>405.207889</v>
      </c>
      <c r="N460" s="14">
        <f t="shared" si="10"/>
        <v>0.7159688263</v>
      </c>
      <c r="O460" s="3"/>
      <c r="P460" s="3"/>
      <c r="Q460" s="3"/>
      <c r="R460" s="2"/>
      <c r="S460" s="14">
        <f t="shared" si="13"/>
        <v>0.6574714043</v>
      </c>
    </row>
    <row r="461">
      <c r="A461" s="11">
        <v>449.0</v>
      </c>
      <c r="B461" s="11">
        <v>1.42134782608695E9</v>
      </c>
      <c r="C461" s="2">
        <v>-102.7253647</v>
      </c>
      <c r="D461" s="3">
        <f t="shared" si="1"/>
        <v>947826.087</v>
      </c>
      <c r="E461" s="4">
        <f t="shared" si="2"/>
        <v>-201.1068529</v>
      </c>
      <c r="F461" s="3">
        <f t="shared" si="3"/>
        <v>0.0002121769549</v>
      </c>
      <c r="G461" s="3">
        <f t="shared" si="4"/>
        <v>0</v>
      </c>
      <c r="H461" s="2">
        <f t="shared" si="5"/>
        <v>0</v>
      </c>
      <c r="I461" s="3">
        <f t="shared" si="6"/>
        <v>0</v>
      </c>
      <c r="J461" s="3">
        <f t="shared" si="7"/>
        <v>0</v>
      </c>
      <c r="K461" s="3"/>
      <c r="L461" s="3">
        <f t="shared" si="8"/>
        <v>406.0408211</v>
      </c>
      <c r="M461" s="14">
        <f t="shared" si="9"/>
        <v>405.0454298</v>
      </c>
      <c r="N461" s="14">
        <f t="shared" si="10"/>
        <v>0.9953913233</v>
      </c>
      <c r="O461" s="3"/>
      <c r="P461" s="3"/>
      <c r="Q461" s="3"/>
      <c r="R461" s="2"/>
      <c r="S461" s="14">
        <f t="shared" si="13"/>
        <v>0.9140640028</v>
      </c>
    </row>
    <row r="462">
      <c r="A462" s="11">
        <v>450.0</v>
      </c>
      <c r="B462" s="11">
        <v>1.42135217391304E9</v>
      </c>
      <c r="C462" s="2">
        <v>-102.7482071</v>
      </c>
      <c r="D462" s="3">
        <f t="shared" si="1"/>
        <v>952173.913</v>
      </c>
      <c r="E462" s="4">
        <f t="shared" si="2"/>
        <v>-202.0251491</v>
      </c>
      <c r="F462" s="3">
        <f t="shared" si="3"/>
        <v>0.000212172531</v>
      </c>
      <c r="G462" s="3">
        <f t="shared" si="4"/>
        <v>0</v>
      </c>
      <c r="H462" s="2">
        <f t="shared" si="5"/>
        <v>0</v>
      </c>
      <c r="I462" s="3">
        <f t="shared" si="6"/>
        <v>0</v>
      </c>
      <c r="J462" s="3">
        <f t="shared" si="7"/>
        <v>0</v>
      </c>
      <c r="K462" s="3"/>
      <c r="L462" s="3">
        <f t="shared" si="8"/>
        <v>403.9107922</v>
      </c>
      <c r="M462" s="14">
        <f t="shared" si="9"/>
        <v>404.8824372</v>
      </c>
      <c r="N462" s="14">
        <f t="shared" si="10"/>
        <v>-0.9716449361</v>
      </c>
      <c r="O462" s="3"/>
      <c r="P462" s="3"/>
      <c r="Q462" s="3"/>
      <c r="R462" s="2"/>
      <c r="S462" s="14">
        <f t="shared" si="13"/>
        <v>-0.8922577852</v>
      </c>
    </row>
    <row r="463">
      <c r="A463" s="11">
        <v>451.0</v>
      </c>
      <c r="B463" s="11">
        <v>1.42135652173913E9</v>
      </c>
      <c r="C463" s="2">
        <v>-102.73069</v>
      </c>
      <c r="D463" s="3">
        <f t="shared" si="1"/>
        <v>956521.7391</v>
      </c>
      <c r="E463" s="4">
        <f t="shared" si="2"/>
        <v>-202.9434452</v>
      </c>
      <c r="F463" s="3">
        <f t="shared" si="3"/>
        <v>0.0002121681473</v>
      </c>
      <c r="G463" s="3">
        <f t="shared" si="4"/>
        <v>0</v>
      </c>
      <c r="H463" s="2">
        <f t="shared" si="5"/>
        <v>0</v>
      </c>
      <c r="I463" s="3">
        <f t="shared" si="6"/>
        <v>0</v>
      </c>
      <c r="J463" s="3">
        <f t="shared" si="7"/>
        <v>0</v>
      </c>
      <c r="K463" s="3"/>
      <c r="L463" s="3">
        <f t="shared" si="8"/>
        <v>405.5432408</v>
      </c>
      <c r="M463" s="14">
        <f t="shared" si="9"/>
        <v>404.7189101</v>
      </c>
      <c r="N463" s="14">
        <f t="shared" si="10"/>
        <v>0.8243306751</v>
      </c>
      <c r="O463" s="3"/>
      <c r="P463" s="3"/>
      <c r="Q463" s="3"/>
      <c r="R463" s="2"/>
      <c r="S463" s="14">
        <f t="shared" si="13"/>
        <v>0.7569796711</v>
      </c>
    </row>
    <row r="464">
      <c r="A464" s="11">
        <v>452.0</v>
      </c>
      <c r="B464" s="11">
        <v>1.42136086956521E9</v>
      </c>
      <c r="C464" s="2">
        <v>-102.7173004</v>
      </c>
      <c r="D464" s="3">
        <f t="shared" si="1"/>
        <v>960869.5652</v>
      </c>
      <c r="E464" s="4">
        <f t="shared" si="2"/>
        <v>-203.8617413</v>
      </c>
      <c r="F464" s="3">
        <f t="shared" si="3"/>
        <v>0.0002121638032</v>
      </c>
      <c r="G464" s="3">
        <f t="shared" si="4"/>
        <v>0</v>
      </c>
      <c r="H464" s="2">
        <f t="shared" si="5"/>
        <v>0</v>
      </c>
      <c r="I464" s="3">
        <f t="shared" si="6"/>
        <v>0</v>
      </c>
      <c r="J464" s="3">
        <f t="shared" si="7"/>
        <v>0</v>
      </c>
      <c r="K464" s="3"/>
      <c r="L464" s="3">
        <f t="shared" si="8"/>
        <v>406.7954881</v>
      </c>
      <c r="M464" s="14">
        <f t="shared" si="9"/>
        <v>404.5548477</v>
      </c>
      <c r="N464" s="14">
        <f t="shared" si="10"/>
        <v>2.240640399</v>
      </c>
      <c r="O464" s="3"/>
      <c r="P464" s="3"/>
      <c r="Q464" s="3"/>
      <c r="R464" s="2"/>
      <c r="S464" s="14">
        <f t="shared" si="13"/>
        <v>2.057571414</v>
      </c>
    </row>
    <row r="465">
      <c r="A465" s="11">
        <v>453.0</v>
      </c>
      <c r="B465" s="11">
        <v>1.4213652173913E9</v>
      </c>
      <c r="C465" s="2">
        <v>-102.7915192</v>
      </c>
      <c r="D465" s="3">
        <f t="shared" si="1"/>
        <v>965217.3913</v>
      </c>
      <c r="E465" s="4">
        <f t="shared" si="2"/>
        <v>-204.7800375</v>
      </c>
      <c r="F465" s="3">
        <f t="shared" si="3"/>
        <v>0.0002121594983</v>
      </c>
      <c r="G465" s="3">
        <f t="shared" si="4"/>
        <v>0</v>
      </c>
      <c r="H465" s="2">
        <f t="shared" si="5"/>
        <v>0</v>
      </c>
      <c r="I465" s="3">
        <f t="shared" si="6"/>
        <v>0</v>
      </c>
      <c r="J465" s="3">
        <f t="shared" si="7"/>
        <v>0</v>
      </c>
      <c r="K465" s="3"/>
      <c r="L465" s="3">
        <f t="shared" si="8"/>
        <v>399.9026181</v>
      </c>
      <c r="M465" s="14">
        <f t="shared" si="9"/>
        <v>404.390249</v>
      </c>
      <c r="N465" s="14">
        <f t="shared" si="10"/>
        <v>-4.487630917</v>
      </c>
      <c r="O465" s="3"/>
      <c r="P465" s="3"/>
      <c r="Q465" s="3"/>
      <c r="R465" s="2"/>
      <c r="S465" s="14">
        <f t="shared" si="13"/>
        <v>-4.120974107</v>
      </c>
    </row>
    <row r="466">
      <c r="A466" s="11">
        <v>454.0</v>
      </c>
      <c r="B466" s="11">
        <v>1.42136956521739E9</v>
      </c>
      <c r="C466" s="2">
        <v>-102.7449341</v>
      </c>
      <c r="D466" s="3">
        <f t="shared" si="1"/>
        <v>969565.2174</v>
      </c>
      <c r="E466" s="4">
        <f t="shared" si="2"/>
        <v>-205.6983336</v>
      </c>
      <c r="F466" s="3">
        <f t="shared" si="3"/>
        <v>0.000212155232</v>
      </c>
      <c r="G466" s="3">
        <f t="shared" si="4"/>
        <v>0</v>
      </c>
      <c r="H466" s="2">
        <f t="shared" si="5"/>
        <v>0</v>
      </c>
      <c r="I466" s="3">
        <f t="shared" si="6"/>
        <v>0</v>
      </c>
      <c r="J466" s="3">
        <f t="shared" si="7"/>
        <v>0</v>
      </c>
      <c r="K466" s="3"/>
      <c r="L466" s="3">
        <f t="shared" si="8"/>
        <v>404.2153087</v>
      </c>
      <c r="M466" s="14">
        <f t="shared" si="9"/>
        <v>404.225113</v>
      </c>
      <c r="N466" s="14">
        <f t="shared" si="10"/>
        <v>-0.009804326082</v>
      </c>
      <c r="O466" s="3"/>
      <c r="P466" s="3"/>
      <c r="Q466" s="3"/>
      <c r="R466" s="2"/>
      <c r="S466" s="14">
        <f t="shared" si="13"/>
        <v>-0.009003274726</v>
      </c>
    </row>
    <row r="467">
      <c r="A467" s="11">
        <v>455.0</v>
      </c>
      <c r="B467" s="11">
        <v>1.42137391304347E9</v>
      </c>
      <c r="C467" s="2">
        <v>-102.7961807</v>
      </c>
      <c r="D467" s="3">
        <f t="shared" si="1"/>
        <v>973913.0435</v>
      </c>
      <c r="E467" s="4">
        <f t="shared" si="2"/>
        <v>-206.6166297</v>
      </c>
      <c r="F467" s="3">
        <f t="shared" si="3"/>
        <v>0.0002121510037</v>
      </c>
      <c r="G467" s="3">
        <f t="shared" si="4"/>
        <v>0</v>
      </c>
      <c r="H467" s="2">
        <f t="shared" si="5"/>
        <v>0</v>
      </c>
      <c r="I467" s="3">
        <f t="shared" si="6"/>
        <v>0</v>
      </c>
      <c r="J467" s="3">
        <f t="shared" si="7"/>
        <v>0</v>
      </c>
      <c r="K467" s="3"/>
      <c r="L467" s="3">
        <f t="shared" si="8"/>
        <v>399.4736129</v>
      </c>
      <c r="M467" s="14">
        <f t="shared" si="9"/>
        <v>404.0594389</v>
      </c>
      <c r="N467" s="14">
        <f t="shared" si="10"/>
        <v>-4.585826002</v>
      </c>
      <c r="O467" s="3"/>
      <c r="P467" s="3"/>
      <c r="Q467" s="3"/>
      <c r="R467" s="2"/>
      <c r="S467" s="14">
        <f t="shared" si="13"/>
        <v>-4.211146283</v>
      </c>
    </row>
    <row r="468">
      <c r="A468" s="11">
        <v>456.0</v>
      </c>
      <c r="B468" s="11">
        <v>1.42137826086956E9</v>
      </c>
      <c r="C468" s="2">
        <v>-102.7447357</v>
      </c>
      <c r="D468" s="3">
        <f t="shared" si="1"/>
        <v>978260.8696</v>
      </c>
      <c r="E468" s="4">
        <f t="shared" si="2"/>
        <v>-207.5349259</v>
      </c>
      <c r="F468" s="3">
        <f t="shared" si="3"/>
        <v>0.0002121468131</v>
      </c>
      <c r="G468" s="3">
        <f t="shared" si="4"/>
        <v>0</v>
      </c>
      <c r="H468" s="2">
        <f t="shared" si="5"/>
        <v>0</v>
      </c>
      <c r="I468" s="3">
        <f t="shared" si="6"/>
        <v>0</v>
      </c>
      <c r="J468" s="3">
        <f t="shared" si="7"/>
        <v>0</v>
      </c>
      <c r="K468" s="3"/>
      <c r="L468" s="3">
        <f t="shared" si="8"/>
        <v>404.233775</v>
      </c>
      <c r="M468" s="14">
        <f t="shared" si="9"/>
        <v>403.8932255</v>
      </c>
      <c r="N468" s="14">
        <f t="shared" si="10"/>
        <v>0.3405494771</v>
      </c>
      <c r="O468" s="3"/>
      <c r="P468" s="3"/>
      <c r="Q468" s="3"/>
      <c r="R468" s="2"/>
      <c r="S468" s="14">
        <f t="shared" si="13"/>
        <v>0.3127252671</v>
      </c>
    </row>
    <row r="469">
      <c r="A469" s="11">
        <v>457.0</v>
      </c>
      <c r="B469" s="11">
        <v>1.42138260869565E9</v>
      </c>
      <c r="C469" s="2">
        <v>-102.7714844</v>
      </c>
      <c r="D469" s="3">
        <f t="shared" si="1"/>
        <v>982608.6957</v>
      </c>
      <c r="E469" s="4">
        <f t="shared" si="2"/>
        <v>-208.453222</v>
      </c>
      <c r="F469" s="3">
        <f t="shared" si="3"/>
        <v>0.0002121426596</v>
      </c>
      <c r="G469" s="3">
        <f t="shared" si="4"/>
        <v>0</v>
      </c>
      <c r="H469" s="2">
        <f t="shared" si="5"/>
        <v>0</v>
      </c>
      <c r="I469" s="3">
        <f t="shared" si="6"/>
        <v>0</v>
      </c>
      <c r="J469" s="3">
        <f t="shared" si="7"/>
        <v>0</v>
      </c>
      <c r="K469" s="3"/>
      <c r="L469" s="3">
        <f t="shared" si="8"/>
        <v>401.7517039</v>
      </c>
      <c r="M469" s="14">
        <f t="shared" si="9"/>
        <v>403.7264721</v>
      </c>
      <c r="N469" s="14">
        <f t="shared" si="10"/>
        <v>-1.97476818</v>
      </c>
      <c r="O469" s="3"/>
      <c r="P469" s="3"/>
      <c r="Q469" s="3"/>
      <c r="R469" s="2"/>
      <c r="S469" s="14">
        <f t="shared" si="13"/>
        <v>-1.813421983</v>
      </c>
    </row>
    <row r="470">
      <c r="A470" s="11">
        <v>458.0</v>
      </c>
      <c r="B470" s="11">
        <v>1.42138695652173E9</v>
      </c>
      <c r="C470" s="2">
        <v>-102.7383118</v>
      </c>
      <c r="D470" s="3">
        <f t="shared" si="1"/>
        <v>986956.5217</v>
      </c>
      <c r="E470" s="4">
        <f t="shared" si="2"/>
        <v>-209.3715181</v>
      </c>
      <c r="F470" s="3">
        <f t="shared" si="3"/>
        <v>0.0002121385426</v>
      </c>
      <c r="G470" s="3">
        <f t="shared" si="4"/>
        <v>0</v>
      </c>
      <c r="H470" s="2">
        <f t="shared" si="5"/>
        <v>0</v>
      </c>
      <c r="I470" s="3">
        <f t="shared" si="6"/>
        <v>0</v>
      </c>
      <c r="J470" s="3">
        <f t="shared" si="7"/>
        <v>0</v>
      </c>
      <c r="K470" s="3"/>
      <c r="L470" s="3">
        <f t="shared" si="8"/>
        <v>404.8321429</v>
      </c>
      <c r="M470" s="14">
        <f t="shared" si="9"/>
        <v>403.5591776</v>
      </c>
      <c r="N470" s="14">
        <f t="shared" si="10"/>
        <v>1.272965331</v>
      </c>
      <c r="O470" s="3"/>
      <c r="P470" s="3"/>
      <c r="Q470" s="3"/>
      <c r="R470" s="2"/>
      <c r="S470" s="14">
        <f t="shared" si="13"/>
        <v>1.16895914</v>
      </c>
    </row>
    <row r="471">
      <c r="A471" s="11">
        <v>459.0</v>
      </c>
      <c r="B471" s="11">
        <v>1.42139130434782E9</v>
      </c>
      <c r="C471" s="2">
        <v>-102.7600708</v>
      </c>
      <c r="D471" s="3">
        <f t="shared" si="1"/>
        <v>991304.3478</v>
      </c>
      <c r="E471" s="4">
        <f t="shared" si="2"/>
        <v>-210.2898143</v>
      </c>
      <c r="F471" s="3">
        <f t="shared" si="3"/>
        <v>0.0002121344618</v>
      </c>
      <c r="G471" s="3">
        <f t="shared" si="4"/>
        <v>0</v>
      </c>
      <c r="H471" s="2">
        <f t="shared" si="5"/>
        <v>0</v>
      </c>
      <c r="I471" s="3">
        <f t="shared" si="6"/>
        <v>0</v>
      </c>
      <c r="J471" s="3">
        <f t="shared" si="7"/>
        <v>0</v>
      </c>
      <c r="K471" s="3"/>
      <c r="L471" s="3">
        <f t="shared" si="8"/>
        <v>402.8089276</v>
      </c>
      <c r="M471" s="14">
        <f t="shared" si="9"/>
        <v>403.3913411</v>
      </c>
      <c r="N471" s="14">
        <f t="shared" si="10"/>
        <v>-0.5824135017</v>
      </c>
      <c r="O471" s="3"/>
      <c r="P471" s="3"/>
      <c r="Q471" s="3"/>
      <c r="R471" s="2"/>
      <c r="S471" s="14">
        <f t="shared" si="13"/>
        <v>-0.5348280663</v>
      </c>
    </row>
    <row r="472">
      <c r="A472" s="11">
        <v>460.0</v>
      </c>
      <c r="B472" s="11">
        <v>1.42139565217391E9</v>
      </c>
      <c r="C472" s="2">
        <v>-102.763382</v>
      </c>
      <c r="D472" s="3">
        <f t="shared" si="1"/>
        <v>995652.1739</v>
      </c>
      <c r="E472" s="4">
        <f t="shared" si="2"/>
        <v>-211.2081104</v>
      </c>
      <c r="F472" s="3">
        <f t="shared" si="3"/>
        <v>0.0002121304166</v>
      </c>
      <c r="G472" s="3">
        <f t="shared" si="4"/>
        <v>0</v>
      </c>
      <c r="H472" s="2">
        <f t="shared" si="5"/>
        <v>0</v>
      </c>
      <c r="I472" s="3">
        <f t="shared" si="6"/>
        <v>0</v>
      </c>
      <c r="J472" s="3">
        <f t="shared" si="7"/>
        <v>0</v>
      </c>
      <c r="K472" s="3"/>
      <c r="L472" s="3">
        <f t="shared" si="8"/>
        <v>402.5019302</v>
      </c>
      <c r="M472" s="14">
        <f t="shared" si="9"/>
        <v>403.2229616</v>
      </c>
      <c r="N472" s="14">
        <f t="shared" si="10"/>
        <v>-0.7210313679</v>
      </c>
      <c r="O472" s="3"/>
      <c r="P472" s="3"/>
      <c r="Q472" s="3"/>
      <c r="R472" s="2"/>
      <c r="S472" s="14">
        <f t="shared" si="13"/>
        <v>-0.5709772477</v>
      </c>
    </row>
    <row r="473">
      <c r="A473" s="11">
        <v>461.0</v>
      </c>
      <c r="B473" s="11">
        <v>1.4214E9</v>
      </c>
      <c r="C473" s="2">
        <v>-102.7654953</v>
      </c>
      <c r="D473" s="3">
        <f t="shared" si="1"/>
        <v>1000000</v>
      </c>
      <c r="E473" s="29">
        <f>-0.000212*D473</f>
        <v>-212</v>
      </c>
      <c r="F473" s="3">
        <f t="shared" si="3"/>
        <v>0.000212</v>
      </c>
      <c r="G473" s="3">
        <f t="shared" si="4"/>
        <v>0</v>
      </c>
      <c r="H473" s="2">
        <f t="shared" si="5"/>
        <v>0</v>
      </c>
      <c r="I473" s="3">
        <f t="shared" si="6"/>
        <v>0</v>
      </c>
      <c r="J473" s="3">
        <f t="shared" si="7"/>
        <v>0</v>
      </c>
      <c r="K473" s="3"/>
      <c r="L473" s="3">
        <f t="shared" si="8"/>
        <v>402.3061183</v>
      </c>
      <c r="M473" s="14">
        <f t="shared" si="9"/>
        <v>403.0773234</v>
      </c>
      <c r="N473" s="14">
        <f t="shared" si="10"/>
        <v>-0.771205072</v>
      </c>
      <c r="O473" s="3"/>
      <c r="P473" s="3"/>
      <c r="Q473" s="3"/>
      <c r="R473" s="2"/>
      <c r="S473" s="14"/>
    </row>
    <row r="474">
      <c r="A474" s="11" t="s">
        <v>40</v>
      </c>
      <c r="D474" s="3"/>
      <c r="E474" s="4"/>
      <c r="F474" s="3"/>
      <c r="G474" s="3"/>
      <c r="H474" s="3"/>
      <c r="I474" s="3"/>
      <c r="J474" s="3"/>
      <c r="K474" s="3"/>
      <c r="L474" s="3"/>
      <c r="M474" s="5"/>
      <c r="N474" s="3"/>
      <c r="O474" s="3"/>
      <c r="P474" s="3"/>
      <c r="Q474" s="3"/>
      <c r="R474" s="3"/>
      <c r="S474" s="1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0</v>
      </c>
      <c r="B1" s="11" t="s">
        <v>1</v>
      </c>
    </row>
    <row r="2">
      <c r="A2" s="11" t="s">
        <v>2</v>
      </c>
      <c r="B2" s="11" t="s">
        <v>3</v>
      </c>
    </row>
    <row r="3">
      <c r="A3" s="11" t="s">
        <v>5</v>
      </c>
      <c r="B3" s="11" t="s">
        <v>6</v>
      </c>
    </row>
    <row r="4">
      <c r="A4" s="11" t="s">
        <v>7</v>
      </c>
      <c r="B4" s="11">
        <v>1.4204E9</v>
      </c>
      <c r="C4" s="11" t="s">
        <v>8</v>
      </c>
    </row>
    <row r="5">
      <c r="A5" s="11" t="s">
        <v>9</v>
      </c>
      <c r="B5" s="11">
        <v>2000000.0</v>
      </c>
      <c r="C5" s="11" t="s">
        <v>8</v>
      </c>
    </row>
    <row r="6">
      <c r="A6" s="11" t="s">
        <v>10</v>
      </c>
      <c r="B6" s="11">
        <v>30000.0</v>
      </c>
      <c r="C6" s="11" t="s">
        <v>8</v>
      </c>
    </row>
    <row r="7">
      <c r="A7" s="11" t="s">
        <v>11</v>
      </c>
      <c r="B7" s="11">
        <v>30000.0</v>
      </c>
      <c r="C7" s="11" t="s">
        <v>8</v>
      </c>
    </row>
    <row r="8">
      <c r="A8" s="11" t="s">
        <v>12</v>
      </c>
      <c r="B8" s="11">
        <v>-97.0</v>
      </c>
      <c r="C8" s="11" t="s">
        <v>13</v>
      </c>
    </row>
    <row r="9">
      <c r="A9" s="11" t="s">
        <v>14</v>
      </c>
      <c r="B9" s="11">
        <v>1.0</v>
      </c>
      <c r="C9" s="11" t="s">
        <v>15</v>
      </c>
    </row>
    <row r="10">
      <c r="A10" s="11" t="s">
        <v>16</v>
      </c>
      <c r="B10" s="11">
        <v>461.0</v>
      </c>
    </row>
    <row r="11">
      <c r="A11" s="11" t="s">
        <v>17</v>
      </c>
      <c r="B11" s="11" t="s">
        <v>8</v>
      </c>
      <c r="C11" s="11" t="s">
        <v>13</v>
      </c>
      <c r="D11" s="2" t="s">
        <v>18</v>
      </c>
      <c r="E11" s="1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26</v>
      </c>
      <c r="M11" s="6" t="s">
        <v>27</v>
      </c>
      <c r="N11" s="2" t="s">
        <v>28</v>
      </c>
      <c r="O11" s="3"/>
      <c r="P11" s="2" t="s">
        <v>29</v>
      </c>
      <c r="Q11" s="2" t="s">
        <v>30</v>
      </c>
      <c r="R11" s="2"/>
      <c r="S11" s="2" t="s">
        <v>31</v>
      </c>
      <c r="V11" s="13" t="s">
        <v>32</v>
      </c>
    </row>
    <row r="12">
      <c r="A12" s="11" t="s">
        <v>33</v>
      </c>
      <c r="B12" s="11" t="s">
        <v>34</v>
      </c>
      <c r="C12" s="11" t="s">
        <v>35</v>
      </c>
      <c r="D12" s="3"/>
      <c r="E12" s="4"/>
      <c r="F12" s="3"/>
      <c r="G12" s="2" t="s">
        <v>36</v>
      </c>
      <c r="H12" s="2" t="s">
        <v>37</v>
      </c>
      <c r="I12" s="3"/>
      <c r="J12" s="3"/>
      <c r="K12" s="3"/>
      <c r="L12" s="3"/>
      <c r="M12" s="5"/>
      <c r="N12" s="3"/>
      <c r="O12" s="3"/>
      <c r="P12" s="3"/>
      <c r="Q12" s="3"/>
      <c r="R12" s="3"/>
      <c r="S12" s="3"/>
    </row>
    <row r="13">
      <c r="A13" s="11">
        <v>1.0</v>
      </c>
      <c r="B13" s="11">
        <v>1.4194E9</v>
      </c>
      <c r="C13" s="2">
        <v>-102.3753433</v>
      </c>
      <c r="D13" s="3">
        <f t="shared" ref="D13:D473" si="1">B13-$B$4</f>
        <v>-1000000</v>
      </c>
      <c r="E13" s="4">
        <f t="shared" ref="E13:E472" si="2">-((B14-$B$4)/$B$4)*(3*10^5)</f>
        <v>210.2898143</v>
      </c>
      <c r="F13" s="3">
        <f t="shared" ref="F13:F473" si="3">-E13/D13</f>
        <v>0.0002102898143</v>
      </c>
      <c r="G13" s="3">
        <f t="shared" ref="G13:G473" si="4">(10^(C13/10))/1000</f>
        <v>0</v>
      </c>
      <c r="H13" s="2">
        <f t="shared" ref="H13:H473" si="5">G13/30000</f>
        <v>0</v>
      </c>
      <c r="I13" s="3">
        <f t="shared" ref="I13:I473" si="6">0.0063*H13</f>
        <v>0</v>
      </c>
      <c r="J13" s="3">
        <f t="shared" ref="J13:J473" si="7">(1/F13^2)*I13</f>
        <v>0</v>
      </c>
      <c r="K13" s="22">
        <f>1.38064852E-23</f>
        <v>0</v>
      </c>
      <c r="L13" s="3">
        <f t="shared" ref="L13:L473" si="8">(1/(2*$K$13))*(I13)</f>
        <v>440.1207429</v>
      </c>
      <c r="M13" s="14">
        <f t="shared" ref="M13:M473" si="9"> 0.0000003497 *E13^3 - 0.000020949 *E13^2 + 0.0806852407 *E13 + 421.7752383717
</f>
        <v>441.0681186</v>
      </c>
      <c r="N13" s="14">
        <f t="shared" ref="N13:N473" si="10">L13-(M13)</f>
        <v>-0.9473756716</v>
      </c>
      <c r="O13" s="3"/>
      <c r="P13" s="23">
        <f t="shared" ref="P13:P67" si="11">-((B14-$B$4)/$B$4)*(3*10^5)</f>
        <v>210.2898143</v>
      </c>
      <c r="Q13" s="14">
        <f t="shared" ref="Q13:Q67" si="12">(1/(2*$K$13))*(I13)</f>
        <v>440.1207429</v>
      </c>
      <c r="R13" s="2"/>
      <c r="S13" s="14">
        <f t="shared" ref="S13:S472" si="13">(N13 * ABS(E14-E13))</f>
        <v>-0.8699714155</v>
      </c>
      <c r="V13" s="3">
        <f>1822400000000000000 * SUM(S13:S473)</f>
        <v>2.4632E+22</v>
      </c>
    </row>
    <row r="14">
      <c r="A14" s="11">
        <v>2.0</v>
      </c>
      <c r="B14" s="11">
        <v>1.41940434782608E9</v>
      </c>
      <c r="C14" s="2">
        <v>-102.3873291</v>
      </c>
      <c r="D14" s="3">
        <f t="shared" si="1"/>
        <v>-995652.1739</v>
      </c>
      <c r="E14" s="4">
        <f t="shared" si="2"/>
        <v>209.3715181</v>
      </c>
      <c r="F14" s="3">
        <f t="shared" si="3"/>
        <v>0.0002102858042</v>
      </c>
      <c r="G14" s="3">
        <f t="shared" si="4"/>
        <v>0</v>
      </c>
      <c r="H14" s="2">
        <f t="shared" si="5"/>
        <v>0</v>
      </c>
      <c r="I14" s="3">
        <f t="shared" si="6"/>
        <v>0</v>
      </c>
      <c r="J14" s="3">
        <f t="shared" si="7"/>
        <v>0</v>
      </c>
      <c r="K14" s="3"/>
      <c r="L14" s="3">
        <f t="shared" si="8"/>
        <v>438.907758</v>
      </c>
      <c r="M14" s="14">
        <f t="shared" si="9"/>
        <v>440.959682</v>
      </c>
      <c r="N14" s="14">
        <f t="shared" si="10"/>
        <v>-2.051923996</v>
      </c>
      <c r="O14" s="3"/>
      <c r="P14" s="23">
        <f t="shared" si="11"/>
        <v>209.3715181</v>
      </c>
      <c r="Q14" s="14">
        <f t="shared" si="12"/>
        <v>438.907758</v>
      </c>
      <c r="R14" s="2"/>
      <c r="S14" s="14">
        <f t="shared" si="13"/>
        <v>-1.884273871</v>
      </c>
    </row>
    <row r="15">
      <c r="A15" s="11">
        <v>3.0</v>
      </c>
      <c r="B15" s="11">
        <v>1.41940869565217E9</v>
      </c>
      <c r="C15" s="2">
        <v>-102.3660812</v>
      </c>
      <c r="D15" s="3">
        <f t="shared" si="1"/>
        <v>-991304.3478</v>
      </c>
      <c r="E15" s="4">
        <f t="shared" si="2"/>
        <v>208.453222</v>
      </c>
      <c r="F15" s="3">
        <f t="shared" si="3"/>
        <v>0.000210281759</v>
      </c>
      <c r="G15" s="3">
        <f t="shared" si="4"/>
        <v>0</v>
      </c>
      <c r="H15" s="2">
        <f t="shared" si="5"/>
        <v>0</v>
      </c>
      <c r="I15" s="3">
        <f t="shared" si="6"/>
        <v>0</v>
      </c>
      <c r="J15" s="3">
        <f t="shared" si="7"/>
        <v>0</v>
      </c>
      <c r="K15" s="3"/>
      <c r="L15" s="3">
        <f t="shared" si="8"/>
        <v>441.0603801</v>
      </c>
      <c r="M15" s="14">
        <f t="shared" si="9"/>
        <v>440.8515805</v>
      </c>
      <c r="N15" s="14">
        <f t="shared" si="10"/>
        <v>0.2087995436</v>
      </c>
      <c r="O15" s="3"/>
      <c r="P15" s="23">
        <f t="shared" si="11"/>
        <v>208.453222</v>
      </c>
      <c r="Q15" s="14">
        <f t="shared" si="12"/>
        <v>441.0603801</v>
      </c>
      <c r="R15" s="2"/>
      <c r="S15" s="14">
        <f t="shared" si="13"/>
        <v>0.191739813</v>
      </c>
    </row>
    <row r="16">
      <c r="A16" s="11">
        <v>4.0</v>
      </c>
      <c r="B16" s="11">
        <v>1.41941304347826E9</v>
      </c>
      <c r="C16" s="2">
        <v>-102.3738556</v>
      </c>
      <c r="D16" s="3">
        <f t="shared" si="1"/>
        <v>-986956.5217</v>
      </c>
      <c r="E16" s="4">
        <f t="shared" si="2"/>
        <v>207.5349259</v>
      </c>
      <c r="F16" s="3">
        <f t="shared" si="3"/>
        <v>0.0002102776782</v>
      </c>
      <c r="G16" s="3">
        <f t="shared" si="4"/>
        <v>0</v>
      </c>
      <c r="H16" s="2">
        <f t="shared" si="5"/>
        <v>0</v>
      </c>
      <c r="I16" s="3">
        <f t="shared" si="6"/>
        <v>0</v>
      </c>
      <c r="J16" s="3">
        <f t="shared" si="7"/>
        <v>0</v>
      </c>
      <c r="K16" s="3"/>
      <c r="L16" s="3">
        <f t="shared" si="8"/>
        <v>440.2715346</v>
      </c>
      <c r="M16" s="14">
        <f t="shared" si="9"/>
        <v>440.7438126</v>
      </c>
      <c r="N16" s="14">
        <f t="shared" si="10"/>
        <v>-0.4722779841</v>
      </c>
      <c r="O16" s="3"/>
      <c r="P16" s="23">
        <f t="shared" si="11"/>
        <v>207.5349259</v>
      </c>
      <c r="Q16" s="14">
        <f t="shared" si="12"/>
        <v>440.2715346</v>
      </c>
      <c r="R16" s="2"/>
      <c r="S16" s="14">
        <f t="shared" si="13"/>
        <v>-0.4336910464</v>
      </c>
    </row>
    <row r="17">
      <c r="A17" s="11">
        <v>5.0</v>
      </c>
      <c r="B17" s="11">
        <v>1.41941739130434E9</v>
      </c>
      <c r="C17" s="2">
        <v>-102.3691559</v>
      </c>
      <c r="D17" s="3">
        <f t="shared" si="1"/>
        <v>-982608.6957</v>
      </c>
      <c r="E17" s="4">
        <f t="shared" si="2"/>
        <v>206.6166297</v>
      </c>
      <c r="F17" s="3">
        <f t="shared" si="3"/>
        <v>0.0002102735612</v>
      </c>
      <c r="G17" s="3">
        <f t="shared" si="4"/>
        <v>0</v>
      </c>
      <c r="H17" s="2">
        <f t="shared" si="5"/>
        <v>0</v>
      </c>
      <c r="I17" s="3">
        <f t="shared" si="6"/>
        <v>0</v>
      </c>
      <c r="J17" s="3">
        <f t="shared" si="7"/>
        <v>0</v>
      </c>
      <c r="K17" s="3"/>
      <c r="L17" s="3">
        <f t="shared" si="8"/>
        <v>440.7482305</v>
      </c>
      <c r="M17" s="14">
        <f t="shared" si="9"/>
        <v>440.6363764</v>
      </c>
      <c r="N17" s="14">
        <f t="shared" si="10"/>
        <v>0.1118540489</v>
      </c>
      <c r="O17" s="3"/>
      <c r="P17" s="23">
        <f t="shared" si="11"/>
        <v>206.6166297</v>
      </c>
      <c r="Q17" s="14">
        <f t="shared" si="12"/>
        <v>440.7482305</v>
      </c>
      <c r="R17" s="2"/>
      <c r="S17" s="14">
        <f t="shared" si="13"/>
        <v>0.1027151405</v>
      </c>
    </row>
    <row r="18">
      <c r="A18" s="11">
        <v>6.0</v>
      </c>
      <c r="B18" s="11">
        <v>1.41942173913043E9</v>
      </c>
      <c r="C18" s="2">
        <v>-102.3646851</v>
      </c>
      <c r="D18" s="3">
        <f t="shared" si="1"/>
        <v>-978260.8696</v>
      </c>
      <c r="E18" s="4">
        <f t="shared" si="2"/>
        <v>205.6983336</v>
      </c>
      <c r="F18" s="3">
        <f t="shared" si="3"/>
        <v>0.0002102694077</v>
      </c>
      <c r="G18" s="3">
        <f t="shared" si="4"/>
        <v>0</v>
      </c>
      <c r="H18" s="2">
        <f t="shared" si="5"/>
        <v>0</v>
      </c>
      <c r="I18" s="3">
        <f t="shared" si="6"/>
        <v>0</v>
      </c>
      <c r="J18" s="3">
        <f t="shared" si="7"/>
        <v>0</v>
      </c>
      <c r="K18" s="3"/>
      <c r="L18" s="3">
        <f t="shared" si="8"/>
        <v>441.2021879</v>
      </c>
      <c r="M18" s="14">
        <f t="shared" si="9"/>
        <v>440.5292706</v>
      </c>
      <c r="N18" s="14">
        <f t="shared" si="10"/>
        <v>0.6729172793</v>
      </c>
      <c r="O18" s="3"/>
      <c r="P18" s="23">
        <f t="shared" si="11"/>
        <v>205.6983336</v>
      </c>
      <c r="Q18" s="14">
        <f t="shared" si="12"/>
        <v>441.2021879</v>
      </c>
      <c r="R18" s="2"/>
      <c r="S18" s="14">
        <f t="shared" si="13"/>
        <v>0.6179373339</v>
      </c>
    </row>
    <row r="19">
      <c r="A19" s="11">
        <v>7.0</v>
      </c>
      <c r="B19" s="11">
        <v>1.41942608695652E9</v>
      </c>
      <c r="C19" s="2">
        <v>-102.3375397</v>
      </c>
      <c r="D19" s="3">
        <f t="shared" si="1"/>
        <v>-973913.0435</v>
      </c>
      <c r="E19" s="4">
        <f t="shared" si="2"/>
        <v>204.7800375</v>
      </c>
      <c r="F19" s="3">
        <f t="shared" si="3"/>
        <v>0.000210265217</v>
      </c>
      <c r="G19" s="3">
        <f t="shared" si="4"/>
        <v>0</v>
      </c>
      <c r="H19" s="2">
        <f t="shared" si="5"/>
        <v>0</v>
      </c>
      <c r="I19" s="3">
        <f t="shared" si="6"/>
        <v>0</v>
      </c>
      <c r="J19" s="3">
        <f t="shared" si="7"/>
        <v>0</v>
      </c>
      <c r="K19" s="3"/>
      <c r="L19" s="3">
        <f t="shared" si="8"/>
        <v>443.9685407</v>
      </c>
      <c r="M19" s="14">
        <f t="shared" si="9"/>
        <v>440.4224933</v>
      </c>
      <c r="N19" s="14">
        <f t="shared" si="10"/>
        <v>3.54604734</v>
      </c>
      <c r="O19" s="3"/>
      <c r="P19" s="23">
        <f t="shared" si="11"/>
        <v>204.7800375</v>
      </c>
      <c r="Q19" s="14">
        <f t="shared" si="12"/>
        <v>443.9685407</v>
      </c>
      <c r="R19" s="2"/>
      <c r="S19" s="14">
        <f t="shared" si="13"/>
        <v>3.256321559</v>
      </c>
    </row>
    <row r="20">
      <c r="A20" s="11">
        <v>8.0</v>
      </c>
      <c r="B20" s="11">
        <v>1.4194304347826E9</v>
      </c>
      <c r="C20" s="2">
        <v>-102.3434753</v>
      </c>
      <c r="D20" s="3">
        <f t="shared" si="1"/>
        <v>-969565.2174</v>
      </c>
      <c r="E20" s="4">
        <f t="shared" si="2"/>
        <v>203.8617413</v>
      </c>
      <c r="F20" s="3">
        <f t="shared" si="3"/>
        <v>0.0002102609888</v>
      </c>
      <c r="G20" s="3">
        <f t="shared" si="4"/>
        <v>0</v>
      </c>
      <c r="H20" s="2">
        <f t="shared" si="5"/>
        <v>0</v>
      </c>
      <c r="I20" s="3">
        <f t="shared" si="6"/>
        <v>0</v>
      </c>
      <c r="J20" s="3">
        <f t="shared" si="7"/>
        <v>0</v>
      </c>
      <c r="K20" s="3"/>
      <c r="L20" s="3">
        <f t="shared" si="8"/>
        <v>443.3621734</v>
      </c>
      <c r="M20" s="14">
        <f t="shared" si="9"/>
        <v>440.3160431</v>
      </c>
      <c r="N20" s="14">
        <f t="shared" si="10"/>
        <v>3.046130299</v>
      </c>
      <c r="O20" s="3"/>
      <c r="P20" s="23">
        <f t="shared" si="11"/>
        <v>203.8617413</v>
      </c>
      <c r="Q20" s="14">
        <f t="shared" si="12"/>
        <v>443.3621734</v>
      </c>
      <c r="R20" s="2"/>
      <c r="S20" s="14">
        <f t="shared" si="13"/>
        <v>2.797249673</v>
      </c>
    </row>
    <row r="21">
      <c r="A21" s="11">
        <v>9.0</v>
      </c>
      <c r="B21" s="11">
        <v>1.41943478260869E9</v>
      </c>
      <c r="C21" s="2">
        <v>-102.3717804</v>
      </c>
      <c r="D21" s="3">
        <f t="shared" si="1"/>
        <v>-965217.3913</v>
      </c>
      <c r="E21" s="4">
        <f t="shared" si="2"/>
        <v>202.9434452</v>
      </c>
      <c r="F21" s="3">
        <f t="shared" si="3"/>
        <v>0.0002102567225</v>
      </c>
      <c r="G21" s="3">
        <f t="shared" si="4"/>
        <v>0</v>
      </c>
      <c r="H21" s="2">
        <f t="shared" si="5"/>
        <v>0</v>
      </c>
      <c r="I21" s="3">
        <f t="shared" si="6"/>
        <v>0</v>
      </c>
      <c r="J21" s="3">
        <f t="shared" si="7"/>
        <v>0</v>
      </c>
      <c r="K21" s="3"/>
      <c r="L21" s="3">
        <f t="shared" si="8"/>
        <v>440.4819609</v>
      </c>
      <c r="M21" s="14">
        <f t="shared" si="9"/>
        <v>440.2099182</v>
      </c>
      <c r="N21" s="14">
        <f t="shared" si="10"/>
        <v>0.2720426615</v>
      </c>
      <c r="O21" s="3"/>
      <c r="P21" s="23">
        <f t="shared" si="11"/>
        <v>202.9434452</v>
      </c>
      <c r="Q21" s="14">
        <f t="shared" si="12"/>
        <v>440.4819609</v>
      </c>
      <c r="R21" s="2"/>
      <c r="S21" s="14">
        <f t="shared" si="13"/>
        <v>0.249815724</v>
      </c>
    </row>
    <row r="22">
      <c r="A22" s="11">
        <v>10.0</v>
      </c>
      <c r="B22" s="11">
        <v>1.41943913043478E9</v>
      </c>
      <c r="C22" s="2">
        <v>-102.4018478</v>
      </c>
      <c r="D22" s="3">
        <f t="shared" si="1"/>
        <v>-960869.5652</v>
      </c>
      <c r="E22" s="4">
        <f t="shared" si="2"/>
        <v>202.0251491</v>
      </c>
      <c r="F22" s="3">
        <f t="shared" si="3"/>
        <v>0.0002102524176</v>
      </c>
      <c r="G22" s="3">
        <f t="shared" si="4"/>
        <v>0</v>
      </c>
      <c r="H22" s="2">
        <f t="shared" si="5"/>
        <v>0</v>
      </c>
      <c r="I22" s="3">
        <f t="shared" si="6"/>
        <v>0</v>
      </c>
      <c r="J22" s="3">
        <f t="shared" si="7"/>
        <v>0</v>
      </c>
      <c r="K22" s="3"/>
      <c r="L22" s="3">
        <f t="shared" si="8"/>
        <v>437.4429155</v>
      </c>
      <c r="M22" s="14">
        <f t="shared" si="9"/>
        <v>440.1041171</v>
      </c>
      <c r="N22" s="14">
        <f t="shared" si="10"/>
        <v>-2.66120161</v>
      </c>
      <c r="O22" s="3"/>
      <c r="P22" s="23">
        <f t="shared" si="11"/>
        <v>202.0251491</v>
      </c>
      <c r="Q22" s="14">
        <f t="shared" si="12"/>
        <v>437.4429155</v>
      </c>
      <c r="R22" s="2"/>
      <c r="S22" s="14">
        <f t="shared" si="13"/>
        <v>-2.443771141</v>
      </c>
      <c r="U22" s="11">
        <v>1.0</v>
      </c>
    </row>
    <row r="23">
      <c r="A23" s="11">
        <v>11.0</v>
      </c>
      <c r="B23" s="11">
        <v>1.41944347826087E9</v>
      </c>
      <c r="C23" s="2">
        <v>-102.3328629</v>
      </c>
      <c r="D23" s="3">
        <f t="shared" si="1"/>
        <v>-956521.7391</v>
      </c>
      <c r="E23" s="4">
        <f t="shared" si="2"/>
        <v>201.1068529</v>
      </c>
      <c r="F23" s="3">
        <f t="shared" si="3"/>
        <v>0.0002102480735</v>
      </c>
      <c r="G23" s="3">
        <f t="shared" si="4"/>
        <v>0</v>
      </c>
      <c r="H23" s="2">
        <f t="shared" si="5"/>
        <v>0</v>
      </c>
      <c r="I23" s="3">
        <f t="shared" si="6"/>
        <v>0</v>
      </c>
      <c r="J23" s="3">
        <f t="shared" si="7"/>
        <v>0</v>
      </c>
      <c r="K23" s="3"/>
      <c r="L23" s="3">
        <f t="shared" si="8"/>
        <v>444.4468959</v>
      </c>
      <c r="M23" s="14">
        <f t="shared" si="9"/>
        <v>439.9986381</v>
      </c>
      <c r="N23" s="14">
        <f t="shared" si="10"/>
        <v>4.448257864</v>
      </c>
      <c r="O23" s="3"/>
      <c r="P23" s="23">
        <f t="shared" si="11"/>
        <v>201.1068529</v>
      </c>
      <c r="Q23" s="14">
        <f t="shared" si="12"/>
        <v>444.4468959</v>
      </c>
      <c r="R23" s="2"/>
      <c r="S23" s="14">
        <f t="shared" si="13"/>
        <v>4.084817994</v>
      </c>
    </row>
    <row r="24">
      <c r="A24" s="11">
        <v>12.0</v>
      </c>
      <c r="B24" s="11">
        <v>1.41944782608695E9</v>
      </c>
      <c r="C24" s="2">
        <v>-102.3695984</v>
      </c>
      <c r="D24" s="3">
        <f t="shared" si="1"/>
        <v>-952173.913</v>
      </c>
      <c r="E24" s="4">
        <f t="shared" si="2"/>
        <v>200.1885568</v>
      </c>
      <c r="F24" s="3">
        <f t="shared" si="3"/>
        <v>0.0002102436898</v>
      </c>
      <c r="G24" s="3">
        <f t="shared" si="4"/>
        <v>0</v>
      </c>
      <c r="H24" s="2">
        <f t="shared" si="5"/>
        <v>0</v>
      </c>
      <c r="I24" s="3">
        <f t="shared" si="6"/>
        <v>0</v>
      </c>
      <c r="J24" s="3">
        <f t="shared" si="7"/>
        <v>0</v>
      </c>
      <c r="K24" s="3"/>
      <c r="L24" s="3">
        <f t="shared" si="8"/>
        <v>440.7033252</v>
      </c>
      <c r="M24" s="14">
        <f t="shared" si="9"/>
        <v>439.8934795</v>
      </c>
      <c r="N24" s="14">
        <f t="shared" si="10"/>
        <v>0.809845666</v>
      </c>
      <c r="O24" s="3"/>
      <c r="P24" s="23">
        <f t="shared" si="11"/>
        <v>200.1885568</v>
      </c>
      <c r="Q24" s="14">
        <f t="shared" si="12"/>
        <v>440.7033252</v>
      </c>
      <c r="R24" s="2"/>
      <c r="S24" s="14">
        <f t="shared" si="13"/>
        <v>0.7436781433</v>
      </c>
    </row>
    <row r="25">
      <c r="A25" s="11">
        <v>13.0</v>
      </c>
      <c r="B25" s="11">
        <v>1.41945217391304E9</v>
      </c>
      <c r="C25" s="2">
        <v>-102.3550415</v>
      </c>
      <c r="D25" s="3">
        <f t="shared" si="1"/>
        <v>-947826.087</v>
      </c>
      <c r="E25" s="4">
        <f t="shared" si="2"/>
        <v>199.2702607</v>
      </c>
      <c r="F25" s="3">
        <f t="shared" si="3"/>
        <v>0.0002102392658</v>
      </c>
      <c r="G25" s="3">
        <f t="shared" si="4"/>
        <v>0</v>
      </c>
      <c r="H25" s="2">
        <f t="shared" si="5"/>
        <v>0</v>
      </c>
      <c r="I25" s="3">
        <f t="shared" si="6"/>
        <v>0</v>
      </c>
      <c r="J25" s="3">
        <f t="shared" si="7"/>
        <v>0</v>
      </c>
      <c r="K25" s="3"/>
      <c r="L25" s="3">
        <f t="shared" si="8"/>
        <v>442.1829751</v>
      </c>
      <c r="M25" s="14">
        <f t="shared" si="9"/>
        <v>439.7886399</v>
      </c>
      <c r="N25" s="14">
        <f t="shared" si="10"/>
        <v>2.39433519</v>
      </c>
      <c r="O25" s="3"/>
      <c r="P25" s="23">
        <f t="shared" si="11"/>
        <v>199.2702607</v>
      </c>
      <c r="Q25" s="14">
        <f t="shared" si="12"/>
        <v>442.1829751</v>
      </c>
      <c r="R25" s="2"/>
      <c r="S25" s="14">
        <f t="shared" si="13"/>
        <v>2.198708741</v>
      </c>
    </row>
    <row r="26">
      <c r="A26" s="11">
        <v>14.0</v>
      </c>
      <c r="B26" s="11">
        <v>1.41945652173913E9</v>
      </c>
      <c r="C26" s="2">
        <v>-102.439682</v>
      </c>
      <c r="D26" s="3">
        <f t="shared" si="1"/>
        <v>-943478.2609</v>
      </c>
      <c r="E26" s="4">
        <f t="shared" si="2"/>
        <v>198.3519645</v>
      </c>
      <c r="F26" s="3">
        <f t="shared" si="3"/>
        <v>0.0002102348011</v>
      </c>
      <c r="G26" s="3">
        <f t="shared" si="4"/>
        <v>0</v>
      </c>
      <c r="H26" s="2">
        <f t="shared" si="5"/>
        <v>0</v>
      </c>
      <c r="I26" s="3">
        <f t="shared" si="6"/>
        <v>0</v>
      </c>
      <c r="J26" s="3">
        <f t="shared" si="7"/>
        <v>0</v>
      </c>
      <c r="K26" s="3"/>
      <c r="L26" s="3">
        <f t="shared" si="8"/>
        <v>433.6486187</v>
      </c>
      <c r="M26" s="14">
        <f t="shared" si="9"/>
        <v>439.6841175</v>
      </c>
      <c r="N26" s="14">
        <f t="shared" si="10"/>
        <v>-6.035498796</v>
      </c>
      <c r="O26" s="3"/>
      <c r="P26" s="23">
        <f t="shared" si="11"/>
        <v>198.3519645</v>
      </c>
      <c r="Q26" s="14">
        <f t="shared" si="12"/>
        <v>433.6486187</v>
      </c>
      <c r="R26" s="2"/>
      <c r="S26" s="14">
        <f t="shared" si="13"/>
        <v>-5.542375204</v>
      </c>
    </row>
    <row r="27">
      <c r="A27" s="11">
        <v>15.0</v>
      </c>
      <c r="B27" s="11">
        <v>1.41946086956521E9</v>
      </c>
      <c r="C27" s="2">
        <v>-102.3868332</v>
      </c>
      <c r="D27" s="3">
        <f t="shared" si="1"/>
        <v>-939130.4348</v>
      </c>
      <c r="E27" s="4">
        <f t="shared" si="2"/>
        <v>197.4336684</v>
      </c>
      <c r="F27" s="3">
        <f t="shared" si="3"/>
        <v>0.0002102302951</v>
      </c>
      <c r="G27" s="3">
        <f t="shared" si="4"/>
        <v>0</v>
      </c>
      <c r="H27" s="2">
        <f t="shared" si="5"/>
        <v>0</v>
      </c>
      <c r="I27" s="3">
        <f t="shared" si="6"/>
        <v>0</v>
      </c>
      <c r="J27" s="3">
        <f t="shared" si="7"/>
        <v>0</v>
      </c>
      <c r="K27" s="3"/>
      <c r="L27" s="3">
        <f t="shared" si="8"/>
        <v>438.9578776</v>
      </c>
      <c r="M27" s="14">
        <f t="shared" si="9"/>
        <v>439.5799107</v>
      </c>
      <c r="N27" s="14">
        <f t="shared" si="10"/>
        <v>-0.6220330887</v>
      </c>
      <c r="O27" s="3"/>
      <c r="P27" s="23">
        <f t="shared" si="11"/>
        <v>197.4336684</v>
      </c>
      <c r="Q27" s="14">
        <f t="shared" si="12"/>
        <v>438.9578776</v>
      </c>
      <c r="R27" s="2"/>
      <c r="S27" s="14">
        <f t="shared" si="13"/>
        <v>-0.5712105798</v>
      </c>
    </row>
    <row r="28">
      <c r="A28" s="11">
        <v>16.0</v>
      </c>
      <c r="B28" s="11">
        <v>1.4194652173913E9</v>
      </c>
      <c r="C28" s="2">
        <v>-102.4057693</v>
      </c>
      <c r="D28" s="3">
        <f t="shared" si="1"/>
        <v>-934782.6087</v>
      </c>
      <c r="E28" s="4">
        <f t="shared" si="2"/>
        <v>196.5153723</v>
      </c>
      <c r="F28" s="3">
        <f t="shared" si="3"/>
        <v>0.0002102257471</v>
      </c>
      <c r="G28" s="3">
        <f t="shared" si="4"/>
        <v>0</v>
      </c>
      <c r="H28" s="2">
        <f t="shared" si="5"/>
        <v>0</v>
      </c>
      <c r="I28" s="3">
        <f t="shared" si="6"/>
        <v>0</v>
      </c>
      <c r="J28" s="3">
        <f t="shared" si="7"/>
        <v>0</v>
      </c>
      <c r="K28" s="3"/>
      <c r="L28" s="3">
        <f t="shared" si="8"/>
        <v>437.0481008</v>
      </c>
      <c r="M28" s="14">
        <f t="shared" si="9"/>
        <v>439.4760179</v>
      </c>
      <c r="N28" s="14">
        <f t="shared" si="10"/>
        <v>-2.42791711</v>
      </c>
      <c r="O28" s="3"/>
      <c r="P28" s="23">
        <f t="shared" si="11"/>
        <v>196.5153723</v>
      </c>
      <c r="Q28" s="14">
        <f t="shared" si="12"/>
        <v>437.0481008</v>
      </c>
      <c r="R28" s="2"/>
      <c r="S28" s="14">
        <f t="shared" si="13"/>
        <v>-2.229546888</v>
      </c>
    </row>
    <row r="29">
      <c r="A29" s="11">
        <v>17.0</v>
      </c>
      <c r="B29" s="11">
        <v>1.41946956521739E9</v>
      </c>
      <c r="C29" s="2">
        <v>-102.3482819</v>
      </c>
      <c r="D29" s="3">
        <f t="shared" si="1"/>
        <v>-930434.7826</v>
      </c>
      <c r="E29" s="4">
        <f t="shared" si="2"/>
        <v>195.5970761</v>
      </c>
      <c r="F29" s="3">
        <f t="shared" si="3"/>
        <v>0.0002102211566</v>
      </c>
      <c r="G29" s="3">
        <f t="shared" si="4"/>
        <v>0</v>
      </c>
      <c r="H29" s="2">
        <f t="shared" si="5"/>
        <v>0</v>
      </c>
      <c r="I29" s="3">
        <f t="shared" si="6"/>
        <v>0</v>
      </c>
      <c r="J29" s="3">
        <f t="shared" si="7"/>
        <v>0</v>
      </c>
      <c r="K29" s="3"/>
      <c r="L29" s="3">
        <f t="shared" si="8"/>
        <v>442.8717491</v>
      </c>
      <c r="M29" s="14">
        <f t="shared" si="9"/>
        <v>439.3724375</v>
      </c>
      <c r="N29" s="14">
        <f t="shared" si="10"/>
        <v>3.499311524</v>
      </c>
      <c r="O29" s="3"/>
      <c r="P29" s="23">
        <f t="shared" si="11"/>
        <v>195.5970761</v>
      </c>
      <c r="Q29" s="14">
        <f t="shared" si="12"/>
        <v>442.8717491</v>
      </c>
      <c r="R29" s="2"/>
      <c r="S29" s="14">
        <f t="shared" si="13"/>
        <v>3.21340424</v>
      </c>
    </row>
    <row r="30">
      <c r="A30" s="11">
        <v>18.0</v>
      </c>
      <c r="B30" s="11">
        <v>1.41947391304347E9</v>
      </c>
      <c r="C30" s="2">
        <v>-102.3649597</v>
      </c>
      <c r="D30" s="3">
        <f t="shared" si="1"/>
        <v>-926086.9565</v>
      </c>
      <c r="E30" s="4">
        <f t="shared" si="2"/>
        <v>194.67878</v>
      </c>
      <c r="F30" s="3">
        <f t="shared" si="3"/>
        <v>0.000210216523</v>
      </c>
      <c r="G30" s="3">
        <f t="shared" si="4"/>
        <v>0</v>
      </c>
      <c r="H30" s="2">
        <f t="shared" si="5"/>
        <v>0</v>
      </c>
      <c r="I30" s="3">
        <f t="shared" si="6"/>
        <v>0</v>
      </c>
      <c r="J30" s="3">
        <f t="shared" si="7"/>
        <v>0</v>
      </c>
      <c r="K30" s="3"/>
      <c r="L30" s="3">
        <f t="shared" si="8"/>
        <v>441.174292</v>
      </c>
      <c r="M30" s="14">
        <f t="shared" si="9"/>
        <v>439.2691679</v>
      </c>
      <c r="N30" s="14">
        <f t="shared" si="10"/>
        <v>1.905124095</v>
      </c>
      <c r="O30" s="3"/>
      <c r="P30" s="23">
        <f t="shared" si="11"/>
        <v>194.67878</v>
      </c>
      <c r="Q30" s="14">
        <f t="shared" si="12"/>
        <v>441.174292</v>
      </c>
      <c r="R30" s="2"/>
      <c r="S30" s="14">
        <f t="shared" si="13"/>
        <v>1.749468089</v>
      </c>
    </row>
    <row r="31">
      <c r="A31" s="11">
        <v>19.0</v>
      </c>
      <c r="B31" s="11">
        <v>1.41947826086956E9</v>
      </c>
      <c r="C31" s="2">
        <v>-102.4085388</v>
      </c>
      <c r="D31" s="3">
        <f t="shared" si="1"/>
        <v>-921739.1304</v>
      </c>
      <c r="E31" s="4">
        <f t="shared" si="2"/>
        <v>193.7604839</v>
      </c>
      <c r="F31" s="3">
        <f t="shared" si="3"/>
        <v>0.0002102118457</v>
      </c>
      <c r="G31" s="3">
        <f t="shared" si="4"/>
        <v>0</v>
      </c>
      <c r="H31" s="2">
        <f t="shared" si="5"/>
        <v>0</v>
      </c>
      <c r="I31" s="3">
        <f t="shared" si="6"/>
        <v>0</v>
      </c>
      <c r="J31" s="3">
        <f t="shared" si="7"/>
        <v>0</v>
      </c>
      <c r="K31" s="3"/>
      <c r="L31" s="3">
        <f t="shared" si="8"/>
        <v>436.7694837</v>
      </c>
      <c r="M31" s="14">
        <f t="shared" si="9"/>
        <v>439.1662073</v>
      </c>
      <c r="N31" s="14">
        <f t="shared" si="10"/>
        <v>-2.396723643</v>
      </c>
      <c r="O31" s="3"/>
      <c r="P31" s="23">
        <f t="shared" si="11"/>
        <v>193.7604839</v>
      </c>
      <c r="Q31" s="14">
        <f t="shared" si="12"/>
        <v>436.7694837</v>
      </c>
      <c r="R31" s="2"/>
      <c r="S31" s="14">
        <f t="shared" si="13"/>
        <v>-2.200902048</v>
      </c>
    </row>
    <row r="32">
      <c r="A32" s="11">
        <v>20.0</v>
      </c>
      <c r="B32" s="11">
        <v>1.41948260869565E9</v>
      </c>
      <c r="C32" s="2">
        <v>-102.3790436</v>
      </c>
      <c r="D32" s="3">
        <f t="shared" si="1"/>
        <v>-917391.3043</v>
      </c>
      <c r="E32" s="4">
        <f t="shared" si="2"/>
        <v>192.8421878</v>
      </c>
      <c r="F32" s="3">
        <f t="shared" si="3"/>
        <v>0.0002102071241</v>
      </c>
      <c r="G32" s="3">
        <f t="shared" si="4"/>
        <v>0</v>
      </c>
      <c r="H32" s="2">
        <f t="shared" si="5"/>
        <v>0</v>
      </c>
      <c r="I32" s="3">
        <f t="shared" si="6"/>
        <v>0</v>
      </c>
      <c r="J32" s="3">
        <f t="shared" si="7"/>
        <v>0</v>
      </c>
      <c r="K32" s="3"/>
      <c r="L32" s="3">
        <f t="shared" si="8"/>
        <v>439.7459085</v>
      </c>
      <c r="M32" s="14">
        <f t="shared" si="9"/>
        <v>439.0635543</v>
      </c>
      <c r="N32" s="14">
        <f t="shared" si="10"/>
        <v>0.6823542072</v>
      </c>
      <c r="O32" s="3"/>
      <c r="P32" s="23">
        <f t="shared" si="11"/>
        <v>192.8421878</v>
      </c>
      <c r="Q32" s="14">
        <f t="shared" si="12"/>
        <v>439.7459085</v>
      </c>
      <c r="R32" s="2"/>
      <c r="S32" s="14">
        <f t="shared" si="13"/>
        <v>0.6266032297</v>
      </c>
    </row>
    <row r="33">
      <c r="A33" s="11">
        <v>21.0</v>
      </c>
      <c r="B33" s="11">
        <v>1.41948695652173E9</v>
      </c>
      <c r="C33" s="2">
        <v>-102.3424911</v>
      </c>
      <c r="D33" s="3">
        <f t="shared" si="1"/>
        <v>-913043.4783</v>
      </c>
      <c r="E33" s="4">
        <f t="shared" si="2"/>
        <v>191.9238916</v>
      </c>
      <c r="F33" s="3">
        <f t="shared" si="3"/>
        <v>0.0002102023575</v>
      </c>
      <c r="G33" s="3">
        <f t="shared" si="4"/>
        <v>0</v>
      </c>
      <c r="H33" s="2">
        <f t="shared" si="5"/>
        <v>0</v>
      </c>
      <c r="I33" s="3">
        <f t="shared" si="6"/>
        <v>0</v>
      </c>
      <c r="J33" s="3">
        <f t="shared" si="7"/>
        <v>0</v>
      </c>
      <c r="K33" s="3"/>
      <c r="L33" s="3">
        <f t="shared" si="8"/>
        <v>443.4626597</v>
      </c>
      <c r="M33" s="14">
        <f t="shared" si="9"/>
        <v>438.9612071</v>
      </c>
      <c r="N33" s="14">
        <f t="shared" si="10"/>
        <v>4.50145256</v>
      </c>
      <c r="O33" s="3"/>
      <c r="P33" s="23">
        <f t="shared" si="11"/>
        <v>191.9238916</v>
      </c>
      <c r="Q33" s="14">
        <f t="shared" si="12"/>
        <v>443.4626597</v>
      </c>
      <c r="R33" s="2"/>
      <c r="S33" s="14">
        <f t="shared" si="13"/>
        <v>4.133666478</v>
      </c>
    </row>
    <row r="34">
      <c r="A34" s="11">
        <v>22.0</v>
      </c>
      <c r="B34" s="11">
        <v>1.41949130434782E9</v>
      </c>
      <c r="C34" s="2">
        <v>-102.4052887</v>
      </c>
      <c r="D34" s="3">
        <f t="shared" si="1"/>
        <v>-908695.6522</v>
      </c>
      <c r="E34" s="4">
        <f t="shared" si="2"/>
        <v>191.0055955</v>
      </c>
      <c r="F34" s="3">
        <f t="shared" si="3"/>
        <v>0.0002101975453</v>
      </c>
      <c r="G34" s="3">
        <f t="shared" si="4"/>
        <v>0</v>
      </c>
      <c r="H34" s="2">
        <f t="shared" si="5"/>
        <v>0</v>
      </c>
      <c r="I34" s="3">
        <f t="shared" si="6"/>
        <v>0</v>
      </c>
      <c r="J34" s="3">
        <f t="shared" si="7"/>
        <v>0</v>
      </c>
      <c r="K34" s="3"/>
      <c r="L34" s="3">
        <f t="shared" si="8"/>
        <v>437.0964682</v>
      </c>
      <c r="M34" s="14">
        <f t="shared" si="9"/>
        <v>438.8591642</v>
      </c>
      <c r="N34" s="14">
        <f t="shared" si="10"/>
        <v>-1.762695982</v>
      </c>
      <c r="O34" s="3"/>
      <c r="P34" s="23">
        <f t="shared" si="11"/>
        <v>191.0055955</v>
      </c>
      <c r="Q34" s="14">
        <f t="shared" si="12"/>
        <v>437.0964682</v>
      </c>
      <c r="R34" s="2"/>
      <c r="S34" s="14">
        <f t="shared" si="13"/>
        <v>-1.618676903</v>
      </c>
    </row>
    <row r="35">
      <c r="A35" s="11">
        <v>23.0</v>
      </c>
      <c r="B35" s="11">
        <v>1.41949565217391E9</v>
      </c>
      <c r="C35" s="2">
        <v>-102.3340454</v>
      </c>
      <c r="D35" s="3">
        <f t="shared" si="1"/>
        <v>-904347.8261</v>
      </c>
      <c r="E35" s="4">
        <f t="shared" si="2"/>
        <v>190.0872994</v>
      </c>
      <c r="F35" s="3">
        <f t="shared" si="3"/>
        <v>0.0002101926868</v>
      </c>
      <c r="G35" s="3">
        <f t="shared" si="4"/>
        <v>0</v>
      </c>
      <c r="H35" s="2">
        <f t="shared" si="5"/>
        <v>0</v>
      </c>
      <c r="I35" s="3">
        <f t="shared" si="6"/>
        <v>0</v>
      </c>
      <c r="J35" s="3">
        <f t="shared" si="7"/>
        <v>0</v>
      </c>
      <c r="K35" s="3"/>
      <c r="L35" s="3">
        <f t="shared" si="8"/>
        <v>444.3258981</v>
      </c>
      <c r="M35" s="14">
        <f t="shared" si="9"/>
        <v>438.7574239</v>
      </c>
      <c r="N35" s="14">
        <f t="shared" si="10"/>
        <v>5.568474173</v>
      </c>
      <c r="O35" s="3"/>
      <c r="P35" s="23">
        <f t="shared" si="11"/>
        <v>190.0872994</v>
      </c>
      <c r="Q35" s="14">
        <f t="shared" si="12"/>
        <v>444.3258981</v>
      </c>
      <c r="R35" s="2"/>
      <c r="S35" s="14">
        <f t="shared" si="13"/>
        <v>5.113508286</v>
      </c>
    </row>
    <row r="36">
      <c r="A36" s="11">
        <v>24.0</v>
      </c>
      <c r="B36" s="11">
        <v>1.4195E9</v>
      </c>
      <c r="C36" s="2">
        <v>-102.3803177</v>
      </c>
      <c r="D36" s="3">
        <f t="shared" si="1"/>
        <v>-900000</v>
      </c>
      <c r="E36" s="4">
        <f t="shared" si="2"/>
        <v>189.1690032</v>
      </c>
      <c r="F36" s="3">
        <f t="shared" si="3"/>
        <v>0.0002101877814</v>
      </c>
      <c r="G36" s="3">
        <f t="shared" si="4"/>
        <v>0</v>
      </c>
      <c r="H36" s="2">
        <f t="shared" si="5"/>
        <v>0</v>
      </c>
      <c r="I36" s="3">
        <f t="shared" si="6"/>
        <v>0</v>
      </c>
      <c r="J36" s="3">
        <f t="shared" si="7"/>
        <v>0</v>
      </c>
      <c r="K36" s="3"/>
      <c r="L36" s="3">
        <f t="shared" si="8"/>
        <v>439.6169181</v>
      </c>
      <c r="M36" s="14">
        <f t="shared" si="9"/>
        <v>438.6559846</v>
      </c>
      <c r="N36" s="14">
        <f t="shared" si="10"/>
        <v>0.9609335082</v>
      </c>
      <c r="O36" s="3"/>
      <c r="P36" s="23">
        <f t="shared" si="11"/>
        <v>189.1690032</v>
      </c>
      <c r="Q36" s="14">
        <f t="shared" si="12"/>
        <v>439.6169181</v>
      </c>
      <c r="R36" s="2"/>
      <c r="S36" s="14">
        <f t="shared" si="13"/>
        <v>0.8824215244</v>
      </c>
    </row>
    <row r="37">
      <c r="A37" s="11">
        <v>25.0</v>
      </c>
      <c r="B37" s="11">
        <v>1.41950434782608E9</v>
      </c>
      <c r="C37" s="2">
        <v>-102.4216995</v>
      </c>
      <c r="D37" s="3">
        <f t="shared" si="1"/>
        <v>-895652.1739</v>
      </c>
      <c r="E37" s="4">
        <f t="shared" si="2"/>
        <v>188.2507071</v>
      </c>
      <c r="F37" s="3">
        <f t="shared" si="3"/>
        <v>0.0002101828283</v>
      </c>
      <c r="G37" s="3">
        <f t="shared" si="4"/>
        <v>0</v>
      </c>
      <c r="H37" s="2">
        <f t="shared" si="5"/>
        <v>0</v>
      </c>
      <c r="I37" s="3">
        <f t="shared" si="6"/>
        <v>0</v>
      </c>
      <c r="J37" s="3">
        <f t="shared" si="7"/>
        <v>0</v>
      </c>
      <c r="K37" s="3"/>
      <c r="L37" s="3">
        <f t="shared" si="8"/>
        <v>435.447917</v>
      </c>
      <c r="M37" s="14">
        <f t="shared" si="9"/>
        <v>438.5548447</v>
      </c>
      <c r="N37" s="14">
        <f t="shared" si="10"/>
        <v>-3.106927734</v>
      </c>
      <c r="O37" s="3"/>
      <c r="P37" s="23">
        <f t="shared" si="11"/>
        <v>188.2507071</v>
      </c>
      <c r="Q37" s="14">
        <f t="shared" si="12"/>
        <v>435.447917</v>
      </c>
      <c r="R37" s="2"/>
      <c r="S37" s="14">
        <f t="shared" si="13"/>
        <v>-2.853079723</v>
      </c>
    </row>
    <row r="38">
      <c r="A38" s="11">
        <v>26.0</v>
      </c>
      <c r="B38" s="11">
        <v>1.41950869565217E9</v>
      </c>
      <c r="C38" s="2">
        <v>-102.4290771</v>
      </c>
      <c r="D38" s="3">
        <f t="shared" si="1"/>
        <v>-891304.3478</v>
      </c>
      <c r="E38" s="4">
        <f t="shared" si="2"/>
        <v>187.332411</v>
      </c>
      <c r="F38" s="3">
        <f t="shared" si="3"/>
        <v>0.0002101778269</v>
      </c>
      <c r="G38" s="3">
        <f t="shared" si="4"/>
        <v>0</v>
      </c>
      <c r="H38" s="2">
        <f t="shared" si="5"/>
        <v>0</v>
      </c>
      <c r="I38" s="3">
        <f t="shared" si="6"/>
        <v>0</v>
      </c>
      <c r="J38" s="3">
        <f t="shared" si="7"/>
        <v>0</v>
      </c>
      <c r="K38" s="3"/>
      <c r="L38" s="3">
        <f t="shared" si="8"/>
        <v>434.7088255</v>
      </c>
      <c r="M38" s="14">
        <f t="shared" si="9"/>
        <v>438.4540025</v>
      </c>
      <c r="N38" s="14">
        <f t="shared" si="10"/>
        <v>-3.745177019</v>
      </c>
      <c r="O38" s="3"/>
      <c r="P38" s="23">
        <f t="shared" si="11"/>
        <v>187.332411</v>
      </c>
      <c r="Q38" s="14">
        <f t="shared" si="12"/>
        <v>434.7088255</v>
      </c>
      <c r="R38" s="2"/>
      <c r="S38" s="14">
        <f t="shared" si="13"/>
        <v>-3.439181565</v>
      </c>
    </row>
    <row r="39">
      <c r="A39" s="11">
        <v>27.0</v>
      </c>
      <c r="B39" s="11">
        <v>1.41951304347826E9</v>
      </c>
      <c r="C39" s="2">
        <v>-102.4235687</v>
      </c>
      <c r="D39" s="3">
        <f t="shared" si="1"/>
        <v>-886956.5217</v>
      </c>
      <c r="E39" s="4">
        <f t="shared" si="2"/>
        <v>186.4141148</v>
      </c>
      <c r="F39" s="3">
        <f t="shared" si="3"/>
        <v>0.0002101727765</v>
      </c>
      <c r="G39" s="3">
        <f t="shared" si="4"/>
        <v>0</v>
      </c>
      <c r="H39" s="2">
        <f t="shared" si="5"/>
        <v>0</v>
      </c>
      <c r="I39" s="3">
        <f t="shared" si="6"/>
        <v>0</v>
      </c>
      <c r="J39" s="3">
        <f t="shared" si="7"/>
        <v>0</v>
      </c>
      <c r="K39" s="3"/>
      <c r="L39" s="3">
        <f t="shared" si="8"/>
        <v>435.2605409</v>
      </c>
      <c r="M39" s="14">
        <f t="shared" si="9"/>
        <v>438.3534565</v>
      </c>
      <c r="N39" s="14">
        <f t="shared" si="10"/>
        <v>-3.092915623</v>
      </c>
      <c r="O39" s="3"/>
      <c r="P39" s="23">
        <f t="shared" si="11"/>
        <v>186.4141148</v>
      </c>
      <c r="Q39" s="14">
        <f t="shared" si="12"/>
        <v>435.2605409</v>
      </c>
      <c r="R39" s="2"/>
      <c r="S39" s="14">
        <f t="shared" si="13"/>
        <v>-2.840212455</v>
      </c>
    </row>
    <row r="40">
      <c r="A40" s="11">
        <v>28.0</v>
      </c>
      <c r="B40" s="11">
        <v>1.41951739130434E9</v>
      </c>
      <c r="C40" s="2">
        <v>-102.4044571</v>
      </c>
      <c r="D40" s="3">
        <f t="shared" si="1"/>
        <v>-882608.6957</v>
      </c>
      <c r="E40" s="4">
        <f t="shared" si="2"/>
        <v>185.4958187</v>
      </c>
      <c r="F40" s="3">
        <f t="shared" si="3"/>
        <v>0.0002101676763</v>
      </c>
      <c r="G40" s="3">
        <f t="shared" si="4"/>
        <v>0</v>
      </c>
      <c r="H40" s="2">
        <f t="shared" si="5"/>
        <v>0</v>
      </c>
      <c r="I40" s="3">
        <f t="shared" si="6"/>
        <v>0</v>
      </c>
      <c r="J40" s="3">
        <f t="shared" si="7"/>
        <v>0</v>
      </c>
      <c r="K40" s="3"/>
      <c r="L40" s="3">
        <f t="shared" si="8"/>
        <v>437.1801728</v>
      </c>
      <c r="M40" s="14">
        <f t="shared" si="9"/>
        <v>438.2532049</v>
      </c>
      <c r="N40" s="14">
        <f t="shared" si="10"/>
        <v>-1.073032149</v>
      </c>
      <c r="O40" s="3"/>
      <c r="P40" s="23">
        <f t="shared" si="11"/>
        <v>185.4958187</v>
      </c>
      <c r="Q40" s="14">
        <f t="shared" si="12"/>
        <v>437.1801728</v>
      </c>
      <c r="R40" s="2"/>
      <c r="S40" s="14">
        <f t="shared" si="13"/>
        <v>-0.9853612732</v>
      </c>
    </row>
    <row r="41">
      <c r="A41" s="11">
        <v>29.0</v>
      </c>
      <c r="B41" s="11">
        <v>1.41952173913043E9</v>
      </c>
      <c r="C41" s="2">
        <v>-102.4761887</v>
      </c>
      <c r="D41" s="3">
        <f t="shared" si="1"/>
        <v>-878260.8696</v>
      </c>
      <c r="E41" s="4">
        <f t="shared" si="2"/>
        <v>184.5775226</v>
      </c>
      <c r="F41" s="3">
        <f t="shared" si="3"/>
        <v>0.0002101625257</v>
      </c>
      <c r="G41" s="3">
        <f t="shared" si="4"/>
        <v>0</v>
      </c>
      <c r="H41" s="2">
        <f t="shared" si="5"/>
        <v>0</v>
      </c>
      <c r="I41" s="3">
        <f t="shared" si="6"/>
        <v>0</v>
      </c>
      <c r="J41" s="3">
        <f t="shared" si="7"/>
        <v>0</v>
      </c>
      <c r="K41" s="3"/>
      <c r="L41" s="3">
        <f t="shared" si="8"/>
        <v>430.0186559</v>
      </c>
      <c r="M41" s="14">
        <f t="shared" si="9"/>
        <v>438.1532463</v>
      </c>
      <c r="N41" s="14">
        <f t="shared" si="10"/>
        <v>-8.134590367</v>
      </c>
      <c r="O41" s="3"/>
      <c r="P41" s="23">
        <f t="shared" si="11"/>
        <v>184.5775226</v>
      </c>
      <c r="Q41" s="14">
        <f t="shared" si="12"/>
        <v>430.0186559</v>
      </c>
      <c r="R41" s="2"/>
      <c r="S41" s="14">
        <f t="shared" si="13"/>
        <v>-7.469962859</v>
      </c>
    </row>
    <row r="42">
      <c r="A42" s="11">
        <v>30.0</v>
      </c>
      <c r="B42" s="11">
        <v>1.41952608695652E9</v>
      </c>
      <c r="C42" s="2">
        <v>-102.3894196</v>
      </c>
      <c r="D42" s="3">
        <f t="shared" si="1"/>
        <v>-873913.0435</v>
      </c>
      <c r="E42" s="4">
        <f t="shared" si="2"/>
        <v>183.6592264</v>
      </c>
      <c r="F42" s="3">
        <f t="shared" si="3"/>
        <v>0.0002101573238</v>
      </c>
      <c r="G42" s="3">
        <f t="shared" si="4"/>
        <v>0</v>
      </c>
      <c r="H42" s="2">
        <f t="shared" si="5"/>
        <v>0</v>
      </c>
      <c r="I42" s="3">
        <f t="shared" si="6"/>
        <v>0</v>
      </c>
      <c r="J42" s="3">
        <f t="shared" si="7"/>
        <v>0</v>
      </c>
      <c r="K42" s="3"/>
      <c r="L42" s="3">
        <f t="shared" si="8"/>
        <v>438.6965382</v>
      </c>
      <c r="M42" s="14">
        <f t="shared" si="9"/>
        <v>438.0535788</v>
      </c>
      <c r="N42" s="14">
        <f t="shared" si="10"/>
        <v>0.6429593923</v>
      </c>
      <c r="O42" s="3"/>
      <c r="P42" s="23">
        <f t="shared" si="11"/>
        <v>183.6592264</v>
      </c>
      <c r="Q42" s="14">
        <f t="shared" si="12"/>
        <v>438.6965382</v>
      </c>
      <c r="R42" s="2"/>
      <c r="S42" s="14">
        <f t="shared" si="13"/>
        <v>0.5904271235</v>
      </c>
    </row>
    <row r="43">
      <c r="A43" s="11">
        <v>31.0</v>
      </c>
      <c r="B43" s="11">
        <v>1.4195304347826E9</v>
      </c>
      <c r="C43" s="2">
        <v>-102.3589249</v>
      </c>
      <c r="D43" s="3">
        <f t="shared" si="1"/>
        <v>-869565.2174</v>
      </c>
      <c r="E43" s="4">
        <f t="shared" si="2"/>
        <v>182.7409303</v>
      </c>
      <c r="F43" s="3">
        <f t="shared" si="3"/>
        <v>0.0002101520698</v>
      </c>
      <c r="G43" s="3">
        <f t="shared" si="4"/>
        <v>0</v>
      </c>
      <c r="H43" s="2">
        <f t="shared" si="5"/>
        <v>0</v>
      </c>
      <c r="I43" s="3">
        <f t="shared" si="6"/>
        <v>0</v>
      </c>
      <c r="J43" s="3">
        <f t="shared" si="7"/>
        <v>0</v>
      </c>
      <c r="K43" s="3"/>
      <c r="L43" s="3">
        <f t="shared" si="8"/>
        <v>441.787758</v>
      </c>
      <c r="M43" s="14">
        <f t="shared" si="9"/>
        <v>437.954201</v>
      </c>
      <c r="N43" s="14">
        <f t="shared" si="10"/>
        <v>3.833557006</v>
      </c>
      <c r="O43" s="3"/>
      <c r="P43" s="23">
        <f t="shared" si="11"/>
        <v>182.7409303</v>
      </c>
      <c r="Q43" s="14">
        <f t="shared" si="12"/>
        <v>441.787758</v>
      </c>
      <c r="R43" s="2"/>
      <c r="S43" s="14">
        <f t="shared" si="13"/>
        <v>3.520340573</v>
      </c>
    </row>
    <row r="44">
      <c r="A44" s="11">
        <v>32.0</v>
      </c>
      <c r="B44" s="11">
        <v>1.41953478260869E9</v>
      </c>
      <c r="C44" s="2">
        <v>-102.4285126</v>
      </c>
      <c r="D44" s="3">
        <f t="shared" si="1"/>
        <v>-865217.3913</v>
      </c>
      <c r="E44" s="4">
        <f t="shared" si="2"/>
        <v>181.8226342</v>
      </c>
      <c r="F44" s="3">
        <f t="shared" si="3"/>
        <v>0.0002101467631</v>
      </c>
      <c r="G44" s="3">
        <f t="shared" si="4"/>
        <v>0</v>
      </c>
      <c r="H44" s="2">
        <f t="shared" si="5"/>
        <v>0</v>
      </c>
      <c r="I44" s="3">
        <f t="shared" si="6"/>
        <v>0</v>
      </c>
      <c r="J44" s="3">
        <f t="shared" si="7"/>
        <v>0</v>
      </c>
      <c r="K44" s="3"/>
      <c r="L44" s="3">
        <f t="shared" si="8"/>
        <v>434.765333</v>
      </c>
      <c r="M44" s="14">
        <f t="shared" si="9"/>
        <v>437.8551112</v>
      </c>
      <c r="N44" s="14">
        <f t="shared" si="10"/>
        <v>-3.089778193</v>
      </c>
      <c r="O44" s="3"/>
      <c r="P44" s="23">
        <f t="shared" si="11"/>
        <v>181.8226342</v>
      </c>
      <c r="Q44" s="14">
        <f t="shared" si="12"/>
        <v>434.765333</v>
      </c>
      <c r="R44" s="2"/>
      <c r="S44" s="14">
        <f t="shared" si="13"/>
        <v>-2.837331366</v>
      </c>
    </row>
    <row r="45">
      <c r="A45" s="11">
        <v>33.0</v>
      </c>
      <c r="B45" s="11">
        <v>1.41953913043478E9</v>
      </c>
      <c r="C45" s="2">
        <v>-102.4099121</v>
      </c>
      <c r="D45" s="3">
        <f t="shared" si="1"/>
        <v>-860869.5652</v>
      </c>
      <c r="E45" s="4">
        <f t="shared" si="2"/>
        <v>180.904338</v>
      </c>
      <c r="F45" s="3">
        <f t="shared" si="3"/>
        <v>0.0002101414028</v>
      </c>
      <c r="G45" s="3">
        <f t="shared" si="4"/>
        <v>0</v>
      </c>
      <c r="H45" s="2">
        <f t="shared" si="5"/>
        <v>0</v>
      </c>
      <c r="I45" s="3">
        <f t="shared" si="6"/>
        <v>0</v>
      </c>
      <c r="J45" s="3">
        <f t="shared" si="7"/>
        <v>0</v>
      </c>
      <c r="K45" s="3"/>
      <c r="L45" s="3">
        <f t="shared" si="8"/>
        <v>436.6313929</v>
      </c>
      <c r="M45" s="14">
        <f t="shared" si="9"/>
        <v>437.7563078</v>
      </c>
      <c r="N45" s="14">
        <f t="shared" si="10"/>
        <v>-1.124914907</v>
      </c>
      <c r="O45" s="3"/>
      <c r="P45" s="23">
        <f t="shared" si="11"/>
        <v>180.904338</v>
      </c>
      <c r="Q45" s="14">
        <f t="shared" si="12"/>
        <v>436.6313929</v>
      </c>
      <c r="R45" s="2"/>
      <c r="S45" s="14">
        <f t="shared" si="13"/>
        <v>-1.033005006</v>
      </c>
    </row>
    <row r="46">
      <c r="A46" s="11">
        <v>34.0</v>
      </c>
      <c r="B46" s="11">
        <v>1.41954347826087E9</v>
      </c>
      <c r="C46" s="2">
        <v>-102.4193573</v>
      </c>
      <c r="D46" s="3">
        <f t="shared" si="1"/>
        <v>-856521.7391</v>
      </c>
      <c r="E46" s="4">
        <f t="shared" si="2"/>
        <v>179.9860419</v>
      </c>
      <c r="F46" s="3">
        <f t="shared" si="3"/>
        <v>0.000210135988</v>
      </c>
      <c r="G46" s="3">
        <f t="shared" si="4"/>
        <v>0</v>
      </c>
      <c r="H46" s="2">
        <f t="shared" si="5"/>
        <v>0</v>
      </c>
      <c r="I46" s="3">
        <f t="shared" si="6"/>
        <v>0</v>
      </c>
      <c r="J46" s="3">
        <f t="shared" si="7"/>
        <v>0</v>
      </c>
      <c r="K46" s="3"/>
      <c r="L46" s="3">
        <f t="shared" si="8"/>
        <v>435.6828224</v>
      </c>
      <c r="M46" s="14">
        <f t="shared" si="9"/>
        <v>437.6577891</v>
      </c>
      <c r="N46" s="14">
        <f t="shared" si="10"/>
        <v>-1.974966769</v>
      </c>
      <c r="O46" s="3"/>
      <c r="P46" s="23">
        <f t="shared" si="11"/>
        <v>179.9860419</v>
      </c>
      <c r="Q46" s="14">
        <f t="shared" si="12"/>
        <v>435.6828224</v>
      </c>
      <c r="R46" s="2"/>
      <c r="S46" s="14">
        <f t="shared" si="13"/>
        <v>-1.813604346</v>
      </c>
    </row>
    <row r="47">
      <c r="A47" s="11">
        <v>35.0</v>
      </c>
      <c r="B47" s="11">
        <v>1.41954782608695E9</v>
      </c>
      <c r="C47" s="2">
        <v>-102.4064484</v>
      </c>
      <c r="D47" s="3">
        <f t="shared" si="1"/>
        <v>-852173.913</v>
      </c>
      <c r="E47" s="4">
        <f t="shared" si="2"/>
        <v>179.0677458</v>
      </c>
      <c r="F47" s="3">
        <f t="shared" si="3"/>
        <v>0.000210130518</v>
      </c>
      <c r="G47" s="3">
        <f t="shared" si="4"/>
        <v>0</v>
      </c>
      <c r="H47" s="2">
        <f t="shared" si="5"/>
        <v>0</v>
      </c>
      <c r="I47" s="3">
        <f t="shared" si="6"/>
        <v>0</v>
      </c>
      <c r="J47" s="3">
        <f t="shared" si="7"/>
        <v>0</v>
      </c>
      <c r="K47" s="3"/>
      <c r="L47" s="3">
        <f t="shared" si="8"/>
        <v>436.9797656</v>
      </c>
      <c r="M47" s="14">
        <f t="shared" si="9"/>
        <v>437.5595536</v>
      </c>
      <c r="N47" s="14">
        <f t="shared" si="10"/>
        <v>-0.5797879893</v>
      </c>
      <c r="O47" s="3"/>
      <c r="P47" s="23">
        <f t="shared" si="11"/>
        <v>179.0677458</v>
      </c>
      <c r="Q47" s="14">
        <f t="shared" si="12"/>
        <v>436.9797656</v>
      </c>
      <c r="R47" s="2"/>
      <c r="S47" s="14">
        <f t="shared" si="13"/>
        <v>-0.5324170684</v>
      </c>
    </row>
    <row r="48">
      <c r="A48" s="11">
        <v>36.0</v>
      </c>
      <c r="B48" s="11">
        <v>1.41955217391304E9</v>
      </c>
      <c r="C48" s="2">
        <v>-102.3258896</v>
      </c>
      <c r="D48" s="3">
        <f t="shared" si="1"/>
        <v>-847826.087</v>
      </c>
      <c r="E48" s="4">
        <f t="shared" si="2"/>
        <v>178.1494496</v>
      </c>
      <c r="F48" s="3">
        <f t="shared" si="3"/>
        <v>0.0002101249919</v>
      </c>
      <c r="G48" s="3">
        <f t="shared" si="4"/>
        <v>0</v>
      </c>
      <c r="H48" s="2">
        <f t="shared" si="5"/>
        <v>0</v>
      </c>
      <c r="I48" s="3">
        <f t="shared" si="6"/>
        <v>0</v>
      </c>
      <c r="J48" s="3">
        <f t="shared" si="7"/>
        <v>0</v>
      </c>
      <c r="K48" s="3"/>
      <c r="L48" s="3">
        <f t="shared" si="8"/>
        <v>445.1611005</v>
      </c>
      <c r="M48" s="14">
        <f t="shared" si="9"/>
        <v>437.4615995</v>
      </c>
      <c r="N48" s="14">
        <f t="shared" si="10"/>
        <v>7.699500956</v>
      </c>
      <c r="O48" s="3"/>
      <c r="P48" s="23">
        <f t="shared" si="11"/>
        <v>178.1494496</v>
      </c>
      <c r="Q48" s="14">
        <f t="shared" si="12"/>
        <v>445.1611005</v>
      </c>
      <c r="R48" s="2"/>
      <c r="S48" s="14">
        <f t="shared" si="13"/>
        <v>7.070421936</v>
      </c>
    </row>
    <row r="49">
      <c r="A49" s="11">
        <v>37.0</v>
      </c>
      <c r="B49" s="11">
        <v>1.41955652173913E9</v>
      </c>
      <c r="C49" s="2">
        <v>-102.3847275</v>
      </c>
      <c r="D49" s="3">
        <f t="shared" si="1"/>
        <v>-843478.2609</v>
      </c>
      <c r="E49" s="4">
        <f t="shared" si="2"/>
        <v>177.2311535</v>
      </c>
      <c r="F49" s="3">
        <f t="shared" si="3"/>
        <v>0.0002101194088</v>
      </c>
      <c r="G49" s="3">
        <f t="shared" si="4"/>
        <v>0</v>
      </c>
      <c r="H49" s="2">
        <f t="shared" si="5"/>
        <v>0</v>
      </c>
      <c r="I49" s="3">
        <f t="shared" si="6"/>
        <v>0</v>
      </c>
      <c r="J49" s="3">
        <f t="shared" si="7"/>
        <v>0</v>
      </c>
      <c r="K49" s="3"/>
      <c r="L49" s="3">
        <f t="shared" si="8"/>
        <v>439.1707603</v>
      </c>
      <c r="M49" s="14">
        <f t="shared" si="9"/>
        <v>437.3639254</v>
      </c>
      <c r="N49" s="14">
        <f t="shared" si="10"/>
        <v>1.806834939</v>
      </c>
      <c r="O49" s="3"/>
      <c r="P49" s="23">
        <f t="shared" si="11"/>
        <v>177.2311535</v>
      </c>
      <c r="Q49" s="14">
        <f t="shared" si="12"/>
        <v>439.1707603</v>
      </c>
      <c r="R49" s="2"/>
      <c r="S49" s="14">
        <f t="shared" si="13"/>
        <v>1.659209537</v>
      </c>
    </row>
    <row r="50">
      <c r="A50" s="11">
        <v>38.0</v>
      </c>
      <c r="B50" s="11">
        <v>1.41956086956521E9</v>
      </c>
      <c r="C50" s="2">
        <v>-102.39048</v>
      </c>
      <c r="D50" s="3">
        <f t="shared" si="1"/>
        <v>-839130.4348</v>
      </c>
      <c r="E50" s="4">
        <f t="shared" si="2"/>
        <v>176.3128574</v>
      </c>
      <c r="F50" s="3">
        <f t="shared" si="3"/>
        <v>0.0002101137678</v>
      </c>
      <c r="G50" s="3">
        <f t="shared" si="4"/>
        <v>0</v>
      </c>
      <c r="H50" s="2">
        <f t="shared" si="5"/>
        <v>0</v>
      </c>
      <c r="I50" s="3">
        <f t="shared" si="6"/>
        <v>0</v>
      </c>
      <c r="J50" s="3">
        <f t="shared" si="7"/>
        <v>0</v>
      </c>
      <c r="K50" s="3"/>
      <c r="L50" s="3">
        <f t="shared" si="8"/>
        <v>438.5894365</v>
      </c>
      <c r="M50" s="14">
        <f t="shared" si="9"/>
        <v>437.2665295</v>
      </c>
      <c r="N50" s="14">
        <f t="shared" si="10"/>
        <v>1.322907008</v>
      </c>
      <c r="O50" s="3"/>
      <c r="P50" s="23">
        <f t="shared" si="11"/>
        <v>176.3128574</v>
      </c>
      <c r="Q50" s="14">
        <f t="shared" si="12"/>
        <v>438.5894365</v>
      </c>
      <c r="R50" s="2"/>
      <c r="S50" s="14">
        <f t="shared" si="13"/>
        <v>1.214820389</v>
      </c>
    </row>
    <row r="51">
      <c r="A51" s="11">
        <v>39.0</v>
      </c>
      <c r="B51" s="11">
        <v>1.4195652173913E9</v>
      </c>
      <c r="C51" s="2">
        <v>-102.3951035</v>
      </c>
      <c r="D51" s="3">
        <f t="shared" si="1"/>
        <v>-834782.6087</v>
      </c>
      <c r="E51" s="4">
        <f t="shared" si="2"/>
        <v>175.3945612</v>
      </c>
      <c r="F51" s="3">
        <f t="shared" si="3"/>
        <v>0.0002101080681</v>
      </c>
      <c r="G51" s="3">
        <f t="shared" si="4"/>
        <v>0</v>
      </c>
      <c r="H51" s="2">
        <f t="shared" si="5"/>
        <v>0</v>
      </c>
      <c r="I51" s="3">
        <f t="shared" si="6"/>
        <v>0</v>
      </c>
      <c r="J51" s="3">
        <f t="shared" si="7"/>
        <v>0</v>
      </c>
      <c r="K51" s="3"/>
      <c r="L51" s="3">
        <f t="shared" si="8"/>
        <v>438.1227625</v>
      </c>
      <c r="M51" s="14">
        <f t="shared" si="9"/>
        <v>437.1694102</v>
      </c>
      <c r="N51" s="14">
        <f t="shared" si="10"/>
        <v>0.953352343</v>
      </c>
      <c r="O51" s="3"/>
      <c r="P51" s="23">
        <f t="shared" si="11"/>
        <v>175.3945612</v>
      </c>
      <c r="Q51" s="14">
        <f t="shared" si="12"/>
        <v>438.1227625</v>
      </c>
      <c r="R51" s="2"/>
      <c r="S51" s="14">
        <f t="shared" si="13"/>
        <v>0.8754597677</v>
      </c>
    </row>
    <row r="52">
      <c r="A52" s="11">
        <v>40.0</v>
      </c>
      <c r="B52" s="11">
        <v>1.41956956521739E9</v>
      </c>
      <c r="C52" s="2">
        <v>-102.4160233</v>
      </c>
      <c r="D52" s="3">
        <f t="shared" si="1"/>
        <v>-830434.7826</v>
      </c>
      <c r="E52" s="4">
        <f t="shared" si="2"/>
        <v>174.4762651</v>
      </c>
      <c r="F52" s="3">
        <f t="shared" si="3"/>
        <v>0.0002101023088</v>
      </c>
      <c r="G52" s="3">
        <f t="shared" si="4"/>
        <v>0</v>
      </c>
      <c r="H52" s="2">
        <f t="shared" si="5"/>
        <v>0</v>
      </c>
      <c r="I52" s="3">
        <f t="shared" si="6"/>
        <v>0</v>
      </c>
      <c r="J52" s="3">
        <f t="shared" si="7"/>
        <v>0</v>
      </c>
      <c r="K52" s="3"/>
      <c r="L52" s="3">
        <f t="shared" si="8"/>
        <v>436.0174166</v>
      </c>
      <c r="M52" s="14">
        <f t="shared" si="9"/>
        <v>437.0725659</v>
      </c>
      <c r="N52" s="14">
        <f t="shared" si="10"/>
        <v>-1.055149295</v>
      </c>
      <c r="O52" s="3"/>
      <c r="P52" s="23">
        <f t="shared" si="11"/>
        <v>174.4762651</v>
      </c>
      <c r="Q52" s="14">
        <f t="shared" si="12"/>
        <v>436.0174166</v>
      </c>
      <c r="R52" s="2"/>
      <c r="S52" s="14">
        <f t="shared" si="13"/>
        <v>-0.968939517</v>
      </c>
    </row>
    <row r="53">
      <c r="A53" s="11">
        <v>41.0</v>
      </c>
      <c r="B53" s="11">
        <v>1.41957391304347E9</v>
      </c>
      <c r="C53" s="2">
        <v>-102.4488068</v>
      </c>
      <c r="D53" s="3">
        <f t="shared" si="1"/>
        <v>-826086.9565</v>
      </c>
      <c r="E53" s="4">
        <f t="shared" si="2"/>
        <v>173.557969</v>
      </c>
      <c r="F53" s="3">
        <f t="shared" si="3"/>
        <v>0.0002100964888</v>
      </c>
      <c r="G53" s="3">
        <f t="shared" si="4"/>
        <v>0</v>
      </c>
      <c r="H53" s="2">
        <f t="shared" si="5"/>
        <v>0</v>
      </c>
      <c r="I53" s="3">
        <f t="shared" si="6"/>
        <v>0</v>
      </c>
      <c r="J53" s="3">
        <f t="shared" si="7"/>
        <v>0</v>
      </c>
      <c r="K53" s="3"/>
      <c r="L53" s="3">
        <f t="shared" si="8"/>
        <v>432.7384522</v>
      </c>
      <c r="M53" s="14">
        <f t="shared" si="9"/>
        <v>436.975995</v>
      </c>
      <c r="N53" s="14">
        <f t="shared" si="10"/>
        <v>-4.23754277</v>
      </c>
      <c r="O53" s="3"/>
      <c r="P53" s="23">
        <f t="shared" si="11"/>
        <v>173.557969</v>
      </c>
      <c r="Q53" s="14">
        <f t="shared" si="12"/>
        <v>432.7384522</v>
      </c>
      <c r="R53" s="2"/>
      <c r="S53" s="14">
        <f t="shared" si="13"/>
        <v>-3.891319138</v>
      </c>
    </row>
    <row r="54">
      <c r="A54" s="11">
        <v>42.0</v>
      </c>
      <c r="B54" s="11">
        <v>1.41957826086956E9</v>
      </c>
      <c r="C54" s="2">
        <v>-102.4390793</v>
      </c>
      <c r="D54" s="3">
        <f t="shared" si="1"/>
        <v>-821739.1304</v>
      </c>
      <c r="E54" s="4">
        <f t="shared" si="2"/>
        <v>172.6396728</v>
      </c>
      <c r="F54" s="3">
        <f t="shared" si="3"/>
        <v>0.0002100906072</v>
      </c>
      <c r="G54" s="3">
        <f t="shared" si="4"/>
        <v>0</v>
      </c>
      <c r="H54" s="2">
        <f t="shared" si="5"/>
        <v>0</v>
      </c>
      <c r="I54" s="3">
        <f t="shared" si="6"/>
        <v>0</v>
      </c>
      <c r="J54" s="3">
        <f t="shared" si="7"/>
        <v>0</v>
      </c>
      <c r="K54" s="3"/>
      <c r="L54" s="3">
        <f t="shared" si="8"/>
        <v>433.7088033</v>
      </c>
      <c r="M54" s="14">
        <f t="shared" si="9"/>
        <v>436.8796958</v>
      </c>
      <c r="N54" s="14">
        <f t="shared" si="10"/>
        <v>-3.170892559</v>
      </c>
      <c r="O54" s="3"/>
      <c r="P54" s="23">
        <f t="shared" si="11"/>
        <v>172.6396728</v>
      </c>
      <c r="Q54" s="14">
        <f t="shared" si="12"/>
        <v>433.7088033</v>
      </c>
      <c r="R54" s="2"/>
      <c r="S54" s="14">
        <f t="shared" si="13"/>
        <v>-2.911818368</v>
      </c>
    </row>
    <row r="55">
      <c r="A55" s="11">
        <v>43.0</v>
      </c>
      <c r="B55" s="11">
        <v>1.41958260869565E9</v>
      </c>
      <c r="C55" s="2">
        <v>-102.4339523</v>
      </c>
      <c r="D55" s="3">
        <f t="shared" si="1"/>
        <v>-817391.3043</v>
      </c>
      <c r="E55" s="4">
        <f t="shared" si="2"/>
        <v>171.7213767</v>
      </c>
      <c r="F55" s="3">
        <f t="shared" si="3"/>
        <v>0.000210084663</v>
      </c>
      <c r="G55" s="3">
        <f t="shared" si="4"/>
        <v>0</v>
      </c>
      <c r="H55" s="2">
        <f t="shared" si="5"/>
        <v>0</v>
      </c>
      <c r="I55" s="3">
        <f t="shared" si="6"/>
        <v>0</v>
      </c>
      <c r="J55" s="3">
        <f t="shared" si="7"/>
        <v>0</v>
      </c>
      <c r="K55" s="3"/>
      <c r="L55" s="3">
        <f t="shared" si="8"/>
        <v>434.2211142</v>
      </c>
      <c r="M55" s="14">
        <f t="shared" si="9"/>
        <v>436.7836668</v>
      </c>
      <c r="N55" s="14">
        <f t="shared" si="10"/>
        <v>-2.562552603</v>
      </c>
      <c r="O55" s="3"/>
      <c r="P55" s="23">
        <f t="shared" si="11"/>
        <v>171.7213767</v>
      </c>
      <c r="Q55" s="14">
        <f t="shared" si="12"/>
        <v>434.2211142</v>
      </c>
      <c r="R55" s="2"/>
      <c r="S55" s="14">
        <f t="shared" si="13"/>
        <v>-2.353182145</v>
      </c>
    </row>
    <row r="56">
      <c r="A56" s="11">
        <v>44.0</v>
      </c>
      <c r="B56" s="11">
        <v>1.41958695652173E9</v>
      </c>
      <c r="C56" s="2">
        <v>-102.3980103</v>
      </c>
      <c r="D56" s="3">
        <f t="shared" si="1"/>
        <v>-813043.4783</v>
      </c>
      <c r="E56" s="4">
        <f t="shared" si="2"/>
        <v>170.8030806</v>
      </c>
      <c r="F56" s="3">
        <f t="shared" si="3"/>
        <v>0.0002100786553</v>
      </c>
      <c r="G56" s="3">
        <f t="shared" si="4"/>
        <v>0</v>
      </c>
      <c r="H56" s="2">
        <f t="shared" si="5"/>
        <v>0</v>
      </c>
      <c r="I56" s="3">
        <f t="shared" si="6"/>
        <v>0</v>
      </c>
      <c r="J56" s="3">
        <f t="shared" si="7"/>
        <v>0</v>
      </c>
      <c r="K56" s="3"/>
      <c r="L56" s="3">
        <f t="shared" si="8"/>
        <v>437.8296183</v>
      </c>
      <c r="M56" s="14">
        <f t="shared" si="9"/>
        <v>436.6879063</v>
      </c>
      <c r="N56" s="14">
        <f t="shared" si="10"/>
        <v>1.141712043</v>
      </c>
      <c r="O56" s="3"/>
      <c r="P56" s="23">
        <f t="shared" si="11"/>
        <v>170.8030806</v>
      </c>
      <c r="Q56" s="14">
        <f t="shared" si="12"/>
        <v>437.8296183</v>
      </c>
      <c r="R56" s="2"/>
      <c r="S56" s="14">
        <f t="shared" si="13"/>
        <v>1.048429754</v>
      </c>
    </row>
    <row r="57">
      <c r="A57" s="11">
        <v>45.0</v>
      </c>
      <c r="B57" s="11">
        <v>1.41959130434782E9</v>
      </c>
      <c r="C57" s="2">
        <v>-102.3998871</v>
      </c>
      <c r="D57" s="3">
        <f t="shared" si="1"/>
        <v>-808695.6522</v>
      </c>
      <c r="E57" s="4">
        <f t="shared" si="2"/>
        <v>169.8847844</v>
      </c>
      <c r="F57" s="3">
        <f t="shared" si="3"/>
        <v>0.0002100725829</v>
      </c>
      <c r="G57" s="3">
        <f t="shared" si="4"/>
        <v>0</v>
      </c>
      <c r="H57" s="2">
        <f t="shared" si="5"/>
        <v>0</v>
      </c>
      <c r="I57" s="3">
        <f t="shared" si="6"/>
        <v>0</v>
      </c>
      <c r="J57" s="3">
        <f t="shared" si="7"/>
        <v>0</v>
      </c>
      <c r="K57" s="3"/>
      <c r="L57" s="3">
        <f t="shared" si="8"/>
        <v>437.6404515</v>
      </c>
      <c r="M57" s="14">
        <f t="shared" si="9"/>
        <v>436.5924126</v>
      </c>
      <c r="N57" s="14">
        <f t="shared" si="10"/>
        <v>1.048038863</v>
      </c>
      <c r="O57" s="3"/>
      <c r="P57" s="23">
        <f t="shared" si="11"/>
        <v>169.8847844</v>
      </c>
      <c r="Q57" s="14">
        <f t="shared" si="12"/>
        <v>437.6404515</v>
      </c>
      <c r="R57" s="2"/>
      <c r="S57" s="14">
        <f t="shared" si="13"/>
        <v>0.9624100348</v>
      </c>
    </row>
    <row r="58">
      <c r="A58" s="11">
        <v>46.0</v>
      </c>
      <c r="B58" s="11">
        <v>1.41959565217391E9</v>
      </c>
      <c r="C58" s="2">
        <v>-102.3533707</v>
      </c>
      <c r="D58" s="3">
        <f t="shared" si="1"/>
        <v>-804347.8261</v>
      </c>
      <c r="E58" s="4">
        <f t="shared" si="2"/>
        <v>168.9664883</v>
      </c>
      <c r="F58" s="3">
        <f t="shared" si="3"/>
        <v>0.0002100664449</v>
      </c>
      <c r="G58" s="3">
        <f t="shared" si="4"/>
        <v>0</v>
      </c>
      <c r="H58" s="2">
        <f t="shared" si="5"/>
        <v>0</v>
      </c>
      <c r="I58" s="3">
        <f t="shared" si="6"/>
        <v>0</v>
      </c>
      <c r="J58" s="3">
        <f t="shared" si="7"/>
        <v>0</v>
      </c>
      <c r="K58" s="3"/>
      <c r="L58" s="3">
        <f t="shared" si="8"/>
        <v>442.3531226</v>
      </c>
      <c r="M58" s="14">
        <f t="shared" si="9"/>
        <v>436.4971842</v>
      </c>
      <c r="N58" s="14">
        <f t="shared" si="10"/>
        <v>5.855938437</v>
      </c>
      <c r="O58" s="3"/>
      <c r="P58" s="23">
        <f t="shared" si="11"/>
        <v>168.9664883</v>
      </c>
      <c r="Q58" s="14">
        <f t="shared" si="12"/>
        <v>442.3531226</v>
      </c>
      <c r="R58" s="2"/>
      <c r="S58" s="14">
        <f t="shared" si="13"/>
        <v>5.377485609</v>
      </c>
    </row>
    <row r="59">
      <c r="A59" s="11">
        <v>47.0</v>
      </c>
      <c r="B59" s="11">
        <v>1.4196E9</v>
      </c>
      <c r="C59" s="2">
        <v>-102.3927002</v>
      </c>
      <c r="D59" s="3">
        <f t="shared" si="1"/>
        <v>-800000</v>
      </c>
      <c r="E59" s="4">
        <f t="shared" si="2"/>
        <v>168.0481922</v>
      </c>
      <c r="F59" s="3">
        <f t="shared" si="3"/>
        <v>0.0002100602402</v>
      </c>
      <c r="G59" s="3">
        <f t="shared" si="4"/>
        <v>0</v>
      </c>
      <c r="H59" s="2">
        <f t="shared" si="5"/>
        <v>0</v>
      </c>
      <c r="I59" s="3">
        <f t="shared" si="6"/>
        <v>0</v>
      </c>
      <c r="J59" s="3">
        <f t="shared" si="7"/>
        <v>0</v>
      </c>
      <c r="K59" s="3"/>
      <c r="L59" s="3">
        <f t="shared" si="8"/>
        <v>438.3652781</v>
      </c>
      <c r="M59" s="14">
        <f t="shared" si="9"/>
        <v>436.4022194</v>
      </c>
      <c r="N59" s="14">
        <f t="shared" si="10"/>
        <v>1.963058658</v>
      </c>
      <c r="O59" s="3"/>
      <c r="P59" s="23">
        <f t="shared" si="11"/>
        <v>168.0481922</v>
      </c>
      <c r="Q59" s="14">
        <f t="shared" si="12"/>
        <v>438.3652781</v>
      </c>
      <c r="R59" s="2"/>
      <c r="S59" s="14">
        <f t="shared" si="13"/>
        <v>1.802669174</v>
      </c>
    </row>
    <row r="60">
      <c r="A60" s="11">
        <v>48.0</v>
      </c>
      <c r="B60" s="11">
        <v>1.41960434782608E9</v>
      </c>
      <c r="C60" s="2">
        <v>-102.4323959</v>
      </c>
      <c r="D60" s="3">
        <f t="shared" si="1"/>
        <v>-795652.1739</v>
      </c>
      <c r="E60" s="4">
        <f t="shared" si="2"/>
        <v>167.129896</v>
      </c>
      <c r="F60" s="3">
        <f t="shared" si="3"/>
        <v>0.0002100539677</v>
      </c>
      <c r="G60" s="3">
        <f t="shared" si="4"/>
        <v>0</v>
      </c>
      <c r="H60" s="2">
        <f t="shared" si="5"/>
        <v>0</v>
      </c>
      <c r="I60" s="3">
        <f t="shared" si="6"/>
        <v>0</v>
      </c>
      <c r="J60" s="3">
        <f t="shared" si="7"/>
        <v>0</v>
      </c>
      <c r="K60" s="3"/>
      <c r="L60" s="3">
        <f t="shared" si="8"/>
        <v>434.3767558</v>
      </c>
      <c r="M60" s="14">
        <f t="shared" si="9"/>
        <v>436.3075167</v>
      </c>
      <c r="N60" s="14">
        <f t="shared" si="10"/>
        <v>-1.930760908</v>
      </c>
      <c r="O60" s="3"/>
      <c r="P60" s="23">
        <f t="shared" si="11"/>
        <v>167.129896</v>
      </c>
      <c r="Q60" s="14">
        <f t="shared" si="12"/>
        <v>434.3767558</v>
      </c>
      <c r="R60" s="2"/>
      <c r="S60" s="14">
        <f t="shared" si="13"/>
        <v>-1.773010275</v>
      </c>
    </row>
    <row r="61">
      <c r="A61" s="11">
        <v>49.0</v>
      </c>
      <c r="B61" s="11">
        <v>1.41960869565217E9</v>
      </c>
      <c r="C61" s="2">
        <v>-102.4186859</v>
      </c>
      <c r="D61" s="3">
        <f t="shared" si="1"/>
        <v>-791304.3478</v>
      </c>
      <c r="E61" s="4">
        <f t="shared" si="2"/>
        <v>166.2115999</v>
      </c>
      <c r="F61" s="3">
        <f t="shared" si="3"/>
        <v>0.0002100476263</v>
      </c>
      <c r="G61" s="3">
        <f t="shared" si="4"/>
        <v>0</v>
      </c>
      <c r="H61" s="2">
        <f t="shared" si="5"/>
        <v>0</v>
      </c>
      <c r="I61" s="3">
        <f t="shared" si="6"/>
        <v>0</v>
      </c>
      <c r="J61" s="3">
        <f t="shared" si="7"/>
        <v>0</v>
      </c>
      <c r="K61" s="3"/>
      <c r="L61" s="3">
        <f t="shared" si="8"/>
        <v>435.7501822</v>
      </c>
      <c r="M61" s="14">
        <f t="shared" si="9"/>
        <v>436.2130743</v>
      </c>
      <c r="N61" s="14">
        <f t="shared" si="10"/>
        <v>-0.462892092</v>
      </c>
      <c r="O61" s="3"/>
      <c r="P61" s="23">
        <f t="shared" si="11"/>
        <v>166.2115999</v>
      </c>
      <c r="Q61" s="14">
        <f t="shared" si="12"/>
        <v>435.7501822</v>
      </c>
      <c r="R61" s="2"/>
      <c r="S61" s="14">
        <f t="shared" si="13"/>
        <v>-0.425072017</v>
      </c>
    </row>
    <row r="62">
      <c r="A62" s="11">
        <v>50.0</v>
      </c>
      <c r="B62" s="11">
        <v>1.41961304347826E9</v>
      </c>
      <c r="C62" s="2">
        <v>-102.3963852</v>
      </c>
      <c r="D62" s="3">
        <f t="shared" si="1"/>
        <v>-786956.5217</v>
      </c>
      <c r="E62" s="4">
        <f t="shared" si="2"/>
        <v>165.2933038</v>
      </c>
      <c r="F62" s="3">
        <f t="shared" si="3"/>
        <v>0.0002100412148</v>
      </c>
      <c r="G62" s="3">
        <f t="shared" si="4"/>
        <v>0</v>
      </c>
      <c r="H62" s="2">
        <f t="shared" si="5"/>
        <v>0</v>
      </c>
      <c r="I62" s="3">
        <f t="shared" si="6"/>
        <v>0</v>
      </c>
      <c r="J62" s="3">
        <f t="shared" si="7"/>
        <v>0</v>
      </c>
      <c r="K62" s="3"/>
      <c r="L62" s="3">
        <f t="shared" si="8"/>
        <v>437.9934818</v>
      </c>
      <c r="M62" s="14">
        <f t="shared" si="9"/>
        <v>436.1188907</v>
      </c>
      <c r="N62" s="14">
        <f t="shared" si="10"/>
        <v>1.87459111</v>
      </c>
      <c r="O62" s="3"/>
      <c r="P62" s="23">
        <f t="shared" si="11"/>
        <v>165.2933038</v>
      </c>
      <c r="Q62" s="14">
        <f t="shared" si="12"/>
        <v>437.9934818</v>
      </c>
      <c r="R62" s="2"/>
      <c r="S62" s="14">
        <f t="shared" si="13"/>
        <v>1.721429767</v>
      </c>
    </row>
    <row r="63">
      <c r="A63" s="11">
        <v>51.0</v>
      </c>
      <c r="B63" s="11">
        <v>1.41961739130434E9</v>
      </c>
      <c r="C63" s="2">
        <v>-102.4268951</v>
      </c>
      <c r="D63" s="3">
        <f t="shared" si="1"/>
        <v>-782608.6957</v>
      </c>
      <c r="E63" s="4">
        <f t="shared" si="2"/>
        <v>164.3750077</v>
      </c>
      <c r="F63" s="3">
        <f t="shared" si="3"/>
        <v>0.000210034732</v>
      </c>
      <c r="G63" s="3">
        <f t="shared" si="4"/>
        <v>0</v>
      </c>
      <c r="H63" s="2">
        <f t="shared" si="5"/>
        <v>0</v>
      </c>
      <c r="I63" s="3">
        <f t="shared" si="6"/>
        <v>0</v>
      </c>
      <c r="J63" s="3">
        <f t="shared" si="7"/>
        <v>0</v>
      </c>
      <c r="K63" s="3"/>
      <c r="L63" s="3">
        <f t="shared" si="8"/>
        <v>434.9272886</v>
      </c>
      <c r="M63" s="14">
        <f t="shared" si="9"/>
        <v>436.0249642</v>
      </c>
      <c r="N63" s="14">
        <f t="shared" si="10"/>
        <v>-1.097675606</v>
      </c>
      <c r="O63" s="3"/>
      <c r="P63" s="23">
        <f t="shared" si="11"/>
        <v>164.3750077</v>
      </c>
      <c r="Q63" s="14">
        <f t="shared" si="12"/>
        <v>434.9272886</v>
      </c>
      <c r="R63" s="2"/>
      <c r="S63" s="14">
        <f t="shared" si="13"/>
        <v>-1.007991264</v>
      </c>
    </row>
    <row r="64">
      <c r="A64" s="11">
        <v>52.0</v>
      </c>
      <c r="B64" s="11">
        <v>1.41962173913043E9</v>
      </c>
      <c r="C64" s="2">
        <v>-102.4728546</v>
      </c>
      <c r="D64" s="3">
        <f t="shared" si="1"/>
        <v>-778260.8696</v>
      </c>
      <c r="E64" s="4">
        <f t="shared" si="2"/>
        <v>163.4567115</v>
      </c>
      <c r="F64" s="3">
        <f t="shared" si="3"/>
        <v>0.0002100281768</v>
      </c>
      <c r="G64" s="3">
        <f t="shared" si="4"/>
        <v>0</v>
      </c>
      <c r="H64" s="2">
        <f t="shared" si="5"/>
        <v>0</v>
      </c>
      <c r="I64" s="3">
        <f t="shared" si="6"/>
        <v>0</v>
      </c>
      <c r="J64" s="3">
        <f t="shared" si="7"/>
        <v>0</v>
      </c>
      <c r="K64" s="3"/>
      <c r="L64" s="3">
        <f t="shared" si="8"/>
        <v>430.3489101</v>
      </c>
      <c r="M64" s="14">
        <f t="shared" si="9"/>
        <v>435.9312932</v>
      </c>
      <c r="N64" s="14">
        <f t="shared" si="10"/>
        <v>-5.582383105</v>
      </c>
      <c r="O64" s="3"/>
      <c r="P64" s="23">
        <f t="shared" si="11"/>
        <v>163.4567115</v>
      </c>
      <c r="Q64" s="14">
        <f t="shared" si="12"/>
        <v>430.3489101</v>
      </c>
      <c r="R64" s="2"/>
      <c r="S64" s="14">
        <f t="shared" si="13"/>
        <v>-5.126280805</v>
      </c>
    </row>
    <row r="65">
      <c r="A65" s="11">
        <v>53.0</v>
      </c>
      <c r="B65" s="11">
        <v>1.41962608695652E9</v>
      </c>
      <c r="C65" s="2">
        <v>-102.4197235</v>
      </c>
      <c r="D65" s="3">
        <f t="shared" si="1"/>
        <v>-773913.0435</v>
      </c>
      <c r="E65" s="4">
        <f t="shared" si="2"/>
        <v>162.5384154</v>
      </c>
      <c r="F65" s="3">
        <f t="shared" si="3"/>
        <v>0.000210021548</v>
      </c>
      <c r="G65" s="3">
        <f t="shared" si="4"/>
        <v>0</v>
      </c>
      <c r="H65" s="2">
        <f t="shared" si="5"/>
        <v>0</v>
      </c>
      <c r="I65" s="3">
        <f t="shared" si="6"/>
        <v>0</v>
      </c>
      <c r="J65" s="3">
        <f t="shared" si="7"/>
        <v>0</v>
      </c>
      <c r="K65" s="3"/>
      <c r="L65" s="3">
        <f t="shared" si="8"/>
        <v>435.6460869</v>
      </c>
      <c r="M65" s="14">
        <f t="shared" si="9"/>
        <v>435.8378761</v>
      </c>
      <c r="N65" s="14">
        <f t="shared" si="10"/>
        <v>-0.191789208</v>
      </c>
      <c r="O65" s="3"/>
      <c r="P65" s="23">
        <f t="shared" si="11"/>
        <v>162.5384154</v>
      </c>
      <c r="Q65" s="14">
        <f t="shared" si="12"/>
        <v>435.6460869</v>
      </c>
      <c r="R65" s="2"/>
      <c r="S65" s="14">
        <f t="shared" si="13"/>
        <v>-0.176119288</v>
      </c>
    </row>
    <row r="66">
      <c r="A66" s="11">
        <v>54.0</v>
      </c>
      <c r="B66" s="11">
        <v>1.4196304347826E9</v>
      </c>
      <c r="C66" s="2">
        <v>-102.3895645</v>
      </c>
      <c r="D66" s="3">
        <f t="shared" si="1"/>
        <v>-769565.2174</v>
      </c>
      <c r="E66" s="4">
        <f t="shared" si="2"/>
        <v>161.6201193</v>
      </c>
      <c r="F66" s="3">
        <f t="shared" si="3"/>
        <v>0.0002100148442</v>
      </c>
      <c r="G66" s="3">
        <f t="shared" si="4"/>
        <v>0</v>
      </c>
      <c r="H66" s="2">
        <f t="shared" si="5"/>
        <v>0</v>
      </c>
      <c r="I66" s="3">
        <f t="shared" si="6"/>
        <v>0</v>
      </c>
      <c r="J66" s="3">
        <f t="shared" si="7"/>
        <v>0</v>
      </c>
      <c r="K66" s="3"/>
      <c r="L66" s="3">
        <f t="shared" si="8"/>
        <v>438.6819016</v>
      </c>
      <c r="M66" s="14">
        <f t="shared" si="9"/>
        <v>435.7447112</v>
      </c>
      <c r="N66" s="14">
        <f t="shared" si="10"/>
        <v>2.937190397</v>
      </c>
      <c r="O66" s="3"/>
      <c r="P66" s="23">
        <f t="shared" si="11"/>
        <v>161.6201193</v>
      </c>
      <c r="Q66" s="14">
        <f t="shared" si="12"/>
        <v>438.6819016</v>
      </c>
      <c r="R66" s="2"/>
      <c r="S66" s="14">
        <f t="shared" si="13"/>
        <v>2.697210583</v>
      </c>
    </row>
    <row r="67">
      <c r="A67" s="11">
        <v>55.0</v>
      </c>
      <c r="B67" s="11">
        <v>1.41963478260869E9</v>
      </c>
      <c r="C67" s="2">
        <v>-102.3989944</v>
      </c>
      <c r="D67" s="3">
        <f t="shared" si="1"/>
        <v>-765217.3913</v>
      </c>
      <c r="E67" s="4">
        <f t="shared" si="2"/>
        <v>160.7018231</v>
      </c>
      <c r="F67" s="3">
        <f t="shared" si="3"/>
        <v>0.0002100080643</v>
      </c>
      <c r="G67" s="3">
        <f t="shared" si="4"/>
        <v>0</v>
      </c>
      <c r="H67" s="2">
        <f t="shared" si="5"/>
        <v>0</v>
      </c>
      <c r="I67" s="3">
        <f t="shared" si="6"/>
        <v>0</v>
      </c>
      <c r="J67" s="3">
        <f t="shared" si="7"/>
        <v>0</v>
      </c>
      <c r="K67" s="3"/>
      <c r="L67" s="3">
        <f t="shared" si="8"/>
        <v>437.7304185</v>
      </c>
      <c r="M67" s="14">
        <f t="shared" si="9"/>
        <v>435.651797</v>
      </c>
      <c r="N67" s="14">
        <f t="shared" si="10"/>
        <v>2.078621516</v>
      </c>
      <c r="O67" s="3"/>
      <c r="P67" s="23">
        <f t="shared" si="11"/>
        <v>160.7018231</v>
      </c>
      <c r="Q67" s="14">
        <f t="shared" si="12"/>
        <v>437.7304185</v>
      </c>
      <c r="R67" s="2"/>
      <c r="S67" s="14">
        <f t="shared" si="13"/>
        <v>1.908790099</v>
      </c>
    </row>
    <row r="68">
      <c r="A68" s="11">
        <v>56.0</v>
      </c>
      <c r="B68" s="11">
        <v>1.41963913043478E9</v>
      </c>
      <c r="C68" s="2">
        <v>-102.4415588</v>
      </c>
      <c r="D68" s="24">
        <f t="shared" si="1"/>
        <v>-760869.5652</v>
      </c>
      <c r="E68" s="25">
        <f t="shared" si="2"/>
        <v>159.783527</v>
      </c>
      <c r="F68" s="24">
        <f t="shared" si="3"/>
        <v>0.0002100012069</v>
      </c>
      <c r="G68" s="24">
        <f t="shared" si="4"/>
        <v>0</v>
      </c>
      <c r="H68" s="26">
        <f t="shared" si="5"/>
        <v>0</v>
      </c>
      <c r="I68" s="24">
        <f t="shared" si="6"/>
        <v>0</v>
      </c>
      <c r="J68" s="24">
        <f t="shared" si="7"/>
        <v>0</v>
      </c>
      <c r="K68" s="24"/>
      <c r="L68" s="24">
        <f t="shared" si="8"/>
        <v>433.4612583</v>
      </c>
      <c r="M68" s="14">
        <f t="shared" si="9"/>
        <v>435.5591317</v>
      </c>
      <c r="N68" s="27">
        <f t="shared" si="10"/>
        <v>-2.097873442</v>
      </c>
      <c r="O68" s="24"/>
      <c r="P68" s="28">
        <f t="shared" ref="P68:P123" si="14">-((B418-$B$4)/$B$4)*(3*10^5)</f>
        <v>-160.7018231</v>
      </c>
      <c r="Q68" s="27">
        <f t="shared" ref="Q68:Q123" si="15">(1/(2*$K$13))*(I417)</f>
        <v>408.4589695</v>
      </c>
      <c r="R68" s="26"/>
      <c r="S68" s="14">
        <f t="shared" si="13"/>
        <v>-1.926469064</v>
      </c>
    </row>
    <row r="69">
      <c r="A69" s="11">
        <v>57.0</v>
      </c>
      <c r="B69" s="11">
        <v>1.41964347826087E9</v>
      </c>
      <c r="C69" s="2">
        <v>-102.3549805</v>
      </c>
      <c r="D69" s="24">
        <f t="shared" si="1"/>
        <v>-756521.7391</v>
      </c>
      <c r="E69" s="25">
        <f t="shared" si="2"/>
        <v>158.8652309</v>
      </c>
      <c r="F69" s="24">
        <f t="shared" si="3"/>
        <v>0.0002099942707</v>
      </c>
      <c r="G69" s="24">
        <f t="shared" si="4"/>
        <v>0</v>
      </c>
      <c r="H69" s="26">
        <f t="shared" si="5"/>
        <v>0</v>
      </c>
      <c r="I69" s="24">
        <f t="shared" si="6"/>
        <v>0</v>
      </c>
      <c r="J69" s="24">
        <f t="shared" si="7"/>
        <v>0</v>
      </c>
      <c r="K69" s="24"/>
      <c r="L69" s="24">
        <f t="shared" si="8"/>
        <v>442.1891859</v>
      </c>
      <c r="M69" s="14">
        <f t="shared" si="9"/>
        <v>435.4667139</v>
      </c>
      <c r="N69" s="27">
        <f t="shared" si="10"/>
        <v>6.722472033</v>
      </c>
      <c r="O69" s="24"/>
      <c r="P69" s="28">
        <f t="shared" si="14"/>
        <v>-161.6201193</v>
      </c>
      <c r="Q69" s="27">
        <f t="shared" si="15"/>
        <v>405.8290275</v>
      </c>
      <c r="R69" s="26"/>
      <c r="S69" s="14">
        <f t="shared" si="13"/>
        <v>6.17322007</v>
      </c>
    </row>
    <row r="70">
      <c r="A70" s="11">
        <v>58.0</v>
      </c>
      <c r="B70" s="11">
        <v>1.41964782608695E9</v>
      </c>
      <c r="C70" s="2">
        <v>-102.4256439</v>
      </c>
      <c r="D70" s="24">
        <f t="shared" si="1"/>
        <v>-752173.913</v>
      </c>
      <c r="E70" s="25">
        <f t="shared" si="2"/>
        <v>157.9469347</v>
      </c>
      <c r="F70" s="24">
        <f t="shared" si="3"/>
        <v>0.0002099872543</v>
      </c>
      <c r="G70" s="24">
        <f t="shared" si="4"/>
        <v>0</v>
      </c>
      <c r="H70" s="26">
        <f t="shared" si="5"/>
        <v>0</v>
      </c>
      <c r="I70" s="24">
        <f t="shared" si="6"/>
        <v>0</v>
      </c>
      <c r="J70" s="24">
        <f t="shared" si="7"/>
        <v>0</v>
      </c>
      <c r="K70" s="24"/>
      <c r="L70" s="24">
        <f t="shared" si="8"/>
        <v>435.0526089</v>
      </c>
      <c r="M70" s="14">
        <f t="shared" si="9"/>
        <v>435.3745418</v>
      </c>
      <c r="N70" s="27">
        <f t="shared" si="10"/>
        <v>-0.3219328906</v>
      </c>
      <c r="O70" s="24"/>
      <c r="P70" s="28">
        <f t="shared" si="14"/>
        <v>-162.5384154</v>
      </c>
      <c r="Q70" s="27">
        <f t="shared" si="15"/>
        <v>405.8069283</v>
      </c>
      <c r="R70" s="26"/>
      <c r="S70" s="14">
        <f t="shared" si="13"/>
        <v>-0.2956297284</v>
      </c>
    </row>
    <row r="71">
      <c r="A71" s="11">
        <v>59.0</v>
      </c>
      <c r="B71" s="11">
        <v>1.41965217391304E9</v>
      </c>
      <c r="C71" s="2">
        <v>-102.4502411</v>
      </c>
      <c r="D71" s="24">
        <f t="shared" si="1"/>
        <v>-747826.087</v>
      </c>
      <c r="E71" s="25">
        <f t="shared" si="2"/>
        <v>157.0286386</v>
      </c>
      <c r="F71" s="24">
        <f t="shared" si="3"/>
        <v>0.0002099801563</v>
      </c>
      <c r="G71" s="24">
        <f t="shared" si="4"/>
        <v>0</v>
      </c>
      <c r="H71" s="26">
        <f t="shared" si="5"/>
        <v>0</v>
      </c>
      <c r="I71" s="24">
        <f t="shared" si="6"/>
        <v>0</v>
      </c>
      <c r="J71" s="24">
        <f t="shared" si="7"/>
        <v>0</v>
      </c>
      <c r="K71" s="24"/>
      <c r="L71" s="24">
        <f t="shared" si="8"/>
        <v>432.5955597</v>
      </c>
      <c r="M71" s="14">
        <f t="shared" si="9"/>
        <v>435.2826139</v>
      </c>
      <c r="N71" s="27">
        <f t="shared" si="10"/>
        <v>-2.687054169</v>
      </c>
      <c r="O71" s="24"/>
      <c r="P71" s="28">
        <f t="shared" si="14"/>
        <v>-163.4567115</v>
      </c>
      <c r="Q71" s="27">
        <f t="shared" si="15"/>
        <v>407.3983703</v>
      </c>
      <c r="R71" s="26"/>
      <c r="S71" s="14">
        <f t="shared" si="13"/>
        <v>-2.467511447</v>
      </c>
    </row>
    <row r="72">
      <c r="A72" s="11">
        <v>60.0</v>
      </c>
      <c r="B72" s="11">
        <v>1.41965652173913E9</v>
      </c>
      <c r="C72" s="2">
        <v>-102.4174118</v>
      </c>
      <c r="D72" s="24">
        <f t="shared" si="1"/>
        <v>-743478.2609</v>
      </c>
      <c r="E72" s="25">
        <f t="shared" si="2"/>
        <v>156.1103425</v>
      </c>
      <c r="F72" s="24">
        <f t="shared" si="3"/>
        <v>0.0002099729752</v>
      </c>
      <c r="G72" s="24">
        <f t="shared" si="4"/>
        <v>0</v>
      </c>
      <c r="H72" s="26">
        <f t="shared" si="5"/>
        <v>0</v>
      </c>
      <c r="I72" s="24">
        <f t="shared" si="6"/>
        <v>0</v>
      </c>
      <c r="J72" s="24">
        <f t="shared" si="7"/>
        <v>0</v>
      </c>
      <c r="K72" s="24"/>
      <c r="L72" s="24">
        <f t="shared" si="8"/>
        <v>435.878038</v>
      </c>
      <c r="M72" s="14">
        <f t="shared" si="9"/>
        <v>435.1909284</v>
      </c>
      <c r="N72" s="27">
        <f t="shared" si="10"/>
        <v>0.6871096097</v>
      </c>
      <c r="O72" s="24"/>
      <c r="P72" s="28">
        <f t="shared" si="14"/>
        <v>-164.3750077</v>
      </c>
      <c r="Q72" s="27">
        <f t="shared" si="15"/>
        <v>403.6923108</v>
      </c>
      <c r="R72" s="26"/>
      <c r="S72" s="14">
        <f t="shared" si="13"/>
        <v>0.6309700974</v>
      </c>
    </row>
    <row r="73">
      <c r="A73" s="11">
        <v>61.0</v>
      </c>
      <c r="B73" s="11">
        <v>1.41966086956521E9</v>
      </c>
      <c r="C73" s="2">
        <v>-102.4126663</v>
      </c>
      <c r="D73" s="24">
        <f t="shared" si="1"/>
        <v>-739130.4348</v>
      </c>
      <c r="E73" s="25">
        <f t="shared" si="2"/>
        <v>155.1920463</v>
      </c>
      <c r="F73" s="24">
        <f t="shared" si="3"/>
        <v>0.0002099657097</v>
      </c>
      <c r="G73" s="24">
        <f t="shared" si="4"/>
        <v>0</v>
      </c>
      <c r="H73" s="26">
        <f t="shared" si="5"/>
        <v>0</v>
      </c>
      <c r="I73" s="24">
        <f t="shared" si="6"/>
        <v>0</v>
      </c>
      <c r="J73" s="24">
        <f t="shared" si="7"/>
        <v>0</v>
      </c>
      <c r="K73" s="24"/>
      <c r="L73" s="24">
        <f t="shared" si="8"/>
        <v>436.3545787</v>
      </c>
      <c r="M73" s="14">
        <f t="shared" si="9"/>
        <v>435.0994838</v>
      </c>
      <c r="N73" s="27">
        <f t="shared" si="10"/>
        <v>1.255094824</v>
      </c>
      <c r="O73" s="24"/>
      <c r="P73" s="28">
        <f t="shared" si="14"/>
        <v>-165.2933038</v>
      </c>
      <c r="Q73" s="27">
        <f t="shared" si="15"/>
        <v>407.8910606</v>
      </c>
      <c r="R73" s="26"/>
      <c r="S73" s="14">
        <f t="shared" si="13"/>
        <v>1.152548723</v>
      </c>
    </row>
    <row r="74">
      <c r="A74" s="11">
        <v>62.0</v>
      </c>
      <c r="B74" s="11">
        <v>1.4196652173913E9</v>
      </c>
      <c r="C74" s="2">
        <v>-102.4373703</v>
      </c>
      <c r="D74" s="24">
        <f t="shared" si="1"/>
        <v>-734782.6087</v>
      </c>
      <c r="E74" s="25">
        <f t="shared" si="2"/>
        <v>154.2737502</v>
      </c>
      <c r="F74" s="24">
        <f t="shared" si="3"/>
        <v>0.0002099583583</v>
      </c>
      <c r="G74" s="24">
        <f t="shared" si="4"/>
        <v>0</v>
      </c>
      <c r="H74" s="26">
        <f t="shared" si="5"/>
        <v>0</v>
      </c>
      <c r="I74" s="24">
        <f t="shared" si="6"/>
        <v>0</v>
      </c>
      <c r="J74" s="24">
        <f t="shared" si="7"/>
        <v>0</v>
      </c>
      <c r="K74" s="24"/>
      <c r="L74" s="24">
        <f t="shared" si="8"/>
        <v>433.8795064</v>
      </c>
      <c r="M74" s="14">
        <f t="shared" si="9"/>
        <v>435.0082785</v>
      </c>
      <c r="N74" s="27">
        <f t="shared" si="10"/>
        <v>-1.128772168</v>
      </c>
      <c r="O74" s="24"/>
      <c r="P74" s="28">
        <f t="shared" si="14"/>
        <v>-166.2115999</v>
      </c>
      <c r="Q74" s="27">
        <f t="shared" si="15"/>
        <v>410.5661001</v>
      </c>
      <c r="R74" s="26"/>
      <c r="S74" s="14">
        <f t="shared" si="13"/>
        <v>-1.036547114</v>
      </c>
    </row>
    <row r="75">
      <c r="A75" s="11">
        <v>63.0</v>
      </c>
      <c r="B75" s="11">
        <v>1.41966956521739E9</v>
      </c>
      <c r="C75" s="2">
        <v>-102.3934097</v>
      </c>
      <c r="D75" s="24">
        <f t="shared" si="1"/>
        <v>-730434.7826</v>
      </c>
      <c r="E75" s="25">
        <f t="shared" si="2"/>
        <v>153.3554541</v>
      </c>
      <c r="F75" s="24">
        <f t="shared" si="3"/>
        <v>0.0002099509193</v>
      </c>
      <c r="G75" s="24">
        <f t="shared" si="4"/>
        <v>0</v>
      </c>
      <c r="H75" s="26">
        <f t="shared" si="5"/>
        <v>0</v>
      </c>
      <c r="I75" s="24">
        <f t="shared" si="6"/>
        <v>0</v>
      </c>
      <c r="J75" s="24">
        <f t="shared" si="7"/>
        <v>0</v>
      </c>
      <c r="K75" s="24"/>
      <c r="L75" s="24">
        <f t="shared" si="8"/>
        <v>438.2936689</v>
      </c>
      <c r="M75" s="14">
        <f t="shared" si="9"/>
        <v>434.9173109</v>
      </c>
      <c r="N75" s="27">
        <f t="shared" si="10"/>
        <v>3.376358056</v>
      </c>
      <c r="O75" s="24"/>
      <c r="P75" s="28">
        <f t="shared" si="14"/>
        <v>-167.129896</v>
      </c>
      <c r="Q75" s="27">
        <f t="shared" si="15"/>
        <v>406.419051</v>
      </c>
      <c r="R75" s="26"/>
      <c r="S75" s="14">
        <f t="shared" si="13"/>
        <v>3.100496545</v>
      </c>
    </row>
    <row r="76">
      <c r="A76" s="11">
        <v>64.0</v>
      </c>
      <c r="B76" s="11">
        <v>1.41967391304347E9</v>
      </c>
      <c r="C76" s="2">
        <v>-102.3911133</v>
      </c>
      <c r="D76" s="24">
        <f t="shared" si="1"/>
        <v>-726086.9565</v>
      </c>
      <c r="E76" s="25">
        <f t="shared" si="2"/>
        <v>152.4371579</v>
      </c>
      <c r="F76" s="24">
        <f t="shared" si="3"/>
        <v>0.0002099433912</v>
      </c>
      <c r="G76" s="24">
        <f t="shared" si="4"/>
        <v>0</v>
      </c>
      <c r="H76" s="26">
        <f t="shared" si="5"/>
        <v>0</v>
      </c>
      <c r="I76" s="24">
        <f t="shared" si="6"/>
        <v>0</v>
      </c>
      <c r="J76" s="24">
        <f t="shared" si="7"/>
        <v>0</v>
      </c>
      <c r="K76" s="24"/>
      <c r="L76" s="24">
        <f t="shared" si="8"/>
        <v>438.5254848</v>
      </c>
      <c r="M76" s="14">
        <f t="shared" si="9"/>
        <v>434.8265792</v>
      </c>
      <c r="N76" s="27">
        <f t="shared" si="10"/>
        <v>3.698905642</v>
      </c>
      <c r="O76" s="24"/>
      <c r="P76" s="28">
        <f t="shared" si="14"/>
        <v>-168.0481922</v>
      </c>
      <c r="Q76" s="27">
        <f t="shared" si="15"/>
        <v>409.5359936</v>
      </c>
      <c r="R76" s="26"/>
      <c r="S76" s="14">
        <f t="shared" si="13"/>
        <v>3.396690746</v>
      </c>
    </row>
    <row r="77">
      <c r="A77" s="11">
        <v>65.0</v>
      </c>
      <c r="B77" s="11">
        <v>1.41967826086956E9</v>
      </c>
      <c r="C77" s="2">
        <v>-102.3957748</v>
      </c>
      <c r="D77" s="24">
        <f t="shared" si="1"/>
        <v>-721739.1304</v>
      </c>
      <c r="E77" s="25">
        <f t="shared" si="2"/>
        <v>151.5188618</v>
      </c>
      <c r="F77" s="24">
        <f t="shared" si="3"/>
        <v>0.0002099357724</v>
      </c>
      <c r="G77" s="24">
        <f t="shared" si="4"/>
        <v>0</v>
      </c>
      <c r="H77" s="26">
        <f t="shared" si="5"/>
        <v>0</v>
      </c>
      <c r="I77" s="24">
        <f t="shared" si="6"/>
        <v>0</v>
      </c>
      <c r="J77" s="24">
        <f t="shared" si="7"/>
        <v>0</v>
      </c>
      <c r="K77" s="24"/>
      <c r="L77" s="24">
        <f t="shared" si="8"/>
        <v>438.055046</v>
      </c>
      <c r="M77" s="14">
        <f t="shared" si="9"/>
        <v>434.7360819</v>
      </c>
      <c r="N77" s="27">
        <f t="shared" si="10"/>
        <v>3.318964101</v>
      </c>
      <c r="O77" s="24"/>
      <c r="P77" s="28">
        <f t="shared" si="14"/>
        <v>-168.9664883</v>
      </c>
      <c r="Q77" s="27">
        <f t="shared" si="15"/>
        <v>407.3647325</v>
      </c>
      <c r="R77" s="26"/>
      <c r="S77" s="14">
        <f t="shared" si="13"/>
        <v>3.047791891</v>
      </c>
    </row>
    <row r="78">
      <c r="A78" s="11">
        <v>66.0</v>
      </c>
      <c r="B78" s="11">
        <v>1.41968260869565E9</v>
      </c>
      <c r="C78" s="2">
        <v>-102.3947296</v>
      </c>
      <c r="D78" s="24">
        <f t="shared" si="1"/>
        <v>-717391.3043</v>
      </c>
      <c r="E78" s="25">
        <f t="shared" si="2"/>
        <v>150.6005657</v>
      </c>
      <c r="F78" s="24">
        <f t="shared" si="3"/>
        <v>0.0002099280612</v>
      </c>
      <c r="G78" s="24">
        <f t="shared" si="4"/>
        <v>0</v>
      </c>
      <c r="H78" s="26">
        <f t="shared" si="5"/>
        <v>0</v>
      </c>
      <c r="I78" s="24">
        <f t="shared" si="6"/>
        <v>0</v>
      </c>
      <c r="J78" s="24">
        <f t="shared" si="7"/>
        <v>0</v>
      </c>
      <c r="K78" s="24"/>
      <c r="L78" s="24">
        <f t="shared" si="8"/>
        <v>438.1604837</v>
      </c>
      <c r="M78" s="14">
        <f t="shared" si="9"/>
        <v>434.6458174</v>
      </c>
      <c r="N78" s="27">
        <f t="shared" si="10"/>
        <v>3.514666359</v>
      </c>
      <c r="O78" s="24"/>
      <c r="P78" s="28">
        <f t="shared" si="14"/>
        <v>-169.8847844</v>
      </c>
      <c r="Q78" s="27">
        <f t="shared" si="15"/>
        <v>404.8371207</v>
      </c>
      <c r="R78" s="26"/>
      <c r="S78" s="14">
        <f t="shared" si="13"/>
        <v>3.227504525</v>
      </c>
    </row>
    <row r="79">
      <c r="A79" s="11">
        <v>67.0</v>
      </c>
      <c r="B79" s="11">
        <v>1.41968695652173E9</v>
      </c>
      <c r="C79" s="2">
        <v>-102.3555679</v>
      </c>
      <c r="D79" s="24">
        <f t="shared" si="1"/>
        <v>-713043.4783</v>
      </c>
      <c r="E79" s="25">
        <f t="shared" si="2"/>
        <v>149.6822695</v>
      </c>
      <c r="F79" s="24">
        <f t="shared" si="3"/>
        <v>0.0002099202561</v>
      </c>
      <c r="G79" s="24">
        <f t="shared" si="4"/>
        <v>0</v>
      </c>
      <c r="H79" s="26">
        <f t="shared" si="5"/>
        <v>0</v>
      </c>
      <c r="I79" s="24">
        <f t="shared" si="6"/>
        <v>0</v>
      </c>
      <c r="J79" s="24">
        <f t="shared" si="7"/>
        <v>0</v>
      </c>
      <c r="K79" s="24"/>
      <c r="L79" s="24">
        <f t="shared" si="8"/>
        <v>442.1293822</v>
      </c>
      <c r="M79" s="14">
        <f t="shared" si="9"/>
        <v>434.555784</v>
      </c>
      <c r="N79" s="27">
        <f t="shared" si="10"/>
        <v>7.573598221</v>
      </c>
      <c r="O79" s="24"/>
      <c r="P79" s="28">
        <f t="shared" si="14"/>
        <v>-170.8030806</v>
      </c>
      <c r="Q79" s="27">
        <f t="shared" si="15"/>
        <v>401.135333</v>
      </c>
      <c r="R79" s="26"/>
      <c r="S79" s="14">
        <f t="shared" si="13"/>
        <v>6.954805957</v>
      </c>
    </row>
    <row r="80">
      <c r="A80" s="11">
        <v>68.0</v>
      </c>
      <c r="B80" s="11">
        <v>1.41969130434782E9</v>
      </c>
      <c r="C80" s="2">
        <v>-102.4259567</v>
      </c>
      <c r="D80" s="24">
        <f t="shared" si="1"/>
        <v>-708695.6522</v>
      </c>
      <c r="E80" s="25">
        <f t="shared" si="2"/>
        <v>148.7639734</v>
      </c>
      <c r="F80" s="24">
        <f t="shared" si="3"/>
        <v>0.0002099123551</v>
      </c>
      <c r="G80" s="24">
        <f t="shared" si="4"/>
        <v>0</v>
      </c>
      <c r="H80" s="26">
        <f t="shared" si="5"/>
        <v>0</v>
      </c>
      <c r="I80" s="24">
        <f t="shared" si="6"/>
        <v>0</v>
      </c>
      <c r="J80" s="24">
        <f t="shared" si="7"/>
        <v>0</v>
      </c>
      <c r="K80" s="24"/>
      <c r="L80" s="24">
        <f t="shared" si="8"/>
        <v>435.0212755</v>
      </c>
      <c r="M80" s="14">
        <f t="shared" si="9"/>
        <v>434.4659801</v>
      </c>
      <c r="N80" s="27">
        <f t="shared" si="10"/>
        <v>0.5552953688</v>
      </c>
      <c r="O80" s="24"/>
      <c r="P80" s="28">
        <f t="shared" si="14"/>
        <v>-171.7213767</v>
      </c>
      <c r="Q80" s="27">
        <f t="shared" si="15"/>
        <v>402.7346322</v>
      </c>
      <c r="R80" s="26"/>
      <c r="S80" s="14">
        <f t="shared" si="13"/>
        <v>0.5099255897</v>
      </c>
    </row>
    <row r="81">
      <c r="A81" s="11">
        <v>69.0</v>
      </c>
      <c r="B81" s="11">
        <v>1.41969565217391E9</v>
      </c>
      <c r="C81" s="2">
        <v>-102.3762894</v>
      </c>
      <c r="D81" s="24">
        <f t="shared" si="1"/>
        <v>-704347.8261</v>
      </c>
      <c r="E81" s="25">
        <f t="shared" si="2"/>
        <v>147.8456773</v>
      </c>
      <c r="F81" s="24">
        <f t="shared" si="3"/>
        <v>0.0002099043566</v>
      </c>
      <c r="G81" s="24">
        <f t="shared" si="4"/>
        <v>0</v>
      </c>
      <c r="H81" s="26">
        <f t="shared" si="5"/>
        <v>0</v>
      </c>
      <c r="I81" s="24">
        <f t="shared" si="6"/>
        <v>0</v>
      </c>
      <c r="J81" s="24">
        <f t="shared" si="7"/>
        <v>0</v>
      </c>
      <c r="K81" s="24"/>
      <c r="L81" s="24">
        <f t="shared" si="8"/>
        <v>440.0248741</v>
      </c>
      <c r="M81" s="14">
        <f t="shared" si="9"/>
        <v>434.3764041</v>
      </c>
      <c r="N81" s="27">
        <f t="shared" si="10"/>
        <v>5.648470056</v>
      </c>
      <c r="O81" s="24"/>
      <c r="P81" s="28">
        <f t="shared" si="14"/>
        <v>-172.6396728</v>
      </c>
      <c r="Q81" s="27">
        <f t="shared" si="15"/>
        <v>401.4123753</v>
      </c>
      <c r="R81" s="26"/>
      <c r="S81" s="14">
        <f t="shared" si="13"/>
        <v>5.186968197</v>
      </c>
    </row>
    <row r="82">
      <c r="A82" s="11">
        <v>70.0</v>
      </c>
      <c r="B82" s="11">
        <v>1.4197E9</v>
      </c>
      <c r="C82" s="2">
        <v>-102.4201736</v>
      </c>
      <c r="D82" s="24">
        <f t="shared" si="1"/>
        <v>-700000</v>
      </c>
      <c r="E82" s="25">
        <f t="shared" si="2"/>
        <v>146.9273811</v>
      </c>
      <c r="F82" s="24">
        <f t="shared" si="3"/>
        <v>0.0002098962588</v>
      </c>
      <c r="G82" s="24">
        <f t="shared" si="4"/>
        <v>0</v>
      </c>
      <c r="H82" s="26">
        <f t="shared" si="5"/>
        <v>0</v>
      </c>
      <c r="I82" s="24">
        <f t="shared" si="6"/>
        <v>0</v>
      </c>
      <c r="J82" s="24">
        <f t="shared" si="7"/>
        <v>0</v>
      </c>
      <c r="K82" s="24"/>
      <c r="L82" s="24">
        <f t="shared" si="8"/>
        <v>435.6009391</v>
      </c>
      <c r="M82" s="14">
        <f t="shared" si="9"/>
        <v>434.2870543</v>
      </c>
      <c r="N82" s="27">
        <f t="shared" si="10"/>
        <v>1.313884782</v>
      </c>
      <c r="O82" s="24"/>
      <c r="P82" s="28">
        <f t="shared" si="14"/>
        <v>-173.557969</v>
      </c>
      <c r="Q82" s="27">
        <f t="shared" si="15"/>
        <v>407.4584862</v>
      </c>
      <c r="R82" s="26"/>
      <c r="S82" s="14">
        <f t="shared" si="13"/>
        <v>1.206535314</v>
      </c>
    </row>
    <row r="83">
      <c r="A83" s="11">
        <v>71.0</v>
      </c>
      <c r="B83" s="11">
        <v>1.41970434782608E9</v>
      </c>
      <c r="C83" s="2">
        <v>-102.4030075</v>
      </c>
      <c r="D83" s="24">
        <f t="shared" si="1"/>
        <v>-695652.1739</v>
      </c>
      <c r="E83" s="25">
        <f t="shared" si="2"/>
        <v>146.009085</v>
      </c>
      <c r="F83" s="24">
        <f t="shared" si="3"/>
        <v>0.0002098880597</v>
      </c>
      <c r="G83" s="24">
        <f t="shared" si="4"/>
        <v>0</v>
      </c>
      <c r="H83" s="26">
        <f t="shared" si="5"/>
        <v>0</v>
      </c>
      <c r="I83" s="24">
        <f t="shared" si="6"/>
        <v>0</v>
      </c>
      <c r="J83" s="24">
        <f t="shared" si="7"/>
        <v>0</v>
      </c>
      <c r="K83" s="24"/>
      <c r="L83" s="24">
        <f t="shared" si="8"/>
        <v>437.3261203</v>
      </c>
      <c r="M83" s="14">
        <f t="shared" si="9"/>
        <v>434.1979292</v>
      </c>
      <c r="N83" s="27">
        <f t="shared" si="10"/>
        <v>3.128191115</v>
      </c>
      <c r="O83" s="24"/>
      <c r="P83" s="28">
        <f t="shared" si="14"/>
        <v>-174.4762651</v>
      </c>
      <c r="Q83" s="27">
        <f t="shared" si="15"/>
        <v>402.0750803</v>
      </c>
      <c r="R83" s="26"/>
      <c r="S83" s="14">
        <f t="shared" si="13"/>
        <v>2.872605804</v>
      </c>
    </row>
    <row r="84">
      <c r="A84" s="11">
        <v>72.0</v>
      </c>
      <c r="B84" s="11">
        <v>1.41970869565217E9</v>
      </c>
      <c r="C84" s="2">
        <v>-102.5038757</v>
      </c>
      <c r="D84" s="24">
        <f t="shared" si="1"/>
        <v>-691304.3478</v>
      </c>
      <c r="E84" s="25">
        <f t="shared" si="2"/>
        <v>145.0907889</v>
      </c>
      <c r="F84" s="24">
        <f t="shared" si="3"/>
        <v>0.0002098797575</v>
      </c>
      <c r="G84" s="24">
        <f t="shared" si="4"/>
        <v>0</v>
      </c>
      <c r="H84" s="26">
        <f t="shared" si="5"/>
        <v>0</v>
      </c>
      <c r="I84" s="24">
        <f t="shared" si="6"/>
        <v>0</v>
      </c>
      <c r="J84" s="24">
        <f t="shared" si="7"/>
        <v>0</v>
      </c>
      <c r="K84" s="24"/>
      <c r="L84" s="24">
        <f t="shared" si="8"/>
        <v>427.285935</v>
      </c>
      <c r="M84" s="14">
        <f t="shared" si="9"/>
        <v>434.1090271</v>
      </c>
      <c r="N84" s="27">
        <f t="shared" si="10"/>
        <v>-6.823092086</v>
      </c>
      <c r="O84" s="24"/>
      <c r="P84" s="28">
        <f t="shared" si="14"/>
        <v>-175.3945612</v>
      </c>
      <c r="Q84" s="27">
        <f t="shared" si="15"/>
        <v>404.8854847</v>
      </c>
      <c r="R84" s="26"/>
      <c r="S84" s="14">
        <f t="shared" si="13"/>
        <v>-6.265619061</v>
      </c>
    </row>
    <row r="85">
      <c r="A85" s="11">
        <v>73.0</v>
      </c>
      <c r="B85" s="11">
        <v>1.41971304347826E9</v>
      </c>
      <c r="C85" s="2">
        <v>-102.4769211</v>
      </c>
      <c r="D85" s="24">
        <f t="shared" si="1"/>
        <v>-686956.5217</v>
      </c>
      <c r="E85" s="25">
        <f t="shared" si="2"/>
        <v>144.1724927</v>
      </c>
      <c r="F85" s="24">
        <f t="shared" si="3"/>
        <v>0.0002098713502</v>
      </c>
      <c r="G85" s="24">
        <f t="shared" si="4"/>
        <v>0</v>
      </c>
      <c r="H85" s="26">
        <f t="shared" si="5"/>
        <v>0</v>
      </c>
      <c r="I85" s="24">
        <f t="shared" si="6"/>
        <v>0</v>
      </c>
      <c r="J85" s="24">
        <f t="shared" si="7"/>
        <v>0</v>
      </c>
      <c r="K85" s="24"/>
      <c r="L85" s="24">
        <f t="shared" si="8"/>
        <v>429.9461431</v>
      </c>
      <c r="M85" s="14">
        <f t="shared" si="9"/>
        <v>434.0203464</v>
      </c>
      <c r="N85" s="27">
        <f t="shared" si="10"/>
        <v>-4.074203309</v>
      </c>
      <c r="O85" s="24"/>
      <c r="P85" s="28">
        <f t="shared" si="14"/>
        <v>-176.3128574</v>
      </c>
      <c r="Q85" s="27">
        <f t="shared" si="15"/>
        <v>404.5200548</v>
      </c>
      <c r="R85" s="26"/>
      <c r="S85" s="14">
        <f t="shared" si="13"/>
        <v>-3.741325143</v>
      </c>
    </row>
    <row r="86">
      <c r="A86" s="11">
        <v>74.0</v>
      </c>
      <c r="B86" s="11">
        <v>1.41971739130434E9</v>
      </c>
      <c r="C86" s="2">
        <v>-102.3695679</v>
      </c>
      <c r="D86" s="24">
        <f t="shared" si="1"/>
        <v>-682608.6957</v>
      </c>
      <c r="E86" s="25">
        <f t="shared" si="2"/>
        <v>143.2541966</v>
      </c>
      <c r="F86" s="24">
        <f t="shared" si="3"/>
        <v>0.0002098628358</v>
      </c>
      <c r="G86" s="24">
        <f t="shared" si="4"/>
        <v>0</v>
      </c>
      <c r="H86" s="26">
        <f t="shared" si="5"/>
        <v>0</v>
      </c>
      <c r="I86" s="24">
        <f t="shared" si="6"/>
        <v>0</v>
      </c>
      <c r="J86" s="24">
        <f t="shared" si="7"/>
        <v>0</v>
      </c>
      <c r="K86" s="24"/>
      <c r="L86" s="24">
        <f t="shared" si="8"/>
        <v>440.7064202</v>
      </c>
      <c r="M86" s="14">
        <f t="shared" si="9"/>
        <v>433.9318854</v>
      </c>
      <c r="N86" s="27">
        <f t="shared" si="10"/>
        <v>6.774534799</v>
      </c>
      <c r="O86" s="24"/>
      <c r="P86" s="28">
        <f t="shared" si="14"/>
        <v>-177.2311535</v>
      </c>
      <c r="Q86" s="27">
        <f t="shared" si="15"/>
        <v>407.0664197</v>
      </c>
      <c r="R86" s="26"/>
      <c r="S86" s="14">
        <f t="shared" si="13"/>
        <v>6.221029107</v>
      </c>
    </row>
    <row r="87">
      <c r="A87" s="11">
        <v>75.0</v>
      </c>
      <c r="B87" s="11">
        <v>1.41972173913043E9</v>
      </c>
      <c r="C87" s="2">
        <v>-102.4512787</v>
      </c>
      <c r="D87" s="24">
        <f t="shared" si="1"/>
        <v>-678260.8696</v>
      </c>
      <c r="E87" s="25">
        <f t="shared" si="2"/>
        <v>142.3359005</v>
      </c>
      <c r="F87" s="24">
        <f t="shared" si="3"/>
        <v>0.0002098542122</v>
      </c>
      <c r="G87" s="24">
        <f t="shared" si="4"/>
        <v>0</v>
      </c>
      <c r="H87" s="26">
        <f t="shared" si="5"/>
        <v>0</v>
      </c>
      <c r="I87" s="24">
        <f t="shared" si="6"/>
        <v>0</v>
      </c>
      <c r="J87" s="24">
        <f t="shared" si="7"/>
        <v>0</v>
      </c>
      <c r="K87" s="24"/>
      <c r="L87" s="24">
        <f t="shared" si="8"/>
        <v>432.4922179</v>
      </c>
      <c r="M87" s="14">
        <f t="shared" si="9"/>
        <v>433.8436426</v>
      </c>
      <c r="N87" s="27">
        <f t="shared" si="10"/>
        <v>-1.351424671</v>
      </c>
      <c r="O87" s="24"/>
      <c r="P87" s="28">
        <f t="shared" si="14"/>
        <v>-178.1494496</v>
      </c>
      <c r="Q87" s="27">
        <f t="shared" si="15"/>
        <v>403.2571044</v>
      </c>
      <c r="R87" s="26"/>
      <c r="S87" s="14">
        <f t="shared" si="13"/>
        <v>-1.241008047</v>
      </c>
    </row>
    <row r="88">
      <c r="A88" s="11">
        <v>76.0</v>
      </c>
      <c r="B88" s="11">
        <v>1.41972608695652E9</v>
      </c>
      <c r="C88" s="2">
        <v>-102.3442688</v>
      </c>
      <c r="D88" s="24">
        <f t="shared" si="1"/>
        <v>-673913.0435</v>
      </c>
      <c r="E88" s="25">
        <f t="shared" si="2"/>
        <v>141.4176044</v>
      </c>
      <c r="F88" s="24">
        <f t="shared" si="3"/>
        <v>0.0002098454774</v>
      </c>
      <c r="G88" s="24">
        <f t="shared" si="4"/>
        <v>0</v>
      </c>
      <c r="H88" s="26">
        <f t="shared" si="5"/>
        <v>0</v>
      </c>
      <c r="I88" s="24">
        <f t="shared" si="6"/>
        <v>0</v>
      </c>
      <c r="J88" s="24">
        <f t="shared" si="7"/>
        <v>0</v>
      </c>
      <c r="K88" s="24"/>
      <c r="L88" s="24">
        <f t="shared" si="8"/>
        <v>443.281174</v>
      </c>
      <c r="M88" s="14">
        <f t="shared" si="9"/>
        <v>433.7556163</v>
      </c>
      <c r="N88" s="27">
        <f t="shared" si="10"/>
        <v>9.525557733</v>
      </c>
      <c r="O88" s="24"/>
      <c r="P88" s="28">
        <f t="shared" si="14"/>
        <v>-179.0677458</v>
      </c>
      <c r="Q88" s="27">
        <f t="shared" si="15"/>
        <v>399.9553103</v>
      </c>
      <c r="R88" s="26"/>
      <c r="S88" s="14">
        <f t="shared" si="13"/>
        <v>8.747282829</v>
      </c>
    </row>
    <row r="89">
      <c r="A89" s="11">
        <v>77.0</v>
      </c>
      <c r="B89" s="11">
        <v>1.4197304347826E9</v>
      </c>
      <c r="C89" s="2">
        <v>-102.4082336</v>
      </c>
      <c r="D89" s="24">
        <f t="shared" si="1"/>
        <v>-669565.2174</v>
      </c>
      <c r="E89" s="25">
        <f t="shared" si="2"/>
        <v>140.4993082</v>
      </c>
      <c r="F89" s="24">
        <f t="shared" si="3"/>
        <v>0.0002098366292</v>
      </c>
      <c r="G89" s="24">
        <f t="shared" si="4"/>
        <v>0</v>
      </c>
      <c r="H89" s="26">
        <f t="shared" si="5"/>
        <v>0</v>
      </c>
      <c r="I89" s="24">
        <f t="shared" si="6"/>
        <v>0</v>
      </c>
      <c r="J89" s="24">
        <f t="shared" si="7"/>
        <v>0</v>
      </c>
      <c r="K89" s="24"/>
      <c r="L89" s="24">
        <f t="shared" si="8"/>
        <v>436.8001787</v>
      </c>
      <c r="M89" s="14">
        <f t="shared" si="9"/>
        <v>433.6678049</v>
      </c>
      <c r="N89" s="27">
        <f t="shared" si="10"/>
        <v>3.132373844</v>
      </c>
      <c r="O89" s="24"/>
      <c r="P89" s="28">
        <f t="shared" si="14"/>
        <v>-179.9860419</v>
      </c>
      <c r="Q89" s="27">
        <f t="shared" si="15"/>
        <v>402.5224407</v>
      </c>
      <c r="R89" s="26"/>
      <c r="S89" s="14">
        <f t="shared" si="13"/>
        <v>2.876446787</v>
      </c>
    </row>
    <row r="90">
      <c r="A90" s="11">
        <v>78.0</v>
      </c>
      <c r="B90" s="11">
        <v>1.41973478260869E9</v>
      </c>
      <c r="C90" s="2">
        <v>-102.4000626</v>
      </c>
      <c r="D90" s="24">
        <f t="shared" si="1"/>
        <v>-665217.3913</v>
      </c>
      <c r="E90" s="25">
        <f t="shared" si="2"/>
        <v>139.5810121</v>
      </c>
      <c r="F90" s="24">
        <f t="shared" si="3"/>
        <v>0.0002098276652</v>
      </c>
      <c r="G90" s="24">
        <f t="shared" si="4"/>
        <v>0</v>
      </c>
      <c r="H90" s="26">
        <f t="shared" si="5"/>
        <v>0</v>
      </c>
      <c r="I90" s="24">
        <f t="shared" si="6"/>
        <v>0</v>
      </c>
      <c r="J90" s="24">
        <f t="shared" si="7"/>
        <v>0</v>
      </c>
      <c r="K90" s="24"/>
      <c r="L90" s="24">
        <f t="shared" si="8"/>
        <v>437.6227666</v>
      </c>
      <c r="M90" s="14">
        <f t="shared" si="9"/>
        <v>433.5802067</v>
      </c>
      <c r="N90" s="27">
        <f t="shared" si="10"/>
        <v>4.04255992</v>
      </c>
      <c r="O90" s="24"/>
      <c r="P90" s="28">
        <f t="shared" si="14"/>
        <v>-180.904338</v>
      </c>
      <c r="Q90" s="27">
        <f t="shared" si="15"/>
        <v>409.2598186</v>
      </c>
      <c r="R90" s="26"/>
      <c r="S90" s="14">
        <f t="shared" si="13"/>
        <v>3.712267141</v>
      </c>
    </row>
    <row r="91">
      <c r="A91" s="11">
        <v>79.0</v>
      </c>
      <c r="B91" s="11">
        <v>1.41973913043478E9</v>
      </c>
      <c r="C91" s="2">
        <v>-102.4434662</v>
      </c>
      <c r="D91" s="24">
        <f t="shared" si="1"/>
        <v>-660869.5652</v>
      </c>
      <c r="E91" s="25">
        <f t="shared" si="2"/>
        <v>138.662716</v>
      </c>
      <c r="F91" s="24">
        <f t="shared" si="3"/>
        <v>0.0002098185833</v>
      </c>
      <c r="G91" s="24">
        <f t="shared" si="4"/>
        <v>0</v>
      </c>
      <c r="H91" s="26">
        <f t="shared" si="5"/>
        <v>0</v>
      </c>
      <c r="I91" s="24">
        <f t="shared" si="6"/>
        <v>0</v>
      </c>
      <c r="J91" s="24">
        <f t="shared" si="7"/>
        <v>0</v>
      </c>
      <c r="K91" s="24"/>
      <c r="L91" s="24">
        <f t="shared" si="8"/>
        <v>433.2709261</v>
      </c>
      <c r="M91" s="14">
        <f t="shared" si="9"/>
        <v>433.4928202</v>
      </c>
      <c r="N91" s="27">
        <f t="shared" si="10"/>
        <v>-0.2218941096</v>
      </c>
      <c r="O91" s="24"/>
      <c r="P91" s="28">
        <f t="shared" si="14"/>
        <v>-181.8226342</v>
      </c>
      <c r="Q91" s="27">
        <f t="shared" si="15"/>
        <v>405.1736534</v>
      </c>
      <c r="R91" s="26"/>
      <c r="S91" s="14">
        <f t="shared" si="13"/>
        <v>-0.2037645022</v>
      </c>
    </row>
    <row r="92">
      <c r="A92" s="11">
        <v>80.0</v>
      </c>
      <c r="B92" s="11">
        <v>1.41974347826087E9</v>
      </c>
      <c r="C92" s="2">
        <v>-102.4466553</v>
      </c>
      <c r="D92" s="24">
        <f t="shared" si="1"/>
        <v>-656521.7391</v>
      </c>
      <c r="E92" s="25">
        <f t="shared" si="2"/>
        <v>137.7444198</v>
      </c>
      <c r="F92" s="24">
        <f t="shared" si="3"/>
        <v>0.0002098093812</v>
      </c>
      <c r="G92" s="24">
        <f t="shared" si="4"/>
        <v>0</v>
      </c>
      <c r="H92" s="26">
        <f t="shared" si="5"/>
        <v>0</v>
      </c>
      <c r="I92" s="24">
        <f t="shared" si="6"/>
        <v>0</v>
      </c>
      <c r="J92" s="24">
        <f t="shared" si="7"/>
        <v>0</v>
      </c>
      <c r="K92" s="24"/>
      <c r="L92" s="24">
        <f t="shared" si="8"/>
        <v>432.9528845</v>
      </c>
      <c r="M92" s="14">
        <f t="shared" si="9"/>
        <v>433.4056436</v>
      </c>
      <c r="N92" s="27">
        <f t="shared" si="10"/>
        <v>-0.452759186</v>
      </c>
      <c r="O92" s="24"/>
      <c r="P92" s="28">
        <f t="shared" si="14"/>
        <v>-182.7409303</v>
      </c>
      <c r="Q92" s="27">
        <f t="shared" si="15"/>
        <v>403.3520396</v>
      </c>
      <c r="R92" s="26"/>
      <c r="S92" s="14">
        <f t="shared" si="13"/>
        <v>-0.4157670096</v>
      </c>
    </row>
    <row r="93">
      <c r="A93" s="11">
        <v>81.0</v>
      </c>
      <c r="B93" s="11">
        <v>1.41974782608695E9</v>
      </c>
      <c r="C93" s="2">
        <v>-102.4583588</v>
      </c>
      <c r="D93" s="24">
        <f t="shared" si="1"/>
        <v>-652173.913</v>
      </c>
      <c r="E93" s="25">
        <f t="shared" si="2"/>
        <v>136.8261237</v>
      </c>
      <c r="F93" s="24">
        <f t="shared" si="3"/>
        <v>0.0002098000563</v>
      </c>
      <c r="G93" s="24">
        <f t="shared" si="4"/>
        <v>0</v>
      </c>
      <c r="H93" s="26">
        <f t="shared" si="5"/>
        <v>0</v>
      </c>
      <c r="I93" s="24">
        <f t="shared" si="6"/>
        <v>0</v>
      </c>
      <c r="J93" s="24">
        <f t="shared" si="7"/>
        <v>0</v>
      </c>
      <c r="K93" s="24"/>
      <c r="L93" s="24">
        <f t="shared" si="8"/>
        <v>431.7877205</v>
      </c>
      <c r="M93" s="14">
        <f t="shared" si="9"/>
        <v>433.3186755</v>
      </c>
      <c r="N93" s="27">
        <f t="shared" si="10"/>
        <v>-1.530955007</v>
      </c>
      <c r="O93" s="24"/>
      <c r="P93" s="28">
        <f t="shared" si="14"/>
        <v>-183.6592264</v>
      </c>
      <c r="Q93" s="27">
        <f t="shared" si="15"/>
        <v>402.9547294</v>
      </c>
      <c r="R93" s="26"/>
      <c r="S93" s="14">
        <f t="shared" si="13"/>
        <v>-1.405870062</v>
      </c>
    </row>
    <row r="94">
      <c r="A94" s="11">
        <v>82.0</v>
      </c>
      <c r="B94" s="11">
        <v>1.41975217391304E9</v>
      </c>
      <c r="C94" s="2">
        <v>-102.4259109</v>
      </c>
      <c r="D94" s="24">
        <f t="shared" si="1"/>
        <v>-647826.087</v>
      </c>
      <c r="E94" s="25">
        <f t="shared" si="2"/>
        <v>135.9078276</v>
      </c>
      <c r="F94" s="24">
        <f t="shared" si="3"/>
        <v>0.0002097906063</v>
      </c>
      <c r="G94" s="24">
        <f t="shared" si="4"/>
        <v>0</v>
      </c>
      <c r="H94" s="26">
        <f t="shared" si="5"/>
        <v>0</v>
      </c>
      <c r="I94" s="24">
        <f t="shared" si="6"/>
        <v>0</v>
      </c>
      <c r="J94" s="24">
        <f t="shared" si="7"/>
        <v>0</v>
      </c>
      <c r="K94" s="24"/>
      <c r="L94" s="24">
        <f t="shared" si="8"/>
        <v>435.0258631</v>
      </c>
      <c r="M94" s="14">
        <f t="shared" si="9"/>
        <v>433.2319141</v>
      </c>
      <c r="N94" s="27">
        <f t="shared" si="10"/>
        <v>1.793949013</v>
      </c>
      <c r="O94" s="24"/>
      <c r="P94" s="28">
        <f t="shared" si="14"/>
        <v>-184.5775226</v>
      </c>
      <c r="Q94" s="27">
        <f t="shared" si="15"/>
        <v>406.2791334</v>
      </c>
      <c r="R94" s="26"/>
      <c r="S94" s="14">
        <f t="shared" si="13"/>
        <v>1.647376437</v>
      </c>
    </row>
    <row r="95">
      <c r="A95" s="11">
        <v>83.0</v>
      </c>
      <c r="B95" s="11">
        <v>1.41975652173913E9</v>
      </c>
      <c r="C95" s="2">
        <v>-102.3651352</v>
      </c>
      <c r="D95" s="24">
        <f t="shared" si="1"/>
        <v>-643478.2609</v>
      </c>
      <c r="E95" s="25">
        <f t="shared" si="2"/>
        <v>134.9895314</v>
      </c>
      <c r="F95" s="24">
        <f t="shared" si="3"/>
        <v>0.0002097810286</v>
      </c>
      <c r="G95" s="24">
        <f t="shared" si="4"/>
        <v>0</v>
      </c>
      <c r="H95" s="26">
        <f t="shared" si="5"/>
        <v>0</v>
      </c>
      <c r="I95" s="24">
        <f t="shared" si="6"/>
        <v>0</v>
      </c>
      <c r="J95" s="24">
        <f t="shared" si="7"/>
        <v>0</v>
      </c>
      <c r="K95" s="24"/>
      <c r="L95" s="24">
        <f t="shared" si="8"/>
        <v>441.1564643</v>
      </c>
      <c r="M95" s="14">
        <f t="shared" si="9"/>
        <v>433.1453579</v>
      </c>
      <c r="N95" s="27">
        <f t="shared" si="10"/>
        <v>8.011106432</v>
      </c>
      <c r="O95" s="24"/>
      <c r="P95" s="28">
        <f t="shared" si="14"/>
        <v>-185.4958187</v>
      </c>
      <c r="Q95" s="27">
        <f t="shared" si="15"/>
        <v>408.1017785</v>
      </c>
      <c r="R95" s="26"/>
      <c r="S95" s="14">
        <f t="shared" si="13"/>
        <v>7.356568056</v>
      </c>
    </row>
    <row r="96">
      <c r="A96" s="11">
        <v>84.0</v>
      </c>
      <c r="B96" s="11">
        <v>1.41976086956521E9</v>
      </c>
      <c r="C96" s="2">
        <v>-102.4855728</v>
      </c>
      <c r="D96" s="24">
        <f t="shared" si="1"/>
        <v>-639130.4348</v>
      </c>
      <c r="E96" s="25">
        <f t="shared" si="2"/>
        <v>134.0712353</v>
      </c>
      <c r="F96" s="24">
        <f t="shared" si="3"/>
        <v>0.0002097713205</v>
      </c>
      <c r="G96" s="24">
        <f t="shared" si="4"/>
        <v>0</v>
      </c>
      <c r="H96" s="26">
        <f t="shared" si="5"/>
        <v>0</v>
      </c>
      <c r="I96" s="24">
        <f t="shared" si="6"/>
        <v>0</v>
      </c>
      <c r="J96" s="24">
        <f t="shared" si="7"/>
        <v>0</v>
      </c>
      <c r="K96" s="24"/>
      <c r="L96" s="24">
        <f t="shared" si="8"/>
        <v>429.0904881</v>
      </c>
      <c r="M96" s="14">
        <f t="shared" si="9"/>
        <v>433.0590052</v>
      </c>
      <c r="N96" s="27">
        <f t="shared" si="10"/>
        <v>-3.96851706</v>
      </c>
      <c r="O96" s="24"/>
      <c r="P96" s="28">
        <f t="shared" si="14"/>
        <v>-186.4141148</v>
      </c>
      <c r="Q96" s="27">
        <f t="shared" si="15"/>
        <v>409.5482244</v>
      </c>
      <c r="R96" s="26"/>
      <c r="S96" s="14">
        <f t="shared" si="13"/>
        <v>-3.644273869</v>
      </c>
    </row>
    <row r="97">
      <c r="A97" s="11">
        <v>85.0</v>
      </c>
      <c r="B97" s="11">
        <v>1.4197652173913E9</v>
      </c>
      <c r="C97" s="2">
        <v>-102.4410934</v>
      </c>
      <c r="D97" s="24">
        <f t="shared" si="1"/>
        <v>-634782.6087</v>
      </c>
      <c r="E97" s="25">
        <f t="shared" si="2"/>
        <v>133.1529392</v>
      </c>
      <c r="F97" s="24">
        <f t="shared" si="3"/>
        <v>0.0002097614795</v>
      </c>
      <c r="G97" s="24">
        <f t="shared" si="4"/>
        <v>0</v>
      </c>
      <c r="H97" s="26">
        <f t="shared" si="5"/>
        <v>0</v>
      </c>
      <c r="I97" s="24">
        <f t="shared" si="6"/>
        <v>0</v>
      </c>
      <c r="J97" s="24">
        <f t="shared" si="7"/>
        <v>0</v>
      </c>
      <c r="K97" s="24"/>
      <c r="L97" s="24">
        <f t="shared" si="8"/>
        <v>433.5077115</v>
      </c>
      <c r="M97" s="14">
        <f t="shared" si="9"/>
        <v>432.9728543</v>
      </c>
      <c r="N97" s="27">
        <f t="shared" si="10"/>
        <v>0.534857183</v>
      </c>
      <c r="O97" s="24"/>
      <c r="P97" s="28">
        <f t="shared" si="14"/>
        <v>-187.332411</v>
      </c>
      <c r="Q97" s="27">
        <f t="shared" si="15"/>
        <v>401.3185989</v>
      </c>
      <c r="R97" s="26"/>
      <c r="S97" s="14">
        <f t="shared" si="13"/>
        <v>0.4911572815</v>
      </c>
    </row>
    <row r="98">
      <c r="A98" s="11">
        <v>86.0</v>
      </c>
      <c r="B98" s="11">
        <v>1.41976956521739E9</v>
      </c>
      <c r="C98" s="2">
        <v>-102.4382629</v>
      </c>
      <c r="D98" s="24">
        <f t="shared" si="1"/>
        <v>-630434.7826</v>
      </c>
      <c r="E98" s="25">
        <f t="shared" si="2"/>
        <v>132.234643</v>
      </c>
      <c r="F98" s="24">
        <f t="shared" si="3"/>
        <v>0.0002097515027</v>
      </c>
      <c r="G98" s="24">
        <f t="shared" si="4"/>
        <v>0</v>
      </c>
      <c r="H98" s="26">
        <f t="shared" si="5"/>
        <v>0</v>
      </c>
      <c r="I98" s="24">
        <f t="shared" si="6"/>
        <v>0</v>
      </c>
      <c r="J98" s="24">
        <f t="shared" si="7"/>
        <v>0</v>
      </c>
      <c r="K98" s="24"/>
      <c r="L98" s="24">
        <f t="shared" si="8"/>
        <v>433.7903408</v>
      </c>
      <c r="M98" s="14">
        <f t="shared" si="9"/>
        <v>432.8869037</v>
      </c>
      <c r="N98" s="27">
        <f t="shared" si="10"/>
        <v>0.9034370771</v>
      </c>
      <c r="O98" s="24"/>
      <c r="P98" s="28">
        <f t="shared" si="14"/>
        <v>-188.2507071</v>
      </c>
      <c r="Q98" s="27">
        <f t="shared" si="15"/>
        <v>401.1296988</v>
      </c>
      <c r="R98" s="26"/>
      <c r="S98" s="14">
        <f t="shared" si="13"/>
        <v>0.8296227741</v>
      </c>
    </row>
    <row r="99">
      <c r="A99" s="11">
        <v>87.0</v>
      </c>
      <c r="B99" s="11">
        <v>1.41977391304347E9</v>
      </c>
      <c r="C99" s="2">
        <v>-102.4189758</v>
      </c>
      <c r="D99" s="24">
        <f t="shared" si="1"/>
        <v>-626086.9565</v>
      </c>
      <c r="E99" s="25">
        <f t="shared" si="2"/>
        <v>131.3163469</v>
      </c>
      <c r="F99" s="24">
        <f t="shared" si="3"/>
        <v>0.0002097413874</v>
      </c>
      <c r="G99" s="24">
        <f t="shared" si="4"/>
        <v>0</v>
      </c>
      <c r="H99" s="26">
        <f t="shared" si="5"/>
        <v>0</v>
      </c>
      <c r="I99" s="24">
        <f t="shared" si="6"/>
        <v>0</v>
      </c>
      <c r="J99" s="24">
        <f t="shared" si="7"/>
        <v>0</v>
      </c>
      <c r="K99" s="24"/>
      <c r="L99" s="24">
        <f t="shared" si="8"/>
        <v>435.721096</v>
      </c>
      <c r="M99" s="14">
        <f t="shared" si="9"/>
        <v>432.8011518</v>
      </c>
      <c r="N99" s="27">
        <f t="shared" si="10"/>
        <v>2.919944205</v>
      </c>
      <c r="O99" s="24"/>
      <c r="P99" s="28">
        <f t="shared" si="14"/>
        <v>-189.1690032</v>
      </c>
      <c r="Q99" s="27">
        <f t="shared" si="15"/>
        <v>399.0359439</v>
      </c>
      <c r="R99" s="26"/>
      <c r="S99" s="14">
        <f t="shared" si="13"/>
        <v>2.681373471</v>
      </c>
    </row>
    <row r="100">
      <c r="A100" s="11">
        <v>88.0</v>
      </c>
      <c r="B100" s="11">
        <v>1.41977826086956E9</v>
      </c>
      <c r="C100" s="2">
        <v>-102.3899689</v>
      </c>
      <c r="D100" s="24">
        <f t="shared" si="1"/>
        <v>-621739.1304</v>
      </c>
      <c r="E100" s="25">
        <f t="shared" si="2"/>
        <v>130.3980508</v>
      </c>
      <c r="F100" s="24">
        <f t="shared" si="3"/>
        <v>0.0002097311306</v>
      </c>
      <c r="G100" s="24">
        <f t="shared" si="4"/>
        <v>0</v>
      </c>
      <c r="H100" s="26">
        <f t="shared" si="5"/>
        <v>0</v>
      </c>
      <c r="I100" s="24">
        <f t="shared" si="6"/>
        <v>0</v>
      </c>
      <c r="J100" s="24">
        <f t="shared" si="7"/>
        <v>0</v>
      </c>
      <c r="K100" s="24"/>
      <c r="L100" s="24">
        <f t="shared" si="8"/>
        <v>438.641055</v>
      </c>
      <c r="M100" s="14">
        <f t="shared" si="9"/>
        <v>432.7155969</v>
      </c>
      <c r="N100" s="27">
        <f t="shared" si="10"/>
        <v>5.925458083</v>
      </c>
      <c r="O100" s="24"/>
      <c r="P100" s="28">
        <f t="shared" si="14"/>
        <v>-190.0872994</v>
      </c>
      <c r="Q100" s="27">
        <f t="shared" si="15"/>
        <v>407.918289</v>
      </c>
      <c r="R100" s="26"/>
      <c r="S100" s="14">
        <f t="shared" si="13"/>
        <v>5.44132523</v>
      </c>
    </row>
    <row r="101">
      <c r="A101" s="11">
        <v>89.0</v>
      </c>
      <c r="B101" s="11">
        <v>1.41978260869565E9</v>
      </c>
      <c r="C101" s="2">
        <v>-102.469986</v>
      </c>
      <c r="D101" s="24">
        <f t="shared" si="1"/>
        <v>-617391.3043</v>
      </c>
      <c r="E101" s="25">
        <f t="shared" si="2"/>
        <v>129.4797546</v>
      </c>
      <c r="F101" s="24">
        <f t="shared" si="3"/>
        <v>0.0002097207293</v>
      </c>
      <c r="G101" s="24">
        <f t="shared" si="4"/>
        <v>0</v>
      </c>
      <c r="H101" s="26">
        <f t="shared" si="5"/>
        <v>0</v>
      </c>
      <c r="I101" s="24">
        <f t="shared" si="6"/>
        <v>0</v>
      </c>
      <c r="J101" s="24">
        <f t="shared" si="7"/>
        <v>0</v>
      </c>
      <c r="K101" s="24"/>
      <c r="L101" s="24">
        <f t="shared" si="8"/>
        <v>430.6332578</v>
      </c>
      <c r="M101" s="14">
        <f t="shared" si="9"/>
        <v>432.6302373</v>
      </c>
      <c r="N101" s="27">
        <f t="shared" si="10"/>
        <v>-1.996979493</v>
      </c>
      <c r="O101" s="24"/>
      <c r="P101" s="28">
        <f t="shared" si="14"/>
        <v>-191.0055955</v>
      </c>
      <c r="Q101" s="27">
        <f t="shared" si="15"/>
        <v>403.3300752</v>
      </c>
      <c r="R101" s="26"/>
      <c r="S101" s="14">
        <f t="shared" si="13"/>
        <v>-1.833818546</v>
      </c>
    </row>
    <row r="102">
      <c r="A102" s="11">
        <v>90.0</v>
      </c>
      <c r="B102" s="11">
        <v>1.41978695652173E9</v>
      </c>
      <c r="C102" s="2">
        <v>-102.4417343</v>
      </c>
      <c r="D102" s="24">
        <f t="shared" si="1"/>
        <v>-613043.4783</v>
      </c>
      <c r="E102" s="25">
        <f t="shared" si="2"/>
        <v>128.5614585</v>
      </c>
      <c r="F102" s="24">
        <f t="shared" si="3"/>
        <v>0.0002097101805</v>
      </c>
      <c r="G102" s="24">
        <f t="shared" si="4"/>
        <v>0</v>
      </c>
      <c r="H102" s="26">
        <f t="shared" si="5"/>
        <v>0</v>
      </c>
      <c r="I102" s="24">
        <f t="shared" si="6"/>
        <v>0</v>
      </c>
      <c r="J102" s="24">
        <f t="shared" si="7"/>
        <v>0</v>
      </c>
      <c r="K102" s="24"/>
      <c r="L102" s="24">
        <f t="shared" si="8"/>
        <v>433.4437423</v>
      </c>
      <c r="M102" s="14">
        <f t="shared" si="9"/>
        <v>432.5450716</v>
      </c>
      <c r="N102" s="27">
        <f t="shared" si="10"/>
        <v>0.8986707725</v>
      </c>
      <c r="O102" s="24"/>
      <c r="P102" s="28">
        <f t="shared" si="14"/>
        <v>-191.9238916</v>
      </c>
      <c r="Q102" s="27">
        <f t="shared" si="15"/>
        <v>401.6634992</v>
      </c>
      <c r="R102" s="26"/>
      <c r="S102" s="14">
        <f t="shared" si="13"/>
        <v>0.825245895</v>
      </c>
    </row>
    <row r="103">
      <c r="A103" s="11">
        <v>91.0</v>
      </c>
      <c r="B103" s="11">
        <v>1.41979130434782E9</v>
      </c>
      <c r="C103" s="2">
        <v>-102.4430389</v>
      </c>
      <c r="D103" s="24">
        <f t="shared" si="1"/>
        <v>-608695.6522</v>
      </c>
      <c r="E103" s="25">
        <f t="shared" si="2"/>
        <v>127.6431624</v>
      </c>
      <c r="F103" s="24">
        <f t="shared" si="3"/>
        <v>0.000209699481</v>
      </c>
      <c r="G103" s="24">
        <f t="shared" si="4"/>
        <v>0</v>
      </c>
      <c r="H103" s="26">
        <f t="shared" si="5"/>
        <v>0</v>
      </c>
      <c r="I103" s="24">
        <f t="shared" si="6"/>
        <v>0</v>
      </c>
      <c r="J103" s="24">
        <f t="shared" si="7"/>
        <v>0</v>
      </c>
      <c r="K103" s="24"/>
      <c r="L103" s="24">
        <f t="shared" si="8"/>
        <v>433.3135574</v>
      </c>
      <c r="M103" s="14">
        <f t="shared" si="9"/>
        <v>432.4600979</v>
      </c>
      <c r="N103" s="27">
        <f t="shared" si="10"/>
        <v>0.8534595239</v>
      </c>
      <c r="O103" s="24"/>
      <c r="P103" s="28">
        <f t="shared" si="14"/>
        <v>-192.8421877</v>
      </c>
      <c r="Q103" s="27">
        <f t="shared" si="15"/>
        <v>399.7930383</v>
      </c>
      <c r="R103" s="26"/>
      <c r="S103" s="14">
        <f t="shared" si="13"/>
        <v>0.7837285803</v>
      </c>
    </row>
    <row r="104">
      <c r="A104" s="11">
        <v>92.0</v>
      </c>
      <c r="B104" s="11">
        <v>1.41979565217391E9</v>
      </c>
      <c r="C104" s="2">
        <v>-102.4500198</v>
      </c>
      <c r="D104" s="24">
        <f t="shared" si="1"/>
        <v>-604347.8261</v>
      </c>
      <c r="E104" s="25">
        <f t="shared" si="2"/>
        <v>126.7248662</v>
      </c>
      <c r="F104" s="24">
        <f t="shared" si="3"/>
        <v>0.0002096886276</v>
      </c>
      <c r="G104" s="24">
        <f t="shared" si="4"/>
        <v>0</v>
      </c>
      <c r="H104" s="26">
        <f t="shared" si="5"/>
        <v>0</v>
      </c>
      <c r="I104" s="24">
        <f t="shared" si="6"/>
        <v>0</v>
      </c>
      <c r="J104" s="24">
        <f t="shared" si="7"/>
        <v>0</v>
      </c>
      <c r="K104" s="24"/>
      <c r="L104" s="24">
        <f t="shared" si="8"/>
        <v>432.6176037</v>
      </c>
      <c r="M104" s="14">
        <f t="shared" si="9"/>
        <v>432.3753148</v>
      </c>
      <c r="N104" s="27">
        <f t="shared" si="10"/>
        <v>0.2422888906</v>
      </c>
      <c r="O104" s="24"/>
      <c r="P104" s="28">
        <f t="shared" si="14"/>
        <v>-193.7604839</v>
      </c>
      <c r="Q104" s="27">
        <f t="shared" si="15"/>
        <v>403.8235268</v>
      </c>
      <c r="R104" s="26"/>
      <c r="S104" s="14">
        <f t="shared" si="13"/>
        <v>0.2224929507</v>
      </c>
    </row>
    <row r="105">
      <c r="A105" s="11">
        <v>93.0</v>
      </c>
      <c r="B105" s="11">
        <v>1.4198E9</v>
      </c>
      <c r="C105" s="2">
        <v>-102.4437637</v>
      </c>
      <c r="D105" s="24">
        <f t="shared" si="1"/>
        <v>-600000</v>
      </c>
      <c r="E105" s="25">
        <f t="shared" si="2"/>
        <v>125.8065701</v>
      </c>
      <c r="F105" s="24">
        <f t="shared" si="3"/>
        <v>0.0002096776168</v>
      </c>
      <c r="G105" s="24">
        <f t="shared" si="4"/>
        <v>0</v>
      </c>
      <c r="H105" s="26">
        <f t="shared" si="5"/>
        <v>0</v>
      </c>
      <c r="I105" s="24">
        <f t="shared" si="6"/>
        <v>0</v>
      </c>
      <c r="J105" s="24">
        <f t="shared" si="7"/>
        <v>0</v>
      </c>
      <c r="K105" s="24"/>
      <c r="L105" s="24">
        <f t="shared" si="8"/>
        <v>433.2412472</v>
      </c>
      <c r="M105" s="14">
        <f t="shared" si="9"/>
        <v>432.2907206</v>
      </c>
      <c r="N105" s="27">
        <f t="shared" si="10"/>
        <v>0.9505266277</v>
      </c>
      <c r="O105" s="24"/>
      <c r="P105" s="28">
        <f t="shared" si="14"/>
        <v>-194.67878</v>
      </c>
      <c r="Q105" s="27">
        <f t="shared" si="15"/>
        <v>404.7901886</v>
      </c>
      <c r="R105" s="26"/>
      <c r="S105" s="14">
        <f t="shared" si="13"/>
        <v>0.8728649263</v>
      </c>
    </row>
    <row r="106">
      <c r="A106" s="11">
        <v>94.0</v>
      </c>
      <c r="B106" s="11">
        <v>1.41980434782608E9</v>
      </c>
      <c r="C106" s="2">
        <v>-102.4662781</v>
      </c>
      <c r="D106" s="24">
        <f t="shared" si="1"/>
        <v>-595652.1739</v>
      </c>
      <c r="E106" s="25">
        <f t="shared" si="2"/>
        <v>124.888274</v>
      </c>
      <c r="F106" s="24">
        <f t="shared" si="3"/>
        <v>0.0002096664454</v>
      </c>
      <c r="G106" s="24">
        <f t="shared" si="4"/>
        <v>0</v>
      </c>
      <c r="H106" s="26">
        <f t="shared" si="5"/>
        <v>0</v>
      </c>
      <c r="I106" s="24">
        <f t="shared" si="6"/>
        <v>0</v>
      </c>
      <c r="J106" s="24">
        <f t="shared" si="7"/>
        <v>0</v>
      </c>
      <c r="K106" s="24"/>
      <c r="L106" s="24">
        <f t="shared" si="8"/>
        <v>431.001079</v>
      </c>
      <c r="M106" s="14">
        <f t="shared" si="9"/>
        <v>432.2063136</v>
      </c>
      <c r="N106" s="27">
        <f t="shared" si="10"/>
        <v>-1.20523461</v>
      </c>
      <c r="O106" s="24"/>
      <c r="P106" s="28">
        <f t="shared" si="14"/>
        <v>-195.5970761</v>
      </c>
      <c r="Q106" s="27">
        <f t="shared" si="15"/>
        <v>401.3700637</v>
      </c>
      <c r="R106" s="26"/>
      <c r="S106" s="14">
        <f t="shared" si="13"/>
        <v>-1.106762282</v>
      </c>
    </row>
    <row r="107">
      <c r="A107" s="11">
        <v>95.0</v>
      </c>
      <c r="B107" s="11">
        <v>1.41980869565217E9</v>
      </c>
      <c r="C107" s="2">
        <v>-102.4606781</v>
      </c>
      <c r="D107" s="24">
        <f t="shared" si="1"/>
        <v>-591304.3478</v>
      </c>
      <c r="E107" s="25">
        <f t="shared" si="2"/>
        <v>123.9699778</v>
      </c>
      <c r="F107" s="24">
        <f t="shared" si="3"/>
        <v>0.0002096551096</v>
      </c>
      <c r="G107" s="24">
        <f t="shared" si="4"/>
        <v>0</v>
      </c>
      <c r="H107" s="26">
        <f t="shared" si="5"/>
        <v>0</v>
      </c>
      <c r="I107" s="24">
        <f t="shared" si="6"/>
        <v>0</v>
      </c>
      <c r="J107" s="24">
        <f t="shared" si="7"/>
        <v>0</v>
      </c>
      <c r="K107" s="24"/>
      <c r="L107" s="24">
        <f t="shared" si="8"/>
        <v>431.5571908</v>
      </c>
      <c r="M107" s="14">
        <f t="shared" si="9"/>
        <v>432.1220922</v>
      </c>
      <c r="N107" s="27">
        <f t="shared" si="10"/>
        <v>-0.5649014861</v>
      </c>
      <c r="O107" s="24"/>
      <c r="P107" s="28">
        <f t="shared" si="14"/>
        <v>-196.5153723</v>
      </c>
      <c r="Q107" s="27">
        <f t="shared" si="15"/>
        <v>399.359939</v>
      </c>
      <c r="R107" s="26"/>
      <c r="S107" s="14">
        <f t="shared" si="13"/>
        <v>-0.5187468489</v>
      </c>
    </row>
    <row r="108">
      <c r="A108" s="11">
        <v>96.0</v>
      </c>
      <c r="B108" s="11">
        <v>1.41981304347826E9</v>
      </c>
      <c r="C108" s="2">
        <v>-102.4232025</v>
      </c>
      <c r="D108" s="24">
        <f t="shared" si="1"/>
        <v>-586956.5217</v>
      </c>
      <c r="E108" s="25">
        <f t="shared" si="2"/>
        <v>123.0516817</v>
      </c>
      <c r="F108" s="24">
        <f t="shared" si="3"/>
        <v>0.0002096436059</v>
      </c>
      <c r="G108" s="24">
        <f t="shared" si="4"/>
        <v>0</v>
      </c>
      <c r="H108" s="26">
        <f t="shared" si="5"/>
        <v>0</v>
      </c>
      <c r="I108" s="24">
        <f t="shared" si="6"/>
        <v>0</v>
      </c>
      <c r="J108" s="24">
        <f t="shared" si="7"/>
        <v>0</v>
      </c>
      <c r="K108" s="24"/>
      <c r="L108" s="24">
        <f t="shared" si="8"/>
        <v>435.2972439</v>
      </c>
      <c r="M108" s="14">
        <f t="shared" si="9"/>
        <v>432.0380549</v>
      </c>
      <c r="N108" s="27">
        <f t="shared" si="10"/>
        <v>3.259188934</v>
      </c>
      <c r="O108" s="24"/>
      <c r="P108" s="28">
        <f t="shared" si="14"/>
        <v>-197.4336684</v>
      </c>
      <c r="Q108" s="27">
        <f t="shared" si="15"/>
        <v>404.419872</v>
      </c>
      <c r="R108" s="26"/>
      <c r="S108" s="14">
        <f t="shared" si="13"/>
        <v>2.992900594</v>
      </c>
    </row>
    <row r="109">
      <c r="A109" s="11">
        <v>97.0</v>
      </c>
      <c r="B109" s="11">
        <v>1.41981739130434E9</v>
      </c>
      <c r="C109" s="2">
        <v>-102.4224091</v>
      </c>
      <c r="D109" s="24">
        <f t="shared" si="1"/>
        <v>-582608.6957</v>
      </c>
      <c r="E109" s="25">
        <f t="shared" si="2"/>
        <v>122.1333856</v>
      </c>
      <c r="F109" s="24">
        <f t="shared" si="3"/>
        <v>0.0002096319305</v>
      </c>
      <c r="G109" s="24">
        <f t="shared" si="4"/>
        <v>0</v>
      </c>
      <c r="H109" s="26">
        <f t="shared" si="5"/>
        <v>0</v>
      </c>
      <c r="I109" s="24">
        <f t="shared" si="6"/>
        <v>0</v>
      </c>
      <c r="J109" s="24">
        <f t="shared" si="7"/>
        <v>0</v>
      </c>
      <c r="K109" s="24"/>
      <c r="L109" s="24">
        <f t="shared" si="8"/>
        <v>435.3767743</v>
      </c>
      <c r="M109" s="14">
        <f t="shared" si="9"/>
        <v>431.9542</v>
      </c>
      <c r="N109" s="27">
        <f t="shared" si="10"/>
        <v>3.422574319</v>
      </c>
      <c r="O109" s="24"/>
      <c r="P109" s="28">
        <f t="shared" si="14"/>
        <v>-198.3519645</v>
      </c>
      <c r="Q109" s="27">
        <f t="shared" si="15"/>
        <v>404.0250451</v>
      </c>
      <c r="R109" s="26"/>
      <c r="S109" s="14">
        <f t="shared" si="13"/>
        <v>3.142936762</v>
      </c>
    </row>
    <row r="110">
      <c r="A110" s="11">
        <v>98.0</v>
      </c>
      <c r="B110" s="11">
        <v>1.41982173913043E9</v>
      </c>
      <c r="C110" s="2">
        <v>-102.4561768</v>
      </c>
      <c r="D110" s="24">
        <f t="shared" si="1"/>
        <v>-578260.8696</v>
      </c>
      <c r="E110" s="25">
        <f t="shared" si="2"/>
        <v>121.2150894</v>
      </c>
      <c r="F110" s="24">
        <f t="shared" si="3"/>
        <v>0.0002096200795</v>
      </c>
      <c r="G110" s="24">
        <f t="shared" si="4"/>
        <v>0</v>
      </c>
      <c r="H110" s="26">
        <f t="shared" si="5"/>
        <v>0</v>
      </c>
      <c r="I110" s="24">
        <f t="shared" si="6"/>
        <v>0</v>
      </c>
      <c r="J110" s="24">
        <f t="shared" si="7"/>
        <v>0</v>
      </c>
      <c r="K110" s="24"/>
      <c r="L110" s="24">
        <f t="shared" si="8"/>
        <v>432.0047155</v>
      </c>
      <c r="M110" s="14">
        <f t="shared" si="9"/>
        <v>431.8705258</v>
      </c>
      <c r="N110" s="27">
        <f t="shared" si="10"/>
        <v>0.1341897088</v>
      </c>
      <c r="O110" s="24"/>
      <c r="P110" s="28">
        <f t="shared" si="14"/>
        <v>-199.2702607</v>
      </c>
      <c r="Q110" s="27">
        <f t="shared" si="15"/>
        <v>401.0585297</v>
      </c>
      <c r="R110" s="26"/>
      <c r="S110" s="14">
        <f t="shared" si="13"/>
        <v>0.1232258903</v>
      </c>
    </row>
    <row r="111">
      <c r="A111" s="11">
        <v>99.0</v>
      </c>
      <c r="B111" s="11">
        <v>1.41982608695652E9</v>
      </c>
      <c r="C111" s="2">
        <v>-102.4386139</v>
      </c>
      <c r="D111" s="24">
        <f t="shared" si="1"/>
        <v>-573913.0435</v>
      </c>
      <c r="E111" s="25">
        <f t="shared" si="2"/>
        <v>120.2967933</v>
      </c>
      <c r="F111" s="24">
        <f t="shared" si="3"/>
        <v>0.000209608049</v>
      </c>
      <c r="G111" s="24">
        <f t="shared" si="4"/>
        <v>0</v>
      </c>
      <c r="H111" s="26">
        <f t="shared" si="5"/>
        <v>0</v>
      </c>
      <c r="I111" s="24">
        <f t="shared" si="6"/>
        <v>0</v>
      </c>
      <c r="J111" s="24">
        <f t="shared" si="7"/>
        <v>0</v>
      </c>
      <c r="K111" s="24"/>
      <c r="L111" s="24">
        <f t="shared" si="8"/>
        <v>433.755283</v>
      </c>
      <c r="M111" s="14">
        <f t="shared" si="9"/>
        <v>431.7870308</v>
      </c>
      <c r="N111" s="27">
        <f t="shared" si="10"/>
        <v>1.96825217</v>
      </c>
      <c r="O111" s="24"/>
      <c r="P111" s="28">
        <f t="shared" si="14"/>
        <v>-200.1885568</v>
      </c>
      <c r="Q111" s="27">
        <f t="shared" si="15"/>
        <v>401.712187</v>
      </c>
      <c r="R111" s="26"/>
      <c r="S111" s="14">
        <f t="shared" si="13"/>
        <v>1.807438356</v>
      </c>
    </row>
    <row r="112">
      <c r="A112" s="11">
        <v>100.0</v>
      </c>
      <c r="B112" s="11">
        <v>1.4198304347826E9</v>
      </c>
      <c r="C112" s="2">
        <v>-102.4936676</v>
      </c>
      <c r="D112" s="24">
        <f t="shared" si="1"/>
        <v>-569565.2174</v>
      </c>
      <c r="E112" s="25">
        <f t="shared" si="2"/>
        <v>119.3784972</v>
      </c>
      <c r="F112" s="24">
        <f t="shared" si="3"/>
        <v>0.0002095958347</v>
      </c>
      <c r="G112" s="24">
        <f t="shared" si="4"/>
        <v>0</v>
      </c>
      <c r="H112" s="26">
        <f t="shared" si="5"/>
        <v>0</v>
      </c>
      <c r="I112" s="24">
        <f t="shared" si="6"/>
        <v>0</v>
      </c>
      <c r="J112" s="24">
        <f t="shared" si="7"/>
        <v>0</v>
      </c>
      <c r="K112" s="24"/>
      <c r="L112" s="24">
        <f t="shared" si="8"/>
        <v>428.2914527</v>
      </c>
      <c r="M112" s="14">
        <f t="shared" si="9"/>
        <v>431.7037133</v>
      </c>
      <c r="N112" s="27">
        <f t="shared" si="10"/>
        <v>-3.412260604</v>
      </c>
      <c r="O112" s="24"/>
      <c r="P112" s="28">
        <f t="shared" si="14"/>
        <v>-201.1068529</v>
      </c>
      <c r="Q112" s="27">
        <f t="shared" si="15"/>
        <v>401.6585512</v>
      </c>
      <c r="R112" s="26"/>
      <c r="S112" s="14">
        <f t="shared" si="13"/>
        <v>-3.133465717</v>
      </c>
      <c r="U112" s="21"/>
      <c r="V112" s="21"/>
    </row>
    <row r="113">
      <c r="A113" s="11">
        <v>101.0</v>
      </c>
      <c r="B113" s="11">
        <v>1.41983478260869E9</v>
      </c>
      <c r="C113" s="2">
        <v>-102.4083023</v>
      </c>
      <c r="D113" s="24">
        <f t="shared" si="1"/>
        <v>-565217.3913</v>
      </c>
      <c r="E113" s="25">
        <f t="shared" si="2"/>
        <v>118.460201</v>
      </c>
      <c r="F113" s="24">
        <f t="shared" si="3"/>
        <v>0.0002095834326</v>
      </c>
      <c r="G113" s="24">
        <f t="shared" si="4"/>
        <v>0</v>
      </c>
      <c r="H113" s="26">
        <f t="shared" si="5"/>
        <v>0</v>
      </c>
      <c r="I113" s="24">
        <f t="shared" si="6"/>
        <v>0</v>
      </c>
      <c r="J113" s="24">
        <f t="shared" si="7"/>
        <v>0</v>
      </c>
      <c r="K113" s="24"/>
      <c r="L113" s="24">
        <f t="shared" si="8"/>
        <v>436.7932691</v>
      </c>
      <c r="M113" s="14">
        <f t="shared" si="9"/>
        <v>431.6205717</v>
      </c>
      <c r="N113" s="27">
        <f t="shared" si="10"/>
        <v>5.172697443</v>
      </c>
      <c r="O113" s="24"/>
      <c r="P113" s="28">
        <f t="shared" si="14"/>
        <v>-202.0251491</v>
      </c>
      <c r="Q113" s="27">
        <f t="shared" si="15"/>
        <v>404.0718978</v>
      </c>
      <c r="R113" s="26"/>
      <c r="S113" s="14">
        <f t="shared" si="13"/>
        <v>4.750068058</v>
      </c>
      <c r="U113" s="21"/>
      <c r="V113" s="21"/>
    </row>
    <row r="114">
      <c r="A114" s="11">
        <v>102.0</v>
      </c>
      <c r="B114" s="11">
        <v>1.41983913043478E9</v>
      </c>
      <c r="C114" s="2">
        <v>-102.4448853</v>
      </c>
      <c r="D114" s="24">
        <f t="shared" si="1"/>
        <v>-560869.5652</v>
      </c>
      <c r="E114" s="25">
        <f t="shared" si="2"/>
        <v>117.5419049</v>
      </c>
      <c r="F114" s="24">
        <f t="shared" si="3"/>
        <v>0.0002095708382</v>
      </c>
      <c r="G114" s="24">
        <f t="shared" si="4"/>
        <v>0</v>
      </c>
      <c r="H114" s="26">
        <f t="shared" si="5"/>
        <v>0</v>
      </c>
      <c r="I114" s="24">
        <f t="shared" si="6"/>
        <v>0</v>
      </c>
      <c r="J114" s="24">
        <f t="shared" si="7"/>
        <v>0</v>
      </c>
      <c r="K114" s="24"/>
      <c r="L114" s="24">
        <f t="shared" si="8"/>
        <v>433.1293736</v>
      </c>
      <c r="M114" s="14">
        <f t="shared" si="9"/>
        <v>431.5376043</v>
      </c>
      <c r="N114" s="27">
        <f t="shared" si="10"/>
        <v>1.591769307</v>
      </c>
      <c r="O114" s="24"/>
      <c r="P114" s="28">
        <f t="shared" si="14"/>
        <v>-202.9434452</v>
      </c>
      <c r="Q114" s="27">
        <f t="shared" si="15"/>
        <v>404.6863793</v>
      </c>
      <c r="R114" s="26"/>
      <c r="S114" s="14">
        <f t="shared" si="13"/>
        <v>1.461715596</v>
      </c>
      <c r="U114" s="21"/>
      <c r="V114" s="21"/>
    </row>
    <row r="115">
      <c r="A115" s="11">
        <v>103.0</v>
      </c>
      <c r="B115" s="11">
        <v>1.41984347826087E9</v>
      </c>
      <c r="C115" s="2">
        <v>-102.4868469</v>
      </c>
      <c r="D115" s="24">
        <f t="shared" si="1"/>
        <v>-556521.7391</v>
      </c>
      <c r="E115" s="25">
        <f t="shared" si="2"/>
        <v>116.6236088</v>
      </c>
      <c r="F115" s="24">
        <f t="shared" si="3"/>
        <v>0.000209558047</v>
      </c>
      <c r="G115" s="24">
        <f t="shared" si="4"/>
        <v>0</v>
      </c>
      <c r="H115" s="26">
        <f t="shared" si="5"/>
        <v>0</v>
      </c>
      <c r="I115" s="24">
        <f t="shared" si="6"/>
        <v>0</v>
      </c>
      <c r="J115" s="24">
        <f t="shared" si="7"/>
        <v>0</v>
      </c>
      <c r="K115" s="24"/>
      <c r="L115" s="24">
        <f t="shared" si="8"/>
        <v>428.9646233</v>
      </c>
      <c r="M115" s="14">
        <f t="shared" si="9"/>
        <v>431.4548096</v>
      </c>
      <c r="N115" s="27">
        <f t="shared" si="10"/>
        <v>-2.490186345</v>
      </c>
      <c r="O115" s="24"/>
      <c r="P115" s="28">
        <f t="shared" si="14"/>
        <v>-203.8617413</v>
      </c>
      <c r="Q115" s="27">
        <f t="shared" si="15"/>
        <v>402.1188736</v>
      </c>
      <c r="R115" s="26"/>
      <c r="S115" s="14">
        <f t="shared" si="13"/>
        <v>-2.286728491</v>
      </c>
      <c r="U115" s="21"/>
      <c r="V115" s="21"/>
    </row>
    <row r="116">
      <c r="A116" s="11">
        <v>104.0</v>
      </c>
      <c r="B116" s="11">
        <v>1.41984782608695E9</v>
      </c>
      <c r="C116" s="2">
        <v>-102.4622726</v>
      </c>
      <c r="D116" s="24">
        <f t="shared" si="1"/>
        <v>-552173.913</v>
      </c>
      <c r="E116" s="25">
        <f t="shared" si="2"/>
        <v>115.7053126</v>
      </c>
      <c r="F116" s="24">
        <f t="shared" si="3"/>
        <v>0.0002095450544</v>
      </c>
      <c r="G116" s="24">
        <f t="shared" si="4"/>
        <v>0</v>
      </c>
      <c r="H116" s="26">
        <f t="shared" si="5"/>
        <v>0</v>
      </c>
      <c r="I116" s="24">
        <f t="shared" si="6"/>
        <v>0</v>
      </c>
      <c r="J116" s="24">
        <f t="shared" si="7"/>
        <v>0</v>
      </c>
      <c r="K116" s="24"/>
      <c r="L116" s="24">
        <f t="shared" si="8"/>
        <v>431.3987748</v>
      </c>
      <c r="M116" s="14">
        <f t="shared" si="9"/>
        <v>431.3721859</v>
      </c>
      <c r="N116" s="27">
        <f t="shared" si="10"/>
        <v>0.02658891469</v>
      </c>
      <c r="O116" s="24"/>
      <c r="P116" s="28">
        <f t="shared" si="14"/>
        <v>-204.7800375</v>
      </c>
      <c r="Q116" s="27">
        <f t="shared" si="15"/>
        <v>403.2464822</v>
      </c>
      <c r="R116" s="26"/>
      <c r="S116" s="14">
        <f t="shared" si="13"/>
        <v>0.02441649754</v>
      </c>
      <c r="U116" s="21"/>
      <c r="V116" s="21"/>
    </row>
    <row r="117">
      <c r="A117" s="11">
        <v>105.0</v>
      </c>
      <c r="B117" s="11">
        <v>1.41985217391304E9</v>
      </c>
      <c r="C117" s="2">
        <v>-102.4571915</v>
      </c>
      <c r="D117" s="24">
        <f t="shared" si="1"/>
        <v>-547826.087</v>
      </c>
      <c r="E117" s="25">
        <f t="shared" si="2"/>
        <v>114.7870165</v>
      </c>
      <c r="F117" s="24">
        <f t="shared" si="3"/>
        <v>0.0002095318555</v>
      </c>
      <c r="G117" s="24">
        <f t="shared" si="4"/>
        <v>0</v>
      </c>
      <c r="H117" s="26">
        <f t="shared" si="5"/>
        <v>0</v>
      </c>
      <c r="I117" s="24">
        <f t="shared" si="6"/>
        <v>0</v>
      </c>
      <c r="J117" s="24">
        <f t="shared" si="7"/>
        <v>0</v>
      </c>
      <c r="K117" s="24"/>
      <c r="L117" s="24">
        <f t="shared" si="8"/>
        <v>431.9037923</v>
      </c>
      <c r="M117" s="14">
        <f t="shared" si="9"/>
        <v>431.2897316</v>
      </c>
      <c r="N117" s="27">
        <f t="shared" si="10"/>
        <v>0.6140607087</v>
      </c>
      <c r="O117" s="24"/>
      <c r="P117" s="28">
        <f t="shared" si="14"/>
        <v>-205.6983336</v>
      </c>
      <c r="Q117" s="27">
        <f t="shared" si="15"/>
        <v>397.2279668</v>
      </c>
      <c r="R117" s="26"/>
      <c r="S117" s="14">
        <f t="shared" si="13"/>
        <v>0.5638895728</v>
      </c>
      <c r="U117" s="21"/>
      <c r="V117" s="21"/>
    </row>
    <row r="118">
      <c r="A118" s="11">
        <v>106.0</v>
      </c>
      <c r="B118" s="11">
        <v>1.41985652173913E9</v>
      </c>
      <c r="C118" s="2">
        <v>-102.4791489</v>
      </c>
      <c r="D118" s="24">
        <f t="shared" si="1"/>
        <v>-543478.2609</v>
      </c>
      <c r="E118" s="25">
        <f t="shared" si="2"/>
        <v>113.8687204</v>
      </c>
      <c r="F118" s="24">
        <f t="shared" si="3"/>
        <v>0.0002095184455</v>
      </c>
      <c r="G118" s="24">
        <f t="shared" si="4"/>
        <v>0</v>
      </c>
      <c r="H118" s="26">
        <f t="shared" si="5"/>
        <v>0</v>
      </c>
      <c r="I118" s="24">
        <f t="shared" si="6"/>
        <v>0</v>
      </c>
      <c r="J118" s="24">
        <f t="shared" si="7"/>
        <v>0</v>
      </c>
      <c r="K118" s="24"/>
      <c r="L118" s="24">
        <f t="shared" si="8"/>
        <v>429.7256502</v>
      </c>
      <c r="M118" s="14">
        <f t="shared" si="9"/>
        <v>431.2074451</v>
      </c>
      <c r="N118" s="27">
        <f t="shared" si="10"/>
        <v>-1.481794867</v>
      </c>
      <c r="O118" s="24"/>
      <c r="P118" s="28">
        <f t="shared" si="14"/>
        <v>-206.6166297</v>
      </c>
      <c r="Q118" s="27">
        <f t="shared" si="15"/>
        <v>405.5482273</v>
      </c>
      <c r="R118" s="26"/>
      <c r="S118" s="14">
        <f t="shared" si="13"/>
        <v>-1.360726496</v>
      </c>
      <c r="U118" s="21"/>
      <c r="V118" s="21"/>
    </row>
    <row r="119">
      <c r="A119" s="11">
        <v>107.0</v>
      </c>
      <c r="B119" s="11">
        <v>1.41986086956521E9</v>
      </c>
      <c r="C119" s="2">
        <v>-102.4239502</v>
      </c>
      <c r="D119" s="24">
        <f t="shared" si="1"/>
        <v>-539130.4348</v>
      </c>
      <c r="E119" s="25">
        <f t="shared" si="2"/>
        <v>112.9504243</v>
      </c>
      <c r="F119" s="24">
        <f t="shared" si="3"/>
        <v>0.0002095048192</v>
      </c>
      <c r="G119" s="24">
        <f t="shared" si="4"/>
        <v>0</v>
      </c>
      <c r="H119" s="26">
        <f t="shared" si="5"/>
        <v>0</v>
      </c>
      <c r="I119" s="24">
        <f t="shared" si="6"/>
        <v>0</v>
      </c>
      <c r="J119" s="24">
        <f t="shared" si="7"/>
        <v>0</v>
      </c>
      <c r="K119" s="24"/>
      <c r="L119" s="24">
        <f t="shared" si="8"/>
        <v>435.2223077</v>
      </c>
      <c r="M119" s="14">
        <f t="shared" si="9"/>
        <v>431.1253247</v>
      </c>
      <c r="N119" s="27">
        <f t="shared" si="10"/>
        <v>4.096982996</v>
      </c>
      <c r="O119" s="24"/>
      <c r="P119" s="28">
        <f t="shared" si="14"/>
        <v>-207.5349259</v>
      </c>
      <c r="Q119" s="27">
        <f t="shared" si="15"/>
        <v>402.0101028</v>
      </c>
      <c r="R119" s="26"/>
      <c r="S119" s="14">
        <f t="shared" si="13"/>
        <v>3.762243641</v>
      </c>
      <c r="U119" s="21"/>
      <c r="V119" s="21"/>
    </row>
    <row r="120">
      <c r="A120" s="11">
        <v>108.0</v>
      </c>
      <c r="B120" s="11">
        <v>1.4198652173913E9</v>
      </c>
      <c r="C120" s="2">
        <v>-102.3779221</v>
      </c>
      <c r="D120" s="24">
        <f t="shared" si="1"/>
        <v>-534782.6087</v>
      </c>
      <c r="E120" s="25">
        <f t="shared" si="2"/>
        <v>112.0321281</v>
      </c>
      <c r="F120" s="24">
        <f t="shared" si="3"/>
        <v>0.0002094909713</v>
      </c>
      <c r="G120" s="24">
        <f t="shared" si="4"/>
        <v>0</v>
      </c>
      <c r="H120" s="26">
        <f t="shared" si="5"/>
        <v>0</v>
      </c>
      <c r="I120" s="24">
        <f t="shared" si="6"/>
        <v>0</v>
      </c>
      <c r="J120" s="24">
        <f t="shared" si="7"/>
        <v>0</v>
      </c>
      <c r="K120" s="24"/>
      <c r="L120" s="24">
        <f t="shared" si="8"/>
        <v>439.8594809</v>
      </c>
      <c r="M120" s="14">
        <f t="shared" si="9"/>
        <v>431.0433688</v>
      </c>
      <c r="N120" s="27">
        <f t="shared" si="10"/>
        <v>8.816112122</v>
      </c>
      <c r="O120" s="24"/>
      <c r="P120" s="28">
        <f t="shared" si="14"/>
        <v>-208.453222</v>
      </c>
      <c r="Q120" s="27">
        <f t="shared" si="15"/>
        <v>404.6316383</v>
      </c>
      <c r="R120" s="26"/>
      <c r="S120" s="14">
        <f t="shared" si="13"/>
        <v>8.095801649</v>
      </c>
      <c r="U120" s="21"/>
      <c r="V120" s="21"/>
    </row>
    <row r="121">
      <c r="A121" s="11">
        <v>109.0</v>
      </c>
      <c r="B121" s="11">
        <v>1.41986956521739E9</v>
      </c>
      <c r="C121" s="2">
        <v>-102.4732742</v>
      </c>
      <c r="D121" s="24">
        <f t="shared" si="1"/>
        <v>-530434.7826</v>
      </c>
      <c r="E121" s="25">
        <f t="shared" si="2"/>
        <v>111.113832</v>
      </c>
      <c r="F121" s="24">
        <f t="shared" si="3"/>
        <v>0.0002094768964</v>
      </c>
      <c r="G121" s="24">
        <f t="shared" si="4"/>
        <v>0</v>
      </c>
      <c r="H121" s="26">
        <f t="shared" si="5"/>
        <v>0</v>
      </c>
      <c r="I121" s="24">
        <f t="shared" si="6"/>
        <v>0</v>
      </c>
      <c r="J121" s="24">
        <f t="shared" si="7"/>
        <v>0</v>
      </c>
      <c r="K121" s="24"/>
      <c r="L121" s="24">
        <f t="shared" si="8"/>
        <v>430.3073333</v>
      </c>
      <c r="M121" s="14">
        <f t="shared" si="9"/>
        <v>430.9615758</v>
      </c>
      <c r="N121" s="27">
        <f t="shared" si="10"/>
        <v>-0.6542425274</v>
      </c>
      <c r="O121" s="24"/>
      <c r="P121" s="28">
        <f t="shared" si="14"/>
        <v>-209.3715181</v>
      </c>
      <c r="Q121" s="27">
        <f t="shared" si="15"/>
        <v>393.6137376</v>
      </c>
      <c r="R121" s="26"/>
      <c r="S121" s="14">
        <f t="shared" si="13"/>
        <v>-0.6007883828</v>
      </c>
      <c r="U121" s="21"/>
      <c r="V121" s="21"/>
    </row>
    <row r="122">
      <c r="A122" s="11">
        <v>110.0</v>
      </c>
      <c r="B122" s="11">
        <v>1.41987391304347E9</v>
      </c>
      <c r="C122" s="2">
        <v>-102.4289169</v>
      </c>
      <c r="D122" s="24">
        <f t="shared" si="1"/>
        <v>-526086.9565</v>
      </c>
      <c r="E122" s="25">
        <f t="shared" si="2"/>
        <v>110.1955359</v>
      </c>
      <c r="F122" s="24">
        <f t="shared" si="3"/>
        <v>0.0002094625888</v>
      </c>
      <c r="G122" s="24">
        <f t="shared" si="4"/>
        <v>0</v>
      </c>
      <c r="H122" s="26">
        <f t="shared" si="5"/>
        <v>0</v>
      </c>
      <c r="I122" s="24">
        <f t="shared" si="6"/>
        <v>0</v>
      </c>
      <c r="J122" s="24">
        <f t="shared" si="7"/>
        <v>0</v>
      </c>
      <c r="K122" s="24"/>
      <c r="L122" s="24">
        <f t="shared" si="8"/>
        <v>434.7248611</v>
      </c>
      <c r="M122" s="14">
        <f t="shared" si="9"/>
        <v>430.8799441</v>
      </c>
      <c r="N122" s="27">
        <f t="shared" si="10"/>
        <v>3.844916999</v>
      </c>
      <c r="O122" s="24"/>
      <c r="P122" s="28">
        <f t="shared" si="14"/>
        <v>-210.2898143</v>
      </c>
      <c r="Q122" s="27">
        <f t="shared" si="15"/>
        <v>399.3332819</v>
      </c>
      <c r="R122" s="26"/>
      <c r="S122" s="14">
        <f t="shared" si="13"/>
        <v>3.530772411</v>
      </c>
      <c r="U122" s="21"/>
      <c r="V122" s="21"/>
    </row>
    <row r="123">
      <c r="A123" s="11">
        <v>111.0</v>
      </c>
      <c r="B123" s="11">
        <v>1.41987826086956E9</v>
      </c>
      <c r="C123" s="2">
        <v>-102.4612274</v>
      </c>
      <c r="D123" s="24">
        <f t="shared" si="1"/>
        <v>-521739.1304</v>
      </c>
      <c r="E123" s="25">
        <f t="shared" si="2"/>
        <v>109.2772397</v>
      </c>
      <c r="F123" s="24">
        <f t="shared" si="3"/>
        <v>0.0002094480428</v>
      </c>
      <c r="G123" s="24">
        <f t="shared" si="4"/>
        <v>0</v>
      </c>
      <c r="H123" s="26">
        <f t="shared" si="5"/>
        <v>0</v>
      </c>
      <c r="I123" s="24">
        <f t="shared" si="6"/>
        <v>0</v>
      </c>
      <c r="J123" s="24">
        <f t="shared" si="7"/>
        <v>0</v>
      </c>
      <c r="K123" s="24"/>
      <c r="L123" s="24">
        <f t="shared" si="8"/>
        <v>431.5026104</v>
      </c>
      <c r="M123" s="14">
        <f t="shared" si="9"/>
        <v>430.798472</v>
      </c>
      <c r="N123" s="27">
        <f t="shared" si="10"/>
        <v>0.7041384161</v>
      </c>
      <c r="O123" s="24"/>
      <c r="P123" s="28">
        <f t="shared" si="14"/>
        <v>-211.2081104</v>
      </c>
      <c r="Q123" s="27">
        <f t="shared" si="15"/>
        <v>397.6000839</v>
      </c>
      <c r="R123" s="26"/>
      <c r="S123" s="14">
        <f t="shared" si="13"/>
        <v>0.6466075829</v>
      </c>
      <c r="U123" s="21"/>
      <c r="V123" s="21"/>
    </row>
    <row r="124">
      <c r="A124" s="11">
        <v>112.0</v>
      </c>
      <c r="B124" s="11">
        <v>1.41988260869565E9</v>
      </c>
      <c r="C124" s="2">
        <v>-102.463829</v>
      </c>
      <c r="D124" s="24">
        <f t="shared" si="1"/>
        <v>-517391.3043</v>
      </c>
      <c r="E124" s="25">
        <f t="shared" si="2"/>
        <v>108.3589436</v>
      </c>
      <c r="F124" s="24">
        <f t="shared" si="3"/>
        <v>0.0002094332523</v>
      </c>
      <c r="G124" s="24">
        <f t="shared" si="4"/>
        <v>0</v>
      </c>
      <c r="H124" s="26">
        <f t="shared" si="5"/>
        <v>0</v>
      </c>
      <c r="I124" s="24">
        <f t="shared" si="6"/>
        <v>0</v>
      </c>
      <c r="J124" s="24">
        <f t="shared" si="7"/>
        <v>0</v>
      </c>
      <c r="K124" s="24"/>
      <c r="L124" s="24">
        <f t="shared" si="8"/>
        <v>431.2442003</v>
      </c>
      <c r="M124" s="14">
        <f t="shared" si="9"/>
        <v>430.717158</v>
      </c>
      <c r="N124" s="27">
        <f t="shared" si="10"/>
        <v>0.5270423267</v>
      </c>
      <c r="O124" s="24"/>
      <c r="P124" s="28"/>
      <c r="Q124" s="27"/>
      <c r="R124" s="26"/>
      <c r="S124" s="14">
        <f t="shared" si="13"/>
        <v>0.4839809304</v>
      </c>
      <c r="U124" s="21"/>
      <c r="V124" s="21"/>
    </row>
    <row r="125">
      <c r="A125" s="11">
        <v>113.0</v>
      </c>
      <c r="B125" s="11">
        <v>1.41988695652173E9</v>
      </c>
      <c r="C125" s="2">
        <v>-102.4384155</v>
      </c>
      <c r="D125" s="24">
        <f t="shared" si="1"/>
        <v>-513043.4783</v>
      </c>
      <c r="E125" s="25">
        <f t="shared" si="2"/>
        <v>107.4406475</v>
      </c>
      <c r="F125" s="24">
        <f t="shared" si="3"/>
        <v>0.0002094182111</v>
      </c>
      <c r="G125" s="24">
        <f t="shared" si="4"/>
        <v>0</v>
      </c>
      <c r="H125" s="26">
        <f t="shared" si="5"/>
        <v>0</v>
      </c>
      <c r="I125" s="24">
        <f t="shared" si="6"/>
        <v>0</v>
      </c>
      <c r="J125" s="24">
        <f t="shared" si="7"/>
        <v>0</v>
      </c>
      <c r="K125" s="24"/>
      <c r="L125" s="24">
        <f t="shared" si="8"/>
        <v>433.7750988</v>
      </c>
      <c r="M125" s="14">
        <f t="shared" si="9"/>
        <v>430.6360003</v>
      </c>
      <c r="N125" s="27">
        <f t="shared" si="10"/>
        <v>3.139098513</v>
      </c>
      <c r="O125" s="24"/>
      <c r="P125" s="24"/>
      <c r="Q125" s="24"/>
      <c r="R125" s="26"/>
      <c r="S125" s="14">
        <f t="shared" si="13"/>
        <v>2.882622025</v>
      </c>
      <c r="U125" s="21"/>
      <c r="V125" s="21"/>
    </row>
    <row r="126">
      <c r="A126" s="11">
        <v>114.0</v>
      </c>
      <c r="B126" s="11">
        <v>1.41989130434782E9</v>
      </c>
      <c r="C126" s="2">
        <v>-102.4629288</v>
      </c>
      <c r="D126" s="24">
        <f t="shared" si="1"/>
        <v>-508695.6522</v>
      </c>
      <c r="E126" s="25">
        <f t="shared" si="2"/>
        <v>106.5223513</v>
      </c>
      <c r="F126" s="24">
        <f t="shared" si="3"/>
        <v>0.0002094029129</v>
      </c>
      <c r="G126" s="24">
        <f t="shared" si="4"/>
        <v>0</v>
      </c>
      <c r="H126" s="26">
        <f t="shared" si="5"/>
        <v>0</v>
      </c>
      <c r="I126" s="24">
        <f t="shared" si="6"/>
        <v>0</v>
      </c>
      <c r="J126" s="24">
        <f t="shared" si="7"/>
        <v>0</v>
      </c>
      <c r="K126" s="24"/>
      <c r="L126" s="24">
        <f t="shared" si="8"/>
        <v>431.3335973</v>
      </c>
      <c r="M126" s="14">
        <f t="shared" si="9"/>
        <v>430.5549974</v>
      </c>
      <c r="N126" s="27">
        <f t="shared" si="10"/>
        <v>0.7785998982</v>
      </c>
      <c r="O126" s="24"/>
      <c r="P126" s="24"/>
      <c r="Q126" s="24"/>
      <c r="R126" s="26"/>
      <c r="S126" s="14">
        <f t="shared" si="13"/>
        <v>0.7149852755</v>
      </c>
      <c r="U126" s="21"/>
      <c r="V126" s="21"/>
    </row>
    <row r="127">
      <c r="A127" s="11">
        <v>115.0</v>
      </c>
      <c r="B127" s="11">
        <v>1.41989565217391E9</v>
      </c>
      <c r="C127" s="2">
        <v>-102.4736404</v>
      </c>
      <c r="D127" s="24">
        <f t="shared" si="1"/>
        <v>-504347.8261</v>
      </c>
      <c r="E127" s="25">
        <f t="shared" si="2"/>
        <v>105.6040552</v>
      </c>
      <c r="F127" s="24">
        <f t="shared" si="3"/>
        <v>0.0002093873508</v>
      </c>
      <c r="G127" s="24">
        <f t="shared" si="4"/>
        <v>0</v>
      </c>
      <c r="H127" s="26">
        <f t="shared" si="5"/>
        <v>0</v>
      </c>
      <c r="I127" s="24">
        <f t="shared" si="6"/>
        <v>0</v>
      </c>
      <c r="J127" s="24">
        <f t="shared" si="7"/>
        <v>0</v>
      </c>
      <c r="K127" s="24"/>
      <c r="L127" s="24">
        <f t="shared" si="8"/>
        <v>430.271051</v>
      </c>
      <c r="M127" s="14">
        <f t="shared" si="9"/>
        <v>430.4741476</v>
      </c>
      <c r="N127" s="27">
        <f t="shared" si="10"/>
        <v>-0.2030966209</v>
      </c>
      <c r="O127" s="24"/>
      <c r="P127" s="24"/>
      <c r="Q127" s="24"/>
      <c r="R127" s="26"/>
      <c r="S127" s="14">
        <f t="shared" si="13"/>
        <v>-0.1865028411</v>
      </c>
      <c r="U127" s="21"/>
      <c r="V127" s="21"/>
    </row>
    <row r="128">
      <c r="A128" s="11">
        <v>116.0</v>
      </c>
      <c r="B128" s="11">
        <v>1.4199E9</v>
      </c>
      <c r="C128" s="2">
        <v>-102.4965057</v>
      </c>
      <c r="D128" s="24">
        <f t="shared" si="1"/>
        <v>-500000</v>
      </c>
      <c r="E128" s="25">
        <f t="shared" si="2"/>
        <v>104.6857591</v>
      </c>
      <c r="F128" s="24">
        <f t="shared" si="3"/>
        <v>0.0002093715181</v>
      </c>
      <c r="G128" s="24">
        <f t="shared" si="4"/>
        <v>0</v>
      </c>
      <c r="H128" s="26">
        <f t="shared" si="5"/>
        <v>0</v>
      </c>
      <c r="I128" s="24">
        <f t="shared" si="6"/>
        <v>0</v>
      </c>
      <c r="J128" s="24">
        <f t="shared" si="7"/>
        <v>0</v>
      </c>
      <c r="K128" s="24"/>
      <c r="L128" s="24">
        <f t="shared" si="8"/>
        <v>428.0116571</v>
      </c>
      <c r="M128" s="14">
        <f t="shared" si="9"/>
        <v>430.3934494</v>
      </c>
      <c r="N128" s="27">
        <f t="shared" si="10"/>
        <v>-2.381792309</v>
      </c>
      <c r="O128" s="24"/>
      <c r="P128" s="24"/>
      <c r="Q128" s="24"/>
      <c r="R128" s="26"/>
      <c r="S128" s="14">
        <f t="shared" si="13"/>
        <v>-2.187190666</v>
      </c>
      <c r="U128" s="21"/>
      <c r="V128" s="21"/>
    </row>
    <row r="129">
      <c r="A129" s="11">
        <v>117.0</v>
      </c>
      <c r="B129" s="11">
        <v>1.41990434782608E9</v>
      </c>
      <c r="C129" s="2">
        <v>-102.5143127</v>
      </c>
      <c r="D129" s="24">
        <f t="shared" si="1"/>
        <v>-495652.1739</v>
      </c>
      <c r="E129" s="25">
        <f t="shared" si="2"/>
        <v>103.7674629</v>
      </c>
      <c r="F129" s="24">
        <f t="shared" si="3"/>
        <v>0.0002093554077</v>
      </c>
      <c r="G129" s="24">
        <f t="shared" si="4"/>
        <v>0</v>
      </c>
      <c r="H129" s="26">
        <f t="shared" si="5"/>
        <v>0</v>
      </c>
      <c r="I129" s="24">
        <f t="shared" si="6"/>
        <v>0</v>
      </c>
      <c r="J129" s="24">
        <f t="shared" si="7"/>
        <v>0</v>
      </c>
      <c r="K129" s="24"/>
      <c r="L129" s="24">
        <f t="shared" si="8"/>
        <v>426.2603109</v>
      </c>
      <c r="M129" s="14">
        <f t="shared" si="9"/>
        <v>430.3129011</v>
      </c>
      <c r="N129" s="27">
        <f t="shared" si="10"/>
        <v>-4.052590145</v>
      </c>
      <c r="O129" s="24"/>
      <c r="P129" s="24"/>
      <c r="Q129" s="24"/>
      <c r="R129" s="26"/>
      <c r="S129" s="14">
        <f t="shared" si="13"/>
        <v>-3.721477858</v>
      </c>
      <c r="U129" s="21"/>
      <c r="V129" s="21"/>
    </row>
    <row r="130">
      <c r="A130" s="11">
        <v>118.0</v>
      </c>
      <c r="B130" s="11">
        <v>1.41990869565217E9</v>
      </c>
      <c r="C130" s="2">
        <v>-102.4625626</v>
      </c>
      <c r="D130" s="24">
        <f t="shared" si="1"/>
        <v>-491304.3478</v>
      </c>
      <c r="E130" s="25">
        <f t="shared" si="2"/>
        <v>102.8491668</v>
      </c>
      <c r="F130" s="24">
        <f t="shared" si="3"/>
        <v>0.0002093390121</v>
      </c>
      <c r="G130" s="24">
        <f t="shared" si="4"/>
        <v>0</v>
      </c>
      <c r="H130" s="26">
        <f t="shared" si="5"/>
        <v>0</v>
      </c>
      <c r="I130" s="24">
        <f t="shared" si="6"/>
        <v>0</v>
      </c>
      <c r="J130" s="24">
        <f t="shared" si="7"/>
        <v>0</v>
      </c>
      <c r="K130" s="24"/>
      <c r="L130" s="24">
        <f t="shared" si="8"/>
        <v>431.3699692</v>
      </c>
      <c r="M130" s="14">
        <f t="shared" si="9"/>
        <v>430.232501</v>
      </c>
      <c r="N130" s="27">
        <f t="shared" si="10"/>
        <v>1.137468174</v>
      </c>
      <c r="O130" s="24"/>
      <c r="P130" s="24"/>
      <c r="Q130" s="24"/>
      <c r="R130" s="26"/>
      <c r="S130" s="14">
        <f t="shared" si="13"/>
        <v>1.044532623</v>
      </c>
      <c r="U130" s="21"/>
      <c r="V130" s="21"/>
    </row>
    <row r="131">
      <c r="A131" s="11">
        <v>119.0</v>
      </c>
      <c r="B131" s="11">
        <v>1.41991304347826E9</v>
      </c>
      <c r="C131" s="2">
        <v>-102.4173584</v>
      </c>
      <c r="D131" s="24">
        <f t="shared" si="1"/>
        <v>-486956.5217</v>
      </c>
      <c r="E131" s="25">
        <f t="shared" si="2"/>
        <v>101.9308707</v>
      </c>
      <c r="F131" s="24">
        <f t="shared" si="3"/>
        <v>0.0002093223237</v>
      </c>
      <c r="G131" s="24">
        <f t="shared" si="4"/>
        <v>0</v>
      </c>
      <c r="H131" s="26">
        <f t="shared" si="5"/>
        <v>0</v>
      </c>
      <c r="I131" s="24">
        <f t="shared" si="6"/>
        <v>0</v>
      </c>
      <c r="J131" s="24">
        <f t="shared" si="7"/>
        <v>0</v>
      </c>
      <c r="K131" s="24"/>
      <c r="L131" s="24">
        <f t="shared" si="8"/>
        <v>435.8833975</v>
      </c>
      <c r="M131" s="14">
        <f t="shared" si="9"/>
        <v>430.1522476</v>
      </c>
      <c r="N131" s="27">
        <f t="shared" si="10"/>
        <v>5.731149972</v>
      </c>
      <c r="O131" s="24"/>
      <c r="P131" s="24"/>
      <c r="Q131" s="24"/>
      <c r="R131" s="26"/>
      <c r="S131" s="14">
        <f t="shared" si="13"/>
        <v>5.262892856</v>
      </c>
      <c r="U131" s="21"/>
      <c r="V131" s="21"/>
    </row>
    <row r="132">
      <c r="A132" s="11">
        <v>120.0</v>
      </c>
      <c r="B132" s="11">
        <v>1.41991739130434E9</v>
      </c>
      <c r="C132" s="2">
        <v>-102.4405518</v>
      </c>
      <c r="D132" s="24">
        <f t="shared" si="1"/>
        <v>-482608.6957</v>
      </c>
      <c r="E132" s="25">
        <f t="shared" si="2"/>
        <v>101.0125745</v>
      </c>
      <c r="F132" s="24">
        <f t="shared" si="3"/>
        <v>0.0002093053346</v>
      </c>
      <c r="G132" s="24">
        <f t="shared" si="4"/>
        <v>0</v>
      </c>
      <c r="H132" s="26">
        <f t="shared" si="5"/>
        <v>0</v>
      </c>
      <c r="I132" s="24">
        <f t="shared" si="6"/>
        <v>0</v>
      </c>
      <c r="J132" s="24">
        <f t="shared" si="7"/>
        <v>0</v>
      </c>
      <c r="K132" s="24"/>
      <c r="L132" s="24">
        <f t="shared" si="8"/>
        <v>433.5617768</v>
      </c>
      <c r="M132" s="14">
        <f t="shared" si="9"/>
        <v>430.0721391</v>
      </c>
      <c r="N132" s="27">
        <f t="shared" si="10"/>
        <v>3.489637612</v>
      </c>
      <c r="O132" s="24"/>
      <c r="P132" s="24"/>
      <c r="Q132" s="24"/>
      <c r="R132" s="26"/>
      <c r="S132" s="14">
        <f t="shared" si="13"/>
        <v>3.204520724</v>
      </c>
      <c r="U132" s="21"/>
      <c r="V132" s="21"/>
    </row>
    <row r="133">
      <c r="A133" s="11">
        <v>121.0</v>
      </c>
      <c r="B133" s="11">
        <v>1.41992173913043E9</v>
      </c>
      <c r="C133" s="2">
        <v>-102.416626</v>
      </c>
      <c r="D133" s="24">
        <f t="shared" si="1"/>
        <v>-478260.8696</v>
      </c>
      <c r="E133" s="25">
        <f t="shared" si="2"/>
        <v>100.0942784</v>
      </c>
      <c r="F133" s="24">
        <f t="shared" si="3"/>
        <v>0.0002092880367</v>
      </c>
      <c r="G133" s="24">
        <f t="shared" si="4"/>
        <v>0</v>
      </c>
      <c r="H133" s="26">
        <f t="shared" si="5"/>
        <v>0</v>
      </c>
      <c r="I133" s="24">
        <f t="shared" si="6"/>
        <v>0</v>
      </c>
      <c r="J133" s="24">
        <f t="shared" si="7"/>
        <v>0</v>
      </c>
      <c r="K133" s="24"/>
      <c r="L133" s="24">
        <f t="shared" si="8"/>
        <v>435.9569117</v>
      </c>
      <c r="M133" s="14">
        <f t="shared" si="9"/>
        <v>429.9921741</v>
      </c>
      <c r="N133" s="27">
        <f t="shared" si="10"/>
        <v>5.964737551</v>
      </c>
      <c r="O133" s="24"/>
      <c r="P133" s="24"/>
      <c r="Q133" s="24"/>
      <c r="R133" s="26"/>
      <c r="S133" s="14">
        <f t="shared" si="13"/>
        <v>5.477395413</v>
      </c>
      <c r="U133" s="21"/>
      <c r="V133" s="21"/>
    </row>
    <row r="134">
      <c r="A134" s="11">
        <v>122.0</v>
      </c>
      <c r="B134" s="11">
        <v>1.41992608695652E9</v>
      </c>
      <c r="C134" s="2">
        <v>-102.4826736</v>
      </c>
      <c r="D134" s="24">
        <f t="shared" si="1"/>
        <v>-473913.0435</v>
      </c>
      <c r="E134" s="25">
        <f t="shared" si="2"/>
        <v>99.17598227</v>
      </c>
      <c r="F134" s="24">
        <f t="shared" si="3"/>
        <v>0.0002092704213</v>
      </c>
      <c r="G134" s="24">
        <f t="shared" si="4"/>
        <v>0</v>
      </c>
      <c r="H134" s="26">
        <f t="shared" si="5"/>
        <v>0</v>
      </c>
      <c r="I134" s="24">
        <f t="shared" si="6"/>
        <v>0</v>
      </c>
      <c r="J134" s="24">
        <f t="shared" si="7"/>
        <v>0</v>
      </c>
      <c r="K134" s="24"/>
      <c r="L134" s="24">
        <f t="shared" si="8"/>
        <v>429.3770297</v>
      </c>
      <c r="M134" s="14">
        <f t="shared" si="9"/>
        <v>429.9123509</v>
      </c>
      <c r="N134" s="27">
        <f t="shared" si="10"/>
        <v>-0.5353211611</v>
      </c>
      <c r="O134" s="24"/>
      <c r="P134" s="24"/>
      <c r="Q134" s="24"/>
      <c r="R134" s="26"/>
      <c r="S134" s="14">
        <f t="shared" si="13"/>
        <v>-0.4915833521</v>
      </c>
      <c r="U134" s="21"/>
      <c r="V134" s="21"/>
    </row>
    <row r="135">
      <c r="A135" s="11">
        <v>123.0</v>
      </c>
      <c r="B135" s="11">
        <v>1.4199304347826E9</v>
      </c>
      <c r="C135" s="2">
        <v>-102.4831543</v>
      </c>
      <c r="D135" s="24">
        <f t="shared" si="1"/>
        <v>-469565.2174</v>
      </c>
      <c r="E135" s="25">
        <f t="shared" si="2"/>
        <v>98.25768614</v>
      </c>
      <c r="F135" s="24">
        <f t="shared" si="3"/>
        <v>0.0002092524797</v>
      </c>
      <c r="G135" s="24">
        <f t="shared" si="4"/>
        <v>0</v>
      </c>
      <c r="H135" s="26">
        <f t="shared" si="5"/>
        <v>0</v>
      </c>
      <c r="I135" s="24">
        <f t="shared" si="6"/>
        <v>0</v>
      </c>
      <c r="J135" s="24">
        <f t="shared" si="7"/>
        <v>0</v>
      </c>
      <c r="K135" s="24"/>
      <c r="L135" s="24">
        <f t="shared" si="8"/>
        <v>429.3295066</v>
      </c>
      <c r="M135" s="14">
        <f t="shared" si="9"/>
        <v>429.8326678</v>
      </c>
      <c r="N135" s="27">
        <f t="shared" si="10"/>
        <v>-0.5031611424</v>
      </c>
      <c r="O135" s="24"/>
      <c r="P135" s="24"/>
      <c r="Q135" s="24"/>
      <c r="R135" s="26"/>
      <c r="S135" s="14">
        <f t="shared" si="13"/>
        <v>-0.4620509312</v>
      </c>
      <c r="U135" s="21"/>
      <c r="V135" s="21"/>
    </row>
    <row r="136">
      <c r="A136" s="11">
        <v>124.0</v>
      </c>
      <c r="B136" s="11">
        <v>1.41993478260869E9</v>
      </c>
      <c r="C136" s="2">
        <v>-102.3831635</v>
      </c>
      <c r="D136" s="24">
        <f t="shared" si="1"/>
        <v>-465217.3913</v>
      </c>
      <c r="E136" s="25">
        <f t="shared" si="2"/>
        <v>97.33939001</v>
      </c>
      <c r="F136" s="24">
        <f t="shared" si="3"/>
        <v>0.0002092342028</v>
      </c>
      <c r="G136" s="24">
        <f t="shared" si="4"/>
        <v>0</v>
      </c>
      <c r="H136" s="26">
        <f t="shared" si="5"/>
        <v>0</v>
      </c>
      <c r="I136" s="24">
        <f t="shared" si="6"/>
        <v>0</v>
      </c>
      <c r="J136" s="24">
        <f t="shared" si="7"/>
        <v>0</v>
      </c>
      <c r="K136" s="24"/>
      <c r="L136" s="24">
        <f t="shared" si="8"/>
        <v>439.3289449</v>
      </c>
      <c r="M136" s="14">
        <f t="shared" si="9"/>
        <v>429.7531232</v>
      </c>
      <c r="N136" s="27">
        <f t="shared" si="10"/>
        <v>9.575821655</v>
      </c>
      <c r="O136" s="24"/>
      <c r="P136" s="24"/>
      <c r="Q136" s="24"/>
      <c r="R136" s="26"/>
      <c r="S136" s="14">
        <f t="shared" si="13"/>
        <v>8.793439994</v>
      </c>
      <c r="U136" s="21"/>
      <c r="V136" s="21"/>
    </row>
    <row r="137">
      <c r="A137" s="11">
        <v>125.0</v>
      </c>
      <c r="B137" s="11">
        <v>1.41993913043478E9</v>
      </c>
      <c r="C137" s="2">
        <v>-102.4412308</v>
      </c>
      <c r="D137" s="24">
        <f t="shared" si="1"/>
        <v>-460869.5652</v>
      </c>
      <c r="E137" s="25">
        <f t="shared" si="2"/>
        <v>96.42109387</v>
      </c>
      <c r="F137" s="24">
        <f t="shared" si="3"/>
        <v>0.000209215581</v>
      </c>
      <c r="G137" s="24">
        <f t="shared" si="4"/>
        <v>0</v>
      </c>
      <c r="H137" s="26">
        <f t="shared" si="5"/>
        <v>0</v>
      </c>
      <c r="I137" s="24">
        <f t="shared" si="6"/>
        <v>0</v>
      </c>
      <c r="J137" s="24">
        <f t="shared" si="7"/>
        <v>0</v>
      </c>
      <c r="K137" s="24"/>
      <c r="L137" s="24">
        <f t="shared" si="8"/>
        <v>433.4939966</v>
      </c>
      <c r="M137" s="14">
        <f t="shared" si="9"/>
        <v>429.6737155</v>
      </c>
      <c r="N137" s="27">
        <f t="shared" si="10"/>
        <v>3.820281086</v>
      </c>
      <c r="O137" s="24"/>
      <c r="P137" s="24"/>
      <c r="Q137" s="24"/>
      <c r="R137" s="26"/>
      <c r="S137" s="14">
        <f t="shared" si="13"/>
        <v>3.508149339</v>
      </c>
      <c r="U137" s="21"/>
      <c r="V137" s="21"/>
    </row>
    <row r="138">
      <c r="A138" s="11">
        <v>126.0</v>
      </c>
      <c r="B138" s="11">
        <v>1.41994347826087E9</v>
      </c>
      <c r="C138" s="2">
        <v>-102.4596329</v>
      </c>
      <c r="D138" s="24">
        <f t="shared" si="1"/>
        <v>-456521.7391</v>
      </c>
      <c r="E138" s="25">
        <f t="shared" si="2"/>
        <v>95.50279774</v>
      </c>
      <c r="F138" s="24">
        <f t="shared" si="3"/>
        <v>0.0002091966046</v>
      </c>
      <c r="G138" s="24">
        <f t="shared" si="4"/>
        <v>0</v>
      </c>
      <c r="H138" s="26">
        <f t="shared" si="5"/>
        <v>0</v>
      </c>
      <c r="I138" s="24">
        <f t="shared" si="6"/>
        <v>0</v>
      </c>
      <c r="J138" s="24">
        <f t="shared" si="7"/>
        <v>0</v>
      </c>
      <c r="K138" s="24"/>
      <c r="L138" s="24">
        <f t="shared" si="8"/>
        <v>431.6610645</v>
      </c>
      <c r="M138" s="14">
        <f t="shared" si="9"/>
        <v>429.5944431</v>
      </c>
      <c r="N138" s="27">
        <f t="shared" si="10"/>
        <v>2.066621375</v>
      </c>
      <c r="O138" s="24"/>
      <c r="P138" s="24"/>
      <c r="Q138" s="24"/>
      <c r="R138" s="26"/>
      <c r="S138" s="14">
        <f t="shared" si="13"/>
        <v>1.897770417</v>
      </c>
      <c r="U138" s="21"/>
      <c r="V138" s="21"/>
    </row>
    <row r="139">
      <c r="A139" s="11">
        <v>127.0</v>
      </c>
      <c r="B139" s="11">
        <v>1.41994782608695E9</v>
      </c>
      <c r="C139" s="2">
        <v>-102.4574509</v>
      </c>
      <c r="D139" s="24">
        <f t="shared" si="1"/>
        <v>-452173.913</v>
      </c>
      <c r="E139" s="25">
        <f t="shared" si="2"/>
        <v>94.58450161</v>
      </c>
      <c r="F139" s="24">
        <f t="shared" si="3"/>
        <v>0.0002091772632</v>
      </c>
      <c r="G139" s="24">
        <f t="shared" si="4"/>
        <v>0</v>
      </c>
      <c r="H139" s="26">
        <f t="shared" si="5"/>
        <v>0</v>
      </c>
      <c r="I139" s="24">
        <f t="shared" si="6"/>
        <v>0</v>
      </c>
      <c r="J139" s="24">
        <f t="shared" si="7"/>
        <v>0</v>
      </c>
      <c r="K139" s="24"/>
      <c r="L139" s="24">
        <f t="shared" si="8"/>
        <v>431.8779959</v>
      </c>
      <c r="M139" s="14">
        <f t="shared" si="9"/>
        <v>429.5153043</v>
      </c>
      <c r="N139" s="27">
        <f t="shared" si="10"/>
        <v>2.36269154</v>
      </c>
      <c r="O139" s="24"/>
      <c r="P139" s="24"/>
      <c r="Q139" s="24"/>
      <c r="R139" s="26"/>
      <c r="S139" s="14">
        <f t="shared" si="13"/>
        <v>2.169650504</v>
      </c>
      <c r="U139" s="21"/>
      <c r="V139" s="21"/>
    </row>
    <row r="140">
      <c r="A140" s="11">
        <v>128.0</v>
      </c>
      <c r="B140" s="11">
        <v>1.41995217391304E9</v>
      </c>
      <c r="C140" s="2">
        <v>-102.3845749</v>
      </c>
      <c r="D140" s="24">
        <f t="shared" si="1"/>
        <v>-447826.087</v>
      </c>
      <c r="E140" s="25">
        <f t="shared" si="2"/>
        <v>93.66620548</v>
      </c>
      <c r="F140" s="24">
        <f t="shared" si="3"/>
        <v>0.0002091575462</v>
      </c>
      <c r="G140" s="24">
        <f t="shared" si="4"/>
        <v>0</v>
      </c>
      <c r="H140" s="26">
        <f t="shared" si="5"/>
        <v>0</v>
      </c>
      <c r="I140" s="24">
        <f t="shared" si="6"/>
        <v>0</v>
      </c>
      <c r="J140" s="24">
        <f t="shared" si="7"/>
        <v>0</v>
      </c>
      <c r="K140" s="24"/>
      <c r="L140" s="24">
        <f t="shared" si="8"/>
        <v>439.1861919</v>
      </c>
      <c r="M140" s="14">
        <f t="shared" si="9"/>
        <v>429.4362976</v>
      </c>
      <c r="N140" s="27">
        <f t="shared" si="10"/>
        <v>9.749894324</v>
      </c>
      <c r="O140" s="24"/>
      <c r="P140" s="24"/>
      <c r="Q140" s="24"/>
      <c r="R140" s="26"/>
      <c r="S140" s="14">
        <f t="shared" si="13"/>
        <v>8.953290232</v>
      </c>
      <c r="U140" s="21"/>
      <c r="V140" s="21"/>
    </row>
    <row r="141">
      <c r="A141" s="11">
        <v>129.0</v>
      </c>
      <c r="B141" s="11">
        <v>1.41995652173913E9</v>
      </c>
      <c r="C141" s="2">
        <v>-102.4098892</v>
      </c>
      <c r="D141" s="24">
        <f t="shared" si="1"/>
        <v>-443478.2609</v>
      </c>
      <c r="E141" s="25">
        <f t="shared" si="2"/>
        <v>92.74790935</v>
      </c>
      <c r="F141" s="24">
        <f t="shared" si="3"/>
        <v>0.0002091374426</v>
      </c>
      <c r="G141" s="24">
        <f t="shared" si="4"/>
        <v>0</v>
      </c>
      <c r="H141" s="26">
        <f t="shared" si="5"/>
        <v>0</v>
      </c>
      <c r="I141" s="24">
        <f t="shared" si="6"/>
        <v>0</v>
      </c>
      <c r="J141" s="24">
        <f t="shared" si="7"/>
        <v>0</v>
      </c>
      <c r="K141" s="24"/>
      <c r="L141" s="24">
        <f t="shared" si="8"/>
        <v>436.6336952</v>
      </c>
      <c r="M141" s="14">
        <f t="shared" si="9"/>
        <v>429.3574213</v>
      </c>
      <c r="N141" s="27">
        <f t="shared" si="10"/>
        <v>7.276273976</v>
      </c>
      <c r="O141" s="24"/>
      <c r="P141" s="24"/>
      <c r="Q141" s="24"/>
      <c r="R141" s="26"/>
      <c r="S141" s="14">
        <f t="shared" si="13"/>
        <v>6.681774253</v>
      </c>
      <c r="U141" s="21"/>
      <c r="V141" s="21"/>
    </row>
    <row r="142">
      <c r="A142" s="11">
        <v>130.0</v>
      </c>
      <c r="B142" s="11">
        <v>1.41996086956521E9</v>
      </c>
      <c r="C142" s="2">
        <v>-102.4202347</v>
      </c>
      <c r="D142" s="24">
        <f t="shared" si="1"/>
        <v>-439130.4348</v>
      </c>
      <c r="E142" s="25">
        <f t="shared" si="2"/>
        <v>91.82961321</v>
      </c>
      <c r="F142" s="24">
        <f t="shared" si="3"/>
        <v>0.000209116941</v>
      </c>
      <c r="G142" s="24">
        <f t="shared" si="4"/>
        <v>0</v>
      </c>
      <c r="H142" s="26">
        <f t="shared" si="5"/>
        <v>0</v>
      </c>
      <c r="I142" s="24">
        <f t="shared" si="6"/>
        <v>0</v>
      </c>
      <c r="J142" s="24">
        <f t="shared" si="7"/>
        <v>0</v>
      </c>
      <c r="K142" s="24"/>
      <c r="L142" s="24">
        <f t="shared" si="8"/>
        <v>435.5948108</v>
      </c>
      <c r="M142" s="14">
        <f t="shared" si="9"/>
        <v>429.2786737</v>
      </c>
      <c r="N142" s="27">
        <f t="shared" si="10"/>
        <v>6.316137095</v>
      </c>
      <c r="O142" s="24"/>
      <c r="P142" s="24"/>
      <c r="Q142" s="24"/>
      <c r="R142" s="26"/>
      <c r="S142" s="14">
        <f t="shared" si="13"/>
        <v>5.800084269</v>
      </c>
      <c r="U142" s="21"/>
      <c r="V142" s="21"/>
    </row>
    <row r="143">
      <c r="A143" s="11">
        <v>131.0</v>
      </c>
      <c r="B143" s="11">
        <v>1.4199652173913E9</v>
      </c>
      <c r="C143" s="2">
        <v>-102.4112625</v>
      </c>
      <c r="D143" s="24">
        <f t="shared" si="1"/>
        <v>-434782.6087</v>
      </c>
      <c r="E143" s="25">
        <f t="shared" si="2"/>
        <v>90.91131708</v>
      </c>
      <c r="F143" s="24">
        <f t="shared" si="3"/>
        <v>0.0002090960293</v>
      </c>
      <c r="G143" s="24">
        <f t="shared" si="4"/>
        <v>0</v>
      </c>
      <c r="H143" s="26">
        <f t="shared" si="5"/>
        <v>0</v>
      </c>
      <c r="I143" s="24">
        <f t="shared" si="6"/>
        <v>0</v>
      </c>
      <c r="J143" s="24">
        <f t="shared" si="7"/>
        <v>0</v>
      </c>
      <c r="K143" s="24"/>
      <c r="L143" s="24">
        <f t="shared" si="8"/>
        <v>436.4956474</v>
      </c>
      <c r="M143" s="14">
        <f t="shared" si="9"/>
        <v>429.2000532</v>
      </c>
      <c r="N143" s="27">
        <f t="shared" si="10"/>
        <v>7.295594117</v>
      </c>
      <c r="O143" s="24"/>
      <c r="P143" s="24"/>
      <c r="Q143" s="24"/>
      <c r="R143" s="26"/>
      <c r="S143" s="14">
        <f t="shared" si="13"/>
        <v>6.699515848</v>
      </c>
      <c r="U143" s="21"/>
      <c r="V143" s="21"/>
    </row>
    <row r="144">
      <c r="A144" s="11">
        <v>132.0</v>
      </c>
      <c r="B144" s="11">
        <v>1.41996956521739E9</v>
      </c>
      <c r="C144" s="2">
        <v>-102.3310242</v>
      </c>
      <c r="D144" s="24">
        <f t="shared" si="1"/>
        <v>-430434.7826</v>
      </c>
      <c r="E144" s="25">
        <f t="shared" si="2"/>
        <v>89.99302095</v>
      </c>
      <c r="F144" s="24">
        <f t="shared" si="3"/>
        <v>0.0002090746951</v>
      </c>
      <c r="G144" s="24">
        <f t="shared" si="4"/>
        <v>0</v>
      </c>
      <c r="H144" s="26">
        <f t="shared" si="5"/>
        <v>0</v>
      </c>
      <c r="I144" s="24">
        <f t="shared" si="6"/>
        <v>0</v>
      </c>
      <c r="J144" s="24">
        <f t="shared" si="7"/>
        <v>0</v>
      </c>
      <c r="K144" s="24"/>
      <c r="L144" s="24">
        <f t="shared" si="8"/>
        <v>444.6351041</v>
      </c>
      <c r="M144" s="14">
        <f t="shared" si="9"/>
        <v>429.1215583</v>
      </c>
      <c r="N144" s="27">
        <f t="shared" si="10"/>
        <v>15.51354572</v>
      </c>
      <c r="O144" s="24"/>
      <c r="P144" s="24"/>
      <c r="Q144" s="24"/>
      <c r="R144" s="26"/>
      <c r="S144" s="14">
        <f t="shared" si="13"/>
        <v>14.24602904</v>
      </c>
      <c r="U144" s="21"/>
      <c r="V144" s="21"/>
    </row>
    <row r="145">
      <c r="A145" s="11">
        <v>133.0</v>
      </c>
      <c r="B145" s="11">
        <v>1.41997391304347E9</v>
      </c>
      <c r="C145" s="2">
        <v>-102.3430176</v>
      </c>
      <c r="D145" s="24">
        <f t="shared" si="1"/>
        <v>-426086.9565</v>
      </c>
      <c r="E145" s="25">
        <f t="shared" si="2"/>
        <v>89.07472482</v>
      </c>
      <c r="F145" s="24">
        <f t="shared" si="3"/>
        <v>0.0002090529256</v>
      </c>
      <c r="G145" s="24">
        <f t="shared" si="4"/>
        <v>0</v>
      </c>
      <c r="H145" s="26">
        <f t="shared" si="5"/>
        <v>0</v>
      </c>
      <c r="I145" s="24">
        <f t="shared" si="6"/>
        <v>0</v>
      </c>
      <c r="J145" s="24">
        <f t="shared" si="7"/>
        <v>0</v>
      </c>
      <c r="K145" s="24"/>
      <c r="L145" s="24">
        <f t="shared" si="8"/>
        <v>443.4089015</v>
      </c>
      <c r="M145" s="14">
        <f t="shared" si="9"/>
        <v>429.0431873</v>
      </c>
      <c r="N145" s="27">
        <f t="shared" si="10"/>
        <v>14.36571415</v>
      </c>
      <c r="O145" s="24"/>
      <c r="P145" s="24"/>
      <c r="Q145" s="24"/>
      <c r="R145" s="26"/>
      <c r="S145" s="14">
        <f t="shared" si="13"/>
        <v>13.19197975</v>
      </c>
      <c r="U145" s="21"/>
      <c r="V145" s="21"/>
    </row>
    <row r="146">
      <c r="A146" s="11">
        <v>134.0</v>
      </c>
      <c r="B146" s="11">
        <v>1.41997826086956E9</v>
      </c>
      <c r="C146" s="2">
        <v>-102.3652039</v>
      </c>
      <c r="D146" s="24">
        <f t="shared" si="1"/>
        <v>-421739.1304</v>
      </c>
      <c r="E146" s="25">
        <f t="shared" si="2"/>
        <v>88.15642869</v>
      </c>
      <c r="F146" s="24">
        <f t="shared" si="3"/>
        <v>0.0002090307072</v>
      </c>
      <c r="G146" s="24">
        <f t="shared" si="4"/>
        <v>0</v>
      </c>
      <c r="H146" s="26">
        <f t="shared" si="5"/>
        <v>0</v>
      </c>
      <c r="I146" s="24">
        <f t="shared" si="6"/>
        <v>0</v>
      </c>
      <c r="J146" s="24">
        <f t="shared" si="7"/>
        <v>0</v>
      </c>
      <c r="K146" s="24"/>
      <c r="L146" s="24">
        <f t="shared" si="8"/>
        <v>441.1494858</v>
      </c>
      <c r="M146" s="14">
        <f t="shared" si="9"/>
        <v>428.9649386</v>
      </c>
      <c r="N146" s="27">
        <f t="shared" si="10"/>
        <v>12.18454723</v>
      </c>
      <c r="O146" s="24"/>
      <c r="P146" s="24"/>
      <c r="Q146" s="24"/>
      <c r="R146" s="26"/>
      <c r="S146" s="14">
        <f t="shared" si="13"/>
        <v>11.18902258</v>
      </c>
      <c r="U146" s="21"/>
      <c r="V146" s="21"/>
    </row>
    <row r="147">
      <c r="A147" s="11">
        <v>135.0</v>
      </c>
      <c r="B147" s="11">
        <v>1.41998260869565E9</v>
      </c>
      <c r="C147" s="2">
        <v>-102.3227386</v>
      </c>
      <c r="D147" s="24">
        <f t="shared" si="1"/>
        <v>-417391.3043</v>
      </c>
      <c r="E147" s="25">
        <f t="shared" si="2"/>
        <v>87.23813255</v>
      </c>
      <c r="F147" s="24">
        <f t="shared" si="3"/>
        <v>0.0002090080259</v>
      </c>
      <c r="G147" s="24">
        <f t="shared" si="4"/>
        <v>0</v>
      </c>
      <c r="H147" s="26">
        <f t="shared" si="5"/>
        <v>0</v>
      </c>
      <c r="I147" s="24">
        <f t="shared" si="6"/>
        <v>0</v>
      </c>
      <c r="J147" s="24">
        <f t="shared" si="7"/>
        <v>0</v>
      </c>
      <c r="K147" s="24"/>
      <c r="L147" s="24">
        <f t="shared" si="8"/>
        <v>445.4842019</v>
      </c>
      <c r="M147" s="14">
        <f t="shared" si="9"/>
        <v>428.8868105</v>
      </c>
      <c r="N147" s="27">
        <f t="shared" si="10"/>
        <v>16.59739141</v>
      </c>
      <c r="O147" s="24"/>
      <c r="P147" s="24"/>
      <c r="Q147" s="24"/>
      <c r="R147" s="26"/>
      <c r="S147" s="14">
        <f t="shared" si="13"/>
        <v>15.24132035</v>
      </c>
      <c r="U147" s="21"/>
      <c r="V147" s="21"/>
    </row>
    <row r="148">
      <c r="A148" s="11">
        <v>136.0</v>
      </c>
      <c r="B148" s="11">
        <v>1.41998695652173E9</v>
      </c>
      <c r="C148" s="2">
        <v>-102.3129349</v>
      </c>
      <c r="D148" s="24">
        <f t="shared" si="1"/>
        <v>-413043.4783</v>
      </c>
      <c r="E148" s="25">
        <f t="shared" si="2"/>
        <v>86.31983642</v>
      </c>
      <c r="F148" s="24">
        <f t="shared" si="3"/>
        <v>0.0002089848671</v>
      </c>
      <c r="G148" s="24">
        <f t="shared" si="4"/>
        <v>0</v>
      </c>
      <c r="H148" s="26">
        <f t="shared" si="5"/>
        <v>0</v>
      </c>
      <c r="I148" s="24">
        <f t="shared" si="6"/>
        <v>0</v>
      </c>
      <c r="J148" s="24">
        <f t="shared" si="7"/>
        <v>0</v>
      </c>
      <c r="K148" s="24"/>
      <c r="L148" s="24">
        <f t="shared" si="8"/>
        <v>446.4909673</v>
      </c>
      <c r="M148" s="14">
        <f t="shared" si="9"/>
        <v>428.8088014</v>
      </c>
      <c r="N148" s="27">
        <f t="shared" si="10"/>
        <v>17.68216589</v>
      </c>
      <c r="O148" s="24"/>
      <c r="P148" s="24"/>
      <c r="Q148" s="24"/>
      <c r="R148" s="26"/>
      <c r="S148" s="14">
        <f t="shared" si="13"/>
        <v>16.23746455</v>
      </c>
      <c r="U148" s="21"/>
      <c r="V148" s="21"/>
    </row>
    <row r="149">
      <c r="A149" s="11">
        <v>137.0</v>
      </c>
      <c r="B149" s="11">
        <v>1.41999130434782E9</v>
      </c>
      <c r="C149" s="2">
        <v>-102.2850266</v>
      </c>
      <c r="D149" s="24">
        <f t="shared" si="1"/>
        <v>-408695.6522</v>
      </c>
      <c r="E149" s="25">
        <f t="shared" si="2"/>
        <v>85.40154029</v>
      </c>
      <c r="F149" s="24">
        <f t="shared" si="3"/>
        <v>0.0002089612156</v>
      </c>
      <c r="G149" s="24">
        <f t="shared" si="4"/>
        <v>0</v>
      </c>
      <c r="H149" s="26">
        <f t="shared" si="5"/>
        <v>0</v>
      </c>
      <c r="I149" s="24">
        <f t="shared" si="6"/>
        <v>0</v>
      </c>
      <c r="J149" s="24">
        <f t="shared" si="7"/>
        <v>0</v>
      </c>
      <c r="K149" s="24"/>
      <c r="L149" s="24">
        <f t="shared" si="8"/>
        <v>449.3694122</v>
      </c>
      <c r="M149" s="14">
        <f t="shared" si="9"/>
        <v>428.7309098</v>
      </c>
      <c r="N149" s="27">
        <f t="shared" si="10"/>
        <v>20.63850239</v>
      </c>
      <c r="O149" s="24"/>
      <c r="P149" s="24"/>
      <c r="Q149" s="24"/>
      <c r="R149" s="26"/>
      <c r="S149" s="14">
        <f t="shared" si="13"/>
        <v>18.95225693</v>
      </c>
      <c r="U149" s="21"/>
      <c r="V149" s="21"/>
    </row>
    <row r="150">
      <c r="A150" s="11">
        <v>138.0</v>
      </c>
      <c r="B150" s="11">
        <v>1.41999565217391E9</v>
      </c>
      <c r="C150" s="2">
        <v>-102.2675858</v>
      </c>
      <c r="D150" s="24">
        <f t="shared" si="1"/>
        <v>-404347.8261</v>
      </c>
      <c r="E150" s="25">
        <f t="shared" si="2"/>
        <v>84.48324416</v>
      </c>
      <c r="F150" s="24">
        <f t="shared" si="3"/>
        <v>0.0002089370554</v>
      </c>
      <c r="G150" s="24">
        <f t="shared" si="4"/>
        <v>0</v>
      </c>
      <c r="H150" s="26">
        <f t="shared" si="5"/>
        <v>0</v>
      </c>
      <c r="I150" s="24">
        <f t="shared" si="6"/>
        <v>0</v>
      </c>
      <c r="J150" s="24">
        <f t="shared" si="7"/>
        <v>0</v>
      </c>
      <c r="K150" s="24"/>
      <c r="L150" s="24">
        <f t="shared" si="8"/>
        <v>451.1776599</v>
      </c>
      <c r="M150" s="14">
        <f t="shared" si="9"/>
        <v>428.6531339</v>
      </c>
      <c r="N150" s="27">
        <f t="shared" si="10"/>
        <v>22.52452602</v>
      </c>
      <c r="O150" s="24"/>
      <c r="P150" s="24"/>
      <c r="Q150" s="24"/>
      <c r="R150" s="26"/>
      <c r="S150" s="14">
        <f t="shared" si="13"/>
        <v>20.68418509</v>
      </c>
      <c r="U150" s="21"/>
      <c r="V150" s="21"/>
    </row>
    <row r="151">
      <c r="A151" s="11">
        <v>139.0</v>
      </c>
      <c r="B151" s="11">
        <v>1.42E9</v>
      </c>
      <c r="C151" s="2">
        <v>-102.2381439</v>
      </c>
      <c r="D151" s="24">
        <f t="shared" si="1"/>
        <v>-400000</v>
      </c>
      <c r="E151" s="25">
        <f t="shared" si="2"/>
        <v>83.56494803</v>
      </c>
      <c r="F151" s="24">
        <f t="shared" si="3"/>
        <v>0.0002089123701</v>
      </c>
      <c r="G151" s="24">
        <f t="shared" si="4"/>
        <v>0</v>
      </c>
      <c r="H151" s="26">
        <f t="shared" si="5"/>
        <v>0</v>
      </c>
      <c r="I151" s="24">
        <f t="shared" si="6"/>
        <v>0</v>
      </c>
      <c r="J151" s="24">
        <f t="shared" si="7"/>
        <v>0</v>
      </c>
      <c r="K151" s="24"/>
      <c r="L151" s="24">
        <f t="shared" si="8"/>
        <v>454.2466963</v>
      </c>
      <c r="M151" s="14">
        <f t="shared" si="9"/>
        <v>428.5754721</v>
      </c>
      <c r="N151" s="27">
        <f t="shared" si="10"/>
        <v>25.67122414</v>
      </c>
      <c r="O151" s="24"/>
      <c r="P151" s="24"/>
      <c r="Q151" s="24"/>
      <c r="R151" s="26"/>
      <c r="S151" s="14">
        <f t="shared" si="13"/>
        <v>23.57378585</v>
      </c>
      <c r="U151" s="21"/>
      <c r="V151" s="21"/>
    </row>
    <row r="152">
      <c r="A152" s="11">
        <v>140.0</v>
      </c>
      <c r="B152" s="11">
        <v>1.42000434782608E9</v>
      </c>
      <c r="C152" s="2">
        <v>-102.2298584</v>
      </c>
      <c r="D152" s="24">
        <f t="shared" si="1"/>
        <v>-395652.1739</v>
      </c>
      <c r="E152" s="25">
        <f t="shared" si="2"/>
        <v>82.64665189</v>
      </c>
      <c r="F152" s="24">
        <f t="shared" si="3"/>
        <v>0.0002088871421</v>
      </c>
      <c r="G152" s="24">
        <f t="shared" si="4"/>
        <v>0</v>
      </c>
      <c r="H152" s="26">
        <f t="shared" si="5"/>
        <v>0</v>
      </c>
      <c r="I152" s="24">
        <f t="shared" si="6"/>
        <v>0</v>
      </c>
      <c r="J152" s="24">
        <f t="shared" si="7"/>
        <v>0</v>
      </c>
      <c r="K152" s="24"/>
      <c r="L152" s="24">
        <f t="shared" si="8"/>
        <v>455.1141384</v>
      </c>
      <c r="M152" s="14">
        <f t="shared" si="9"/>
        <v>428.4979229</v>
      </c>
      <c r="N152" s="27">
        <f t="shared" si="10"/>
        <v>26.61621553</v>
      </c>
      <c r="O152" s="24"/>
      <c r="P152" s="24"/>
      <c r="Q152" s="24"/>
      <c r="R152" s="26"/>
      <c r="S152" s="14">
        <f t="shared" si="13"/>
        <v>24.44156779</v>
      </c>
      <c r="U152" s="21"/>
      <c r="V152" s="21"/>
    </row>
    <row r="153">
      <c r="A153" s="11">
        <v>141.0</v>
      </c>
      <c r="B153" s="11">
        <v>1.42000869565217E9</v>
      </c>
      <c r="C153" s="2">
        <v>-102.2356339</v>
      </c>
      <c r="D153" s="24">
        <f t="shared" si="1"/>
        <v>-391304.3478</v>
      </c>
      <c r="E153" s="25">
        <f t="shared" si="2"/>
        <v>81.72835576</v>
      </c>
      <c r="F153" s="24">
        <f t="shared" si="3"/>
        <v>0.0002088613536</v>
      </c>
      <c r="G153" s="24">
        <f t="shared" si="4"/>
        <v>0</v>
      </c>
      <c r="H153" s="26">
        <f t="shared" si="5"/>
        <v>0</v>
      </c>
      <c r="I153" s="24">
        <f t="shared" si="6"/>
        <v>0</v>
      </c>
      <c r="J153" s="24">
        <f t="shared" si="7"/>
        <v>0</v>
      </c>
      <c r="K153" s="24"/>
      <c r="L153" s="24">
        <f t="shared" si="8"/>
        <v>454.5093035</v>
      </c>
      <c r="M153" s="14">
        <f t="shared" si="9"/>
        <v>428.4204846</v>
      </c>
      <c r="N153" s="27">
        <f t="shared" si="10"/>
        <v>26.08881893</v>
      </c>
      <c r="O153" s="24"/>
      <c r="P153" s="24"/>
      <c r="Q153" s="24"/>
      <c r="R153" s="26"/>
      <c r="S153" s="14">
        <f t="shared" si="13"/>
        <v>23.95726147</v>
      </c>
      <c r="U153" s="21"/>
      <c r="V153" s="21"/>
    </row>
    <row r="154">
      <c r="A154" s="11">
        <v>142.0</v>
      </c>
      <c r="B154" s="11">
        <v>1.42001304347826E9</v>
      </c>
      <c r="C154" s="2">
        <v>-102.1117401</v>
      </c>
      <c r="D154" s="24">
        <f t="shared" si="1"/>
        <v>-386956.5217</v>
      </c>
      <c r="E154" s="25">
        <f t="shared" si="2"/>
        <v>80.81005963</v>
      </c>
      <c r="F154" s="24">
        <f t="shared" si="3"/>
        <v>0.0002088349856</v>
      </c>
      <c r="G154" s="24">
        <f t="shared" si="4"/>
        <v>0</v>
      </c>
      <c r="H154" s="26">
        <f t="shared" si="5"/>
        <v>0</v>
      </c>
      <c r="I154" s="24">
        <f t="shared" si="6"/>
        <v>0</v>
      </c>
      <c r="J154" s="24">
        <f t="shared" si="7"/>
        <v>0</v>
      </c>
      <c r="K154" s="24"/>
      <c r="L154" s="24">
        <f t="shared" si="8"/>
        <v>467.6620805</v>
      </c>
      <c r="M154" s="14">
        <f t="shared" si="9"/>
        <v>428.3431555</v>
      </c>
      <c r="N154" s="27">
        <f t="shared" si="10"/>
        <v>39.31892495</v>
      </c>
      <c r="O154" s="24"/>
      <c r="P154" s="24"/>
      <c r="Q154" s="24"/>
      <c r="R154" s="26"/>
      <c r="S154" s="14">
        <f t="shared" si="13"/>
        <v>36.10641673</v>
      </c>
      <c r="U154" s="21"/>
      <c r="V154" s="21"/>
    </row>
    <row r="155">
      <c r="A155" s="11">
        <v>143.0</v>
      </c>
      <c r="B155" s="11">
        <v>1.42001739130434E9</v>
      </c>
      <c r="C155" s="2">
        <v>-102.1012115</v>
      </c>
      <c r="D155" s="24">
        <f t="shared" si="1"/>
        <v>-382608.6957</v>
      </c>
      <c r="E155" s="25">
        <f t="shared" si="2"/>
        <v>79.8917635</v>
      </c>
      <c r="F155" s="24">
        <f t="shared" si="3"/>
        <v>0.0002088080182</v>
      </c>
      <c r="G155" s="24">
        <f t="shared" si="4"/>
        <v>0</v>
      </c>
      <c r="H155" s="26">
        <f t="shared" si="5"/>
        <v>0</v>
      </c>
      <c r="I155" s="24">
        <f t="shared" si="6"/>
        <v>0</v>
      </c>
      <c r="J155" s="24">
        <f t="shared" si="7"/>
        <v>0</v>
      </c>
      <c r="K155" s="24"/>
      <c r="L155" s="24">
        <f t="shared" si="8"/>
        <v>468.7972089</v>
      </c>
      <c r="M155" s="14">
        <f t="shared" si="9"/>
        <v>428.2659341</v>
      </c>
      <c r="N155" s="27">
        <f t="shared" si="10"/>
        <v>40.5312748</v>
      </c>
      <c r="O155" s="24"/>
      <c r="P155" s="24"/>
      <c r="Q155" s="24"/>
      <c r="R155" s="26"/>
      <c r="S155" s="14">
        <f t="shared" si="13"/>
        <v>37.21971291</v>
      </c>
      <c r="U155" s="21"/>
      <c r="V155" s="21"/>
    </row>
    <row r="156">
      <c r="A156" s="11">
        <v>144.0</v>
      </c>
      <c r="B156" s="11">
        <v>1.42002173913043E9</v>
      </c>
      <c r="C156" s="2">
        <v>-102.1048126</v>
      </c>
      <c r="D156" s="24">
        <f t="shared" si="1"/>
        <v>-378260.8696</v>
      </c>
      <c r="E156" s="25">
        <f t="shared" si="2"/>
        <v>78.97346736</v>
      </c>
      <c r="F156" s="24">
        <f t="shared" si="3"/>
        <v>0.000208780431</v>
      </c>
      <c r="G156" s="24">
        <f t="shared" si="4"/>
        <v>0</v>
      </c>
      <c r="H156" s="26">
        <f t="shared" si="5"/>
        <v>0</v>
      </c>
      <c r="I156" s="24">
        <f t="shared" si="6"/>
        <v>0</v>
      </c>
      <c r="J156" s="24">
        <f t="shared" si="7"/>
        <v>0</v>
      </c>
      <c r="K156" s="24"/>
      <c r="L156" s="24">
        <f t="shared" si="8"/>
        <v>468.408651</v>
      </c>
      <c r="M156" s="14">
        <f t="shared" si="9"/>
        <v>428.1888188</v>
      </c>
      <c r="N156" s="27">
        <f t="shared" si="10"/>
        <v>40.21983219</v>
      </c>
      <c r="O156" s="24"/>
      <c r="P156" s="24"/>
      <c r="Q156" s="24"/>
      <c r="R156" s="26"/>
      <c r="S156" s="14">
        <f t="shared" si="13"/>
        <v>36.93371627</v>
      </c>
      <c r="U156" s="21"/>
      <c r="V156" s="21"/>
    </row>
    <row r="157">
      <c r="A157" s="11">
        <v>145.0</v>
      </c>
      <c r="B157" s="11">
        <v>1.42002608695652E9</v>
      </c>
      <c r="C157" s="2">
        <v>-102.1059189</v>
      </c>
      <c r="D157" s="24">
        <f t="shared" si="1"/>
        <v>-373913.0435</v>
      </c>
      <c r="E157" s="25">
        <f t="shared" si="2"/>
        <v>78.05517123</v>
      </c>
      <c r="F157" s="24">
        <f t="shared" si="3"/>
        <v>0.0002087522021</v>
      </c>
      <c r="G157" s="24">
        <f t="shared" si="4"/>
        <v>0</v>
      </c>
      <c r="H157" s="26">
        <f t="shared" si="5"/>
        <v>0</v>
      </c>
      <c r="I157" s="24">
        <f t="shared" si="6"/>
        <v>0</v>
      </c>
      <c r="J157" s="24">
        <f t="shared" si="7"/>
        <v>0</v>
      </c>
      <c r="K157" s="24"/>
      <c r="L157" s="24">
        <f t="shared" si="8"/>
        <v>468.2893461</v>
      </c>
      <c r="M157" s="14">
        <f t="shared" si="9"/>
        <v>428.1118078</v>
      </c>
      <c r="N157" s="27">
        <f t="shared" si="10"/>
        <v>40.17753828</v>
      </c>
      <c r="O157" s="24"/>
      <c r="P157" s="24"/>
      <c r="Q157" s="24"/>
      <c r="R157" s="26"/>
      <c r="S157" s="14">
        <f t="shared" si="13"/>
        <v>36.89487803</v>
      </c>
      <c r="U157" s="21"/>
      <c r="V157" s="21"/>
    </row>
    <row r="158">
      <c r="A158" s="11">
        <v>146.0</v>
      </c>
      <c r="B158" s="11">
        <v>1.4200304347826E9</v>
      </c>
      <c r="C158" s="2">
        <v>-102.0554352</v>
      </c>
      <c r="D158" s="24">
        <f t="shared" si="1"/>
        <v>-369565.2174</v>
      </c>
      <c r="E158" s="25">
        <f t="shared" si="2"/>
        <v>77.1368751</v>
      </c>
      <c r="F158" s="24">
        <f t="shared" si="3"/>
        <v>0.0002087233091</v>
      </c>
      <c r="G158" s="24">
        <f t="shared" si="4"/>
        <v>0</v>
      </c>
      <c r="H158" s="26">
        <f t="shared" si="5"/>
        <v>0</v>
      </c>
      <c r="I158" s="24">
        <f t="shared" si="6"/>
        <v>0</v>
      </c>
      <c r="J158" s="24">
        <f t="shared" si="7"/>
        <v>0</v>
      </c>
      <c r="K158" s="24"/>
      <c r="L158" s="24">
        <f t="shared" si="8"/>
        <v>473.7646442</v>
      </c>
      <c r="M158" s="14">
        <f t="shared" si="9"/>
        <v>428.0348996</v>
      </c>
      <c r="N158" s="27">
        <f t="shared" si="10"/>
        <v>45.72974464</v>
      </c>
      <c r="O158" s="24"/>
      <c r="P158" s="24"/>
      <c r="Q158" s="24"/>
      <c r="R158" s="26"/>
      <c r="S158" s="14">
        <f t="shared" si="13"/>
        <v>41.99344765</v>
      </c>
      <c r="U158" s="21"/>
      <c r="V158" s="21"/>
    </row>
    <row r="159">
      <c r="A159" s="11">
        <v>147.0</v>
      </c>
      <c r="B159" s="11">
        <v>1.42003478260869E9</v>
      </c>
      <c r="C159" s="2">
        <v>-102.0323334</v>
      </c>
      <c r="D159" s="24">
        <f t="shared" si="1"/>
        <v>-365217.3913</v>
      </c>
      <c r="E159" s="25">
        <f t="shared" si="2"/>
        <v>76.21857897</v>
      </c>
      <c r="F159" s="24">
        <f t="shared" si="3"/>
        <v>0.0002086937281</v>
      </c>
      <c r="G159" s="24">
        <f t="shared" si="4"/>
        <v>0</v>
      </c>
      <c r="H159" s="26">
        <f t="shared" si="5"/>
        <v>0</v>
      </c>
      <c r="I159" s="24">
        <f t="shared" si="6"/>
        <v>0</v>
      </c>
      <c r="J159" s="24">
        <f t="shared" si="7"/>
        <v>0</v>
      </c>
      <c r="K159" s="24"/>
      <c r="L159" s="24">
        <f t="shared" si="8"/>
        <v>476.291496</v>
      </c>
      <c r="M159" s="14">
        <f t="shared" si="9"/>
        <v>427.9580925</v>
      </c>
      <c r="N159" s="27">
        <f t="shared" si="10"/>
        <v>48.33340341</v>
      </c>
      <c r="O159" s="24"/>
      <c r="P159" s="24"/>
      <c r="Q159" s="24"/>
      <c r="R159" s="26"/>
      <c r="S159" s="14">
        <f t="shared" si="13"/>
        <v>44.38437743</v>
      </c>
      <c r="U159" s="21"/>
      <c r="V159" s="21"/>
    </row>
    <row r="160">
      <c r="A160" s="11">
        <v>148.0</v>
      </c>
      <c r="B160" s="11">
        <v>1.42003913043478E9</v>
      </c>
      <c r="C160" s="2">
        <v>-101.9998016</v>
      </c>
      <c r="D160" s="24">
        <f t="shared" si="1"/>
        <v>-360869.5652</v>
      </c>
      <c r="E160" s="25">
        <f t="shared" si="2"/>
        <v>75.30028284</v>
      </c>
      <c r="F160" s="24">
        <f t="shared" si="3"/>
        <v>0.0002086634344</v>
      </c>
      <c r="G160" s="24">
        <f t="shared" si="4"/>
        <v>0</v>
      </c>
      <c r="H160" s="26">
        <f t="shared" si="5"/>
        <v>0</v>
      </c>
      <c r="I160" s="24">
        <f t="shared" si="6"/>
        <v>0</v>
      </c>
      <c r="J160" s="24">
        <f t="shared" si="7"/>
        <v>0</v>
      </c>
      <c r="K160" s="24"/>
      <c r="L160" s="24">
        <f t="shared" si="8"/>
        <v>479.87266</v>
      </c>
      <c r="M160" s="14">
        <f t="shared" si="9"/>
        <v>427.881385</v>
      </c>
      <c r="N160" s="27">
        <f t="shared" si="10"/>
        <v>51.99127497</v>
      </c>
      <c r="O160" s="24"/>
      <c r="P160" s="24"/>
      <c r="Q160" s="24"/>
      <c r="R160" s="26"/>
      <c r="S160" s="14">
        <f t="shared" si="13"/>
        <v>47.74338663</v>
      </c>
      <c r="U160" s="21"/>
      <c r="V160" s="21"/>
    </row>
    <row r="161">
      <c r="A161" s="11">
        <v>149.0</v>
      </c>
      <c r="B161" s="11">
        <v>1.42004347826087E9</v>
      </c>
      <c r="C161" s="2">
        <v>-101.9676514</v>
      </c>
      <c r="D161" s="24">
        <f t="shared" si="1"/>
        <v>-356521.7391</v>
      </c>
      <c r="E161" s="25">
        <f t="shared" si="2"/>
        <v>74.3819867</v>
      </c>
      <c r="F161" s="24">
        <f t="shared" si="3"/>
        <v>0.0002086324017</v>
      </c>
      <c r="G161" s="24">
        <f t="shared" si="4"/>
        <v>0</v>
      </c>
      <c r="H161" s="26">
        <f t="shared" si="5"/>
        <v>0</v>
      </c>
      <c r="I161" s="24">
        <f t="shared" si="6"/>
        <v>0</v>
      </c>
      <c r="J161" s="24">
        <f t="shared" si="7"/>
        <v>0</v>
      </c>
      <c r="K161" s="24"/>
      <c r="L161" s="24">
        <f t="shared" si="8"/>
        <v>483.4382703</v>
      </c>
      <c r="M161" s="14">
        <f t="shared" si="9"/>
        <v>427.8047754</v>
      </c>
      <c r="N161" s="27">
        <f t="shared" si="10"/>
        <v>55.6334949</v>
      </c>
      <c r="O161" s="24"/>
      <c r="P161" s="24"/>
      <c r="Q161" s="24"/>
      <c r="R161" s="26"/>
      <c r="S161" s="14">
        <f t="shared" si="13"/>
        <v>51.08802322</v>
      </c>
      <c r="U161" s="21"/>
      <c r="V161" s="21"/>
    </row>
    <row r="162">
      <c r="A162" s="11">
        <v>150.0</v>
      </c>
      <c r="B162" s="11">
        <v>1.42004782608695E9</v>
      </c>
      <c r="C162" s="2">
        <v>-101.9918365</v>
      </c>
      <c r="D162" s="24">
        <f t="shared" si="1"/>
        <v>-352173.913</v>
      </c>
      <c r="E162" s="25">
        <f t="shared" si="2"/>
        <v>73.46369057</v>
      </c>
      <c r="F162" s="24">
        <f t="shared" si="3"/>
        <v>0.0002086006029</v>
      </c>
      <c r="G162" s="24">
        <f t="shared" si="4"/>
        <v>0</v>
      </c>
      <c r="H162" s="26">
        <f t="shared" si="5"/>
        <v>0</v>
      </c>
      <c r="I162" s="24">
        <f t="shared" si="6"/>
        <v>0</v>
      </c>
      <c r="J162" s="24">
        <f t="shared" si="7"/>
        <v>0</v>
      </c>
      <c r="K162" s="24"/>
      <c r="L162" s="24">
        <f t="shared" si="8"/>
        <v>480.7535694</v>
      </c>
      <c r="M162" s="14">
        <f t="shared" si="9"/>
        <v>427.7282621</v>
      </c>
      <c r="N162" s="27">
        <f t="shared" si="10"/>
        <v>53.02530734</v>
      </c>
      <c r="O162" s="24"/>
      <c r="P162" s="24"/>
      <c r="Q162" s="24"/>
      <c r="R162" s="26"/>
      <c r="S162" s="14">
        <f t="shared" si="13"/>
        <v>48.69293467</v>
      </c>
      <c r="U162" s="21"/>
      <c r="V162" s="21"/>
    </row>
    <row r="163">
      <c r="A163" s="11">
        <v>151.0</v>
      </c>
      <c r="B163" s="11">
        <v>1.42005217391304E9</v>
      </c>
      <c r="C163" s="2">
        <v>-101.9266052</v>
      </c>
      <c r="D163" s="24">
        <f t="shared" si="1"/>
        <v>-347826.087</v>
      </c>
      <c r="E163" s="25">
        <f t="shared" si="2"/>
        <v>72.54539444</v>
      </c>
      <c r="F163" s="24">
        <f t="shared" si="3"/>
        <v>0.000208568009</v>
      </c>
      <c r="G163" s="24">
        <f t="shared" si="4"/>
        <v>0</v>
      </c>
      <c r="H163" s="26">
        <f t="shared" si="5"/>
        <v>0</v>
      </c>
      <c r="I163" s="24">
        <f t="shared" si="6"/>
        <v>0</v>
      </c>
      <c r="J163" s="24">
        <f t="shared" si="7"/>
        <v>0</v>
      </c>
      <c r="K163" s="24"/>
      <c r="L163" s="24">
        <f t="shared" si="8"/>
        <v>488.0290198</v>
      </c>
      <c r="M163" s="14">
        <f t="shared" si="9"/>
        <v>427.6518434</v>
      </c>
      <c r="N163" s="27">
        <f t="shared" si="10"/>
        <v>60.37717648</v>
      </c>
      <c r="O163" s="24"/>
      <c r="P163" s="24"/>
      <c r="Q163" s="24"/>
      <c r="R163" s="26"/>
      <c r="S163" s="14">
        <f t="shared" si="13"/>
        <v>55.44412754</v>
      </c>
      <c r="U163" s="21"/>
      <c r="V163" s="21"/>
    </row>
    <row r="164">
      <c r="A164" s="11">
        <v>152.0</v>
      </c>
      <c r="B164" s="11">
        <v>1.42005652173913E9</v>
      </c>
      <c r="C164" s="2">
        <v>-101.9272614</v>
      </c>
      <c r="D164" s="24">
        <f t="shared" si="1"/>
        <v>-343478.2609</v>
      </c>
      <c r="E164" s="25">
        <f t="shared" si="2"/>
        <v>71.62709831</v>
      </c>
      <c r="F164" s="24">
        <f t="shared" si="3"/>
        <v>0.00020853459</v>
      </c>
      <c r="G164" s="24">
        <f t="shared" si="4"/>
        <v>0</v>
      </c>
      <c r="H164" s="26">
        <f t="shared" si="5"/>
        <v>0</v>
      </c>
      <c r="I164" s="24">
        <f t="shared" si="6"/>
        <v>0</v>
      </c>
      <c r="J164" s="24">
        <f t="shared" si="7"/>
        <v>0</v>
      </c>
      <c r="K164" s="24"/>
      <c r="L164" s="24">
        <f t="shared" si="8"/>
        <v>487.9552864</v>
      </c>
      <c r="M164" s="14">
        <f t="shared" si="9"/>
        <v>427.5755177</v>
      </c>
      <c r="N164" s="27">
        <f t="shared" si="10"/>
        <v>60.37976866</v>
      </c>
      <c r="O164" s="24"/>
      <c r="P164" s="24"/>
      <c r="Q164" s="24"/>
      <c r="R164" s="26"/>
      <c r="S164" s="14">
        <f t="shared" si="13"/>
        <v>55.44650806</v>
      </c>
      <c r="U164" s="21"/>
      <c r="V164" s="21"/>
    </row>
    <row r="165">
      <c r="A165" s="11">
        <v>153.0</v>
      </c>
      <c r="B165" s="11">
        <v>1.42006086956521E9</v>
      </c>
      <c r="C165" s="2">
        <v>-101.9386063</v>
      </c>
      <c r="D165" s="24">
        <f t="shared" si="1"/>
        <v>-339130.4348</v>
      </c>
      <c r="E165" s="25">
        <f t="shared" si="2"/>
        <v>70.70880218</v>
      </c>
      <c r="F165" s="24">
        <f t="shared" si="3"/>
        <v>0.0002085003141</v>
      </c>
      <c r="G165" s="24">
        <f t="shared" si="4"/>
        <v>0</v>
      </c>
      <c r="H165" s="26">
        <f t="shared" si="5"/>
        <v>0</v>
      </c>
      <c r="I165" s="24">
        <f t="shared" si="6"/>
        <v>0</v>
      </c>
      <c r="J165" s="24">
        <f t="shared" si="7"/>
        <v>0</v>
      </c>
      <c r="K165" s="24"/>
      <c r="L165" s="24">
        <f t="shared" si="8"/>
        <v>486.6822838</v>
      </c>
      <c r="M165" s="14">
        <f t="shared" si="9"/>
        <v>427.4992834</v>
      </c>
      <c r="N165" s="27">
        <f t="shared" si="10"/>
        <v>59.1830004</v>
      </c>
      <c r="O165" s="24"/>
      <c r="P165" s="24"/>
      <c r="Q165" s="24"/>
      <c r="R165" s="26"/>
      <c r="S165" s="14">
        <f t="shared" si="13"/>
        <v>54.34752039</v>
      </c>
      <c r="U165" s="21"/>
      <c r="V165" s="21"/>
    </row>
    <row r="166">
      <c r="A166" s="11">
        <v>154.0</v>
      </c>
      <c r="B166" s="11">
        <v>1.4200652173913E9</v>
      </c>
      <c r="C166" s="2">
        <v>-101.8912125</v>
      </c>
      <c r="D166" s="24">
        <f t="shared" si="1"/>
        <v>-334782.6087</v>
      </c>
      <c r="E166" s="25">
        <f t="shared" si="2"/>
        <v>69.79050604</v>
      </c>
      <c r="F166" s="24">
        <f t="shared" si="3"/>
        <v>0.0002084651479</v>
      </c>
      <c r="G166" s="24">
        <f t="shared" si="4"/>
        <v>0</v>
      </c>
      <c r="H166" s="26">
        <f t="shared" si="5"/>
        <v>0</v>
      </c>
      <c r="I166" s="24">
        <f t="shared" si="6"/>
        <v>0</v>
      </c>
      <c r="J166" s="24">
        <f t="shared" si="7"/>
        <v>0</v>
      </c>
      <c r="K166" s="24"/>
      <c r="L166" s="24">
        <f t="shared" si="8"/>
        <v>492.0224479</v>
      </c>
      <c r="M166" s="14">
        <f t="shared" si="9"/>
        <v>427.4231389</v>
      </c>
      <c r="N166" s="27">
        <f t="shared" si="10"/>
        <v>64.59930898</v>
      </c>
      <c r="O166" s="24"/>
      <c r="P166" s="24"/>
      <c r="Q166" s="24"/>
      <c r="R166" s="26"/>
      <c r="S166" s="14">
        <f t="shared" si="13"/>
        <v>59.32129548</v>
      </c>
      <c r="U166" s="21"/>
      <c r="V166" s="21"/>
    </row>
    <row r="167">
      <c r="A167" s="11">
        <v>155.0</v>
      </c>
      <c r="B167" s="11">
        <v>1.42006956521739E9</v>
      </c>
      <c r="C167" s="2">
        <v>-101.8699951</v>
      </c>
      <c r="D167" s="24">
        <f t="shared" si="1"/>
        <v>-330434.7826</v>
      </c>
      <c r="E167" s="25">
        <f t="shared" si="2"/>
        <v>68.87220991</v>
      </c>
      <c r="F167" s="24">
        <f t="shared" si="3"/>
        <v>0.0002084290563</v>
      </c>
      <c r="G167" s="24">
        <f t="shared" si="4"/>
        <v>0</v>
      </c>
      <c r="H167" s="26">
        <f t="shared" si="5"/>
        <v>0</v>
      </c>
      <c r="I167" s="24">
        <f t="shared" si="6"/>
        <v>0</v>
      </c>
      <c r="J167" s="24">
        <f t="shared" si="7"/>
        <v>0</v>
      </c>
      <c r="K167" s="24"/>
      <c r="L167" s="24">
        <f t="shared" si="8"/>
        <v>494.4320985</v>
      </c>
      <c r="M167" s="14">
        <f t="shared" si="9"/>
        <v>427.3470826</v>
      </c>
      <c r="N167" s="27">
        <f t="shared" si="10"/>
        <v>67.08501591</v>
      </c>
      <c r="O167" s="24"/>
      <c r="P167" s="24"/>
      <c r="Q167" s="24"/>
      <c r="R167" s="26"/>
      <c r="S167" s="14">
        <f t="shared" si="13"/>
        <v>61.60391068</v>
      </c>
      <c r="U167" s="21"/>
      <c r="V167" s="21"/>
    </row>
    <row r="168">
      <c r="A168" s="11">
        <v>156.0</v>
      </c>
      <c r="B168" s="11">
        <v>1.42007391304347E9</v>
      </c>
      <c r="C168" s="2">
        <v>-101.9209671</v>
      </c>
      <c r="D168" s="24">
        <f t="shared" si="1"/>
        <v>-326086.9565</v>
      </c>
      <c r="E168" s="25">
        <f t="shared" si="2"/>
        <v>67.95391378</v>
      </c>
      <c r="F168" s="24">
        <f t="shared" si="3"/>
        <v>0.0002083920023</v>
      </c>
      <c r="G168" s="24">
        <f t="shared" si="4"/>
        <v>0</v>
      </c>
      <c r="H168" s="26">
        <f t="shared" si="5"/>
        <v>0</v>
      </c>
      <c r="I168" s="24">
        <f t="shared" si="6"/>
        <v>0</v>
      </c>
      <c r="J168" s="24">
        <f t="shared" si="7"/>
        <v>0</v>
      </c>
      <c r="K168" s="24"/>
      <c r="L168" s="24">
        <f t="shared" si="8"/>
        <v>488.6630006</v>
      </c>
      <c r="M168" s="14">
        <f t="shared" si="9"/>
        <v>427.2711128</v>
      </c>
      <c r="N168" s="27">
        <f t="shared" si="10"/>
        <v>61.39188776</v>
      </c>
      <c r="O168" s="24"/>
      <c r="P168" s="24"/>
      <c r="Q168" s="24"/>
      <c r="R168" s="26"/>
      <c r="S168" s="14">
        <f t="shared" si="13"/>
        <v>56.37593311</v>
      </c>
      <c r="U168" s="21"/>
      <c r="V168" s="21"/>
    </row>
    <row r="169">
      <c r="A169" s="11">
        <v>157.0</v>
      </c>
      <c r="B169" s="11">
        <v>1.42007826086956E9</v>
      </c>
      <c r="C169" s="2">
        <v>-101.9342804</v>
      </c>
      <c r="D169" s="24">
        <f t="shared" si="1"/>
        <v>-321739.1304</v>
      </c>
      <c r="E169" s="25">
        <f t="shared" si="2"/>
        <v>67.03561765</v>
      </c>
      <c r="F169" s="24">
        <f t="shared" si="3"/>
        <v>0.0002083539467</v>
      </c>
      <c r="G169" s="24">
        <f t="shared" si="4"/>
        <v>0</v>
      </c>
      <c r="H169" s="26">
        <f t="shared" si="5"/>
        <v>0</v>
      </c>
      <c r="I169" s="24">
        <f t="shared" si="6"/>
        <v>0</v>
      </c>
      <c r="J169" s="24">
        <f t="shared" si="7"/>
        <v>0</v>
      </c>
      <c r="K169" s="24"/>
      <c r="L169" s="24">
        <f t="shared" si="8"/>
        <v>487.1672975</v>
      </c>
      <c r="M169" s="14">
        <f t="shared" si="9"/>
        <v>427.1952279</v>
      </c>
      <c r="N169" s="27">
        <f t="shared" si="10"/>
        <v>59.97206965</v>
      </c>
      <c r="O169" s="24"/>
      <c r="P169" s="24"/>
      <c r="Q169" s="24"/>
      <c r="R169" s="26"/>
      <c r="S169" s="14">
        <f t="shared" si="13"/>
        <v>55.0721195</v>
      </c>
      <c r="U169" s="21"/>
      <c r="V169" s="21"/>
    </row>
    <row r="170">
      <c r="A170" s="11">
        <v>158.0</v>
      </c>
      <c r="B170" s="11">
        <v>1.42008260869565E9</v>
      </c>
      <c r="C170" s="2">
        <v>-101.8555832</v>
      </c>
      <c r="D170" s="24">
        <f t="shared" si="1"/>
        <v>-317391.3043</v>
      </c>
      <c r="E170" s="25">
        <f t="shared" si="2"/>
        <v>66.11732152</v>
      </c>
      <c r="F170" s="24">
        <f t="shared" si="3"/>
        <v>0.0002083148486</v>
      </c>
      <c r="G170" s="24">
        <f t="shared" si="4"/>
        <v>0</v>
      </c>
      <c r="H170" s="26">
        <f t="shared" si="5"/>
        <v>0</v>
      </c>
      <c r="I170" s="24">
        <f t="shared" si="6"/>
        <v>0</v>
      </c>
      <c r="J170" s="24">
        <f t="shared" si="7"/>
        <v>0</v>
      </c>
      <c r="K170" s="24"/>
      <c r="L170" s="24">
        <f t="shared" si="8"/>
        <v>496.0755784</v>
      </c>
      <c r="M170" s="14">
        <f t="shared" si="9"/>
        <v>427.1194263</v>
      </c>
      <c r="N170" s="27">
        <f t="shared" si="10"/>
        <v>68.95615209</v>
      </c>
      <c r="O170" s="24"/>
      <c r="P170" s="24"/>
      <c r="Q170" s="24"/>
      <c r="R170" s="26"/>
      <c r="S170" s="14">
        <f t="shared" si="13"/>
        <v>63.3221678</v>
      </c>
      <c r="U170" s="21"/>
      <c r="V170" s="21"/>
    </row>
    <row r="171">
      <c r="A171" s="11">
        <v>159.0</v>
      </c>
      <c r="B171" s="11">
        <v>1.42008695652173E9</v>
      </c>
      <c r="C171" s="2">
        <v>-101.8121033</v>
      </c>
      <c r="D171" s="24">
        <f t="shared" si="1"/>
        <v>-313043.4783</v>
      </c>
      <c r="E171" s="25">
        <f t="shared" si="2"/>
        <v>65.19902538</v>
      </c>
      <c r="F171" s="24">
        <f t="shared" si="3"/>
        <v>0.0002082746644</v>
      </c>
      <c r="G171" s="24">
        <f t="shared" si="4"/>
        <v>0</v>
      </c>
      <c r="H171" s="26">
        <f t="shared" si="5"/>
        <v>0</v>
      </c>
      <c r="I171" s="24">
        <f t="shared" si="6"/>
        <v>0</v>
      </c>
      <c r="J171" s="24">
        <f t="shared" si="7"/>
        <v>0</v>
      </c>
      <c r="K171" s="24"/>
      <c r="L171" s="24">
        <f t="shared" si="8"/>
        <v>501.0670416</v>
      </c>
      <c r="M171" s="14">
        <f t="shared" si="9"/>
        <v>427.0437063</v>
      </c>
      <c r="N171" s="27">
        <f t="shared" si="10"/>
        <v>74.02333535</v>
      </c>
      <c r="O171" s="24"/>
      <c r="P171" s="24"/>
      <c r="Q171" s="24"/>
      <c r="R171" s="26"/>
      <c r="S171" s="14">
        <f t="shared" si="13"/>
        <v>67.97534259</v>
      </c>
      <c r="U171" s="21"/>
      <c r="V171" s="21"/>
    </row>
    <row r="172">
      <c r="A172" s="11">
        <v>160.0</v>
      </c>
      <c r="B172" s="11">
        <v>1.42009130434782E9</v>
      </c>
      <c r="C172" s="2">
        <v>-101.8829651</v>
      </c>
      <c r="D172" s="24">
        <f t="shared" si="1"/>
        <v>-308695.6522</v>
      </c>
      <c r="E172" s="25">
        <f t="shared" si="2"/>
        <v>64.28072925</v>
      </c>
      <c r="F172" s="24">
        <f t="shared" si="3"/>
        <v>0.0002082333483</v>
      </c>
      <c r="G172" s="24">
        <f t="shared" si="4"/>
        <v>0</v>
      </c>
      <c r="H172" s="26">
        <f t="shared" si="5"/>
        <v>0</v>
      </c>
      <c r="I172" s="24">
        <f t="shared" si="6"/>
        <v>0</v>
      </c>
      <c r="J172" s="24">
        <f t="shared" si="7"/>
        <v>0</v>
      </c>
      <c r="K172" s="24"/>
      <c r="L172" s="24">
        <f t="shared" si="8"/>
        <v>492.9577031</v>
      </c>
      <c r="M172" s="14">
        <f t="shared" si="9"/>
        <v>426.9680663</v>
      </c>
      <c r="N172" s="27">
        <f t="shared" si="10"/>
        <v>65.98963672</v>
      </c>
      <c r="O172" s="24"/>
      <c r="P172" s="24"/>
      <c r="Q172" s="24"/>
      <c r="R172" s="26"/>
      <c r="S172" s="14">
        <f t="shared" si="13"/>
        <v>60.5980282</v>
      </c>
      <c r="U172" s="21"/>
      <c r="V172" s="21"/>
    </row>
    <row r="173">
      <c r="A173" s="11">
        <v>161.0</v>
      </c>
      <c r="B173" s="11">
        <v>1.42009565217391E9</v>
      </c>
      <c r="C173" s="2">
        <v>-101.8584518</v>
      </c>
      <c r="D173" s="24">
        <f t="shared" si="1"/>
        <v>-304347.8261</v>
      </c>
      <c r="E173" s="25">
        <f t="shared" si="2"/>
        <v>63.36243312</v>
      </c>
      <c r="F173" s="24">
        <f t="shared" si="3"/>
        <v>0.0002081908517</v>
      </c>
      <c r="G173" s="24">
        <f t="shared" si="4"/>
        <v>0</v>
      </c>
      <c r="H173" s="26">
        <f t="shared" si="5"/>
        <v>0</v>
      </c>
      <c r="I173" s="24">
        <f t="shared" si="6"/>
        <v>0</v>
      </c>
      <c r="J173" s="24">
        <f t="shared" si="7"/>
        <v>0</v>
      </c>
      <c r="K173" s="24"/>
      <c r="L173" s="24">
        <f t="shared" si="8"/>
        <v>495.7480189</v>
      </c>
      <c r="M173" s="14">
        <f t="shared" si="9"/>
        <v>426.8925048</v>
      </c>
      <c r="N173" s="27">
        <f t="shared" si="10"/>
        <v>68.85551412</v>
      </c>
      <c r="O173" s="24"/>
      <c r="P173" s="24"/>
      <c r="Q173" s="24"/>
      <c r="R173" s="26"/>
      <c r="S173" s="14">
        <f t="shared" si="13"/>
        <v>63.2297522</v>
      </c>
      <c r="U173" s="21"/>
      <c r="V173" s="21"/>
    </row>
    <row r="174">
      <c r="A174" s="11">
        <v>162.0</v>
      </c>
      <c r="B174" s="11">
        <v>1.4201E9</v>
      </c>
      <c r="C174" s="2">
        <v>-101.8478317</v>
      </c>
      <c r="D174" s="24">
        <f t="shared" si="1"/>
        <v>-300000</v>
      </c>
      <c r="E174" s="25">
        <f t="shared" si="2"/>
        <v>62.44413699</v>
      </c>
      <c r="F174" s="24">
        <f t="shared" si="3"/>
        <v>0.0002081471233</v>
      </c>
      <c r="G174" s="24">
        <f t="shared" si="4"/>
        <v>0</v>
      </c>
      <c r="H174" s="26">
        <f t="shared" si="5"/>
        <v>0</v>
      </c>
      <c r="I174" s="24">
        <f t="shared" si="6"/>
        <v>0</v>
      </c>
      <c r="J174" s="24">
        <f t="shared" si="7"/>
        <v>0</v>
      </c>
      <c r="K174" s="24"/>
      <c r="L174" s="24">
        <f t="shared" si="8"/>
        <v>496.9617889</v>
      </c>
      <c r="M174" s="14">
        <f t="shared" si="9"/>
        <v>426.81702</v>
      </c>
      <c r="N174" s="27">
        <f t="shared" si="10"/>
        <v>70.14476888</v>
      </c>
      <c r="O174" s="24"/>
      <c r="P174" s="24"/>
      <c r="Q174" s="24"/>
      <c r="R174" s="26"/>
      <c r="S174" s="14">
        <f t="shared" si="13"/>
        <v>64.41366999</v>
      </c>
      <c r="U174" s="21"/>
      <c r="V174" s="21"/>
    </row>
    <row r="175">
      <c r="A175" s="11">
        <v>163.0</v>
      </c>
      <c r="B175" s="11">
        <v>1.42010434782608E9</v>
      </c>
      <c r="C175" s="2">
        <v>-101.8865128</v>
      </c>
      <c r="D175" s="24">
        <f t="shared" si="1"/>
        <v>-295652.1739</v>
      </c>
      <c r="E175" s="25">
        <f t="shared" si="2"/>
        <v>61.52584085</v>
      </c>
      <c r="F175" s="24">
        <f t="shared" si="3"/>
        <v>0.0002081021088</v>
      </c>
      <c r="G175" s="24">
        <f t="shared" si="4"/>
        <v>0</v>
      </c>
      <c r="H175" s="26">
        <f t="shared" si="5"/>
        <v>0</v>
      </c>
      <c r="I175" s="24">
        <f t="shared" si="6"/>
        <v>0</v>
      </c>
      <c r="J175" s="24">
        <f t="shared" si="7"/>
        <v>0</v>
      </c>
      <c r="K175" s="24"/>
      <c r="L175" s="24">
        <f t="shared" si="8"/>
        <v>492.5551762</v>
      </c>
      <c r="M175" s="14">
        <f t="shared" si="9"/>
        <v>426.7416104</v>
      </c>
      <c r="N175" s="27">
        <f t="shared" si="10"/>
        <v>65.81356578</v>
      </c>
      <c r="O175" s="24"/>
      <c r="P175" s="24"/>
      <c r="Q175" s="24"/>
      <c r="R175" s="26"/>
      <c r="S175" s="14">
        <f t="shared" si="13"/>
        <v>60.43634294</v>
      </c>
      <c r="U175" s="21"/>
      <c r="V175" s="21"/>
    </row>
    <row r="176">
      <c r="A176" s="11">
        <v>164.0</v>
      </c>
      <c r="B176" s="11">
        <v>1.42010869565217E9</v>
      </c>
      <c r="C176" s="2">
        <v>-101.8942032</v>
      </c>
      <c r="D176" s="24">
        <f t="shared" si="1"/>
        <v>-291304.3478</v>
      </c>
      <c r="E176" s="25">
        <f t="shared" si="2"/>
        <v>60.60754472</v>
      </c>
      <c r="F176" s="24">
        <f t="shared" si="3"/>
        <v>0.0002080557505</v>
      </c>
      <c r="G176" s="24">
        <f t="shared" si="4"/>
        <v>0</v>
      </c>
      <c r="H176" s="26">
        <f t="shared" si="5"/>
        <v>0</v>
      </c>
      <c r="I176" s="24">
        <f t="shared" si="6"/>
        <v>0</v>
      </c>
      <c r="J176" s="24">
        <f t="shared" si="7"/>
        <v>0</v>
      </c>
      <c r="K176" s="24"/>
      <c r="L176" s="24">
        <f t="shared" si="8"/>
        <v>491.6837411</v>
      </c>
      <c r="M176" s="14">
        <f t="shared" si="9"/>
        <v>426.6662743</v>
      </c>
      <c r="N176" s="27">
        <f t="shared" si="10"/>
        <v>65.01746678</v>
      </c>
      <c r="O176" s="24"/>
      <c r="P176" s="24"/>
      <c r="Q176" s="24"/>
      <c r="R176" s="26"/>
      <c r="S176" s="14">
        <f t="shared" si="13"/>
        <v>59.70528816</v>
      </c>
      <c r="U176" s="21"/>
      <c r="V176" s="21"/>
    </row>
    <row r="177">
      <c r="A177" s="11">
        <v>165.0</v>
      </c>
      <c r="B177" s="11">
        <v>1.42011304347826E9</v>
      </c>
      <c r="C177" s="2">
        <v>-101.8019638</v>
      </c>
      <c r="D177" s="24">
        <f t="shared" si="1"/>
        <v>-286956.5217</v>
      </c>
      <c r="E177" s="25">
        <f t="shared" si="2"/>
        <v>59.68924859</v>
      </c>
      <c r="F177" s="24">
        <f t="shared" si="3"/>
        <v>0.0002080079875</v>
      </c>
      <c r="G177" s="24">
        <f t="shared" si="4"/>
        <v>0</v>
      </c>
      <c r="H177" s="26">
        <f t="shared" si="5"/>
        <v>0</v>
      </c>
      <c r="I177" s="24">
        <f t="shared" si="6"/>
        <v>0</v>
      </c>
      <c r="J177" s="24">
        <f t="shared" si="7"/>
        <v>0</v>
      </c>
      <c r="K177" s="24"/>
      <c r="L177" s="24">
        <f t="shared" si="8"/>
        <v>502.2382526</v>
      </c>
      <c r="M177" s="14">
        <f t="shared" si="9"/>
        <v>426.5910102</v>
      </c>
      <c r="N177" s="27">
        <f t="shared" si="10"/>
        <v>75.64724247</v>
      </c>
      <c r="O177" s="24"/>
      <c r="P177" s="24"/>
      <c r="Q177" s="24"/>
      <c r="R177" s="26"/>
      <c r="S177" s="14">
        <f t="shared" si="13"/>
        <v>69.46657022</v>
      </c>
      <c r="U177" s="21"/>
      <c r="V177" s="21"/>
    </row>
    <row r="178">
      <c r="A178" s="11">
        <v>166.0</v>
      </c>
      <c r="B178" s="11">
        <v>1.42011739130434E9</v>
      </c>
      <c r="C178" s="2">
        <v>-101.8882675</v>
      </c>
      <c r="D178" s="24">
        <f t="shared" si="1"/>
        <v>-282608.6957</v>
      </c>
      <c r="E178" s="25">
        <f t="shared" si="2"/>
        <v>58.77095246</v>
      </c>
      <c r="F178" s="24">
        <f t="shared" si="3"/>
        <v>0.0002079587548</v>
      </c>
      <c r="G178" s="24">
        <f t="shared" si="4"/>
        <v>0</v>
      </c>
      <c r="H178" s="26">
        <f t="shared" si="5"/>
        <v>0</v>
      </c>
      <c r="I178" s="24">
        <f t="shared" si="6"/>
        <v>0</v>
      </c>
      <c r="J178" s="24">
        <f t="shared" si="7"/>
        <v>0</v>
      </c>
      <c r="K178" s="24"/>
      <c r="L178" s="24">
        <f t="shared" si="8"/>
        <v>492.3562071</v>
      </c>
      <c r="M178" s="14">
        <f t="shared" si="9"/>
        <v>426.5158163</v>
      </c>
      <c r="N178" s="27">
        <f t="shared" si="10"/>
        <v>65.8403908</v>
      </c>
      <c r="O178" s="24"/>
      <c r="P178" s="24"/>
      <c r="Q178" s="24"/>
      <c r="R178" s="26"/>
      <c r="S178" s="14">
        <f t="shared" si="13"/>
        <v>60.46097625</v>
      </c>
      <c r="U178" s="21"/>
      <c r="V178" s="21"/>
    </row>
    <row r="179">
      <c r="A179" s="11">
        <v>167.0</v>
      </c>
      <c r="B179" s="11">
        <v>1.42012173913043E9</v>
      </c>
      <c r="C179" s="2">
        <v>-101.8723984</v>
      </c>
      <c r="D179" s="24">
        <f t="shared" si="1"/>
        <v>-278260.8696</v>
      </c>
      <c r="E179" s="25">
        <f t="shared" si="2"/>
        <v>57.85265632</v>
      </c>
      <c r="F179" s="24">
        <f t="shared" si="3"/>
        <v>0.0002079079837</v>
      </c>
      <c r="G179" s="24">
        <f t="shared" si="4"/>
        <v>0</v>
      </c>
      <c r="H179" s="26">
        <f t="shared" si="5"/>
        <v>0</v>
      </c>
      <c r="I179" s="24">
        <f t="shared" si="6"/>
        <v>0</v>
      </c>
      <c r="J179" s="24">
        <f t="shared" si="7"/>
        <v>0</v>
      </c>
      <c r="K179" s="24"/>
      <c r="L179" s="24">
        <f t="shared" si="8"/>
        <v>494.1585652</v>
      </c>
      <c r="M179" s="14">
        <f t="shared" si="9"/>
        <v>426.440691</v>
      </c>
      <c r="N179" s="27">
        <f t="shared" si="10"/>
        <v>67.71787421</v>
      </c>
      <c r="O179" s="24"/>
      <c r="P179" s="24"/>
      <c r="Q179" s="24"/>
      <c r="R179" s="26"/>
      <c r="S179" s="14">
        <f t="shared" si="13"/>
        <v>62.18506186</v>
      </c>
      <c r="U179" s="21"/>
      <c r="V179" s="21"/>
    </row>
    <row r="180">
      <c r="A180" s="11">
        <v>168.0</v>
      </c>
      <c r="B180" s="11">
        <v>1.42012608695652E9</v>
      </c>
      <c r="C180" s="2">
        <v>-101.844902</v>
      </c>
      <c r="D180" s="24">
        <f t="shared" si="1"/>
        <v>-273913.0435</v>
      </c>
      <c r="E180" s="25">
        <f t="shared" si="2"/>
        <v>56.93436019</v>
      </c>
      <c r="F180" s="24">
        <f t="shared" si="3"/>
        <v>0.0002078556007</v>
      </c>
      <c r="G180" s="24">
        <f t="shared" si="4"/>
        <v>0</v>
      </c>
      <c r="H180" s="26">
        <f t="shared" si="5"/>
        <v>0</v>
      </c>
      <c r="I180" s="24">
        <f t="shared" si="6"/>
        <v>0</v>
      </c>
      <c r="J180" s="24">
        <f t="shared" si="7"/>
        <v>0</v>
      </c>
      <c r="K180" s="24"/>
      <c r="L180" s="24">
        <f t="shared" si="8"/>
        <v>497.2971466</v>
      </c>
      <c r="M180" s="14">
        <f t="shared" si="9"/>
        <v>426.3656328</v>
      </c>
      <c r="N180" s="27">
        <f t="shared" si="10"/>
        <v>70.93151384</v>
      </c>
      <c r="O180" s="24"/>
      <c r="P180" s="24"/>
      <c r="Q180" s="24"/>
      <c r="R180" s="26"/>
      <c r="S180" s="14">
        <f t="shared" si="13"/>
        <v>65.13613485</v>
      </c>
      <c r="U180" s="21"/>
      <c r="V180" s="21"/>
    </row>
    <row r="181">
      <c r="A181" s="11">
        <v>169.0</v>
      </c>
      <c r="B181" s="11">
        <v>1.4201304347826E9</v>
      </c>
      <c r="C181" s="2">
        <v>-101.8293991</v>
      </c>
      <c r="D181" s="24">
        <f t="shared" si="1"/>
        <v>-269565.2174</v>
      </c>
      <c r="E181" s="25">
        <f t="shared" si="2"/>
        <v>56.01606406</v>
      </c>
      <c r="F181" s="24">
        <f t="shared" si="3"/>
        <v>0.000207801528</v>
      </c>
      <c r="G181" s="24">
        <f t="shared" si="4"/>
        <v>0</v>
      </c>
      <c r="H181" s="26">
        <f t="shared" si="5"/>
        <v>0</v>
      </c>
      <c r="I181" s="24">
        <f t="shared" si="6"/>
        <v>0</v>
      </c>
      <c r="J181" s="24">
        <f t="shared" si="7"/>
        <v>0</v>
      </c>
      <c r="K181" s="24"/>
      <c r="L181" s="24">
        <f t="shared" si="8"/>
        <v>499.0755079</v>
      </c>
      <c r="M181" s="14">
        <f t="shared" si="9"/>
        <v>426.29064</v>
      </c>
      <c r="N181" s="27">
        <f t="shared" si="10"/>
        <v>72.78486786</v>
      </c>
      <c r="O181" s="24"/>
      <c r="P181" s="24"/>
      <c r="Q181" s="24"/>
      <c r="R181" s="26"/>
      <c r="S181" s="14">
        <f t="shared" si="13"/>
        <v>66.83806268</v>
      </c>
      <c r="U181" s="21"/>
      <c r="V181" s="21"/>
    </row>
    <row r="182">
      <c r="A182" s="11">
        <v>170.0</v>
      </c>
      <c r="B182" s="11">
        <v>1.42013478260869E9</v>
      </c>
      <c r="C182" s="2">
        <v>-101.8509903</v>
      </c>
      <c r="D182" s="24">
        <f t="shared" si="1"/>
        <v>-265217.3913</v>
      </c>
      <c r="E182" s="25">
        <f t="shared" si="2"/>
        <v>55.09776793</v>
      </c>
      <c r="F182" s="24">
        <f t="shared" si="3"/>
        <v>0.0002077456823</v>
      </c>
      <c r="G182" s="24">
        <f t="shared" si="4"/>
        <v>0</v>
      </c>
      <c r="H182" s="26">
        <f t="shared" si="5"/>
        <v>0</v>
      </c>
      <c r="I182" s="24">
        <f t="shared" si="6"/>
        <v>0</v>
      </c>
      <c r="J182" s="24">
        <f t="shared" si="7"/>
        <v>0</v>
      </c>
      <c r="K182" s="24"/>
      <c r="L182" s="24">
        <f t="shared" si="8"/>
        <v>496.6004827</v>
      </c>
      <c r="M182" s="14">
        <f t="shared" si="9"/>
        <v>426.215711</v>
      </c>
      <c r="N182" s="27">
        <f t="shared" si="10"/>
        <v>70.38477175</v>
      </c>
      <c r="O182" s="24"/>
      <c r="P182" s="24"/>
      <c r="Q182" s="24"/>
      <c r="R182" s="26"/>
      <c r="S182" s="14">
        <f t="shared" si="13"/>
        <v>64.63406371</v>
      </c>
      <c r="U182" s="21"/>
      <c r="V182" s="21"/>
    </row>
    <row r="183">
      <c r="A183" s="11">
        <v>171.0</v>
      </c>
      <c r="B183" s="11">
        <v>1.42013913043478E9</v>
      </c>
      <c r="C183" s="2">
        <v>-101.8589249</v>
      </c>
      <c r="D183" s="24">
        <f t="shared" si="1"/>
        <v>-260869.5652</v>
      </c>
      <c r="E183" s="25">
        <f t="shared" si="2"/>
        <v>54.1794718</v>
      </c>
      <c r="F183" s="24">
        <f t="shared" si="3"/>
        <v>0.0002076879752</v>
      </c>
      <c r="G183" s="24">
        <f t="shared" si="4"/>
        <v>0</v>
      </c>
      <c r="H183" s="26">
        <f t="shared" si="5"/>
        <v>0</v>
      </c>
      <c r="I183" s="24">
        <f t="shared" si="6"/>
        <v>0</v>
      </c>
      <c r="J183" s="24">
        <f t="shared" si="7"/>
        <v>0</v>
      </c>
      <c r="K183" s="24"/>
      <c r="L183" s="24">
        <f t="shared" si="8"/>
        <v>495.6940174</v>
      </c>
      <c r="M183" s="14">
        <f t="shared" si="9"/>
        <v>426.1408441</v>
      </c>
      <c r="N183" s="27">
        <f t="shared" si="10"/>
        <v>69.5531733</v>
      </c>
      <c r="O183" s="24"/>
      <c r="P183" s="24"/>
      <c r="Q183" s="24"/>
      <c r="R183" s="26"/>
      <c r="S183" s="14">
        <f t="shared" si="13"/>
        <v>63.87040992</v>
      </c>
      <c r="U183" s="21"/>
      <c r="V183" s="21"/>
    </row>
    <row r="184">
      <c r="A184" s="11">
        <v>172.0</v>
      </c>
      <c r="B184" s="11">
        <v>1.42014347826087E9</v>
      </c>
      <c r="C184" s="2">
        <v>-101.8375092</v>
      </c>
      <c r="D184" s="24">
        <f t="shared" si="1"/>
        <v>-256521.7391</v>
      </c>
      <c r="E184" s="25">
        <f t="shared" si="2"/>
        <v>53.26117567</v>
      </c>
      <c r="F184" s="24">
        <f t="shared" si="3"/>
        <v>0.0002076283119</v>
      </c>
      <c r="G184" s="24">
        <f t="shared" si="4"/>
        <v>0</v>
      </c>
      <c r="H184" s="26">
        <f t="shared" si="5"/>
        <v>0</v>
      </c>
      <c r="I184" s="24">
        <f t="shared" si="6"/>
        <v>0</v>
      </c>
      <c r="J184" s="24">
        <f t="shared" si="7"/>
        <v>0</v>
      </c>
      <c r="K184" s="24"/>
      <c r="L184" s="24">
        <f t="shared" si="8"/>
        <v>498.1443942</v>
      </c>
      <c r="M184" s="14">
        <f t="shared" si="9"/>
        <v>426.0660378</v>
      </c>
      <c r="N184" s="27">
        <f t="shared" si="10"/>
        <v>72.0783564</v>
      </c>
      <c r="O184" s="24"/>
      <c r="P184" s="24"/>
      <c r="Q184" s="24"/>
      <c r="R184" s="26"/>
      <c r="S184" s="14">
        <f t="shared" si="13"/>
        <v>66.18927594</v>
      </c>
      <c r="U184" s="21"/>
      <c r="V184" s="21"/>
    </row>
    <row r="185">
      <c r="A185" s="11">
        <v>173.0</v>
      </c>
      <c r="B185" s="11">
        <v>1.42014782608695E9</v>
      </c>
      <c r="C185" s="2">
        <v>-101.8611221</v>
      </c>
      <c r="D185" s="24">
        <f t="shared" si="1"/>
        <v>-252173.913</v>
      </c>
      <c r="E185" s="25">
        <f t="shared" si="2"/>
        <v>52.34287953</v>
      </c>
      <c r="F185" s="24">
        <f t="shared" si="3"/>
        <v>0.0002075665912</v>
      </c>
      <c r="G185" s="24">
        <f t="shared" si="4"/>
        <v>0</v>
      </c>
      <c r="H185" s="26">
        <f t="shared" si="5"/>
        <v>0</v>
      </c>
      <c r="I185" s="24">
        <f t="shared" si="6"/>
        <v>0</v>
      </c>
      <c r="J185" s="24">
        <f t="shared" si="7"/>
        <v>0</v>
      </c>
      <c r="K185" s="24"/>
      <c r="L185" s="24">
        <f t="shared" si="8"/>
        <v>495.4432973</v>
      </c>
      <c r="M185" s="14">
        <f t="shared" si="9"/>
        <v>425.9912903</v>
      </c>
      <c r="N185" s="27">
        <f t="shared" si="10"/>
        <v>69.452007</v>
      </c>
      <c r="O185" s="24"/>
      <c r="P185" s="24"/>
      <c r="Q185" s="24"/>
      <c r="R185" s="26"/>
      <c r="S185" s="14">
        <f t="shared" si="13"/>
        <v>63.77750945</v>
      </c>
      <c r="U185" s="21"/>
      <c r="V185" s="21"/>
    </row>
    <row r="186">
      <c r="A186" s="11">
        <v>174.0</v>
      </c>
      <c r="B186" s="11">
        <v>1.42015217391304E9</v>
      </c>
      <c r="C186" s="2">
        <v>-101.7946625</v>
      </c>
      <c r="D186" s="24">
        <f t="shared" si="1"/>
        <v>-247826.087</v>
      </c>
      <c r="E186" s="25">
        <f t="shared" si="2"/>
        <v>51.4245834</v>
      </c>
      <c r="F186" s="24">
        <f t="shared" si="3"/>
        <v>0.0002075027049</v>
      </c>
      <c r="G186" s="24">
        <f t="shared" si="4"/>
        <v>0</v>
      </c>
      <c r="H186" s="26">
        <f t="shared" si="5"/>
        <v>0</v>
      </c>
      <c r="I186" s="24">
        <f t="shared" si="6"/>
        <v>0</v>
      </c>
      <c r="J186" s="24">
        <f t="shared" si="7"/>
        <v>0</v>
      </c>
      <c r="K186" s="24"/>
      <c r="L186" s="24">
        <f t="shared" si="8"/>
        <v>503.0833189</v>
      </c>
      <c r="M186" s="14">
        <f t="shared" si="9"/>
        <v>425.9166002</v>
      </c>
      <c r="N186" s="27">
        <f t="shared" si="10"/>
        <v>77.16671876</v>
      </c>
      <c r="O186" s="24"/>
      <c r="P186" s="24"/>
      <c r="Q186" s="24"/>
      <c r="R186" s="26"/>
      <c r="S186" s="14">
        <f t="shared" si="13"/>
        <v>70.86189926</v>
      </c>
      <c r="U186" s="21"/>
      <c r="V186" s="21"/>
    </row>
    <row r="187">
      <c r="A187" s="11">
        <v>175.0</v>
      </c>
      <c r="B187" s="11">
        <v>1.42015652173913E9</v>
      </c>
      <c r="C187" s="2">
        <v>-101.7823868</v>
      </c>
      <c r="D187" s="24">
        <f t="shared" si="1"/>
        <v>-243478.2609</v>
      </c>
      <c r="E187" s="25">
        <f t="shared" si="2"/>
        <v>50.50628727</v>
      </c>
      <c r="F187" s="24">
        <f t="shared" si="3"/>
        <v>0.000207436537</v>
      </c>
      <c r="G187" s="24">
        <f t="shared" si="4"/>
        <v>0</v>
      </c>
      <c r="H187" s="26">
        <f t="shared" si="5"/>
        <v>0</v>
      </c>
      <c r="I187" s="24">
        <f t="shared" si="6"/>
        <v>0</v>
      </c>
      <c r="J187" s="24">
        <f t="shared" si="7"/>
        <v>0</v>
      </c>
      <c r="K187" s="24"/>
      <c r="L187" s="24">
        <f t="shared" si="8"/>
        <v>504.507338</v>
      </c>
      <c r="M187" s="14">
        <f t="shared" si="9"/>
        <v>425.8419657</v>
      </c>
      <c r="N187" s="27">
        <f t="shared" si="10"/>
        <v>78.66537232</v>
      </c>
      <c r="O187" s="24"/>
      <c r="P187" s="24"/>
      <c r="Q187" s="24"/>
      <c r="R187" s="26"/>
      <c r="S187" s="14">
        <f t="shared" si="13"/>
        <v>72.23810718</v>
      </c>
      <c r="U187" s="21"/>
      <c r="V187" s="21"/>
    </row>
    <row r="188">
      <c r="A188" s="11">
        <v>176.0</v>
      </c>
      <c r="B188" s="11">
        <v>1.42016086956521E9</v>
      </c>
      <c r="C188" s="2">
        <v>-101.7750778</v>
      </c>
      <c r="D188" s="24">
        <f t="shared" si="1"/>
        <v>-239130.4348</v>
      </c>
      <c r="E188" s="25">
        <f t="shared" si="2"/>
        <v>49.58799114</v>
      </c>
      <c r="F188" s="24">
        <f t="shared" si="3"/>
        <v>0.0002073679629</v>
      </c>
      <c r="G188" s="24">
        <f t="shared" si="4"/>
        <v>0</v>
      </c>
      <c r="H188" s="26">
        <f t="shared" si="5"/>
        <v>0</v>
      </c>
      <c r="I188" s="24">
        <f t="shared" si="6"/>
        <v>0</v>
      </c>
      <c r="J188" s="24">
        <f t="shared" si="7"/>
        <v>0</v>
      </c>
      <c r="K188" s="24"/>
      <c r="L188" s="24">
        <f t="shared" si="8"/>
        <v>505.3571183</v>
      </c>
      <c r="M188" s="14">
        <f t="shared" si="9"/>
        <v>425.7673852</v>
      </c>
      <c r="N188" s="27">
        <f t="shared" si="10"/>
        <v>79.58973304</v>
      </c>
      <c r="O188" s="24"/>
      <c r="P188" s="24"/>
      <c r="Q188" s="24"/>
      <c r="R188" s="26"/>
      <c r="S188" s="14">
        <f t="shared" si="13"/>
        <v>73.08694406</v>
      </c>
      <c r="U188" s="21"/>
      <c r="V188" s="21"/>
    </row>
    <row r="189">
      <c r="A189" s="11">
        <v>177.0</v>
      </c>
      <c r="B189" s="11">
        <v>1.4201652173913E9</v>
      </c>
      <c r="C189" s="2">
        <v>-101.8344574</v>
      </c>
      <c r="D189" s="24">
        <f t="shared" si="1"/>
        <v>-234782.6087</v>
      </c>
      <c r="E189" s="25">
        <f t="shared" si="2"/>
        <v>48.669695</v>
      </c>
      <c r="F189" s="24">
        <f t="shared" si="3"/>
        <v>0.0002072968491</v>
      </c>
      <c r="G189" s="24">
        <f t="shared" si="4"/>
        <v>0</v>
      </c>
      <c r="H189" s="26">
        <f t="shared" si="5"/>
        <v>0</v>
      </c>
      <c r="I189" s="24">
        <f t="shared" si="6"/>
        <v>0</v>
      </c>
      <c r="J189" s="24">
        <f t="shared" si="7"/>
        <v>0</v>
      </c>
      <c r="K189" s="24"/>
      <c r="L189" s="24">
        <f t="shared" si="8"/>
        <v>498.4945647</v>
      </c>
      <c r="M189" s="14">
        <f t="shared" si="9"/>
        <v>425.6928572</v>
      </c>
      <c r="N189" s="27">
        <f t="shared" si="10"/>
        <v>72.80170755</v>
      </c>
      <c r="O189" s="24"/>
      <c r="P189" s="24"/>
      <c r="Q189" s="24"/>
      <c r="R189" s="26"/>
      <c r="S189" s="14">
        <f t="shared" si="13"/>
        <v>66.85352634</v>
      </c>
      <c r="U189" s="21"/>
      <c r="V189" s="21"/>
    </row>
    <row r="190">
      <c r="A190" s="11">
        <v>178.0</v>
      </c>
      <c r="B190" s="11">
        <v>1.42016956521739E9</v>
      </c>
      <c r="C190" s="2">
        <v>-101.8630753</v>
      </c>
      <c r="D190" s="24">
        <f t="shared" si="1"/>
        <v>-230434.7826</v>
      </c>
      <c r="E190" s="25">
        <f t="shared" si="2"/>
        <v>47.75139887</v>
      </c>
      <c r="F190" s="24">
        <f t="shared" si="3"/>
        <v>0.0002072230517</v>
      </c>
      <c r="G190" s="24">
        <f t="shared" si="4"/>
        <v>0</v>
      </c>
      <c r="H190" s="26">
        <f t="shared" si="5"/>
        <v>0</v>
      </c>
      <c r="I190" s="24">
        <f t="shared" si="6"/>
        <v>0</v>
      </c>
      <c r="J190" s="24">
        <f t="shared" si="7"/>
        <v>0</v>
      </c>
      <c r="K190" s="24"/>
      <c r="L190" s="24">
        <f t="shared" si="8"/>
        <v>495.2205263</v>
      </c>
      <c r="M190" s="14">
        <f t="shared" si="9"/>
        <v>425.6183799</v>
      </c>
      <c r="N190" s="27">
        <f t="shared" si="10"/>
        <v>69.60214642</v>
      </c>
      <c r="O190" s="24"/>
      <c r="P190" s="24"/>
      <c r="Q190" s="24"/>
      <c r="R190" s="26"/>
      <c r="S190" s="14">
        <f t="shared" si="13"/>
        <v>63.91538189</v>
      </c>
      <c r="U190" s="21"/>
      <c r="V190" s="21"/>
    </row>
    <row r="191">
      <c r="A191" s="11">
        <v>179.0</v>
      </c>
      <c r="B191" s="11">
        <v>1.42017391304347E9</v>
      </c>
      <c r="C191" s="2">
        <v>-101.8443451</v>
      </c>
      <c r="D191" s="24">
        <f t="shared" si="1"/>
        <v>-226086.9565</v>
      </c>
      <c r="E191" s="25">
        <f t="shared" si="2"/>
        <v>46.83310274</v>
      </c>
      <c r="F191" s="24">
        <f t="shared" si="3"/>
        <v>0.000207146416</v>
      </c>
      <c r="G191" s="24">
        <f t="shared" si="4"/>
        <v>0</v>
      </c>
      <c r="H191" s="26">
        <f t="shared" si="5"/>
        <v>0</v>
      </c>
      <c r="I191" s="24">
        <f t="shared" si="6"/>
        <v>0</v>
      </c>
      <c r="J191" s="24">
        <f t="shared" si="7"/>
        <v>0</v>
      </c>
      <c r="K191" s="24"/>
      <c r="L191" s="24">
        <f t="shared" si="8"/>
        <v>497.3609196</v>
      </c>
      <c r="M191" s="14">
        <f t="shared" si="9"/>
        <v>425.5439518</v>
      </c>
      <c r="N191" s="27">
        <f t="shared" si="10"/>
        <v>71.81696786</v>
      </c>
      <c r="O191" s="24"/>
      <c r="P191" s="24"/>
      <c r="Q191" s="24"/>
      <c r="R191" s="26"/>
      <c r="S191" s="14">
        <f t="shared" si="13"/>
        <v>65.94924386</v>
      </c>
      <c r="U191" s="21"/>
      <c r="V191" s="21"/>
    </row>
    <row r="192">
      <c r="A192" s="11">
        <v>180.0</v>
      </c>
      <c r="B192" s="11">
        <v>1.42017826086956E9</v>
      </c>
      <c r="C192" s="2">
        <v>-101.8015213</v>
      </c>
      <c r="D192" s="24">
        <f t="shared" si="1"/>
        <v>-221739.1304</v>
      </c>
      <c r="E192" s="25">
        <f t="shared" si="2"/>
        <v>45.91480661</v>
      </c>
      <c r="F192" s="24">
        <f t="shared" si="3"/>
        <v>0.0002070667749</v>
      </c>
      <c r="G192" s="24">
        <f t="shared" si="4"/>
        <v>0</v>
      </c>
      <c r="H192" s="26">
        <f t="shared" si="5"/>
        <v>0</v>
      </c>
      <c r="I192" s="24">
        <f t="shared" si="6"/>
        <v>0</v>
      </c>
      <c r="J192" s="24">
        <f t="shared" si="7"/>
        <v>0</v>
      </c>
      <c r="K192" s="24"/>
      <c r="L192" s="24">
        <f t="shared" si="8"/>
        <v>502.289428</v>
      </c>
      <c r="M192" s="14">
        <f t="shared" si="9"/>
        <v>425.4695712</v>
      </c>
      <c r="N192" s="27">
        <f t="shared" si="10"/>
        <v>76.81985681</v>
      </c>
      <c r="O192" s="24"/>
      <c r="P192" s="24"/>
      <c r="Q192" s="24"/>
      <c r="R192" s="26"/>
      <c r="S192" s="14">
        <f t="shared" si="13"/>
        <v>70.54337726</v>
      </c>
      <c r="U192" s="21"/>
      <c r="V192" s="21"/>
    </row>
    <row r="193">
      <c r="A193" s="11">
        <v>181.0</v>
      </c>
      <c r="B193" s="11">
        <v>1.42018260869565E9</v>
      </c>
      <c r="C193" s="2">
        <v>-101.8203201</v>
      </c>
      <c r="D193" s="24">
        <f t="shared" si="1"/>
        <v>-217391.3043</v>
      </c>
      <c r="E193" s="25">
        <f t="shared" si="2"/>
        <v>44.99651048</v>
      </c>
      <c r="F193" s="24">
        <f t="shared" si="3"/>
        <v>0.0002069839482</v>
      </c>
      <c r="G193" s="24">
        <f t="shared" si="4"/>
        <v>0</v>
      </c>
      <c r="H193" s="26">
        <f t="shared" si="5"/>
        <v>0</v>
      </c>
      <c r="I193" s="24">
        <f t="shared" si="6"/>
        <v>0</v>
      </c>
      <c r="J193" s="24">
        <f t="shared" si="7"/>
        <v>0</v>
      </c>
      <c r="K193" s="24"/>
      <c r="L193" s="24">
        <f t="shared" si="8"/>
        <v>500.119925</v>
      </c>
      <c r="M193" s="14">
        <f t="shared" si="9"/>
        <v>425.3952365</v>
      </c>
      <c r="N193" s="27">
        <f t="shared" si="10"/>
        <v>74.7246885</v>
      </c>
      <c r="O193" s="24"/>
      <c r="P193" s="24"/>
      <c r="Q193" s="24"/>
      <c r="R193" s="26"/>
      <c r="S193" s="14">
        <f t="shared" si="13"/>
        <v>68.61939247</v>
      </c>
      <c r="U193" s="21"/>
      <c r="V193" s="21"/>
    </row>
    <row r="194">
      <c r="A194" s="11">
        <v>182.0</v>
      </c>
      <c r="B194" s="11">
        <v>1.42018695652173E9</v>
      </c>
      <c r="C194" s="2">
        <v>-101.8432007</v>
      </c>
      <c r="D194" s="24">
        <f t="shared" si="1"/>
        <v>-213043.4783</v>
      </c>
      <c r="E194" s="25">
        <f t="shared" si="2"/>
        <v>44.07821434</v>
      </c>
      <c r="F194" s="24">
        <f t="shared" si="3"/>
        <v>0.0002068977408</v>
      </c>
      <c r="G194" s="24">
        <f t="shared" si="4"/>
        <v>0</v>
      </c>
      <c r="H194" s="26">
        <f t="shared" si="5"/>
        <v>0</v>
      </c>
      <c r="I194" s="24">
        <f t="shared" si="6"/>
        <v>0</v>
      </c>
      <c r="J194" s="24">
        <f t="shared" si="7"/>
        <v>0</v>
      </c>
      <c r="K194" s="24"/>
      <c r="L194" s="24">
        <f t="shared" si="8"/>
        <v>497.4919954</v>
      </c>
      <c r="M194" s="14">
        <f t="shared" si="9"/>
        <v>425.3209461</v>
      </c>
      <c r="N194" s="27">
        <f t="shared" si="10"/>
        <v>72.17104929</v>
      </c>
      <c r="O194" s="24"/>
      <c r="P194" s="24"/>
      <c r="Q194" s="24"/>
      <c r="R194" s="26"/>
      <c r="S194" s="14">
        <f t="shared" si="13"/>
        <v>66.27439546</v>
      </c>
      <c r="U194" s="21"/>
      <c r="V194" s="21"/>
    </row>
    <row r="195">
      <c r="A195" s="11">
        <v>183.0</v>
      </c>
      <c r="B195" s="11">
        <v>1.42019130434782E9</v>
      </c>
      <c r="C195" s="2">
        <v>-101.8949356</v>
      </c>
      <c r="D195" s="24">
        <f t="shared" si="1"/>
        <v>-208695.6522</v>
      </c>
      <c r="E195" s="25">
        <f t="shared" si="2"/>
        <v>43.15991821</v>
      </c>
      <c r="F195" s="24">
        <f t="shared" si="3"/>
        <v>0.0002068079414</v>
      </c>
      <c r="G195" s="24">
        <f t="shared" si="4"/>
        <v>0</v>
      </c>
      <c r="H195" s="26">
        <f t="shared" si="5"/>
        <v>0</v>
      </c>
      <c r="I195" s="24">
        <f t="shared" si="6"/>
        <v>0</v>
      </c>
      <c r="J195" s="24">
        <f t="shared" si="7"/>
        <v>0</v>
      </c>
      <c r="K195" s="24"/>
      <c r="L195" s="24">
        <f t="shared" si="8"/>
        <v>491.6008299</v>
      </c>
      <c r="M195" s="14">
        <f t="shared" si="9"/>
        <v>425.2466984</v>
      </c>
      <c r="N195" s="27">
        <f t="shared" si="10"/>
        <v>66.35413153</v>
      </c>
      <c r="O195" s="24"/>
      <c r="P195" s="24"/>
      <c r="Q195" s="24"/>
      <c r="R195" s="26"/>
      <c r="S195" s="14">
        <f t="shared" si="13"/>
        <v>60.93274238</v>
      </c>
      <c r="U195" s="21"/>
      <c r="V195" s="21"/>
    </row>
    <row r="196">
      <c r="A196" s="11">
        <v>184.0</v>
      </c>
      <c r="B196" s="11">
        <v>1.42019565217391E9</v>
      </c>
      <c r="C196" s="2">
        <v>-101.8057709</v>
      </c>
      <c r="D196" s="24">
        <f t="shared" si="1"/>
        <v>-204347.8261</v>
      </c>
      <c r="E196" s="25">
        <f t="shared" si="2"/>
        <v>42.24162208</v>
      </c>
      <c r="F196" s="24">
        <f t="shared" si="3"/>
        <v>0.0002067143208</v>
      </c>
      <c r="G196" s="24">
        <f t="shared" si="4"/>
        <v>0</v>
      </c>
      <c r="H196" s="26">
        <f t="shared" si="5"/>
        <v>0</v>
      </c>
      <c r="I196" s="24">
        <f t="shared" si="6"/>
        <v>0</v>
      </c>
      <c r="J196" s="24">
        <f t="shared" si="7"/>
        <v>0</v>
      </c>
      <c r="K196" s="24"/>
      <c r="L196" s="24">
        <f t="shared" si="8"/>
        <v>501.7981749</v>
      </c>
      <c r="M196" s="14">
        <f t="shared" si="9"/>
        <v>425.1724917</v>
      </c>
      <c r="N196" s="27">
        <f t="shared" si="10"/>
        <v>76.6256832</v>
      </c>
      <c r="O196" s="24"/>
      <c r="P196" s="24"/>
      <c r="Q196" s="24"/>
      <c r="R196" s="26"/>
      <c r="S196" s="14">
        <f t="shared" si="13"/>
        <v>70.3650684</v>
      </c>
      <c r="U196" s="21"/>
      <c r="V196" s="21"/>
    </row>
    <row r="197">
      <c r="A197" s="11">
        <v>185.0</v>
      </c>
      <c r="B197" s="11">
        <v>1.4202E9</v>
      </c>
      <c r="C197" s="2">
        <v>-101.7841568</v>
      </c>
      <c r="D197" s="24">
        <f t="shared" si="1"/>
        <v>-200000</v>
      </c>
      <c r="E197" s="25">
        <f t="shared" si="2"/>
        <v>41.32332595</v>
      </c>
      <c r="F197" s="24">
        <f t="shared" si="3"/>
        <v>0.0002066166297</v>
      </c>
      <c r="G197" s="24">
        <f t="shared" si="4"/>
        <v>0</v>
      </c>
      <c r="H197" s="26">
        <f t="shared" si="5"/>
        <v>0</v>
      </c>
      <c r="I197" s="24">
        <f t="shared" si="6"/>
        <v>0</v>
      </c>
      <c r="J197" s="24">
        <f t="shared" si="7"/>
        <v>0</v>
      </c>
      <c r="K197" s="24"/>
      <c r="L197" s="24">
        <f t="shared" si="8"/>
        <v>504.3017641</v>
      </c>
      <c r="M197" s="14">
        <f t="shared" si="9"/>
        <v>425.0983244</v>
      </c>
      <c r="N197" s="27">
        <f t="shared" si="10"/>
        <v>79.20343973</v>
      </c>
      <c r="O197" s="24"/>
      <c r="P197" s="24"/>
      <c r="Q197" s="24"/>
      <c r="R197" s="26"/>
      <c r="S197" s="14">
        <f t="shared" si="13"/>
        <v>72.73221241</v>
      </c>
      <c r="U197" s="21"/>
      <c r="V197" s="21"/>
    </row>
    <row r="198">
      <c r="A198" s="11">
        <v>186.0</v>
      </c>
      <c r="B198" s="11">
        <v>1.42020434782608E9</v>
      </c>
      <c r="C198" s="2">
        <v>-101.835701</v>
      </c>
      <c r="D198" s="24">
        <f t="shared" si="1"/>
        <v>-195652.1739</v>
      </c>
      <c r="E198" s="25">
        <f t="shared" si="2"/>
        <v>40.40502981</v>
      </c>
      <c r="F198" s="24">
        <f t="shared" si="3"/>
        <v>0.0002065145968</v>
      </c>
      <c r="G198" s="24">
        <f t="shared" si="4"/>
        <v>0</v>
      </c>
      <c r="H198" s="26">
        <f t="shared" si="5"/>
        <v>0</v>
      </c>
      <c r="I198" s="24">
        <f t="shared" si="6"/>
        <v>0</v>
      </c>
      <c r="J198" s="24">
        <f t="shared" si="7"/>
        <v>0</v>
      </c>
      <c r="K198" s="24"/>
      <c r="L198" s="24">
        <f t="shared" si="8"/>
        <v>498.3518415</v>
      </c>
      <c r="M198" s="14">
        <f t="shared" si="9"/>
        <v>425.0241949</v>
      </c>
      <c r="N198" s="27">
        <f t="shared" si="10"/>
        <v>73.32764661</v>
      </c>
      <c r="O198" s="24"/>
      <c r="P198" s="24"/>
      <c r="Q198" s="24"/>
      <c r="R198" s="26"/>
      <c r="S198" s="14">
        <f t="shared" si="13"/>
        <v>67.33649431</v>
      </c>
      <c r="U198" s="21"/>
      <c r="V198" s="21"/>
    </row>
    <row r="199">
      <c r="A199" s="11">
        <v>187.0</v>
      </c>
      <c r="B199" s="11">
        <v>1.42020869565217E9</v>
      </c>
      <c r="C199" s="2">
        <v>-101.818512</v>
      </c>
      <c r="D199" s="24">
        <f t="shared" si="1"/>
        <v>-191304.3478</v>
      </c>
      <c r="E199" s="25">
        <f t="shared" si="2"/>
        <v>39.48673368</v>
      </c>
      <c r="F199" s="24">
        <f t="shared" si="3"/>
        <v>0.0002064079261</v>
      </c>
      <c r="G199" s="24">
        <f t="shared" si="4"/>
        <v>0</v>
      </c>
      <c r="H199" s="26">
        <f t="shared" si="5"/>
        <v>0</v>
      </c>
      <c r="I199" s="24">
        <f t="shared" si="6"/>
        <v>0</v>
      </c>
      <c r="J199" s="24">
        <f t="shared" si="7"/>
        <v>0</v>
      </c>
      <c r="K199" s="24"/>
      <c r="L199" s="24">
        <f t="shared" si="8"/>
        <v>500.3281835</v>
      </c>
      <c r="M199" s="14">
        <f t="shared" si="9"/>
        <v>424.9501015</v>
      </c>
      <c r="N199" s="27">
        <f t="shared" si="10"/>
        <v>75.37808197</v>
      </c>
      <c r="O199" s="24"/>
      <c r="P199" s="24"/>
      <c r="Q199" s="24"/>
      <c r="R199" s="26"/>
      <c r="S199" s="14">
        <f t="shared" si="13"/>
        <v>69.21940101</v>
      </c>
      <c r="U199" s="21"/>
      <c r="V199" s="21"/>
    </row>
    <row r="200">
      <c r="A200" s="11">
        <v>188.0</v>
      </c>
      <c r="B200" s="11">
        <v>1.42021304347826E9</v>
      </c>
      <c r="C200" s="2">
        <v>-101.8187408</v>
      </c>
      <c r="D200" s="24">
        <f t="shared" si="1"/>
        <v>-186956.5217</v>
      </c>
      <c r="E200" s="25">
        <f t="shared" si="2"/>
        <v>38.56843755</v>
      </c>
      <c r="F200" s="24">
        <f t="shared" si="3"/>
        <v>0.0002062962939</v>
      </c>
      <c r="G200" s="24">
        <f t="shared" si="4"/>
        <v>0</v>
      </c>
      <c r="H200" s="26">
        <f t="shared" si="5"/>
        <v>0</v>
      </c>
      <c r="I200" s="24">
        <f t="shared" si="6"/>
        <v>0</v>
      </c>
      <c r="J200" s="24">
        <f t="shared" si="7"/>
        <v>0</v>
      </c>
      <c r="K200" s="24"/>
      <c r="L200" s="24">
        <f t="shared" si="8"/>
        <v>500.3018253</v>
      </c>
      <c r="M200" s="14">
        <f t="shared" si="9"/>
        <v>424.8760427</v>
      </c>
      <c r="N200" s="27">
        <f t="shared" si="10"/>
        <v>75.42578262</v>
      </c>
      <c r="O200" s="24"/>
      <c r="P200" s="24"/>
      <c r="Q200" s="24"/>
      <c r="R200" s="26"/>
      <c r="S200" s="14">
        <f t="shared" si="13"/>
        <v>69.26320449</v>
      </c>
      <c r="U200" s="21"/>
      <c r="V200" s="21"/>
    </row>
    <row r="201">
      <c r="A201" s="11">
        <v>189.0</v>
      </c>
      <c r="B201" s="11">
        <v>1.42021739130434E9</v>
      </c>
      <c r="C201" s="2">
        <v>-101.7836685</v>
      </c>
      <c r="D201" s="24">
        <f t="shared" si="1"/>
        <v>-182608.6957</v>
      </c>
      <c r="E201" s="25">
        <f t="shared" si="2"/>
        <v>37.65014142</v>
      </c>
      <c r="F201" s="24">
        <f t="shared" si="3"/>
        <v>0.0002061793459</v>
      </c>
      <c r="G201" s="24">
        <f t="shared" si="4"/>
        <v>0</v>
      </c>
      <c r="H201" s="26">
        <f t="shared" si="5"/>
        <v>0</v>
      </c>
      <c r="I201" s="24">
        <f t="shared" si="6"/>
        <v>0</v>
      </c>
      <c r="J201" s="24">
        <f t="shared" si="7"/>
        <v>0</v>
      </c>
      <c r="K201" s="24"/>
      <c r="L201" s="24">
        <f t="shared" si="8"/>
        <v>504.3584686</v>
      </c>
      <c r="M201" s="14">
        <f t="shared" si="9"/>
        <v>424.8020168</v>
      </c>
      <c r="N201" s="27">
        <f t="shared" si="10"/>
        <v>79.55645179</v>
      </c>
      <c r="O201" s="24"/>
      <c r="P201" s="24"/>
      <c r="Q201" s="24"/>
      <c r="R201" s="26"/>
      <c r="S201" s="14">
        <f t="shared" si="13"/>
        <v>73.05638202</v>
      </c>
      <c r="U201" s="21"/>
      <c r="V201" s="21"/>
    </row>
    <row r="202">
      <c r="A202" s="11">
        <v>190.0</v>
      </c>
      <c r="B202" s="11">
        <v>1.42022173913043E9</v>
      </c>
      <c r="C202" s="2">
        <v>-101.8029785</v>
      </c>
      <c r="D202" s="24">
        <f t="shared" si="1"/>
        <v>-178260.8696</v>
      </c>
      <c r="E202" s="25">
        <f t="shared" si="2"/>
        <v>36.73184529</v>
      </c>
      <c r="F202" s="24">
        <f t="shared" si="3"/>
        <v>0.0002060566931</v>
      </c>
      <c r="G202" s="24">
        <f t="shared" si="4"/>
        <v>0</v>
      </c>
      <c r="H202" s="26">
        <f t="shared" si="5"/>
        <v>0</v>
      </c>
      <c r="I202" s="24">
        <f t="shared" si="6"/>
        <v>0</v>
      </c>
      <c r="J202" s="24">
        <f t="shared" si="7"/>
        <v>0</v>
      </c>
      <c r="K202" s="24"/>
      <c r="L202" s="24">
        <f t="shared" si="8"/>
        <v>502.1209217</v>
      </c>
      <c r="M202" s="14">
        <f t="shared" si="9"/>
        <v>424.7280222</v>
      </c>
      <c r="N202" s="27">
        <f t="shared" si="10"/>
        <v>77.39289956</v>
      </c>
      <c r="O202" s="24"/>
      <c r="P202" s="24"/>
      <c r="Q202" s="24"/>
      <c r="R202" s="26"/>
      <c r="S202" s="14">
        <f t="shared" si="13"/>
        <v>71.06960021</v>
      </c>
      <c r="U202" s="21"/>
      <c r="V202" s="21"/>
    </row>
    <row r="203">
      <c r="A203" s="11">
        <v>191.0</v>
      </c>
      <c r="B203" s="11">
        <v>1.42022608695652E9</v>
      </c>
      <c r="C203" s="2">
        <v>-101.8630295</v>
      </c>
      <c r="D203" s="24">
        <f t="shared" si="1"/>
        <v>-173913.0435</v>
      </c>
      <c r="E203" s="25">
        <f t="shared" si="2"/>
        <v>35.81354916</v>
      </c>
      <c r="F203" s="24">
        <f t="shared" si="3"/>
        <v>0.0002059279076</v>
      </c>
      <c r="G203" s="24">
        <f t="shared" si="4"/>
        <v>0</v>
      </c>
      <c r="H203" s="26">
        <f t="shared" si="5"/>
        <v>0</v>
      </c>
      <c r="I203" s="24">
        <f t="shared" si="6"/>
        <v>0</v>
      </c>
      <c r="J203" s="24">
        <f t="shared" si="7"/>
        <v>0</v>
      </c>
      <c r="K203" s="24"/>
      <c r="L203" s="24">
        <f t="shared" si="8"/>
        <v>495.2257489</v>
      </c>
      <c r="M203" s="14">
        <f t="shared" si="9"/>
        <v>424.6540572</v>
      </c>
      <c r="N203" s="27">
        <f t="shared" si="10"/>
        <v>70.57169164</v>
      </c>
      <c r="O203" s="24"/>
      <c r="P203" s="24"/>
      <c r="Q203" s="24"/>
      <c r="R203" s="26"/>
      <c r="S203" s="14">
        <f t="shared" si="13"/>
        <v>64.80571152</v>
      </c>
      <c r="U203" s="21"/>
      <c r="V203" s="21"/>
    </row>
    <row r="204">
      <c r="A204" s="11">
        <v>192.0</v>
      </c>
      <c r="B204" s="11">
        <v>1.4202304347826E9</v>
      </c>
      <c r="C204" s="2">
        <v>-101.846817</v>
      </c>
      <c r="D204" s="24">
        <f t="shared" si="1"/>
        <v>-169565.2174</v>
      </c>
      <c r="E204" s="25">
        <f t="shared" si="2"/>
        <v>34.89525302</v>
      </c>
      <c r="F204" s="24">
        <f t="shared" si="3"/>
        <v>0.0002057925178</v>
      </c>
      <c r="G204" s="24">
        <f t="shared" si="4"/>
        <v>0</v>
      </c>
      <c r="H204" s="26">
        <f t="shared" si="5"/>
        <v>0</v>
      </c>
      <c r="I204" s="24">
        <f t="shared" si="6"/>
        <v>0</v>
      </c>
      <c r="J204" s="24">
        <f t="shared" si="7"/>
        <v>0</v>
      </c>
      <c r="K204" s="24"/>
      <c r="L204" s="24">
        <f t="shared" si="8"/>
        <v>497.0779143</v>
      </c>
      <c r="M204" s="14">
        <f t="shared" si="9"/>
        <v>424.5801203</v>
      </c>
      <c r="N204" s="27">
        <f t="shared" si="10"/>
        <v>72.49779399</v>
      </c>
      <c r="O204" s="24"/>
      <c r="P204" s="24"/>
      <c r="Q204" s="24"/>
      <c r="R204" s="26"/>
      <c r="S204" s="14">
        <f t="shared" si="13"/>
        <v>66.57444385</v>
      </c>
      <c r="U204" s="21"/>
      <c r="V204" s="21"/>
    </row>
    <row r="205">
      <c r="A205" s="11">
        <v>193.0</v>
      </c>
      <c r="B205" s="11">
        <v>1.42023478260869E9</v>
      </c>
      <c r="C205" s="2">
        <v>-101.8114853</v>
      </c>
      <c r="D205" s="24">
        <f t="shared" si="1"/>
        <v>-165217.3913</v>
      </c>
      <c r="E205" s="25">
        <f t="shared" si="2"/>
        <v>33.97695689</v>
      </c>
      <c r="F205" s="24">
        <f t="shared" si="3"/>
        <v>0.0002056500022</v>
      </c>
      <c r="G205" s="24">
        <f t="shared" si="4"/>
        <v>0</v>
      </c>
      <c r="H205" s="26">
        <f t="shared" si="5"/>
        <v>0</v>
      </c>
      <c r="I205" s="24">
        <f t="shared" si="6"/>
        <v>0</v>
      </c>
      <c r="J205" s="24">
        <f t="shared" si="7"/>
        <v>0</v>
      </c>
      <c r="K205" s="24"/>
      <c r="L205" s="24">
        <f t="shared" si="8"/>
        <v>501.1383484</v>
      </c>
      <c r="M205" s="14">
        <f t="shared" si="9"/>
        <v>424.5062098</v>
      </c>
      <c r="N205" s="27">
        <f t="shared" si="10"/>
        <v>76.63213867</v>
      </c>
      <c r="O205" s="24"/>
      <c r="P205" s="24"/>
      <c r="Q205" s="24"/>
      <c r="R205" s="26"/>
      <c r="S205" s="14">
        <f t="shared" si="13"/>
        <v>70.37099659</v>
      </c>
      <c r="U205" s="21"/>
      <c r="V205" s="21"/>
    </row>
    <row r="206">
      <c r="A206" s="11">
        <v>194.0</v>
      </c>
      <c r="B206" s="11">
        <v>1.42023913043478E9</v>
      </c>
      <c r="C206" s="2">
        <v>-101.7243805</v>
      </c>
      <c r="D206" s="24">
        <f t="shared" si="1"/>
        <v>-160869.5652</v>
      </c>
      <c r="E206" s="25">
        <f t="shared" si="2"/>
        <v>33.05866076</v>
      </c>
      <c r="F206" s="24">
        <f t="shared" si="3"/>
        <v>0.0002054997831</v>
      </c>
      <c r="G206" s="24">
        <f t="shared" si="4"/>
        <v>0</v>
      </c>
      <c r="H206" s="26">
        <f t="shared" si="5"/>
        <v>0</v>
      </c>
      <c r="I206" s="24">
        <f t="shared" si="6"/>
        <v>0</v>
      </c>
      <c r="J206" s="24">
        <f t="shared" si="7"/>
        <v>0</v>
      </c>
      <c r="K206" s="24"/>
      <c r="L206" s="24">
        <f t="shared" si="8"/>
        <v>511.2909638</v>
      </c>
      <c r="M206" s="14">
        <f t="shared" si="9"/>
        <v>424.432324</v>
      </c>
      <c r="N206" s="27">
        <f t="shared" si="10"/>
        <v>86.85863976</v>
      </c>
      <c r="O206" s="24"/>
      <c r="P206" s="24"/>
      <c r="Q206" s="24"/>
      <c r="R206" s="26"/>
      <c r="S206" s="14">
        <f t="shared" si="13"/>
        <v>79.76195281</v>
      </c>
      <c r="U206" s="21"/>
      <c r="V206" s="21"/>
    </row>
    <row r="207">
      <c r="A207" s="11">
        <v>195.0</v>
      </c>
      <c r="B207" s="11">
        <v>1.42024347826087E9</v>
      </c>
      <c r="C207" s="2">
        <v>-101.815773</v>
      </c>
      <c r="D207" s="24">
        <f t="shared" si="1"/>
        <v>-156521.7391</v>
      </c>
      <c r="E207" s="25">
        <f t="shared" si="2"/>
        <v>32.14036463</v>
      </c>
      <c r="F207" s="24">
        <f t="shared" si="3"/>
        <v>0.0002053412184</v>
      </c>
      <c r="G207" s="24">
        <f t="shared" si="4"/>
        <v>0</v>
      </c>
      <c r="H207" s="26">
        <f t="shared" si="5"/>
        <v>0</v>
      </c>
      <c r="I207" s="24">
        <f t="shared" si="6"/>
        <v>0</v>
      </c>
      <c r="J207" s="24">
        <f t="shared" si="7"/>
        <v>0</v>
      </c>
      <c r="K207" s="24"/>
      <c r="L207" s="24">
        <f t="shared" si="8"/>
        <v>500.643829</v>
      </c>
      <c r="M207" s="14">
        <f t="shared" si="9"/>
        <v>424.3584615</v>
      </c>
      <c r="N207" s="27">
        <f t="shared" si="10"/>
        <v>76.28536755</v>
      </c>
      <c r="O207" s="24"/>
      <c r="P207" s="24"/>
      <c r="Q207" s="24"/>
      <c r="R207" s="26"/>
      <c r="S207" s="14">
        <f t="shared" si="13"/>
        <v>70.052558</v>
      </c>
      <c r="U207" s="21"/>
      <c r="V207" s="21"/>
    </row>
    <row r="208">
      <c r="A208" s="11">
        <v>196.0</v>
      </c>
      <c r="B208" s="11">
        <v>1.42024782608695E9</v>
      </c>
      <c r="C208" s="2">
        <v>-101.785202</v>
      </c>
      <c r="D208" s="24">
        <f t="shared" si="1"/>
        <v>-152173.913</v>
      </c>
      <c r="E208" s="25">
        <f t="shared" si="2"/>
        <v>31.22206849</v>
      </c>
      <c r="F208" s="24">
        <f t="shared" si="3"/>
        <v>0.0002051735929</v>
      </c>
      <c r="G208" s="24">
        <f t="shared" si="4"/>
        <v>0</v>
      </c>
      <c r="H208" s="26">
        <f t="shared" si="5"/>
        <v>0</v>
      </c>
      <c r="I208" s="24">
        <f t="shared" si="6"/>
        <v>0</v>
      </c>
      <c r="J208" s="24">
        <f t="shared" si="7"/>
        <v>0</v>
      </c>
      <c r="K208" s="24"/>
      <c r="L208" s="24">
        <f t="shared" si="8"/>
        <v>504.1804103</v>
      </c>
      <c r="M208" s="14">
        <f t="shared" si="9"/>
        <v>424.2846204</v>
      </c>
      <c r="N208" s="27">
        <f t="shared" si="10"/>
        <v>79.89578989</v>
      </c>
      <c r="O208" s="24"/>
      <c r="P208" s="24"/>
      <c r="Q208" s="24"/>
      <c r="R208" s="26"/>
      <c r="S208" s="14">
        <f t="shared" si="13"/>
        <v>73.36799489</v>
      </c>
      <c r="U208" s="21"/>
      <c r="V208" s="21"/>
    </row>
    <row r="209">
      <c r="A209" s="11">
        <v>197.0</v>
      </c>
      <c r="B209" s="11">
        <v>1.42025217391304E9</v>
      </c>
      <c r="C209" s="2">
        <v>-101.7576523</v>
      </c>
      <c r="D209" s="24">
        <f t="shared" si="1"/>
        <v>-147826.087</v>
      </c>
      <c r="E209" s="25">
        <f t="shared" si="2"/>
        <v>30.30377236</v>
      </c>
      <c r="F209" s="24">
        <f t="shared" si="3"/>
        <v>0.0002049961071</v>
      </c>
      <c r="G209" s="24">
        <f t="shared" si="4"/>
        <v>0</v>
      </c>
      <c r="H209" s="26">
        <f t="shared" si="5"/>
        <v>0</v>
      </c>
      <c r="I209" s="24">
        <f t="shared" si="6"/>
        <v>0</v>
      </c>
      <c r="J209" s="24">
        <f t="shared" si="7"/>
        <v>0</v>
      </c>
      <c r="K209" s="24"/>
      <c r="L209" s="24">
        <f t="shared" si="8"/>
        <v>507.3888712</v>
      </c>
      <c r="M209" s="14">
        <f t="shared" si="9"/>
        <v>424.2107993</v>
      </c>
      <c r="N209" s="27">
        <f t="shared" si="10"/>
        <v>83.17807186</v>
      </c>
      <c r="O209" s="24"/>
      <c r="P209" s="24"/>
      <c r="Q209" s="24"/>
      <c r="R209" s="26"/>
      <c r="S209" s="14">
        <f t="shared" si="13"/>
        <v>76.38210154</v>
      </c>
      <c r="U209" s="21"/>
      <c r="V209" s="21"/>
    </row>
    <row r="210">
      <c r="A210" s="11">
        <v>198.0</v>
      </c>
      <c r="B210" s="11">
        <v>1.42025652173913E9</v>
      </c>
      <c r="C210" s="2">
        <v>-101.7714462</v>
      </c>
      <c r="D210" s="24">
        <f t="shared" si="1"/>
        <v>-143478.2609</v>
      </c>
      <c r="E210" s="25">
        <f t="shared" si="2"/>
        <v>29.38547623</v>
      </c>
      <c r="F210" s="24">
        <f t="shared" si="3"/>
        <v>0.0002048078646</v>
      </c>
      <c r="G210" s="24">
        <f t="shared" si="4"/>
        <v>0</v>
      </c>
      <c r="H210" s="26">
        <f t="shared" si="5"/>
        <v>0</v>
      </c>
      <c r="I210" s="24">
        <f t="shared" si="6"/>
        <v>0</v>
      </c>
      <c r="J210" s="24">
        <f t="shared" si="7"/>
        <v>0</v>
      </c>
      <c r="K210" s="24"/>
      <c r="L210" s="24">
        <f t="shared" si="8"/>
        <v>505.7798781</v>
      </c>
      <c r="M210" s="14">
        <f t="shared" si="9"/>
        <v>424.1369965</v>
      </c>
      <c r="N210" s="27">
        <f t="shared" si="10"/>
        <v>81.64288157</v>
      </c>
      <c r="O210" s="24"/>
      <c r="P210" s="24"/>
      <c r="Q210" s="24"/>
      <c r="R210" s="26"/>
      <c r="S210" s="14">
        <f t="shared" si="13"/>
        <v>74.97234241</v>
      </c>
      <c r="U210" s="21"/>
      <c r="V210" s="21"/>
    </row>
    <row r="211">
      <c r="A211" s="11">
        <v>199.0</v>
      </c>
      <c r="B211" s="11">
        <v>1.42026086956521E9</v>
      </c>
      <c r="C211" s="2">
        <v>-101.7425232</v>
      </c>
      <c r="D211" s="24">
        <f t="shared" si="1"/>
        <v>-139130.4348</v>
      </c>
      <c r="E211" s="25">
        <f t="shared" si="2"/>
        <v>28.4671801</v>
      </c>
      <c r="F211" s="24">
        <f t="shared" si="3"/>
        <v>0.0002046078569</v>
      </c>
      <c r="G211" s="24">
        <f t="shared" si="4"/>
        <v>0</v>
      </c>
      <c r="H211" s="26">
        <f t="shared" si="5"/>
        <v>0</v>
      </c>
      <c r="I211" s="24">
        <f t="shared" si="6"/>
        <v>0</v>
      </c>
      <c r="J211" s="24">
        <f t="shared" si="7"/>
        <v>0</v>
      </c>
      <c r="K211" s="24"/>
      <c r="L211" s="24">
        <f t="shared" si="8"/>
        <v>509.1594954</v>
      </c>
      <c r="M211" s="14">
        <f t="shared" si="9"/>
        <v>424.0632103</v>
      </c>
      <c r="N211" s="27">
        <f t="shared" si="10"/>
        <v>85.09628506</v>
      </c>
      <c r="O211" s="24"/>
      <c r="P211" s="24"/>
      <c r="Q211" s="24"/>
      <c r="R211" s="26"/>
      <c r="S211" s="14">
        <f t="shared" si="13"/>
        <v>78.14358949</v>
      </c>
      <c r="U211" s="21"/>
      <c r="V211" s="21"/>
    </row>
    <row r="212">
      <c r="A212" s="11">
        <v>200.0</v>
      </c>
      <c r="B212" s="11">
        <v>1.4202652173913E9</v>
      </c>
      <c r="C212" s="2">
        <v>-101.7047424</v>
      </c>
      <c r="D212" s="24">
        <f t="shared" si="1"/>
        <v>-134782.6087</v>
      </c>
      <c r="E212" s="25">
        <f t="shared" si="2"/>
        <v>27.54888396</v>
      </c>
      <c r="F212" s="24">
        <f t="shared" si="3"/>
        <v>0.0002043949455</v>
      </c>
      <c r="G212" s="24">
        <f t="shared" si="4"/>
        <v>0</v>
      </c>
      <c r="H212" s="26">
        <f t="shared" si="5"/>
        <v>0</v>
      </c>
      <c r="I212" s="24">
        <f t="shared" si="6"/>
        <v>0</v>
      </c>
      <c r="J212" s="24">
        <f t="shared" si="7"/>
        <v>0</v>
      </c>
      <c r="K212" s="24"/>
      <c r="L212" s="24">
        <f t="shared" si="8"/>
        <v>513.6081746</v>
      </c>
      <c r="M212" s="14">
        <f t="shared" si="9"/>
        <v>423.9894392</v>
      </c>
      <c r="N212" s="27">
        <f t="shared" si="10"/>
        <v>89.61873546</v>
      </c>
      <c r="O212" s="24"/>
      <c r="P212" s="24"/>
      <c r="Q212" s="24"/>
      <c r="R212" s="26"/>
      <c r="S212" s="14">
        <f t="shared" si="13"/>
        <v>82.296538</v>
      </c>
      <c r="U212" s="21"/>
      <c r="V212" s="21"/>
    </row>
    <row r="213">
      <c r="A213" s="11">
        <v>201.0</v>
      </c>
      <c r="B213" s="11">
        <v>1.42026956521739E9</v>
      </c>
      <c r="C213" s="2">
        <v>-101.6826477</v>
      </c>
      <c r="D213" s="24">
        <f t="shared" si="1"/>
        <v>-130434.7826</v>
      </c>
      <c r="E213" s="25">
        <f t="shared" si="2"/>
        <v>26.63058783</v>
      </c>
      <c r="F213" s="24">
        <f t="shared" si="3"/>
        <v>0.0002041678401</v>
      </c>
      <c r="G213" s="24">
        <f t="shared" si="4"/>
        <v>0</v>
      </c>
      <c r="H213" s="26">
        <f t="shared" si="5"/>
        <v>0</v>
      </c>
      <c r="I213" s="24">
        <f t="shared" si="6"/>
        <v>0</v>
      </c>
      <c r="J213" s="24">
        <f t="shared" si="7"/>
        <v>0</v>
      </c>
      <c r="K213" s="24"/>
      <c r="L213" s="24">
        <f t="shared" si="8"/>
        <v>516.2278105</v>
      </c>
      <c r="M213" s="14">
        <f t="shared" si="9"/>
        <v>423.9156814</v>
      </c>
      <c r="N213" s="27">
        <f t="shared" si="10"/>
        <v>92.31212905</v>
      </c>
      <c r="O213" s="24"/>
      <c r="P213" s="24"/>
      <c r="Q213" s="24"/>
      <c r="R213" s="26"/>
      <c r="S213" s="14">
        <f t="shared" si="13"/>
        <v>84.76987112</v>
      </c>
      <c r="U213" s="21"/>
      <c r="V213" s="21"/>
    </row>
    <row r="214">
      <c r="A214" s="11">
        <v>202.0</v>
      </c>
      <c r="B214" s="11">
        <v>1.42027391304347E9</v>
      </c>
      <c r="C214" s="2">
        <v>-101.6405487</v>
      </c>
      <c r="D214" s="24">
        <f t="shared" si="1"/>
        <v>-126086.9565</v>
      </c>
      <c r="E214" s="25">
        <f t="shared" si="2"/>
        <v>25.7122917</v>
      </c>
      <c r="F214" s="24">
        <f t="shared" si="3"/>
        <v>0.0002039250721</v>
      </c>
      <c r="G214" s="24">
        <f t="shared" si="4"/>
        <v>0</v>
      </c>
      <c r="H214" s="26">
        <f t="shared" si="5"/>
        <v>0</v>
      </c>
      <c r="I214" s="24">
        <f t="shared" si="6"/>
        <v>0</v>
      </c>
      <c r="J214" s="24">
        <f t="shared" si="7"/>
        <v>0</v>
      </c>
      <c r="K214" s="24"/>
      <c r="L214" s="24">
        <f t="shared" si="8"/>
        <v>521.2562765</v>
      </c>
      <c r="M214" s="14">
        <f t="shared" si="9"/>
        <v>423.8419355</v>
      </c>
      <c r="N214" s="27">
        <f t="shared" si="10"/>
        <v>97.41434097</v>
      </c>
      <c r="O214" s="24"/>
      <c r="P214" s="24"/>
      <c r="Q214" s="24"/>
      <c r="R214" s="26"/>
      <c r="S214" s="14">
        <f t="shared" si="13"/>
        <v>89.45521259</v>
      </c>
      <c r="U214" s="21"/>
      <c r="V214" s="21"/>
    </row>
    <row r="215">
      <c r="A215" s="11">
        <v>203.0</v>
      </c>
      <c r="B215" s="11">
        <v>1.42027826086956E9</v>
      </c>
      <c r="C215" s="2">
        <v>-101.6561279</v>
      </c>
      <c r="D215" s="24">
        <f t="shared" si="1"/>
        <v>-121739.1304</v>
      </c>
      <c r="E215" s="25">
        <f t="shared" si="2"/>
        <v>24.79399557</v>
      </c>
      <c r="F215" s="24">
        <f t="shared" si="3"/>
        <v>0.0002036649636</v>
      </c>
      <c r="G215" s="24">
        <f t="shared" si="4"/>
        <v>0</v>
      </c>
      <c r="H215" s="26">
        <f t="shared" si="5"/>
        <v>0</v>
      </c>
      <c r="I215" s="24">
        <f t="shared" si="6"/>
        <v>0</v>
      </c>
      <c r="J215" s="24">
        <f t="shared" si="7"/>
        <v>0</v>
      </c>
      <c r="K215" s="24"/>
      <c r="L215" s="24">
        <f t="shared" si="8"/>
        <v>519.3897532</v>
      </c>
      <c r="M215" s="14">
        <f t="shared" si="9"/>
        <v>423.7681997</v>
      </c>
      <c r="N215" s="27">
        <f t="shared" si="10"/>
        <v>95.62155346</v>
      </c>
      <c r="O215" s="24"/>
      <c r="P215" s="24"/>
      <c r="Q215" s="24"/>
      <c r="R215" s="26"/>
      <c r="S215" s="14">
        <f t="shared" si="13"/>
        <v>87.80890255</v>
      </c>
      <c r="U215" s="21"/>
      <c r="V215" s="21"/>
    </row>
    <row r="216">
      <c r="A216" s="11">
        <v>204.0</v>
      </c>
      <c r="B216" s="11">
        <v>1.42028260869565E9</v>
      </c>
      <c r="C216" s="2">
        <v>-101.6463547</v>
      </c>
      <c r="D216" s="24">
        <f t="shared" si="1"/>
        <v>-117391.3043</v>
      </c>
      <c r="E216" s="25">
        <f t="shared" si="2"/>
        <v>23.87569944</v>
      </c>
      <c r="F216" s="24">
        <f t="shared" si="3"/>
        <v>0.0002033855878</v>
      </c>
      <c r="G216" s="24">
        <f t="shared" si="4"/>
        <v>0</v>
      </c>
      <c r="H216" s="26">
        <f t="shared" si="5"/>
        <v>0</v>
      </c>
      <c r="I216" s="24">
        <f t="shared" si="6"/>
        <v>0</v>
      </c>
      <c r="J216" s="24">
        <f t="shared" si="7"/>
        <v>0</v>
      </c>
      <c r="K216" s="24"/>
      <c r="L216" s="24">
        <f t="shared" si="8"/>
        <v>520.5598845</v>
      </c>
      <c r="M216" s="14">
        <f t="shared" si="9"/>
        <v>423.6944725</v>
      </c>
      <c r="N216" s="27">
        <f t="shared" si="10"/>
        <v>96.86541202</v>
      </c>
      <c r="O216" s="24"/>
      <c r="P216" s="24"/>
      <c r="Q216" s="24"/>
      <c r="R216" s="26"/>
      <c r="S216" s="14">
        <f t="shared" si="13"/>
        <v>88.95113326</v>
      </c>
      <c r="U216" s="21"/>
      <c r="V216" s="21"/>
    </row>
    <row r="217">
      <c r="A217" s="11">
        <v>205.0</v>
      </c>
      <c r="B217" s="11">
        <v>1.42028695652173E9</v>
      </c>
      <c r="C217" s="2">
        <v>-101.6204987</v>
      </c>
      <c r="D217" s="24">
        <f t="shared" si="1"/>
        <v>-113043.4783</v>
      </c>
      <c r="E217" s="25">
        <f t="shared" si="2"/>
        <v>22.9574033</v>
      </c>
      <c r="F217" s="24">
        <f t="shared" si="3"/>
        <v>0.0002030847215</v>
      </c>
      <c r="G217" s="24">
        <f t="shared" si="4"/>
        <v>0</v>
      </c>
      <c r="H217" s="26">
        <f t="shared" si="5"/>
        <v>0</v>
      </c>
      <c r="I217" s="24">
        <f t="shared" si="6"/>
        <v>0</v>
      </c>
      <c r="J217" s="24">
        <f t="shared" si="7"/>
        <v>0</v>
      </c>
      <c r="K217" s="24"/>
      <c r="L217" s="24">
        <f t="shared" si="8"/>
        <v>523.6683151</v>
      </c>
      <c r="M217" s="14">
        <f t="shared" si="9"/>
        <v>423.6207522</v>
      </c>
      <c r="N217" s="27">
        <f t="shared" si="10"/>
        <v>100.0475629</v>
      </c>
      <c r="O217" s="24"/>
      <c r="P217" s="24"/>
      <c r="Q217" s="24"/>
      <c r="R217" s="26"/>
      <c r="S217" s="14">
        <f t="shared" si="13"/>
        <v>91.87329008</v>
      </c>
      <c r="U217" s="21"/>
      <c r="V217" s="21"/>
    </row>
    <row r="218">
      <c r="A218" s="11">
        <v>206.0</v>
      </c>
      <c r="B218" s="11">
        <v>1.42029130434782E9</v>
      </c>
      <c r="C218" s="2">
        <v>-101.6281891</v>
      </c>
      <c r="D218" s="24">
        <f t="shared" si="1"/>
        <v>-108695.6522</v>
      </c>
      <c r="E218" s="25">
        <f t="shared" si="2"/>
        <v>22.03910717</v>
      </c>
      <c r="F218" s="24">
        <f t="shared" si="3"/>
        <v>0.000202759786</v>
      </c>
      <c r="G218" s="24">
        <f t="shared" si="4"/>
        <v>0</v>
      </c>
      <c r="H218" s="26">
        <f t="shared" si="5"/>
        <v>0</v>
      </c>
      <c r="I218" s="24">
        <f t="shared" si="6"/>
        <v>0</v>
      </c>
      <c r="J218" s="24">
        <f t="shared" si="7"/>
        <v>0</v>
      </c>
      <c r="K218" s="24"/>
      <c r="L218" s="24">
        <f t="shared" si="8"/>
        <v>522.7418342</v>
      </c>
      <c r="M218" s="14">
        <f t="shared" si="9"/>
        <v>423.5470371</v>
      </c>
      <c r="N218" s="27">
        <f t="shared" si="10"/>
        <v>99.19479705</v>
      </c>
      <c r="O218" s="24"/>
      <c r="P218" s="24"/>
      <c r="Q218" s="24"/>
      <c r="R218" s="26"/>
      <c r="S218" s="14">
        <f t="shared" si="13"/>
        <v>91.09019852</v>
      </c>
      <c r="U218" s="21"/>
      <c r="V218" s="21"/>
    </row>
    <row r="219">
      <c r="A219" s="11">
        <v>207.0</v>
      </c>
      <c r="B219" s="11">
        <v>1.42029565217391E9</v>
      </c>
      <c r="C219" s="2">
        <v>-101.654007</v>
      </c>
      <c r="D219" s="24">
        <f t="shared" si="1"/>
        <v>-104347.8261</v>
      </c>
      <c r="E219" s="25">
        <f t="shared" si="2"/>
        <v>21.12081104</v>
      </c>
      <c r="F219" s="24">
        <f t="shared" si="3"/>
        <v>0.0002024077725</v>
      </c>
      <c r="G219" s="24">
        <f t="shared" si="4"/>
        <v>0</v>
      </c>
      <c r="H219" s="26">
        <f t="shared" si="5"/>
        <v>0</v>
      </c>
      <c r="I219" s="24">
        <f t="shared" si="6"/>
        <v>0</v>
      </c>
      <c r="J219" s="24">
        <f t="shared" si="7"/>
        <v>0</v>
      </c>
      <c r="K219" s="24"/>
      <c r="L219" s="24">
        <f t="shared" si="8"/>
        <v>519.6434619</v>
      </c>
      <c r="M219" s="14">
        <f t="shared" si="9"/>
        <v>423.4733258</v>
      </c>
      <c r="N219" s="27">
        <f t="shared" si="10"/>
        <v>96.1701361</v>
      </c>
      <c r="O219" s="24"/>
      <c r="P219" s="24"/>
      <c r="Q219" s="24"/>
      <c r="R219" s="26"/>
      <c r="S219" s="14">
        <f t="shared" si="13"/>
        <v>88.31266386</v>
      </c>
      <c r="U219" s="21"/>
      <c r="V219" s="21"/>
    </row>
    <row r="220">
      <c r="A220" s="11">
        <v>208.0</v>
      </c>
      <c r="B220" s="11">
        <v>1.4203E9</v>
      </c>
      <c r="C220" s="2">
        <v>-101.6487732</v>
      </c>
      <c r="D220" s="24">
        <f t="shared" si="1"/>
        <v>-100000</v>
      </c>
      <c r="E220" s="25">
        <f t="shared" si="2"/>
        <v>20.20251491</v>
      </c>
      <c r="F220" s="24">
        <f t="shared" si="3"/>
        <v>0.0002020251491</v>
      </c>
      <c r="G220" s="24">
        <f t="shared" si="4"/>
        <v>0</v>
      </c>
      <c r="H220" s="26">
        <f t="shared" si="5"/>
        <v>0</v>
      </c>
      <c r="I220" s="24">
        <f t="shared" si="6"/>
        <v>0</v>
      </c>
      <c r="J220" s="24">
        <f t="shared" si="7"/>
        <v>0</v>
      </c>
      <c r="K220" s="24"/>
      <c r="L220" s="24">
        <f t="shared" si="8"/>
        <v>520.2700757</v>
      </c>
      <c r="M220" s="14">
        <f t="shared" si="9"/>
        <v>423.3996164</v>
      </c>
      <c r="N220" s="27">
        <f t="shared" si="10"/>
        <v>96.87045929</v>
      </c>
      <c r="O220" s="24"/>
      <c r="P220" s="24"/>
      <c r="Q220" s="24"/>
      <c r="R220" s="26"/>
      <c r="S220" s="14">
        <f t="shared" si="13"/>
        <v>88.95576814</v>
      </c>
      <c r="U220" s="21"/>
      <c r="V220" s="21"/>
    </row>
    <row r="221">
      <c r="A221" s="11">
        <v>209.0</v>
      </c>
      <c r="B221" s="11">
        <v>1.42030434782608E9</v>
      </c>
      <c r="C221" s="2">
        <v>-101.6190567</v>
      </c>
      <c r="D221" s="24">
        <f t="shared" si="1"/>
        <v>-95652.17392</v>
      </c>
      <c r="E221" s="25">
        <f t="shared" si="2"/>
        <v>19.28421878</v>
      </c>
      <c r="F221" s="24">
        <f t="shared" si="3"/>
        <v>0.0002016077417</v>
      </c>
      <c r="G221" s="24">
        <f t="shared" si="4"/>
        <v>0</v>
      </c>
      <c r="H221" s="26">
        <f t="shared" si="5"/>
        <v>0</v>
      </c>
      <c r="I221" s="24">
        <f t="shared" si="6"/>
        <v>0</v>
      </c>
      <c r="J221" s="24">
        <f t="shared" si="7"/>
        <v>0</v>
      </c>
      <c r="K221" s="24"/>
      <c r="L221" s="24">
        <f t="shared" si="8"/>
        <v>523.842219</v>
      </c>
      <c r="M221" s="14">
        <f t="shared" si="9"/>
        <v>423.3259075</v>
      </c>
      <c r="N221" s="27">
        <f t="shared" si="10"/>
        <v>100.5163114</v>
      </c>
      <c r="O221" s="24"/>
      <c r="P221" s="24"/>
      <c r="Q221" s="24"/>
      <c r="R221" s="26"/>
      <c r="S221" s="14">
        <f t="shared" si="13"/>
        <v>92.30374008</v>
      </c>
      <c r="U221" s="21"/>
      <c r="V221" s="21"/>
    </row>
    <row r="222">
      <c r="A222" s="11">
        <v>210.0</v>
      </c>
      <c r="B222" s="11">
        <v>1.42030869565217E9</v>
      </c>
      <c r="C222" s="2">
        <v>-101.6323395</v>
      </c>
      <c r="D222" s="24">
        <f t="shared" si="1"/>
        <v>-91304.34783</v>
      </c>
      <c r="E222" s="25">
        <f t="shared" si="2"/>
        <v>18.36592264</v>
      </c>
      <c r="F222" s="24">
        <f t="shared" si="3"/>
        <v>0.0002011505813</v>
      </c>
      <c r="G222" s="24">
        <f t="shared" si="4"/>
        <v>0</v>
      </c>
      <c r="H222" s="26">
        <f t="shared" si="5"/>
        <v>0</v>
      </c>
      <c r="I222" s="24">
        <f t="shared" si="6"/>
        <v>0</v>
      </c>
      <c r="J222" s="24">
        <f t="shared" si="7"/>
        <v>0</v>
      </c>
      <c r="K222" s="24"/>
      <c r="L222" s="24">
        <f t="shared" si="8"/>
        <v>522.2425068</v>
      </c>
      <c r="M222" s="14">
        <f t="shared" si="9"/>
        <v>423.2521974</v>
      </c>
      <c r="N222" s="27">
        <f t="shared" si="10"/>
        <v>98.9903094</v>
      </c>
      <c r="O222" s="24"/>
      <c r="P222" s="24"/>
      <c r="Q222" s="24"/>
      <c r="R222" s="26"/>
      <c r="S222" s="14">
        <f t="shared" si="13"/>
        <v>90.90241809</v>
      </c>
      <c r="U222" s="21"/>
      <c r="V222" s="21"/>
    </row>
    <row r="223">
      <c r="A223" s="11">
        <v>211.0</v>
      </c>
      <c r="B223" s="11">
        <v>1.42031304347826E9</v>
      </c>
      <c r="C223" s="2">
        <v>-101.6533813</v>
      </c>
      <c r="D223" s="24">
        <f t="shared" si="1"/>
        <v>-86956.52174</v>
      </c>
      <c r="E223" s="25">
        <f t="shared" si="2"/>
        <v>17.44762651</v>
      </c>
      <c r="F223" s="24">
        <f t="shared" si="3"/>
        <v>0.0002006477049</v>
      </c>
      <c r="G223" s="24">
        <f t="shared" si="4"/>
        <v>0</v>
      </c>
      <c r="H223" s="26">
        <f t="shared" si="5"/>
        <v>0</v>
      </c>
      <c r="I223" s="24">
        <f t="shared" si="6"/>
        <v>0</v>
      </c>
      <c r="J223" s="24">
        <f t="shared" si="7"/>
        <v>0</v>
      </c>
      <c r="K223" s="24"/>
      <c r="L223" s="24">
        <f t="shared" si="8"/>
        <v>519.7183337</v>
      </c>
      <c r="M223" s="14">
        <f t="shared" si="9"/>
        <v>423.1784844</v>
      </c>
      <c r="N223" s="27">
        <f t="shared" si="10"/>
        <v>96.5398493</v>
      </c>
      <c r="O223" s="24"/>
      <c r="P223" s="24"/>
      <c r="Q223" s="24"/>
      <c r="R223" s="26"/>
      <c r="S223" s="14">
        <f t="shared" si="13"/>
        <v>88.65217027</v>
      </c>
      <c r="U223" s="21"/>
      <c r="V223" s="21"/>
    </row>
    <row r="224">
      <c r="A224" s="11">
        <v>212.0</v>
      </c>
      <c r="B224" s="11">
        <v>1.42031739130434E9</v>
      </c>
      <c r="C224" s="2">
        <v>-101.6126556</v>
      </c>
      <c r="D224" s="24">
        <f t="shared" si="1"/>
        <v>-82608.69566</v>
      </c>
      <c r="E224" s="25">
        <f t="shared" si="2"/>
        <v>16.52933038</v>
      </c>
      <c r="F224" s="24">
        <f t="shared" si="3"/>
        <v>0.000200091894</v>
      </c>
      <c r="G224" s="24">
        <f t="shared" si="4"/>
        <v>0</v>
      </c>
      <c r="H224" s="26">
        <f t="shared" si="5"/>
        <v>0</v>
      </c>
      <c r="I224" s="24">
        <f t="shared" si="6"/>
        <v>0</v>
      </c>
      <c r="J224" s="24">
        <f t="shared" si="7"/>
        <v>0</v>
      </c>
      <c r="K224" s="24"/>
      <c r="L224" s="24">
        <f t="shared" si="8"/>
        <v>524.6148833</v>
      </c>
      <c r="M224" s="14">
        <f t="shared" si="9"/>
        <v>423.104767</v>
      </c>
      <c r="N224" s="27">
        <f t="shared" si="10"/>
        <v>101.5101163</v>
      </c>
      <c r="O224" s="24"/>
      <c r="P224" s="24"/>
      <c r="Q224" s="24"/>
      <c r="R224" s="26"/>
      <c r="S224" s="14">
        <f t="shared" si="13"/>
        <v>93.21634728</v>
      </c>
      <c r="U224" s="21"/>
      <c r="V224" s="21"/>
    </row>
    <row r="225">
      <c r="A225" s="11">
        <v>213.0</v>
      </c>
      <c r="B225" s="11">
        <v>1.42032173913043E9</v>
      </c>
      <c r="C225" s="2">
        <v>-101.6347885</v>
      </c>
      <c r="D225" s="24">
        <f t="shared" si="1"/>
        <v>-78260.86957</v>
      </c>
      <c r="E225" s="25">
        <f t="shared" si="2"/>
        <v>15.61103425</v>
      </c>
      <c r="F225" s="24">
        <f t="shared" si="3"/>
        <v>0.0001994743265</v>
      </c>
      <c r="G225" s="24">
        <f t="shared" si="4"/>
        <v>0</v>
      </c>
      <c r="H225" s="26">
        <f t="shared" si="5"/>
        <v>0</v>
      </c>
      <c r="I225" s="24">
        <f t="shared" si="6"/>
        <v>0</v>
      </c>
      <c r="J225" s="24">
        <f t="shared" si="7"/>
        <v>0</v>
      </c>
      <c r="K225" s="24"/>
      <c r="L225" s="24">
        <f t="shared" si="8"/>
        <v>521.9480956</v>
      </c>
      <c r="M225" s="14">
        <f t="shared" si="9"/>
        <v>423.0310435</v>
      </c>
      <c r="N225" s="27">
        <f t="shared" si="10"/>
        <v>98.91705216</v>
      </c>
      <c r="O225" s="24"/>
      <c r="P225" s="24"/>
      <c r="Q225" s="24"/>
      <c r="R225" s="26"/>
      <c r="S225" s="14">
        <f t="shared" si="13"/>
        <v>90.83514625</v>
      </c>
      <c r="U225" s="21"/>
      <c r="V225" s="21"/>
    </row>
    <row r="226">
      <c r="A226" s="11">
        <v>214.0</v>
      </c>
      <c r="B226" s="11">
        <v>1.42032608695652E9</v>
      </c>
      <c r="C226" s="2">
        <v>-101.7047577</v>
      </c>
      <c r="D226" s="24">
        <f t="shared" si="1"/>
        <v>-73913.04348</v>
      </c>
      <c r="E226" s="25">
        <f t="shared" si="2"/>
        <v>14.69273812</v>
      </c>
      <c r="F226" s="24">
        <f t="shared" si="3"/>
        <v>0.0001987841039</v>
      </c>
      <c r="G226" s="24">
        <f t="shared" si="4"/>
        <v>0</v>
      </c>
      <c r="H226" s="26">
        <f t="shared" si="5"/>
        <v>0</v>
      </c>
      <c r="I226" s="24">
        <f t="shared" si="6"/>
        <v>0</v>
      </c>
      <c r="J226" s="24">
        <f t="shared" si="7"/>
        <v>0</v>
      </c>
      <c r="K226" s="24"/>
      <c r="L226" s="24">
        <f t="shared" si="8"/>
        <v>513.6063652</v>
      </c>
      <c r="M226" s="14">
        <f t="shared" si="9"/>
        <v>422.9573123</v>
      </c>
      <c r="N226" s="27">
        <f t="shared" si="10"/>
        <v>90.64905294</v>
      </c>
      <c r="O226" s="24"/>
      <c r="P226" s="24"/>
      <c r="Q226" s="24"/>
      <c r="R226" s="26"/>
      <c r="S226" s="14">
        <f t="shared" si="13"/>
        <v>83.24267476</v>
      </c>
      <c r="U226" s="21"/>
      <c r="V226" s="21"/>
    </row>
    <row r="227">
      <c r="A227" s="11">
        <v>215.0</v>
      </c>
      <c r="B227" s="11">
        <v>1.4203304347826E9</v>
      </c>
      <c r="C227" s="2">
        <v>-101.7101059</v>
      </c>
      <c r="D227" s="24">
        <f t="shared" si="1"/>
        <v>-69565.2174</v>
      </c>
      <c r="E227" s="25">
        <f t="shared" si="2"/>
        <v>13.77444198</v>
      </c>
      <c r="F227" s="24">
        <f t="shared" si="3"/>
        <v>0.0001980076035</v>
      </c>
      <c r="G227" s="24">
        <f t="shared" si="4"/>
        <v>0</v>
      </c>
      <c r="H227" s="26">
        <f t="shared" si="5"/>
        <v>0</v>
      </c>
      <c r="I227" s="24">
        <f t="shared" si="6"/>
        <v>0</v>
      </c>
      <c r="J227" s="24">
        <f t="shared" si="7"/>
        <v>0</v>
      </c>
      <c r="K227" s="24"/>
      <c r="L227" s="24">
        <f t="shared" si="8"/>
        <v>512.9742644</v>
      </c>
      <c r="M227" s="14">
        <f t="shared" si="9"/>
        <v>422.8835717</v>
      </c>
      <c r="N227" s="27">
        <f t="shared" si="10"/>
        <v>90.09069269</v>
      </c>
      <c r="O227" s="24"/>
      <c r="P227" s="24"/>
      <c r="Q227" s="24"/>
      <c r="R227" s="26"/>
      <c r="S227" s="14">
        <f t="shared" si="13"/>
        <v>82.7299347</v>
      </c>
      <c r="U227" s="21"/>
      <c r="V227" s="21"/>
    </row>
    <row r="228">
      <c r="A228" s="11">
        <v>216.0</v>
      </c>
      <c r="B228" s="11">
        <v>1.42033478260869E9</v>
      </c>
      <c r="C228" s="2">
        <v>-101.6654892</v>
      </c>
      <c r="D228" s="24">
        <f t="shared" si="1"/>
        <v>-65217.39131</v>
      </c>
      <c r="E228" s="25">
        <f t="shared" si="2"/>
        <v>12.85614585</v>
      </c>
      <c r="F228" s="24">
        <f t="shared" si="3"/>
        <v>0.0001971275697</v>
      </c>
      <c r="G228" s="24">
        <f t="shared" si="4"/>
        <v>0</v>
      </c>
      <c r="H228" s="26">
        <f t="shared" si="5"/>
        <v>0</v>
      </c>
      <c r="I228" s="24">
        <f t="shared" si="6"/>
        <v>0</v>
      </c>
      <c r="J228" s="24">
        <f t="shared" si="7"/>
        <v>0</v>
      </c>
      <c r="K228" s="24"/>
      <c r="L228" s="24">
        <f t="shared" si="8"/>
        <v>518.2714045</v>
      </c>
      <c r="M228" s="14">
        <f t="shared" si="9"/>
        <v>422.8098202</v>
      </c>
      <c r="N228" s="27">
        <f t="shared" si="10"/>
        <v>95.46158427</v>
      </c>
      <c r="O228" s="24"/>
      <c r="P228" s="24"/>
      <c r="Q228" s="24"/>
      <c r="R228" s="26"/>
      <c r="S228" s="14">
        <f t="shared" si="13"/>
        <v>87.66200366</v>
      </c>
      <c r="U228" s="21"/>
      <c r="V228" s="21"/>
    </row>
    <row r="229">
      <c r="A229" s="11">
        <v>217.0</v>
      </c>
      <c r="B229" s="11">
        <v>1.42033913043478E9</v>
      </c>
      <c r="C229" s="2">
        <v>-101.6448975</v>
      </c>
      <c r="D229" s="24">
        <f t="shared" si="1"/>
        <v>-60869.56522</v>
      </c>
      <c r="E229" s="25">
        <f t="shared" si="2"/>
        <v>11.93784972</v>
      </c>
      <c r="F229" s="24">
        <f t="shared" si="3"/>
        <v>0.0001961218168</v>
      </c>
      <c r="G229" s="24">
        <f t="shared" si="4"/>
        <v>0</v>
      </c>
      <c r="H229" s="26">
        <f t="shared" si="5"/>
        <v>0</v>
      </c>
      <c r="I229" s="24">
        <f t="shared" si="6"/>
        <v>0</v>
      </c>
      <c r="J229" s="24">
        <f t="shared" si="7"/>
        <v>0</v>
      </c>
      <c r="K229" s="24"/>
      <c r="L229" s="24">
        <f t="shared" si="8"/>
        <v>520.7345787</v>
      </c>
      <c r="M229" s="14">
        <f t="shared" si="9"/>
        <v>422.7360561</v>
      </c>
      <c r="N229" s="27">
        <f t="shared" si="10"/>
        <v>97.99852258</v>
      </c>
      <c r="O229" s="24"/>
      <c r="P229" s="24"/>
      <c r="Q229" s="24"/>
      <c r="R229" s="26"/>
      <c r="S229" s="14">
        <f t="shared" si="13"/>
        <v>89.9916641</v>
      </c>
      <c r="U229" s="21"/>
      <c r="V229" s="21"/>
    </row>
    <row r="230">
      <c r="A230" s="11">
        <v>218.0</v>
      </c>
      <c r="B230" s="11">
        <v>1.42034347826087E9</v>
      </c>
      <c r="C230" s="2">
        <v>-101.6810608</v>
      </c>
      <c r="D230" s="24">
        <f t="shared" si="1"/>
        <v>-56521.73913</v>
      </c>
      <c r="E230" s="25">
        <f t="shared" si="2"/>
        <v>11.01955359</v>
      </c>
      <c r="F230" s="24">
        <f t="shared" si="3"/>
        <v>0.0001949613327</v>
      </c>
      <c r="G230" s="24">
        <f t="shared" si="4"/>
        <v>0</v>
      </c>
      <c r="H230" s="26">
        <f t="shared" si="5"/>
        <v>0</v>
      </c>
      <c r="I230" s="24">
        <f t="shared" si="6"/>
        <v>0</v>
      </c>
      <c r="J230" s="24">
        <f t="shared" si="7"/>
        <v>0</v>
      </c>
      <c r="K230" s="24"/>
      <c r="L230" s="24">
        <f t="shared" si="8"/>
        <v>516.4164732</v>
      </c>
      <c r="M230" s="14">
        <f t="shared" si="9"/>
        <v>422.6622778</v>
      </c>
      <c r="N230" s="27">
        <f t="shared" si="10"/>
        <v>93.75419538</v>
      </c>
      <c r="O230" s="24"/>
      <c r="P230" s="24"/>
      <c r="Q230" s="24"/>
      <c r="R230" s="26"/>
      <c r="S230" s="14">
        <f t="shared" si="13"/>
        <v>86.09411505</v>
      </c>
      <c r="U230" s="21"/>
      <c r="V230" s="21"/>
    </row>
    <row r="231">
      <c r="A231" s="11">
        <v>219.0</v>
      </c>
      <c r="B231" s="11">
        <v>1.42034782608695E9</v>
      </c>
      <c r="C231" s="2">
        <v>-101.5976028</v>
      </c>
      <c r="D231" s="24">
        <f t="shared" si="1"/>
        <v>-52173.91305</v>
      </c>
      <c r="E231" s="25">
        <f t="shared" si="2"/>
        <v>10.10125745</v>
      </c>
      <c r="F231" s="24">
        <f t="shared" si="3"/>
        <v>0.0001936074345</v>
      </c>
      <c r="G231" s="24">
        <f t="shared" si="4"/>
        <v>0</v>
      </c>
      <c r="H231" s="26">
        <f t="shared" si="5"/>
        <v>0</v>
      </c>
      <c r="I231" s="24">
        <f t="shared" si="6"/>
        <v>0</v>
      </c>
      <c r="J231" s="24">
        <f t="shared" si="7"/>
        <v>0</v>
      </c>
      <c r="K231" s="24"/>
      <c r="L231" s="24">
        <f t="shared" si="8"/>
        <v>526.4363719</v>
      </c>
      <c r="M231" s="14">
        <f t="shared" si="9"/>
        <v>422.5884837</v>
      </c>
      <c r="N231" s="27">
        <f t="shared" si="10"/>
        <v>103.8478882</v>
      </c>
      <c r="O231" s="24"/>
      <c r="P231" s="24"/>
      <c r="Q231" s="24"/>
      <c r="R231" s="26"/>
      <c r="S231" s="14">
        <f t="shared" si="13"/>
        <v>95.36311417</v>
      </c>
      <c r="U231" s="21"/>
      <c r="V231" s="21"/>
    </row>
    <row r="232">
      <c r="A232" s="11">
        <v>220.0</v>
      </c>
      <c r="B232" s="11">
        <v>1.42035217391304E9</v>
      </c>
      <c r="C232" s="2">
        <v>-101.6981506</v>
      </c>
      <c r="D232" s="24">
        <f t="shared" si="1"/>
        <v>-47826.08696</v>
      </c>
      <c r="E232" s="25">
        <f t="shared" si="2"/>
        <v>9.182961321</v>
      </c>
      <c r="F232" s="24">
        <f t="shared" si="3"/>
        <v>0.0001920073731</v>
      </c>
      <c r="G232" s="24">
        <f t="shared" si="4"/>
        <v>0</v>
      </c>
      <c r="H232" s="26">
        <f t="shared" si="5"/>
        <v>0</v>
      </c>
      <c r="I232" s="24">
        <f t="shared" si="6"/>
        <v>0</v>
      </c>
      <c r="J232" s="24">
        <f t="shared" si="7"/>
        <v>0</v>
      </c>
      <c r="K232" s="24"/>
      <c r="L232" s="24">
        <f t="shared" si="8"/>
        <v>514.3883303</v>
      </c>
      <c r="M232" s="14">
        <f t="shared" si="9"/>
        <v>422.5146721</v>
      </c>
      <c r="N232" s="27">
        <f t="shared" si="10"/>
        <v>91.87365825</v>
      </c>
      <c r="O232" s="24"/>
      <c r="P232" s="24"/>
      <c r="Q232" s="24"/>
      <c r="R232" s="26"/>
      <c r="S232" s="14">
        <f t="shared" si="13"/>
        <v>84.36722488</v>
      </c>
      <c r="U232" s="21"/>
      <c r="V232" s="21"/>
    </row>
    <row r="233">
      <c r="A233" s="11">
        <v>221.0</v>
      </c>
      <c r="B233" s="11">
        <v>1.42035652173913E9</v>
      </c>
      <c r="C233" s="2">
        <v>-101.6561813</v>
      </c>
      <c r="D233" s="24">
        <f t="shared" si="1"/>
        <v>-43478.26087</v>
      </c>
      <c r="E233" s="25">
        <f t="shared" si="2"/>
        <v>8.264665191</v>
      </c>
      <c r="F233" s="24">
        <f t="shared" si="3"/>
        <v>0.0001900872994</v>
      </c>
      <c r="G233" s="24">
        <f t="shared" si="4"/>
        <v>0</v>
      </c>
      <c r="H233" s="26">
        <f t="shared" si="5"/>
        <v>0</v>
      </c>
      <c r="I233" s="24">
        <f t="shared" si="6"/>
        <v>0</v>
      </c>
      <c r="J233" s="24">
        <f t="shared" si="7"/>
        <v>0</v>
      </c>
      <c r="K233" s="24"/>
      <c r="L233" s="24">
        <f t="shared" si="8"/>
        <v>519.3833669</v>
      </c>
      <c r="M233" s="14">
        <f t="shared" si="9"/>
        <v>422.4408414</v>
      </c>
      <c r="N233" s="27">
        <f t="shared" si="10"/>
        <v>96.94252555</v>
      </c>
      <c r="O233" s="24"/>
      <c r="P233" s="24"/>
      <c r="Q233" s="24"/>
      <c r="R233" s="26"/>
      <c r="S233" s="14">
        <f t="shared" si="13"/>
        <v>89.02194631</v>
      </c>
      <c r="U233" s="21"/>
      <c r="V233" s="21"/>
    </row>
    <row r="234">
      <c r="A234" s="11">
        <v>222.0</v>
      </c>
      <c r="B234" s="11">
        <v>1.42036086956521E9</v>
      </c>
      <c r="C234" s="2">
        <v>-101.6600189</v>
      </c>
      <c r="D234" s="24">
        <f t="shared" si="1"/>
        <v>-39130.43479</v>
      </c>
      <c r="E234" s="25">
        <f t="shared" si="2"/>
        <v>7.346369058</v>
      </c>
      <c r="F234" s="24">
        <f t="shared" si="3"/>
        <v>0.0001877405426</v>
      </c>
      <c r="G234" s="24">
        <f t="shared" si="4"/>
        <v>0</v>
      </c>
      <c r="H234" s="26">
        <f t="shared" si="5"/>
        <v>0</v>
      </c>
      <c r="I234" s="24">
        <f t="shared" si="6"/>
        <v>0</v>
      </c>
      <c r="J234" s="24">
        <f t="shared" si="7"/>
        <v>0</v>
      </c>
      <c r="K234" s="24"/>
      <c r="L234" s="24">
        <f t="shared" si="8"/>
        <v>518.9246217</v>
      </c>
      <c r="M234" s="14">
        <f t="shared" si="9"/>
        <v>422.36699</v>
      </c>
      <c r="N234" s="27">
        <f t="shared" si="10"/>
        <v>96.55763171</v>
      </c>
      <c r="O234" s="24"/>
      <c r="P234" s="24"/>
      <c r="Q234" s="24"/>
      <c r="R234" s="26"/>
      <c r="S234" s="14">
        <f t="shared" si="13"/>
        <v>88.66849979</v>
      </c>
      <c r="U234" s="21"/>
      <c r="V234" s="21"/>
    </row>
    <row r="235">
      <c r="A235" s="11">
        <v>223.0</v>
      </c>
      <c r="B235" s="11">
        <v>1.4203652173913E9</v>
      </c>
      <c r="C235" s="2">
        <v>-101.6468811</v>
      </c>
      <c r="D235" s="24">
        <f t="shared" si="1"/>
        <v>-34782.6087</v>
      </c>
      <c r="E235" s="25">
        <f t="shared" si="2"/>
        <v>6.428072925</v>
      </c>
      <c r="F235" s="24">
        <f t="shared" si="3"/>
        <v>0.0001848070966</v>
      </c>
      <c r="G235" s="24">
        <f t="shared" si="4"/>
        <v>0</v>
      </c>
      <c r="H235" s="26">
        <f t="shared" si="5"/>
        <v>0</v>
      </c>
      <c r="I235" s="24">
        <f t="shared" si="6"/>
        <v>0</v>
      </c>
      <c r="J235" s="24">
        <f t="shared" si="7"/>
        <v>0</v>
      </c>
      <c r="K235" s="24"/>
      <c r="L235" s="24">
        <f t="shared" si="8"/>
        <v>520.4967923</v>
      </c>
      <c r="M235" s="14">
        <f t="shared" si="9"/>
        <v>422.2931163</v>
      </c>
      <c r="N235" s="27">
        <f t="shared" si="10"/>
        <v>98.20367603</v>
      </c>
      <c r="O235" s="24"/>
      <c r="P235" s="24"/>
      <c r="Q235" s="24"/>
      <c r="R235" s="26"/>
      <c r="S235" s="14">
        <f t="shared" si="13"/>
        <v>90.18005571</v>
      </c>
      <c r="U235" s="21"/>
      <c r="V235" s="21"/>
    </row>
    <row r="236">
      <c r="A236" s="11">
        <v>224.0</v>
      </c>
      <c r="B236" s="11">
        <v>1.42036956521739E9</v>
      </c>
      <c r="C236" s="2">
        <v>-101.6674728</v>
      </c>
      <c r="D236" s="24">
        <f t="shared" si="1"/>
        <v>-30434.78261</v>
      </c>
      <c r="E236" s="25">
        <f t="shared" si="2"/>
        <v>5.509776795</v>
      </c>
      <c r="F236" s="24">
        <f t="shared" si="3"/>
        <v>0.0001810355232</v>
      </c>
      <c r="G236" s="24">
        <f t="shared" si="4"/>
        <v>0</v>
      </c>
      <c r="H236" s="26">
        <f t="shared" si="5"/>
        <v>0</v>
      </c>
      <c r="I236" s="24">
        <f t="shared" si="6"/>
        <v>0</v>
      </c>
      <c r="J236" s="24">
        <f t="shared" si="7"/>
        <v>0</v>
      </c>
      <c r="K236" s="24"/>
      <c r="L236" s="24">
        <f t="shared" si="8"/>
        <v>518.0347428</v>
      </c>
      <c r="M236" s="14">
        <f t="shared" si="9"/>
        <v>422.2192186</v>
      </c>
      <c r="N236" s="27">
        <f t="shared" si="10"/>
        <v>95.81552426</v>
      </c>
      <c r="O236" s="24"/>
      <c r="P236" s="24"/>
      <c r="Q236" s="24"/>
      <c r="R236" s="26"/>
      <c r="S236" s="14">
        <f t="shared" si="13"/>
        <v>87.98702539</v>
      </c>
      <c r="U236" s="21"/>
      <c r="V236" s="21"/>
    </row>
    <row r="237">
      <c r="A237" s="11">
        <v>225.0</v>
      </c>
      <c r="B237" s="11">
        <v>1.42037391304347E9</v>
      </c>
      <c r="C237" s="2">
        <v>-101.66259</v>
      </c>
      <c r="D237" s="24">
        <f t="shared" si="1"/>
        <v>-26086.95653</v>
      </c>
      <c r="E237" s="25">
        <f t="shared" si="2"/>
        <v>4.591480662</v>
      </c>
      <c r="F237" s="24">
        <f t="shared" si="3"/>
        <v>0.0001760067586</v>
      </c>
      <c r="G237" s="24">
        <f t="shared" si="4"/>
        <v>0</v>
      </c>
      <c r="H237" s="26">
        <f t="shared" si="5"/>
        <v>0</v>
      </c>
      <c r="I237" s="24">
        <f t="shared" si="6"/>
        <v>0</v>
      </c>
      <c r="J237" s="24">
        <f t="shared" si="7"/>
        <v>0</v>
      </c>
      <c r="K237" s="24"/>
      <c r="L237" s="24">
        <f t="shared" si="8"/>
        <v>518.6175001</v>
      </c>
      <c r="M237" s="14">
        <f t="shared" si="9"/>
        <v>422.1452953</v>
      </c>
      <c r="N237" s="27">
        <f t="shared" si="10"/>
        <v>96.47220477</v>
      </c>
      <c r="O237" s="24"/>
      <c r="P237" s="24"/>
      <c r="Q237" s="24"/>
      <c r="R237" s="26"/>
      <c r="S237" s="14">
        <f t="shared" si="13"/>
        <v>88.59005256</v>
      </c>
      <c r="U237" s="21"/>
      <c r="V237" s="21"/>
    </row>
    <row r="238">
      <c r="A238" s="11">
        <v>226.0</v>
      </c>
      <c r="B238" s="11">
        <v>1.42037826086956E9</v>
      </c>
      <c r="C238" s="2">
        <v>-101.6034927</v>
      </c>
      <c r="D238" s="24">
        <f t="shared" si="1"/>
        <v>-21739.13044</v>
      </c>
      <c r="E238" s="25">
        <f t="shared" si="2"/>
        <v>3.673184529</v>
      </c>
      <c r="F238" s="24">
        <f t="shared" si="3"/>
        <v>0.0001689664883</v>
      </c>
      <c r="G238" s="24">
        <f t="shared" si="4"/>
        <v>0</v>
      </c>
      <c r="H238" s="26">
        <f t="shared" si="5"/>
        <v>0</v>
      </c>
      <c r="I238" s="24">
        <f t="shared" si="6"/>
        <v>0</v>
      </c>
      <c r="J238" s="24">
        <f t="shared" si="7"/>
        <v>0</v>
      </c>
      <c r="K238" s="24"/>
      <c r="L238" s="24">
        <f t="shared" si="8"/>
        <v>525.722903</v>
      </c>
      <c r="M238" s="14">
        <f t="shared" si="9"/>
        <v>422.0713448</v>
      </c>
      <c r="N238" s="27">
        <f t="shared" si="10"/>
        <v>103.6515582</v>
      </c>
      <c r="O238" s="24"/>
      <c r="P238" s="24"/>
      <c r="Q238" s="24"/>
      <c r="R238" s="26"/>
      <c r="S238" s="14">
        <f t="shared" si="13"/>
        <v>95.18282481</v>
      </c>
      <c r="U238" s="21"/>
      <c r="V238" s="21"/>
    </row>
    <row r="239">
      <c r="A239" s="11">
        <v>227.0</v>
      </c>
      <c r="B239" s="11">
        <v>1.42038260869565E9</v>
      </c>
      <c r="C239" s="2">
        <v>-101.5443344</v>
      </c>
      <c r="D239" s="24">
        <f t="shared" si="1"/>
        <v>-17391.30435</v>
      </c>
      <c r="E239" s="25">
        <f t="shared" si="2"/>
        <v>2.754888398</v>
      </c>
      <c r="F239" s="24">
        <f t="shared" si="3"/>
        <v>0.0001584060829</v>
      </c>
      <c r="G239" s="24">
        <f t="shared" si="4"/>
        <v>0</v>
      </c>
      <c r="H239" s="26">
        <f t="shared" si="5"/>
        <v>0</v>
      </c>
      <c r="I239" s="24">
        <f t="shared" si="6"/>
        <v>0</v>
      </c>
      <c r="J239" s="24">
        <f t="shared" si="7"/>
        <v>0</v>
      </c>
      <c r="K239" s="24"/>
      <c r="L239" s="24">
        <f t="shared" si="8"/>
        <v>532.9331401</v>
      </c>
      <c r="M239" s="14">
        <f t="shared" si="9"/>
        <v>421.9973655</v>
      </c>
      <c r="N239" s="27">
        <f t="shared" si="10"/>
        <v>110.9357745</v>
      </c>
      <c r="O239" s="24"/>
      <c r="P239" s="24"/>
      <c r="Q239" s="24"/>
      <c r="R239" s="26"/>
      <c r="S239" s="14">
        <f t="shared" si="13"/>
        <v>101.8718928</v>
      </c>
      <c r="U239" s="21"/>
      <c r="V239" s="21"/>
    </row>
    <row r="240">
      <c r="A240" s="11">
        <v>228.0</v>
      </c>
      <c r="B240" s="11">
        <v>1.42038695652173E9</v>
      </c>
      <c r="C240" s="2">
        <v>-101.5424881</v>
      </c>
      <c r="D240" s="24">
        <f t="shared" si="1"/>
        <v>-13043.47827</v>
      </c>
      <c r="E240" s="25">
        <f t="shared" si="2"/>
        <v>1.836592266</v>
      </c>
      <c r="F240" s="24">
        <f t="shared" si="3"/>
        <v>0.0001408054069</v>
      </c>
      <c r="G240" s="24">
        <f t="shared" si="4"/>
        <v>0</v>
      </c>
      <c r="H240" s="26">
        <f t="shared" si="5"/>
        <v>0</v>
      </c>
      <c r="I240" s="24">
        <f t="shared" si="6"/>
        <v>0</v>
      </c>
      <c r="J240" s="24">
        <f t="shared" si="7"/>
        <v>0</v>
      </c>
      <c r="K240" s="24"/>
      <c r="L240" s="24">
        <f t="shared" si="8"/>
        <v>533.1597521</v>
      </c>
      <c r="M240" s="14">
        <f t="shared" si="9"/>
        <v>421.9233558</v>
      </c>
      <c r="N240" s="27">
        <f t="shared" si="10"/>
        <v>111.2363964</v>
      </c>
      <c r="O240" s="24"/>
      <c r="P240" s="24"/>
      <c r="Q240" s="24"/>
      <c r="R240" s="26"/>
      <c r="S240" s="14">
        <f t="shared" si="13"/>
        <v>102.1479526</v>
      </c>
      <c r="U240" s="21"/>
      <c r="V240" s="21"/>
    </row>
    <row r="241">
      <c r="A241" s="11">
        <v>229.0</v>
      </c>
      <c r="B241" s="11">
        <v>1.42039130434782E9</v>
      </c>
      <c r="C241" s="2">
        <v>-101.4285736</v>
      </c>
      <c r="D241" s="24">
        <f t="shared" si="1"/>
        <v>-8695.65218</v>
      </c>
      <c r="E241" s="25">
        <f t="shared" si="2"/>
        <v>0.9182961328</v>
      </c>
      <c r="F241" s="24">
        <f t="shared" si="3"/>
        <v>0.0001056040552</v>
      </c>
      <c r="G241" s="24">
        <f t="shared" si="4"/>
        <v>0</v>
      </c>
      <c r="H241" s="26">
        <f t="shared" si="5"/>
        <v>0</v>
      </c>
      <c r="I241" s="24">
        <f t="shared" si="6"/>
        <v>0</v>
      </c>
      <c r="J241" s="24">
        <f t="shared" si="7"/>
        <v>0</v>
      </c>
      <c r="K241" s="24"/>
      <c r="L241" s="24">
        <f t="shared" si="8"/>
        <v>547.3294382</v>
      </c>
      <c r="M241" s="14">
        <f t="shared" si="9"/>
        <v>421.8493139</v>
      </c>
      <c r="N241" s="27">
        <f t="shared" si="10"/>
        <v>125.4801243</v>
      </c>
      <c r="O241" s="24"/>
      <c r="P241" s="24"/>
      <c r="Q241" s="24"/>
      <c r="R241" s="26"/>
      <c r="S241" s="14">
        <f t="shared" si="13"/>
        <v>115.2279129</v>
      </c>
      <c r="U241" s="21"/>
      <c r="V241" s="21"/>
    </row>
    <row r="242">
      <c r="A242" s="11">
        <v>230.0</v>
      </c>
      <c r="B242" s="11">
        <v>1.42039565217391E9</v>
      </c>
      <c r="C242" s="2">
        <v>-101.4163513</v>
      </c>
      <c r="D242" s="24">
        <f t="shared" si="1"/>
        <v>-4347.82609</v>
      </c>
      <c r="E242" s="25">
        <f t="shared" si="2"/>
        <v>0</v>
      </c>
      <c r="F242" s="24">
        <f t="shared" si="3"/>
        <v>0</v>
      </c>
      <c r="G242" s="24">
        <f t="shared" si="4"/>
        <v>0</v>
      </c>
      <c r="H242" s="26">
        <f t="shared" si="5"/>
        <v>0</v>
      </c>
      <c r="I242" s="24">
        <f t="shared" si="6"/>
        <v>0</v>
      </c>
      <c r="J242" s="24" t="str">
        <f t="shared" si="7"/>
        <v>#DIV/0!</v>
      </c>
      <c r="K242" s="24"/>
      <c r="L242" s="24">
        <f t="shared" si="8"/>
        <v>548.8719507</v>
      </c>
      <c r="M242" s="14">
        <f t="shared" si="9"/>
        <v>421.7752384</v>
      </c>
      <c r="N242" s="27">
        <f t="shared" si="10"/>
        <v>127.0967123</v>
      </c>
      <c r="O242" s="24"/>
      <c r="P242" s="24"/>
      <c r="Q242" s="24"/>
      <c r="R242" s="26"/>
      <c r="S242" s="14">
        <f t="shared" si="13"/>
        <v>116.7124192</v>
      </c>
      <c r="U242" s="21"/>
      <c r="V242" s="21"/>
    </row>
    <row r="243">
      <c r="A243" s="11">
        <v>231.0</v>
      </c>
      <c r="B243" s="11">
        <v>1.4204E9</v>
      </c>
      <c r="C243" s="2">
        <v>-101.3794861</v>
      </c>
      <c r="D243" s="24">
        <f t="shared" si="1"/>
        <v>0</v>
      </c>
      <c r="E243" s="25">
        <f t="shared" si="2"/>
        <v>-0.9182961307</v>
      </c>
      <c r="F243" s="24" t="str">
        <f t="shared" si="3"/>
        <v>#DIV/0!</v>
      </c>
      <c r="G243" s="24">
        <f t="shared" si="4"/>
        <v>0</v>
      </c>
      <c r="H243" s="26">
        <f t="shared" si="5"/>
        <v>0</v>
      </c>
      <c r="I243" s="24">
        <f t="shared" si="6"/>
        <v>0</v>
      </c>
      <c r="J243" s="24" t="str">
        <f t="shared" si="7"/>
        <v>#DIV/0!</v>
      </c>
      <c r="K243" s="24"/>
      <c r="L243" s="24">
        <f t="shared" si="8"/>
        <v>553.5508951</v>
      </c>
      <c r="M243" s="14">
        <f t="shared" si="9"/>
        <v>421.7011275</v>
      </c>
      <c r="N243" s="27">
        <f t="shared" si="10"/>
        <v>131.8497676</v>
      </c>
      <c r="O243" s="24"/>
      <c r="P243" s="24"/>
      <c r="Q243" s="24"/>
      <c r="R243" s="26"/>
      <c r="S243" s="14">
        <f t="shared" si="13"/>
        <v>121.0771317</v>
      </c>
      <c r="U243" s="21"/>
      <c r="V243" s="21"/>
    </row>
    <row r="244">
      <c r="A244" s="11">
        <v>232.0</v>
      </c>
      <c r="B244" s="11">
        <v>1.42040434782608E9</v>
      </c>
      <c r="C244" s="2">
        <v>-101.3185959</v>
      </c>
      <c r="D244" s="24">
        <f t="shared" si="1"/>
        <v>4347.82608</v>
      </c>
      <c r="E244" s="25">
        <f t="shared" si="2"/>
        <v>-1.836592263</v>
      </c>
      <c r="F244" s="24">
        <f t="shared" si="3"/>
        <v>0.0004224162213</v>
      </c>
      <c r="G244" s="24">
        <f t="shared" si="4"/>
        <v>0</v>
      </c>
      <c r="H244" s="26">
        <f t="shared" si="5"/>
        <v>0</v>
      </c>
      <c r="I244" s="24">
        <f t="shared" si="6"/>
        <v>0</v>
      </c>
      <c r="J244" s="24">
        <f t="shared" si="7"/>
        <v>0</v>
      </c>
      <c r="K244" s="24"/>
      <c r="L244" s="24">
        <f t="shared" si="8"/>
        <v>561.3666101</v>
      </c>
      <c r="M244" s="14">
        <f t="shared" si="9"/>
        <v>421.6269797</v>
      </c>
      <c r="N244" s="27">
        <f t="shared" si="10"/>
        <v>139.7396305</v>
      </c>
      <c r="O244" s="24"/>
      <c r="P244" s="24"/>
      <c r="Q244" s="24"/>
      <c r="R244" s="26"/>
      <c r="S244" s="14">
        <f t="shared" si="13"/>
        <v>128.3223622</v>
      </c>
      <c r="U244" s="21"/>
      <c r="V244" s="21"/>
    </row>
    <row r="245">
      <c r="A245" s="11">
        <v>233.0</v>
      </c>
      <c r="B245" s="11">
        <v>1.42040869565217E9</v>
      </c>
      <c r="C245" s="2">
        <v>-101.3185272</v>
      </c>
      <c r="D245" s="24">
        <f t="shared" si="1"/>
        <v>8695.65217</v>
      </c>
      <c r="E245" s="25">
        <f t="shared" si="2"/>
        <v>-2.754888396</v>
      </c>
      <c r="F245" s="24">
        <f t="shared" si="3"/>
        <v>0.0003168121657</v>
      </c>
      <c r="G245" s="24">
        <f t="shared" si="4"/>
        <v>0</v>
      </c>
      <c r="H245" s="26">
        <f t="shared" si="5"/>
        <v>0</v>
      </c>
      <c r="I245" s="24">
        <f t="shared" si="6"/>
        <v>0</v>
      </c>
      <c r="J245" s="24">
        <f t="shared" si="7"/>
        <v>0</v>
      </c>
      <c r="K245" s="24"/>
      <c r="L245" s="24">
        <f t="shared" si="8"/>
        <v>561.3754903</v>
      </c>
      <c r="M245" s="14">
        <f t="shared" si="9"/>
        <v>421.5527932</v>
      </c>
      <c r="N245" s="27">
        <f t="shared" si="10"/>
        <v>139.8226971</v>
      </c>
      <c r="O245" s="24"/>
      <c r="P245" s="24"/>
      <c r="Q245" s="24"/>
      <c r="R245" s="26"/>
      <c r="S245" s="14">
        <f t="shared" si="13"/>
        <v>128.3986417</v>
      </c>
      <c r="U245" s="21"/>
      <c r="V245" s="21"/>
    </row>
    <row r="246">
      <c r="A246" s="11">
        <v>234.0</v>
      </c>
      <c r="B246" s="11">
        <v>1.42041304347826E9</v>
      </c>
      <c r="C246" s="2">
        <v>-101.3121643</v>
      </c>
      <c r="D246" s="24">
        <f t="shared" si="1"/>
        <v>13043.47826</v>
      </c>
      <c r="E246" s="25">
        <f t="shared" si="2"/>
        <v>-3.673184527</v>
      </c>
      <c r="F246" s="24">
        <f t="shared" si="3"/>
        <v>0.0002816108137</v>
      </c>
      <c r="G246" s="24">
        <f t="shared" si="4"/>
        <v>0</v>
      </c>
      <c r="H246" s="26">
        <f t="shared" si="5"/>
        <v>0</v>
      </c>
      <c r="I246" s="24">
        <f t="shared" si="6"/>
        <v>0</v>
      </c>
      <c r="J246" s="24">
        <f t="shared" si="7"/>
        <v>0</v>
      </c>
      <c r="K246" s="24"/>
      <c r="L246" s="24">
        <f t="shared" si="8"/>
        <v>562.198571</v>
      </c>
      <c r="M246" s="14">
        <f t="shared" si="9"/>
        <v>421.4785666</v>
      </c>
      <c r="N246" s="27">
        <f t="shared" si="10"/>
        <v>140.7200044</v>
      </c>
      <c r="O246" s="24"/>
      <c r="P246" s="24"/>
      <c r="Q246" s="24"/>
      <c r="R246" s="26"/>
      <c r="S246" s="14">
        <f t="shared" si="13"/>
        <v>129.2226358</v>
      </c>
      <c r="U246" s="21"/>
      <c r="V246" s="21"/>
    </row>
    <row r="247">
      <c r="A247" s="11">
        <v>235.0</v>
      </c>
      <c r="B247" s="11">
        <v>1.42041739130434E9</v>
      </c>
      <c r="C247" s="2">
        <v>-101.2546768</v>
      </c>
      <c r="D247" s="24">
        <f t="shared" si="1"/>
        <v>17391.30434</v>
      </c>
      <c r="E247" s="25">
        <f t="shared" si="2"/>
        <v>-4.59148066</v>
      </c>
      <c r="F247" s="24">
        <f t="shared" si="3"/>
        <v>0.0002640101381</v>
      </c>
      <c r="G247" s="24">
        <f t="shared" si="4"/>
        <v>0</v>
      </c>
      <c r="H247" s="26">
        <f t="shared" si="5"/>
        <v>0</v>
      </c>
      <c r="I247" s="24">
        <f t="shared" si="6"/>
        <v>0</v>
      </c>
      <c r="J247" s="24">
        <f t="shared" si="7"/>
        <v>0</v>
      </c>
      <c r="K247" s="24"/>
      <c r="L247" s="24">
        <f t="shared" si="8"/>
        <v>569.6898573</v>
      </c>
      <c r="M247" s="14">
        <f t="shared" si="9"/>
        <v>421.4042982</v>
      </c>
      <c r="N247" s="27">
        <f t="shared" si="10"/>
        <v>148.2855591</v>
      </c>
      <c r="O247" s="24"/>
      <c r="P247" s="24"/>
      <c r="Q247" s="24"/>
      <c r="R247" s="26"/>
      <c r="S247" s="14">
        <f t="shared" si="13"/>
        <v>136.1700555</v>
      </c>
      <c r="U247" s="21"/>
      <c r="V247" s="21"/>
    </row>
    <row r="248">
      <c r="A248" s="11">
        <v>236.0</v>
      </c>
      <c r="B248" s="11">
        <v>1.42042173913043E9</v>
      </c>
      <c r="C248" s="2">
        <v>-101.1950684</v>
      </c>
      <c r="D248" s="24">
        <f t="shared" si="1"/>
        <v>21739.13043</v>
      </c>
      <c r="E248" s="25">
        <f t="shared" si="2"/>
        <v>-5.509776792</v>
      </c>
      <c r="F248" s="24">
        <f t="shared" si="3"/>
        <v>0.0002534497325</v>
      </c>
      <c r="G248" s="24">
        <f t="shared" si="4"/>
        <v>0</v>
      </c>
      <c r="H248" s="26">
        <f t="shared" si="5"/>
        <v>0</v>
      </c>
      <c r="I248" s="24">
        <f t="shared" si="6"/>
        <v>0</v>
      </c>
      <c r="J248" s="24">
        <f t="shared" si="7"/>
        <v>0</v>
      </c>
      <c r="K248" s="24"/>
      <c r="L248" s="24">
        <f t="shared" si="8"/>
        <v>577.5629519</v>
      </c>
      <c r="M248" s="14">
        <f t="shared" si="9"/>
        <v>421.3299863</v>
      </c>
      <c r="N248" s="27">
        <f t="shared" si="10"/>
        <v>156.2329656</v>
      </c>
      <c r="O248" s="24"/>
      <c r="P248" s="24"/>
      <c r="Q248" s="24"/>
      <c r="R248" s="26"/>
      <c r="S248" s="14">
        <f t="shared" si="13"/>
        <v>143.4681278</v>
      </c>
      <c r="U248" s="21"/>
      <c r="V248" s="21"/>
    </row>
    <row r="249">
      <c r="A249" s="11">
        <v>237.0</v>
      </c>
      <c r="B249" s="11">
        <v>1.42042608695652E9</v>
      </c>
      <c r="C249" s="2">
        <v>-101.1975327</v>
      </c>
      <c r="D249" s="24">
        <f t="shared" si="1"/>
        <v>26086.95652</v>
      </c>
      <c r="E249" s="25">
        <f t="shared" si="2"/>
        <v>-6.428072923</v>
      </c>
      <c r="F249" s="24">
        <f t="shared" si="3"/>
        <v>0.0002464094621</v>
      </c>
      <c r="G249" s="24">
        <f t="shared" si="4"/>
        <v>0</v>
      </c>
      <c r="H249" s="26">
        <f t="shared" si="5"/>
        <v>0</v>
      </c>
      <c r="I249" s="24">
        <f t="shared" si="6"/>
        <v>0</v>
      </c>
      <c r="J249" s="24">
        <f t="shared" si="7"/>
        <v>0</v>
      </c>
      <c r="K249" s="24"/>
      <c r="L249" s="24">
        <f t="shared" si="8"/>
        <v>577.2353206</v>
      </c>
      <c r="M249" s="14">
        <f t="shared" si="9"/>
        <v>421.2556293</v>
      </c>
      <c r="N249" s="27">
        <f t="shared" si="10"/>
        <v>155.9796913</v>
      </c>
      <c r="O249" s="24"/>
      <c r="P249" s="24"/>
      <c r="Q249" s="24"/>
      <c r="R249" s="26"/>
      <c r="S249" s="14">
        <f t="shared" si="13"/>
        <v>143.2355473</v>
      </c>
      <c r="U249" s="21"/>
      <c r="V249" s="21"/>
    </row>
    <row r="250">
      <c r="A250" s="11">
        <v>238.0</v>
      </c>
      <c r="B250" s="11">
        <v>1.4204304347826E9</v>
      </c>
      <c r="C250" s="2">
        <v>-101.2093353</v>
      </c>
      <c r="D250" s="24">
        <f t="shared" si="1"/>
        <v>30434.7826</v>
      </c>
      <c r="E250" s="25">
        <f t="shared" si="2"/>
        <v>-7.346369056</v>
      </c>
      <c r="F250" s="24">
        <f t="shared" si="3"/>
        <v>0.0002413806976</v>
      </c>
      <c r="G250" s="24">
        <f t="shared" si="4"/>
        <v>0</v>
      </c>
      <c r="H250" s="26">
        <f t="shared" si="5"/>
        <v>0</v>
      </c>
      <c r="I250" s="24">
        <f t="shared" si="6"/>
        <v>0</v>
      </c>
      <c r="J250" s="24">
        <f t="shared" si="7"/>
        <v>0</v>
      </c>
      <c r="K250" s="24"/>
      <c r="L250" s="24">
        <f t="shared" si="8"/>
        <v>575.6687272</v>
      </c>
      <c r="M250" s="14">
        <f t="shared" si="9"/>
        <v>421.1812256</v>
      </c>
      <c r="N250" s="27">
        <f t="shared" si="10"/>
        <v>154.4875017</v>
      </c>
      <c r="O250" s="24"/>
      <c r="P250" s="24"/>
      <c r="Q250" s="24"/>
      <c r="R250" s="26"/>
      <c r="S250" s="14">
        <f t="shared" si="13"/>
        <v>141.8652753</v>
      </c>
      <c r="U250" s="21"/>
      <c r="V250" s="21"/>
    </row>
    <row r="251">
      <c r="A251" s="11">
        <v>239.0</v>
      </c>
      <c r="B251" s="11">
        <v>1.42043478260869E9</v>
      </c>
      <c r="C251" s="2">
        <v>-101.103302</v>
      </c>
      <c r="D251" s="24">
        <f t="shared" si="1"/>
        <v>34782.60869</v>
      </c>
      <c r="E251" s="25">
        <f t="shared" si="2"/>
        <v>-8.264665189</v>
      </c>
      <c r="F251" s="24">
        <f t="shared" si="3"/>
        <v>0.0002376091242</v>
      </c>
      <c r="G251" s="24">
        <f t="shared" si="4"/>
        <v>0</v>
      </c>
      <c r="H251" s="26">
        <f t="shared" si="5"/>
        <v>0</v>
      </c>
      <c r="I251" s="24">
        <f t="shared" si="6"/>
        <v>0</v>
      </c>
      <c r="J251" s="24">
        <f t="shared" si="7"/>
        <v>0</v>
      </c>
      <c r="K251" s="24"/>
      <c r="L251" s="24">
        <f t="shared" si="8"/>
        <v>589.896701</v>
      </c>
      <c r="M251" s="14">
        <f t="shared" si="9"/>
        <v>421.1067735</v>
      </c>
      <c r="N251" s="27">
        <f t="shared" si="10"/>
        <v>168.7899275</v>
      </c>
      <c r="O251" s="24"/>
      <c r="P251" s="24"/>
      <c r="Q251" s="24"/>
      <c r="R251" s="26"/>
      <c r="S251" s="14">
        <f t="shared" si="13"/>
        <v>154.9991376</v>
      </c>
      <c r="U251" s="21"/>
      <c r="V251" s="21"/>
    </row>
    <row r="252">
      <c r="A252" s="11">
        <v>240.0</v>
      </c>
      <c r="B252" s="11">
        <v>1.42043913043478E9</v>
      </c>
      <c r="C252" s="2">
        <v>-101.0675049</v>
      </c>
      <c r="D252" s="24">
        <f t="shared" si="1"/>
        <v>39130.43478</v>
      </c>
      <c r="E252" s="25">
        <f t="shared" si="2"/>
        <v>-9.182961321</v>
      </c>
      <c r="F252" s="24">
        <f t="shared" si="3"/>
        <v>0.0002346756782</v>
      </c>
      <c r="G252" s="24">
        <f t="shared" si="4"/>
        <v>0</v>
      </c>
      <c r="H252" s="26">
        <f t="shared" si="5"/>
        <v>0</v>
      </c>
      <c r="I252" s="24">
        <f t="shared" si="6"/>
        <v>0</v>
      </c>
      <c r="J252" s="24">
        <f t="shared" si="7"/>
        <v>0</v>
      </c>
      <c r="K252" s="24"/>
      <c r="L252" s="24">
        <f t="shared" si="8"/>
        <v>594.7790698</v>
      </c>
      <c r="M252" s="14">
        <f t="shared" si="9"/>
        <v>421.0322716</v>
      </c>
      <c r="N252" s="27">
        <f t="shared" si="10"/>
        <v>173.7467983</v>
      </c>
      <c r="O252" s="24"/>
      <c r="P252" s="24"/>
      <c r="Q252" s="24"/>
      <c r="R252" s="26"/>
      <c r="S252" s="14">
        <f t="shared" si="13"/>
        <v>159.5510126</v>
      </c>
      <c r="U252" s="21"/>
      <c r="V252" s="21"/>
    </row>
    <row r="253">
      <c r="A253" s="11">
        <v>241.0</v>
      </c>
      <c r="B253" s="11">
        <v>1.42044347826087E9</v>
      </c>
      <c r="C253" s="2">
        <v>-101.0335541</v>
      </c>
      <c r="D253" s="24">
        <f t="shared" si="1"/>
        <v>43478.26087</v>
      </c>
      <c r="E253" s="25">
        <f t="shared" si="2"/>
        <v>-10.10125745</v>
      </c>
      <c r="F253" s="24">
        <f t="shared" si="3"/>
        <v>0.0002323289214</v>
      </c>
      <c r="G253" s="24">
        <f t="shared" si="4"/>
        <v>0</v>
      </c>
      <c r="H253" s="26">
        <f t="shared" si="5"/>
        <v>0</v>
      </c>
      <c r="I253" s="24">
        <f t="shared" si="6"/>
        <v>0</v>
      </c>
      <c r="J253" s="24">
        <f t="shared" si="7"/>
        <v>0</v>
      </c>
      <c r="K253" s="24"/>
      <c r="L253" s="24">
        <f t="shared" si="8"/>
        <v>599.4469535</v>
      </c>
      <c r="M253" s="14">
        <f t="shared" si="9"/>
        <v>420.957718</v>
      </c>
      <c r="N253" s="27">
        <f t="shared" si="10"/>
        <v>178.4892355</v>
      </c>
      <c r="O253" s="24"/>
      <c r="P253" s="24"/>
      <c r="Q253" s="24"/>
      <c r="R253" s="26"/>
      <c r="S253" s="14">
        <f t="shared" si="13"/>
        <v>163.9059747</v>
      </c>
      <c r="U253" s="21"/>
      <c r="V253" s="21"/>
    </row>
    <row r="254">
      <c r="A254" s="11">
        <v>242.0</v>
      </c>
      <c r="B254" s="11">
        <v>1.42044782608695E9</v>
      </c>
      <c r="C254" s="2">
        <v>-100.9555817</v>
      </c>
      <c r="D254" s="24">
        <f t="shared" si="1"/>
        <v>47826.08695</v>
      </c>
      <c r="E254" s="25">
        <f t="shared" si="2"/>
        <v>-11.01955358</v>
      </c>
      <c r="F254" s="24">
        <f t="shared" si="3"/>
        <v>0.0002304088477</v>
      </c>
      <c r="G254" s="24">
        <f t="shared" si="4"/>
        <v>0</v>
      </c>
      <c r="H254" s="26">
        <f t="shared" si="5"/>
        <v>0</v>
      </c>
      <c r="I254" s="24">
        <f t="shared" si="6"/>
        <v>0</v>
      </c>
      <c r="J254" s="24">
        <f t="shared" si="7"/>
        <v>0</v>
      </c>
      <c r="K254" s="24"/>
      <c r="L254" s="24">
        <f t="shared" si="8"/>
        <v>610.3065028</v>
      </c>
      <c r="M254" s="14">
        <f t="shared" si="9"/>
        <v>420.8831113</v>
      </c>
      <c r="N254" s="27">
        <f t="shared" si="10"/>
        <v>189.4233916</v>
      </c>
      <c r="O254" s="24"/>
      <c r="P254" s="24"/>
      <c r="Q254" s="24"/>
      <c r="R254" s="26"/>
      <c r="S254" s="14">
        <f t="shared" si="13"/>
        <v>173.9467679</v>
      </c>
      <c r="U254" s="21"/>
      <c r="V254" s="21"/>
    </row>
    <row r="255">
      <c r="A255" s="11">
        <v>243.0</v>
      </c>
      <c r="B255" s="11">
        <v>1.42045217391304E9</v>
      </c>
      <c r="C255" s="2">
        <v>-101.0091248</v>
      </c>
      <c r="D255" s="24">
        <f t="shared" si="1"/>
        <v>52173.91304</v>
      </c>
      <c r="E255" s="25">
        <f t="shared" si="2"/>
        <v>-11.93784972</v>
      </c>
      <c r="F255" s="24">
        <f t="shared" si="3"/>
        <v>0.0002288087863</v>
      </c>
      <c r="G255" s="24">
        <f t="shared" si="4"/>
        <v>0</v>
      </c>
      <c r="H255" s="26">
        <f t="shared" si="5"/>
        <v>0</v>
      </c>
      <c r="I255" s="24">
        <f t="shared" si="6"/>
        <v>0</v>
      </c>
      <c r="J255" s="24">
        <f t="shared" si="7"/>
        <v>0</v>
      </c>
      <c r="K255" s="24"/>
      <c r="L255" s="24">
        <f t="shared" si="8"/>
        <v>602.8283765</v>
      </c>
      <c r="M255" s="14">
        <f t="shared" si="9"/>
        <v>420.8084497</v>
      </c>
      <c r="N255" s="27">
        <f t="shared" si="10"/>
        <v>182.0199269</v>
      </c>
      <c r="O255" s="24"/>
      <c r="P255" s="24"/>
      <c r="Q255" s="24"/>
      <c r="R255" s="26"/>
      <c r="S255" s="14">
        <f t="shared" si="13"/>
        <v>167.1481946</v>
      </c>
      <c r="U255" s="21"/>
      <c r="V255" s="21"/>
    </row>
    <row r="256">
      <c r="A256" s="11">
        <v>244.0</v>
      </c>
      <c r="B256" s="11">
        <v>1.42045652173913E9</v>
      </c>
      <c r="C256" s="2">
        <v>-100.9652634</v>
      </c>
      <c r="D256" s="24">
        <f t="shared" si="1"/>
        <v>56521.73913</v>
      </c>
      <c r="E256" s="25">
        <f t="shared" si="2"/>
        <v>-12.85614585</v>
      </c>
      <c r="F256" s="24">
        <f t="shared" si="3"/>
        <v>0.0002274548881</v>
      </c>
      <c r="G256" s="24">
        <f t="shared" si="4"/>
        <v>0</v>
      </c>
      <c r="H256" s="26">
        <f t="shared" si="5"/>
        <v>0</v>
      </c>
      <c r="I256" s="24">
        <f t="shared" si="6"/>
        <v>0</v>
      </c>
      <c r="J256" s="24">
        <f t="shared" si="7"/>
        <v>0</v>
      </c>
      <c r="K256" s="24"/>
      <c r="L256" s="24">
        <f t="shared" si="8"/>
        <v>608.9474657</v>
      </c>
      <c r="M256" s="14">
        <f t="shared" si="9"/>
        <v>420.7337316</v>
      </c>
      <c r="N256" s="27">
        <f t="shared" si="10"/>
        <v>188.2137341</v>
      </c>
      <c r="O256" s="24"/>
      <c r="P256" s="24"/>
      <c r="Q256" s="24"/>
      <c r="R256" s="26"/>
      <c r="S256" s="14">
        <f t="shared" si="13"/>
        <v>172.8359441</v>
      </c>
      <c r="U256" s="21"/>
      <c r="V256" s="21"/>
    </row>
    <row r="257">
      <c r="A257" s="11">
        <v>245.0</v>
      </c>
      <c r="B257" s="11">
        <v>1.42046086956521E9</v>
      </c>
      <c r="C257" s="2">
        <v>-101.0181427</v>
      </c>
      <c r="D257" s="24">
        <f t="shared" si="1"/>
        <v>60869.56521</v>
      </c>
      <c r="E257" s="25">
        <f t="shared" si="2"/>
        <v>-13.77444198</v>
      </c>
      <c r="F257" s="24">
        <f t="shared" si="3"/>
        <v>0.000226294404</v>
      </c>
      <c r="G257" s="24">
        <f t="shared" si="4"/>
        <v>0</v>
      </c>
      <c r="H257" s="26">
        <f t="shared" si="5"/>
        <v>0</v>
      </c>
      <c r="I257" s="24">
        <f t="shared" si="6"/>
        <v>0</v>
      </c>
      <c r="J257" s="24">
        <f t="shared" si="7"/>
        <v>0</v>
      </c>
      <c r="K257" s="24"/>
      <c r="L257" s="24">
        <f t="shared" si="8"/>
        <v>601.5779333</v>
      </c>
      <c r="M257" s="14">
        <f t="shared" si="9"/>
        <v>420.6589555</v>
      </c>
      <c r="N257" s="27">
        <f t="shared" si="10"/>
        <v>180.9189778</v>
      </c>
      <c r="O257" s="24"/>
      <c r="P257" s="24"/>
      <c r="Q257" s="24"/>
      <c r="R257" s="26"/>
      <c r="S257" s="14">
        <f t="shared" si="13"/>
        <v>166.1371977</v>
      </c>
      <c r="U257" s="21"/>
      <c r="V257" s="21"/>
    </row>
    <row r="258">
      <c r="A258" s="11">
        <v>246.0</v>
      </c>
      <c r="B258" s="11">
        <v>1.4204652173913E9</v>
      </c>
      <c r="C258" s="2">
        <v>-100.9995728</v>
      </c>
      <c r="D258" s="24">
        <f t="shared" si="1"/>
        <v>65217.3913</v>
      </c>
      <c r="E258" s="25">
        <f t="shared" si="2"/>
        <v>-14.69273811</v>
      </c>
      <c r="F258" s="24">
        <f t="shared" si="3"/>
        <v>0.0002252886511</v>
      </c>
      <c r="G258" s="24">
        <f t="shared" si="4"/>
        <v>0</v>
      </c>
      <c r="H258" s="26">
        <f t="shared" si="5"/>
        <v>0</v>
      </c>
      <c r="I258" s="24">
        <f t="shared" si="6"/>
        <v>0</v>
      </c>
      <c r="J258" s="24">
        <f t="shared" si="7"/>
        <v>0</v>
      </c>
      <c r="K258" s="24"/>
      <c r="L258" s="24">
        <f t="shared" si="8"/>
        <v>604.1557141</v>
      </c>
      <c r="M258" s="14">
        <f t="shared" si="9"/>
        <v>420.5841197</v>
      </c>
      <c r="N258" s="27">
        <f t="shared" si="10"/>
        <v>183.5715944</v>
      </c>
      <c r="O258" s="24"/>
      <c r="P258" s="24"/>
      <c r="Q258" s="24"/>
      <c r="R258" s="26"/>
      <c r="S258" s="14">
        <f t="shared" si="13"/>
        <v>168.5730848</v>
      </c>
      <c r="U258" s="21"/>
      <c r="V258" s="21"/>
    </row>
    <row r="259">
      <c r="A259" s="11">
        <v>247.0</v>
      </c>
      <c r="B259" s="11">
        <v>1.42046956521739E9</v>
      </c>
      <c r="C259" s="2">
        <v>-101.0299683</v>
      </c>
      <c r="D259" s="24">
        <f t="shared" si="1"/>
        <v>69565.21739</v>
      </c>
      <c r="E259" s="25">
        <f t="shared" si="2"/>
        <v>-15.61103424</v>
      </c>
      <c r="F259" s="24">
        <f t="shared" si="3"/>
        <v>0.0002244086173</v>
      </c>
      <c r="G259" s="24">
        <f t="shared" si="4"/>
        <v>0</v>
      </c>
      <c r="H259" s="26">
        <f t="shared" si="5"/>
        <v>0</v>
      </c>
      <c r="I259" s="24">
        <f t="shared" si="6"/>
        <v>0</v>
      </c>
      <c r="J259" s="24">
        <f t="shared" si="7"/>
        <v>0</v>
      </c>
      <c r="K259" s="24"/>
      <c r="L259" s="24">
        <f t="shared" si="8"/>
        <v>599.9420978</v>
      </c>
      <c r="M259" s="14">
        <f t="shared" si="9"/>
        <v>420.5092225</v>
      </c>
      <c r="N259" s="27">
        <f t="shared" si="10"/>
        <v>179.4328753</v>
      </c>
      <c r="O259" s="24"/>
      <c r="P259" s="24"/>
      <c r="Q259" s="24"/>
      <c r="R259" s="26"/>
      <c r="S259" s="14">
        <f t="shared" si="13"/>
        <v>164.7725155</v>
      </c>
      <c r="U259" s="21"/>
      <c r="V259" s="21"/>
    </row>
    <row r="260">
      <c r="A260" s="11">
        <v>248.0</v>
      </c>
      <c r="B260" s="11">
        <v>1.42047391304347E9</v>
      </c>
      <c r="C260" s="2">
        <v>-101.0769653</v>
      </c>
      <c r="D260" s="24">
        <f t="shared" si="1"/>
        <v>73913.04347</v>
      </c>
      <c r="E260" s="25">
        <f t="shared" si="2"/>
        <v>-16.52933038</v>
      </c>
      <c r="F260" s="24">
        <f t="shared" si="3"/>
        <v>0.0002236321169</v>
      </c>
      <c r="G260" s="24">
        <f t="shared" si="4"/>
        <v>0</v>
      </c>
      <c r="H260" s="26">
        <f t="shared" si="5"/>
        <v>0</v>
      </c>
      <c r="I260" s="24">
        <f t="shared" si="6"/>
        <v>0</v>
      </c>
      <c r="J260" s="24">
        <f t="shared" si="7"/>
        <v>0</v>
      </c>
      <c r="K260" s="24"/>
      <c r="L260" s="24">
        <f t="shared" si="8"/>
        <v>593.4848504</v>
      </c>
      <c r="M260" s="14">
        <f t="shared" si="9"/>
        <v>420.4342624</v>
      </c>
      <c r="N260" s="27">
        <f t="shared" si="10"/>
        <v>173.0505879</v>
      </c>
      <c r="O260" s="24"/>
      <c r="P260" s="24"/>
      <c r="Q260" s="24"/>
      <c r="R260" s="26"/>
      <c r="S260" s="14">
        <f t="shared" si="13"/>
        <v>158.9116857</v>
      </c>
      <c r="U260" s="21"/>
      <c r="V260" s="21"/>
    </row>
    <row r="261">
      <c r="A261" s="11">
        <v>249.0</v>
      </c>
      <c r="B261" s="11">
        <v>1.42047826086956E9</v>
      </c>
      <c r="C261" s="2">
        <v>-101.1141663</v>
      </c>
      <c r="D261" s="24">
        <f t="shared" si="1"/>
        <v>78260.86956</v>
      </c>
      <c r="E261" s="25">
        <f t="shared" si="2"/>
        <v>-17.44762651</v>
      </c>
      <c r="F261" s="24">
        <f t="shared" si="3"/>
        <v>0.0002229418943</v>
      </c>
      <c r="G261" s="24">
        <f t="shared" si="4"/>
        <v>0</v>
      </c>
      <c r="H261" s="26">
        <f t="shared" si="5"/>
        <v>0</v>
      </c>
      <c r="I261" s="24">
        <f t="shared" si="6"/>
        <v>0</v>
      </c>
      <c r="J261" s="24">
        <f t="shared" si="7"/>
        <v>0</v>
      </c>
      <c r="K261" s="24"/>
      <c r="L261" s="24">
        <f t="shared" si="8"/>
        <v>588.4228611</v>
      </c>
      <c r="M261" s="14">
        <f t="shared" si="9"/>
        <v>420.3592377</v>
      </c>
      <c r="N261" s="27">
        <f t="shared" si="10"/>
        <v>168.0636234</v>
      </c>
      <c r="O261" s="24"/>
      <c r="P261" s="24"/>
      <c r="Q261" s="24"/>
      <c r="R261" s="26"/>
      <c r="S261" s="14">
        <f t="shared" si="13"/>
        <v>154.332175</v>
      </c>
      <c r="U261" s="21"/>
      <c r="V261" s="21"/>
    </row>
    <row r="262">
      <c r="A262" s="11">
        <v>250.0</v>
      </c>
      <c r="B262" s="11">
        <v>1.42048260869565E9</v>
      </c>
      <c r="C262" s="2">
        <v>-101.1466751</v>
      </c>
      <c r="D262" s="24">
        <f t="shared" si="1"/>
        <v>82608.69565</v>
      </c>
      <c r="E262" s="25">
        <f t="shared" si="2"/>
        <v>-18.36592264</v>
      </c>
      <c r="F262" s="24">
        <f t="shared" si="3"/>
        <v>0.0002223243267</v>
      </c>
      <c r="G262" s="24">
        <f t="shared" si="4"/>
        <v>0</v>
      </c>
      <c r="H262" s="26">
        <f t="shared" si="5"/>
        <v>0</v>
      </c>
      <c r="I262" s="24">
        <f t="shared" si="6"/>
        <v>0</v>
      </c>
      <c r="J262" s="24">
        <f t="shared" si="7"/>
        <v>0</v>
      </c>
      <c r="K262" s="24"/>
      <c r="L262" s="24">
        <f t="shared" si="8"/>
        <v>584.0347083</v>
      </c>
      <c r="M262" s="14">
        <f t="shared" si="9"/>
        <v>420.2841469</v>
      </c>
      <c r="N262" s="27">
        <f t="shared" si="10"/>
        <v>163.7505615</v>
      </c>
      <c r="O262" s="24"/>
      <c r="P262" s="24"/>
      <c r="Q262" s="24"/>
      <c r="R262" s="26"/>
      <c r="S262" s="14">
        <f t="shared" si="13"/>
        <v>150.3715074</v>
      </c>
      <c r="U262" s="21"/>
      <c r="V262" s="21"/>
    </row>
    <row r="263">
      <c r="A263" s="11">
        <v>251.0</v>
      </c>
      <c r="B263" s="11">
        <v>1.42048695652173E9</v>
      </c>
      <c r="C263" s="2">
        <v>-101.1379852</v>
      </c>
      <c r="D263" s="24">
        <f t="shared" si="1"/>
        <v>86956.52173</v>
      </c>
      <c r="E263" s="25">
        <f t="shared" si="2"/>
        <v>-19.28421877</v>
      </c>
      <c r="F263" s="24">
        <f t="shared" si="3"/>
        <v>0.0002217685159</v>
      </c>
      <c r="G263" s="24">
        <f t="shared" si="4"/>
        <v>0</v>
      </c>
      <c r="H263" s="26">
        <f t="shared" si="5"/>
        <v>0</v>
      </c>
      <c r="I263" s="24">
        <f t="shared" si="6"/>
        <v>0</v>
      </c>
      <c r="J263" s="24">
        <f t="shared" si="7"/>
        <v>0</v>
      </c>
      <c r="K263" s="24"/>
      <c r="L263" s="24">
        <f t="shared" si="8"/>
        <v>585.204487</v>
      </c>
      <c r="M263" s="14">
        <f t="shared" si="9"/>
        <v>420.2089881</v>
      </c>
      <c r="N263" s="27">
        <f t="shared" si="10"/>
        <v>164.9954989</v>
      </c>
      <c r="O263" s="24"/>
      <c r="P263" s="24"/>
      <c r="Q263" s="24"/>
      <c r="R263" s="26"/>
      <c r="S263" s="14">
        <f t="shared" si="13"/>
        <v>151.5147285</v>
      </c>
      <c r="U263" s="21"/>
      <c r="V263" s="21"/>
    </row>
    <row r="264">
      <c r="A264" s="11">
        <v>252.0</v>
      </c>
      <c r="B264" s="11">
        <v>1.42049130434782E9</v>
      </c>
      <c r="C264" s="2">
        <v>-101.0963058</v>
      </c>
      <c r="D264" s="24">
        <f t="shared" si="1"/>
        <v>91304.34782</v>
      </c>
      <c r="E264" s="25">
        <f t="shared" si="2"/>
        <v>-20.20251491</v>
      </c>
      <c r="F264" s="24">
        <f t="shared" si="3"/>
        <v>0.0002212656395</v>
      </c>
      <c r="G264" s="24">
        <f t="shared" si="4"/>
        <v>0</v>
      </c>
      <c r="H264" s="26">
        <f t="shared" si="5"/>
        <v>0</v>
      </c>
      <c r="I264" s="24">
        <f t="shared" si="6"/>
        <v>0</v>
      </c>
      <c r="J264" s="24">
        <f t="shared" si="7"/>
        <v>0</v>
      </c>
      <c r="K264" s="24"/>
      <c r="L264" s="24">
        <f t="shared" si="8"/>
        <v>590.8477518</v>
      </c>
      <c r="M264" s="14">
        <f t="shared" si="9"/>
        <v>420.13376</v>
      </c>
      <c r="N264" s="27">
        <f t="shared" si="10"/>
        <v>170.7139918</v>
      </c>
      <c r="O264" s="24"/>
      <c r="P264" s="24"/>
      <c r="Q264" s="24"/>
      <c r="R264" s="26"/>
      <c r="S264" s="14">
        <f t="shared" si="13"/>
        <v>156.7659985</v>
      </c>
      <c r="U264" s="21"/>
      <c r="V264" s="21"/>
    </row>
    <row r="265">
      <c r="A265" s="11">
        <v>253.0</v>
      </c>
      <c r="B265" s="11">
        <v>1.42049565217391E9</v>
      </c>
      <c r="C265" s="2">
        <v>-101.1702957</v>
      </c>
      <c r="D265" s="24">
        <f t="shared" si="1"/>
        <v>95652.17391</v>
      </c>
      <c r="E265" s="25">
        <f t="shared" si="2"/>
        <v>-21.12081104</v>
      </c>
      <c r="F265" s="24">
        <f t="shared" si="3"/>
        <v>0.0002208084791</v>
      </c>
      <c r="G265" s="24">
        <f t="shared" si="4"/>
        <v>0</v>
      </c>
      <c r="H265" s="26">
        <f t="shared" si="5"/>
        <v>0</v>
      </c>
      <c r="I265" s="24">
        <f t="shared" si="6"/>
        <v>0</v>
      </c>
      <c r="J265" s="24">
        <f t="shared" si="7"/>
        <v>0</v>
      </c>
      <c r="K265" s="24"/>
      <c r="L265" s="24">
        <f t="shared" si="8"/>
        <v>580.8668571</v>
      </c>
      <c r="M265" s="14">
        <f t="shared" si="9"/>
        <v>420.0584608</v>
      </c>
      <c r="N265" s="27">
        <f t="shared" si="10"/>
        <v>160.8083964</v>
      </c>
      <c r="O265" s="24"/>
      <c r="P265" s="24"/>
      <c r="Q265" s="24"/>
      <c r="R265" s="26"/>
      <c r="S265" s="14">
        <f t="shared" si="13"/>
        <v>147.6697282</v>
      </c>
      <c r="U265" s="21"/>
      <c r="V265" s="21"/>
    </row>
    <row r="266">
      <c r="A266" s="11">
        <v>254.0</v>
      </c>
      <c r="B266" s="11">
        <v>1.4205E9</v>
      </c>
      <c r="C266" s="2">
        <v>-101.1775665</v>
      </c>
      <c r="D266" s="24">
        <f t="shared" si="1"/>
        <v>100000</v>
      </c>
      <c r="E266" s="25">
        <f t="shared" si="2"/>
        <v>-22.03910717</v>
      </c>
      <c r="F266" s="24">
        <f t="shared" si="3"/>
        <v>0.0002203910717</v>
      </c>
      <c r="G266" s="24">
        <f t="shared" si="4"/>
        <v>0</v>
      </c>
      <c r="H266" s="26">
        <f t="shared" si="5"/>
        <v>0</v>
      </c>
      <c r="I266" s="24">
        <f t="shared" si="6"/>
        <v>0</v>
      </c>
      <c r="J266" s="24">
        <f t="shared" si="7"/>
        <v>0</v>
      </c>
      <c r="K266" s="24"/>
      <c r="L266" s="24">
        <f t="shared" si="8"/>
        <v>579.8952046</v>
      </c>
      <c r="M266" s="14">
        <f t="shared" si="9"/>
        <v>419.9830888</v>
      </c>
      <c r="N266" s="27">
        <f t="shared" si="10"/>
        <v>159.9121158</v>
      </c>
      <c r="O266" s="24"/>
      <c r="P266" s="24"/>
      <c r="Q266" s="24"/>
      <c r="R266" s="26"/>
      <c r="S266" s="14">
        <f t="shared" si="13"/>
        <v>146.8466775</v>
      </c>
      <c r="U266" s="21"/>
      <c r="V266" s="21"/>
    </row>
    <row r="267">
      <c r="A267" s="11">
        <v>255.0</v>
      </c>
      <c r="B267" s="11">
        <v>1.42050434782608E9</v>
      </c>
      <c r="C267" s="2">
        <v>-101.2112885</v>
      </c>
      <c r="D267" s="24">
        <f t="shared" si="1"/>
        <v>104347.8261</v>
      </c>
      <c r="E267" s="25">
        <f t="shared" si="2"/>
        <v>-22.9574033</v>
      </c>
      <c r="F267" s="24">
        <f t="shared" si="3"/>
        <v>0.0002200084483</v>
      </c>
      <c r="G267" s="24">
        <f t="shared" si="4"/>
        <v>0</v>
      </c>
      <c r="H267" s="26">
        <f t="shared" si="5"/>
        <v>0</v>
      </c>
      <c r="I267" s="24">
        <f t="shared" si="6"/>
        <v>0</v>
      </c>
      <c r="J267" s="24">
        <f t="shared" si="7"/>
        <v>0</v>
      </c>
      <c r="K267" s="24"/>
      <c r="L267" s="24">
        <f t="shared" si="8"/>
        <v>575.4098837</v>
      </c>
      <c r="M267" s="14">
        <f t="shared" si="9"/>
        <v>419.9076425</v>
      </c>
      <c r="N267" s="27">
        <f t="shared" si="10"/>
        <v>155.5022411</v>
      </c>
      <c r="O267" s="24"/>
      <c r="P267" s="24"/>
      <c r="Q267" s="24"/>
      <c r="R267" s="26"/>
      <c r="S267" s="14">
        <f t="shared" si="13"/>
        <v>142.7971067</v>
      </c>
      <c r="U267" s="21"/>
      <c r="V267" s="21"/>
    </row>
    <row r="268">
      <c r="A268" s="11">
        <v>256.0</v>
      </c>
      <c r="B268" s="11">
        <v>1.42050869565217E9</v>
      </c>
      <c r="C268" s="2">
        <v>-101.3288498</v>
      </c>
      <c r="D268" s="24">
        <f t="shared" si="1"/>
        <v>108695.6522</v>
      </c>
      <c r="E268" s="25">
        <f t="shared" si="2"/>
        <v>-23.87569944</v>
      </c>
      <c r="F268" s="24">
        <f t="shared" si="3"/>
        <v>0.0002196564348</v>
      </c>
      <c r="G268" s="24">
        <f t="shared" si="4"/>
        <v>0</v>
      </c>
      <c r="H268" s="26">
        <f t="shared" si="5"/>
        <v>0</v>
      </c>
      <c r="I268" s="24">
        <f t="shared" si="6"/>
        <v>0</v>
      </c>
      <c r="J268" s="24">
        <f t="shared" si="7"/>
        <v>0</v>
      </c>
      <c r="K268" s="24"/>
      <c r="L268" s="24">
        <f t="shared" si="8"/>
        <v>560.0427602</v>
      </c>
      <c r="M268" s="14">
        <f t="shared" si="9"/>
        <v>419.8321203</v>
      </c>
      <c r="N268" s="27">
        <f t="shared" si="10"/>
        <v>140.2106399</v>
      </c>
      <c r="O268" s="24"/>
      <c r="P268" s="24"/>
      <c r="Q268" s="24"/>
      <c r="R268" s="26"/>
      <c r="S268" s="14">
        <f t="shared" si="13"/>
        <v>128.7548881</v>
      </c>
      <c r="U268" s="21"/>
      <c r="V268" s="21"/>
    </row>
    <row r="269">
      <c r="A269" s="11">
        <v>257.0</v>
      </c>
      <c r="B269" s="11">
        <v>1.42051304347826E9</v>
      </c>
      <c r="C269" s="2">
        <v>-101.3929672</v>
      </c>
      <c r="D269" s="24">
        <f t="shared" si="1"/>
        <v>113043.4783</v>
      </c>
      <c r="E269" s="25">
        <f t="shared" si="2"/>
        <v>-24.79399557</v>
      </c>
      <c r="F269" s="24">
        <f t="shared" si="3"/>
        <v>0.0002193314992</v>
      </c>
      <c r="G269" s="24">
        <f t="shared" si="4"/>
        <v>0</v>
      </c>
      <c r="H269" s="26">
        <f t="shared" si="5"/>
        <v>0</v>
      </c>
      <c r="I269" s="24">
        <f t="shared" si="6"/>
        <v>0</v>
      </c>
      <c r="J269" s="24">
        <f t="shared" si="7"/>
        <v>0</v>
      </c>
      <c r="K269" s="24"/>
      <c r="L269" s="24">
        <f t="shared" si="8"/>
        <v>551.8352609</v>
      </c>
      <c r="M269" s="14">
        <f t="shared" si="9"/>
        <v>419.7565205</v>
      </c>
      <c r="N269" s="27">
        <f t="shared" si="10"/>
        <v>132.0787404</v>
      </c>
      <c r="O269" s="24"/>
      <c r="P269" s="24"/>
      <c r="Q269" s="24"/>
      <c r="R269" s="26"/>
      <c r="S269" s="14">
        <f t="shared" si="13"/>
        <v>121.2873965</v>
      </c>
      <c r="U269" s="21"/>
      <c r="V269" s="21"/>
    </row>
    <row r="270">
      <c r="A270" s="11">
        <v>258.0</v>
      </c>
      <c r="B270" s="11">
        <v>1.42051739130434E9</v>
      </c>
      <c r="C270" s="2">
        <v>-101.4032516</v>
      </c>
      <c r="D270" s="24">
        <f t="shared" si="1"/>
        <v>117391.3043</v>
      </c>
      <c r="E270" s="25">
        <f t="shared" si="2"/>
        <v>-25.7122917</v>
      </c>
      <c r="F270" s="24">
        <f t="shared" si="3"/>
        <v>0.000219030633</v>
      </c>
      <c r="G270" s="24">
        <f t="shared" si="4"/>
        <v>0</v>
      </c>
      <c r="H270" s="26">
        <f t="shared" si="5"/>
        <v>0</v>
      </c>
      <c r="I270" s="24">
        <f t="shared" si="6"/>
        <v>0</v>
      </c>
      <c r="J270" s="24">
        <f t="shared" si="7"/>
        <v>0</v>
      </c>
      <c r="K270" s="24"/>
      <c r="L270" s="24">
        <f t="shared" si="8"/>
        <v>550.5300221</v>
      </c>
      <c r="M270" s="14">
        <f t="shared" si="9"/>
        <v>419.6808415</v>
      </c>
      <c r="N270" s="27">
        <f t="shared" si="10"/>
        <v>130.8491806</v>
      </c>
      <c r="O270" s="24"/>
      <c r="P270" s="24"/>
      <c r="Q270" s="24"/>
      <c r="R270" s="26"/>
      <c r="S270" s="14">
        <f t="shared" si="13"/>
        <v>120.1582965</v>
      </c>
      <c r="U270" s="21"/>
      <c r="V270" s="21"/>
    </row>
    <row r="271">
      <c r="A271" s="11">
        <v>259.0</v>
      </c>
      <c r="B271" s="11">
        <v>1.42052173913043E9</v>
      </c>
      <c r="C271" s="2">
        <v>-101.5268707</v>
      </c>
      <c r="D271" s="24">
        <f t="shared" si="1"/>
        <v>121739.1304</v>
      </c>
      <c r="E271" s="25">
        <f t="shared" si="2"/>
        <v>-26.63058783</v>
      </c>
      <c r="F271" s="24">
        <f t="shared" si="3"/>
        <v>0.0002187512572</v>
      </c>
      <c r="G271" s="24">
        <f t="shared" si="4"/>
        <v>0</v>
      </c>
      <c r="H271" s="26">
        <f t="shared" si="5"/>
        <v>0</v>
      </c>
      <c r="I271" s="24">
        <f t="shared" si="6"/>
        <v>0</v>
      </c>
      <c r="J271" s="24">
        <f t="shared" si="7"/>
        <v>0</v>
      </c>
      <c r="K271" s="24"/>
      <c r="L271" s="24">
        <f t="shared" si="8"/>
        <v>535.0804669</v>
      </c>
      <c r="M271" s="14">
        <f t="shared" si="9"/>
        <v>419.6050817</v>
      </c>
      <c r="N271" s="27">
        <f t="shared" si="10"/>
        <v>115.4753852</v>
      </c>
      <c r="O271" s="24"/>
      <c r="P271" s="24"/>
      <c r="Q271" s="24"/>
      <c r="R271" s="26"/>
      <c r="S271" s="14">
        <f t="shared" si="13"/>
        <v>106.0405994</v>
      </c>
      <c r="U271" s="21"/>
      <c r="V271" s="21"/>
    </row>
    <row r="272">
      <c r="A272" s="11">
        <v>260.0</v>
      </c>
      <c r="B272" s="11">
        <v>1.42052608695652E9</v>
      </c>
      <c r="C272" s="2">
        <v>-101.6577606</v>
      </c>
      <c r="D272" s="24">
        <f t="shared" si="1"/>
        <v>126086.9565</v>
      </c>
      <c r="E272" s="25">
        <f t="shared" si="2"/>
        <v>-27.54888396</v>
      </c>
      <c r="F272" s="24">
        <f t="shared" si="3"/>
        <v>0.0002184911487</v>
      </c>
      <c r="G272" s="24">
        <f t="shared" si="4"/>
        <v>0</v>
      </c>
      <c r="H272" s="26">
        <f t="shared" si="5"/>
        <v>0</v>
      </c>
      <c r="I272" s="24">
        <f t="shared" si="6"/>
        <v>0</v>
      </c>
      <c r="J272" s="24">
        <f t="shared" si="7"/>
        <v>0</v>
      </c>
      <c r="K272" s="24"/>
      <c r="L272" s="24">
        <f t="shared" si="8"/>
        <v>519.1945289</v>
      </c>
      <c r="M272" s="14">
        <f t="shared" si="9"/>
        <v>419.5292395</v>
      </c>
      <c r="N272" s="27">
        <f t="shared" si="10"/>
        <v>99.66528945</v>
      </c>
      <c r="O272" s="24"/>
      <c r="P272" s="24"/>
      <c r="Q272" s="24"/>
      <c r="R272" s="26"/>
      <c r="S272" s="14">
        <f t="shared" si="13"/>
        <v>91.52224988</v>
      </c>
      <c r="U272" s="21"/>
      <c r="V272" s="21"/>
    </row>
    <row r="273">
      <c r="A273" s="11">
        <v>261.0</v>
      </c>
      <c r="B273" s="11">
        <v>1.4205304347826E9</v>
      </c>
      <c r="C273" s="2">
        <v>-101.7790985</v>
      </c>
      <c r="D273" s="24">
        <f t="shared" si="1"/>
        <v>130434.7826</v>
      </c>
      <c r="E273" s="25">
        <f t="shared" si="2"/>
        <v>-28.4671801</v>
      </c>
      <c r="F273" s="24">
        <f t="shared" si="3"/>
        <v>0.0002182483807</v>
      </c>
      <c r="G273" s="24">
        <f t="shared" si="4"/>
        <v>0</v>
      </c>
      <c r="H273" s="26">
        <f t="shared" si="5"/>
        <v>0</v>
      </c>
      <c r="I273" s="24">
        <f t="shared" si="6"/>
        <v>0</v>
      </c>
      <c r="J273" s="24">
        <f t="shared" si="7"/>
        <v>0</v>
      </c>
      <c r="K273" s="24"/>
      <c r="L273" s="24">
        <f t="shared" si="8"/>
        <v>504.8894749</v>
      </c>
      <c r="M273" s="14">
        <f t="shared" si="9"/>
        <v>419.4533131</v>
      </c>
      <c r="N273" s="27">
        <f t="shared" si="10"/>
        <v>85.43616183</v>
      </c>
      <c r="O273" s="24"/>
      <c r="P273" s="24"/>
      <c r="Q273" s="24"/>
      <c r="R273" s="26"/>
      <c r="S273" s="14">
        <f t="shared" si="13"/>
        <v>78.455697</v>
      </c>
      <c r="U273" s="21"/>
      <c r="V273" s="21"/>
    </row>
    <row r="274">
      <c r="A274" s="11">
        <v>262.0</v>
      </c>
      <c r="B274" s="11">
        <v>1.42053478260869E9</v>
      </c>
      <c r="C274" s="2">
        <v>-101.8665161</v>
      </c>
      <c r="D274" s="24">
        <f t="shared" si="1"/>
        <v>134782.6087</v>
      </c>
      <c r="E274" s="25">
        <f t="shared" si="2"/>
        <v>-29.38547623</v>
      </c>
      <c r="F274" s="24">
        <f t="shared" si="3"/>
        <v>0.0002180212752</v>
      </c>
      <c r="G274" s="24">
        <f t="shared" si="4"/>
        <v>0</v>
      </c>
      <c r="H274" s="26">
        <f t="shared" si="5"/>
        <v>0</v>
      </c>
      <c r="I274" s="24">
        <f t="shared" si="6"/>
        <v>0</v>
      </c>
      <c r="J274" s="24">
        <f t="shared" si="7"/>
        <v>0</v>
      </c>
      <c r="K274" s="24"/>
      <c r="L274" s="24">
        <f t="shared" si="8"/>
        <v>494.8283316</v>
      </c>
      <c r="M274" s="14">
        <f t="shared" si="9"/>
        <v>419.3773011</v>
      </c>
      <c r="N274" s="27">
        <f t="shared" si="10"/>
        <v>75.45103052</v>
      </c>
      <c r="O274" s="24"/>
      <c r="P274" s="24"/>
      <c r="Q274" s="24"/>
      <c r="R274" s="26"/>
      <c r="S274" s="14">
        <f t="shared" si="13"/>
        <v>69.28638954</v>
      </c>
      <c r="U274" s="21"/>
      <c r="V274" s="21"/>
    </row>
    <row r="275">
      <c r="A275" s="11">
        <v>263.0</v>
      </c>
      <c r="B275" s="11">
        <v>1.42053913043478E9</v>
      </c>
      <c r="C275" s="2">
        <v>-101.9215012</v>
      </c>
      <c r="D275" s="24">
        <f t="shared" si="1"/>
        <v>139130.4348</v>
      </c>
      <c r="E275" s="25">
        <f t="shared" si="2"/>
        <v>-30.30377236</v>
      </c>
      <c r="F275" s="24">
        <f t="shared" si="3"/>
        <v>0.0002178083638</v>
      </c>
      <c r="G275" s="24">
        <f t="shared" si="4"/>
        <v>0</v>
      </c>
      <c r="H275" s="26">
        <f t="shared" si="5"/>
        <v>0</v>
      </c>
      <c r="I275" s="24">
        <f t="shared" si="6"/>
        <v>0</v>
      </c>
      <c r="J275" s="24">
        <f t="shared" si="7"/>
        <v>0</v>
      </c>
      <c r="K275" s="24"/>
      <c r="L275" s="24">
        <f t="shared" si="8"/>
        <v>488.602908</v>
      </c>
      <c r="M275" s="14">
        <f t="shared" si="9"/>
        <v>419.3012017</v>
      </c>
      <c r="N275" s="27">
        <f t="shared" si="10"/>
        <v>69.30170624</v>
      </c>
      <c r="O275" s="24"/>
      <c r="P275" s="24"/>
      <c r="Q275" s="24"/>
      <c r="R275" s="26"/>
      <c r="S275" s="14">
        <f t="shared" si="13"/>
        <v>63.63948869</v>
      </c>
      <c r="U275" s="21"/>
      <c r="V275" s="21"/>
    </row>
    <row r="276">
      <c r="A276" s="11">
        <v>264.0</v>
      </c>
      <c r="B276" s="11">
        <v>1.42054347826087E9</v>
      </c>
      <c r="C276" s="2">
        <v>-101.9453506</v>
      </c>
      <c r="D276" s="24">
        <f t="shared" si="1"/>
        <v>143478.2609</v>
      </c>
      <c r="E276" s="25">
        <f t="shared" si="2"/>
        <v>-31.22206849</v>
      </c>
      <c r="F276" s="24">
        <f t="shared" si="3"/>
        <v>0.0002176083562</v>
      </c>
      <c r="G276" s="24">
        <f t="shared" si="4"/>
        <v>0</v>
      </c>
      <c r="H276" s="26">
        <f t="shared" si="5"/>
        <v>0</v>
      </c>
      <c r="I276" s="24">
        <f t="shared" si="6"/>
        <v>0</v>
      </c>
      <c r="J276" s="24">
        <f t="shared" si="7"/>
        <v>0</v>
      </c>
      <c r="K276" s="24"/>
      <c r="L276" s="24">
        <f t="shared" si="8"/>
        <v>485.9270857</v>
      </c>
      <c r="M276" s="14">
        <f t="shared" si="9"/>
        <v>419.2250134</v>
      </c>
      <c r="N276" s="27">
        <f t="shared" si="10"/>
        <v>66.70207225</v>
      </c>
      <c r="O276" s="24"/>
      <c r="P276" s="24"/>
      <c r="Q276" s="24"/>
      <c r="R276" s="26"/>
      <c r="S276" s="14">
        <f t="shared" si="13"/>
        <v>61.25225499</v>
      </c>
      <c r="U276" s="21"/>
      <c r="V276" s="21"/>
    </row>
    <row r="277">
      <c r="A277" s="11">
        <v>265.0</v>
      </c>
      <c r="B277" s="11">
        <v>1.42054782608695E9</v>
      </c>
      <c r="C277" s="2">
        <v>-102.0244064</v>
      </c>
      <c r="D277" s="24">
        <f t="shared" si="1"/>
        <v>147826.087</v>
      </c>
      <c r="E277" s="25">
        <f t="shared" si="2"/>
        <v>-32.14036462</v>
      </c>
      <c r="F277" s="24">
        <f t="shared" si="3"/>
        <v>0.0002174201136</v>
      </c>
      <c r="G277" s="24">
        <f t="shared" si="4"/>
        <v>0</v>
      </c>
      <c r="H277" s="26">
        <f t="shared" si="5"/>
        <v>0</v>
      </c>
      <c r="I277" s="24">
        <f t="shared" si="6"/>
        <v>0</v>
      </c>
      <c r="J277" s="24">
        <f t="shared" si="7"/>
        <v>0</v>
      </c>
      <c r="K277" s="24"/>
      <c r="L277" s="24">
        <f t="shared" si="8"/>
        <v>477.1616453</v>
      </c>
      <c r="M277" s="14">
        <f t="shared" si="9"/>
        <v>419.1487345</v>
      </c>
      <c r="N277" s="27">
        <f t="shared" si="10"/>
        <v>58.01291076</v>
      </c>
      <c r="O277" s="24"/>
      <c r="P277" s="24"/>
      <c r="Q277" s="24"/>
      <c r="R277" s="26"/>
      <c r="S277" s="14">
        <f t="shared" si="13"/>
        <v>53.2730316</v>
      </c>
      <c r="U277" s="21"/>
      <c r="V277" s="21"/>
    </row>
    <row r="278">
      <c r="A278" s="11">
        <v>266.0</v>
      </c>
      <c r="B278" s="11">
        <v>1.42055217391304E9</v>
      </c>
      <c r="C278" s="2">
        <v>-102.0306091</v>
      </c>
      <c r="D278" s="24">
        <f t="shared" si="1"/>
        <v>152173.913</v>
      </c>
      <c r="E278" s="25">
        <f t="shared" si="2"/>
        <v>-33.05866076</v>
      </c>
      <c r="F278" s="24">
        <f t="shared" si="3"/>
        <v>0.0002172426278</v>
      </c>
      <c r="G278" s="24">
        <f t="shared" si="4"/>
        <v>0</v>
      </c>
      <c r="H278" s="26">
        <f t="shared" si="5"/>
        <v>0</v>
      </c>
      <c r="I278" s="24">
        <f t="shared" si="6"/>
        <v>0</v>
      </c>
      <c r="J278" s="24">
        <f t="shared" si="7"/>
        <v>0</v>
      </c>
      <c r="K278" s="24"/>
      <c r="L278" s="24">
        <f t="shared" si="8"/>
        <v>476.4806378</v>
      </c>
      <c r="M278" s="14">
        <f t="shared" si="9"/>
        <v>419.0723634</v>
      </c>
      <c r="N278" s="27">
        <f t="shared" si="10"/>
        <v>57.40827435</v>
      </c>
      <c r="O278" s="24"/>
      <c r="P278" s="24"/>
      <c r="Q278" s="24"/>
      <c r="R278" s="26"/>
      <c r="S278" s="14">
        <f t="shared" si="13"/>
        <v>52.7177962</v>
      </c>
      <c r="U278" s="21"/>
      <c r="V278" s="21"/>
    </row>
    <row r="279">
      <c r="A279" s="11">
        <v>267.0</v>
      </c>
      <c r="B279" s="11">
        <v>1.42055652173913E9</v>
      </c>
      <c r="C279" s="2">
        <v>-102.0671921</v>
      </c>
      <c r="D279" s="24">
        <f t="shared" si="1"/>
        <v>156521.7391</v>
      </c>
      <c r="E279" s="25">
        <f t="shared" si="2"/>
        <v>-33.97695689</v>
      </c>
      <c r="F279" s="24">
        <f t="shared" si="3"/>
        <v>0.0002170750023</v>
      </c>
      <c r="G279" s="24">
        <f t="shared" si="4"/>
        <v>0</v>
      </c>
      <c r="H279" s="26">
        <f t="shared" si="5"/>
        <v>0</v>
      </c>
      <c r="I279" s="24">
        <f t="shared" si="6"/>
        <v>0</v>
      </c>
      <c r="J279" s="24">
        <f t="shared" si="7"/>
        <v>0</v>
      </c>
      <c r="K279" s="24"/>
      <c r="L279" s="24">
        <f t="shared" si="8"/>
        <v>472.483838</v>
      </c>
      <c r="M279" s="14">
        <f t="shared" si="9"/>
        <v>418.9958985</v>
      </c>
      <c r="N279" s="27">
        <f t="shared" si="10"/>
        <v>53.48793944</v>
      </c>
      <c r="O279" s="24"/>
      <c r="P279" s="24"/>
      <c r="Q279" s="24"/>
      <c r="R279" s="26"/>
      <c r="S279" s="14">
        <f t="shared" si="13"/>
        <v>49.11776793</v>
      </c>
      <c r="U279" s="21"/>
      <c r="V279" s="21"/>
    </row>
    <row r="280">
      <c r="A280" s="11">
        <v>268.0</v>
      </c>
      <c r="B280" s="11">
        <v>1.42056086956521E9</v>
      </c>
      <c r="C280" s="2">
        <v>-102.1446228</v>
      </c>
      <c r="D280" s="24">
        <f t="shared" si="1"/>
        <v>160869.5652</v>
      </c>
      <c r="E280" s="25">
        <f t="shared" si="2"/>
        <v>-34.89525302</v>
      </c>
      <c r="F280" s="24">
        <f t="shared" si="3"/>
        <v>0.0002169164377</v>
      </c>
      <c r="G280" s="24">
        <f t="shared" si="4"/>
        <v>0</v>
      </c>
      <c r="H280" s="26">
        <f t="shared" si="5"/>
        <v>0</v>
      </c>
      <c r="I280" s="24">
        <f t="shared" si="6"/>
        <v>0</v>
      </c>
      <c r="J280" s="24">
        <f t="shared" si="7"/>
        <v>0</v>
      </c>
      <c r="K280" s="24"/>
      <c r="L280" s="24">
        <f t="shared" si="8"/>
        <v>464.1345383</v>
      </c>
      <c r="M280" s="14">
        <f t="shared" si="9"/>
        <v>418.9193382</v>
      </c>
      <c r="N280" s="27">
        <f t="shared" si="10"/>
        <v>45.21520013</v>
      </c>
      <c r="O280" s="24"/>
      <c r="P280" s="24"/>
      <c r="Q280" s="24"/>
      <c r="R280" s="26"/>
      <c r="S280" s="14">
        <f t="shared" si="13"/>
        <v>41.52094342</v>
      </c>
      <c r="U280" s="21"/>
      <c r="V280" s="21"/>
    </row>
    <row r="281">
      <c r="A281" s="11">
        <v>269.0</v>
      </c>
      <c r="B281" s="11">
        <v>1.4205652173913E9</v>
      </c>
      <c r="C281" s="2">
        <v>-102.1802979</v>
      </c>
      <c r="D281" s="24">
        <f t="shared" si="1"/>
        <v>165217.3913</v>
      </c>
      <c r="E281" s="25">
        <f t="shared" si="2"/>
        <v>-35.81354915</v>
      </c>
      <c r="F281" s="24">
        <f t="shared" si="3"/>
        <v>0.0002167662186</v>
      </c>
      <c r="G281" s="24">
        <f t="shared" si="4"/>
        <v>0</v>
      </c>
      <c r="H281" s="26">
        <f t="shared" si="5"/>
        <v>0</v>
      </c>
      <c r="I281" s="24">
        <f t="shared" si="6"/>
        <v>0</v>
      </c>
      <c r="J281" s="24">
        <f t="shared" si="7"/>
        <v>0</v>
      </c>
      <c r="K281" s="24"/>
      <c r="L281" s="24">
        <f t="shared" si="8"/>
        <v>460.3375239</v>
      </c>
      <c r="M281" s="14">
        <f t="shared" si="9"/>
        <v>418.8426807</v>
      </c>
      <c r="N281" s="27">
        <f t="shared" si="10"/>
        <v>41.49484319</v>
      </c>
      <c r="O281" s="24"/>
      <c r="P281" s="24"/>
      <c r="Q281" s="24"/>
      <c r="R281" s="26"/>
      <c r="S281" s="14">
        <f t="shared" si="13"/>
        <v>38.10455394</v>
      </c>
      <c r="U281" s="21"/>
      <c r="V281" s="21"/>
    </row>
    <row r="282">
      <c r="A282" s="11">
        <v>270.0</v>
      </c>
      <c r="B282" s="11">
        <v>1.42056956521739E9</v>
      </c>
      <c r="C282" s="2">
        <v>-102.1310425</v>
      </c>
      <c r="D282" s="24">
        <f t="shared" si="1"/>
        <v>169565.2174</v>
      </c>
      <c r="E282" s="25">
        <f t="shared" si="2"/>
        <v>-36.73184528</v>
      </c>
      <c r="F282" s="24">
        <f t="shared" si="3"/>
        <v>0.000216623703</v>
      </c>
      <c r="G282" s="24">
        <f t="shared" si="4"/>
        <v>0</v>
      </c>
      <c r="H282" s="26">
        <f t="shared" si="5"/>
        <v>0</v>
      </c>
      <c r="I282" s="24">
        <f t="shared" si="6"/>
        <v>0</v>
      </c>
      <c r="J282" s="24">
        <f t="shared" si="7"/>
        <v>0</v>
      </c>
      <c r="K282" s="24"/>
      <c r="L282" s="24">
        <f t="shared" si="8"/>
        <v>465.5881491</v>
      </c>
      <c r="M282" s="14">
        <f t="shared" si="9"/>
        <v>418.7659246</v>
      </c>
      <c r="N282" s="27">
        <f t="shared" si="10"/>
        <v>46.82222446</v>
      </c>
      <c r="O282" s="24"/>
      <c r="P282" s="24"/>
      <c r="Q282" s="24"/>
      <c r="R282" s="26"/>
      <c r="S282" s="14">
        <f t="shared" si="13"/>
        <v>42.99666765</v>
      </c>
      <c r="U282" s="21"/>
      <c r="V282" s="21"/>
    </row>
    <row r="283">
      <c r="A283" s="11">
        <v>271.0</v>
      </c>
      <c r="B283" s="11">
        <v>1.42057391304347E9</v>
      </c>
      <c r="C283" s="2">
        <v>-102.1518021</v>
      </c>
      <c r="D283" s="24">
        <f t="shared" si="1"/>
        <v>173913.0435</v>
      </c>
      <c r="E283" s="25">
        <f t="shared" si="2"/>
        <v>-37.65014142</v>
      </c>
      <c r="F283" s="24">
        <f t="shared" si="3"/>
        <v>0.0002164883132</v>
      </c>
      <c r="G283" s="24">
        <f t="shared" si="4"/>
        <v>0</v>
      </c>
      <c r="H283" s="26">
        <f t="shared" si="5"/>
        <v>0</v>
      </c>
      <c r="I283" s="24">
        <f t="shared" si="6"/>
        <v>0</v>
      </c>
      <c r="J283" s="24">
        <f t="shared" si="7"/>
        <v>0</v>
      </c>
      <c r="K283" s="24"/>
      <c r="L283" s="24">
        <f t="shared" si="8"/>
        <v>463.3679137</v>
      </c>
      <c r="M283" s="14">
        <f t="shared" si="9"/>
        <v>418.6890681</v>
      </c>
      <c r="N283" s="27">
        <f t="shared" si="10"/>
        <v>44.67884552</v>
      </c>
      <c r="O283" s="24"/>
      <c r="P283" s="24"/>
      <c r="Q283" s="24"/>
      <c r="R283" s="26"/>
      <c r="S283" s="14">
        <f t="shared" si="13"/>
        <v>41.02841106</v>
      </c>
      <c r="U283" s="21"/>
      <c r="V283" s="21"/>
    </row>
    <row r="284">
      <c r="A284" s="11">
        <v>272.0</v>
      </c>
      <c r="B284" s="11">
        <v>1.42057826086956E9</v>
      </c>
      <c r="C284" s="2">
        <v>-102.1681595</v>
      </c>
      <c r="D284" s="24">
        <f t="shared" si="1"/>
        <v>178260.8696</v>
      </c>
      <c r="E284" s="25">
        <f t="shared" si="2"/>
        <v>-38.56843755</v>
      </c>
      <c r="F284" s="24">
        <f t="shared" si="3"/>
        <v>0.0002163595277</v>
      </c>
      <c r="G284" s="24">
        <f t="shared" si="4"/>
        <v>0</v>
      </c>
      <c r="H284" s="26">
        <f t="shared" si="5"/>
        <v>0</v>
      </c>
      <c r="I284" s="24">
        <f t="shared" si="6"/>
        <v>0</v>
      </c>
      <c r="J284" s="24">
        <f t="shared" si="7"/>
        <v>0</v>
      </c>
      <c r="K284" s="24"/>
      <c r="L284" s="24">
        <f t="shared" si="8"/>
        <v>461.6259532</v>
      </c>
      <c r="M284" s="14">
        <f t="shared" si="9"/>
        <v>418.6121097</v>
      </c>
      <c r="N284" s="27">
        <f t="shared" si="10"/>
        <v>43.01384341</v>
      </c>
      <c r="O284" s="24"/>
      <c r="P284" s="24"/>
      <c r="Q284" s="24"/>
      <c r="R284" s="26"/>
      <c r="S284" s="14">
        <f t="shared" si="13"/>
        <v>39.49944596</v>
      </c>
      <c r="U284" s="21"/>
      <c r="V284" s="21"/>
    </row>
    <row r="285">
      <c r="A285" s="11">
        <v>273.0</v>
      </c>
      <c r="B285" s="11">
        <v>1.42058260869565E9</v>
      </c>
      <c r="C285" s="2">
        <v>-102.1397324</v>
      </c>
      <c r="D285" s="24">
        <f t="shared" si="1"/>
        <v>182608.6957</v>
      </c>
      <c r="E285" s="25">
        <f t="shared" si="2"/>
        <v>-39.48673368</v>
      </c>
      <c r="F285" s="24">
        <f t="shared" si="3"/>
        <v>0.0002162368749</v>
      </c>
      <c r="G285" s="24">
        <f t="shared" si="4"/>
        <v>0</v>
      </c>
      <c r="H285" s="26">
        <f t="shared" si="5"/>
        <v>0</v>
      </c>
      <c r="I285" s="24">
        <f t="shared" si="6"/>
        <v>0</v>
      </c>
      <c r="J285" s="24">
        <f t="shared" si="7"/>
        <v>0</v>
      </c>
      <c r="K285" s="24"/>
      <c r="L285" s="24">
        <f t="shared" si="8"/>
        <v>464.6574742</v>
      </c>
      <c r="M285" s="14">
        <f t="shared" si="9"/>
        <v>418.5350478</v>
      </c>
      <c r="N285" s="27">
        <f t="shared" si="10"/>
        <v>46.12242647</v>
      </c>
      <c r="O285" s="24"/>
      <c r="P285" s="24"/>
      <c r="Q285" s="24"/>
      <c r="R285" s="26"/>
      <c r="S285" s="14">
        <f t="shared" si="13"/>
        <v>42.35404586</v>
      </c>
      <c r="U285" s="21"/>
      <c r="V285" s="21"/>
    </row>
    <row r="286">
      <c r="A286" s="11">
        <v>274.0</v>
      </c>
      <c r="B286" s="11">
        <v>1.42058695652173E9</v>
      </c>
      <c r="C286" s="2">
        <v>-102.1345673</v>
      </c>
      <c r="D286" s="24">
        <f t="shared" si="1"/>
        <v>186956.5217</v>
      </c>
      <c r="E286" s="25">
        <f t="shared" si="2"/>
        <v>-40.40502981</v>
      </c>
      <c r="F286" s="24">
        <f t="shared" si="3"/>
        <v>0.0002161199269</v>
      </c>
      <c r="G286" s="24">
        <f t="shared" si="4"/>
        <v>0</v>
      </c>
      <c r="H286" s="26">
        <f t="shared" si="5"/>
        <v>0</v>
      </c>
      <c r="I286" s="24">
        <f t="shared" si="6"/>
        <v>0</v>
      </c>
      <c r="J286" s="24">
        <f t="shared" si="7"/>
        <v>0</v>
      </c>
      <c r="K286" s="24"/>
      <c r="L286" s="24">
        <f t="shared" si="8"/>
        <v>465.2104239</v>
      </c>
      <c r="M286" s="14">
        <f t="shared" si="9"/>
        <v>418.4578806</v>
      </c>
      <c r="N286" s="27">
        <f t="shared" si="10"/>
        <v>46.75254334</v>
      </c>
      <c r="O286" s="24"/>
      <c r="P286" s="24"/>
      <c r="Q286" s="24"/>
      <c r="R286" s="26"/>
      <c r="S286" s="14">
        <f t="shared" si="13"/>
        <v>42.93267974</v>
      </c>
      <c r="U286" s="21"/>
      <c r="V286" s="21"/>
    </row>
    <row r="287">
      <c r="A287" s="11">
        <v>275.0</v>
      </c>
      <c r="B287" s="11">
        <v>1.42059130434782E9</v>
      </c>
      <c r="C287" s="2">
        <v>-102.1039658</v>
      </c>
      <c r="D287" s="24">
        <f t="shared" si="1"/>
        <v>191304.3478</v>
      </c>
      <c r="E287" s="25">
        <f t="shared" si="2"/>
        <v>-41.32332595</v>
      </c>
      <c r="F287" s="24">
        <f t="shared" si="3"/>
        <v>0.0002160082947</v>
      </c>
      <c r="G287" s="24">
        <f t="shared" si="4"/>
        <v>0</v>
      </c>
      <c r="H287" s="26">
        <f t="shared" si="5"/>
        <v>0</v>
      </c>
      <c r="I287" s="24">
        <f t="shared" si="6"/>
        <v>0</v>
      </c>
      <c r="J287" s="24">
        <f t="shared" si="7"/>
        <v>0</v>
      </c>
      <c r="K287" s="24"/>
      <c r="L287" s="24">
        <f t="shared" si="8"/>
        <v>468.4999915</v>
      </c>
      <c r="M287" s="14">
        <f t="shared" si="9"/>
        <v>418.3806066</v>
      </c>
      <c r="N287" s="27">
        <f t="shared" si="10"/>
        <v>50.11938492</v>
      </c>
      <c r="O287" s="24"/>
      <c r="P287" s="24"/>
      <c r="Q287" s="24"/>
      <c r="R287" s="26"/>
      <c r="S287" s="14">
        <f t="shared" si="13"/>
        <v>46.02443735</v>
      </c>
      <c r="U287" s="21"/>
      <c r="V287" s="21"/>
    </row>
    <row r="288">
      <c r="A288" s="11">
        <v>276.0</v>
      </c>
      <c r="B288" s="11">
        <v>1.42059565217391E9</v>
      </c>
      <c r="C288" s="2">
        <v>-102.2056427</v>
      </c>
      <c r="D288" s="24">
        <f t="shared" si="1"/>
        <v>195652.1739</v>
      </c>
      <c r="E288" s="25">
        <f t="shared" si="2"/>
        <v>-42.24162208</v>
      </c>
      <c r="F288" s="24">
        <f t="shared" si="3"/>
        <v>0.000215901624</v>
      </c>
      <c r="G288" s="24">
        <f t="shared" si="4"/>
        <v>0</v>
      </c>
      <c r="H288" s="26">
        <f t="shared" si="5"/>
        <v>0</v>
      </c>
      <c r="I288" s="24">
        <f t="shared" si="6"/>
        <v>0</v>
      </c>
      <c r="J288" s="24">
        <f t="shared" si="7"/>
        <v>0</v>
      </c>
      <c r="K288" s="24"/>
      <c r="L288" s="24">
        <f t="shared" si="8"/>
        <v>457.6588842</v>
      </c>
      <c r="M288" s="14">
        <f t="shared" si="9"/>
        <v>418.3032242</v>
      </c>
      <c r="N288" s="27">
        <f t="shared" si="10"/>
        <v>39.35565997</v>
      </c>
      <c r="O288" s="24"/>
      <c r="P288" s="24"/>
      <c r="Q288" s="24"/>
      <c r="R288" s="26"/>
      <c r="S288" s="14">
        <f t="shared" si="13"/>
        <v>36.14015027</v>
      </c>
      <c r="U288" s="21"/>
      <c r="V288" s="21"/>
    </row>
    <row r="289">
      <c r="A289" s="11">
        <v>277.0</v>
      </c>
      <c r="B289" s="11">
        <v>1.4206E9</v>
      </c>
      <c r="C289" s="2">
        <v>-102.1525574</v>
      </c>
      <c r="D289" s="24">
        <f t="shared" si="1"/>
        <v>200000</v>
      </c>
      <c r="E289" s="25">
        <f t="shared" si="2"/>
        <v>-43.15991821</v>
      </c>
      <c r="F289" s="24">
        <f t="shared" si="3"/>
        <v>0.000215799591</v>
      </c>
      <c r="G289" s="24">
        <f t="shared" si="4"/>
        <v>0</v>
      </c>
      <c r="H289" s="26">
        <f t="shared" si="5"/>
        <v>0</v>
      </c>
      <c r="I289" s="24">
        <f t="shared" si="6"/>
        <v>0</v>
      </c>
      <c r="J289" s="24">
        <f t="shared" si="7"/>
        <v>0</v>
      </c>
      <c r="K289" s="24"/>
      <c r="L289" s="24">
        <f t="shared" si="8"/>
        <v>463.2873344</v>
      </c>
      <c r="M289" s="14">
        <f t="shared" si="9"/>
        <v>418.2257317</v>
      </c>
      <c r="N289" s="27">
        <f t="shared" si="10"/>
        <v>45.06160272</v>
      </c>
      <c r="O289" s="24"/>
      <c r="P289" s="24"/>
      <c r="Q289" s="24"/>
      <c r="R289" s="26"/>
      <c r="S289" s="14">
        <f t="shared" si="13"/>
        <v>41.37989551</v>
      </c>
      <c r="U289" s="21"/>
      <c r="V289" s="21"/>
    </row>
    <row r="290">
      <c r="A290" s="11">
        <v>278.0</v>
      </c>
      <c r="B290" s="11">
        <v>1.42060434782608E9</v>
      </c>
      <c r="C290" s="2">
        <v>-102.1675797</v>
      </c>
      <c r="D290" s="24">
        <f t="shared" si="1"/>
        <v>204347.8261</v>
      </c>
      <c r="E290" s="25">
        <f t="shared" si="2"/>
        <v>-44.07821434</v>
      </c>
      <c r="F290" s="24">
        <f t="shared" si="3"/>
        <v>0.0002157019</v>
      </c>
      <c r="G290" s="24">
        <f t="shared" si="4"/>
        <v>0</v>
      </c>
      <c r="H290" s="26">
        <f t="shared" si="5"/>
        <v>0</v>
      </c>
      <c r="I290" s="24">
        <f t="shared" si="6"/>
        <v>0</v>
      </c>
      <c r="J290" s="24">
        <f t="shared" si="7"/>
        <v>0</v>
      </c>
      <c r="K290" s="24"/>
      <c r="L290" s="24">
        <f t="shared" si="8"/>
        <v>461.6875861</v>
      </c>
      <c r="M290" s="14">
        <f t="shared" si="9"/>
        <v>418.1481275</v>
      </c>
      <c r="N290" s="27">
        <f t="shared" si="10"/>
        <v>43.53945865</v>
      </c>
      <c r="O290" s="24"/>
      <c r="P290" s="24"/>
      <c r="Q290" s="24"/>
      <c r="R290" s="26"/>
      <c r="S290" s="14">
        <f t="shared" si="13"/>
        <v>39.98211651</v>
      </c>
      <c r="U290" s="21"/>
      <c r="V290" s="21"/>
    </row>
    <row r="291">
      <c r="A291" s="11">
        <v>279.0</v>
      </c>
      <c r="B291" s="11">
        <v>1.42060869565217E9</v>
      </c>
      <c r="C291" s="2">
        <v>-102.1802979</v>
      </c>
      <c r="D291" s="24">
        <f t="shared" si="1"/>
        <v>208695.6522</v>
      </c>
      <c r="E291" s="25">
        <f t="shared" si="2"/>
        <v>-44.99651047</v>
      </c>
      <c r="F291" s="24">
        <f t="shared" si="3"/>
        <v>0.0002156082794</v>
      </c>
      <c r="G291" s="24">
        <f t="shared" si="4"/>
        <v>0</v>
      </c>
      <c r="H291" s="26">
        <f t="shared" si="5"/>
        <v>0</v>
      </c>
      <c r="I291" s="24">
        <f t="shared" si="6"/>
        <v>0</v>
      </c>
      <c r="J291" s="24">
        <f t="shared" si="7"/>
        <v>0</v>
      </c>
      <c r="K291" s="24"/>
      <c r="L291" s="24">
        <f t="shared" si="8"/>
        <v>460.3375239</v>
      </c>
      <c r="M291" s="14">
        <f t="shared" si="9"/>
        <v>418.0704099</v>
      </c>
      <c r="N291" s="27">
        <f t="shared" si="10"/>
        <v>42.26711397</v>
      </c>
      <c r="O291" s="24"/>
      <c r="P291" s="24"/>
      <c r="Q291" s="24"/>
      <c r="R291" s="26"/>
      <c r="S291" s="14">
        <f t="shared" si="13"/>
        <v>38.81372721</v>
      </c>
      <c r="U291" s="21"/>
      <c r="V291" s="21"/>
    </row>
    <row r="292">
      <c r="A292" s="11">
        <v>280.0</v>
      </c>
      <c r="B292" s="11">
        <v>1.42061304347826E9</v>
      </c>
      <c r="C292" s="2">
        <v>-102.1721344</v>
      </c>
      <c r="D292" s="24">
        <f t="shared" si="1"/>
        <v>213043.4783</v>
      </c>
      <c r="E292" s="25">
        <f t="shared" si="2"/>
        <v>-45.91480661</v>
      </c>
      <c r="F292" s="24">
        <f t="shared" si="3"/>
        <v>0.00021551848</v>
      </c>
      <c r="G292" s="24">
        <f t="shared" si="4"/>
        <v>0</v>
      </c>
      <c r="H292" s="26">
        <f t="shared" si="5"/>
        <v>0</v>
      </c>
      <c r="I292" s="24">
        <f t="shared" si="6"/>
        <v>0</v>
      </c>
      <c r="J292" s="24">
        <f t="shared" si="7"/>
        <v>0</v>
      </c>
      <c r="K292" s="24"/>
      <c r="L292" s="24">
        <f t="shared" si="8"/>
        <v>461.2036412</v>
      </c>
      <c r="M292" s="14">
        <f t="shared" si="9"/>
        <v>417.9925775</v>
      </c>
      <c r="N292" s="27">
        <f t="shared" si="10"/>
        <v>43.21106371</v>
      </c>
      <c r="O292" s="24"/>
      <c r="P292" s="24"/>
      <c r="Q292" s="24"/>
      <c r="R292" s="26"/>
      <c r="S292" s="14">
        <f t="shared" si="13"/>
        <v>39.6805527</v>
      </c>
      <c r="U292" s="21"/>
      <c r="V292" s="21"/>
    </row>
    <row r="293">
      <c r="A293" s="11">
        <v>281.0</v>
      </c>
      <c r="B293" s="11">
        <v>1.42061739130434E9</v>
      </c>
      <c r="C293" s="2">
        <v>-102.2087784</v>
      </c>
      <c r="D293" s="24">
        <f t="shared" si="1"/>
        <v>217391.3043</v>
      </c>
      <c r="E293" s="25">
        <f t="shared" si="2"/>
        <v>-46.83310274</v>
      </c>
      <c r="F293" s="24">
        <f t="shared" si="3"/>
        <v>0.0002154322726</v>
      </c>
      <c r="G293" s="24">
        <f t="shared" si="4"/>
        <v>0</v>
      </c>
      <c r="H293" s="26">
        <f t="shared" si="5"/>
        <v>0</v>
      </c>
      <c r="I293" s="24">
        <f t="shared" si="6"/>
        <v>0</v>
      </c>
      <c r="J293" s="24">
        <f t="shared" si="7"/>
        <v>0</v>
      </c>
      <c r="K293" s="24"/>
      <c r="L293" s="24">
        <f t="shared" si="8"/>
        <v>457.3285638</v>
      </c>
      <c r="M293" s="14">
        <f t="shared" si="9"/>
        <v>417.9146284</v>
      </c>
      <c r="N293" s="27">
        <f t="shared" si="10"/>
        <v>39.41393538</v>
      </c>
      <c r="O293" s="24"/>
      <c r="P293" s="24"/>
      <c r="Q293" s="24"/>
      <c r="R293" s="26"/>
      <c r="S293" s="14">
        <f t="shared" si="13"/>
        <v>36.19366443</v>
      </c>
      <c r="U293" s="21"/>
      <c r="V293" s="21"/>
    </row>
    <row r="294">
      <c r="A294" s="11">
        <v>282.0</v>
      </c>
      <c r="B294" s="11">
        <v>1.42062173913043E9</v>
      </c>
      <c r="C294" s="2">
        <v>-102.1036911</v>
      </c>
      <c r="D294" s="24">
        <f t="shared" si="1"/>
        <v>221739.1304</v>
      </c>
      <c r="E294" s="25">
        <f t="shared" si="2"/>
        <v>-47.75139887</v>
      </c>
      <c r="F294" s="24">
        <f t="shared" si="3"/>
        <v>0.0002153494459</v>
      </c>
      <c r="G294" s="24">
        <f t="shared" si="4"/>
        <v>0</v>
      </c>
      <c r="H294" s="26">
        <f t="shared" si="5"/>
        <v>0</v>
      </c>
      <c r="I294" s="24">
        <f t="shared" si="6"/>
        <v>0</v>
      </c>
      <c r="J294" s="24">
        <f t="shared" si="7"/>
        <v>0</v>
      </c>
      <c r="K294" s="24"/>
      <c r="L294" s="24">
        <f t="shared" si="8"/>
        <v>468.529626</v>
      </c>
      <c r="M294" s="14">
        <f t="shared" si="9"/>
        <v>417.8365612</v>
      </c>
      <c r="N294" s="27">
        <f t="shared" si="10"/>
        <v>50.69306484</v>
      </c>
      <c r="O294" s="24"/>
      <c r="P294" s="24"/>
      <c r="Q294" s="24"/>
      <c r="R294" s="26"/>
      <c r="S294" s="14">
        <f t="shared" si="13"/>
        <v>46.55124529</v>
      </c>
      <c r="U294" s="21"/>
      <c r="V294" s="21"/>
    </row>
    <row r="295">
      <c r="A295" s="11">
        <v>283.0</v>
      </c>
      <c r="B295" s="11">
        <v>1.42062608695652E9</v>
      </c>
      <c r="C295" s="2">
        <v>-102.2094879</v>
      </c>
      <c r="D295" s="24">
        <f t="shared" si="1"/>
        <v>226086.9565</v>
      </c>
      <c r="E295" s="25">
        <f t="shared" si="2"/>
        <v>-48.669695</v>
      </c>
      <c r="F295" s="24">
        <f t="shared" si="3"/>
        <v>0.0002152698048</v>
      </c>
      <c r="G295" s="24">
        <f t="shared" si="4"/>
        <v>0</v>
      </c>
      <c r="H295" s="26">
        <f t="shared" si="5"/>
        <v>0</v>
      </c>
      <c r="I295" s="24">
        <f t="shared" si="6"/>
        <v>0</v>
      </c>
      <c r="J295" s="24">
        <f t="shared" si="7"/>
        <v>0</v>
      </c>
      <c r="K295" s="24"/>
      <c r="L295" s="24">
        <f t="shared" si="8"/>
        <v>457.2538569</v>
      </c>
      <c r="M295" s="14">
        <f t="shared" si="9"/>
        <v>417.7583741</v>
      </c>
      <c r="N295" s="27">
        <f t="shared" si="10"/>
        <v>39.49548273</v>
      </c>
      <c r="O295" s="24"/>
      <c r="P295" s="24"/>
      <c r="Q295" s="24"/>
      <c r="R295" s="26"/>
      <c r="S295" s="14">
        <f t="shared" si="13"/>
        <v>36.26854905</v>
      </c>
      <c r="U295" s="21"/>
      <c r="V295" s="21"/>
    </row>
    <row r="296">
      <c r="A296" s="11">
        <v>284.0</v>
      </c>
      <c r="B296" s="11">
        <v>1.4206304347826E9</v>
      </c>
      <c r="C296" s="2">
        <v>-102.2147522</v>
      </c>
      <c r="D296" s="24">
        <f t="shared" si="1"/>
        <v>230434.7826</v>
      </c>
      <c r="E296" s="25">
        <f t="shared" si="2"/>
        <v>-49.58799113</v>
      </c>
      <c r="F296" s="24">
        <f t="shared" si="3"/>
        <v>0.0002151931691</v>
      </c>
      <c r="G296" s="24">
        <f t="shared" si="4"/>
        <v>0</v>
      </c>
      <c r="H296" s="26">
        <f t="shared" si="5"/>
        <v>0</v>
      </c>
      <c r="I296" s="24">
        <f t="shared" si="6"/>
        <v>0</v>
      </c>
      <c r="J296" s="24">
        <f t="shared" si="7"/>
        <v>0</v>
      </c>
      <c r="K296" s="24"/>
      <c r="L296" s="24">
        <f t="shared" si="8"/>
        <v>456.6999325</v>
      </c>
      <c r="M296" s="14">
        <f t="shared" si="9"/>
        <v>417.6800656</v>
      </c>
      <c r="N296" s="27">
        <f t="shared" si="10"/>
        <v>39.01986681</v>
      </c>
      <c r="O296" s="24"/>
      <c r="P296" s="24"/>
      <c r="Q296" s="24"/>
      <c r="R296" s="26"/>
      <c r="S296" s="14">
        <f t="shared" si="13"/>
        <v>35.83179279</v>
      </c>
      <c r="U296" s="21"/>
      <c r="V296" s="21"/>
    </row>
    <row r="297">
      <c r="A297" s="11">
        <v>285.0</v>
      </c>
      <c r="B297" s="11">
        <v>1.42063478260869E9</v>
      </c>
      <c r="C297" s="2">
        <v>-102.2095947</v>
      </c>
      <c r="D297" s="24">
        <f t="shared" si="1"/>
        <v>234782.6087</v>
      </c>
      <c r="E297" s="25">
        <f t="shared" si="2"/>
        <v>-50.50628727</v>
      </c>
      <c r="F297" s="24">
        <f t="shared" si="3"/>
        <v>0.0002151193717</v>
      </c>
      <c r="G297" s="24">
        <f t="shared" si="4"/>
        <v>0</v>
      </c>
      <c r="H297" s="26">
        <f t="shared" si="5"/>
        <v>0</v>
      </c>
      <c r="I297" s="24">
        <f t="shared" si="6"/>
        <v>0</v>
      </c>
      <c r="J297" s="24">
        <f t="shared" si="7"/>
        <v>0</v>
      </c>
      <c r="K297" s="24"/>
      <c r="L297" s="24">
        <f t="shared" si="8"/>
        <v>457.2426124</v>
      </c>
      <c r="M297" s="14">
        <f t="shared" si="9"/>
        <v>417.6016341</v>
      </c>
      <c r="N297" s="27">
        <f t="shared" si="10"/>
        <v>39.64097833</v>
      </c>
      <c r="O297" s="24"/>
      <c r="P297" s="24"/>
      <c r="Q297" s="24"/>
      <c r="R297" s="26"/>
      <c r="S297" s="14">
        <f t="shared" si="13"/>
        <v>36.4021571</v>
      </c>
      <c r="U297" s="21"/>
      <c r="V297" s="21"/>
    </row>
    <row r="298">
      <c r="A298" s="11">
        <v>286.0</v>
      </c>
      <c r="B298" s="11">
        <v>1.42063913043478E9</v>
      </c>
      <c r="C298" s="2">
        <v>-102.2568512</v>
      </c>
      <c r="D298" s="24">
        <f t="shared" si="1"/>
        <v>239130.4348</v>
      </c>
      <c r="E298" s="25">
        <f t="shared" si="2"/>
        <v>-51.4245834</v>
      </c>
      <c r="F298" s="24">
        <f t="shared" si="3"/>
        <v>0.0002150482579</v>
      </c>
      <c r="G298" s="24">
        <f t="shared" si="4"/>
        <v>0</v>
      </c>
      <c r="H298" s="26">
        <f t="shared" si="5"/>
        <v>0</v>
      </c>
      <c r="I298" s="24">
        <f t="shared" si="6"/>
        <v>0</v>
      </c>
      <c r="J298" s="24">
        <f t="shared" si="7"/>
        <v>0</v>
      </c>
      <c r="K298" s="24"/>
      <c r="L298" s="24">
        <f t="shared" si="8"/>
        <v>452.29423</v>
      </c>
      <c r="M298" s="14">
        <f t="shared" si="9"/>
        <v>417.5230778</v>
      </c>
      <c r="N298" s="27">
        <f t="shared" si="10"/>
        <v>34.77115215</v>
      </c>
      <c r="O298" s="24"/>
      <c r="P298" s="24"/>
      <c r="Q298" s="24"/>
      <c r="R298" s="26"/>
      <c r="S298" s="14">
        <f t="shared" si="13"/>
        <v>31.93021448</v>
      </c>
      <c r="U298" s="21"/>
      <c r="V298" s="21"/>
    </row>
    <row r="299">
      <c r="A299" s="11">
        <v>287.0</v>
      </c>
      <c r="B299" s="11">
        <v>1.42064347826087E9</v>
      </c>
      <c r="C299" s="2">
        <v>-102.1891327</v>
      </c>
      <c r="D299" s="24">
        <f t="shared" si="1"/>
        <v>243478.2609</v>
      </c>
      <c r="E299" s="25">
        <f t="shared" si="2"/>
        <v>-52.34287953</v>
      </c>
      <c r="F299" s="24">
        <f t="shared" si="3"/>
        <v>0.0002149796838</v>
      </c>
      <c r="G299" s="24">
        <f t="shared" si="4"/>
        <v>0</v>
      </c>
      <c r="H299" s="26">
        <f t="shared" si="5"/>
        <v>0</v>
      </c>
      <c r="I299" s="24">
        <f t="shared" si="6"/>
        <v>0</v>
      </c>
      <c r="J299" s="24">
        <f t="shared" si="7"/>
        <v>0</v>
      </c>
      <c r="K299" s="24"/>
      <c r="L299" s="24">
        <f t="shared" si="8"/>
        <v>459.4020167</v>
      </c>
      <c r="M299" s="14">
        <f t="shared" si="9"/>
        <v>417.4443952</v>
      </c>
      <c r="N299" s="27">
        <f t="shared" si="10"/>
        <v>41.9576215</v>
      </c>
      <c r="O299" s="24"/>
      <c r="P299" s="24"/>
      <c r="Q299" s="24"/>
      <c r="R299" s="26"/>
      <c r="S299" s="14">
        <f t="shared" si="13"/>
        <v>38.52952156</v>
      </c>
      <c r="U299" s="21"/>
      <c r="V299" s="21"/>
    </row>
    <row r="300">
      <c r="A300" s="11">
        <v>288.0</v>
      </c>
      <c r="B300" s="11">
        <v>1.42064782608695E9</v>
      </c>
      <c r="C300" s="2">
        <v>-102.234375</v>
      </c>
      <c r="D300" s="24">
        <f t="shared" si="1"/>
        <v>247826.087</v>
      </c>
      <c r="E300" s="25">
        <f t="shared" si="2"/>
        <v>-53.26117566</v>
      </c>
      <c r="F300" s="24">
        <f t="shared" si="3"/>
        <v>0.0002149135158</v>
      </c>
      <c r="G300" s="24">
        <f t="shared" si="4"/>
        <v>0</v>
      </c>
      <c r="H300" s="26">
        <f t="shared" si="5"/>
        <v>0</v>
      </c>
      <c r="I300" s="24">
        <f t="shared" si="6"/>
        <v>0</v>
      </c>
      <c r="J300" s="24">
        <f t="shared" si="7"/>
        <v>0</v>
      </c>
      <c r="K300" s="24"/>
      <c r="L300" s="24">
        <f t="shared" si="8"/>
        <v>454.6410723</v>
      </c>
      <c r="M300" s="14">
        <f t="shared" si="9"/>
        <v>417.3655847</v>
      </c>
      <c r="N300" s="27">
        <f t="shared" si="10"/>
        <v>37.27548762</v>
      </c>
      <c r="O300" s="24"/>
      <c r="P300" s="24"/>
      <c r="Q300" s="24"/>
      <c r="R300" s="26"/>
      <c r="S300" s="14">
        <f t="shared" si="13"/>
        <v>34.22993613</v>
      </c>
      <c r="U300" s="21"/>
      <c r="V300" s="21"/>
    </row>
    <row r="301">
      <c r="A301" s="11">
        <v>289.0</v>
      </c>
      <c r="B301" s="11">
        <v>1.42065217391304E9</v>
      </c>
      <c r="C301" s="2">
        <v>-102.1407776</v>
      </c>
      <c r="D301" s="24">
        <f t="shared" si="1"/>
        <v>252173.913</v>
      </c>
      <c r="E301" s="25">
        <f t="shared" si="2"/>
        <v>-54.1794718</v>
      </c>
      <c r="F301" s="24">
        <f t="shared" si="3"/>
        <v>0.0002148496295</v>
      </c>
      <c r="G301" s="24">
        <f t="shared" si="4"/>
        <v>0</v>
      </c>
      <c r="H301" s="26">
        <f t="shared" si="5"/>
        <v>0</v>
      </c>
      <c r="I301" s="24">
        <f t="shared" si="6"/>
        <v>0</v>
      </c>
      <c r="J301" s="24">
        <f t="shared" si="7"/>
        <v>0</v>
      </c>
      <c r="K301" s="24"/>
      <c r="L301" s="24">
        <f t="shared" si="8"/>
        <v>464.5456604</v>
      </c>
      <c r="M301" s="14">
        <f t="shared" si="9"/>
        <v>417.2866446</v>
      </c>
      <c r="N301" s="27">
        <f t="shared" si="10"/>
        <v>47.25901574</v>
      </c>
      <c r="O301" s="24"/>
      <c r="P301" s="24"/>
      <c r="Q301" s="24"/>
      <c r="R301" s="26"/>
      <c r="S301" s="14">
        <f t="shared" si="13"/>
        <v>43.39777129</v>
      </c>
      <c r="U301" s="21"/>
      <c r="V301" s="21"/>
    </row>
    <row r="302">
      <c r="A302" s="11">
        <v>290.0</v>
      </c>
      <c r="B302" s="11">
        <v>1.42065652173913E9</v>
      </c>
      <c r="C302" s="2">
        <v>-102.2035599</v>
      </c>
      <c r="D302" s="24">
        <f t="shared" si="1"/>
        <v>256521.7391</v>
      </c>
      <c r="E302" s="25">
        <f t="shared" si="2"/>
        <v>-55.09776793</v>
      </c>
      <c r="F302" s="24">
        <f t="shared" si="3"/>
        <v>0.0002147879089</v>
      </c>
      <c r="G302" s="24">
        <f t="shared" si="4"/>
        <v>0</v>
      </c>
      <c r="H302" s="26">
        <f t="shared" si="5"/>
        <v>0</v>
      </c>
      <c r="I302" s="24">
        <f t="shared" si="6"/>
        <v>0</v>
      </c>
      <c r="J302" s="24">
        <f t="shared" si="7"/>
        <v>0</v>
      </c>
      <c r="K302" s="24"/>
      <c r="L302" s="24">
        <f t="shared" si="8"/>
        <v>457.8784219</v>
      </c>
      <c r="M302" s="14">
        <f t="shared" si="9"/>
        <v>417.2075733</v>
      </c>
      <c r="N302" s="27">
        <f t="shared" si="10"/>
        <v>40.67084862</v>
      </c>
      <c r="O302" s="24"/>
      <c r="P302" s="24"/>
      <c r="Q302" s="24"/>
      <c r="R302" s="26"/>
      <c r="S302" s="14">
        <f t="shared" si="13"/>
        <v>37.34788301</v>
      </c>
      <c r="U302" s="21"/>
      <c r="V302" s="21"/>
    </row>
    <row r="303">
      <c r="A303" s="11">
        <v>291.0</v>
      </c>
      <c r="B303" s="11">
        <v>1.42066086956521E9</v>
      </c>
      <c r="C303" s="2">
        <v>-102.2210922</v>
      </c>
      <c r="D303" s="24">
        <f t="shared" si="1"/>
        <v>260869.5652</v>
      </c>
      <c r="E303" s="25">
        <f t="shared" si="2"/>
        <v>-56.01606406</v>
      </c>
      <c r="F303" s="24">
        <f t="shared" si="3"/>
        <v>0.0002147282456</v>
      </c>
      <c r="G303" s="24">
        <f t="shared" si="4"/>
        <v>0</v>
      </c>
      <c r="H303" s="26">
        <f t="shared" si="5"/>
        <v>0</v>
      </c>
      <c r="I303" s="24">
        <f t="shared" si="6"/>
        <v>0</v>
      </c>
      <c r="J303" s="24">
        <f t="shared" si="7"/>
        <v>0</v>
      </c>
      <c r="K303" s="24"/>
      <c r="L303" s="24">
        <f t="shared" si="8"/>
        <v>456.0337105</v>
      </c>
      <c r="M303" s="14">
        <f t="shared" si="9"/>
        <v>417.1283692</v>
      </c>
      <c r="N303" s="27">
        <f t="shared" si="10"/>
        <v>38.9053413</v>
      </c>
      <c r="O303" s="24"/>
      <c r="P303" s="24"/>
      <c r="Q303" s="24"/>
      <c r="R303" s="26"/>
      <c r="S303" s="14">
        <f t="shared" si="13"/>
        <v>35.72662446</v>
      </c>
      <c r="U303" s="21"/>
      <c r="V303" s="21"/>
    </row>
    <row r="304">
      <c r="A304" s="11">
        <v>292.0</v>
      </c>
      <c r="B304" s="11">
        <v>1.4206652173913E9</v>
      </c>
      <c r="C304" s="2">
        <v>-102.1829605</v>
      </c>
      <c r="D304" s="24">
        <f t="shared" si="1"/>
        <v>265217.3913</v>
      </c>
      <c r="E304" s="25">
        <f t="shared" si="2"/>
        <v>-56.93436019</v>
      </c>
      <c r="F304" s="24">
        <f t="shared" si="3"/>
        <v>0.0002146705384</v>
      </c>
      <c r="G304" s="24">
        <f t="shared" si="4"/>
        <v>0</v>
      </c>
      <c r="H304" s="26">
        <f t="shared" si="5"/>
        <v>0</v>
      </c>
      <c r="I304" s="24">
        <f t="shared" si="6"/>
        <v>0</v>
      </c>
      <c r="J304" s="24">
        <f t="shared" si="7"/>
        <v>0</v>
      </c>
      <c r="K304" s="24"/>
      <c r="L304" s="24">
        <f t="shared" si="8"/>
        <v>460.0553838</v>
      </c>
      <c r="M304" s="14">
        <f t="shared" si="9"/>
        <v>417.0490307</v>
      </c>
      <c r="N304" s="27">
        <f t="shared" si="10"/>
        <v>43.00635311</v>
      </c>
      <c r="O304" s="24"/>
      <c r="P304" s="24"/>
      <c r="Q304" s="24"/>
      <c r="R304" s="26"/>
      <c r="S304" s="14">
        <f t="shared" si="13"/>
        <v>39.49256765</v>
      </c>
      <c r="U304" s="21"/>
      <c r="V304" s="21"/>
    </row>
    <row r="305">
      <c r="A305" s="11">
        <v>293.0</v>
      </c>
      <c r="B305" s="11">
        <v>1.42066956521739E9</v>
      </c>
      <c r="C305" s="2">
        <v>-102.1709976</v>
      </c>
      <c r="D305" s="24">
        <f t="shared" si="1"/>
        <v>269565.2174</v>
      </c>
      <c r="E305" s="25">
        <f t="shared" si="2"/>
        <v>-57.85265632</v>
      </c>
      <c r="F305" s="24">
        <f t="shared" si="3"/>
        <v>0.0002146146928</v>
      </c>
      <c r="G305" s="24">
        <f t="shared" si="4"/>
        <v>0</v>
      </c>
      <c r="H305" s="26">
        <f t="shared" si="5"/>
        <v>0</v>
      </c>
      <c r="I305" s="24">
        <f t="shared" si="6"/>
        <v>0</v>
      </c>
      <c r="J305" s="24">
        <f t="shared" si="7"/>
        <v>0</v>
      </c>
      <c r="K305" s="24"/>
      <c r="L305" s="24">
        <f t="shared" si="8"/>
        <v>461.3243807</v>
      </c>
      <c r="M305" s="14">
        <f t="shared" si="9"/>
        <v>416.9695561</v>
      </c>
      <c r="N305" s="27">
        <f t="shared" si="10"/>
        <v>44.35482462</v>
      </c>
      <c r="O305" s="24"/>
      <c r="P305" s="24"/>
      <c r="Q305" s="24"/>
      <c r="R305" s="26"/>
      <c r="S305" s="14">
        <f t="shared" si="13"/>
        <v>40.73086392</v>
      </c>
      <c r="U305" s="21"/>
      <c r="V305" s="21"/>
    </row>
    <row r="306">
      <c r="A306" s="11">
        <v>294.0</v>
      </c>
      <c r="B306" s="11">
        <v>1.42067391304347E9</v>
      </c>
      <c r="C306" s="2">
        <v>-102.1779099</v>
      </c>
      <c r="D306" s="24">
        <f t="shared" si="1"/>
        <v>273913.0435</v>
      </c>
      <c r="E306" s="25">
        <f t="shared" si="2"/>
        <v>-58.77095246</v>
      </c>
      <c r="F306" s="24">
        <f t="shared" si="3"/>
        <v>0.0002145606201</v>
      </c>
      <c r="G306" s="24">
        <f t="shared" si="4"/>
        <v>0</v>
      </c>
      <c r="H306" s="26">
        <f t="shared" si="5"/>
        <v>0</v>
      </c>
      <c r="I306" s="24">
        <f t="shared" si="6"/>
        <v>0</v>
      </c>
      <c r="J306" s="24">
        <f t="shared" si="7"/>
        <v>0</v>
      </c>
      <c r="K306" s="24"/>
      <c r="L306" s="24">
        <f t="shared" si="8"/>
        <v>460.5907135</v>
      </c>
      <c r="M306" s="14">
        <f t="shared" si="9"/>
        <v>416.8899437</v>
      </c>
      <c r="N306" s="27">
        <f t="shared" si="10"/>
        <v>43.70076973</v>
      </c>
      <c r="O306" s="24"/>
      <c r="P306" s="24"/>
      <c r="Q306" s="24"/>
      <c r="R306" s="26"/>
      <c r="S306" s="14">
        <f t="shared" si="13"/>
        <v>40.13024784</v>
      </c>
      <c r="U306" s="21"/>
      <c r="V306" s="21"/>
    </row>
    <row r="307">
      <c r="A307" s="11">
        <v>295.0</v>
      </c>
      <c r="B307" s="11">
        <v>1.42067826086956E9</v>
      </c>
      <c r="C307" s="2">
        <v>-102.1790237</v>
      </c>
      <c r="D307" s="24">
        <f t="shared" si="1"/>
        <v>278260.8696</v>
      </c>
      <c r="E307" s="25">
        <f t="shared" si="2"/>
        <v>-59.68924859</v>
      </c>
      <c r="F307" s="24">
        <f t="shared" si="3"/>
        <v>0.0002145082371</v>
      </c>
      <c r="G307" s="24">
        <f t="shared" si="4"/>
        <v>0</v>
      </c>
      <c r="H307" s="26">
        <f t="shared" si="5"/>
        <v>0</v>
      </c>
      <c r="I307" s="24">
        <f t="shared" si="6"/>
        <v>0</v>
      </c>
      <c r="J307" s="24">
        <f t="shared" si="7"/>
        <v>0</v>
      </c>
      <c r="K307" s="24"/>
      <c r="L307" s="24">
        <f t="shared" si="8"/>
        <v>460.4726046</v>
      </c>
      <c r="M307" s="14">
        <f t="shared" si="9"/>
        <v>416.8101921</v>
      </c>
      <c r="N307" s="27">
        <f t="shared" si="10"/>
        <v>43.66241252</v>
      </c>
      <c r="O307" s="24"/>
      <c r="P307" s="24"/>
      <c r="Q307" s="24"/>
      <c r="R307" s="26"/>
      <c r="S307" s="14">
        <f t="shared" si="13"/>
        <v>40.09502447</v>
      </c>
      <c r="U307" s="21"/>
      <c r="V307" s="21"/>
    </row>
    <row r="308">
      <c r="A308" s="11">
        <v>296.0</v>
      </c>
      <c r="B308" s="11">
        <v>1.42068260869565E9</v>
      </c>
      <c r="C308" s="2">
        <v>-102.246933</v>
      </c>
      <c r="D308" s="24">
        <f t="shared" si="1"/>
        <v>282608.6957</v>
      </c>
      <c r="E308" s="25">
        <f t="shared" si="2"/>
        <v>-60.60754472</v>
      </c>
      <c r="F308" s="24">
        <f t="shared" si="3"/>
        <v>0.0002144574659</v>
      </c>
      <c r="G308" s="24">
        <f t="shared" si="4"/>
        <v>0</v>
      </c>
      <c r="H308" s="26">
        <f t="shared" si="5"/>
        <v>0</v>
      </c>
      <c r="I308" s="24">
        <f t="shared" si="6"/>
        <v>0</v>
      </c>
      <c r="J308" s="24">
        <f t="shared" si="7"/>
        <v>0</v>
      </c>
      <c r="K308" s="24"/>
      <c r="L308" s="24">
        <f t="shared" si="8"/>
        <v>453.3283373</v>
      </c>
      <c r="M308" s="14">
        <f t="shared" si="9"/>
        <v>416.7302995</v>
      </c>
      <c r="N308" s="27">
        <f t="shared" si="10"/>
        <v>36.59803772</v>
      </c>
      <c r="O308" s="24"/>
      <c r="P308" s="24"/>
      <c r="Q308" s="24"/>
      <c r="R308" s="26"/>
      <c r="S308" s="14">
        <f t="shared" si="13"/>
        <v>33.60783651</v>
      </c>
      <c r="U308" s="21"/>
      <c r="V308" s="21"/>
    </row>
    <row r="309">
      <c r="A309" s="11">
        <v>297.0</v>
      </c>
      <c r="B309" s="11">
        <v>1.42068695652173E9</v>
      </c>
      <c r="C309" s="2">
        <v>-102.1955414</v>
      </c>
      <c r="D309" s="24">
        <f t="shared" si="1"/>
        <v>286956.5217</v>
      </c>
      <c r="E309" s="25">
        <f t="shared" si="2"/>
        <v>-61.52584085</v>
      </c>
      <c r="F309" s="24">
        <f t="shared" si="3"/>
        <v>0.0002144082333</v>
      </c>
      <c r="G309" s="24">
        <f t="shared" si="4"/>
        <v>0</v>
      </c>
      <c r="H309" s="26">
        <f t="shared" si="5"/>
        <v>0</v>
      </c>
      <c r="I309" s="24">
        <f t="shared" si="6"/>
        <v>0</v>
      </c>
      <c r="J309" s="24">
        <f t="shared" si="7"/>
        <v>0</v>
      </c>
      <c r="K309" s="24"/>
      <c r="L309" s="24">
        <f t="shared" si="8"/>
        <v>458.7245966</v>
      </c>
      <c r="M309" s="14">
        <f t="shared" si="9"/>
        <v>416.6502644</v>
      </c>
      <c r="N309" s="27">
        <f t="shared" si="10"/>
        <v>42.07433214</v>
      </c>
      <c r="O309" s="24"/>
      <c r="P309" s="24"/>
      <c r="Q309" s="24"/>
      <c r="R309" s="26"/>
      <c r="S309" s="14">
        <f t="shared" si="13"/>
        <v>38.63669649</v>
      </c>
      <c r="U309" s="21"/>
      <c r="V309" s="21"/>
    </row>
    <row r="310">
      <c r="A310" s="11">
        <v>298.0</v>
      </c>
      <c r="B310" s="11">
        <v>1.42069130434782E9</v>
      </c>
      <c r="C310" s="2">
        <v>-102.2006073</v>
      </c>
      <c r="D310" s="24">
        <f t="shared" si="1"/>
        <v>291304.3478</v>
      </c>
      <c r="E310" s="25">
        <f t="shared" si="2"/>
        <v>-62.44413698</v>
      </c>
      <c r="F310" s="24">
        <f t="shared" si="3"/>
        <v>0.0002143604703</v>
      </c>
      <c r="G310" s="24">
        <f t="shared" si="4"/>
        <v>0</v>
      </c>
      <c r="H310" s="26">
        <f t="shared" si="5"/>
        <v>0</v>
      </c>
      <c r="I310" s="24">
        <f t="shared" si="6"/>
        <v>0</v>
      </c>
      <c r="J310" s="24">
        <f t="shared" si="7"/>
        <v>0</v>
      </c>
      <c r="K310" s="24"/>
      <c r="L310" s="24">
        <f t="shared" si="8"/>
        <v>458.1898216</v>
      </c>
      <c r="M310" s="14">
        <f t="shared" si="9"/>
        <v>416.5700851</v>
      </c>
      <c r="N310" s="27">
        <f t="shared" si="10"/>
        <v>41.61973651</v>
      </c>
      <c r="O310" s="24"/>
      <c r="P310" s="24"/>
      <c r="Q310" s="24"/>
      <c r="R310" s="26"/>
      <c r="S310" s="14">
        <f t="shared" si="13"/>
        <v>38.21924309</v>
      </c>
      <c r="U310" s="21"/>
      <c r="V310" s="21"/>
    </row>
    <row r="311">
      <c r="A311" s="11">
        <v>299.0</v>
      </c>
      <c r="B311" s="11">
        <v>1.42069565217391E9</v>
      </c>
      <c r="C311" s="2">
        <v>-102.225975</v>
      </c>
      <c r="D311" s="24">
        <f t="shared" si="1"/>
        <v>295652.1739</v>
      </c>
      <c r="E311" s="25">
        <f t="shared" si="2"/>
        <v>-63.36243312</v>
      </c>
      <c r="F311" s="24">
        <f t="shared" si="3"/>
        <v>0.000214314112</v>
      </c>
      <c r="G311" s="24">
        <f t="shared" si="4"/>
        <v>0</v>
      </c>
      <c r="H311" s="26">
        <f t="shared" si="5"/>
        <v>0</v>
      </c>
      <c r="I311" s="24">
        <f t="shared" si="6"/>
        <v>0</v>
      </c>
      <c r="J311" s="24">
        <f t="shared" si="7"/>
        <v>0</v>
      </c>
      <c r="K311" s="24"/>
      <c r="L311" s="24">
        <f t="shared" si="8"/>
        <v>455.5212771</v>
      </c>
      <c r="M311" s="14">
        <f t="shared" si="9"/>
        <v>416.4897599</v>
      </c>
      <c r="N311" s="27">
        <f t="shared" si="10"/>
        <v>39.03151715</v>
      </c>
      <c r="O311" s="24"/>
      <c r="P311" s="24"/>
      <c r="Q311" s="24"/>
      <c r="R311" s="26"/>
      <c r="S311" s="14">
        <f t="shared" si="13"/>
        <v>35.84249117</v>
      </c>
      <c r="U311" s="21"/>
      <c r="V311" s="21"/>
    </row>
    <row r="312">
      <c r="A312" s="11">
        <v>300.0</v>
      </c>
      <c r="B312" s="11">
        <v>1.4207E9</v>
      </c>
      <c r="C312" s="2">
        <v>-102.2445602</v>
      </c>
      <c r="D312" s="24">
        <f t="shared" si="1"/>
        <v>300000</v>
      </c>
      <c r="E312" s="25">
        <f t="shared" si="2"/>
        <v>-64.28072925</v>
      </c>
      <c r="F312" s="24">
        <f t="shared" si="3"/>
        <v>0.0002142690975</v>
      </c>
      <c r="G312" s="24">
        <f t="shared" si="4"/>
        <v>0</v>
      </c>
      <c r="H312" s="26">
        <f t="shared" si="5"/>
        <v>0</v>
      </c>
      <c r="I312" s="24">
        <f t="shared" si="6"/>
        <v>0</v>
      </c>
      <c r="J312" s="24">
        <f t="shared" si="7"/>
        <v>0</v>
      </c>
      <c r="K312" s="24"/>
      <c r="L312" s="24">
        <f t="shared" si="8"/>
        <v>453.5760842</v>
      </c>
      <c r="M312" s="14">
        <f t="shared" si="9"/>
        <v>416.4092874</v>
      </c>
      <c r="N312" s="27">
        <f t="shared" si="10"/>
        <v>37.16679687</v>
      </c>
      <c r="O312" s="24"/>
      <c r="P312" s="24"/>
      <c r="Q312" s="24"/>
      <c r="R312" s="26"/>
      <c r="S312" s="14">
        <f t="shared" si="13"/>
        <v>34.13012583</v>
      </c>
      <c r="U312" s="21"/>
      <c r="V312" s="21"/>
    </row>
    <row r="313">
      <c r="A313" s="11">
        <v>301.0</v>
      </c>
      <c r="B313" s="11">
        <v>1.42070434782608E9</v>
      </c>
      <c r="C313" s="2">
        <v>-102.2490997</v>
      </c>
      <c r="D313" s="24">
        <f t="shared" si="1"/>
        <v>304347.8261</v>
      </c>
      <c r="E313" s="25">
        <f t="shared" si="2"/>
        <v>-65.19902538</v>
      </c>
      <c r="F313" s="24">
        <f t="shared" si="3"/>
        <v>0.0002142253691</v>
      </c>
      <c r="G313" s="24">
        <f t="shared" si="4"/>
        <v>0</v>
      </c>
      <c r="H313" s="26">
        <f t="shared" si="5"/>
        <v>0</v>
      </c>
      <c r="I313" s="24">
        <f t="shared" si="6"/>
        <v>0</v>
      </c>
      <c r="J313" s="24">
        <f t="shared" si="7"/>
        <v>0</v>
      </c>
      <c r="K313" s="24"/>
      <c r="L313" s="24">
        <f t="shared" si="8"/>
        <v>453.1022277</v>
      </c>
      <c r="M313" s="14">
        <f t="shared" si="9"/>
        <v>416.3286657</v>
      </c>
      <c r="N313" s="27">
        <f t="shared" si="10"/>
        <v>36.77356196</v>
      </c>
      <c r="O313" s="24"/>
      <c r="P313" s="24"/>
      <c r="Q313" s="24"/>
      <c r="R313" s="26"/>
      <c r="S313" s="14">
        <f t="shared" si="13"/>
        <v>33.76901974</v>
      </c>
      <c r="U313" s="21"/>
      <c r="V313" s="21"/>
    </row>
    <row r="314">
      <c r="A314" s="11">
        <v>302.0</v>
      </c>
      <c r="B314" s="11">
        <v>1.42070869565217E9</v>
      </c>
      <c r="C314" s="2">
        <v>-102.1629486</v>
      </c>
      <c r="D314" s="24">
        <f t="shared" si="1"/>
        <v>308695.6522</v>
      </c>
      <c r="E314" s="25">
        <f t="shared" si="2"/>
        <v>-66.11732151</v>
      </c>
      <c r="F314" s="24">
        <f t="shared" si="3"/>
        <v>0.0002141828725</v>
      </c>
      <c r="G314" s="24">
        <f t="shared" si="4"/>
        <v>0</v>
      </c>
      <c r="H314" s="26">
        <f t="shared" si="5"/>
        <v>0</v>
      </c>
      <c r="I314" s="24">
        <f t="shared" si="6"/>
        <v>0</v>
      </c>
      <c r="J314" s="24">
        <f t="shared" si="7"/>
        <v>0</v>
      </c>
      <c r="K314" s="24"/>
      <c r="L314" s="24">
        <f t="shared" si="8"/>
        <v>462.1801694</v>
      </c>
      <c r="M314" s="14">
        <f t="shared" si="9"/>
        <v>416.2478934</v>
      </c>
      <c r="N314" s="27">
        <f t="shared" si="10"/>
        <v>45.93227599</v>
      </c>
      <c r="O314" s="24"/>
      <c r="P314" s="24"/>
      <c r="Q314" s="24"/>
      <c r="R314" s="26"/>
      <c r="S314" s="14">
        <f t="shared" si="13"/>
        <v>42.17943131</v>
      </c>
      <c r="U314" s="21"/>
      <c r="V314" s="21"/>
    </row>
    <row r="315">
      <c r="A315" s="11">
        <v>303.0</v>
      </c>
      <c r="B315" s="11">
        <v>1.42071304347826E9</v>
      </c>
      <c r="C315" s="2">
        <v>-102.274231</v>
      </c>
      <c r="D315" s="24">
        <f t="shared" si="1"/>
        <v>313043.4783</v>
      </c>
      <c r="E315" s="25">
        <f t="shared" si="2"/>
        <v>-67.03561764</v>
      </c>
      <c r="F315" s="24">
        <f t="shared" si="3"/>
        <v>0.0002141415564</v>
      </c>
      <c r="G315" s="24">
        <f t="shared" si="4"/>
        <v>0</v>
      </c>
      <c r="H315" s="26">
        <f t="shared" si="5"/>
        <v>0</v>
      </c>
      <c r="I315" s="24">
        <f t="shared" si="6"/>
        <v>0</v>
      </c>
      <c r="J315" s="24">
        <f t="shared" si="7"/>
        <v>0</v>
      </c>
      <c r="K315" s="24"/>
      <c r="L315" s="24">
        <f t="shared" si="8"/>
        <v>450.4878346</v>
      </c>
      <c r="M315" s="14">
        <f t="shared" si="9"/>
        <v>416.1669687</v>
      </c>
      <c r="N315" s="27">
        <f t="shared" si="10"/>
        <v>34.3208659</v>
      </c>
      <c r="O315" s="24"/>
      <c r="P315" s="24"/>
      <c r="Q315" s="24"/>
      <c r="R315" s="26"/>
      <c r="S315" s="14">
        <f t="shared" si="13"/>
        <v>31.51671843</v>
      </c>
      <c r="U315" s="21"/>
      <c r="V315" s="21"/>
    </row>
    <row r="316">
      <c r="A316" s="11">
        <v>304.0</v>
      </c>
      <c r="B316" s="11">
        <v>1.42071739130434E9</v>
      </c>
      <c r="C316" s="2">
        <v>-102.1977692</v>
      </c>
      <c r="D316" s="24">
        <f t="shared" si="1"/>
        <v>317391.3043</v>
      </c>
      <c r="E316" s="25">
        <f t="shared" si="2"/>
        <v>-67.95391378</v>
      </c>
      <c r="F316" s="24">
        <f t="shared" si="3"/>
        <v>0.0002141013722</v>
      </c>
      <c r="G316" s="24">
        <f t="shared" si="4"/>
        <v>0</v>
      </c>
      <c r="H316" s="26">
        <f t="shared" si="5"/>
        <v>0</v>
      </c>
      <c r="I316" s="24">
        <f t="shared" si="6"/>
        <v>0</v>
      </c>
      <c r="J316" s="24">
        <f t="shared" si="7"/>
        <v>0</v>
      </c>
      <c r="K316" s="24"/>
      <c r="L316" s="24">
        <f t="shared" si="8"/>
        <v>458.489345</v>
      </c>
      <c r="M316" s="14">
        <f t="shared" si="9"/>
        <v>416.0858901</v>
      </c>
      <c r="N316" s="27">
        <f t="shared" si="10"/>
        <v>42.40345487</v>
      </c>
      <c r="O316" s="24"/>
      <c r="P316" s="24"/>
      <c r="Q316" s="24"/>
      <c r="R316" s="26"/>
      <c r="S316" s="14">
        <f t="shared" si="13"/>
        <v>38.93892863</v>
      </c>
      <c r="U316" s="21"/>
      <c r="V316" s="21"/>
    </row>
    <row r="317">
      <c r="A317" s="11">
        <v>305.0</v>
      </c>
      <c r="B317" s="11">
        <v>1.42072173913043E9</v>
      </c>
      <c r="C317" s="2">
        <v>-102.250267</v>
      </c>
      <c r="D317" s="24">
        <f t="shared" si="1"/>
        <v>321739.1304</v>
      </c>
      <c r="E317" s="25">
        <f t="shared" si="2"/>
        <v>-68.87220991</v>
      </c>
      <c r="F317" s="24">
        <f t="shared" si="3"/>
        <v>0.000214062274</v>
      </c>
      <c r="G317" s="24">
        <f t="shared" si="4"/>
        <v>0</v>
      </c>
      <c r="H317" s="26">
        <f t="shared" si="5"/>
        <v>0</v>
      </c>
      <c r="I317" s="24">
        <f t="shared" si="6"/>
        <v>0</v>
      </c>
      <c r="J317" s="24">
        <f t="shared" si="7"/>
        <v>0</v>
      </c>
      <c r="K317" s="24"/>
      <c r="L317" s="24">
        <f t="shared" si="8"/>
        <v>452.9804589</v>
      </c>
      <c r="M317" s="14">
        <f t="shared" si="9"/>
        <v>416.0046559</v>
      </c>
      <c r="N317" s="27">
        <f t="shared" si="10"/>
        <v>36.97580292</v>
      </c>
      <c r="O317" s="24"/>
      <c r="P317" s="24"/>
      <c r="Q317" s="24"/>
      <c r="R317" s="26"/>
      <c r="S317" s="14">
        <f t="shared" si="13"/>
        <v>33.95473675</v>
      </c>
      <c r="U317" s="21"/>
      <c r="V317" s="21"/>
    </row>
    <row r="318">
      <c r="A318" s="11">
        <v>306.0</v>
      </c>
      <c r="B318" s="11">
        <v>1.42072608695652E9</v>
      </c>
      <c r="C318" s="2">
        <v>-102.2801819</v>
      </c>
      <c r="D318" s="24">
        <f t="shared" si="1"/>
        <v>326086.9565</v>
      </c>
      <c r="E318" s="25">
        <f t="shared" si="2"/>
        <v>-69.79050604</v>
      </c>
      <c r="F318" s="24">
        <f t="shared" si="3"/>
        <v>0.0002140242185</v>
      </c>
      <c r="G318" s="24">
        <f t="shared" si="4"/>
        <v>0</v>
      </c>
      <c r="H318" s="26">
        <f t="shared" si="5"/>
        <v>0</v>
      </c>
      <c r="I318" s="24">
        <f t="shared" si="6"/>
        <v>0</v>
      </c>
      <c r="J318" s="24">
        <f t="shared" si="7"/>
        <v>0</v>
      </c>
      <c r="K318" s="24"/>
      <c r="L318" s="24">
        <f t="shared" si="8"/>
        <v>449.8709785</v>
      </c>
      <c r="M318" s="14">
        <f t="shared" si="9"/>
        <v>415.9232646</v>
      </c>
      <c r="N318" s="27">
        <f t="shared" si="10"/>
        <v>33.94771386</v>
      </c>
      <c r="O318" s="24"/>
      <c r="P318" s="24"/>
      <c r="Q318" s="24"/>
      <c r="R318" s="26"/>
      <c r="S318" s="14">
        <f t="shared" si="13"/>
        <v>31.17405436</v>
      </c>
      <c r="U318" s="21"/>
      <c r="V318" s="21"/>
    </row>
    <row r="319">
      <c r="A319" s="11">
        <v>307.0</v>
      </c>
      <c r="B319" s="11">
        <v>1.4207304347826E9</v>
      </c>
      <c r="C319" s="2">
        <v>-102.3373489</v>
      </c>
      <c r="D319" s="24">
        <f t="shared" si="1"/>
        <v>330434.7826</v>
      </c>
      <c r="E319" s="25">
        <f t="shared" si="2"/>
        <v>-70.70880217</v>
      </c>
      <c r="F319" s="24">
        <f t="shared" si="3"/>
        <v>0.0002139871645</v>
      </c>
      <c r="G319" s="24">
        <f t="shared" si="4"/>
        <v>0</v>
      </c>
      <c r="H319" s="26">
        <f t="shared" si="5"/>
        <v>0</v>
      </c>
      <c r="I319" s="24">
        <f t="shared" si="6"/>
        <v>0</v>
      </c>
      <c r="J319" s="24">
        <f t="shared" si="7"/>
        <v>0</v>
      </c>
      <c r="K319" s="24"/>
      <c r="L319" s="24">
        <f t="shared" si="8"/>
        <v>443.9880461</v>
      </c>
      <c r="M319" s="14">
        <f t="shared" si="9"/>
        <v>415.8417144</v>
      </c>
      <c r="N319" s="27">
        <f t="shared" si="10"/>
        <v>28.14633169</v>
      </c>
      <c r="O319" s="24"/>
      <c r="P319" s="24"/>
      <c r="Q319" s="24"/>
      <c r="R319" s="26"/>
      <c r="S319" s="14">
        <f t="shared" si="13"/>
        <v>25.84666755</v>
      </c>
      <c r="U319" s="21"/>
      <c r="V319" s="21"/>
    </row>
    <row r="320">
      <c r="A320" s="11">
        <v>308.0</v>
      </c>
      <c r="B320" s="11">
        <v>1.42073478260869E9</v>
      </c>
      <c r="C320" s="2">
        <v>-102.3520813</v>
      </c>
      <c r="D320" s="24">
        <f t="shared" si="1"/>
        <v>334782.6087</v>
      </c>
      <c r="E320" s="25">
        <f t="shared" si="2"/>
        <v>-71.62709831</v>
      </c>
      <c r="F320" s="24">
        <f t="shared" si="3"/>
        <v>0.0002139510729</v>
      </c>
      <c r="G320" s="24">
        <f t="shared" si="4"/>
        <v>0</v>
      </c>
      <c r="H320" s="26">
        <f t="shared" si="5"/>
        <v>0</v>
      </c>
      <c r="I320" s="24">
        <f t="shared" si="6"/>
        <v>0</v>
      </c>
      <c r="J320" s="24">
        <f t="shared" si="7"/>
        <v>0</v>
      </c>
      <c r="K320" s="24"/>
      <c r="L320" s="24">
        <f t="shared" si="8"/>
        <v>442.4844747</v>
      </c>
      <c r="M320" s="14">
        <f t="shared" si="9"/>
        <v>415.7600038</v>
      </c>
      <c r="N320" s="27">
        <f t="shared" si="10"/>
        <v>26.7244709</v>
      </c>
      <c r="O320" s="24"/>
      <c r="P320" s="24"/>
      <c r="Q320" s="24"/>
      <c r="R320" s="26"/>
      <c r="S320" s="14">
        <f t="shared" si="13"/>
        <v>24.54097828</v>
      </c>
      <c r="U320" s="21"/>
      <c r="V320" s="21"/>
    </row>
    <row r="321">
      <c r="A321" s="11">
        <v>309.0</v>
      </c>
      <c r="B321" s="11">
        <v>1.42073913043478E9</v>
      </c>
      <c r="C321" s="2">
        <v>-102.3264084</v>
      </c>
      <c r="D321" s="24">
        <f t="shared" si="1"/>
        <v>339130.4348</v>
      </c>
      <c r="E321" s="25">
        <f t="shared" si="2"/>
        <v>-72.54539444</v>
      </c>
      <c r="F321" s="24">
        <f t="shared" si="3"/>
        <v>0.0002139159067</v>
      </c>
      <c r="G321" s="24">
        <f t="shared" si="4"/>
        <v>0</v>
      </c>
      <c r="H321" s="26">
        <f t="shared" si="5"/>
        <v>0</v>
      </c>
      <c r="I321" s="24">
        <f t="shared" si="6"/>
        <v>0</v>
      </c>
      <c r="J321" s="24">
        <f t="shared" si="7"/>
        <v>0</v>
      </c>
      <c r="K321" s="24"/>
      <c r="L321" s="24">
        <f t="shared" si="8"/>
        <v>445.1079256</v>
      </c>
      <c r="M321" s="14">
        <f t="shared" si="9"/>
        <v>415.6781311</v>
      </c>
      <c r="N321" s="27">
        <f t="shared" si="10"/>
        <v>29.42979442</v>
      </c>
      <c r="O321" s="24"/>
      <c r="P321" s="24"/>
      <c r="Q321" s="24"/>
      <c r="R321" s="26"/>
      <c r="S321" s="14">
        <f t="shared" si="13"/>
        <v>27.02526635</v>
      </c>
      <c r="U321" s="21"/>
      <c r="V321" s="21"/>
    </row>
    <row r="322">
      <c r="A322" s="11">
        <v>310.0</v>
      </c>
      <c r="B322" s="11">
        <v>1.42074347826087E9</v>
      </c>
      <c r="C322" s="2">
        <v>-102.3642349</v>
      </c>
      <c r="D322" s="24">
        <f t="shared" si="1"/>
        <v>343478.2609</v>
      </c>
      <c r="E322" s="25">
        <f t="shared" si="2"/>
        <v>-73.46369057</v>
      </c>
      <c r="F322" s="24">
        <f t="shared" si="3"/>
        <v>0.0002138816308</v>
      </c>
      <c r="G322" s="24">
        <f t="shared" si="4"/>
        <v>0</v>
      </c>
      <c r="H322" s="26">
        <f t="shared" si="5"/>
        <v>0</v>
      </c>
      <c r="I322" s="24">
        <f t="shared" si="6"/>
        <v>0</v>
      </c>
      <c r="J322" s="24">
        <f t="shared" si="7"/>
        <v>0</v>
      </c>
      <c r="K322" s="24"/>
      <c r="L322" s="24">
        <f t="shared" si="8"/>
        <v>441.2479263</v>
      </c>
      <c r="M322" s="14">
        <f t="shared" si="9"/>
        <v>415.5960948</v>
      </c>
      <c r="N322" s="27">
        <f t="shared" si="10"/>
        <v>25.65183151</v>
      </c>
      <c r="O322" s="24"/>
      <c r="P322" s="24"/>
      <c r="Q322" s="24"/>
      <c r="R322" s="26"/>
      <c r="S322" s="14">
        <f t="shared" si="13"/>
        <v>23.55597768</v>
      </c>
      <c r="U322" s="21"/>
      <c r="V322" s="21"/>
    </row>
    <row r="323">
      <c r="A323" s="11">
        <v>311.0</v>
      </c>
      <c r="B323" s="11">
        <v>1.42074782608695E9</v>
      </c>
      <c r="C323" s="2">
        <v>-102.4098587</v>
      </c>
      <c r="D323" s="24">
        <f t="shared" si="1"/>
        <v>347826.087</v>
      </c>
      <c r="E323" s="25">
        <f t="shared" si="2"/>
        <v>-74.3819867</v>
      </c>
      <c r="F323" s="24">
        <f t="shared" si="3"/>
        <v>0.0002138482118</v>
      </c>
      <c r="G323" s="24">
        <f t="shared" si="4"/>
        <v>0</v>
      </c>
      <c r="H323" s="26">
        <f t="shared" si="5"/>
        <v>0</v>
      </c>
      <c r="I323" s="24">
        <f t="shared" si="6"/>
        <v>0</v>
      </c>
      <c r="J323" s="24">
        <f t="shared" si="7"/>
        <v>0</v>
      </c>
      <c r="K323" s="24"/>
      <c r="L323" s="24">
        <f t="shared" si="8"/>
        <v>436.6367617</v>
      </c>
      <c r="M323" s="14">
        <f t="shared" si="9"/>
        <v>415.5138931</v>
      </c>
      <c r="N323" s="27">
        <f t="shared" si="10"/>
        <v>21.12286856</v>
      </c>
      <c r="O323" s="24"/>
      <c r="P323" s="24"/>
      <c r="Q323" s="24"/>
      <c r="R323" s="26"/>
      <c r="S323" s="14">
        <f t="shared" si="13"/>
        <v>19.39704851</v>
      </c>
      <c r="U323" s="21"/>
      <c r="V323" s="21"/>
    </row>
    <row r="324">
      <c r="A324" s="11">
        <v>312.0</v>
      </c>
      <c r="B324" s="11">
        <v>1.42075217391304E9</v>
      </c>
      <c r="C324" s="2">
        <v>-102.3616714</v>
      </c>
      <c r="D324" s="24">
        <f t="shared" si="1"/>
        <v>352173.913</v>
      </c>
      <c r="E324" s="25">
        <f t="shared" si="2"/>
        <v>-75.30028284</v>
      </c>
      <c r="F324" s="24">
        <f t="shared" si="3"/>
        <v>0.0002138156179</v>
      </c>
      <c r="G324" s="24">
        <f t="shared" si="4"/>
        <v>0</v>
      </c>
      <c r="H324" s="26">
        <f t="shared" si="5"/>
        <v>0</v>
      </c>
      <c r="I324" s="24">
        <f t="shared" si="6"/>
        <v>0</v>
      </c>
      <c r="J324" s="24">
        <f t="shared" si="7"/>
        <v>0</v>
      </c>
      <c r="K324" s="24"/>
      <c r="L324" s="24">
        <f t="shared" si="8"/>
        <v>441.5084576</v>
      </c>
      <c r="M324" s="14">
        <f t="shared" si="9"/>
        <v>415.4315245</v>
      </c>
      <c r="N324" s="27">
        <f t="shared" si="10"/>
        <v>26.07693308</v>
      </c>
      <c r="O324" s="24"/>
      <c r="P324" s="24"/>
      <c r="Q324" s="24"/>
      <c r="R324" s="26"/>
      <c r="S324" s="14">
        <f t="shared" si="13"/>
        <v>23.94634674</v>
      </c>
      <c r="U324" s="21"/>
      <c r="V324" s="21"/>
    </row>
    <row r="325">
      <c r="A325" s="11">
        <v>313.0</v>
      </c>
      <c r="B325" s="11">
        <v>1.42075652173913E9</v>
      </c>
      <c r="C325" s="2">
        <v>-102.3997192</v>
      </c>
      <c r="D325" s="24">
        <f t="shared" si="1"/>
        <v>356521.7391</v>
      </c>
      <c r="E325" s="25">
        <f t="shared" si="2"/>
        <v>-76.21857897</v>
      </c>
      <c r="F325" s="24">
        <f t="shared" si="3"/>
        <v>0.0002137838191</v>
      </c>
      <c r="G325" s="24">
        <f t="shared" si="4"/>
        <v>0</v>
      </c>
      <c r="H325" s="26">
        <f t="shared" si="5"/>
        <v>0</v>
      </c>
      <c r="I325" s="24">
        <f t="shared" si="6"/>
        <v>0</v>
      </c>
      <c r="J325" s="24">
        <f t="shared" si="7"/>
        <v>0</v>
      </c>
      <c r="K325" s="24"/>
      <c r="L325" s="24">
        <f t="shared" si="8"/>
        <v>437.6573712</v>
      </c>
      <c r="M325" s="14">
        <f t="shared" si="9"/>
        <v>415.3489873</v>
      </c>
      <c r="N325" s="27">
        <f t="shared" si="10"/>
        <v>22.30838383</v>
      </c>
      <c r="O325" s="24"/>
      <c r="P325" s="24"/>
      <c r="Q325" s="24"/>
      <c r="R325" s="26"/>
      <c r="S325" s="14">
        <f t="shared" si="13"/>
        <v>20.4857026</v>
      </c>
      <c r="U325" s="21"/>
      <c r="V325" s="21"/>
    </row>
    <row r="326">
      <c r="A326" s="11">
        <v>314.0</v>
      </c>
      <c r="B326" s="11">
        <v>1.42076086956521E9</v>
      </c>
      <c r="C326" s="2">
        <v>-102.4510727</v>
      </c>
      <c r="D326" s="24">
        <f t="shared" si="1"/>
        <v>360869.5652</v>
      </c>
      <c r="E326" s="25">
        <f t="shared" si="2"/>
        <v>-77.1368751</v>
      </c>
      <c r="F326" s="24">
        <f t="shared" si="3"/>
        <v>0.0002137527864</v>
      </c>
      <c r="G326" s="24">
        <f t="shared" si="4"/>
        <v>0</v>
      </c>
      <c r="H326" s="26">
        <f t="shared" si="5"/>
        <v>0</v>
      </c>
      <c r="I326" s="24">
        <f t="shared" si="6"/>
        <v>0</v>
      </c>
      <c r="J326" s="24">
        <f t="shared" si="7"/>
        <v>0</v>
      </c>
      <c r="K326" s="24"/>
      <c r="L326" s="24">
        <f t="shared" si="8"/>
        <v>432.5127329</v>
      </c>
      <c r="M326" s="14">
        <f t="shared" si="9"/>
        <v>415.26628</v>
      </c>
      <c r="N326" s="27">
        <f t="shared" si="10"/>
        <v>17.24645298</v>
      </c>
      <c r="O326" s="24"/>
      <c r="P326" s="24"/>
      <c r="Q326" s="24"/>
      <c r="R326" s="26"/>
      <c r="S326" s="14">
        <f t="shared" si="13"/>
        <v>15.83735107</v>
      </c>
      <c r="U326" s="21"/>
      <c r="V326" s="21"/>
    </row>
    <row r="327">
      <c r="A327" s="11">
        <v>315.0</v>
      </c>
      <c r="B327" s="11">
        <v>1.4207652173913E9</v>
      </c>
      <c r="C327" s="2">
        <v>-102.4476395</v>
      </c>
      <c r="D327" s="24">
        <f t="shared" si="1"/>
        <v>365217.3913</v>
      </c>
      <c r="E327" s="25">
        <f t="shared" si="2"/>
        <v>-78.05517123</v>
      </c>
      <c r="F327" s="24">
        <f t="shared" si="3"/>
        <v>0.0002137224927</v>
      </c>
      <c r="G327" s="24">
        <f t="shared" si="4"/>
        <v>0</v>
      </c>
      <c r="H327" s="26">
        <f t="shared" si="5"/>
        <v>0</v>
      </c>
      <c r="I327" s="24">
        <f t="shared" si="6"/>
        <v>0</v>
      </c>
      <c r="J327" s="24">
        <f t="shared" si="7"/>
        <v>0</v>
      </c>
      <c r="K327" s="24"/>
      <c r="L327" s="24">
        <f t="shared" si="8"/>
        <v>432.8547796</v>
      </c>
      <c r="M327" s="14">
        <f t="shared" si="9"/>
        <v>415.1834008</v>
      </c>
      <c r="N327" s="27">
        <f t="shared" si="10"/>
        <v>17.67137882</v>
      </c>
      <c r="O327" s="24"/>
      <c r="P327" s="24"/>
      <c r="Q327" s="24"/>
      <c r="R327" s="26"/>
      <c r="S327" s="14">
        <f t="shared" si="13"/>
        <v>16.22755879</v>
      </c>
      <c r="U327" s="21"/>
      <c r="V327" s="21"/>
    </row>
    <row r="328">
      <c r="A328" s="11">
        <v>316.0</v>
      </c>
      <c r="B328" s="11">
        <v>1.42076956521739E9</v>
      </c>
      <c r="C328" s="2">
        <v>-102.4754562</v>
      </c>
      <c r="D328" s="24">
        <f t="shared" si="1"/>
        <v>369565.2174</v>
      </c>
      <c r="E328" s="25">
        <f t="shared" si="2"/>
        <v>-78.97346736</v>
      </c>
      <c r="F328" s="24">
        <f t="shared" si="3"/>
        <v>0.0002136929117</v>
      </c>
      <c r="G328" s="24">
        <f t="shared" si="4"/>
        <v>0</v>
      </c>
      <c r="H328" s="26">
        <f t="shared" si="5"/>
        <v>0</v>
      </c>
      <c r="I328" s="24">
        <f t="shared" si="6"/>
        <v>0</v>
      </c>
      <c r="J328" s="24">
        <f t="shared" si="7"/>
        <v>0</v>
      </c>
      <c r="K328" s="24"/>
      <c r="L328" s="24">
        <f t="shared" si="8"/>
        <v>430.0911908</v>
      </c>
      <c r="M328" s="14">
        <f t="shared" si="9"/>
        <v>415.1003482</v>
      </c>
      <c r="N328" s="27">
        <f t="shared" si="10"/>
        <v>14.99084266</v>
      </c>
      <c r="O328" s="24"/>
      <c r="P328" s="24"/>
      <c r="Q328" s="24"/>
      <c r="R328" s="26"/>
      <c r="S328" s="14">
        <f t="shared" si="13"/>
        <v>13.76603284</v>
      </c>
      <c r="U328" s="21"/>
      <c r="V328" s="21"/>
    </row>
    <row r="329">
      <c r="A329" s="11">
        <v>317.0</v>
      </c>
      <c r="B329" s="11">
        <v>1.42077391304347E9</v>
      </c>
      <c r="C329" s="2">
        <v>-102.5221558</v>
      </c>
      <c r="D329" s="24">
        <f t="shared" si="1"/>
        <v>373913.0435</v>
      </c>
      <c r="E329" s="25">
        <f t="shared" si="2"/>
        <v>-79.89176349</v>
      </c>
      <c r="F329" s="24">
        <f t="shared" si="3"/>
        <v>0.0002136640187</v>
      </c>
      <c r="G329" s="24">
        <f t="shared" si="4"/>
        <v>0</v>
      </c>
      <c r="H329" s="26">
        <f t="shared" si="5"/>
        <v>0</v>
      </c>
      <c r="I329" s="24">
        <f t="shared" si="6"/>
        <v>0</v>
      </c>
      <c r="J329" s="24">
        <f t="shared" si="7"/>
        <v>0</v>
      </c>
      <c r="K329" s="24"/>
      <c r="L329" s="24">
        <f t="shared" si="8"/>
        <v>425.4912048</v>
      </c>
      <c r="M329" s="14">
        <f t="shared" si="9"/>
        <v>415.0171205</v>
      </c>
      <c r="N329" s="27">
        <f t="shared" si="10"/>
        <v>10.47408434</v>
      </c>
      <c r="O329" s="24"/>
      <c r="P329" s="24"/>
      <c r="Q329" s="24"/>
      <c r="R329" s="26"/>
      <c r="S329" s="14">
        <f t="shared" si="13"/>
        <v>9.618311146</v>
      </c>
      <c r="U329" s="21"/>
      <c r="V329" s="21"/>
    </row>
    <row r="330">
      <c r="A330" s="11">
        <v>318.0</v>
      </c>
      <c r="B330" s="11">
        <v>1.42077826086956E9</v>
      </c>
      <c r="C330" s="2">
        <v>-102.4623566</v>
      </c>
      <c r="D330" s="24">
        <f t="shared" si="1"/>
        <v>378260.8696</v>
      </c>
      <c r="E330" s="25">
        <f t="shared" si="2"/>
        <v>-80.81005963</v>
      </c>
      <c r="F330" s="24">
        <f t="shared" si="3"/>
        <v>0.0002136357898</v>
      </c>
      <c r="G330" s="24">
        <f t="shared" si="4"/>
        <v>0</v>
      </c>
      <c r="H330" s="26">
        <f t="shared" si="5"/>
        <v>0</v>
      </c>
      <c r="I330" s="24">
        <f t="shared" si="6"/>
        <v>0</v>
      </c>
      <c r="J330" s="24">
        <f t="shared" si="7"/>
        <v>0</v>
      </c>
      <c r="K330" s="24"/>
      <c r="L330" s="24">
        <f t="shared" si="8"/>
        <v>431.3904309</v>
      </c>
      <c r="M330" s="14">
        <f t="shared" si="9"/>
        <v>414.9337161</v>
      </c>
      <c r="N330" s="27">
        <f t="shared" si="10"/>
        <v>16.45671479</v>
      </c>
      <c r="O330" s="24"/>
      <c r="P330" s="24"/>
      <c r="Q330" s="24"/>
      <c r="R330" s="26"/>
      <c r="S330" s="14">
        <f t="shared" si="13"/>
        <v>15.11213752</v>
      </c>
      <c r="U330" s="21"/>
      <c r="V330" s="21"/>
    </row>
    <row r="331">
      <c r="A331" s="11">
        <v>319.0</v>
      </c>
      <c r="B331" s="11">
        <v>1.42078260869565E9</v>
      </c>
      <c r="C331" s="2">
        <v>-102.5054169</v>
      </c>
      <c r="D331" s="24">
        <f t="shared" si="1"/>
        <v>382608.6957</v>
      </c>
      <c r="E331" s="25">
        <f t="shared" si="2"/>
        <v>-81.72835576</v>
      </c>
      <c r="F331" s="24">
        <f t="shared" si="3"/>
        <v>0.0002136082026</v>
      </c>
      <c r="G331" s="24">
        <f t="shared" si="4"/>
        <v>0</v>
      </c>
      <c r="H331" s="26">
        <f t="shared" si="5"/>
        <v>0</v>
      </c>
      <c r="I331" s="24">
        <f t="shared" si="6"/>
        <v>0</v>
      </c>
      <c r="J331" s="24">
        <f t="shared" si="7"/>
        <v>0</v>
      </c>
      <c r="K331" s="24"/>
      <c r="L331" s="24">
        <f t="shared" si="8"/>
        <v>427.1343291</v>
      </c>
      <c r="M331" s="14">
        <f t="shared" si="9"/>
        <v>414.8501335</v>
      </c>
      <c r="N331" s="27">
        <f t="shared" si="10"/>
        <v>12.28419563</v>
      </c>
      <c r="O331" s="24"/>
      <c r="P331" s="24"/>
      <c r="Q331" s="24"/>
      <c r="R331" s="26"/>
      <c r="S331" s="14">
        <f t="shared" si="13"/>
        <v>11.28052934</v>
      </c>
      <c r="U331" s="21"/>
      <c r="V331" s="21"/>
    </row>
    <row r="332">
      <c r="A332" s="11">
        <v>320.0</v>
      </c>
      <c r="B332" s="11">
        <v>1.42078695652173E9</v>
      </c>
      <c r="C332" s="2">
        <v>-102.4437408</v>
      </c>
      <c r="D332" s="24">
        <f t="shared" si="1"/>
        <v>386956.5217</v>
      </c>
      <c r="E332" s="25">
        <f t="shared" si="2"/>
        <v>-82.64665189</v>
      </c>
      <c r="F332" s="24">
        <f t="shared" si="3"/>
        <v>0.0002135812352</v>
      </c>
      <c r="G332" s="24">
        <f t="shared" si="4"/>
        <v>0</v>
      </c>
      <c r="H332" s="26">
        <f t="shared" si="5"/>
        <v>0</v>
      </c>
      <c r="I332" s="24">
        <f t="shared" si="6"/>
        <v>0</v>
      </c>
      <c r="J332" s="24">
        <f t="shared" si="7"/>
        <v>0</v>
      </c>
      <c r="K332" s="24"/>
      <c r="L332" s="24">
        <f t="shared" si="8"/>
        <v>433.2435316</v>
      </c>
      <c r="M332" s="14">
        <f t="shared" si="9"/>
        <v>414.7663708</v>
      </c>
      <c r="N332" s="27">
        <f t="shared" si="10"/>
        <v>18.4771608</v>
      </c>
      <c r="O332" s="24"/>
      <c r="P332" s="24"/>
      <c r="Q332" s="24"/>
      <c r="R332" s="26"/>
      <c r="S332" s="14">
        <f t="shared" si="13"/>
        <v>16.9675053</v>
      </c>
      <c r="U332" s="21"/>
      <c r="V332" s="21"/>
    </row>
    <row r="333">
      <c r="A333" s="11">
        <v>321.0</v>
      </c>
      <c r="B333" s="11">
        <v>1.42079130434782E9</v>
      </c>
      <c r="C333" s="2">
        <v>-102.4882507</v>
      </c>
      <c r="D333" s="24">
        <f t="shared" si="1"/>
        <v>391304.3478</v>
      </c>
      <c r="E333" s="25">
        <f t="shared" si="2"/>
        <v>-83.56494802</v>
      </c>
      <c r="F333" s="24">
        <f t="shared" si="3"/>
        <v>0.0002135548672</v>
      </c>
      <c r="G333" s="24">
        <f t="shared" si="4"/>
        <v>0</v>
      </c>
      <c r="H333" s="26">
        <f t="shared" si="5"/>
        <v>0</v>
      </c>
      <c r="I333" s="24">
        <f t="shared" si="6"/>
        <v>0</v>
      </c>
      <c r="J333" s="24">
        <f t="shared" si="7"/>
        <v>0</v>
      </c>
      <c r="K333" s="24"/>
      <c r="L333" s="24">
        <f t="shared" si="8"/>
        <v>428.8259885</v>
      </c>
      <c r="M333" s="14">
        <f t="shared" si="9"/>
        <v>414.6824267</v>
      </c>
      <c r="N333" s="27">
        <f t="shared" si="10"/>
        <v>14.14356182</v>
      </c>
      <c r="O333" s="24"/>
      <c r="P333" s="24"/>
      <c r="Q333" s="24"/>
      <c r="R333" s="26"/>
      <c r="S333" s="14">
        <f t="shared" si="13"/>
        <v>12.98797812</v>
      </c>
      <c r="U333" s="21"/>
      <c r="V333" s="21"/>
    </row>
    <row r="334">
      <c r="A334" s="11">
        <v>322.0</v>
      </c>
      <c r="B334" s="11">
        <v>1.42079565217391E9</v>
      </c>
      <c r="C334" s="2">
        <v>-102.5273209</v>
      </c>
      <c r="D334" s="24">
        <f t="shared" si="1"/>
        <v>395652.1739</v>
      </c>
      <c r="E334" s="25">
        <f t="shared" si="2"/>
        <v>-84.48324416</v>
      </c>
      <c r="F334" s="24">
        <f t="shared" si="3"/>
        <v>0.0002135290786</v>
      </c>
      <c r="G334" s="24">
        <f t="shared" si="4"/>
        <v>0</v>
      </c>
      <c r="H334" s="26">
        <f t="shared" si="5"/>
        <v>0</v>
      </c>
      <c r="I334" s="24">
        <f t="shared" si="6"/>
        <v>0</v>
      </c>
      <c r="J334" s="24">
        <f t="shared" si="7"/>
        <v>0</v>
      </c>
      <c r="K334" s="24"/>
      <c r="L334" s="24">
        <f t="shared" si="8"/>
        <v>424.9854654</v>
      </c>
      <c r="M334" s="14">
        <f t="shared" si="9"/>
        <v>414.5982993</v>
      </c>
      <c r="N334" s="27">
        <f t="shared" si="10"/>
        <v>10.38716614</v>
      </c>
      <c r="O334" s="24"/>
      <c r="P334" s="24"/>
      <c r="Q334" s="24"/>
      <c r="R334" s="26"/>
      <c r="S334" s="14">
        <f t="shared" si="13"/>
        <v>9.538494477</v>
      </c>
      <c r="U334" s="21"/>
      <c r="V334" s="21"/>
    </row>
    <row r="335">
      <c r="A335" s="11">
        <v>323.0</v>
      </c>
      <c r="B335" s="11">
        <v>1.4208E9</v>
      </c>
      <c r="C335" s="2">
        <v>-102.4907913</v>
      </c>
      <c r="D335" s="24">
        <f t="shared" si="1"/>
        <v>400000</v>
      </c>
      <c r="E335" s="25">
        <f t="shared" si="2"/>
        <v>-85.40154029</v>
      </c>
      <c r="F335" s="24">
        <f t="shared" si="3"/>
        <v>0.0002135038507</v>
      </c>
      <c r="G335" s="24">
        <f t="shared" si="4"/>
        <v>0</v>
      </c>
      <c r="H335" s="26">
        <f t="shared" si="5"/>
        <v>0</v>
      </c>
      <c r="I335" s="24">
        <f t="shared" si="6"/>
        <v>0</v>
      </c>
      <c r="J335" s="24">
        <f t="shared" si="7"/>
        <v>0</v>
      </c>
      <c r="K335" s="24"/>
      <c r="L335" s="24">
        <f t="shared" si="8"/>
        <v>428.5752009</v>
      </c>
      <c r="M335" s="14">
        <f t="shared" si="9"/>
        <v>414.5139871</v>
      </c>
      <c r="N335" s="27">
        <f t="shared" si="10"/>
        <v>14.06121376</v>
      </c>
      <c r="O335" s="24"/>
      <c r="P335" s="24"/>
      <c r="Q335" s="24"/>
      <c r="R335" s="26"/>
      <c r="S335" s="14">
        <f t="shared" si="13"/>
        <v>12.91235822</v>
      </c>
      <c r="U335" s="21"/>
      <c r="V335" s="21"/>
    </row>
    <row r="336">
      <c r="A336" s="11">
        <v>324.0</v>
      </c>
      <c r="B336" s="11">
        <v>1.42080434782608E9</v>
      </c>
      <c r="C336" s="2">
        <v>-102.5486069</v>
      </c>
      <c r="D336" s="24">
        <f t="shared" si="1"/>
        <v>404347.8261</v>
      </c>
      <c r="E336" s="25">
        <f t="shared" si="2"/>
        <v>-86.31983642</v>
      </c>
      <c r="F336" s="24">
        <f t="shared" si="3"/>
        <v>0.0002134791653</v>
      </c>
      <c r="G336" s="24">
        <f t="shared" si="4"/>
        <v>0</v>
      </c>
      <c r="H336" s="26">
        <f t="shared" si="5"/>
        <v>0</v>
      </c>
      <c r="I336" s="24">
        <f t="shared" si="6"/>
        <v>0</v>
      </c>
      <c r="J336" s="24">
        <f t="shared" si="7"/>
        <v>0</v>
      </c>
      <c r="K336" s="24"/>
      <c r="L336" s="24">
        <f t="shared" si="8"/>
        <v>422.9075879</v>
      </c>
      <c r="M336" s="14">
        <f t="shared" si="9"/>
        <v>414.4294885</v>
      </c>
      <c r="N336" s="27">
        <f t="shared" si="10"/>
        <v>8.478099336</v>
      </c>
      <c r="O336" s="24"/>
      <c r="P336" s="24"/>
      <c r="Q336" s="24"/>
      <c r="R336" s="26"/>
      <c r="S336" s="14">
        <f t="shared" si="13"/>
        <v>7.785405834</v>
      </c>
      <c r="U336" s="21"/>
      <c r="V336" s="21"/>
    </row>
    <row r="337">
      <c r="A337" s="11">
        <v>325.0</v>
      </c>
      <c r="B337" s="11">
        <v>1.42080869565217E9</v>
      </c>
      <c r="C337" s="2">
        <v>-102.5041122</v>
      </c>
      <c r="D337" s="24">
        <f t="shared" si="1"/>
        <v>408695.6522</v>
      </c>
      <c r="E337" s="25">
        <f t="shared" si="2"/>
        <v>-87.23813255</v>
      </c>
      <c r="F337" s="24">
        <f t="shared" si="3"/>
        <v>0.0002134550052</v>
      </c>
      <c r="G337" s="24">
        <f t="shared" si="4"/>
        <v>0</v>
      </c>
      <c r="H337" s="26">
        <f t="shared" si="5"/>
        <v>0</v>
      </c>
      <c r="I337" s="24">
        <f t="shared" si="6"/>
        <v>0</v>
      </c>
      <c r="J337" s="24">
        <f t="shared" si="7"/>
        <v>0</v>
      </c>
      <c r="K337" s="24"/>
      <c r="L337" s="24">
        <f t="shared" si="8"/>
        <v>427.2626673</v>
      </c>
      <c r="M337" s="14">
        <f t="shared" si="9"/>
        <v>414.3448019</v>
      </c>
      <c r="N337" s="27">
        <f t="shared" si="10"/>
        <v>12.91786547</v>
      </c>
      <c r="O337" s="24"/>
      <c r="P337" s="24"/>
      <c r="Q337" s="24"/>
      <c r="R337" s="26"/>
      <c r="S337" s="14">
        <f t="shared" si="13"/>
        <v>11.86242587</v>
      </c>
      <c r="U337" s="21"/>
      <c r="V337" s="21"/>
    </row>
    <row r="338">
      <c r="A338" s="11">
        <v>326.0</v>
      </c>
      <c r="B338" s="11">
        <v>1.42081304347826E9</v>
      </c>
      <c r="C338" s="2">
        <v>-102.5416489</v>
      </c>
      <c r="D338" s="24">
        <f t="shared" si="1"/>
        <v>413043.4783</v>
      </c>
      <c r="E338" s="25">
        <f t="shared" si="2"/>
        <v>-88.15642868</v>
      </c>
      <c r="F338" s="24">
        <f t="shared" si="3"/>
        <v>0.0002134313537</v>
      </c>
      <c r="G338" s="24">
        <f t="shared" si="4"/>
        <v>0</v>
      </c>
      <c r="H338" s="26">
        <f t="shared" si="5"/>
        <v>0</v>
      </c>
      <c r="I338" s="24">
        <f t="shared" si="6"/>
        <v>0</v>
      </c>
      <c r="J338" s="24">
        <f t="shared" si="7"/>
        <v>0</v>
      </c>
      <c r="K338" s="24"/>
      <c r="L338" s="24">
        <f t="shared" si="8"/>
        <v>423.5856875</v>
      </c>
      <c r="M338" s="14">
        <f t="shared" si="9"/>
        <v>414.2599255</v>
      </c>
      <c r="N338" s="27">
        <f t="shared" si="10"/>
        <v>9.325762036</v>
      </c>
      <c r="O338" s="24"/>
      <c r="P338" s="24"/>
      <c r="Q338" s="24"/>
      <c r="R338" s="26"/>
      <c r="S338" s="14">
        <f t="shared" si="13"/>
        <v>8.563811213</v>
      </c>
      <c r="U338" s="21"/>
      <c r="V338" s="21"/>
    </row>
    <row r="339">
      <c r="A339" s="11">
        <v>327.0</v>
      </c>
      <c r="B339" s="11">
        <v>1.42081739130434E9</v>
      </c>
      <c r="C339" s="2">
        <v>-102.5948792</v>
      </c>
      <c r="D339" s="24">
        <f t="shared" si="1"/>
        <v>417391.3043</v>
      </c>
      <c r="E339" s="25">
        <f t="shared" si="2"/>
        <v>-89.07472482</v>
      </c>
      <c r="F339" s="24">
        <f t="shared" si="3"/>
        <v>0.0002134081949</v>
      </c>
      <c r="G339" s="24">
        <f t="shared" si="4"/>
        <v>0</v>
      </c>
      <c r="H339" s="26">
        <f t="shared" si="5"/>
        <v>0</v>
      </c>
      <c r="I339" s="24">
        <f t="shared" si="6"/>
        <v>0</v>
      </c>
      <c r="J339" s="24">
        <f t="shared" si="7"/>
        <v>0</v>
      </c>
      <c r="K339" s="24"/>
      <c r="L339" s="24">
        <f t="shared" si="8"/>
        <v>418.4255998</v>
      </c>
      <c r="M339" s="14">
        <f t="shared" si="9"/>
        <v>414.1748578</v>
      </c>
      <c r="N339" s="27">
        <f t="shared" si="10"/>
        <v>4.250741996</v>
      </c>
      <c r="O339" s="24"/>
      <c r="P339" s="24"/>
      <c r="Q339" s="24"/>
      <c r="R339" s="26"/>
      <c r="S339" s="14">
        <f t="shared" si="13"/>
        <v>3.903439936</v>
      </c>
      <c r="U339" s="21"/>
      <c r="V339" s="21"/>
    </row>
    <row r="340">
      <c r="A340" s="11">
        <v>328.0</v>
      </c>
      <c r="B340" s="11">
        <v>1.42082173913043E9</v>
      </c>
      <c r="C340" s="2">
        <v>-102.5847473</v>
      </c>
      <c r="D340" s="24">
        <f t="shared" si="1"/>
        <v>421739.1304</v>
      </c>
      <c r="E340" s="25">
        <f t="shared" si="2"/>
        <v>-89.99302095</v>
      </c>
      <c r="F340" s="24">
        <f t="shared" si="3"/>
        <v>0.0002133855136</v>
      </c>
      <c r="G340" s="24">
        <f t="shared" si="4"/>
        <v>0</v>
      </c>
      <c r="H340" s="26">
        <f t="shared" si="5"/>
        <v>0</v>
      </c>
      <c r="I340" s="24">
        <f t="shared" si="6"/>
        <v>0</v>
      </c>
      <c r="J340" s="24">
        <f t="shared" si="7"/>
        <v>0</v>
      </c>
      <c r="K340" s="24"/>
      <c r="L340" s="24">
        <f t="shared" si="8"/>
        <v>419.402908</v>
      </c>
      <c r="M340" s="14">
        <f t="shared" si="9"/>
        <v>414.0895972</v>
      </c>
      <c r="N340" s="27">
        <f t="shared" si="10"/>
        <v>5.313310755</v>
      </c>
      <c r="O340" s="24"/>
      <c r="P340" s="24"/>
      <c r="Q340" s="24"/>
      <c r="R340" s="26"/>
      <c r="S340" s="14">
        <f t="shared" si="13"/>
        <v>4.879192707</v>
      </c>
      <c r="U340" s="21"/>
      <c r="V340" s="21"/>
    </row>
    <row r="341">
      <c r="A341" s="11">
        <v>329.0</v>
      </c>
      <c r="B341" s="11">
        <v>1.42082608695652E9</v>
      </c>
      <c r="C341" s="2">
        <v>-102.5956421</v>
      </c>
      <c r="D341" s="24">
        <f t="shared" si="1"/>
        <v>426086.9565</v>
      </c>
      <c r="E341" s="25">
        <f t="shared" si="2"/>
        <v>-90.91131708</v>
      </c>
      <c r="F341" s="24">
        <f t="shared" si="3"/>
        <v>0.0002133632952</v>
      </c>
      <c r="G341" s="24">
        <f t="shared" si="4"/>
        <v>0</v>
      </c>
      <c r="H341" s="26">
        <f t="shared" si="5"/>
        <v>0</v>
      </c>
      <c r="I341" s="24">
        <f t="shared" si="6"/>
        <v>0</v>
      </c>
      <c r="J341" s="24">
        <f t="shared" si="7"/>
        <v>0</v>
      </c>
      <c r="K341" s="24"/>
      <c r="L341" s="24">
        <f t="shared" si="8"/>
        <v>418.3521039</v>
      </c>
      <c r="M341" s="14">
        <f t="shared" si="9"/>
        <v>414.0041421</v>
      </c>
      <c r="N341" s="27">
        <f t="shared" si="10"/>
        <v>4.347961807</v>
      </c>
      <c r="O341" s="24"/>
      <c r="P341" s="24"/>
      <c r="Q341" s="24"/>
      <c r="R341" s="26"/>
      <c r="S341" s="14">
        <f t="shared" si="13"/>
        <v>3.992716513</v>
      </c>
      <c r="U341" s="21"/>
      <c r="V341" s="21"/>
    </row>
    <row r="342">
      <c r="A342" s="11">
        <v>330.0</v>
      </c>
      <c r="B342" s="11">
        <v>1.4208304347826E9</v>
      </c>
      <c r="C342" s="2">
        <v>-102.5671005</v>
      </c>
      <c r="D342" s="24">
        <f t="shared" si="1"/>
        <v>430434.7826</v>
      </c>
      <c r="E342" s="25">
        <f t="shared" si="2"/>
        <v>-91.82961321</v>
      </c>
      <c r="F342" s="24">
        <f t="shared" si="3"/>
        <v>0.0002133415256</v>
      </c>
      <c r="G342" s="24">
        <f t="shared" si="4"/>
        <v>0</v>
      </c>
      <c r="H342" s="26">
        <f t="shared" si="5"/>
        <v>0</v>
      </c>
      <c r="I342" s="24">
        <f t="shared" si="6"/>
        <v>0</v>
      </c>
      <c r="J342" s="24">
        <f t="shared" si="7"/>
        <v>0</v>
      </c>
      <c r="K342" s="24"/>
      <c r="L342" s="24">
        <f t="shared" si="8"/>
        <v>421.1105457</v>
      </c>
      <c r="M342" s="14">
        <f t="shared" si="9"/>
        <v>413.9184907</v>
      </c>
      <c r="N342" s="27">
        <f t="shared" si="10"/>
        <v>7.192054937</v>
      </c>
      <c r="O342" s="24"/>
      <c r="P342" s="24"/>
      <c r="Q342" s="24"/>
      <c r="R342" s="26"/>
      <c r="S342" s="14">
        <f t="shared" si="13"/>
        <v>6.604436235</v>
      </c>
      <c r="U342" s="21"/>
      <c r="V342" s="21"/>
    </row>
    <row r="343">
      <c r="A343" s="11">
        <v>331.0</v>
      </c>
      <c r="B343" s="11">
        <v>1.42083478260869E9</v>
      </c>
      <c r="C343" s="2">
        <v>-102.5538025</v>
      </c>
      <c r="D343" s="24">
        <f t="shared" si="1"/>
        <v>434782.6087</v>
      </c>
      <c r="E343" s="25">
        <f t="shared" si="2"/>
        <v>-92.74790935</v>
      </c>
      <c r="F343" s="24">
        <f t="shared" si="3"/>
        <v>0.0002133201915</v>
      </c>
      <c r="G343" s="24">
        <f t="shared" si="4"/>
        <v>0</v>
      </c>
      <c r="H343" s="26">
        <f t="shared" si="5"/>
        <v>0</v>
      </c>
      <c r="I343" s="24">
        <f t="shared" si="6"/>
        <v>0</v>
      </c>
      <c r="J343" s="24">
        <f t="shared" si="7"/>
        <v>0</v>
      </c>
      <c r="K343" s="24"/>
      <c r="L343" s="24">
        <f t="shared" si="8"/>
        <v>422.4019529</v>
      </c>
      <c r="M343" s="14">
        <f t="shared" si="9"/>
        <v>413.8326416</v>
      </c>
      <c r="N343" s="27">
        <f t="shared" si="10"/>
        <v>8.569311294</v>
      </c>
      <c r="O343" s="24"/>
      <c r="P343" s="24"/>
      <c r="Q343" s="24"/>
      <c r="R343" s="26"/>
      <c r="S343" s="14">
        <f t="shared" si="13"/>
        <v>7.869165422</v>
      </c>
      <c r="U343" s="21"/>
      <c r="V343" s="21"/>
    </row>
    <row r="344">
      <c r="A344" s="11">
        <v>332.0</v>
      </c>
      <c r="B344" s="11">
        <v>1.42083913043478E9</v>
      </c>
      <c r="C344" s="2">
        <v>-102.681076</v>
      </c>
      <c r="D344" s="24">
        <f t="shared" si="1"/>
        <v>439130.4348</v>
      </c>
      <c r="E344" s="25">
        <f t="shared" si="2"/>
        <v>-93.66620548</v>
      </c>
      <c r="F344" s="24">
        <f t="shared" si="3"/>
        <v>0.0002132992798</v>
      </c>
      <c r="G344" s="24">
        <f t="shared" si="4"/>
        <v>0</v>
      </c>
      <c r="H344" s="26">
        <f t="shared" si="5"/>
        <v>0</v>
      </c>
      <c r="I344" s="24">
        <f t="shared" si="6"/>
        <v>0</v>
      </c>
      <c r="J344" s="24">
        <f t="shared" si="7"/>
        <v>0</v>
      </c>
      <c r="K344" s="24"/>
      <c r="L344" s="24">
        <f t="shared" si="8"/>
        <v>410.2027498</v>
      </c>
      <c r="M344" s="14">
        <f t="shared" si="9"/>
        <v>413.746593</v>
      </c>
      <c r="N344" s="27">
        <f t="shared" si="10"/>
        <v>-3.543843148</v>
      </c>
      <c r="O344" s="24"/>
      <c r="P344" s="24"/>
      <c r="Q344" s="24"/>
      <c r="R344" s="26"/>
      <c r="S344" s="14">
        <f t="shared" si="13"/>
        <v>-3.254297451</v>
      </c>
      <c r="U344" s="21"/>
      <c r="V344" s="21"/>
    </row>
    <row r="345">
      <c r="A345" s="11">
        <v>333.0</v>
      </c>
      <c r="B345" s="11">
        <v>1.42084347826087E9</v>
      </c>
      <c r="C345" s="2">
        <v>-102.5487289</v>
      </c>
      <c r="D345" s="24">
        <f t="shared" si="1"/>
        <v>443478.2609</v>
      </c>
      <c r="E345" s="25">
        <f t="shared" si="2"/>
        <v>-94.58450161</v>
      </c>
      <c r="F345" s="24">
        <f t="shared" si="3"/>
        <v>0.0002132787781</v>
      </c>
      <c r="G345" s="24">
        <f t="shared" si="4"/>
        <v>0</v>
      </c>
      <c r="H345" s="26">
        <f t="shared" si="5"/>
        <v>0</v>
      </c>
      <c r="I345" s="24">
        <f t="shared" si="6"/>
        <v>0</v>
      </c>
      <c r="J345" s="24">
        <f t="shared" si="7"/>
        <v>0</v>
      </c>
      <c r="K345" s="24"/>
      <c r="L345" s="24">
        <f t="shared" si="8"/>
        <v>422.8957079</v>
      </c>
      <c r="M345" s="14">
        <f t="shared" si="9"/>
        <v>413.6603433</v>
      </c>
      <c r="N345" s="27">
        <f t="shared" si="10"/>
        <v>9.235364563</v>
      </c>
      <c r="O345" s="24"/>
      <c r="P345" s="24"/>
      <c r="Q345" s="24"/>
      <c r="R345" s="26"/>
      <c r="S345" s="14">
        <f t="shared" si="13"/>
        <v>8.480799563</v>
      </c>
      <c r="U345" s="21"/>
      <c r="V345" s="21"/>
    </row>
    <row r="346">
      <c r="A346" s="11">
        <v>334.0</v>
      </c>
      <c r="B346" s="11">
        <v>1.42084782608695E9</v>
      </c>
      <c r="C346" s="2">
        <v>-102.5899887</v>
      </c>
      <c r="D346" s="24">
        <f t="shared" si="1"/>
        <v>447826.087</v>
      </c>
      <c r="E346" s="25">
        <f t="shared" si="2"/>
        <v>-95.50279774</v>
      </c>
      <c r="F346" s="24">
        <f t="shared" si="3"/>
        <v>0.0002132586746</v>
      </c>
      <c r="G346" s="24">
        <f t="shared" si="4"/>
        <v>0</v>
      </c>
      <c r="H346" s="26">
        <f t="shared" si="5"/>
        <v>0</v>
      </c>
      <c r="I346" s="24">
        <f t="shared" si="6"/>
        <v>0</v>
      </c>
      <c r="J346" s="24">
        <f t="shared" si="7"/>
        <v>0</v>
      </c>
      <c r="K346" s="24"/>
      <c r="L346" s="24">
        <f t="shared" si="8"/>
        <v>418.8970456</v>
      </c>
      <c r="M346" s="14">
        <f t="shared" si="9"/>
        <v>413.573891</v>
      </c>
      <c r="N346" s="27">
        <f t="shared" si="10"/>
        <v>5.323154597</v>
      </c>
      <c r="O346" s="24"/>
      <c r="P346" s="24"/>
      <c r="Q346" s="24"/>
      <c r="R346" s="26"/>
      <c r="S346" s="14">
        <f t="shared" si="13"/>
        <v>4.888232281</v>
      </c>
      <c r="U346" s="21"/>
      <c r="V346" s="21"/>
    </row>
    <row r="347">
      <c r="A347" s="11">
        <v>335.0</v>
      </c>
      <c r="B347" s="11">
        <v>1.42085217391304E9</v>
      </c>
      <c r="C347" s="2">
        <v>-102.649559</v>
      </c>
      <c r="D347" s="24">
        <f t="shared" si="1"/>
        <v>452173.913</v>
      </c>
      <c r="E347" s="25">
        <f t="shared" si="2"/>
        <v>-96.42109387</v>
      </c>
      <c r="F347" s="24">
        <f t="shared" si="3"/>
        <v>0.0002132389576</v>
      </c>
      <c r="G347" s="24">
        <f t="shared" si="4"/>
        <v>0</v>
      </c>
      <c r="H347" s="26">
        <f t="shared" si="5"/>
        <v>0</v>
      </c>
      <c r="I347" s="24">
        <f t="shared" si="6"/>
        <v>0</v>
      </c>
      <c r="J347" s="24">
        <f t="shared" si="7"/>
        <v>0</v>
      </c>
      <c r="K347" s="24"/>
      <c r="L347" s="24">
        <f t="shared" si="8"/>
        <v>413.1904426</v>
      </c>
      <c r="M347" s="14">
        <f t="shared" si="9"/>
        <v>413.4872344</v>
      </c>
      <c r="N347" s="27">
        <f t="shared" si="10"/>
        <v>-0.2967917963</v>
      </c>
      <c r="O347" s="24"/>
      <c r="P347" s="24"/>
      <c r="Q347" s="24"/>
      <c r="R347" s="26"/>
      <c r="S347" s="14">
        <f t="shared" si="13"/>
        <v>-0.2725427581</v>
      </c>
      <c r="U347" s="21"/>
      <c r="V347" s="21"/>
    </row>
    <row r="348">
      <c r="A348" s="11">
        <v>336.0</v>
      </c>
      <c r="B348" s="11">
        <v>1.42085652173913E9</v>
      </c>
      <c r="C348" s="2">
        <v>-102.6249313</v>
      </c>
      <c r="D348" s="24">
        <f t="shared" si="1"/>
        <v>456521.7391</v>
      </c>
      <c r="E348" s="25">
        <f t="shared" si="2"/>
        <v>-97.33939</v>
      </c>
      <c r="F348" s="24">
        <f t="shared" si="3"/>
        <v>0.0002132196162</v>
      </c>
      <c r="G348" s="24">
        <f t="shared" si="4"/>
        <v>0</v>
      </c>
      <c r="H348" s="26">
        <f t="shared" si="5"/>
        <v>0</v>
      </c>
      <c r="I348" s="24">
        <f t="shared" si="6"/>
        <v>0</v>
      </c>
      <c r="J348" s="24">
        <f t="shared" si="7"/>
        <v>0</v>
      </c>
      <c r="K348" s="24"/>
      <c r="L348" s="24">
        <f t="shared" si="8"/>
        <v>415.5401932</v>
      </c>
      <c r="M348" s="14">
        <f t="shared" si="9"/>
        <v>413.4003718</v>
      </c>
      <c r="N348" s="27">
        <f t="shared" si="10"/>
        <v>2.139821423</v>
      </c>
      <c r="O348" s="24"/>
      <c r="P348" s="24"/>
      <c r="Q348" s="24"/>
      <c r="R348" s="26"/>
      <c r="S348" s="14">
        <f t="shared" si="13"/>
        <v>1.964989737</v>
      </c>
      <c r="U348" s="21"/>
      <c r="V348" s="21"/>
    </row>
    <row r="349">
      <c r="A349" s="11">
        <v>337.0</v>
      </c>
      <c r="B349" s="11">
        <v>1.42086086956521E9</v>
      </c>
      <c r="C349" s="2">
        <v>-102.6247253</v>
      </c>
      <c r="D349" s="24">
        <f t="shared" si="1"/>
        <v>460869.5652</v>
      </c>
      <c r="E349" s="25">
        <f t="shared" si="2"/>
        <v>-98.25768614</v>
      </c>
      <c r="F349" s="24">
        <f t="shared" si="3"/>
        <v>0.0002132006397</v>
      </c>
      <c r="G349" s="24">
        <f t="shared" si="4"/>
        <v>0</v>
      </c>
      <c r="H349" s="26">
        <f t="shared" si="5"/>
        <v>0</v>
      </c>
      <c r="I349" s="24">
        <f t="shared" si="6"/>
        <v>0</v>
      </c>
      <c r="J349" s="24">
        <f t="shared" si="7"/>
        <v>0</v>
      </c>
      <c r="K349" s="24"/>
      <c r="L349" s="24">
        <f t="shared" si="8"/>
        <v>415.5599041</v>
      </c>
      <c r="M349" s="14">
        <f t="shared" si="9"/>
        <v>413.3133017</v>
      </c>
      <c r="N349" s="27">
        <f t="shared" si="10"/>
        <v>2.246602445</v>
      </c>
      <c r="O349" s="24"/>
      <c r="P349" s="24"/>
      <c r="Q349" s="24"/>
      <c r="R349" s="26"/>
      <c r="S349" s="14">
        <f t="shared" si="13"/>
        <v>2.063046337</v>
      </c>
      <c r="U349" s="21"/>
      <c r="V349" s="21"/>
    </row>
    <row r="350">
      <c r="A350" s="11">
        <v>338.0</v>
      </c>
      <c r="B350" s="11">
        <v>1.4208652173913E9</v>
      </c>
      <c r="C350" s="2">
        <v>-102.5789719</v>
      </c>
      <c r="D350" s="24">
        <f t="shared" si="1"/>
        <v>465217.3913</v>
      </c>
      <c r="E350" s="25">
        <f t="shared" si="2"/>
        <v>-99.17598227</v>
      </c>
      <c r="F350" s="24">
        <f t="shared" si="3"/>
        <v>0.000213182018</v>
      </c>
      <c r="G350" s="24">
        <f t="shared" si="4"/>
        <v>0</v>
      </c>
      <c r="H350" s="26">
        <f t="shared" si="5"/>
        <v>0</v>
      </c>
      <c r="I350" s="24">
        <f t="shared" si="6"/>
        <v>0</v>
      </c>
      <c r="J350" s="24">
        <f t="shared" si="7"/>
        <v>0</v>
      </c>
      <c r="K350" s="24"/>
      <c r="L350" s="24">
        <f t="shared" si="8"/>
        <v>419.9610157</v>
      </c>
      <c r="M350" s="14">
        <f t="shared" si="9"/>
        <v>413.2260223</v>
      </c>
      <c r="N350" s="27">
        <f t="shared" si="10"/>
        <v>6.734993318</v>
      </c>
      <c r="O350" s="24"/>
      <c r="P350" s="24"/>
      <c r="Q350" s="24"/>
      <c r="R350" s="26"/>
      <c r="S350" s="14">
        <f t="shared" si="13"/>
        <v>6.184718303</v>
      </c>
      <c r="U350" s="21"/>
      <c r="V350" s="21"/>
    </row>
    <row r="351">
      <c r="A351" s="11">
        <v>339.0</v>
      </c>
      <c r="B351" s="11">
        <v>1.42086956521739E9</v>
      </c>
      <c r="C351" s="2">
        <v>-102.6366119</v>
      </c>
      <c r="D351" s="24">
        <f t="shared" si="1"/>
        <v>469565.2174</v>
      </c>
      <c r="E351" s="25">
        <f t="shared" si="2"/>
        <v>-100.0942784</v>
      </c>
      <c r="F351" s="24">
        <f t="shared" si="3"/>
        <v>0.000213163741</v>
      </c>
      <c r="G351" s="24">
        <f t="shared" si="4"/>
        <v>0</v>
      </c>
      <c r="H351" s="26">
        <f t="shared" si="5"/>
        <v>0</v>
      </c>
      <c r="I351" s="24">
        <f t="shared" si="6"/>
        <v>0</v>
      </c>
      <c r="J351" s="24">
        <f t="shared" si="7"/>
        <v>0</v>
      </c>
      <c r="K351" s="24"/>
      <c r="L351" s="24">
        <f t="shared" si="8"/>
        <v>414.4240756</v>
      </c>
      <c r="M351" s="14">
        <f t="shared" si="9"/>
        <v>413.1385322</v>
      </c>
      <c r="N351" s="27">
        <f t="shared" si="10"/>
        <v>1.285543333</v>
      </c>
      <c r="O351" s="24"/>
      <c r="P351" s="24"/>
      <c r="Q351" s="24"/>
      <c r="R351" s="26"/>
      <c r="S351" s="14">
        <f t="shared" si="13"/>
        <v>1.180509471</v>
      </c>
      <c r="U351" s="21"/>
      <c r="V351" s="21"/>
    </row>
    <row r="352">
      <c r="A352" s="11">
        <v>340.0</v>
      </c>
      <c r="B352" s="11">
        <v>1.42087391304347E9</v>
      </c>
      <c r="C352" s="2">
        <v>-102.6237793</v>
      </c>
      <c r="D352" s="24">
        <f t="shared" si="1"/>
        <v>473913.0435</v>
      </c>
      <c r="E352" s="25">
        <f t="shared" si="2"/>
        <v>-101.0125745</v>
      </c>
      <c r="F352" s="24">
        <f t="shared" si="3"/>
        <v>0.0002131457995</v>
      </c>
      <c r="G352" s="24">
        <f t="shared" si="4"/>
        <v>0</v>
      </c>
      <c r="H352" s="26">
        <f t="shared" si="5"/>
        <v>0</v>
      </c>
      <c r="I352" s="24">
        <f t="shared" si="6"/>
        <v>0</v>
      </c>
      <c r="J352" s="24">
        <f t="shared" si="7"/>
        <v>0</v>
      </c>
      <c r="K352" s="24"/>
      <c r="L352" s="24">
        <f t="shared" si="8"/>
        <v>415.6504331</v>
      </c>
      <c r="M352" s="14">
        <f t="shared" si="9"/>
        <v>413.0508297</v>
      </c>
      <c r="N352" s="27">
        <f t="shared" si="10"/>
        <v>2.599603444</v>
      </c>
      <c r="O352" s="24"/>
      <c r="P352" s="24"/>
      <c r="Q352" s="24"/>
      <c r="R352" s="26"/>
      <c r="S352" s="14">
        <f t="shared" si="13"/>
        <v>2.387205789</v>
      </c>
      <c r="U352" s="21"/>
      <c r="V352" s="21"/>
    </row>
    <row r="353">
      <c r="A353" s="11">
        <v>341.0</v>
      </c>
      <c r="B353" s="11">
        <v>1.42087826086956E9</v>
      </c>
      <c r="C353" s="2">
        <v>-102.6781845</v>
      </c>
      <c r="D353" s="24">
        <f t="shared" si="1"/>
        <v>478260.8696</v>
      </c>
      <c r="E353" s="25">
        <f t="shared" si="2"/>
        <v>-101.9308707</v>
      </c>
      <c r="F353" s="24">
        <f t="shared" si="3"/>
        <v>0.0002131281841</v>
      </c>
      <c r="G353" s="24">
        <f t="shared" si="4"/>
        <v>0</v>
      </c>
      <c r="H353" s="26">
        <f t="shared" si="5"/>
        <v>0</v>
      </c>
      <c r="I353" s="24">
        <f t="shared" si="6"/>
        <v>0</v>
      </c>
      <c r="J353" s="24">
        <f t="shared" si="7"/>
        <v>0</v>
      </c>
      <c r="K353" s="24"/>
      <c r="L353" s="24">
        <f t="shared" si="8"/>
        <v>410.4759507</v>
      </c>
      <c r="M353" s="14">
        <f t="shared" si="9"/>
        <v>412.9629131</v>
      </c>
      <c r="N353" s="27">
        <f t="shared" si="10"/>
        <v>-2.486962379</v>
      </c>
      <c r="O353" s="24"/>
      <c r="P353" s="24"/>
      <c r="Q353" s="24"/>
      <c r="R353" s="26"/>
      <c r="S353" s="14">
        <f t="shared" si="13"/>
        <v>-2.28376793</v>
      </c>
      <c r="U353" s="21"/>
      <c r="V353" s="21"/>
    </row>
    <row r="354">
      <c r="A354" s="11">
        <v>342.0</v>
      </c>
      <c r="B354" s="11">
        <v>1.42088260869565E9</v>
      </c>
      <c r="C354" s="2">
        <v>-102.6217575</v>
      </c>
      <c r="D354" s="24">
        <f t="shared" si="1"/>
        <v>482608.6957</v>
      </c>
      <c r="E354" s="25">
        <f t="shared" si="2"/>
        <v>-102.8491668</v>
      </c>
      <c r="F354" s="24">
        <f t="shared" si="3"/>
        <v>0.0002131108862</v>
      </c>
      <c r="G354" s="24">
        <f t="shared" si="4"/>
        <v>0</v>
      </c>
      <c r="H354" s="26">
        <f t="shared" si="5"/>
        <v>0</v>
      </c>
      <c r="I354" s="24">
        <f t="shared" si="6"/>
        <v>0</v>
      </c>
      <c r="J354" s="24">
        <f t="shared" si="7"/>
        <v>0</v>
      </c>
      <c r="K354" s="24"/>
      <c r="L354" s="24">
        <f t="shared" si="8"/>
        <v>415.8439787</v>
      </c>
      <c r="M354" s="14">
        <f t="shared" si="9"/>
        <v>412.8747808</v>
      </c>
      <c r="N354" s="27">
        <f t="shared" si="10"/>
        <v>2.969197909</v>
      </c>
      <c r="O354" s="24"/>
      <c r="P354" s="24"/>
      <c r="Q354" s="24"/>
      <c r="R354" s="26"/>
      <c r="S354" s="14">
        <f t="shared" si="13"/>
        <v>2.726602957</v>
      </c>
      <c r="U354" s="21"/>
      <c r="V354" s="21"/>
    </row>
    <row r="355">
      <c r="A355" s="11">
        <v>343.0</v>
      </c>
      <c r="B355" s="11">
        <v>1.42088695652173E9</v>
      </c>
      <c r="C355" s="2">
        <v>-102.6109161</v>
      </c>
      <c r="D355" s="24">
        <f t="shared" si="1"/>
        <v>486956.5217</v>
      </c>
      <c r="E355" s="25">
        <f t="shared" si="2"/>
        <v>-103.7674629</v>
      </c>
      <c r="F355" s="24">
        <f t="shared" si="3"/>
        <v>0.0002130938971</v>
      </c>
      <c r="G355" s="24">
        <f t="shared" si="4"/>
        <v>0</v>
      </c>
      <c r="H355" s="26">
        <f t="shared" si="5"/>
        <v>0</v>
      </c>
      <c r="I355" s="24">
        <f t="shared" si="6"/>
        <v>0</v>
      </c>
      <c r="J355" s="24">
        <f t="shared" si="7"/>
        <v>0</v>
      </c>
      <c r="K355" s="24"/>
      <c r="L355" s="24">
        <f t="shared" si="8"/>
        <v>416.883357</v>
      </c>
      <c r="M355" s="14">
        <f t="shared" si="9"/>
        <v>412.7864312</v>
      </c>
      <c r="N355" s="27">
        <f t="shared" si="10"/>
        <v>4.096925838</v>
      </c>
      <c r="O355" s="24"/>
      <c r="P355" s="24"/>
      <c r="Q355" s="24"/>
      <c r="R355" s="26"/>
      <c r="S355" s="14">
        <f t="shared" si="13"/>
        <v>3.762191153</v>
      </c>
      <c r="U355" s="21"/>
      <c r="V355" s="21"/>
    </row>
    <row r="356">
      <c r="A356" s="11">
        <v>344.0</v>
      </c>
      <c r="B356" s="11">
        <v>1.42089130434782E9</v>
      </c>
      <c r="C356" s="2">
        <v>-102.6027298</v>
      </c>
      <c r="D356" s="24">
        <f t="shared" si="1"/>
        <v>491304.3478</v>
      </c>
      <c r="E356" s="25">
        <f t="shared" si="2"/>
        <v>-104.6857591</v>
      </c>
      <c r="F356" s="24">
        <f t="shared" si="3"/>
        <v>0.0002130772087</v>
      </c>
      <c r="G356" s="24">
        <f t="shared" si="4"/>
        <v>0</v>
      </c>
      <c r="H356" s="26">
        <f t="shared" si="5"/>
        <v>0</v>
      </c>
      <c r="I356" s="24">
        <f t="shared" si="6"/>
        <v>0</v>
      </c>
      <c r="J356" s="24">
        <f t="shared" si="7"/>
        <v>0</v>
      </c>
      <c r="K356" s="24"/>
      <c r="L356" s="24">
        <f t="shared" si="8"/>
        <v>417.6699087</v>
      </c>
      <c r="M356" s="14">
        <f t="shared" si="9"/>
        <v>412.6978626</v>
      </c>
      <c r="N356" s="27">
        <f t="shared" si="10"/>
        <v>4.972046083</v>
      </c>
      <c r="O356" s="24"/>
      <c r="P356" s="24"/>
      <c r="Q356" s="24"/>
      <c r="R356" s="26"/>
      <c r="S356" s="14">
        <f t="shared" si="13"/>
        <v>4.565810691</v>
      </c>
      <c r="U356" s="21"/>
      <c r="V356" s="21"/>
    </row>
    <row r="357">
      <c r="A357" s="11">
        <v>345.0</v>
      </c>
      <c r="B357" s="11">
        <v>1.42089565217391E9</v>
      </c>
      <c r="C357" s="2">
        <v>-102.6062469</v>
      </c>
      <c r="D357" s="24">
        <f t="shared" si="1"/>
        <v>495652.1739</v>
      </c>
      <c r="E357" s="25">
        <f t="shared" si="2"/>
        <v>-105.6040552</v>
      </c>
      <c r="F357" s="24">
        <f t="shared" si="3"/>
        <v>0.0002130608131</v>
      </c>
      <c r="G357" s="24">
        <f t="shared" si="4"/>
        <v>0</v>
      </c>
      <c r="H357" s="26">
        <f t="shared" si="5"/>
        <v>0</v>
      </c>
      <c r="I357" s="24">
        <f t="shared" si="6"/>
        <v>0</v>
      </c>
      <c r="J357" s="24">
        <f t="shared" si="7"/>
        <v>0</v>
      </c>
      <c r="K357" s="24"/>
      <c r="L357" s="24">
        <f t="shared" si="8"/>
        <v>417.3317989</v>
      </c>
      <c r="M357" s="14">
        <f t="shared" si="9"/>
        <v>412.6090735</v>
      </c>
      <c r="N357" s="27">
        <f t="shared" si="10"/>
        <v>4.72272538</v>
      </c>
      <c r="O357" s="24"/>
      <c r="P357" s="24"/>
      <c r="Q357" s="24"/>
      <c r="R357" s="26"/>
      <c r="S357" s="14">
        <f t="shared" si="13"/>
        <v>4.336860442</v>
      </c>
      <c r="U357" s="21"/>
      <c r="V357" s="21"/>
    </row>
    <row r="358">
      <c r="A358" s="11">
        <v>346.0</v>
      </c>
      <c r="B358" s="11">
        <v>1.4209E9</v>
      </c>
      <c r="C358" s="2">
        <v>-102.626358</v>
      </c>
      <c r="D358" s="24">
        <f t="shared" si="1"/>
        <v>500000</v>
      </c>
      <c r="E358" s="25">
        <f t="shared" si="2"/>
        <v>-106.5223513</v>
      </c>
      <c r="F358" s="24">
        <f t="shared" si="3"/>
        <v>0.0002130447027</v>
      </c>
      <c r="G358" s="24">
        <f t="shared" si="4"/>
        <v>0</v>
      </c>
      <c r="H358" s="26">
        <f t="shared" si="5"/>
        <v>0</v>
      </c>
      <c r="I358" s="24">
        <f t="shared" si="6"/>
        <v>0</v>
      </c>
      <c r="J358" s="24">
        <f t="shared" si="7"/>
        <v>0</v>
      </c>
      <c r="K358" s="24"/>
      <c r="L358" s="24">
        <f t="shared" si="8"/>
        <v>415.4037066</v>
      </c>
      <c r="M358" s="14">
        <f t="shared" si="9"/>
        <v>412.5200623</v>
      </c>
      <c r="N358" s="27">
        <f t="shared" si="10"/>
        <v>2.88364433</v>
      </c>
      <c r="O358" s="24"/>
      <c r="P358" s="24"/>
      <c r="Q358" s="24"/>
      <c r="R358" s="26"/>
      <c r="S358" s="14">
        <f t="shared" si="13"/>
        <v>2.648039436</v>
      </c>
      <c r="U358" s="21"/>
      <c r="V358" s="21"/>
    </row>
    <row r="359">
      <c r="A359" s="11">
        <v>347.0</v>
      </c>
      <c r="B359" s="11">
        <v>1.42090434782608E9</v>
      </c>
      <c r="C359" s="2">
        <v>-102.6242752</v>
      </c>
      <c r="D359" s="24">
        <f t="shared" si="1"/>
        <v>504347.8261</v>
      </c>
      <c r="E359" s="25">
        <f t="shared" si="2"/>
        <v>-107.4406475</v>
      </c>
      <c r="F359" s="24">
        <f t="shared" si="3"/>
        <v>0.00021302887</v>
      </c>
      <c r="G359" s="24">
        <f t="shared" si="4"/>
        <v>0</v>
      </c>
      <c r="H359" s="26">
        <f t="shared" si="5"/>
        <v>0</v>
      </c>
      <c r="I359" s="24">
        <f t="shared" si="6"/>
        <v>0</v>
      </c>
      <c r="J359" s="24">
        <f t="shared" si="7"/>
        <v>0</v>
      </c>
      <c r="K359" s="24"/>
      <c r="L359" s="24">
        <f t="shared" si="8"/>
        <v>415.6029747</v>
      </c>
      <c r="M359" s="14">
        <f t="shared" si="9"/>
        <v>412.4308272</v>
      </c>
      <c r="N359" s="27">
        <f t="shared" si="10"/>
        <v>3.172147501</v>
      </c>
      <c r="O359" s="24"/>
      <c r="P359" s="24"/>
      <c r="Q359" s="24"/>
      <c r="R359" s="26"/>
      <c r="S359" s="14">
        <f t="shared" si="13"/>
        <v>2.912970783</v>
      </c>
      <c r="U359" s="21"/>
      <c r="V359" s="21"/>
    </row>
    <row r="360">
      <c r="A360" s="11">
        <v>348.0</v>
      </c>
      <c r="B360" s="11">
        <v>1.42090869565217E9</v>
      </c>
      <c r="C360" s="2">
        <v>-102.6561508</v>
      </c>
      <c r="D360" s="24">
        <f t="shared" si="1"/>
        <v>508695.6522</v>
      </c>
      <c r="E360" s="25">
        <f t="shared" si="2"/>
        <v>-108.3589436</v>
      </c>
      <c r="F360" s="24">
        <f t="shared" si="3"/>
        <v>0.0002130133079</v>
      </c>
      <c r="G360" s="24">
        <f t="shared" si="4"/>
        <v>0</v>
      </c>
      <c r="H360" s="26">
        <f t="shared" si="5"/>
        <v>0</v>
      </c>
      <c r="I360" s="24">
        <f t="shared" si="6"/>
        <v>0</v>
      </c>
      <c r="J360" s="24">
        <f t="shared" si="7"/>
        <v>0</v>
      </c>
      <c r="K360" s="24"/>
      <c r="L360" s="24">
        <f t="shared" si="8"/>
        <v>412.5637704</v>
      </c>
      <c r="M360" s="14">
        <f t="shared" si="9"/>
        <v>412.3413667</v>
      </c>
      <c r="N360" s="27">
        <f t="shared" si="10"/>
        <v>0.2224036782</v>
      </c>
      <c r="O360" s="24"/>
      <c r="P360" s="24"/>
      <c r="Q360" s="24"/>
      <c r="R360" s="26"/>
      <c r="S360" s="14">
        <f t="shared" si="13"/>
        <v>0.2042324371</v>
      </c>
      <c r="U360" s="21"/>
      <c r="V360" s="21"/>
    </row>
    <row r="361">
      <c r="A361" s="11">
        <v>349.0</v>
      </c>
      <c r="B361" s="11">
        <v>1.42091304347826E9</v>
      </c>
      <c r="C361" s="2">
        <v>-102.6068649</v>
      </c>
      <c r="D361" s="24">
        <f t="shared" si="1"/>
        <v>513043.4783</v>
      </c>
      <c r="E361" s="25">
        <f t="shared" si="2"/>
        <v>-109.2772397</v>
      </c>
      <c r="F361" s="24">
        <f t="shared" si="3"/>
        <v>0.0002129980096</v>
      </c>
      <c r="G361" s="24">
        <f t="shared" si="4"/>
        <v>0</v>
      </c>
      <c r="H361" s="26">
        <f t="shared" si="5"/>
        <v>0</v>
      </c>
      <c r="I361" s="24">
        <f t="shared" si="6"/>
        <v>0</v>
      </c>
      <c r="J361" s="24">
        <f t="shared" si="7"/>
        <v>0</v>
      </c>
      <c r="K361" s="24"/>
      <c r="L361" s="24">
        <f t="shared" si="8"/>
        <v>417.2724169</v>
      </c>
      <c r="M361" s="14">
        <f t="shared" si="9"/>
        <v>412.2516791</v>
      </c>
      <c r="N361" s="27">
        <f t="shared" si="10"/>
        <v>5.020737805</v>
      </c>
      <c r="O361" s="24"/>
      <c r="P361" s="24"/>
      <c r="Q361" s="24"/>
      <c r="R361" s="26"/>
      <c r="S361" s="14">
        <f t="shared" si="13"/>
        <v>4.61052411</v>
      </c>
      <c r="U361" s="21"/>
      <c r="V361" s="21"/>
    </row>
    <row r="362">
      <c r="A362" s="11">
        <v>350.0</v>
      </c>
      <c r="B362" s="11">
        <v>1.42091739130434E9</v>
      </c>
      <c r="C362" s="2">
        <v>-102.6328812</v>
      </c>
      <c r="D362" s="24">
        <f t="shared" si="1"/>
        <v>517391.3043</v>
      </c>
      <c r="E362" s="25">
        <f t="shared" si="2"/>
        <v>-110.1955359</v>
      </c>
      <c r="F362" s="24">
        <f t="shared" si="3"/>
        <v>0.0002129829685</v>
      </c>
      <c r="G362" s="24">
        <f t="shared" si="4"/>
        <v>0</v>
      </c>
      <c r="H362" s="26">
        <f t="shared" si="5"/>
        <v>0</v>
      </c>
      <c r="I362" s="24">
        <f t="shared" si="6"/>
        <v>0</v>
      </c>
      <c r="J362" s="24">
        <f t="shared" si="7"/>
        <v>0</v>
      </c>
      <c r="K362" s="24"/>
      <c r="L362" s="24">
        <f t="shared" si="8"/>
        <v>414.7802293</v>
      </c>
      <c r="M362" s="14">
        <f t="shared" si="9"/>
        <v>412.1617629</v>
      </c>
      <c r="N362" s="27">
        <f t="shared" si="10"/>
        <v>2.618466439</v>
      </c>
      <c r="O362" s="24"/>
      <c r="P362" s="24"/>
      <c r="Q362" s="24"/>
      <c r="R362" s="26"/>
      <c r="S362" s="14">
        <f t="shared" si="13"/>
        <v>2.404527604</v>
      </c>
      <c r="U362" s="21"/>
      <c r="V362" s="21"/>
    </row>
    <row r="363">
      <c r="A363" s="11">
        <v>351.0</v>
      </c>
      <c r="B363" s="11">
        <v>1.42092173913043E9</v>
      </c>
      <c r="C363" s="2">
        <v>-102.6748505</v>
      </c>
      <c r="D363" s="24">
        <f t="shared" si="1"/>
        <v>521739.1304</v>
      </c>
      <c r="E363" s="25">
        <f t="shared" si="2"/>
        <v>-111.113832</v>
      </c>
      <c r="F363" s="24">
        <f t="shared" si="3"/>
        <v>0.000212968178</v>
      </c>
      <c r="G363" s="24">
        <f t="shared" si="4"/>
        <v>0</v>
      </c>
      <c r="H363" s="26">
        <f t="shared" si="5"/>
        <v>0</v>
      </c>
      <c r="I363" s="24">
        <f t="shared" si="6"/>
        <v>0</v>
      </c>
      <c r="J363" s="24">
        <f t="shared" si="7"/>
        <v>0</v>
      </c>
      <c r="K363" s="24"/>
      <c r="L363" s="24">
        <f t="shared" si="8"/>
        <v>410.7911866</v>
      </c>
      <c r="M363" s="14">
        <f t="shared" si="9"/>
        <v>412.0716163</v>
      </c>
      <c r="N363" s="27">
        <f t="shared" si="10"/>
        <v>-1.280429728</v>
      </c>
      <c r="O363" s="24"/>
      <c r="P363" s="24"/>
      <c r="Q363" s="24"/>
      <c r="R363" s="26"/>
      <c r="S363" s="14">
        <f t="shared" si="13"/>
        <v>-1.175813665</v>
      </c>
      <c r="U363" s="21"/>
      <c r="V363" s="21"/>
    </row>
    <row r="364">
      <c r="A364" s="11">
        <v>352.0</v>
      </c>
      <c r="B364" s="11">
        <v>1.42092608695652E9</v>
      </c>
      <c r="C364" s="2">
        <v>-102.6124725</v>
      </c>
      <c r="D364" s="24">
        <f t="shared" si="1"/>
        <v>526086.9565</v>
      </c>
      <c r="E364" s="25">
        <f t="shared" si="2"/>
        <v>-112.0321281</v>
      </c>
      <c r="F364" s="24">
        <f t="shared" si="3"/>
        <v>0.000212953632</v>
      </c>
      <c r="G364" s="24">
        <f t="shared" si="4"/>
        <v>0</v>
      </c>
      <c r="H364" s="26">
        <f t="shared" si="5"/>
        <v>0</v>
      </c>
      <c r="I364" s="24">
        <f t="shared" si="6"/>
        <v>0</v>
      </c>
      <c r="J364" s="24">
        <f t="shared" si="7"/>
        <v>0</v>
      </c>
      <c r="K364" s="24"/>
      <c r="L364" s="24">
        <f t="shared" si="8"/>
        <v>416.7339835</v>
      </c>
      <c r="M364" s="14">
        <f t="shared" si="9"/>
        <v>411.9812379</v>
      </c>
      <c r="N364" s="27">
        <f t="shared" si="10"/>
        <v>4.752745609</v>
      </c>
      <c r="O364" s="24"/>
      <c r="P364" s="24"/>
      <c r="Q364" s="24"/>
      <c r="R364" s="26"/>
      <c r="S364" s="14">
        <f t="shared" si="13"/>
        <v>4.364427913</v>
      </c>
      <c r="U364" s="21"/>
      <c r="V364" s="21"/>
    </row>
    <row r="365">
      <c r="A365" s="11">
        <v>353.0</v>
      </c>
      <c r="B365" s="11">
        <v>1.4209304347826E9</v>
      </c>
      <c r="C365" s="2">
        <v>-102.6311035</v>
      </c>
      <c r="D365" s="24">
        <f t="shared" si="1"/>
        <v>530434.7826</v>
      </c>
      <c r="E365" s="25">
        <f t="shared" si="2"/>
        <v>-112.9504243</v>
      </c>
      <c r="F365" s="24">
        <f t="shared" si="3"/>
        <v>0.0002129393244</v>
      </c>
      <c r="G365" s="24">
        <f t="shared" si="4"/>
        <v>0</v>
      </c>
      <c r="H365" s="26">
        <f t="shared" si="5"/>
        <v>0</v>
      </c>
      <c r="I365" s="24">
        <f t="shared" si="6"/>
        <v>0</v>
      </c>
      <c r="J365" s="24">
        <f t="shared" si="7"/>
        <v>0</v>
      </c>
      <c r="K365" s="24"/>
      <c r="L365" s="24">
        <f t="shared" si="8"/>
        <v>414.9500463</v>
      </c>
      <c r="M365" s="14">
        <f t="shared" si="9"/>
        <v>411.8906258</v>
      </c>
      <c r="N365" s="27">
        <f t="shared" si="10"/>
        <v>3.059420469</v>
      </c>
      <c r="O365" s="24"/>
      <c r="P365" s="24"/>
      <c r="Q365" s="24"/>
      <c r="R365" s="26"/>
      <c r="S365" s="14">
        <f t="shared" si="13"/>
        <v>2.809453985</v>
      </c>
      <c r="U365" s="21"/>
      <c r="V365" s="21"/>
    </row>
    <row r="366">
      <c r="A366" s="11">
        <v>354.0</v>
      </c>
      <c r="B366" s="11">
        <v>1.42093478260869E9</v>
      </c>
      <c r="C366" s="2">
        <v>-102.6421585</v>
      </c>
      <c r="D366" s="24">
        <f t="shared" si="1"/>
        <v>534782.6087</v>
      </c>
      <c r="E366" s="25">
        <f t="shared" si="2"/>
        <v>-113.8687204</v>
      </c>
      <c r="F366" s="24">
        <f t="shared" si="3"/>
        <v>0.0002129252495</v>
      </c>
      <c r="G366" s="24">
        <f t="shared" si="4"/>
        <v>0</v>
      </c>
      <c r="H366" s="26">
        <f t="shared" si="5"/>
        <v>0</v>
      </c>
      <c r="I366" s="24">
        <f t="shared" si="6"/>
        <v>0</v>
      </c>
      <c r="J366" s="24">
        <f t="shared" si="7"/>
        <v>0</v>
      </c>
      <c r="K366" s="24"/>
      <c r="L366" s="24">
        <f t="shared" si="8"/>
        <v>413.8951309</v>
      </c>
      <c r="M366" s="14">
        <f t="shared" si="9"/>
        <v>411.7997786</v>
      </c>
      <c r="N366" s="27">
        <f t="shared" si="10"/>
        <v>2.09535231</v>
      </c>
      <c r="O366" s="24"/>
      <c r="P366" s="24"/>
      <c r="Q366" s="24"/>
      <c r="R366" s="26"/>
      <c r="S366" s="14">
        <f t="shared" si="13"/>
        <v>1.924153923</v>
      </c>
      <c r="U366" s="21"/>
      <c r="V366" s="21"/>
    </row>
    <row r="367">
      <c r="A367" s="11">
        <v>355.0</v>
      </c>
      <c r="B367" s="11">
        <v>1.42093913043478E9</v>
      </c>
      <c r="C367" s="2">
        <v>-102.608345</v>
      </c>
      <c r="D367" s="24">
        <f t="shared" si="1"/>
        <v>539130.4348</v>
      </c>
      <c r="E367" s="25">
        <f t="shared" si="2"/>
        <v>-114.7870165</v>
      </c>
      <c r="F367" s="24">
        <f t="shared" si="3"/>
        <v>0.0002129114016</v>
      </c>
      <c r="G367" s="24">
        <f t="shared" si="4"/>
        <v>0</v>
      </c>
      <c r="H367" s="26">
        <f t="shared" si="5"/>
        <v>0</v>
      </c>
      <c r="I367" s="24">
        <f t="shared" si="6"/>
        <v>0</v>
      </c>
      <c r="J367" s="24">
        <f t="shared" si="7"/>
        <v>0</v>
      </c>
      <c r="K367" s="24"/>
      <c r="L367" s="24">
        <f t="shared" si="8"/>
        <v>417.1302324</v>
      </c>
      <c r="M367" s="14">
        <f t="shared" si="9"/>
        <v>411.7086946</v>
      </c>
      <c r="N367" s="27">
        <f t="shared" si="10"/>
        <v>5.421537777</v>
      </c>
      <c r="O367" s="24"/>
      <c r="P367" s="24"/>
      <c r="Q367" s="24"/>
      <c r="R367" s="26"/>
      <c r="S367" s="14">
        <f t="shared" si="13"/>
        <v>4.978577163</v>
      </c>
      <c r="U367" s="21"/>
      <c r="V367" s="21"/>
    </row>
    <row r="368">
      <c r="A368" s="11">
        <v>356.0</v>
      </c>
      <c r="B368" s="11">
        <v>1.42094347826087E9</v>
      </c>
      <c r="C368" s="2">
        <v>-102.6736832</v>
      </c>
      <c r="D368" s="24">
        <f t="shared" si="1"/>
        <v>543478.2609</v>
      </c>
      <c r="E368" s="25">
        <f t="shared" si="2"/>
        <v>-115.7053126</v>
      </c>
      <c r="F368" s="24">
        <f t="shared" si="3"/>
        <v>0.0002128977753</v>
      </c>
      <c r="G368" s="24">
        <f t="shared" si="4"/>
        <v>0</v>
      </c>
      <c r="H368" s="26">
        <f t="shared" si="5"/>
        <v>0</v>
      </c>
      <c r="I368" s="24">
        <f t="shared" si="6"/>
        <v>0</v>
      </c>
      <c r="J368" s="24">
        <f t="shared" si="7"/>
        <v>0</v>
      </c>
      <c r="K368" s="24"/>
      <c r="L368" s="24">
        <f t="shared" si="8"/>
        <v>410.9016142</v>
      </c>
      <c r="M368" s="14">
        <f t="shared" si="9"/>
        <v>411.6173722</v>
      </c>
      <c r="N368" s="27">
        <f t="shared" si="10"/>
        <v>-0.7157579406</v>
      </c>
      <c r="O368" s="24"/>
      <c r="P368" s="24"/>
      <c r="Q368" s="24"/>
      <c r="R368" s="26"/>
      <c r="S368" s="14">
        <f t="shared" si="13"/>
        <v>-0.6572777488</v>
      </c>
      <c r="U368" s="21"/>
      <c r="V368" s="21"/>
    </row>
    <row r="369">
      <c r="A369" s="11">
        <v>357.0</v>
      </c>
      <c r="B369" s="11">
        <v>1.42094782608695E9</v>
      </c>
      <c r="C369" s="2">
        <v>-102.6841888</v>
      </c>
      <c r="D369" s="24">
        <f t="shared" si="1"/>
        <v>547826.087</v>
      </c>
      <c r="E369" s="25">
        <f t="shared" si="2"/>
        <v>-116.6236088</v>
      </c>
      <c r="F369" s="24">
        <f t="shared" si="3"/>
        <v>0.0002128843652</v>
      </c>
      <c r="G369" s="24">
        <f t="shared" si="4"/>
        <v>0</v>
      </c>
      <c r="H369" s="26">
        <f t="shared" si="5"/>
        <v>0</v>
      </c>
      <c r="I369" s="24">
        <f t="shared" si="6"/>
        <v>0</v>
      </c>
      <c r="J369" s="24">
        <f t="shared" si="7"/>
        <v>0</v>
      </c>
      <c r="K369" s="24"/>
      <c r="L369" s="24">
        <f t="shared" si="8"/>
        <v>409.9088429</v>
      </c>
      <c r="M369" s="14">
        <f t="shared" si="9"/>
        <v>411.5258097</v>
      </c>
      <c r="N369" s="27">
        <f t="shared" si="10"/>
        <v>-1.616966763</v>
      </c>
      <c r="O369" s="24"/>
      <c r="P369" s="24"/>
      <c r="Q369" s="24"/>
      <c r="R369" s="26"/>
      <c r="S369" s="14">
        <f t="shared" si="13"/>
        <v>-1.484854326</v>
      </c>
      <c r="U369" s="21"/>
      <c r="V369" s="21"/>
    </row>
    <row r="370">
      <c r="A370" s="11">
        <v>358.0</v>
      </c>
      <c r="B370" s="11">
        <v>1.42095217391304E9</v>
      </c>
      <c r="C370" s="2">
        <v>-102.6437759</v>
      </c>
      <c r="D370" s="24">
        <f t="shared" si="1"/>
        <v>552173.913</v>
      </c>
      <c r="E370" s="25">
        <f t="shared" si="2"/>
        <v>-117.5419049</v>
      </c>
      <c r="F370" s="24">
        <f t="shared" si="3"/>
        <v>0.0002128711664</v>
      </c>
      <c r="G370" s="24">
        <f t="shared" si="4"/>
        <v>0</v>
      </c>
      <c r="H370" s="26">
        <f t="shared" si="5"/>
        <v>0</v>
      </c>
      <c r="I370" s="24">
        <f t="shared" si="6"/>
        <v>0</v>
      </c>
      <c r="J370" s="24">
        <f t="shared" si="7"/>
        <v>0</v>
      </c>
      <c r="K370" s="24"/>
      <c r="L370" s="24">
        <f t="shared" si="8"/>
        <v>413.7410168</v>
      </c>
      <c r="M370" s="14">
        <f t="shared" si="9"/>
        <v>411.4340055</v>
      </c>
      <c r="N370" s="27">
        <f t="shared" si="10"/>
        <v>2.307011274</v>
      </c>
      <c r="O370" s="24"/>
      <c r="P370" s="24"/>
      <c r="Q370" s="24"/>
      <c r="R370" s="26"/>
      <c r="S370" s="14">
        <f t="shared" si="13"/>
        <v>2.118519527</v>
      </c>
      <c r="U370" s="21"/>
      <c r="V370" s="21"/>
    </row>
    <row r="371">
      <c r="A371" s="11">
        <v>359.0</v>
      </c>
      <c r="B371" s="11">
        <v>1.42095652173913E9</v>
      </c>
      <c r="C371" s="2">
        <v>-102.7008209</v>
      </c>
      <c r="D371" s="24">
        <f t="shared" si="1"/>
        <v>556521.7391</v>
      </c>
      <c r="E371" s="25">
        <f t="shared" si="2"/>
        <v>-118.460201</v>
      </c>
      <c r="F371" s="24">
        <f t="shared" si="3"/>
        <v>0.0002128581738</v>
      </c>
      <c r="G371" s="24">
        <f t="shared" si="4"/>
        <v>0</v>
      </c>
      <c r="H371" s="26">
        <f t="shared" si="5"/>
        <v>0</v>
      </c>
      <c r="I371" s="24">
        <f t="shared" si="6"/>
        <v>0</v>
      </c>
      <c r="J371" s="24">
        <f t="shared" si="7"/>
        <v>0</v>
      </c>
      <c r="K371" s="24"/>
      <c r="L371" s="24">
        <f t="shared" si="8"/>
        <v>408.3420243</v>
      </c>
      <c r="M371" s="14">
        <f t="shared" si="9"/>
        <v>411.341958</v>
      </c>
      <c r="N371" s="27">
        <f t="shared" si="10"/>
        <v>-2.999933726</v>
      </c>
      <c r="O371" s="24"/>
      <c r="P371" s="24"/>
      <c r="Q371" s="24"/>
      <c r="R371" s="26"/>
      <c r="S371" s="14">
        <f t="shared" si="13"/>
        <v>-2.754827539</v>
      </c>
      <c r="U371" s="21"/>
      <c r="V371" s="21"/>
    </row>
    <row r="372">
      <c r="A372" s="11">
        <v>360.0</v>
      </c>
      <c r="B372" s="11">
        <v>1.42096086956521E9</v>
      </c>
      <c r="C372" s="2">
        <v>-102.6614914</v>
      </c>
      <c r="D372" s="24">
        <f t="shared" si="1"/>
        <v>560869.5652</v>
      </c>
      <c r="E372" s="25">
        <f t="shared" si="2"/>
        <v>-119.3784972</v>
      </c>
      <c r="F372" s="24">
        <f t="shared" si="3"/>
        <v>0.0002128453826</v>
      </c>
      <c r="G372" s="24">
        <f t="shared" si="4"/>
        <v>0</v>
      </c>
      <c r="H372" s="26">
        <f t="shared" si="5"/>
        <v>0</v>
      </c>
      <c r="I372" s="24">
        <f t="shared" si="6"/>
        <v>0</v>
      </c>
      <c r="J372" s="24">
        <f t="shared" si="7"/>
        <v>0</v>
      </c>
      <c r="K372" s="24"/>
      <c r="L372" s="24">
        <f t="shared" si="8"/>
        <v>412.0567448</v>
      </c>
      <c r="M372" s="14">
        <f t="shared" si="9"/>
        <v>411.2496656</v>
      </c>
      <c r="N372" s="27">
        <f t="shared" si="10"/>
        <v>0.80707925</v>
      </c>
      <c r="O372" s="24"/>
      <c r="P372" s="24"/>
      <c r="Q372" s="24"/>
      <c r="R372" s="26"/>
      <c r="S372" s="14">
        <f t="shared" si="13"/>
        <v>0.7411377541</v>
      </c>
      <c r="U372" s="21"/>
      <c r="V372" s="21"/>
    </row>
    <row r="373">
      <c r="A373" s="11">
        <v>361.0</v>
      </c>
      <c r="B373" s="11">
        <v>1.4209652173913E9</v>
      </c>
      <c r="C373" s="2">
        <v>-102.7207489</v>
      </c>
      <c r="D373" s="24">
        <f t="shared" si="1"/>
        <v>565217.3913</v>
      </c>
      <c r="E373" s="25">
        <f t="shared" si="2"/>
        <v>-120.2967933</v>
      </c>
      <c r="F373" s="24">
        <f t="shared" si="3"/>
        <v>0.0002128327882</v>
      </c>
      <c r="G373" s="24">
        <f t="shared" si="4"/>
        <v>0</v>
      </c>
      <c r="H373" s="26">
        <f t="shared" si="5"/>
        <v>0</v>
      </c>
      <c r="I373" s="24">
        <f t="shared" si="6"/>
        <v>0</v>
      </c>
      <c r="J373" s="24">
        <f t="shared" si="7"/>
        <v>0</v>
      </c>
      <c r="K373" s="24"/>
      <c r="L373" s="24">
        <f t="shared" si="8"/>
        <v>406.4726018</v>
      </c>
      <c r="M373" s="14">
        <f t="shared" si="9"/>
        <v>411.1571266</v>
      </c>
      <c r="N373" s="27">
        <f t="shared" si="10"/>
        <v>-4.684524839</v>
      </c>
      <c r="O373" s="24"/>
      <c r="P373" s="24"/>
      <c r="Q373" s="24"/>
      <c r="R373" s="26"/>
      <c r="S373" s="14">
        <f t="shared" si="13"/>
        <v>-4.301781033</v>
      </c>
      <c r="U373" s="21"/>
      <c r="V373" s="21"/>
    </row>
    <row r="374">
      <c r="A374" s="11">
        <v>362.0</v>
      </c>
      <c r="B374" s="11">
        <v>1.42096956521739E9</v>
      </c>
      <c r="C374" s="2">
        <v>-102.651825</v>
      </c>
      <c r="D374" s="24">
        <f t="shared" si="1"/>
        <v>569565.2174</v>
      </c>
      <c r="E374" s="25">
        <f t="shared" si="2"/>
        <v>-121.2150894</v>
      </c>
      <c r="F374" s="24">
        <f t="shared" si="3"/>
        <v>0.000212820386</v>
      </c>
      <c r="G374" s="24">
        <f t="shared" si="4"/>
        <v>0</v>
      </c>
      <c r="H374" s="26">
        <f t="shared" si="5"/>
        <v>0</v>
      </c>
      <c r="I374" s="24">
        <f t="shared" si="6"/>
        <v>0</v>
      </c>
      <c r="J374" s="24">
        <f t="shared" si="7"/>
        <v>0</v>
      </c>
      <c r="K374" s="24"/>
      <c r="L374" s="24">
        <f t="shared" si="8"/>
        <v>412.9749102</v>
      </c>
      <c r="M374" s="14">
        <f t="shared" si="9"/>
        <v>411.0643395</v>
      </c>
      <c r="N374" s="27">
        <f t="shared" si="10"/>
        <v>1.910570677</v>
      </c>
      <c r="O374" s="24"/>
      <c r="P374" s="24"/>
      <c r="Q374" s="24"/>
      <c r="R374" s="26"/>
      <c r="S374" s="14">
        <f t="shared" si="13"/>
        <v>1.754469665</v>
      </c>
    </row>
    <row r="375">
      <c r="A375" s="11">
        <v>363.0</v>
      </c>
      <c r="B375" s="11">
        <v>1.42097391304347E9</v>
      </c>
      <c r="C375" s="2">
        <v>-102.6625671</v>
      </c>
      <c r="D375" s="24">
        <f t="shared" si="1"/>
        <v>573913.0435</v>
      </c>
      <c r="E375" s="25">
        <f t="shared" si="2"/>
        <v>-122.1333856</v>
      </c>
      <c r="F375" s="24">
        <f t="shared" si="3"/>
        <v>0.0002128081718</v>
      </c>
      <c r="G375" s="24">
        <f t="shared" si="4"/>
        <v>0</v>
      </c>
      <c r="H375" s="26">
        <f t="shared" si="5"/>
        <v>0</v>
      </c>
      <c r="I375" s="24">
        <f t="shared" si="6"/>
        <v>0</v>
      </c>
      <c r="J375" s="24">
        <f t="shared" si="7"/>
        <v>0</v>
      </c>
      <c r="K375" s="24"/>
      <c r="L375" s="24">
        <f t="shared" si="8"/>
        <v>411.9546955</v>
      </c>
      <c r="M375" s="14">
        <f t="shared" si="9"/>
        <v>410.9713025</v>
      </c>
      <c r="N375" s="27">
        <f t="shared" si="10"/>
        <v>0.9833929758</v>
      </c>
      <c r="O375" s="24"/>
      <c r="P375" s="24"/>
      <c r="Q375" s="24"/>
      <c r="R375" s="26"/>
      <c r="S375" s="14">
        <f t="shared" si="13"/>
        <v>0.9030459667</v>
      </c>
    </row>
    <row r="376">
      <c r="A376" s="11">
        <v>364.0</v>
      </c>
      <c r="B376" s="11">
        <v>1.42097826086956E9</v>
      </c>
      <c r="C376" s="2">
        <v>-102.6863937</v>
      </c>
      <c r="D376" s="24">
        <f t="shared" si="1"/>
        <v>578260.8696</v>
      </c>
      <c r="E376" s="25">
        <f t="shared" si="2"/>
        <v>-123.0516817</v>
      </c>
      <c r="F376" s="24">
        <f t="shared" si="3"/>
        <v>0.0002127961413</v>
      </c>
      <c r="G376" s="24">
        <f t="shared" si="4"/>
        <v>0</v>
      </c>
      <c r="H376" s="26">
        <f t="shared" si="5"/>
        <v>0</v>
      </c>
      <c r="I376" s="24">
        <f t="shared" si="6"/>
        <v>0</v>
      </c>
      <c r="J376" s="24">
        <f t="shared" si="7"/>
        <v>0</v>
      </c>
      <c r="K376" s="24"/>
      <c r="L376" s="24">
        <f t="shared" si="8"/>
        <v>409.7007862</v>
      </c>
      <c r="M376" s="14">
        <f t="shared" si="9"/>
        <v>410.8780142</v>
      </c>
      <c r="N376" s="27">
        <f t="shared" si="10"/>
        <v>-1.177227951</v>
      </c>
      <c r="O376" s="24"/>
      <c r="P376" s="24"/>
      <c r="Q376" s="24"/>
      <c r="R376" s="26"/>
      <c r="S376" s="14">
        <f t="shared" si="13"/>
        <v>-1.081043872</v>
      </c>
    </row>
    <row r="377">
      <c r="A377" s="11">
        <v>365.0</v>
      </c>
      <c r="B377" s="11">
        <v>1.42098260869565E9</v>
      </c>
      <c r="C377" s="2">
        <v>-102.6861115</v>
      </c>
      <c r="D377" s="24">
        <f t="shared" si="1"/>
        <v>582608.6957</v>
      </c>
      <c r="E377" s="25">
        <f t="shared" si="2"/>
        <v>-123.9699778</v>
      </c>
      <c r="F377" s="24">
        <f t="shared" si="3"/>
        <v>0.0002127842903</v>
      </c>
      <c r="G377" s="24">
        <f t="shared" si="4"/>
        <v>0</v>
      </c>
      <c r="H377" s="26">
        <f t="shared" si="5"/>
        <v>0</v>
      </c>
      <c r="I377" s="24">
        <f t="shared" si="6"/>
        <v>0</v>
      </c>
      <c r="J377" s="24">
        <f t="shared" si="7"/>
        <v>0</v>
      </c>
      <c r="K377" s="24"/>
      <c r="L377" s="24">
        <f t="shared" si="8"/>
        <v>409.727409</v>
      </c>
      <c r="M377" s="14">
        <f t="shared" si="9"/>
        <v>410.7844728</v>
      </c>
      <c r="N377" s="27">
        <f t="shared" si="10"/>
        <v>-1.057063738</v>
      </c>
      <c r="O377" s="24"/>
      <c r="P377" s="24"/>
      <c r="Q377" s="24"/>
      <c r="R377" s="26"/>
      <c r="S377" s="14">
        <f t="shared" si="13"/>
        <v>-0.9706975423</v>
      </c>
    </row>
    <row r="378">
      <c r="A378" s="11">
        <v>366.0</v>
      </c>
      <c r="B378" s="11">
        <v>1.42098695652173E9</v>
      </c>
      <c r="C378" s="2">
        <v>-102.6503067</v>
      </c>
      <c r="D378" s="24">
        <f t="shared" si="1"/>
        <v>586956.5217</v>
      </c>
      <c r="E378" s="25">
        <f t="shared" si="2"/>
        <v>-124.888274</v>
      </c>
      <c r="F378" s="24">
        <f t="shared" si="3"/>
        <v>0.0002127726149</v>
      </c>
      <c r="G378" s="24">
        <f t="shared" si="4"/>
        <v>0</v>
      </c>
      <c r="H378" s="26">
        <f t="shared" si="5"/>
        <v>0</v>
      </c>
      <c r="I378" s="24">
        <f t="shared" si="6"/>
        <v>0</v>
      </c>
      <c r="J378" s="24">
        <f t="shared" si="7"/>
        <v>0</v>
      </c>
      <c r="K378" s="24"/>
      <c r="L378" s="24">
        <f t="shared" si="8"/>
        <v>413.1193121</v>
      </c>
      <c r="M378" s="14">
        <f t="shared" si="9"/>
        <v>410.6906767</v>
      </c>
      <c r="N378" s="27">
        <f t="shared" si="10"/>
        <v>2.428635393</v>
      </c>
      <c r="O378" s="24"/>
      <c r="P378" s="24"/>
      <c r="Q378" s="24"/>
      <c r="R378" s="26"/>
      <c r="S378" s="14">
        <f t="shared" si="13"/>
        <v>2.230206489</v>
      </c>
    </row>
    <row r="379">
      <c r="A379" s="11">
        <v>367.0</v>
      </c>
      <c r="B379" s="11">
        <v>1.42099130434782E9</v>
      </c>
      <c r="C379" s="2">
        <v>-102.6986694</v>
      </c>
      <c r="D379" s="24">
        <f t="shared" si="1"/>
        <v>591304.3478</v>
      </c>
      <c r="E379" s="25">
        <f t="shared" si="2"/>
        <v>-125.8065701</v>
      </c>
      <c r="F379" s="24">
        <f t="shared" si="3"/>
        <v>0.0002127611112</v>
      </c>
      <c r="G379" s="24">
        <f t="shared" si="4"/>
        <v>0</v>
      </c>
      <c r="H379" s="26">
        <f t="shared" si="5"/>
        <v>0</v>
      </c>
      <c r="I379" s="24">
        <f t="shared" si="6"/>
        <v>0</v>
      </c>
      <c r="J379" s="24">
        <f t="shared" si="7"/>
        <v>0</v>
      </c>
      <c r="K379" s="24"/>
      <c r="L379" s="24">
        <f t="shared" si="8"/>
        <v>408.5443675</v>
      </c>
      <c r="M379" s="14">
        <f t="shared" si="9"/>
        <v>410.5966243</v>
      </c>
      <c r="N379" s="27">
        <f t="shared" si="10"/>
        <v>-2.052256749</v>
      </c>
      <c r="O379" s="24"/>
      <c r="P379" s="24"/>
      <c r="Q379" s="24"/>
      <c r="R379" s="26"/>
      <c r="S379" s="14">
        <f t="shared" si="13"/>
        <v>-1.884579436</v>
      </c>
    </row>
    <row r="380">
      <c r="A380" s="11">
        <v>368.0</v>
      </c>
      <c r="B380" s="11">
        <v>1.42099565217391E9</v>
      </c>
      <c r="C380" s="2">
        <v>-102.6811218</v>
      </c>
      <c r="D380" s="24">
        <f t="shared" si="1"/>
        <v>595652.1739</v>
      </c>
      <c r="E380" s="25">
        <f t="shared" si="2"/>
        <v>-126.7248662</v>
      </c>
      <c r="F380" s="24">
        <f t="shared" si="3"/>
        <v>0.0002127497754</v>
      </c>
      <c r="G380" s="24">
        <f t="shared" si="4"/>
        <v>0</v>
      </c>
      <c r="H380" s="26">
        <f t="shared" si="5"/>
        <v>0</v>
      </c>
      <c r="I380" s="24">
        <f t="shared" si="6"/>
        <v>0</v>
      </c>
      <c r="J380" s="24">
        <f t="shared" si="7"/>
        <v>0</v>
      </c>
      <c r="K380" s="24"/>
      <c r="L380" s="24">
        <f t="shared" si="8"/>
        <v>410.1984239</v>
      </c>
      <c r="M380" s="14">
        <f t="shared" si="9"/>
        <v>410.5023139</v>
      </c>
      <c r="N380" s="27">
        <f t="shared" si="10"/>
        <v>-0.3038900096</v>
      </c>
      <c r="O380" s="24"/>
      <c r="P380" s="24"/>
      <c r="Q380" s="24"/>
      <c r="R380" s="26"/>
      <c r="S380" s="14">
        <f t="shared" si="13"/>
        <v>-0.27906102</v>
      </c>
    </row>
    <row r="381">
      <c r="A381" s="11">
        <v>369.0</v>
      </c>
      <c r="B381" s="11">
        <v>1.421E9</v>
      </c>
      <c r="C381" s="2">
        <v>-102.6502609</v>
      </c>
      <c r="D381" s="24">
        <f t="shared" si="1"/>
        <v>600000</v>
      </c>
      <c r="E381" s="25">
        <f t="shared" si="2"/>
        <v>-127.6431624</v>
      </c>
      <c r="F381" s="24">
        <f t="shared" si="3"/>
        <v>0.0002127386039</v>
      </c>
      <c r="G381" s="24">
        <f t="shared" si="4"/>
        <v>0</v>
      </c>
      <c r="H381" s="26">
        <f t="shared" si="5"/>
        <v>0</v>
      </c>
      <c r="I381" s="24">
        <f t="shared" si="6"/>
        <v>0</v>
      </c>
      <c r="J381" s="24">
        <f t="shared" si="7"/>
        <v>0</v>
      </c>
      <c r="K381" s="24"/>
      <c r="L381" s="24">
        <f t="shared" si="8"/>
        <v>413.1236688</v>
      </c>
      <c r="M381" s="14">
        <f t="shared" si="9"/>
        <v>410.4077441</v>
      </c>
      <c r="N381" s="27">
        <f t="shared" si="10"/>
        <v>2.715924708</v>
      </c>
      <c r="O381" s="24"/>
      <c r="P381" s="24"/>
      <c r="Q381" s="24"/>
      <c r="R381" s="26"/>
      <c r="S381" s="14">
        <f t="shared" si="13"/>
        <v>2.494023157</v>
      </c>
    </row>
    <row r="382">
      <c r="A382" s="11">
        <v>370.0</v>
      </c>
      <c r="B382" s="11">
        <v>1.42100434782608E9</v>
      </c>
      <c r="C382" s="2">
        <v>-102.6655731</v>
      </c>
      <c r="D382" s="24">
        <f t="shared" si="1"/>
        <v>604347.8261</v>
      </c>
      <c r="E382" s="25">
        <f t="shared" si="2"/>
        <v>-128.5614585</v>
      </c>
      <c r="F382" s="24">
        <f t="shared" si="3"/>
        <v>0.0002127275932</v>
      </c>
      <c r="G382" s="24">
        <f t="shared" si="4"/>
        <v>0</v>
      </c>
      <c r="H382" s="26">
        <f t="shared" si="5"/>
        <v>0</v>
      </c>
      <c r="I382" s="24">
        <f t="shared" si="6"/>
        <v>0</v>
      </c>
      <c r="J382" s="24">
        <f t="shared" si="7"/>
        <v>0</v>
      </c>
      <c r="K382" s="24"/>
      <c r="L382" s="24">
        <f t="shared" si="8"/>
        <v>411.6696568</v>
      </c>
      <c r="M382" s="14">
        <f t="shared" si="9"/>
        <v>410.312913</v>
      </c>
      <c r="N382" s="27">
        <f t="shared" si="10"/>
        <v>1.356743818</v>
      </c>
      <c r="O382" s="24"/>
      <c r="P382" s="24"/>
      <c r="Q382" s="24"/>
      <c r="R382" s="26"/>
      <c r="S382" s="14">
        <f t="shared" si="13"/>
        <v>1.245892601</v>
      </c>
    </row>
    <row r="383">
      <c r="A383" s="11">
        <v>371.0</v>
      </c>
      <c r="B383" s="11">
        <v>1.42100869565217E9</v>
      </c>
      <c r="C383" s="2">
        <v>-102.6806412</v>
      </c>
      <c r="D383" s="24">
        <f t="shared" si="1"/>
        <v>608695.6522</v>
      </c>
      <c r="E383" s="25">
        <f t="shared" si="2"/>
        <v>-129.4797546</v>
      </c>
      <c r="F383" s="24">
        <f t="shared" si="3"/>
        <v>0.0002127167398</v>
      </c>
      <c r="G383" s="24">
        <f t="shared" si="4"/>
        <v>0</v>
      </c>
      <c r="H383" s="26">
        <f t="shared" si="5"/>
        <v>0</v>
      </c>
      <c r="I383" s="24">
        <f t="shared" si="6"/>
        <v>0</v>
      </c>
      <c r="J383" s="24">
        <f t="shared" si="7"/>
        <v>0</v>
      </c>
      <c r="K383" s="24"/>
      <c r="L383" s="24">
        <f t="shared" si="8"/>
        <v>410.2438199</v>
      </c>
      <c r="M383" s="14">
        <f t="shared" si="9"/>
        <v>410.2178192</v>
      </c>
      <c r="N383" s="27">
        <f t="shared" si="10"/>
        <v>0.02600076213</v>
      </c>
      <c r="O383" s="24"/>
      <c r="P383" s="24"/>
      <c r="Q383" s="24"/>
      <c r="R383" s="26"/>
      <c r="S383" s="14">
        <f t="shared" si="13"/>
        <v>0.02387639926</v>
      </c>
    </row>
    <row r="384">
      <c r="A384" s="11">
        <v>372.0</v>
      </c>
      <c r="B384" s="11">
        <v>1.42101304347826E9</v>
      </c>
      <c r="C384" s="2">
        <v>-102.654007</v>
      </c>
      <c r="D384" s="24">
        <f t="shared" si="1"/>
        <v>613043.4783</v>
      </c>
      <c r="E384" s="25">
        <f t="shared" si="2"/>
        <v>-130.3980508</v>
      </c>
      <c r="F384" s="24">
        <f t="shared" si="3"/>
        <v>0.0002127060402</v>
      </c>
      <c r="G384" s="24">
        <f t="shared" si="4"/>
        <v>0</v>
      </c>
      <c r="H384" s="26">
        <f t="shared" si="5"/>
        <v>0</v>
      </c>
      <c r="I384" s="24">
        <f t="shared" si="6"/>
        <v>0</v>
      </c>
      <c r="J384" s="24">
        <f t="shared" si="7"/>
        <v>0</v>
      </c>
      <c r="K384" s="24"/>
      <c r="L384" s="24">
        <f t="shared" si="8"/>
        <v>412.7674737</v>
      </c>
      <c r="M384" s="14">
        <f t="shared" si="9"/>
        <v>410.1224609</v>
      </c>
      <c r="N384" s="27">
        <f t="shared" si="10"/>
        <v>2.645012876</v>
      </c>
      <c r="O384" s="24"/>
      <c r="P384" s="24"/>
      <c r="Q384" s="24"/>
      <c r="R384" s="26"/>
      <c r="S384" s="14">
        <f t="shared" si="13"/>
        <v>2.428905095</v>
      </c>
    </row>
    <row r="385">
      <c r="A385" s="11">
        <v>373.0</v>
      </c>
      <c r="B385" s="11">
        <v>1.42101739130434E9</v>
      </c>
      <c r="C385" s="2">
        <v>-102.6741104</v>
      </c>
      <c r="D385" s="24">
        <f t="shared" si="1"/>
        <v>617391.3043</v>
      </c>
      <c r="E385" s="25">
        <f t="shared" si="2"/>
        <v>-131.3163469</v>
      </c>
      <c r="F385" s="24">
        <f t="shared" si="3"/>
        <v>0.0002126954915</v>
      </c>
      <c r="G385" s="24">
        <f t="shared" si="4"/>
        <v>0</v>
      </c>
      <c r="H385" s="26">
        <f t="shared" si="5"/>
        <v>0</v>
      </c>
      <c r="I385" s="24">
        <f t="shared" si="6"/>
        <v>0</v>
      </c>
      <c r="J385" s="24">
        <f t="shared" si="7"/>
        <v>0</v>
      </c>
      <c r="K385" s="24"/>
      <c r="L385" s="24">
        <f t="shared" si="8"/>
        <v>410.8611973</v>
      </c>
      <c r="M385" s="14">
        <f t="shared" si="9"/>
        <v>410.0268365</v>
      </c>
      <c r="N385" s="27">
        <f t="shared" si="10"/>
        <v>0.8343607334</v>
      </c>
      <c r="O385" s="24"/>
      <c r="P385" s="24"/>
      <c r="Q385" s="24"/>
      <c r="R385" s="26"/>
      <c r="S385" s="14">
        <f t="shared" si="13"/>
        <v>0.7661902348</v>
      </c>
    </row>
    <row r="386">
      <c r="A386" s="11">
        <v>374.0</v>
      </c>
      <c r="B386" s="11">
        <v>1.42102173913043E9</v>
      </c>
      <c r="C386" s="2">
        <v>-102.6237869</v>
      </c>
      <c r="D386" s="24">
        <f t="shared" si="1"/>
        <v>621739.1304</v>
      </c>
      <c r="E386" s="25">
        <f t="shared" si="2"/>
        <v>-132.234643</v>
      </c>
      <c r="F386" s="24">
        <f t="shared" si="3"/>
        <v>0.0002126850902</v>
      </c>
      <c r="G386" s="24">
        <f t="shared" si="4"/>
        <v>0</v>
      </c>
      <c r="H386" s="26">
        <f t="shared" si="5"/>
        <v>0</v>
      </c>
      <c r="I386" s="24">
        <f t="shared" si="6"/>
        <v>0</v>
      </c>
      <c r="J386" s="24">
        <f t="shared" si="7"/>
        <v>0</v>
      </c>
      <c r="K386" s="24"/>
      <c r="L386" s="24">
        <f t="shared" si="8"/>
        <v>415.6497057</v>
      </c>
      <c r="M386" s="14">
        <f t="shared" si="9"/>
        <v>409.9309445</v>
      </c>
      <c r="N386" s="27">
        <f t="shared" si="10"/>
        <v>5.718761202</v>
      </c>
      <c r="O386" s="24"/>
      <c r="P386" s="24"/>
      <c r="Q386" s="24"/>
      <c r="R386" s="26"/>
      <c r="S386" s="14">
        <f t="shared" si="13"/>
        <v>5.251516284</v>
      </c>
    </row>
    <row r="387">
      <c r="A387" s="11">
        <v>375.0</v>
      </c>
      <c r="B387" s="11">
        <v>1.42102608695652E9</v>
      </c>
      <c r="C387" s="2">
        <v>-102.7247238</v>
      </c>
      <c r="D387" s="24">
        <f t="shared" si="1"/>
        <v>626086.9565</v>
      </c>
      <c r="E387" s="25">
        <f t="shared" si="2"/>
        <v>-133.1529392</v>
      </c>
      <c r="F387" s="24">
        <f t="shared" si="3"/>
        <v>0.0002126748334</v>
      </c>
      <c r="G387" s="24">
        <f t="shared" si="4"/>
        <v>0</v>
      </c>
      <c r="H387" s="26">
        <f t="shared" si="5"/>
        <v>0</v>
      </c>
      <c r="I387" s="24">
        <f t="shared" si="6"/>
        <v>0</v>
      </c>
      <c r="J387" s="24">
        <f t="shared" si="7"/>
        <v>0</v>
      </c>
      <c r="K387" s="24"/>
      <c r="L387" s="24">
        <f t="shared" si="8"/>
        <v>406.1007461</v>
      </c>
      <c r="M387" s="14">
        <f t="shared" si="9"/>
        <v>409.8347832</v>
      </c>
      <c r="N387" s="27">
        <f t="shared" si="10"/>
        <v>-3.734037143</v>
      </c>
      <c r="O387" s="24"/>
      <c r="P387" s="24"/>
      <c r="Q387" s="24"/>
      <c r="R387" s="26"/>
      <c r="S387" s="14">
        <f t="shared" si="13"/>
        <v>-3.428951869</v>
      </c>
    </row>
    <row r="388">
      <c r="A388" s="11">
        <v>376.0</v>
      </c>
      <c r="B388" s="11">
        <v>1.4210304347826E9</v>
      </c>
      <c r="C388" s="2">
        <v>-102.6498871</v>
      </c>
      <c r="D388" s="24">
        <f t="shared" si="1"/>
        <v>630434.7826</v>
      </c>
      <c r="E388" s="25">
        <f t="shared" si="2"/>
        <v>-134.0712353</v>
      </c>
      <c r="F388" s="24">
        <f t="shared" si="3"/>
        <v>0.0002126647181</v>
      </c>
      <c r="G388" s="24">
        <f t="shared" si="4"/>
        <v>0</v>
      </c>
      <c r="H388" s="26">
        <f t="shared" si="5"/>
        <v>0</v>
      </c>
      <c r="I388" s="24">
        <f t="shared" si="6"/>
        <v>0</v>
      </c>
      <c r="J388" s="24">
        <f t="shared" si="7"/>
        <v>0</v>
      </c>
      <c r="K388" s="24"/>
      <c r="L388" s="24">
        <f t="shared" si="8"/>
        <v>413.1592281</v>
      </c>
      <c r="M388" s="14">
        <f t="shared" si="9"/>
        <v>409.738351</v>
      </c>
      <c r="N388" s="27">
        <f t="shared" si="10"/>
        <v>3.420877107</v>
      </c>
      <c r="O388" s="24"/>
      <c r="P388" s="24"/>
      <c r="Q388" s="24"/>
      <c r="R388" s="26"/>
      <c r="S388" s="14">
        <f t="shared" si="13"/>
        <v>3.141378218</v>
      </c>
    </row>
    <row r="389">
      <c r="A389" s="11">
        <v>377.0</v>
      </c>
      <c r="B389" s="11">
        <v>1.42103478260869E9</v>
      </c>
      <c r="C389" s="2">
        <v>-102.6544724</v>
      </c>
      <c r="D389" s="24">
        <f t="shared" si="1"/>
        <v>634782.6087</v>
      </c>
      <c r="E389" s="25">
        <f t="shared" si="2"/>
        <v>-134.9895314</v>
      </c>
      <c r="F389" s="24">
        <f t="shared" si="3"/>
        <v>0.0002126547413</v>
      </c>
      <c r="G389" s="24">
        <f t="shared" si="4"/>
        <v>0</v>
      </c>
      <c r="H389" s="26">
        <f t="shared" si="5"/>
        <v>0</v>
      </c>
      <c r="I389" s="24">
        <f t="shared" si="6"/>
        <v>0</v>
      </c>
      <c r="J389" s="24">
        <f t="shared" si="7"/>
        <v>0</v>
      </c>
      <c r="K389" s="24"/>
      <c r="L389" s="24">
        <f t="shared" si="8"/>
        <v>412.723243</v>
      </c>
      <c r="M389" s="14">
        <f t="shared" si="9"/>
        <v>409.6416462</v>
      </c>
      <c r="N389" s="27">
        <f t="shared" si="10"/>
        <v>3.081596777</v>
      </c>
      <c r="O389" s="24"/>
      <c r="P389" s="24"/>
      <c r="Q389" s="24"/>
      <c r="R389" s="26"/>
      <c r="S389" s="14">
        <f t="shared" si="13"/>
        <v>2.829818403</v>
      </c>
    </row>
    <row r="390">
      <c r="A390" s="11">
        <v>378.0</v>
      </c>
      <c r="B390" s="11">
        <v>1.42103913043478E9</v>
      </c>
      <c r="C390" s="2">
        <v>-102.6929703</v>
      </c>
      <c r="D390" s="24">
        <f t="shared" si="1"/>
        <v>639130.4348</v>
      </c>
      <c r="E390" s="25">
        <f t="shared" si="2"/>
        <v>-135.9078276</v>
      </c>
      <c r="F390" s="24">
        <f t="shared" si="3"/>
        <v>0.0002126449003</v>
      </c>
      <c r="G390" s="24">
        <f t="shared" si="4"/>
        <v>0</v>
      </c>
      <c r="H390" s="26">
        <f t="shared" si="5"/>
        <v>0</v>
      </c>
      <c r="I390" s="24">
        <f t="shared" si="6"/>
        <v>0</v>
      </c>
      <c r="J390" s="24">
        <f t="shared" si="7"/>
        <v>0</v>
      </c>
      <c r="K390" s="24"/>
      <c r="L390" s="24">
        <f t="shared" si="8"/>
        <v>409.0808384</v>
      </c>
      <c r="M390" s="14">
        <f t="shared" si="9"/>
        <v>409.5446673</v>
      </c>
      <c r="N390" s="27">
        <f t="shared" si="10"/>
        <v>-0.4638288479</v>
      </c>
      <c r="O390" s="24"/>
      <c r="P390" s="24"/>
      <c r="Q390" s="24"/>
      <c r="R390" s="26"/>
      <c r="S390" s="14">
        <f t="shared" si="13"/>
        <v>-0.4259322363</v>
      </c>
    </row>
    <row r="391">
      <c r="A391" s="11">
        <v>379.0</v>
      </c>
      <c r="B391" s="11">
        <v>1.42104347826087E9</v>
      </c>
      <c r="C391" s="2">
        <v>-102.662056</v>
      </c>
      <c r="D391" s="24">
        <f t="shared" si="1"/>
        <v>643478.2609</v>
      </c>
      <c r="E391" s="25">
        <f t="shared" si="2"/>
        <v>-136.8261237</v>
      </c>
      <c r="F391" s="24">
        <f t="shared" si="3"/>
        <v>0.0002126351922</v>
      </c>
      <c r="G391" s="24">
        <f t="shared" si="4"/>
        <v>0</v>
      </c>
      <c r="H391" s="26">
        <f t="shared" si="5"/>
        <v>0</v>
      </c>
      <c r="I391" s="24">
        <f t="shared" si="6"/>
        <v>0</v>
      </c>
      <c r="J391" s="24">
        <f t="shared" si="7"/>
        <v>0</v>
      </c>
      <c r="K391" s="24"/>
      <c r="L391" s="24">
        <f t="shared" si="8"/>
        <v>412.0031793</v>
      </c>
      <c r="M391" s="14">
        <f t="shared" si="9"/>
        <v>409.4474125</v>
      </c>
      <c r="N391" s="27">
        <f t="shared" si="10"/>
        <v>2.555766795</v>
      </c>
      <c r="O391" s="24"/>
      <c r="P391" s="24"/>
      <c r="Q391" s="24"/>
      <c r="R391" s="26"/>
      <c r="S391" s="14">
        <f t="shared" si="13"/>
        <v>2.346950764</v>
      </c>
    </row>
    <row r="392">
      <c r="A392" s="11">
        <v>380.0</v>
      </c>
      <c r="B392" s="11">
        <v>1.42104782608695E9</v>
      </c>
      <c r="C392" s="2">
        <v>-102.6291428</v>
      </c>
      <c r="D392" s="24">
        <f t="shared" si="1"/>
        <v>647826.087</v>
      </c>
      <c r="E392" s="25">
        <f t="shared" si="2"/>
        <v>-137.7444198</v>
      </c>
      <c r="F392" s="24">
        <f t="shared" si="3"/>
        <v>0.0002126256145</v>
      </c>
      <c r="G392" s="24">
        <f t="shared" si="4"/>
        <v>0</v>
      </c>
      <c r="H392" s="26">
        <f t="shared" si="5"/>
        <v>0</v>
      </c>
      <c r="I392" s="24">
        <f t="shared" si="6"/>
        <v>0</v>
      </c>
      <c r="J392" s="24">
        <f t="shared" si="7"/>
        <v>0</v>
      </c>
      <c r="K392" s="24"/>
      <c r="L392" s="24">
        <f t="shared" si="8"/>
        <v>415.1374252</v>
      </c>
      <c r="M392" s="14">
        <f t="shared" si="9"/>
        <v>409.3498803</v>
      </c>
      <c r="N392" s="27">
        <f t="shared" si="10"/>
        <v>5.787544855</v>
      </c>
      <c r="O392" s="24"/>
      <c r="P392" s="24"/>
      <c r="Q392" s="24"/>
      <c r="R392" s="26"/>
      <c r="S392" s="14">
        <f t="shared" si="13"/>
        <v>5.314680059</v>
      </c>
    </row>
    <row r="393">
      <c r="A393" s="11">
        <v>381.0</v>
      </c>
      <c r="B393" s="11">
        <v>1.42105217391304E9</v>
      </c>
      <c r="C393" s="2">
        <v>-102.6731491</v>
      </c>
      <c r="D393" s="24">
        <f t="shared" si="1"/>
        <v>652173.913</v>
      </c>
      <c r="E393" s="25">
        <f t="shared" si="2"/>
        <v>-138.662716</v>
      </c>
      <c r="F393" s="24">
        <f t="shared" si="3"/>
        <v>0.0002126161645</v>
      </c>
      <c r="G393" s="24">
        <f t="shared" si="4"/>
        <v>0</v>
      </c>
      <c r="H393" s="26">
        <f t="shared" si="5"/>
        <v>0</v>
      </c>
      <c r="I393" s="24">
        <f t="shared" si="6"/>
        <v>0</v>
      </c>
      <c r="J393" s="24">
        <f t="shared" si="7"/>
        <v>0</v>
      </c>
      <c r="K393" s="24"/>
      <c r="L393" s="24">
        <f t="shared" si="8"/>
        <v>410.9521504</v>
      </c>
      <c r="M393" s="14">
        <f t="shared" si="9"/>
        <v>409.2520691</v>
      </c>
      <c r="N393" s="27">
        <f t="shared" si="10"/>
        <v>1.700081321</v>
      </c>
      <c r="O393" s="24"/>
      <c r="P393" s="24"/>
      <c r="Q393" s="24"/>
      <c r="R393" s="26"/>
      <c r="S393" s="14">
        <f t="shared" si="13"/>
        <v>1.561178099</v>
      </c>
    </row>
    <row r="394">
      <c r="A394" s="11">
        <v>382.0</v>
      </c>
      <c r="B394" s="11">
        <v>1.42105652173913E9</v>
      </c>
      <c r="C394" s="2">
        <v>-102.6836929</v>
      </c>
      <c r="D394" s="24">
        <f t="shared" si="1"/>
        <v>656521.7391</v>
      </c>
      <c r="E394" s="25">
        <f t="shared" si="2"/>
        <v>-139.5810121</v>
      </c>
      <c r="F394" s="24">
        <f t="shared" si="3"/>
        <v>0.0002126068396</v>
      </c>
      <c r="G394" s="24">
        <f t="shared" si="4"/>
        <v>0</v>
      </c>
      <c r="H394" s="26">
        <f t="shared" si="5"/>
        <v>0</v>
      </c>
      <c r="I394" s="24">
        <f t="shared" si="6"/>
        <v>0</v>
      </c>
      <c r="J394" s="24">
        <f t="shared" si="7"/>
        <v>0</v>
      </c>
      <c r="K394" s="24"/>
      <c r="L394" s="24">
        <f t="shared" si="8"/>
        <v>409.9556511</v>
      </c>
      <c r="M394" s="14">
        <f t="shared" si="9"/>
        <v>409.1539772</v>
      </c>
      <c r="N394" s="27">
        <f t="shared" si="10"/>
        <v>0.8016738632</v>
      </c>
      <c r="O394" s="24"/>
      <c r="P394" s="24"/>
      <c r="Q394" s="24"/>
      <c r="R394" s="26"/>
      <c r="S394" s="14">
        <f t="shared" si="13"/>
        <v>0.7361740083</v>
      </c>
    </row>
    <row r="395">
      <c r="A395" s="11">
        <v>383.0</v>
      </c>
      <c r="B395" s="11">
        <v>1.42106086956521E9</v>
      </c>
      <c r="C395" s="2">
        <v>-102.6727524</v>
      </c>
      <c r="D395" s="24">
        <f t="shared" si="1"/>
        <v>660869.5652</v>
      </c>
      <c r="E395" s="25">
        <f t="shared" si="2"/>
        <v>-140.4993082</v>
      </c>
      <c r="F395" s="24">
        <f t="shared" si="3"/>
        <v>0.0002125976374</v>
      </c>
      <c r="G395" s="24">
        <f t="shared" si="4"/>
        <v>0</v>
      </c>
      <c r="H395" s="26">
        <f t="shared" si="5"/>
        <v>0</v>
      </c>
      <c r="I395" s="24">
        <f t="shared" si="6"/>
        <v>0</v>
      </c>
      <c r="J395" s="24">
        <f t="shared" si="7"/>
        <v>0</v>
      </c>
      <c r="K395" s="24"/>
      <c r="L395" s="24">
        <f t="shared" si="8"/>
        <v>410.98969</v>
      </c>
      <c r="M395" s="14">
        <f t="shared" si="9"/>
        <v>409.055603</v>
      </c>
      <c r="N395" s="27">
        <f t="shared" si="10"/>
        <v>1.934086957</v>
      </c>
      <c r="O395" s="24"/>
      <c r="P395" s="24"/>
      <c r="Q395" s="24"/>
      <c r="R395" s="26"/>
      <c r="S395" s="14">
        <f t="shared" si="13"/>
        <v>1.776064573</v>
      </c>
    </row>
    <row r="396">
      <c r="A396" s="11">
        <v>384.0</v>
      </c>
      <c r="B396" s="11">
        <v>1.4210652173913E9</v>
      </c>
      <c r="C396" s="2">
        <v>-102.7062912</v>
      </c>
      <c r="D396" s="24">
        <f t="shared" si="1"/>
        <v>665217.3913</v>
      </c>
      <c r="E396" s="25">
        <f t="shared" si="2"/>
        <v>-141.4176043</v>
      </c>
      <c r="F396" s="24">
        <f t="shared" si="3"/>
        <v>0.0002125885556</v>
      </c>
      <c r="G396" s="24">
        <f t="shared" si="4"/>
        <v>0</v>
      </c>
      <c r="H396" s="26">
        <f t="shared" si="5"/>
        <v>0</v>
      </c>
      <c r="I396" s="24">
        <f t="shared" si="6"/>
        <v>0</v>
      </c>
      <c r="J396" s="24">
        <f t="shared" si="7"/>
        <v>0</v>
      </c>
      <c r="K396" s="24"/>
      <c r="L396" s="24">
        <f t="shared" si="8"/>
        <v>407.8280073</v>
      </c>
      <c r="M396" s="14">
        <f t="shared" si="9"/>
        <v>408.9569449</v>
      </c>
      <c r="N396" s="27">
        <f t="shared" si="10"/>
        <v>-1.128937567</v>
      </c>
      <c r="O396" s="24"/>
      <c r="P396" s="24"/>
      <c r="Q396" s="24"/>
      <c r="R396" s="26"/>
      <c r="S396" s="14">
        <f t="shared" si="13"/>
        <v>-1.036698999</v>
      </c>
    </row>
    <row r="397">
      <c r="A397" s="11">
        <v>385.0</v>
      </c>
      <c r="B397" s="11">
        <v>1.42106956521739E9</v>
      </c>
      <c r="C397" s="2">
        <v>-102.6209641</v>
      </c>
      <c r="D397" s="24">
        <f t="shared" si="1"/>
        <v>669565.2174</v>
      </c>
      <c r="E397" s="25">
        <f t="shared" si="2"/>
        <v>-142.3359005</v>
      </c>
      <c r="F397" s="24">
        <f t="shared" si="3"/>
        <v>0.0002125795916</v>
      </c>
      <c r="G397" s="24">
        <f t="shared" si="4"/>
        <v>0</v>
      </c>
      <c r="H397" s="26">
        <f t="shared" si="5"/>
        <v>0</v>
      </c>
      <c r="I397" s="24">
        <f t="shared" si="6"/>
        <v>0</v>
      </c>
      <c r="J397" s="24">
        <f t="shared" si="7"/>
        <v>0</v>
      </c>
      <c r="K397" s="24"/>
      <c r="L397" s="24">
        <f t="shared" si="8"/>
        <v>415.9199549</v>
      </c>
      <c r="M397" s="14">
        <f t="shared" si="9"/>
        <v>408.8580012</v>
      </c>
      <c r="N397" s="27">
        <f t="shared" si="10"/>
        <v>7.0619537</v>
      </c>
      <c r="O397" s="24"/>
      <c r="P397" s="24"/>
      <c r="Q397" s="24"/>
      <c r="R397" s="26"/>
      <c r="S397" s="14">
        <f t="shared" si="13"/>
        <v>6.484964773</v>
      </c>
    </row>
    <row r="398">
      <c r="A398" s="11">
        <v>386.0</v>
      </c>
      <c r="B398" s="11">
        <v>1.42107391304347E9</v>
      </c>
      <c r="C398" s="2">
        <v>-102.6855545</v>
      </c>
      <c r="D398" s="24">
        <f t="shared" si="1"/>
        <v>673913.0435</v>
      </c>
      <c r="E398" s="25">
        <f t="shared" si="2"/>
        <v>-143.2541966</v>
      </c>
      <c r="F398" s="24">
        <f t="shared" si="3"/>
        <v>0.0002125707434</v>
      </c>
      <c r="G398" s="24">
        <f t="shared" si="4"/>
        <v>0</v>
      </c>
      <c r="H398" s="26">
        <f t="shared" si="5"/>
        <v>0</v>
      </c>
      <c r="I398" s="24">
        <f t="shared" si="6"/>
        <v>0</v>
      </c>
      <c r="J398" s="24">
        <f t="shared" si="7"/>
        <v>0</v>
      </c>
      <c r="K398" s="24"/>
      <c r="L398" s="24">
        <f t="shared" si="8"/>
        <v>409.7799616</v>
      </c>
      <c r="M398" s="14">
        <f t="shared" si="9"/>
        <v>408.7587704</v>
      </c>
      <c r="N398" s="27">
        <f t="shared" si="10"/>
        <v>1.021191161</v>
      </c>
      <c r="O398" s="24"/>
      <c r="P398" s="24"/>
      <c r="Q398" s="24"/>
      <c r="R398" s="26"/>
      <c r="S398" s="14">
        <f t="shared" si="13"/>
        <v>0.9377558939</v>
      </c>
    </row>
    <row r="399">
      <c r="A399" s="11">
        <v>387.0</v>
      </c>
      <c r="B399" s="11">
        <v>1.42107826086956E9</v>
      </c>
      <c r="C399" s="2">
        <v>-102.6839752</v>
      </c>
      <c r="D399" s="24">
        <f t="shared" si="1"/>
        <v>678260.8696</v>
      </c>
      <c r="E399" s="25">
        <f t="shared" si="2"/>
        <v>-144.1724927</v>
      </c>
      <c r="F399" s="24">
        <f t="shared" si="3"/>
        <v>0.0002125620085</v>
      </c>
      <c r="G399" s="24">
        <f t="shared" si="4"/>
        <v>0</v>
      </c>
      <c r="H399" s="26">
        <f t="shared" si="5"/>
        <v>0</v>
      </c>
      <c r="I399" s="24">
        <f t="shared" si="6"/>
        <v>0</v>
      </c>
      <c r="J399" s="24">
        <f t="shared" si="7"/>
        <v>0</v>
      </c>
      <c r="K399" s="24"/>
      <c r="L399" s="24">
        <f t="shared" si="8"/>
        <v>409.929004</v>
      </c>
      <c r="M399" s="14">
        <f t="shared" si="9"/>
        <v>408.6592508</v>
      </c>
      <c r="N399" s="27">
        <f t="shared" si="10"/>
        <v>1.269753256</v>
      </c>
      <c r="O399" s="24"/>
      <c r="P399" s="24"/>
      <c r="Q399" s="24"/>
      <c r="R399" s="26"/>
      <c r="S399" s="14">
        <f t="shared" si="13"/>
        <v>1.166009502</v>
      </c>
    </row>
    <row r="400">
      <c r="A400" s="11">
        <v>388.0</v>
      </c>
      <c r="B400" s="11">
        <v>1.42108260869565E9</v>
      </c>
      <c r="C400" s="2">
        <v>-102.7108078</v>
      </c>
      <c r="D400" s="24">
        <f t="shared" si="1"/>
        <v>682608.6957</v>
      </c>
      <c r="E400" s="25">
        <f t="shared" si="2"/>
        <v>-145.0907889</v>
      </c>
      <c r="F400" s="24">
        <f t="shared" si="3"/>
        <v>0.000212553385</v>
      </c>
      <c r="G400" s="24">
        <f t="shared" si="4"/>
        <v>0</v>
      </c>
      <c r="H400" s="26">
        <f t="shared" si="5"/>
        <v>0</v>
      </c>
      <c r="I400" s="24">
        <f t="shared" si="6"/>
        <v>0</v>
      </c>
      <c r="J400" s="24">
        <f t="shared" si="7"/>
        <v>0</v>
      </c>
      <c r="K400" s="24"/>
      <c r="L400" s="24">
        <f t="shared" si="8"/>
        <v>407.4040926</v>
      </c>
      <c r="M400" s="14">
        <f t="shared" si="9"/>
        <v>408.5594407</v>
      </c>
      <c r="N400" s="27">
        <f t="shared" si="10"/>
        <v>-1.155348145</v>
      </c>
      <c r="O400" s="24"/>
      <c r="P400" s="24"/>
      <c r="Q400" s="24"/>
      <c r="R400" s="26"/>
      <c r="S400" s="14">
        <f t="shared" si="13"/>
        <v>-1.060951734</v>
      </c>
    </row>
    <row r="401">
      <c r="A401" s="11">
        <v>389.0</v>
      </c>
      <c r="B401" s="11">
        <v>1.42108695652173E9</v>
      </c>
      <c r="C401" s="2">
        <v>-102.7098846</v>
      </c>
      <c r="D401" s="24">
        <f t="shared" si="1"/>
        <v>686956.5217</v>
      </c>
      <c r="E401" s="25">
        <f t="shared" si="2"/>
        <v>-146.009085</v>
      </c>
      <c r="F401" s="24">
        <f t="shared" si="3"/>
        <v>0.0002125448706</v>
      </c>
      <c r="G401" s="24">
        <f t="shared" si="4"/>
        <v>0</v>
      </c>
      <c r="H401" s="26">
        <f t="shared" si="5"/>
        <v>0</v>
      </c>
      <c r="I401" s="24">
        <f t="shared" si="6"/>
        <v>0</v>
      </c>
      <c r="J401" s="24">
        <f t="shared" si="7"/>
        <v>0</v>
      </c>
      <c r="K401" s="24"/>
      <c r="L401" s="24">
        <f t="shared" si="8"/>
        <v>407.4907056</v>
      </c>
      <c r="M401" s="14">
        <f t="shared" si="9"/>
        <v>408.4593386</v>
      </c>
      <c r="N401" s="27">
        <f t="shared" si="10"/>
        <v>-0.9686330501</v>
      </c>
      <c r="O401" s="24"/>
      <c r="P401" s="24"/>
      <c r="Q401" s="24"/>
      <c r="R401" s="26"/>
      <c r="S401" s="14">
        <f t="shared" si="13"/>
        <v>-0.889491984</v>
      </c>
    </row>
    <row r="402">
      <c r="A402" s="11">
        <v>390.0</v>
      </c>
      <c r="B402" s="11">
        <v>1.42109130434782E9</v>
      </c>
      <c r="C402" s="2">
        <v>-102.7108002</v>
      </c>
      <c r="D402" s="24">
        <f t="shared" si="1"/>
        <v>691304.3478</v>
      </c>
      <c r="E402" s="25">
        <f t="shared" si="2"/>
        <v>-146.9273811</v>
      </c>
      <c r="F402" s="24">
        <f t="shared" si="3"/>
        <v>0.0002125364633</v>
      </c>
      <c r="G402" s="24">
        <f t="shared" si="4"/>
        <v>0</v>
      </c>
      <c r="H402" s="26">
        <f t="shared" si="5"/>
        <v>0</v>
      </c>
      <c r="I402" s="24">
        <f t="shared" si="6"/>
        <v>0</v>
      </c>
      <c r="J402" s="24">
        <f t="shared" si="7"/>
        <v>0</v>
      </c>
      <c r="K402" s="24"/>
      <c r="L402" s="24">
        <f t="shared" si="8"/>
        <v>407.4048055</v>
      </c>
      <c r="M402" s="14">
        <f t="shared" si="9"/>
        <v>408.3589428</v>
      </c>
      <c r="N402" s="27">
        <f t="shared" si="10"/>
        <v>-0.9541373205</v>
      </c>
      <c r="O402" s="24"/>
      <c r="P402" s="24"/>
      <c r="Q402" s="24"/>
      <c r="R402" s="26"/>
      <c r="S402" s="14">
        <f t="shared" si="13"/>
        <v>-0.8761806116</v>
      </c>
    </row>
    <row r="403">
      <c r="A403" s="11">
        <v>391.0</v>
      </c>
      <c r="B403" s="11">
        <v>1.42109565217391E9</v>
      </c>
      <c r="C403" s="2">
        <v>-102.6368713</v>
      </c>
      <c r="D403" s="24">
        <f t="shared" si="1"/>
        <v>695652.1739</v>
      </c>
      <c r="E403" s="25">
        <f t="shared" si="2"/>
        <v>-147.8456773</v>
      </c>
      <c r="F403" s="24">
        <f t="shared" si="3"/>
        <v>0.0002125281611</v>
      </c>
      <c r="G403" s="24">
        <f t="shared" si="4"/>
        <v>0</v>
      </c>
      <c r="H403" s="26">
        <f t="shared" si="5"/>
        <v>0</v>
      </c>
      <c r="I403" s="24">
        <f t="shared" si="6"/>
        <v>0</v>
      </c>
      <c r="J403" s="24">
        <f t="shared" si="7"/>
        <v>0</v>
      </c>
      <c r="K403" s="24"/>
      <c r="L403" s="24">
        <f t="shared" si="8"/>
        <v>414.3993231</v>
      </c>
      <c r="M403" s="14">
        <f t="shared" si="9"/>
        <v>408.2582518</v>
      </c>
      <c r="N403" s="27">
        <f t="shared" si="10"/>
        <v>6.14107138</v>
      </c>
      <c r="O403" s="24"/>
      <c r="P403" s="24"/>
      <c r="Q403" s="24"/>
      <c r="R403" s="26"/>
      <c r="S403" s="14">
        <f t="shared" si="13"/>
        <v>5.639322086</v>
      </c>
    </row>
    <row r="404">
      <c r="A404" s="11">
        <v>392.0</v>
      </c>
      <c r="B404" s="11">
        <v>1.4211E9</v>
      </c>
      <c r="C404" s="2">
        <v>-102.6747208</v>
      </c>
      <c r="D404" s="24">
        <f t="shared" si="1"/>
        <v>700000</v>
      </c>
      <c r="E404" s="25">
        <f t="shared" si="2"/>
        <v>-148.7639734</v>
      </c>
      <c r="F404" s="24">
        <f t="shared" si="3"/>
        <v>0.000212519962</v>
      </c>
      <c r="G404" s="24">
        <f t="shared" si="4"/>
        <v>0</v>
      </c>
      <c r="H404" s="26">
        <f t="shared" si="5"/>
        <v>0</v>
      </c>
      <c r="I404" s="24">
        <f t="shared" si="6"/>
        <v>0</v>
      </c>
      <c r="J404" s="24">
        <f t="shared" si="7"/>
        <v>0</v>
      </c>
      <c r="K404" s="24"/>
      <c r="L404" s="24">
        <f t="shared" si="8"/>
        <v>410.8034549</v>
      </c>
      <c r="M404" s="14">
        <f t="shared" si="9"/>
        <v>408.1572638</v>
      </c>
      <c r="N404" s="27">
        <f t="shared" si="10"/>
        <v>2.646191114</v>
      </c>
      <c r="O404" s="24"/>
      <c r="P404" s="24"/>
      <c r="Q404" s="24"/>
      <c r="R404" s="26"/>
      <c r="S404" s="14">
        <f t="shared" si="13"/>
        <v>2.429987067</v>
      </c>
    </row>
    <row r="405">
      <c r="A405" s="11">
        <v>393.0</v>
      </c>
      <c r="B405" s="11">
        <v>1.42110434782608E9</v>
      </c>
      <c r="C405" s="2">
        <v>-102.7332306</v>
      </c>
      <c r="D405" s="24">
        <f t="shared" si="1"/>
        <v>704347.8261</v>
      </c>
      <c r="E405" s="25">
        <f t="shared" si="2"/>
        <v>-149.6822695</v>
      </c>
      <c r="F405" s="24">
        <f t="shared" si="3"/>
        <v>0.0002125118642</v>
      </c>
      <c r="G405" s="24">
        <f t="shared" si="4"/>
        <v>0</v>
      </c>
      <c r="H405" s="26">
        <f t="shared" si="5"/>
        <v>0</v>
      </c>
      <c r="I405" s="24">
        <f t="shared" si="6"/>
        <v>0</v>
      </c>
      <c r="J405" s="24">
        <f t="shared" si="7"/>
        <v>0</v>
      </c>
      <c r="K405" s="24"/>
      <c r="L405" s="24">
        <f t="shared" si="8"/>
        <v>405.3060695</v>
      </c>
      <c r="M405" s="14">
        <f t="shared" si="9"/>
        <v>408.0559772</v>
      </c>
      <c r="N405" s="27">
        <f t="shared" si="10"/>
        <v>-2.749907738</v>
      </c>
      <c r="O405" s="24"/>
      <c r="P405" s="24"/>
      <c r="Q405" s="24"/>
      <c r="R405" s="26"/>
      <c r="S405" s="14">
        <f t="shared" si="13"/>
        <v>-2.525229642</v>
      </c>
    </row>
    <row r="406">
      <c r="A406" s="11">
        <v>394.0</v>
      </c>
      <c r="B406" s="11">
        <v>1.42110869565217E9</v>
      </c>
      <c r="C406" s="2">
        <v>-102.6657944</v>
      </c>
      <c r="D406" s="24">
        <f t="shared" si="1"/>
        <v>708695.6522</v>
      </c>
      <c r="E406" s="25">
        <f t="shared" si="2"/>
        <v>-150.6005657</v>
      </c>
      <c r="F406" s="24">
        <f t="shared" si="3"/>
        <v>0.0002125038657</v>
      </c>
      <c r="G406" s="24">
        <f t="shared" si="4"/>
        <v>0</v>
      </c>
      <c r="H406" s="26">
        <f t="shared" si="5"/>
        <v>0</v>
      </c>
      <c r="I406" s="24">
        <f t="shared" si="6"/>
        <v>0</v>
      </c>
      <c r="J406" s="24">
        <f t="shared" si="7"/>
        <v>0</v>
      </c>
      <c r="K406" s="24"/>
      <c r="L406" s="24">
        <f t="shared" si="8"/>
        <v>411.6486802</v>
      </c>
      <c r="M406" s="14">
        <f t="shared" si="9"/>
        <v>407.9543905</v>
      </c>
      <c r="N406" s="27">
        <f t="shared" si="10"/>
        <v>3.69428972</v>
      </c>
      <c r="O406" s="24"/>
      <c r="P406" s="24"/>
      <c r="Q406" s="24"/>
      <c r="R406" s="26"/>
      <c r="S406" s="14">
        <f t="shared" si="13"/>
        <v>3.392451955</v>
      </c>
    </row>
    <row r="407">
      <c r="A407" s="11">
        <v>395.0</v>
      </c>
      <c r="B407" s="11">
        <v>1.42111304347826E9</v>
      </c>
      <c r="C407" s="2">
        <v>-102.7227249</v>
      </c>
      <c r="D407" s="24">
        <f t="shared" si="1"/>
        <v>713043.4783</v>
      </c>
      <c r="E407" s="25">
        <f t="shared" si="2"/>
        <v>-151.5188618</v>
      </c>
      <c r="F407" s="24">
        <f t="shared" si="3"/>
        <v>0.0002124959647</v>
      </c>
      <c r="G407" s="24">
        <f t="shared" si="4"/>
        <v>0</v>
      </c>
      <c r="H407" s="26">
        <f t="shared" si="5"/>
        <v>0</v>
      </c>
      <c r="I407" s="24">
        <f t="shared" si="6"/>
        <v>0</v>
      </c>
      <c r="J407" s="24">
        <f t="shared" si="7"/>
        <v>0</v>
      </c>
      <c r="K407" s="24"/>
      <c r="L407" s="24">
        <f t="shared" si="8"/>
        <v>406.2877026</v>
      </c>
      <c r="M407" s="14">
        <f t="shared" si="9"/>
        <v>407.852502</v>
      </c>
      <c r="N407" s="27">
        <f t="shared" si="10"/>
        <v>-1.564799449</v>
      </c>
      <c r="O407" s="24"/>
      <c r="P407" s="24"/>
      <c r="Q407" s="24"/>
      <c r="R407" s="26"/>
      <c r="S407" s="14">
        <f t="shared" si="13"/>
        <v>-1.436949283</v>
      </c>
    </row>
    <row r="408">
      <c r="A408" s="11">
        <v>396.0</v>
      </c>
      <c r="B408" s="11">
        <v>1.42111739130434E9</v>
      </c>
      <c r="C408" s="2">
        <v>-102.6500092</v>
      </c>
      <c r="D408" s="24">
        <f t="shared" si="1"/>
        <v>717391.3043</v>
      </c>
      <c r="E408" s="25">
        <f t="shared" si="2"/>
        <v>-152.4371579</v>
      </c>
      <c r="F408" s="24">
        <f t="shared" si="3"/>
        <v>0.0002124881595</v>
      </c>
      <c r="G408" s="24">
        <f t="shared" si="4"/>
        <v>0</v>
      </c>
      <c r="H408" s="26">
        <f t="shared" si="5"/>
        <v>0</v>
      </c>
      <c r="I408" s="24">
        <f t="shared" si="6"/>
        <v>0</v>
      </c>
      <c r="J408" s="24">
        <f t="shared" si="7"/>
        <v>0</v>
      </c>
      <c r="K408" s="24"/>
      <c r="L408" s="24">
        <f t="shared" si="8"/>
        <v>413.1476125</v>
      </c>
      <c r="M408" s="14">
        <f t="shared" si="9"/>
        <v>407.7503101</v>
      </c>
      <c r="N408" s="27">
        <f t="shared" si="10"/>
        <v>5.397302403</v>
      </c>
      <c r="O408" s="24"/>
      <c r="P408" s="24"/>
      <c r="Q408" s="24"/>
      <c r="R408" s="26"/>
      <c r="S408" s="14">
        <f t="shared" si="13"/>
        <v>4.956321924</v>
      </c>
    </row>
    <row r="409">
      <c r="A409" s="11">
        <v>397.0</v>
      </c>
      <c r="B409" s="11">
        <v>1.42112173913043E9</v>
      </c>
      <c r="C409" s="2">
        <v>-102.6738815</v>
      </c>
      <c r="D409" s="24">
        <f t="shared" si="1"/>
        <v>721739.1304</v>
      </c>
      <c r="E409" s="25">
        <f t="shared" si="2"/>
        <v>-153.3554541</v>
      </c>
      <c r="F409" s="24">
        <f t="shared" si="3"/>
        <v>0.0002124804484</v>
      </c>
      <c r="G409" s="24">
        <f t="shared" si="4"/>
        <v>0</v>
      </c>
      <c r="H409" s="26">
        <f t="shared" si="5"/>
        <v>0</v>
      </c>
      <c r="I409" s="24">
        <f t="shared" si="6"/>
        <v>0</v>
      </c>
      <c r="J409" s="24">
        <f t="shared" si="7"/>
        <v>0</v>
      </c>
      <c r="K409" s="24"/>
      <c r="L409" s="24">
        <f t="shared" si="8"/>
        <v>410.8828528</v>
      </c>
      <c r="M409" s="14">
        <f t="shared" si="9"/>
        <v>407.6478131</v>
      </c>
      <c r="N409" s="27">
        <f t="shared" si="10"/>
        <v>3.235039659</v>
      </c>
      <c r="O409" s="24"/>
      <c r="P409" s="24"/>
      <c r="Q409" s="24"/>
      <c r="R409" s="26"/>
      <c r="S409" s="14">
        <f t="shared" si="13"/>
        <v>2.970724402</v>
      </c>
    </row>
    <row r="410">
      <c r="A410" s="11">
        <v>398.0</v>
      </c>
      <c r="B410" s="11">
        <v>1.42112608695652E9</v>
      </c>
      <c r="C410" s="2">
        <v>-102.6913147</v>
      </c>
      <c r="D410" s="24">
        <f t="shared" si="1"/>
        <v>726086.9565</v>
      </c>
      <c r="E410" s="25">
        <f t="shared" si="2"/>
        <v>-154.2737502</v>
      </c>
      <c r="F410" s="24">
        <f t="shared" si="3"/>
        <v>0.0002124728296</v>
      </c>
      <c r="G410" s="24">
        <f t="shared" si="4"/>
        <v>0</v>
      </c>
      <c r="H410" s="26">
        <f t="shared" si="5"/>
        <v>0</v>
      </c>
      <c r="I410" s="24">
        <f t="shared" si="6"/>
        <v>0</v>
      </c>
      <c r="J410" s="24">
        <f t="shared" si="7"/>
        <v>0</v>
      </c>
      <c r="K410" s="24"/>
      <c r="L410" s="24">
        <f t="shared" si="8"/>
        <v>409.2368163</v>
      </c>
      <c r="M410" s="14">
        <f t="shared" si="9"/>
        <v>407.5450095</v>
      </c>
      <c r="N410" s="27">
        <f t="shared" si="10"/>
        <v>1.691806842</v>
      </c>
      <c r="O410" s="24"/>
      <c r="P410" s="24"/>
      <c r="Q410" s="24"/>
      <c r="R410" s="26"/>
      <c r="S410" s="14">
        <f t="shared" si="13"/>
        <v>1.553579681</v>
      </c>
    </row>
    <row r="411">
      <c r="A411" s="11">
        <v>399.0</v>
      </c>
      <c r="B411" s="11">
        <v>1.4211304347826E9</v>
      </c>
      <c r="C411" s="2">
        <v>-102.6482391</v>
      </c>
      <c r="D411" s="24">
        <f t="shared" si="1"/>
        <v>730434.7826</v>
      </c>
      <c r="E411" s="25">
        <f t="shared" si="2"/>
        <v>-155.1920463</v>
      </c>
      <c r="F411" s="24">
        <f t="shared" si="3"/>
        <v>0.0002124653015</v>
      </c>
      <c r="G411" s="24">
        <f t="shared" si="4"/>
        <v>0</v>
      </c>
      <c r="H411" s="26">
        <f t="shared" si="5"/>
        <v>0</v>
      </c>
      <c r="I411" s="24">
        <f t="shared" si="6"/>
        <v>0</v>
      </c>
      <c r="J411" s="24">
        <f t="shared" si="7"/>
        <v>0</v>
      </c>
      <c r="K411" s="24"/>
      <c r="L411" s="24">
        <f t="shared" si="8"/>
        <v>413.3160378</v>
      </c>
      <c r="M411" s="14">
        <f t="shared" si="9"/>
        <v>407.4418975</v>
      </c>
      <c r="N411" s="27">
        <f t="shared" si="10"/>
        <v>5.87414022</v>
      </c>
      <c r="O411" s="24"/>
      <c r="P411" s="24"/>
      <c r="Q411" s="24"/>
      <c r="R411" s="26"/>
      <c r="S411" s="14">
        <f t="shared" si="13"/>
        <v>5.394200247</v>
      </c>
    </row>
    <row r="412">
      <c r="A412" s="11">
        <v>400.0</v>
      </c>
      <c r="B412" s="11">
        <v>1.42113478260869E9</v>
      </c>
      <c r="C412" s="2">
        <v>-102.6963425</v>
      </c>
      <c r="D412" s="24">
        <f t="shared" si="1"/>
        <v>734782.6087</v>
      </c>
      <c r="E412" s="25">
        <f t="shared" si="2"/>
        <v>-156.1103425</v>
      </c>
      <c r="F412" s="24">
        <f t="shared" si="3"/>
        <v>0.0002124578625</v>
      </c>
      <c r="G412" s="24">
        <f t="shared" si="4"/>
        <v>0</v>
      </c>
      <c r="H412" s="26">
        <f t="shared" si="5"/>
        <v>0</v>
      </c>
      <c r="I412" s="24">
        <f t="shared" si="6"/>
        <v>0</v>
      </c>
      <c r="J412" s="24">
        <f t="shared" si="7"/>
        <v>0</v>
      </c>
      <c r="K412" s="24"/>
      <c r="L412" s="24">
        <f t="shared" si="8"/>
        <v>408.7633195</v>
      </c>
      <c r="M412" s="14">
        <f t="shared" si="9"/>
        <v>407.3384757</v>
      </c>
      <c r="N412" s="27">
        <f t="shared" si="10"/>
        <v>1.424843871</v>
      </c>
      <c r="O412" s="24"/>
      <c r="P412" s="24"/>
      <c r="Q412" s="24"/>
      <c r="R412" s="26"/>
      <c r="S412" s="14">
        <f t="shared" si="13"/>
        <v>1.308428617</v>
      </c>
    </row>
    <row r="413">
      <c r="A413" s="11">
        <v>401.0</v>
      </c>
      <c r="B413" s="11">
        <v>1.42113913043478E9</v>
      </c>
      <c r="C413" s="2">
        <v>-102.6570969</v>
      </c>
      <c r="D413" s="24">
        <f t="shared" si="1"/>
        <v>739130.4348</v>
      </c>
      <c r="E413" s="25">
        <f t="shared" si="2"/>
        <v>-157.0286386</v>
      </c>
      <c r="F413" s="24">
        <f t="shared" si="3"/>
        <v>0.000212450511</v>
      </c>
      <c r="G413" s="24">
        <f t="shared" si="4"/>
        <v>0</v>
      </c>
      <c r="H413" s="26">
        <f t="shared" si="5"/>
        <v>0</v>
      </c>
      <c r="I413" s="24">
        <f t="shared" si="6"/>
        <v>0</v>
      </c>
      <c r="J413" s="24">
        <f t="shared" si="7"/>
        <v>0</v>
      </c>
      <c r="K413" s="24"/>
      <c r="L413" s="24">
        <f t="shared" si="8"/>
        <v>412.4739041</v>
      </c>
      <c r="M413" s="14">
        <f t="shared" si="9"/>
        <v>407.2347423</v>
      </c>
      <c r="N413" s="27">
        <f t="shared" si="10"/>
        <v>5.239161863</v>
      </c>
      <c r="O413" s="24"/>
      <c r="P413" s="24"/>
      <c r="Q413" s="24"/>
      <c r="R413" s="26"/>
      <c r="S413" s="14">
        <f t="shared" si="13"/>
        <v>4.811102067</v>
      </c>
    </row>
    <row r="414">
      <c r="A414" s="11">
        <v>402.0</v>
      </c>
      <c r="B414" s="11">
        <v>1.42114347826087E9</v>
      </c>
      <c r="C414" s="2">
        <v>-102.7357254</v>
      </c>
      <c r="D414" s="24">
        <f t="shared" si="1"/>
        <v>743478.2609</v>
      </c>
      <c r="E414" s="25">
        <f t="shared" si="2"/>
        <v>-157.9469347</v>
      </c>
      <c r="F414" s="24">
        <f t="shared" si="3"/>
        <v>0.0002124432455</v>
      </c>
      <c r="G414" s="24">
        <f t="shared" si="4"/>
        <v>0</v>
      </c>
      <c r="H414" s="26">
        <f t="shared" si="5"/>
        <v>0</v>
      </c>
      <c r="I414" s="24">
        <f t="shared" si="6"/>
        <v>0</v>
      </c>
      <c r="J414" s="24">
        <f t="shared" si="7"/>
        <v>0</v>
      </c>
      <c r="K414" s="24"/>
      <c r="L414" s="24">
        <f t="shared" si="8"/>
        <v>405.0733087</v>
      </c>
      <c r="M414" s="14">
        <f t="shared" si="9"/>
        <v>407.1306957</v>
      </c>
      <c r="N414" s="27">
        <f t="shared" si="10"/>
        <v>-2.057386999</v>
      </c>
      <c r="O414" s="24"/>
      <c r="P414" s="24"/>
      <c r="Q414" s="24"/>
      <c r="R414" s="26"/>
      <c r="S414" s="14">
        <f t="shared" si="13"/>
        <v>-1.889290525</v>
      </c>
    </row>
    <row r="415">
      <c r="A415" s="11">
        <v>403.0</v>
      </c>
      <c r="B415" s="11">
        <v>1.42114782608695E9</v>
      </c>
      <c r="C415" s="2">
        <v>-102.7128677</v>
      </c>
      <c r="D415" s="24">
        <f t="shared" si="1"/>
        <v>747826.087</v>
      </c>
      <c r="E415" s="25">
        <f t="shared" si="2"/>
        <v>-158.8652309</v>
      </c>
      <c r="F415" s="24">
        <f t="shared" si="3"/>
        <v>0.0002124360645</v>
      </c>
      <c r="G415" s="24">
        <f t="shared" si="4"/>
        <v>0</v>
      </c>
      <c r="H415" s="26">
        <f t="shared" si="5"/>
        <v>0</v>
      </c>
      <c r="I415" s="24">
        <f t="shared" si="6"/>
        <v>0</v>
      </c>
      <c r="J415" s="24">
        <f t="shared" si="7"/>
        <v>0</v>
      </c>
      <c r="K415" s="24"/>
      <c r="L415" s="24">
        <f t="shared" si="8"/>
        <v>407.2109028</v>
      </c>
      <c r="M415" s="14">
        <f t="shared" si="9"/>
        <v>407.0263343</v>
      </c>
      <c r="N415" s="27">
        <f t="shared" si="10"/>
        <v>0.1845684074</v>
      </c>
      <c r="O415" s="24"/>
      <c r="P415" s="24"/>
      <c r="Q415" s="24"/>
      <c r="R415" s="26"/>
      <c r="S415" s="14">
        <f t="shared" si="13"/>
        <v>0.1694884548</v>
      </c>
    </row>
    <row r="416">
      <c r="A416" s="11">
        <v>404.0</v>
      </c>
      <c r="B416" s="11">
        <v>1.42115217391304E9</v>
      </c>
      <c r="C416" s="2">
        <v>-102.6541443</v>
      </c>
      <c r="D416" s="24">
        <f t="shared" si="1"/>
        <v>752173.913</v>
      </c>
      <c r="E416" s="25">
        <f t="shared" si="2"/>
        <v>-159.783527</v>
      </c>
      <c r="F416" s="24">
        <f t="shared" si="3"/>
        <v>0.0002124289665</v>
      </c>
      <c r="G416" s="24">
        <f t="shared" si="4"/>
        <v>0</v>
      </c>
      <c r="H416" s="26">
        <f t="shared" si="5"/>
        <v>0</v>
      </c>
      <c r="I416" s="24">
        <f t="shared" si="6"/>
        <v>0</v>
      </c>
      <c r="J416" s="24">
        <f t="shared" si="7"/>
        <v>0</v>
      </c>
      <c r="K416" s="24"/>
      <c r="L416" s="24">
        <f t="shared" si="8"/>
        <v>412.7544245</v>
      </c>
      <c r="M416" s="14">
        <f t="shared" si="9"/>
        <v>406.9216566</v>
      </c>
      <c r="N416" s="27">
        <f t="shared" si="10"/>
        <v>5.832767956</v>
      </c>
      <c r="O416" s="24"/>
      <c r="P416" s="24"/>
      <c r="Q416" s="24"/>
      <c r="R416" s="26"/>
      <c r="S416" s="14">
        <f t="shared" si="13"/>
        <v>5.356208245</v>
      </c>
    </row>
    <row r="417">
      <c r="A417" s="11">
        <v>405.0</v>
      </c>
      <c r="B417" s="11">
        <v>1.42115652173913E9</v>
      </c>
      <c r="C417" s="2">
        <v>-102.6995773</v>
      </c>
      <c r="D417" s="3">
        <f t="shared" si="1"/>
        <v>756521.7391</v>
      </c>
      <c r="E417" s="4">
        <f t="shared" si="2"/>
        <v>-160.7018231</v>
      </c>
      <c r="F417" s="3">
        <f t="shared" si="3"/>
        <v>0.0002124219501</v>
      </c>
      <c r="G417" s="3">
        <f t="shared" si="4"/>
        <v>0</v>
      </c>
      <c r="H417" s="2">
        <f t="shared" si="5"/>
        <v>0</v>
      </c>
      <c r="I417" s="3">
        <f t="shared" si="6"/>
        <v>0</v>
      </c>
      <c r="J417" s="3">
        <f t="shared" si="7"/>
        <v>0</v>
      </c>
      <c r="K417" s="3"/>
      <c r="L417" s="3">
        <f t="shared" si="8"/>
        <v>408.4589695</v>
      </c>
      <c r="M417" s="14">
        <f t="shared" si="9"/>
        <v>406.8166607</v>
      </c>
      <c r="N417" s="14">
        <f t="shared" si="10"/>
        <v>1.642308804</v>
      </c>
      <c r="O417" s="3"/>
      <c r="P417" s="3"/>
      <c r="Q417" s="3"/>
      <c r="R417" s="2"/>
      <c r="S417" s="14">
        <f t="shared" si="13"/>
        <v>1.508125823</v>
      </c>
    </row>
    <row r="418">
      <c r="A418" s="11">
        <v>406.0</v>
      </c>
      <c r="B418" s="11">
        <v>1.42116086956521E9</v>
      </c>
      <c r="C418" s="2">
        <v>-102.7276306</v>
      </c>
      <c r="D418" s="3">
        <f t="shared" si="1"/>
        <v>760869.5652</v>
      </c>
      <c r="E418" s="4">
        <f t="shared" si="2"/>
        <v>-161.6201193</v>
      </c>
      <c r="F418" s="3">
        <f t="shared" si="3"/>
        <v>0.0002124150139</v>
      </c>
      <c r="G418" s="3">
        <f t="shared" si="4"/>
        <v>0</v>
      </c>
      <c r="H418" s="2">
        <f t="shared" si="5"/>
        <v>0</v>
      </c>
      <c r="I418" s="3">
        <f t="shared" si="6"/>
        <v>0</v>
      </c>
      <c r="J418" s="3">
        <f t="shared" si="7"/>
        <v>0</v>
      </c>
      <c r="K418" s="3"/>
      <c r="L418" s="3">
        <f t="shared" si="8"/>
        <v>405.8290275</v>
      </c>
      <c r="M418" s="14">
        <f t="shared" si="9"/>
        <v>406.7113452</v>
      </c>
      <c r="N418" s="14">
        <f t="shared" si="10"/>
        <v>-0.8823177121</v>
      </c>
      <c r="O418" s="3"/>
      <c r="P418" s="3"/>
      <c r="Q418" s="3"/>
      <c r="R418" s="2"/>
      <c r="S418" s="14">
        <f t="shared" si="13"/>
        <v>-0.8102289429</v>
      </c>
    </row>
    <row r="419">
      <c r="A419" s="11">
        <v>407.0</v>
      </c>
      <c r="B419" s="11">
        <v>1.4211652173913E9</v>
      </c>
      <c r="C419" s="2">
        <v>-102.7278671</v>
      </c>
      <c r="D419" s="3">
        <f t="shared" si="1"/>
        <v>765217.3913</v>
      </c>
      <c r="E419" s="4">
        <f t="shared" si="2"/>
        <v>-162.5384154</v>
      </c>
      <c r="F419" s="3">
        <f t="shared" si="3"/>
        <v>0.0002124081565</v>
      </c>
      <c r="G419" s="3">
        <f t="shared" si="4"/>
        <v>0</v>
      </c>
      <c r="H419" s="2">
        <f t="shared" si="5"/>
        <v>0</v>
      </c>
      <c r="I419" s="3">
        <f t="shared" si="6"/>
        <v>0</v>
      </c>
      <c r="J419" s="3">
        <f t="shared" si="7"/>
        <v>0</v>
      </c>
      <c r="K419" s="3"/>
      <c r="L419" s="3">
        <f t="shared" si="8"/>
        <v>405.8069283</v>
      </c>
      <c r="M419" s="14">
        <f t="shared" si="9"/>
        <v>406.6057085</v>
      </c>
      <c r="N419" s="14">
        <f t="shared" si="10"/>
        <v>-0.7987802063</v>
      </c>
      <c r="O419" s="3"/>
      <c r="P419" s="3"/>
      <c r="Q419" s="3"/>
      <c r="R419" s="2"/>
      <c r="S419" s="14">
        <f t="shared" si="13"/>
        <v>-0.7335167727</v>
      </c>
    </row>
    <row r="420">
      <c r="A420" s="11">
        <v>408.0</v>
      </c>
      <c r="B420" s="11">
        <v>1.42116956521739E9</v>
      </c>
      <c r="C420" s="2">
        <v>-102.7108688</v>
      </c>
      <c r="D420" s="3">
        <f t="shared" si="1"/>
        <v>769565.2174</v>
      </c>
      <c r="E420" s="4">
        <f t="shared" si="2"/>
        <v>-163.4567115</v>
      </c>
      <c r="F420" s="3">
        <f t="shared" si="3"/>
        <v>0.0002124013765</v>
      </c>
      <c r="G420" s="3">
        <f t="shared" si="4"/>
        <v>0</v>
      </c>
      <c r="H420" s="2">
        <f t="shared" si="5"/>
        <v>0</v>
      </c>
      <c r="I420" s="3">
        <f t="shared" si="6"/>
        <v>0</v>
      </c>
      <c r="J420" s="3">
        <f t="shared" si="7"/>
        <v>0</v>
      </c>
      <c r="K420" s="3"/>
      <c r="L420" s="3">
        <f t="shared" si="8"/>
        <v>407.3983703</v>
      </c>
      <c r="M420" s="14">
        <f t="shared" si="9"/>
        <v>406.4997488</v>
      </c>
      <c r="N420" s="14">
        <f t="shared" si="10"/>
        <v>0.8986215428</v>
      </c>
      <c r="O420" s="3"/>
      <c r="P420" s="3"/>
      <c r="Q420" s="3"/>
      <c r="R420" s="2"/>
      <c r="S420" s="14">
        <f t="shared" si="13"/>
        <v>0.8252006876</v>
      </c>
    </row>
    <row r="421">
      <c r="A421" s="11">
        <v>409.0</v>
      </c>
      <c r="B421" s="11">
        <v>1.42117391304347E9</v>
      </c>
      <c r="C421" s="2">
        <v>-102.7505569</v>
      </c>
      <c r="D421" s="3">
        <f t="shared" si="1"/>
        <v>773913.0435</v>
      </c>
      <c r="E421" s="4">
        <f t="shared" si="2"/>
        <v>-164.3750077</v>
      </c>
      <c r="F421" s="3">
        <f t="shared" si="3"/>
        <v>0.0002123946728</v>
      </c>
      <c r="G421" s="3">
        <f t="shared" si="4"/>
        <v>0</v>
      </c>
      <c r="H421" s="2">
        <f t="shared" si="5"/>
        <v>0</v>
      </c>
      <c r="I421" s="3">
        <f t="shared" si="6"/>
        <v>0</v>
      </c>
      <c r="J421" s="3">
        <f t="shared" si="7"/>
        <v>0</v>
      </c>
      <c r="K421" s="3"/>
      <c r="L421" s="3">
        <f t="shared" si="8"/>
        <v>403.6923108</v>
      </c>
      <c r="M421" s="14">
        <f t="shared" si="9"/>
        <v>406.3934645</v>
      </c>
      <c r="N421" s="14">
        <f t="shared" si="10"/>
        <v>-2.701153738</v>
      </c>
      <c r="O421" s="3"/>
      <c r="P421" s="3"/>
      <c r="Q421" s="3"/>
      <c r="R421" s="2"/>
      <c r="S421" s="14">
        <f t="shared" si="13"/>
        <v>-2.480459031</v>
      </c>
    </row>
    <row r="422">
      <c r="A422" s="11">
        <v>410.0</v>
      </c>
      <c r="B422" s="11">
        <v>1.42117826086956E9</v>
      </c>
      <c r="C422" s="2">
        <v>-102.7056198</v>
      </c>
      <c r="D422" s="3">
        <f t="shared" si="1"/>
        <v>778260.8696</v>
      </c>
      <c r="E422" s="4">
        <f t="shared" si="2"/>
        <v>-165.2933038</v>
      </c>
      <c r="F422" s="3">
        <f t="shared" si="3"/>
        <v>0.000212388044</v>
      </c>
      <c r="G422" s="3">
        <f t="shared" si="4"/>
        <v>0</v>
      </c>
      <c r="H422" s="2">
        <f t="shared" si="5"/>
        <v>0</v>
      </c>
      <c r="I422" s="3">
        <f t="shared" si="6"/>
        <v>0</v>
      </c>
      <c r="J422" s="3">
        <f t="shared" si="7"/>
        <v>0</v>
      </c>
      <c r="K422" s="3"/>
      <c r="L422" s="3">
        <f t="shared" si="8"/>
        <v>407.8910606</v>
      </c>
      <c r="M422" s="14">
        <f t="shared" si="9"/>
        <v>406.2868541</v>
      </c>
      <c r="N422" s="14">
        <f t="shared" si="10"/>
        <v>1.604206516</v>
      </c>
      <c r="O422" s="3"/>
      <c r="P422" s="3"/>
      <c r="Q422" s="3"/>
      <c r="R422" s="2"/>
      <c r="S422" s="14">
        <f t="shared" si="13"/>
        <v>1.473136636</v>
      </c>
    </row>
    <row r="423">
      <c r="A423" s="11">
        <v>411.0</v>
      </c>
      <c r="B423" s="11">
        <v>1.42118260869565E9</v>
      </c>
      <c r="C423" s="2">
        <v>-102.6772308</v>
      </c>
      <c r="D423" s="3">
        <f t="shared" si="1"/>
        <v>782608.6957</v>
      </c>
      <c r="E423" s="4">
        <f t="shared" si="2"/>
        <v>-166.2115999</v>
      </c>
      <c r="F423" s="3">
        <f t="shared" si="3"/>
        <v>0.0002123814888</v>
      </c>
      <c r="G423" s="3">
        <f t="shared" si="4"/>
        <v>0</v>
      </c>
      <c r="H423" s="2">
        <f t="shared" si="5"/>
        <v>0</v>
      </c>
      <c r="I423" s="3">
        <f t="shared" si="6"/>
        <v>0</v>
      </c>
      <c r="J423" s="3">
        <f t="shared" si="7"/>
        <v>0</v>
      </c>
      <c r="K423" s="3"/>
      <c r="L423" s="3">
        <f t="shared" si="8"/>
        <v>410.5661001</v>
      </c>
      <c r="M423" s="14">
        <f t="shared" si="9"/>
        <v>406.1799159</v>
      </c>
      <c r="N423" s="14">
        <f t="shared" si="10"/>
        <v>4.386184189</v>
      </c>
      <c r="O423" s="3"/>
      <c r="P423" s="3"/>
      <c r="Q423" s="3"/>
      <c r="R423" s="2"/>
      <c r="S423" s="14">
        <f t="shared" si="13"/>
        <v>4.027815978</v>
      </c>
    </row>
    <row r="424">
      <c r="A424" s="11">
        <v>412.0</v>
      </c>
      <c r="B424" s="11">
        <v>1.42118695652173E9</v>
      </c>
      <c r="C424" s="2">
        <v>-102.7213211</v>
      </c>
      <c r="D424" s="3">
        <f t="shared" si="1"/>
        <v>786956.5217</v>
      </c>
      <c r="E424" s="4">
        <f t="shared" si="2"/>
        <v>-167.129896</v>
      </c>
      <c r="F424" s="3">
        <f t="shared" si="3"/>
        <v>0.000212375006</v>
      </c>
      <c r="G424" s="3">
        <f t="shared" si="4"/>
        <v>0</v>
      </c>
      <c r="H424" s="2">
        <f t="shared" si="5"/>
        <v>0</v>
      </c>
      <c r="I424" s="3">
        <f t="shared" si="6"/>
        <v>0</v>
      </c>
      <c r="J424" s="3">
        <f t="shared" si="7"/>
        <v>0</v>
      </c>
      <c r="K424" s="3"/>
      <c r="L424" s="3">
        <f t="shared" si="8"/>
        <v>406.419051</v>
      </c>
      <c r="M424" s="14">
        <f t="shared" si="9"/>
        <v>406.0726483</v>
      </c>
      <c r="N424" s="14">
        <f t="shared" si="10"/>
        <v>0.3464026849</v>
      </c>
      <c r="O424" s="3"/>
      <c r="P424" s="3"/>
      <c r="Q424" s="3"/>
      <c r="R424" s="2"/>
      <c r="S424" s="14">
        <f t="shared" si="13"/>
        <v>0.318100246</v>
      </c>
    </row>
    <row r="425">
      <c r="A425" s="11">
        <v>413.0</v>
      </c>
      <c r="B425" s="11">
        <v>1.42119130434782E9</v>
      </c>
      <c r="C425" s="2">
        <v>-102.6881409</v>
      </c>
      <c r="D425" s="3">
        <f t="shared" si="1"/>
        <v>791304.3478</v>
      </c>
      <c r="E425" s="4">
        <f t="shared" si="2"/>
        <v>-168.0481922</v>
      </c>
      <c r="F425" s="3">
        <f t="shared" si="3"/>
        <v>0.0002123685945</v>
      </c>
      <c r="G425" s="3">
        <f t="shared" si="4"/>
        <v>0</v>
      </c>
      <c r="H425" s="2">
        <f t="shared" si="5"/>
        <v>0</v>
      </c>
      <c r="I425" s="3">
        <f t="shared" si="6"/>
        <v>0</v>
      </c>
      <c r="J425" s="3">
        <f t="shared" si="7"/>
        <v>0</v>
      </c>
      <c r="K425" s="3"/>
      <c r="L425" s="3">
        <f t="shared" si="8"/>
        <v>409.5359936</v>
      </c>
      <c r="M425" s="14">
        <f t="shared" si="9"/>
        <v>405.9650496</v>
      </c>
      <c r="N425" s="14">
        <f t="shared" si="10"/>
        <v>3.570944</v>
      </c>
      <c r="O425" s="3"/>
      <c r="P425" s="3"/>
      <c r="Q425" s="3"/>
      <c r="R425" s="2"/>
      <c r="S425" s="14">
        <f t="shared" si="13"/>
        <v>3.279184065</v>
      </c>
    </row>
    <row r="426">
      <c r="A426" s="11">
        <v>414.0</v>
      </c>
      <c r="B426" s="11">
        <v>1.42119565217391E9</v>
      </c>
      <c r="C426" s="2">
        <v>-102.7112274</v>
      </c>
      <c r="D426" s="3">
        <f t="shared" si="1"/>
        <v>795652.1739</v>
      </c>
      <c r="E426" s="4">
        <f t="shared" si="2"/>
        <v>-168.9664883</v>
      </c>
      <c r="F426" s="3">
        <f t="shared" si="3"/>
        <v>0.0002123622531</v>
      </c>
      <c r="G426" s="3">
        <f t="shared" si="4"/>
        <v>0</v>
      </c>
      <c r="H426" s="2">
        <f t="shared" si="5"/>
        <v>0</v>
      </c>
      <c r="I426" s="3">
        <f t="shared" si="6"/>
        <v>0</v>
      </c>
      <c r="J426" s="3">
        <f t="shared" si="7"/>
        <v>0</v>
      </c>
      <c r="K426" s="3"/>
      <c r="L426" s="3">
        <f t="shared" si="8"/>
        <v>407.3647325</v>
      </c>
      <c r="M426" s="14">
        <f t="shared" si="9"/>
        <v>405.8571183</v>
      </c>
      <c r="N426" s="14">
        <f t="shared" si="10"/>
        <v>1.507614239</v>
      </c>
      <c r="O426" s="3"/>
      <c r="P426" s="3"/>
      <c r="Q426" s="3"/>
      <c r="R426" s="2"/>
      <c r="S426" s="14">
        <f t="shared" si="13"/>
        <v>1.384436323</v>
      </c>
    </row>
    <row r="427">
      <c r="A427" s="11">
        <v>415.0</v>
      </c>
      <c r="B427" s="11">
        <v>1.4212E9</v>
      </c>
      <c r="C427" s="2">
        <v>-102.7382584</v>
      </c>
      <c r="D427" s="3">
        <f t="shared" si="1"/>
        <v>800000</v>
      </c>
      <c r="E427" s="4">
        <f t="shared" si="2"/>
        <v>-169.8847844</v>
      </c>
      <c r="F427" s="3">
        <f t="shared" si="3"/>
        <v>0.0002123559806</v>
      </c>
      <c r="G427" s="3">
        <f t="shared" si="4"/>
        <v>0</v>
      </c>
      <c r="H427" s="2">
        <f t="shared" si="5"/>
        <v>0</v>
      </c>
      <c r="I427" s="3">
        <f t="shared" si="6"/>
        <v>0</v>
      </c>
      <c r="J427" s="3">
        <f t="shared" si="7"/>
        <v>0</v>
      </c>
      <c r="K427" s="3"/>
      <c r="L427" s="3">
        <f t="shared" si="8"/>
        <v>404.8371207</v>
      </c>
      <c r="M427" s="14">
        <f t="shared" si="9"/>
        <v>405.7488527</v>
      </c>
      <c r="N427" s="14">
        <f t="shared" si="10"/>
        <v>-0.9117319719</v>
      </c>
      <c r="O427" s="3"/>
      <c r="P427" s="3"/>
      <c r="Q427" s="3"/>
      <c r="R427" s="2"/>
      <c r="S427" s="14">
        <f t="shared" si="13"/>
        <v>-0.8372399439</v>
      </c>
    </row>
    <row r="428">
      <c r="A428" s="11">
        <v>416.0</v>
      </c>
      <c r="B428" s="11">
        <v>1.42120434782608E9</v>
      </c>
      <c r="C428" s="2">
        <v>-102.7781525</v>
      </c>
      <c r="D428" s="3">
        <f t="shared" si="1"/>
        <v>804347.8261</v>
      </c>
      <c r="E428" s="4">
        <f t="shared" si="2"/>
        <v>-170.8030806</v>
      </c>
      <c r="F428" s="3">
        <f t="shared" si="3"/>
        <v>0.0002123497759</v>
      </c>
      <c r="G428" s="3">
        <f t="shared" si="4"/>
        <v>0</v>
      </c>
      <c r="H428" s="2">
        <f t="shared" si="5"/>
        <v>0</v>
      </c>
      <c r="I428" s="3">
        <f t="shared" si="6"/>
        <v>0</v>
      </c>
      <c r="J428" s="3">
        <f t="shared" si="7"/>
        <v>0</v>
      </c>
      <c r="K428" s="3"/>
      <c r="L428" s="3">
        <f t="shared" si="8"/>
        <v>401.135333</v>
      </c>
      <c r="M428" s="14">
        <f t="shared" si="9"/>
        <v>405.6402511</v>
      </c>
      <c r="N428" s="14">
        <f t="shared" si="10"/>
        <v>-4.504918152</v>
      </c>
      <c r="O428" s="3"/>
      <c r="P428" s="3"/>
      <c r="Q428" s="3"/>
      <c r="R428" s="2"/>
      <c r="S428" s="14">
        <f t="shared" si="13"/>
        <v>-4.136848917</v>
      </c>
    </row>
    <row r="429">
      <c r="A429" s="11">
        <v>417.0</v>
      </c>
      <c r="B429" s="11">
        <v>1.42120869565217E9</v>
      </c>
      <c r="C429" s="2">
        <v>-102.7608719</v>
      </c>
      <c r="D429" s="3">
        <f t="shared" si="1"/>
        <v>808695.6522</v>
      </c>
      <c r="E429" s="4">
        <f t="shared" si="2"/>
        <v>-171.7213767</v>
      </c>
      <c r="F429" s="3">
        <f t="shared" si="3"/>
        <v>0.0002123436379</v>
      </c>
      <c r="G429" s="3">
        <f t="shared" si="4"/>
        <v>0</v>
      </c>
      <c r="H429" s="2">
        <f t="shared" si="5"/>
        <v>0</v>
      </c>
      <c r="I429" s="3">
        <f t="shared" si="6"/>
        <v>0</v>
      </c>
      <c r="J429" s="3">
        <f t="shared" si="7"/>
        <v>0</v>
      </c>
      <c r="K429" s="3"/>
      <c r="L429" s="3">
        <f t="shared" si="8"/>
        <v>402.7346322</v>
      </c>
      <c r="M429" s="14">
        <f t="shared" si="9"/>
        <v>405.531312</v>
      </c>
      <c r="N429" s="14">
        <f t="shared" si="10"/>
        <v>-2.7966798</v>
      </c>
      <c r="O429" s="3"/>
      <c r="P429" s="3"/>
      <c r="Q429" s="3"/>
      <c r="R429" s="2"/>
      <c r="S429" s="14">
        <f t="shared" si="13"/>
        <v>-2.568180239</v>
      </c>
    </row>
    <row r="430">
      <c r="A430" s="11">
        <v>418.0</v>
      </c>
      <c r="B430" s="11">
        <v>1.42121304347826E9</v>
      </c>
      <c r="C430" s="2">
        <v>-102.7751541</v>
      </c>
      <c r="D430" s="3">
        <f t="shared" si="1"/>
        <v>813043.4783</v>
      </c>
      <c r="E430" s="4">
        <f t="shared" si="2"/>
        <v>-172.6396728</v>
      </c>
      <c r="F430" s="3">
        <f t="shared" si="3"/>
        <v>0.0002123375655</v>
      </c>
      <c r="G430" s="3">
        <f t="shared" si="4"/>
        <v>0</v>
      </c>
      <c r="H430" s="2">
        <f t="shared" si="5"/>
        <v>0</v>
      </c>
      <c r="I430" s="3">
        <f t="shared" si="6"/>
        <v>0</v>
      </c>
      <c r="J430" s="3">
        <f t="shared" si="7"/>
        <v>0</v>
      </c>
      <c r="K430" s="3"/>
      <c r="L430" s="3">
        <f t="shared" si="8"/>
        <v>401.4123753</v>
      </c>
      <c r="M430" s="14">
        <f t="shared" si="9"/>
        <v>405.4220338</v>
      </c>
      <c r="N430" s="14">
        <f t="shared" si="10"/>
        <v>-4.009658519</v>
      </c>
      <c r="O430" s="3"/>
      <c r="P430" s="3"/>
      <c r="Q430" s="3"/>
      <c r="R430" s="2"/>
      <c r="S430" s="14">
        <f t="shared" si="13"/>
        <v>-3.682053912</v>
      </c>
    </row>
    <row r="431">
      <c r="A431" s="11">
        <v>419.0</v>
      </c>
      <c r="B431" s="11">
        <v>1.42121739130434E9</v>
      </c>
      <c r="C431" s="2">
        <v>-102.710228</v>
      </c>
      <c r="D431" s="3">
        <f t="shared" si="1"/>
        <v>817391.3043</v>
      </c>
      <c r="E431" s="4">
        <f t="shared" si="2"/>
        <v>-173.557969</v>
      </c>
      <c r="F431" s="3">
        <f t="shared" si="3"/>
        <v>0.0002123315578</v>
      </c>
      <c r="G431" s="3">
        <f t="shared" si="4"/>
        <v>0</v>
      </c>
      <c r="H431" s="2">
        <f t="shared" si="5"/>
        <v>0</v>
      </c>
      <c r="I431" s="3">
        <f t="shared" si="6"/>
        <v>0</v>
      </c>
      <c r="J431" s="3">
        <f t="shared" si="7"/>
        <v>0</v>
      </c>
      <c r="K431" s="3"/>
      <c r="L431" s="3">
        <f t="shared" si="8"/>
        <v>407.4584862</v>
      </c>
      <c r="M431" s="14">
        <f t="shared" si="9"/>
        <v>405.3124148</v>
      </c>
      <c r="N431" s="14">
        <f t="shared" si="10"/>
        <v>2.146071453</v>
      </c>
      <c r="O431" s="3"/>
      <c r="P431" s="3"/>
      <c r="Q431" s="3"/>
      <c r="R431" s="2"/>
      <c r="S431" s="14">
        <f t="shared" si="13"/>
        <v>1.970729116</v>
      </c>
    </row>
    <row r="432">
      <c r="A432" s="11">
        <v>420.0</v>
      </c>
      <c r="B432" s="11">
        <v>1.42122173913043E9</v>
      </c>
      <c r="C432" s="2">
        <v>-102.7679901</v>
      </c>
      <c r="D432" s="3">
        <f t="shared" si="1"/>
        <v>821739.1304</v>
      </c>
      <c r="E432" s="4">
        <f t="shared" si="2"/>
        <v>-174.4762651</v>
      </c>
      <c r="F432" s="3">
        <f t="shared" si="3"/>
        <v>0.0002123256136</v>
      </c>
      <c r="G432" s="3">
        <f t="shared" si="4"/>
        <v>0</v>
      </c>
      <c r="H432" s="2">
        <f t="shared" si="5"/>
        <v>0</v>
      </c>
      <c r="I432" s="3">
        <f t="shared" si="6"/>
        <v>0</v>
      </c>
      <c r="J432" s="3">
        <f t="shared" si="7"/>
        <v>0</v>
      </c>
      <c r="K432" s="3"/>
      <c r="L432" s="3">
        <f t="shared" si="8"/>
        <v>402.0750803</v>
      </c>
      <c r="M432" s="14">
        <f t="shared" si="9"/>
        <v>405.2024533</v>
      </c>
      <c r="N432" s="14">
        <f t="shared" si="10"/>
        <v>-3.127372999</v>
      </c>
      <c r="O432" s="3"/>
      <c r="P432" s="3"/>
      <c r="Q432" s="3"/>
      <c r="R432" s="2"/>
      <c r="S432" s="14">
        <f t="shared" si="13"/>
        <v>-2.871854524</v>
      </c>
    </row>
    <row r="433">
      <c r="A433" s="11">
        <v>421.0</v>
      </c>
      <c r="B433" s="11">
        <v>1.42122608695652E9</v>
      </c>
      <c r="C433" s="2">
        <v>-102.7377396</v>
      </c>
      <c r="D433" s="3">
        <f t="shared" si="1"/>
        <v>826086.9565</v>
      </c>
      <c r="E433" s="4">
        <f t="shared" si="2"/>
        <v>-175.3945612</v>
      </c>
      <c r="F433" s="3">
        <f t="shared" si="3"/>
        <v>0.000212319732</v>
      </c>
      <c r="G433" s="3">
        <f t="shared" si="4"/>
        <v>0</v>
      </c>
      <c r="H433" s="2">
        <f t="shared" si="5"/>
        <v>0</v>
      </c>
      <c r="I433" s="3">
        <f t="shared" si="6"/>
        <v>0</v>
      </c>
      <c r="J433" s="3">
        <f t="shared" si="7"/>
        <v>0</v>
      </c>
      <c r="K433" s="3"/>
      <c r="L433" s="3">
        <f t="shared" si="8"/>
        <v>404.8854847</v>
      </c>
      <c r="M433" s="14">
        <f t="shared" si="9"/>
        <v>405.0921478</v>
      </c>
      <c r="N433" s="14">
        <f t="shared" si="10"/>
        <v>-0.2066631784</v>
      </c>
      <c r="O433" s="3"/>
      <c r="P433" s="3"/>
      <c r="Q433" s="3"/>
      <c r="R433" s="2"/>
      <c r="S433" s="14">
        <f t="shared" si="13"/>
        <v>-0.1897779975</v>
      </c>
    </row>
    <row r="434">
      <c r="A434" s="11">
        <v>422.0</v>
      </c>
      <c r="B434" s="11">
        <v>1.4212304347826E9</v>
      </c>
      <c r="C434" s="2">
        <v>-102.7416611</v>
      </c>
      <c r="D434" s="3">
        <f t="shared" si="1"/>
        <v>830434.7826</v>
      </c>
      <c r="E434" s="4">
        <f t="shared" si="2"/>
        <v>-176.3128574</v>
      </c>
      <c r="F434" s="3">
        <f t="shared" si="3"/>
        <v>0.000212313912</v>
      </c>
      <c r="G434" s="3">
        <f t="shared" si="4"/>
        <v>0</v>
      </c>
      <c r="H434" s="2">
        <f t="shared" si="5"/>
        <v>0</v>
      </c>
      <c r="I434" s="3">
        <f t="shared" si="6"/>
        <v>0</v>
      </c>
      <c r="J434" s="3">
        <f t="shared" si="7"/>
        <v>0</v>
      </c>
      <c r="K434" s="3"/>
      <c r="L434" s="3">
        <f t="shared" si="8"/>
        <v>404.5200548</v>
      </c>
      <c r="M434" s="14">
        <f t="shared" si="9"/>
        <v>404.9814967</v>
      </c>
      <c r="N434" s="14">
        <f t="shared" si="10"/>
        <v>-0.4614419056</v>
      </c>
      <c r="O434" s="3"/>
      <c r="P434" s="3"/>
      <c r="Q434" s="3"/>
      <c r="R434" s="2"/>
      <c r="S434" s="14">
        <f t="shared" si="13"/>
        <v>-0.4237403174</v>
      </c>
    </row>
    <row r="435">
      <c r="A435" s="11">
        <v>423.0</v>
      </c>
      <c r="B435" s="11">
        <v>1.42123478260869E9</v>
      </c>
      <c r="C435" s="2">
        <v>-102.7144089</v>
      </c>
      <c r="D435" s="3">
        <f t="shared" si="1"/>
        <v>834782.6087</v>
      </c>
      <c r="E435" s="4">
        <f t="shared" si="2"/>
        <v>-177.2311535</v>
      </c>
      <c r="F435" s="3">
        <f t="shared" si="3"/>
        <v>0.0002123081526</v>
      </c>
      <c r="G435" s="3">
        <f t="shared" si="4"/>
        <v>0</v>
      </c>
      <c r="H435" s="2">
        <f t="shared" si="5"/>
        <v>0</v>
      </c>
      <c r="I435" s="3">
        <f t="shared" si="6"/>
        <v>0</v>
      </c>
      <c r="J435" s="3">
        <f t="shared" si="7"/>
        <v>0</v>
      </c>
      <c r="K435" s="3"/>
      <c r="L435" s="3">
        <f t="shared" si="8"/>
        <v>407.0664197</v>
      </c>
      <c r="M435" s="14">
        <f t="shared" si="9"/>
        <v>404.8704982</v>
      </c>
      <c r="N435" s="14">
        <f t="shared" si="10"/>
        <v>2.195921419</v>
      </c>
      <c r="O435" s="3"/>
      <c r="P435" s="3"/>
      <c r="Q435" s="3"/>
      <c r="R435" s="2"/>
      <c r="S435" s="14">
        <f t="shared" si="13"/>
        <v>2.016506147</v>
      </c>
    </row>
    <row r="436">
      <c r="A436" s="11">
        <v>424.0</v>
      </c>
      <c r="B436" s="11">
        <v>1.42123913043478E9</v>
      </c>
      <c r="C436" s="2">
        <v>-102.7552414</v>
      </c>
      <c r="D436" s="3">
        <f t="shared" si="1"/>
        <v>839130.4348</v>
      </c>
      <c r="E436" s="4">
        <f t="shared" si="2"/>
        <v>-178.1494496</v>
      </c>
      <c r="F436" s="3">
        <f t="shared" si="3"/>
        <v>0.0002123024529</v>
      </c>
      <c r="G436" s="3">
        <f t="shared" si="4"/>
        <v>0</v>
      </c>
      <c r="H436" s="2">
        <f t="shared" si="5"/>
        <v>0</v>
      </c>
      <c r="I436" s="3">
        <f t="shared" si="6"/>
        <v>0</v>
      </c>
      <c r="J436" s="3">
        <f t="shared" si="7"/>
        <v>0</v>
      </c>
      <c r="K436" s="3"/>
      <c r="L436" s="3">
        <f t="shared" si="8"/>
        <v>403.2571044</v>
      </c>
      <c r="M436" s="14">
        <f t="shared" si="9"/>
        <v>404.7591509</v>
      </c>
      <c r="N436" s="14">
        <f t="shared" si="10"/>
        <v>-1.502046441</v>
      </c>
      <c r="O436" s="3"/>
      <c r="P436" s="3"/>
      <c r="Q436" s="3"/>
      <c r="R436" s="2"/>
      <c r="S436" s="14">
        <f t="shared" si="13"/>
        <v>-1.379323435</v>
      </c>
    </row>
    <row r="437">
      <c r="A437" s="11">
        <v>425.0</v>
      </c>
      <c r="B437" s="11">
        <v>1.42124347826087E9</v>
      </c>
      <c r="C437" s="2">
        <v>-102.790947</v>
      </c>
      <c r="D437" s="3">
        <f t="shared" si="1"/>
        <v>843478.2609</v>
      </c>
      <c r="E437" s="4">
        <f t="shared" si="2"/>
        <v>-179.0677458</v>
      </c>
      <c r="F437" s="3">
        <f t="shared" si="3"/>
        <v>0.000212296812</v>
      </c>
      <c r="G437" s="3">
        <f t="shared" si="4"/>
        <v>0</v>
      </c>
      <c r="H437" s="2">
        <f t="shared" si="5"/>
        <v>0</v>
      </c>
      <c r="I437" s="3">
        <f t="shared" si="6"/>
        <v>0</v>
      </c>
      <c r="J437" s="3">
        <f t="shared" si="7"/>
        <v>0</v>
      </c>
      <c r="K437" s="3"/>
      <c r="L437" s="3">
        <f t="shared" si="8"/>
        <v>399.9553103</v>
      </c>
      <c r="M437" s="14">
        <f t="shared" si="9"/>
        <v>404.647453</v>
      </c>
      <c r="N437" s="14">
        <f t="shared" si="10"/>
        <v>-4.692142703</v>
      </c>
      <c r="O437" s="3"/>
      <c r="P437" s="3"/>
      <c r="Q437" s="3"/>
      <c r="R437" s="2"/>
      <c r="S437" s="14">
        <f t="shared" si="13"/>
        <v>-4.308776498</v>
      </c>
    </row>
    <row r="438">
      <c r="A438" s="11">
        <v>426.0</v>
      </c>
      <c r="B438" s="11">
        <v>1.42124782608695E9</v>
      </c>
      <c r="C438" s="2">
        <v>-102.7631607</v>
      </c>
      <c r="D438" s="3">
        <f t="shared" si="1"/>
        <v>847826.087</v>
      </c>
      <c r="E438" s="4">
        <f t="shared" si="2"/>
        <v>-179.9860419</v>
      </c>
      <c r="F438" s="3">
        <f t="shared" si="3"/>
        <v>0.0002122912289</v>
      </c>
      <c r="G438" s="3">
        <f t="shared" si="4"/>
        <v>0</v>
      </c>
      <c r="H438" s="2">
        <f t="shared" si="5"/>
        <v>0</v>
      </c>
      <c r="I438" s="3">
        <f t="shared" si="6"/>
        <v>0</v>
      </c>
      <c r="J438" s="3">
        <f t="shared" si="7"/>
        <v>0</v>
      </c>
      <c r="K438" s="3"/>
      <c r="L438" s="3">
        <f t="shared" si="8"/>
        <v>402.5224407</v>
      </c>
      <c r="M438" s="14">
        <f t="shared" si="9"/>
        <v>404.5354029</v>
      </c>
      <c r="N438" s="14">
        <f t="shared" si="10"/>
        <v>-2.012962229</v>
      </c>
      <c r="O438" s="3"/>
      <c r="P438" s="3"/>
      <c r="Q438" s="3"/>
      <c r="R438" s="2"/>
      <c r="S438" s="14">
        <f t="shared" si="13"/>
        <v>-1.84849543</v>
      </c>
    </row>
    <row r="439">
      <c r="A439" s="11">
        <v>427.0</v>
      </c>
      <c r="B439" s="11">
        <v>1.42125217391304E9</v>
      </c>
      <c r="C439" s="2">
        <v>-102.6910706</v>
      </c>
      <c r="D439" s="3">
        <f t="shared" si="1"/>
        <v>852173.913</v>
      </c>
      <c r="E439" s="4">
        <f t="shared" si="2"/>
        <v>-180.904338</v>
      </c>
      <c r="F439" s="3">
        <f t="shared" si="3"/>
        <v>0.0002122857028</v>
      </c>
      <c r="G439" s="3">
        <f t="shared" si="4"/>
        <v>0</v>
      </c>
      <c r="H439" s="2">
        <f t="shared" si="5"/>
        <v>0</v>
      </c>
      <c r="I439" s="3">
        <f t="shared" si="6"/>
        <v>0</v>
      </c>
      <c r="J439" s="3">
        <f t="shared" si="7"/>
        <v>0</v>
      </c>
      <c r="K439" s="3"/>
      <c r="L439" s="3">
        <f t="shared" si="8"/>
        <v>409.2598186</v>
      </c>
      <c r="M439" s="14">
        <f t="shared" si="9"/>
        <v>404.4229991</v>
      </c>
      <c r="N439" s="14">
        <f t="shared" si="10"/>
        <v>4.836819479</v>
      </c>
      <c r="O439" s="3"/>
      <c r="P439" s="3"/>
      <c r="Q439" s="3"/>
      <c r="R439" s="2"/>
      <c r="S439" s="14">
        <f t="shared" si="13"/>
        <v>4.441632612</v>
      </c>
    </row>
    <row r="440">
      <c r="A440" s="11">
        <v>428.0</v>
      </c>
      <c r="B440" s="11">
        <v>1.42125652173913E9</v>
      </c>
      <c r="C440" s="2">
        <v>-102.7346497</v>
      </c>
      <c r="D440" s="3">
        <f t="shared" si="1"/>
        <v>856521.7391</v>
      </c>
      <c r="E440" s="4">
        <f t="shared" si="2"/>
        <v>-181.8226342</v>
      </c>
      <c r="F440" s="3">
        <f t="shared" si="3"/>
        <v>0.0002122802328</v>
      </c>
      <c r="G440" s="3">
        <f t="shared" si="4"/>
        <v>0</v>
      </c>
      <c r="H440" s="2">
        <f t="shared" si="5"/>
        <v>0</v>
      </c>
      <c r="I440" s="3">
        <f t="shared" si="6"/>
        <v>0</v>
      </c>
      <c r="J440" s="3">
        <f t="shared" si="7"/>
        <v>0</v>
      </c>
      <c r="K440" s="3"/>
      <c r="L440" s="3">
        <f t="shared" si="8"/>
        <v>405.1736534</v>
      </c>
      <c r="M440" s="14">
        <f t="shared" si="9"/>
        <v>404.3102398</v>
      </c>
      <c r="N440" s="14">
        <f t="shared" si="10"/>
        <v>0.8634135464</v>
      </c>
      <c r="O440" s="3"/>
      <c r="P440" s="3"/>
      <c r="Q440" s="3"/>
      <c r="R440" s="2"/>
      <c r="S440" s="14">
        <f t="shared" si="13"/>
        <v>0.7928693207</v>
      </c>
    </row>
    <row r="441">
      <c r="A441" s="11">
        <v>429.0</v>
      </c>
      <c r="B441" s="11">
        <v>1.42126086956521E9</v>
      </c>
      <c r="C441" s="2">
        <v>-102.7542191</v>
      </c>
      <c r="D441" s="3">
        <f t="shared" si="1"/>
        <v>860869.5652</v>
      </c>
      <c r="E441" s="4">
        <f t="shared" si="2"/>
        <v>-182.7409303</v>
      </c>
      <c r="F441" s="3">
        <f t="shared" si="3"/>
        <v>0.000212274818</v>
      </c>
      <c r="G441" s="3">
        <f t="shared" si="4"/>
        <v>0</v>
      </c>
      <c r="H441" s="2">
        <f t="shared" si="5"/>
        <v>0</v>
      </c>
      <c r="I441" s="3">
        <f t="shared" si="6"/>
        <v>0</v>
      </c>
      <c r="J441" s="3">
        <f t="shared" si="7"/>
        <v>0</v>
      </c>
      <c r="K441" s="3"/>
      <c r="L441" s="3">
        <f t="shared" si="8"/>
        <v>403.3520396</v>
      </c>
      <c r="M441" s="14">
        <f t="shared" si="9"/>
        <v>404.1971235</v>
      </c>
      <c r="N441" s="14">
        <f t="shared" si="10"/>
        <v>-0.8450838964</v>
      </c>
      <c r="O441" s="3"/>
      <c r="P441" s="3"/>
      <c r="Q441" s="3"/>
      <c r="R441" s="2"/>
      <c r="S441" s="14">
        <f t="shared" si="13"/>
        <v>-0.776037274</v>
      </c>
    </row>
    <row r="442">
      <c r="A442" s="11">
        <v>430.0</v>
      </c>
      <c r="B442" s="11">
        <v>1.4212652173913E9</v>
      </c>
      <c r="C442" s="2">
        <v>-102.7584991</v>
      </c>
      <c r="D442" s="3">
        <f t="shared" si="1"/>
        <v>865217.3913</v>
      </c>
      <c r="E442" s="4">
        <f t="shared" si="2"/>
        <v>-183.6592264</v>
      </c>
      <c r="F442" s="3">
        <f t="shared" si="3"/>
        <v>0.0002122694577</v>
      </c>
      <c r="G442" s="3">
        <f t="shared" si="4"/>
        <v>0</v>
      </c>
      <c r="H442" s="2">
        <f t="shared" si="5"/>
        <v>0</v>
      </c>
      <c r="I442" s="3">
        <f t="shared" si="6"/>
        <v>0</v>
      </c>
      <c r="J442" s="3">
        <f t="shared" si="7"/>
        <v>0</v>
      </c>
      <c r="K442" s="3"/>
      <c r="L442" s="3">
        <f t="shared" si="8"/>
        <v>402.9547294</v>
      </c>
      <c r="M442" s="14">
        <f t="shared" si="9"/>
        <v>404.0836486</v>
      </c>
      <c r="N442" s="14">
        <f t="shared" si="10"/>
        <v>-1.128919151</v>
      </c>
      <c r="O442" s="3"/>
      <c r="P442" s="3"/>
      <c r="Q442" s="3"/>
      <c r="R442" s="2"/>
      <c r="S442" s="14">
        <f t="shared" si="13"/>
        <v>-1.036682088</v>
      </c>
    </row>
    <row r="443">
      <c r="A443" s="11">
        <v>431.0</v>
      </c>
      <c r="B443" s="11">
        <v>1.42126956521739E9</v>
      </c>
      <c r="C443" s="2">
        <v>-102.7228165</v>
      </c>
      <c r="D443" s="3">
        <f t="shared" si="1"/>
        <v>869565.2174</v>
      </c>
      <c r="E443" s="4">
        <f t="shared" si="2"/>
        <v>-184.5775226</v>
      </c>
      <c r="F443" s="3">
        <f t="shared" si="3"/>
        <v>0.0002122641509</v>
      </c>
      <c r="G443" s="3">
        <f t="shared" si="4"/>
        <v>0</v>
      </c>
      <c r="H443" s="2">
        <f t="shared" si="5"/>
        <v>0</v>
      </c>
      <c r="I443" s="3">
        <f t="shared" si="6"/>
        <v>0</v>
      </c>
      <c r="J443" s="3">
        <f t="shared" si="7"/>
        <v>0</v>
      </c>
      <c r="K443" s="3"/>
      <c r="L443" s="3">
        <f t="shared" si="8"/>
        <v>406.2791334</v>
      </c>
      <c r="M443" s="14">
        <f t="shared" si="9"/>
        <v>403.9698133</v>
      </c>
      <c r="N443" s="14">
        <f t="shared" si="10"/>
        <v>2.309320045</v>
      </c>
      <c r="O443" s="3"/>
      <c r="P443" s="3"/>
      <c r="Q443" s="3"/>
      <c r="R443" s="2"/>
      <c r="S443" s="14">
        <f t="shared" si="13"/>
        <v>2.120639667</v>
      </c>
    </row>
    <row r="444">
      <c r="A444" s="11">
        <v>432.0</v>
      </c>
      <c r="B444" s="11">
        <v>1.42127391304347E9</v>
      </c>
      <c r="C444" s="2">
        <v>-102.7033768</v>
      </c>
      <c r="D444" s="3">
        <f t="shared" si="1"/>
        <v>873913.0435</v>
      </c>
      <c r="E444" s="4">
        <f t="shared" si="2"/>
        <v>-185.4958187</v>
      </c>
      <c r="F444" s="3">
        <f t="shared" si="3"/>
        <v>0.000212258897</v>
      </c>
      <c r="G444" s="3">
        <f t="shared" si="4"/>
        <v>0</v>
      </c>
      <c r="H444" s="2">
        <f t="shared" si="5"/>
        <v>0</v>
      </c>
      <c r="I444" s="3">
        <f t="shared" si="6"/>
        <v>0</v>
      </c>
      <c r="J444" s="3">
        <f t="shared" si="7"/>
        <v>0</v>
      </c>
      <c r="K444" s="3"/>
      <c r="L444" s="3">
        <f t="shared" si="8"/>
        <v>408.1017785</v>
      </c>
      <c r="M444" s="14">
        <f t="shared" si="9"/>
        <v>403.8556162</v>
      </c>
      <c r="N444" s="14">
        <f t="shared" si="10"/>
        <v>4.246162306</v>
      </c>
      <c r="O444" s="3"/>
      <c r="P444" s="3"/>
      <c r="Q444" s="3"/>
      <c r="R444" s="2"/>
      <c r="S444" s="14">
        <f t="shared" si="13"/>
        <v>3.899234425</v>
      </c>
    </row>
    <row r="445">
      <c r="A445" s="11">
        <v>433.0</v>
      </c>
      <c r="B445" s="11">
        <v>1.42127826086956E9</v>
      </c>
      <c r="C445" s="2">
        <v>-102.6880112</v>
      </c>
      <c r="D445" s="3">
        <f t="shared" si="1"/>
        <v>878260.8696</v>
      </c>
      <c r="E445" s="4">
        <f t="shared" si="2"/>
        <v>-186.4141148</v>
      </c>
      <c r="F445" s="3">
        <f t="shared" si="3"/>
        <v>0.0002122536951</v>
      </c>
      <c r="G445" s="3">
        <f t="shared" si="4"/>
        <v>0</v>
      </c>
      <c r="H445" s="2">
        <f t="shared" si="5"/>
        <v>0</v>
      </c>
      <c r="I445" s="3">
        <f t="shared" si="6"/>
        <v>0</v>
      </c>
      <c r="J445" s="3">
        <f t="shared" si="7"/>
        <v>0</v>
      </c>
      <c r="K445" s="3"/>
      <c r="L445" s="3">
        <f t="shared" si="8"/>
        <v>409.5482244</v>
      </c>
      <c r="M445" s="14">
        <f t="shared" si="9"/>
        <v>403.7410555</v>
      </c>
      <c r="N445" s="14">
        <f t="shared" si="10"/>
        <v>5.807168942</v>
      </c>
      <c r="O445" s="3"/>
      <c r="P445" s="3"/>
      <c r="Q445" s="3"/>
      <c r="R445" s="2"/>
      <c r="S445" s="14">
        <f t="shared" si="13"/>
        <v>5.33270077</v>
      </c>
    </row>
    <row r="446">
      <c r="A446" s="11">
        <v>434.0</v>
      </c>
      <c r="B446" s="11">
        <v>1.42128260869565E9</v>
      </c>
      <c r="C446" s="2">
        <v>-102.7761688</v>
      </c>
      <c r="D446" s="3">
        <f t="shared" si="1"/>
        <v>882608.6957</v>
      </c>
      <c r="E446" s="4">
        <f t="shared" si="2"/>
        <v>-187.332411</v>
      </c>
      <c r="F446" s="3">
        <f t="shared" si="3"/>
        <v>0.0002122485444</v>
      </c>
      <c r="G446" s="3">
        <f t="shared" si="4"/>
        <v>0</v>
      </c>
      <c r="H446" s="2">
        <f t="shared" si="5"/>
        <v>0</v>
      </c>
      <c r="I446" s="3">
        <f t="shared" si="6"/>
        <v>0</v>
      </c>
      <c r="J446" s="3">
        <f t="shared" si="7"/>
        <v>0</v>
      </c>
      <c r="K446" s="3"/>
      <c r="L446" s="3">
        <f t="shared" si="8"/>
        <v>401.3185989</v>
      </c>
      <c r="M446" s="14">
        <f t="shared" si="9"/>
        <v>403.6261296</v>
      </c>
      <c r="N446" s="14">
        <f t="shared" si="10"/>
        <v>-2.307530664</v>
      </c>
      <c r="O446" s="3"/>
      <c r="P446" s="3"/>
      <c r="Q446" s="3"/>
      <c r="R446" s="2"/>
      <c r="S446" s="14">
        <f t="shared" si="13"/>
        <v>-2.118996485</v>
      </c>
    </row>
    <row r="447">
      <c r="A447" s="11">
        <v>435.0</v>
      </c>
      <c r="B447" s="11">
        <v>1.42128695652173E9</v>
      </c>
      <c r="C447" s="2">
        <v>-102.7782135</v>
      </c>
      <c r="D447" s="3">
        <f t="shared" si="1"/>
        <v>886956.5217</v>
      </c>
      <c r="E447" s="4">
        <f t="shared" si="2"/>
        <v>-188.2507071</v>
      </c>
      <c r="F447" s="3">
        <f t="shared" si="3"/>
        <v>0.0002122434443</v>
      </c>
      <c r="G447" s="3">
        <f t="shared" si="4"/>
        <v>0</v>
      </c>
      <c r="H447" s="2">
        <f t="shared" si="5"/>
        <v>0</v>
      </c>
      <c r="I447" s="3">
        <f t="shared" si="6"/>
        <v>0</v>
      </c>
      <c r="J447" s="3">
        <f t="shared" si="7"/>
        <v>0</v>
      </c>
      <c r="K447" s="3"/>
      <c r="L447" s="3">
        <f t="shared" si="8"/>
        <v>401.1296988</v>
      </c>
      <c r="M447" s="14">
        <f t="shared" si="9"/>
        <v>403.5108369</v>
      </c>
      <c r="N447" s="14">
        <f t="shared" si="10"/>
        <v>-2.381138183</v>
      </c>
      <c r="O447" s="3"/>
      <c r="P447" s="3"/>
      <c r="Q447" s="3"/>
      <c r="R447" s="2"/>
      <c r="S447" s="14">
        <f t="shared" si="13"/>
        <v>-2.186589985</v>
      </c>
    </row>
    <row r="448">
      <c r="A448" s="11">
        <v>436.0</v>
      </c>
      <c r="B448" s="11">
        <v>1.42129130434782E9</v>
      </c>
      <c r="C448" s="2">
        <v>-102.8009415</v>
      </c>
      <c r="D448" s="3">
        <f t="shared" si="1"/>
        <v>891304.3478</v>
      </c>
      <c r="E448" s="4">
        <f t="shared" si="2"/>
        <v>-189.1690032</v>
      </c>
      <c r="F448" s="3">
        <f t="shared" si="3"/>
        <v>0.0002122383939</v>
      </c>
      <c r="G448" s="3">
        <f t="shared" si="4"/>
        <v>0</v>
      </c>
      <c r="H448" s="2">
        <f t="shared" si="5"/>
        <v>0</v>
      </c>
      <c r="I448" s="3">
        <f t="shared" si="6"/>
        <v>0</v>
      </c>
      <c r="J448" s="3">
        <f t="shared" si="7"/>
        <v>0</v>
      </c>
      <c r="K448" s="3"/>
      <c r="L448" s="3">
        <f t="shared" si="8"/>
        <v>399.0359439</v>
      </c>
      <c r="M448" s="14">
        <f t="shared" si="9"/>
        <v>403.3951759</v>
      </c>
      <c r="N448" s="14">
        <f t="shared" si="10"/>
        <v>-4.359231935</v>
      </c>
      <c r="O448" s="3"/>
      <c r="P448" s="3"/>
      <c r="Q448" s="3"/>
      <c r="R448" s="2"/>
      <c r="S448" s="14">
        <f t="shared" si="13"/>
        <v>-4.003065828</v>
      </c>
    </row>
    <row r="449">
      <c r="A449" s="11">
        <v>437.0</v>
      </c>
      <c r="B449" s="11">
        <v>1.42129565217391E9</v>
      </c>
      <c r="C449" s="2">
        <v>-102.7053299</v>
      </c>
      <c r="D449" s="3">
        <f t="shared" si="1"/>
        <v>895652.1739</v>
      </c>
      <c r="E449" s="4">
        <f t="shared" si="2"/>
        <v>-190.0872994</v>
      </c>
      <c r="F449" s="3">
        <f t="shared" si="3"/>
        <v>0.0002122333925</v>
      </c>
      <c r="G449" s="3">
        <f t="shared" si="4"/>
        <v>0</v>
      </c>
      <c r="H449" s="2">
        <f t="shared" si="5"/>
        <v>0</v>
      </c>
      <c r="I449" s="3">
        <f t="shared" si="6"/>
        <v>0</v>
      </c>
      <c r="J449" s="3">
        <f t="shared" si="7"/>
        <v>0</v>
      </c>
      <c r="K449" s="3"/>
      <c r="L449" s="3">
        <f t="shared" si="8"/>
        <v>407.918289</v>
      </c>
      <c r="M449" s="14">
        <f t="shared" si="9"/>
        <v>403.2791448</v>
      </c>
      <c r="N449" s="14">
        <f t="shared" si="10"/>
        <v>4.63914426</v>
      </c>
      <c r="O449" s="3"/>
      <c r="P449" s="3"/>
      <c r="Q449" s="3"/>
      <c r="R449" s="2"/>
      <c r="S449" s="14">
        <f t="shared" si="13"/>
        <v>4.260108223</v>
      </c>
    </row>
    <row r="450">
      <c r="A450" s="11">
        <v>438.0</v>
      </c>
      <c r="B450" s="11">
        <v>1.4213E9</v>
      </c>
      <c r="C450" s="2">
        <v>-102.7544556</v>
      </c>
      <c r="D450" s="3">
        <f t="shared" si="1"/>
        <v>900000</v>
      </c>
      <c r="E450" s="4">
        <f t="shared" si="2"/>
        <v>-191.0055955</v>
      </c>
      <c r="F450" s="3">
        <f t="shared" si="3"/>
        <v>0.0002122284394</v>
      </c>
      <c r="G450" s="3">
        <f t="shared" si="4"/>
        <v>0</v>
      </c>
      <c r="H450" s="2">
        <f t="shared" si="5"/>
        <v>0</v>
      </c>
      <c r="I450" s="3">
        <f t="shared" si="6"/>
        <v>0</v>
      </c>
      <c r="J450" s="3">
        <f t="shared" si="7"/>
        <v>0</v>
      </c>
      <c r="K450" s="3"/>
      <c r="L450" s="3">
        <f t="shared" si="8"/>
        <v>403.3300752</v>
      </c>
      <c r="M450" s="14">
        <f t="shared" si="9"/>
        <v>403.162742</v>
      </c>
      <c r="N450" s="14">
        <f t="shared" si="10"/>
        <v>0.1673332016</v>
      </c>
      <c r="O450" s="3"/>
      <c r="P450" s="3"/>
      <c r="Q450" s="3"/>
      <c r="R450" s="2"/>
      <c r="S450" s="14">
        <f t="shared" si="13"/>
        <v>0.1536614319</v>
      </c>
    </row>
    <row r="451">
      <c r="A451" s="11">
        <v>439.0</v>
      </c>
      <c r="B451" s="11">
        <v>1.42130434782608E9</v>
      </c>
      <c r="C451" s="2">
        <v>-102.772438</v>
      </c>
      <c r="D451" s="3">
        <f t="shared" si="1"/>
        <v>904347.8261</v>
      </c>
      <c r="E451" s="4">
        <f t="shared" si="2"/>
        <v>-191.9238916</v>
      </c>
      <c r="F451" s="3">
        <f t="shared" si="3"/>
        <v>0.000212223534</v>
      </c>
      <c r="G451" s="3">
        <f t="shared" si="4"/>
        <v>0</v>
      </c>
      <c r="H451" s="2">
        <f t="shared" si="5"/>
        <v>0</v>
      </c>
      <c r="I451" s="3">
        <f t="shared" si="6"/>
        <v>0</v>
      </c>
      <c r="J451" s="3">
        <f t="shared" si="7"/>
        <v>0</v>
      </c>
      <c r="K451" s="3"/>
      <c r="L451" s="3">
        <f t="shared" si="8"/>
        <v>401.6634992</v>
      </c>
      <c r="M451" s="14">
        <f t="shared" si="9"/>
        <v>403.045966</v>
      </c>
      <c r="N451" s="14">
        <f t="shared" si="10"/>
        <v>-1.38246682</v>
      </c>
      <c r="O451" s="3"/>
      <c r="P451" s="3"/>
      <c r="Q451" s="3"/>
      <c r="R451" s="2"/>
      <c r="S451" s="14">
        <f t="shared" si="13"/>
        <v>-1.269513934</v>
      </c>
    </row>
    <row r="452">
      <c r="A452" s="11">
        <v>440.0</v>
      </c>
      <c r="B452" s="11">
        <v>1.42130869565217E9</v>
      </c>
      <c r="C452" s="2">
        <v>-102.7927094</v>
      </c>
      <c r="D452" s="3">
        <f t="shared" si="1"/>
        <v>908695.6522</v>
      </c>
      <c r="E452" s="4">
        <f t="shared" si="2"/>
        <v>-192.8421877</v>
      </c>
      <c r="F452" s="3">
        <f t="shared" si="3"/>
        <v>0.0002122186755</v>
      </c>
      <c r="G452" s="3">
        <f t="shared" si="4"/>
        <v>0</v>
      </c>
      <c r="H452" s="2">
        <f t="shared" si="5"/>
        <v>0</v>
      </c>
      <c r="I452" s="3">
        <f t="shared" si="6"/>
        <v>0</v>
      </c>
      <c r="J452" s="3">
        <f t="shared" si="7"/>
        <v>0</v>
      </c>
      <c r="K452" s="3"/>
      <c r="L452" s="3">
        <f t="shared" si="8"/>
        <v>399.7930383</v>
      </c>
      <c r="M452" s="14">
        <f t="shared" si="9"/>
        <v>402.928815</v>
      </c>
      <c r="N452" s="14">
        <f t="shared" si="10"/>
        <v>-3.135776721</v>
      </c>
      <c r="O452" s="3"/>
      <c r="P452" s="3"/>
      <c r="Q452" s="3"/>
      <c r="R452" s="2"/>
      <c r="S452" s="14">
        <f t="shared" si="13"/>
        <v>-2.879571629</v>
      </c>
    </row>
    <row r="453">
      <c r="A453" s="11">
        <v>441.0</v>
      </c>
      <c r="B453" s="11">
        <v>1.42131304347826E9</v>
      </c>
      <c r="C453" s="2">
        <v>-102.7491455</v>
      </c>
      <c r="D453" s="3">
        <f t="shared" si="1"/>
        <v>913043.4783</v>
      </c>
      <c r="E453" s="4">
        <f t="shared" si="2"/>
        <v>-193.7604839</v>
      </c>
      <c r="F453" s="3">
        <f t="shared" si="3"/>
        <v>0.0002122138633</v>
      </c>
      <c r="G453" s="3">
        <f t="shared" si="4"/>
        <v>0</v>
      </c>
      <c r="H453" s="2">
        <f t="shared" si="5"/>
        <v>0</v>
      </c>
      <c r="I453" s="3">
        <f t="shared" si="6"/>
        <v>0</v>
      </c>
      <c r="J453" s="3">
        <f t="shared" si="7"/>
        <v>0</v>
      </c>
      <c r="K453" s="3"/>
      <c r="L453" s="3">
        <f t="shared" si="8"/>
        <v>403.8235268</v>
      </c>
      <c r="M453" s="14">
        <f t="shared" si="9"/>
        <v>402.8112875</v>
      </c>
      <c r="N453" s="14">
        <f t="shared" si="10"/>
        <v>1.012239249</v>
      </c>
      <c r="O453" s="3"/>
      <c r="P453" s="3"/>
      <c r="Q453" s="3"/>
      <c r="R453" s="2"/>
      <c r="S453" s="14">
        <f t="shared" si="13"/>
        <v>0.9295353881</v>
      </c>
    </row>
    <row r="454">
      <c r="A454" s="11">
        <v>442.0</v>
      </c>
      <c r="B454" s="11">
        <v>1.42131739130434E9</v>
      </c>
      <c r="C454" s="2">
        <v>-102.7387619</v>
      </c>
      <c r="D454" s="3">
        <f t="shared" si="1"/>
        <v>917391.3043</v>
      </c>
      <c r="E454" s="4">
        <f t="shared" si="2"/>
        <v>-194.67878</v>
      </c>
      <c r="F454" s="3">
        <f t="shared" si="3"/>
        <v>0.0002122090967</v>
      </c>
      <c r="G454" s="3">
        <f t="shared" si="4"/>
        <v>0</v>
      </c>
      <c r="H454" s="2">
        <f t="shared" si="5"/>
        <v>0</v>
      </c>
      <c r="I454" s="3">
        <f t="shared" si="6"/>
        <v>0</v>
      </c>
      <c r="J454" s="3">
        <f t="shared" si="7"/>
        <v>0</v>
      </c>
      <c r="K454" s="3"/>
      <c r="L454" s="3">
        <f t="shared" si="8"/>
        <v>404.7901886</v>
      </c>
      <c r="M454" s="14">
        <f t="shared" si="9"/>
        <v>402.6933819</v>
      </c>
      <c r="N454" s="14">
        <f t="shared" si="10"/>
        <v>2.09680666</v>
      </c>
      <c r="O454" s="3"/>
      <c r="P454" s="3"/>
      <c r="Q454" s="3"/>
      <c r="R454" s="2"/>
      <c r="S454" s="14">
        <f t="shared" si="13"/>
        <v>1.925489447</v>
      </c>
    </row>
    <row r="455">
      <c r="A455" s="11">
        <v>443.0</v>
      </c>
      <c r="B455" s="11">
        <v>1.42132173913043E9</v>
      </c>
      <c r="C455" s="2">
        <v>-102.7756119</v>
      </c>
      <c r="D455" s="3">
        <f t="shared" si="1"/>
        <v>921739.1304</v>
      </c>
      <c r="E455" s="4">
        <f t="shared" si="2"/>
        <v>-195.5970761</v>
      </c>
      <c r="F455" s="3">
        <f t="shared" si="3"/>
        <v>0.0002122043751</v>
      </c>
      <c r="G455" s="3">
        <f t="shared" si="4"/>
        <v>0</v>
      </c>
      <c r="H455" s="2">
        <f t="shared" si="5"/>
        <v>0</v>
      </c>
      <c r="I455" s="3">
        <f t="shared" si="6"/>
        <v>0</v>
      </c>
      <c r="J455" s="3">
        <f t="shared" si="7"/>
        <v>0</v>
      </c>
      <c r="K455" s="3"/>
      <c r="L455" s="3">
        <f t="shared" si="8"/>
        <v>401.3700637</v>
      </c>
      <c r="M455" s="14">
        <f t="shared" si="9"/>
        <v>402.5750965</v>
      </c>
      <c r="N455" s="14">
        <f t="shared" si="10"/>
        <v>-1.205032763</v>
      </c>
      <c r="O455" s="3"/>
      <c r="P455" s="3"/>
      <c r="Q455" s="3"/>
      <c r="R455" s="2"/>
      <c r="S455" s="14">
        <f t="shared" si="13"/>
        <v>-1.106576924</v>
      </c>
    </row>
    <row r="456">
      <c r="A456" s="11">
        <v>444.0</v>
      </c>
      <c r="B456" s="11">
        <v>1.42132608695652E9</v>
      </c>
      <c r="C456" s="2">
        <v>-102.7974167</v>
      </c>
      <c r="D456" s="3">
        <f t="shared" si="1"/>
        <v>926086.9565</v>
      </c>
      <c r="E456" s="4">
        <f t="shared" si="2"/>
        <v>-196.5153723</v>
      </c>
      <c r="F456" s="3">
        <f t="shared" si="3"/>
        <v>0.0002121996978</v>
      </c>
      <c r="G456" s="3">
        <f t="shared" si="4"/>
        <v>0</v>
      </c>
      <c r="H456" s="2">
        <f t="shared" si="5"/>
        <v>0</v>
      </c>
      <c r="I456" s="3">
        <f t="shared" si="6"/>
        <v>0</v>
      </c>
      <c r="J456" s="3">
        <f t="shared" si="7"/>
        <v>0</v>
      </c>
      <c r="K456" s="3"/>
      <c r="L456" s="3">
        <f t="shared" si="8"/>
        <v>399.359939</v>
      </c>
      <c r="M456" s="14">
        <f t="shared" si="9"/>
        <v>402.4564296</v>
      </c>
      <c r="N456" s="14">
        <f t="shared" si="10"/>
        <v>-3.096490571</v>
      </c>
      <c r="O456" s="3"/>
      <c r="P456" s="3"/>
      <c r="Q456" s="3"/>
      <c r="R456" s="2"/>
      <c r="S456" s="14">
        <f t="shared" si="13"/>
        <v>-2.843495317</v>
      </c>
    </row>
    <row r="457">
      <c r="A457" s="11">
        <v>445.0</v>
      </c>
      <c r="B457" s="11">
        <v>1.4213304347826E9</v>
      </c>
      <c r="C457" s="2">
        <v>-102.7427368</v>
      </c>
      <c r="D457" s="3">
        <f t="shared" si="1"/>
        <v>930434.7826</v>
      </c>
      <c r="E457" s="4">
        <f t="shared" si="2"/>
        <v>-197.4336684</v>
      </c>
      <c r="F457" s="3">
        <f t="shared" si="3"/>
        <v>0.0002121950642</v>
      </c>
      <c r="G457" s="3">
        <f t="shared" si="4"/>
        <v>0</v>
      </c>
      <c r="H457" s="2">
        <f t="shared" si="5"/>
        <v>0</v>
      </c>
      <c r="I457" s="3">
        <f t="shared" si="6"/>
        <v>0</v>
      </c>
      <c r="J457" s="3">
        <f t="shared" si="7"/>
        <v>0</v>
      </c>
      <c r="K457" s="3"/>
      <c r="L457" s="3">
        <f t="shared" si="8"/>
        <v>404.419872</v>
      </c>
      <c r="M457" s="14">
        <f t="shared" si="9"/>
        <v>402.3373797</v>
      </c>
      <c r="N457" s="14">
        <f t="shared" si="10"/>
        <v>2.082492249</v>
      </c>
      <c r="O457" s="3"/>
      <c r="P457" s="3"/>
      <c r="Q457" s="3"/>
      <c r="R457" s="2"/>
      <c r="S457" s="14">
        <f t="shared" si="13"/>
        <v>1.912344579</v>
      </c>
    </row>
    <row r="458">
      <c r="A458" s="11">
        <v>446.0</v>
      </c>
      <c r="B458" s="11">
        <v>1.42133478260869E9</v>
      </c>
      <c r="C458" s="2">
        <v>-102.7469788</v>
      </c>
      <c r="D458" s="3">
        <f t="shared" si="1"/>
        <v>934782.6087</v>
      </c>
      <c r="E458" s="4">
        <f t="shared" si="2"/>
        <v>-198.3519645</v>
      </c>
      <c r="F458" s="3">
        <f t="shared" si="3"/>
        <v>0.0002121904737</v>
      </c>
      <c r="G458" s="3">
        <f t="shared" si="4"/>
        <v>0</v>
      </c>
      <c r="H458" s="2">
        <f t="shared" si="5"/>
        <v>0</v>
      </c>
      <c r="I458" s="3">
        <f t="shared" si="6"/>
        <v>0</v>
      </c>
      <c r="J458" s="3">
        <f t="shared" si="7"/>
        <v>0</v>
      </c>
      <c r="K458" s="3"/>
      <c r="L458" s="3">
        <f t="shared" si="8"/>
        <v>404.0250451</v>
      </c>
      <c r="M458" s="14">
        <f t="shared" si="9"/>
        <v>402.2179452</v>
      </c>
      <c r="N458" s="14">
        <f t="shared" si="10"/>
        <v>1.807099867</v>
      </c>
      <c r="O458" s="3"/>
      <c r="P458" s="3"/>
      <c r="Q458" s="3"/>
      <c r="R458" s="2"/>
      <c r="S458" s="14">
        <f t="shared" si="13"/>
        <v>1.659452819</v>
      </c>
    </row>
    <row r="459">
      <c r="A459" s="11">
        <v>447.0</v>
      </c>
      <c r="B459" s="11">
        <v>1.42133913043478E9</v>
      </c>
      <c r="C459" s="2">
        <v>-102.7789841</v>
      </c>
      <c r="D459" s="3">
        <f t="shared" si="1"/>
        <v>939130.4348</v>
      </c>
      <c r="E459" s="4">
        <f t="shared" si="2"/>
        <v>-199.2702607</v>
      </c>
      <c r="F459" s="3">
        <f t="shared" si="3"/>
        <v>0.0002121859257</v>
      </c>
      <c r="G459" s="3">
        <f t="shared" si="4"/>
        <v>0</v>
      </c>
      <c r="H459" s="2">
        <f t="shared" si="5"/>
        <v>0</v>
      </c>
      <c r="I459" s="3">
        <f t="shared" si="6"/>
        <v>0</v>
      </c>
      <c r="J459" s="3">
        <f t="shared" si="7"/>
        <v>0</v>
      </c>
      <c r="K459" s="3"/>
      <c r="L459" s="3">
        <f t="shared" si="8"/>
        <v>401.0585297</v>
      </c>
      <c r="M459" s="14">
        <f t="shared" si="9"/>
        <v>402.0981244</v>
      </c>
      <c r="N459" s="14">
        <f t="shared" si="10"/>
        <v>-1.039594636</v>
      </c>
      <c r="O459" s="3"/>
      <c r="P459" s="3"/>
      <c r="Q459" s="3"/>
      <c r="R459" s="2"/>
      <c r="S459" s="14">
        <f t="shared" si="13"/>
        <v>-0.9546557315</v>
      </c>
    </row>
    <row r="460">
      <c r="A460" s="11">
        <v>448.0</v>
      </c>
      <c r="B460" s="11">
        <v>1.42134347826087E9</v>
      </c>
      <c r="C460" s="2">
        <v>-102.7719116</v>
      </c>
      <c r="D460" s="3">
        <f t="shared" si="1"/>
        <v>943478.2609</v>
      </c>
      <c r="E460" s="4">
        <f t="shared" si="2"/>
        <v>-200.1885568</v>
      </c>
      <c r="F460" s="3">
        <f t="shared" si="3"/>
        <v>0.0002121814197</v>
      </c>
      <c r="G460" s="3">
        <f t="shared" si="4"/>
        <v>0</v>
      </c>
      <c r="H460" s="2">
        <f t="shared" si="5"/>
        <v>0</v>
      </c>
      <c r="I460" s="3">
        <f t="shared" si="6"/>
        <v>0</v>
      </c>
      <c r="J460" s="3">
        <f t="shared" si="7"/>
        <v>0</v>
      </c>
      <c r="K460" s="3"/>
      <c r="L460" s="3">
        <f t="shared" si="8"/>
        <v>401.712187</v>
      </c>
      <c r="M460" s="14">
        <f t="shared" si="9"/>
        <v>401.9779156</v>
      </c>
      <c r="N460" s="14">
        <f t="shared" si="10"/>
        <v>-0.2657286654</v>
      </c>
      <c r="O460" s="3"/>
      <c r="P460" s="3"/>
      <c r="Q460" s="3"/>
      <c r="R460" s="2"/>
      <c r="S460" s="14">
        <f t="shared" si="13"/>
        <v>-0.2440176058</v>
      </c>
    </row>
    <row r="461">
      <c r="A461" s="11">
        <v>449.0</v>
      </c>
      <c r="B461" s="11">
        <v>1.42134782608695E9</v>
      </c>
      <c r="C461" s="2">
        <v>-102.7724915</v>
      </c>
      <c r="D461" s="3">
        <f t="shared" si="1"/>
        <v>947826.087</v>
      </c>
      <c r="E461" s="4">
        <f t="shared" si="2"/>
        <v>-201.1068529</v>
      </c>
      <c r="F461" s="3">
        <f t="shared" si="3"/>
        <v>0.0002121769549</v>
      </c>
      <c r="G461" s="3">
        <f t="shared" si="4"/>
        <v>0</v>
      </c>
      <c r="H461" s="2">
        <f t="shared" si="5"/>
        <v>0</v>
      </c>
      <c r="I461" s="3">
        <f t="shared" si="6"/>
        <v>0</v>
      </c>
      <c r="J461" s="3">
        <f t="shared" si="7"/>
        <v>0</v>
      </c>
      <c r="K461" s="3"/>
      <c r="L461" s="3">
        <f t="shared" si="8"/>
        <v>401.6585512</v>
      </c>
      <c r="M461" s="14">
        <f t="shared" si="9"/>
        <v>401.8573174</v>
      </c>
      <c r="N461" s="14">
        <f t="shared" si="10"/>
        <v>-0.1987662058</v>
      </c>
      <c r="O461" s="3"/>
      <c r="P461" s="3"/>
      <c r="Q461" s="3"/>
      <c r="R461" s="2"/>
      <c r="S461" s="14">
        <f t="shared" si="13"/>
        <v>-0.1825262382</v>
      </c>
    </row>
    <row r="462">
      <c r="A462" s="11">
        <v>450.0</v>
      </c>
      <c r="B462" s="11">
        <v>1.42135217391304E9</v>
      </c>
      <c r="C462" s="2">
        <v>-102.7464752</v>
      </c>
      <c r="D462" s="3">
        <f t="shared" si="1"/>
        <v>952173.913</v>
      </c>
      <c r="E462" s="4">
        <f t="shared" si="2"/>
        <v>-202.0251491</v>
      </c>
      <c r="F462" s="3">
        <f t="shared" si="3"/>
        <v>0.000212172531</v>
      </c>
      <c r="G462" s="3">
        <f t="shared" si="4"/>
        <v>0</v>
      </c>
      <c r="H462" s="2">
        <f t="shared" si="5"/>
        <v>0</v>
      </c>
      <c r="I462" s="3">
        <f t="shared" si="6"/>
        <v>0</v>
      </c>
      <c r="J462" s="3">
        <f t="shared" si="7"/>
        <v>0</v>
      </c>
      <c r="K462" s="3"/>
      <c r="L462" s="3">
        <f t="shared" si="8"/>
        <v>404.0718978</v>
      </c>
      <c r="M462" s="14">
        <f t="shared" si="9"/>
        <v>401.736328</v>
      </c>
      <c r="N462" s="14">
        <f t="shared" si="10"/>
        <v>2.335569837</v>
      </c>
      <c r="O462" s="3"/>
      <c r="P462" s="3"/>
      <c r="Q462" s="3"/>
      <c r="R462" s="2"/>
      <c r="S462" s="14">
        <f t="shared" si="13"/>
        <v>2.144744745</v>
      </c>
    </row>
    <row r="463">
      <c r="A463" s="11">
        <v>451.0</v>
      </c>
      <c r="B463" s="11">
        <v>1.42135652173913E9</v>
      </c>
      <c r="C463" s="2">
        <v>-102.7398758</v>
      </c>
      <c r="D463" s="3">
        <f t="shared" si="1"/>
        <v>956521.7391</v>
      </c>
      <c r="E463" s="4">
        <f t="shared" si="2"/>
        <v>-202.9434452</v>
      </c>
      <c r="F463" s="3">
        <f t="shared" si="3"/>
        <v>0.0002121681473</v>
      </c>
      <c r="G463" s="3">
        <f t="shared" si="4"/>
        <v>0</v>
      </c>
      <c r="H463" s="2">
        <f t="shared" si="5"/>
        <v>0</v>
      </c>
      <c r="I463" s="3">
        <f t="shared" si="6"/>
        <v>0</v>
      </c>
      <c r="J463" s="3">
        <f t="shared" si="7"/>
        <v>0</v>
      </c>
      <c r="K463" s="3"/>
      <c r="L463" s="3">
        <f t="shared" si="8"/>
        <v>404.6863793</v>
      </c>
      <c r="M463" s="14">
        <f t="shared" si="9"/>
        <v>401.6149457</v>
      </c>
      <c r="N463" s="14">
        <f t="shared" si="10"/>
        <v>3.071433527</v>
      </c>
      <c r="O463" s="3"/>
      <c r="P463" s="3"/>
      <c r="Q463" s="3"/>
      <c r="R463" s="2"/>
      <c r="S463" s="14">
        <f t="shared" si="13"/>
        <v>2.82048553</v>
      </c>
    </row>
    <row r="464">
      <c r="A464" s="11">
        <v>452.0</v>
      </c>
      <c r="B464" s="11">
        <v>1.42136086956521E9</v>
      </c>
      <c r="C464" s="2">
        <v>-102.7675171</v>
      </c>
      <c r="D464" s="3">
        <f t="shared" si="1"/>
        <v>960869.5652</v>
      </c>
      <c r="E464" s="4">
        <f t="shared" si="2"/>
        <v>-203.8617413</v>
      </c>
      <c r="F464" s="3">
        <f t="shared" si="3"/>
        <v>0.0002121638032</v>
      </c>
      <c r="G464" s="3">
        <f t="shared" si="4"/>
        <v>0</v>
      </c>
      <c r="H464" s="2">
        <f t="shared" si="5"/>
        <v>0</v>
      </c>
      <c r="I464" s="3">
        <f t="shared" si="6"/>
        <v>0</v>
      </c>
      <c r="J464" s="3">
        <f t="shared" si="7"/>
        <v>0</v>
      </c>
      <c r="K464" s="3"/>
      <c r="L464" s="3">
        <f t="shared" si="8"/>
        <v>402.1188736</v>
      </c>
      <c r="M464" s="14">
        <f t="shared" si="9"/>
        <v>401.4931691</v>
      </c>
      <c r="N464" s="14">
        <f t="shared" si="10"/>
        <v>0.6257044887</v>
      </c>
      <c r="O464" s="3"/>
      <c r="P464" s="3"/>
      <c r="Q464" s="3"/>
      <c r="R464" s="2"/>
      <c r="S464" s="14">
        <f t="shared" si="13"/>
        <v>0.5745820123</v>
      </c>
    </row>
    <row r="465">
      <c r="A465" s="11">
        <v>453.0</v>
      </c>
      <c r="B465" s="11">
        <v>1.4213652173913E9</v>
      </c>
      <c r="C465" s="2">
        <v>-102.7553558</v>
      </c>
      <c r="D465" s="3">
        <f t="shared" si="1"/>
        <v>965217.3913</v>
      </c>
      <c r="E465" s="4">
        <f t="shared" si="2"/>
        <v>-204.7800375</v>
      </c>
      <c r="F465" s="3">
        <f t="shared" si="3"/>
        <v>0.0002121594983</v>
      </c>
      <c r="G465" s="3">
        <f t="shared" si="4"/>
        <v>0</v>
      </c>
      <c r="H465" s="2">
        <f t="shared" si="5"/>
        <v>0</v>
      </c>
      <c r="I465" s="3">
        <f t="shared" si="6"/>
        <v>0</v>
      </c>
      <c r="J465" s="3">
        <f t="shared" si="7"/>
        <v>0</v>
      </c>
      <c r="K465" s="3"/>
      <c r="L465" s="3">
        <f t="shared" si="8"/>
        <v>403.2464822</v>
      </c>
      <c r="M465" s="14">
        <f t="shared" si="9"/>
        <v>401.3709965</v>
      </c>
      <c r="N465" s="14">
        <f t="shared" si="10"/>
        <v>1.875485673</v>
      </c>
      <c r="O465" s="3"/>
      <c r="P465" s="3"/>
      <c r="Q465" s="3"/>
      <c r="R465" s="2"/>
      <c r="S465" s="14">
        <f t="shared" si="13"/>
        <v>1.722251237</v>
      </c>
    </row>
    <row r="466">
      <c r="A466" s="11">
        <v>454.0</v>
      </c>
      <c r="B466" s="11">
        <v>1.42136956521739E9</v>
      </c>
      <c r="C466" s="2">
        <v>-102.8206635</v>
      </c>
      <c r="D466" s="3">
        <f t="shared" si="1"/>
        <v>969565.2174</v>
      </c>
      <c r="E466" s="4">
        <f t="shared" si="2"/>
        <v>-205.6983336</v>
      </c>
      <c r="F466" s="3">
        <f t="shared" si="3"/>
        <v>0.000212155232</v>
      </c>
      <c r="G466" s="3">
        <f t="shared" si="4"/>
        <v>0</v>
      </c>
      <c r="H466" s="2">
        <f t="shared" si="5"/>
        <v>0</v>
      </c>
      <c r="I466" s="3">
        <f t="shared" si="6"/>
        <v>0</v>
      </c>
      <c r="J466" s="3">
        <f t="shared" si="7"/>
        <v>0</v>
      </c>
      <c r="K466" s="3"/>
      <c r="L466" s="3">
        <f t="shared" si="8"/>
        <v>397.2279668</v>
      </c>
      <c r="M466" s="14">
        <f t="shared" si="9"/>
        <v>401.2484262</v>
      </c>
      <c r="N466" s="14">
        <f t="shared" si="10"/>
        <v>-4.020459366</v>
      </c>
      <c r="O466" s="3"/>
      <c r="P466" s="3"/>
      <c r="Q466" s="3"/>
      <c r="R466" s="2"/>
      <c r="S466" s="14">
        <f t="shared" si="13"/>
        <v>-3.691972288</v>
      </c>
    </row>
    <row r="467">
      <c r="A467" s="11">
        <v>455.0</v>
      </c>
      <c r="B467" s="11">
        <v>1.42137391304347E9</v>
      </c>
      <c r="C467" s="2">
        <v>-102.7306366</v>
      </c>
      <c r="D467" s="3">
        <f t="shared" si="1"/>
        <v>973913.0435</v>
      </c>
      <c r="E467" s="4">
        <f t="shared" si="2"/>
        <v>-206.6166297</v>
      </c>
      <c r="F467" s="3">
        <f t="shared" si="3"/>
        <v>0.0002121510037</v>
      </c>
      <c r="G467" s="3">
        <f t="shared" si="4"/>
        <v>0</v>
      </c>
      <c r="H467" s="2">
        <f t="shared" si="5"/>
        <v>0</v>
      </c>
      <c r="I467" s="3">
        <f t="shared" si="6"/>
        <v>0</v>
      </c>
      <c r="J467" s="3">
        <f t="shared" si="7"/>
        <v>0</v>
      </c>
      <c r="K467" s="3"/>
      <c r="L467" s="3">
        <f t="shared" si="8"/>
        <v>405.5482273</v>
      </c>
      <c r="M467" s="14">
        <f t="shared" si="9"/>
        <v>401.1254566</v>
      </c>
      <c r="N467" s="14">
        <f t="shared" si="10"/>
        <v>4.422770701</v>
      </c>
      <c r="O467" s="3"/>
      <c r="P467" s="3"/>
      <c r="Q467" s="3"/>
      <c r="R467" s="2"/>
      <c r="S467" s="14">
        <f t="shared" si="13"/>
        <v>4.061413231</v>
      </c>
    </row>
    <row r="468">
      <c r="A468" s="11">
        <v>456.0</v>
      </c>
      <c r="B468" s="11">
        <v>1.42137826086956E9</v>
      </c>
      <c r="C468" s="2">
        <v>-102.768692</v>
      </c>
      <c r="D468" s="3">
        <f t="shared" si="1"/>
        <v>978260.8696</v>
      </c>
      <c r="E468" s="4">
        <f t="shared" si="2"/>
        <v>-207.5349259</v>
      </c>
      <c r="F468" s="3">
        <f t="shared" si="3"/>
        <v>0.0002121468131</v>
      </c>
      <c r="G468" s="3">
        <f t="shared" si="4"/>
        <v>0</v>
      </c>
      <c r="H468" s="2">
        <f t="shared" si="5"/>
        <v>0</v>
      </c>
      <c r="I468" s="3">
        <f t="shared" si="6"/>
        <v>0</v>
      </c>
      <c r="J468" s="3">
        <f t="shared" si="7"/>
        <v>0</v>
      </c>
      <c r="K468" s="3"/>
      <c r="L468" s="3">
        <f t="shared" si="8"/>
        <v>402.0101028</v>
      </c>
      <c r="M468" s="14">
        <f t="shared" si="9"/>
        <v>401.0020861</v>
      </c>
      <c r="N468" s="14">
        <f t="shared" si="10"/>
        <v>1.008016731</v>
      </c>
      <c r="O468" s="3"/>
      <c r="P468" s="3"/>
      <c r="Q468" s="3"/>
      <c r="R468" s="2"/>
      <c r="S468" s="14">
        <f t="shared" si="13"/>
        <v>0.9256578632</v>
      </c>
    </row>
    <row r="469">
      <c r="A469" s="11">
        <v>457.0</v>
      </c>
      <c r="B469" s="11">
        <v>1.42138260869565E9</v>
      </c>
      <c r="C469" s="2">
        <v>-102.7404633</v>
      </c>
      <c r="D469" s="3">
        <f t="shared" si="1"/>
        <v>982608.6957</v>
      </c>
      <c r="E469" s="4">
        <f t="shared" si="2"/>
        <v>-208.453222</v>
      </c>
      <c r="F469" s="3">
        <f t="shared" si="3"/>
        <v>0.0002121426596</v>
      </c>
      <c r="G469" s="3">
        <f t="shared" si="4"/>
        <v>0</v>
      </c>
      <c r="H469" s="2">
        <f t="shared" si="5"/>
        <v>0</v>
      </c>
      <c r="I469" s="3">
        <f t="shared" si="6"/>
        <v>0</v>
      </c>
      <c r="J469" s="3">
        <f t="shared" si="7"/>
        <v>0</v>
      </c>
      <c r="K469" s="3"/>
      <c r="L469" s="3">
        <f t="shared" si="8"/>
        <v>404.6316383</v>
      </c>
      <c r="M469" s="14">
        <f t="shared" si="9"/>
        <v>400.8783131</v>
      </c>
      <c r="N469" s="14">
        <f t="shared" si="10"/>
        <v>3.753325202</v>
      </c>
      <c r="O469" s="3"/>
      <c r="P469" s="3"/>
      <c r="Q469" s="3"/>
      <c r="R469" s="2"/>
      <c r="S469" s="14">
        <f t="shared" si="13"/>
        <v>3.446664018</v>
      </c>
    </row>
    <row r="470">
      <c r="A470" s="11">
        <v>458.0</v>
      </c>
      <c r="B470" s="11">
        <v>1.42138695652173E9</v>
      </c>
      <c r="C470" s="2">
        <v>-102.8603592</v>
      </c>
      <c r="D470" s="3">
        <f t="shared" si="1"/>
        <v>986956.5217</v>
      </c>
      <c r="E470" s="4">
        <f t="shared" si="2"/>
        <v>-209.3715181</v>
      </c>
      <c r="F470" s="3">
        <f t="shared" si="3"/>
        <v>0.0002121385426</v>
      </c>
      <c r="G470" s="3">
        <f t="shared" si="4"/>
        <v>0</v>
      </c>
      <c r="H470" s="2">
        <f t="shared" si="5"/>
        <v>0</v>
      </c>
      <c r="I470" s="3">
        <f t="shared" si="6"/>
        <v>0</v>
      </c>
      <c r="J470" s="3">
        <f t="shared" si="7"/>
        <v>0</v>
      </c>
      <c r="K470" s="3"/>
      <c r="L470" s="3">
        <f t="shared" si="8"/>
        <v>393.6137376</v>
      </c>
      <c r="M470" s="14">
        <f t="shared" si="9"/>
        <v>400.7541359</v>
      </c>
      <c r="N470" s="14">
        <f t="shared" si="10"/>
        <v>-7.140398331</v>
      </c>
      <c r="O470" s="3"/>
      <c r="P470" s="3"/>
      <c r="Q470" s="3"/>
      <c r="R470" s="2"/>
      <c r="S470" s="14">
        <f t="shared" si="13"/>
        <v>-6.557000174</v>
      </c>
    </row>
    <row r="471">
      <c r="A471" s="11">
        <v>459.0</v>
      </c>
      <c r="B471" s="11">
        <v>1.42139130434782E9</v>
      </c>
      <c r="C471" s="2">
        <v>-102.7977066</v>
      </c>
      <c r="D471" s="3">
        <f t="shared" si="1"/>
        <v>991304.3478</v>
      </c>
      <c r="E471" s="4">
        <f t="shared" si="2"/>
        <v>-210.2898143</v>
      </c>
      <c r="F471" s="3">
        <f t="shared" si="3"/>
        <v>0.0002121344618</v>
      </c>
      <c r="G471" s="3">
        <f t="shared" si="4"/>
        <v>0</v>
      </c>
      <c r="H471" s="2">
        <f t="shared" si="5"/>
        <v>0</v>
      </c>
      <c r="I471" s="3">
        <f t="shared" si="6"/>
        <v>0</v>
      </c>
      <c r="J471" s="3">
        <f t="shared" si="7"/>
        <v>0</v>
      </c>
      <c r="K471" s="3"/>
      <c r="L471" s="3">
        <f t="shared" si="8"/>
        <v>399.3332819</v>
      </c>
      <c r="M471" s="14">
        <f t="shared" si="9"/>
        <v>400.6295529</v>
      </c>
      <c r="N471" s="14">
        <f t="shared" si="10"/>
        <v>-1.296271035</v>
      </c>
      <c r="O471" s="3"/>
      <c r="P471" s="3"/>
      <c r="Q471" s="3"/>
      <c r="R471" s="2"/>
      <c r="S471" s="14">
        <f t="shared" si="13"/>
        <v>-1.190360678</v>
      </c>
    </row>
    <row r="472">
      <c r="A472" s="11">
        <v>460.0</v>
      </c>
      <c r="B472" s="11">
        <v>1.42139565217391E9</v>
      </c>
      <c r="C472" s="2">
        <v>-102.816597</v>
      </c>
      <c r="D472" s="3">
        <f t="shared" si="1"/>
        <v>995652.1739</v>
      </c>
      <c r="E472" s="4">
        <f t="shared" si="2"/>
        <v>-211.2081104</v>
      </c>
      <c r="F472" s="3">
        <f t="shared" si="3"/>
        <v>0.0002121304166</v>
      </c>
      <c r="G472" s="3">
        <f t="shared" si="4"/>
        <v>0</v>
      </c>
      <c r="H472" s="2">
        <f t="shared" si="5"/>
        <v>0</v>
      </c>
      <c r="I472" s="3">
        <f t="shared" si="6"/>
        <v>0</v>
      </c>
      <c r="J472" s="3">
        <f t="shared" si="7"/>
        <v>0</v>
      </c>
      <c r="K472" s="3"/>
      <c r="L472" s="3">
        <f t="shared" si="8"/>
        <v>397.6000839</v>
      </c>
      <c r="M472" s="14">
        <f t="shared" si="9"/>
        <v>400.5045625</v>
      </c>
      <c r="N472" s="14">
        <f t="shared" si="10"/>
        <v>-2.904478636</v>
      </c>
      <c r="O472" s="3"/>
      <c r="P472" s="3"/>
      <c r="Q472" s="3"/>
      <c r="R472" s="2"/>
      <c r="S472" s="14">
        <f t="shared" si="13"/>
        <v>-2.30002645</v>
      </c>
    </row>
    <row r="473">
      <c r="A473" s="11">
        <v>461.0</v>
      </c>
      <c r="B473" s="11">
        <v>1.4214E9</v>
      </c>
      <c r="C473" s="2">
        <v>-102.7200317</v>
      </c>
      <c r="D473" s="3">
        <f t="shared" si="1"/>
        <v>1000000</v>
      </c>
      <c r="E473" s="29">
        <f>-0.000212*D473</f>
        <v>-212</v>
      </c>
      <c r="F473" s="3">
        <f t="shared" si="3"/>
        <v>0.000212</v>
      </c>
      <c r="G473" s="3">
        <f t="shared" si="4"/>
        <v>0</v>
      </c>
      <c r="H473" s="2">
        <f t="shared" si="5"/>
        <v>0</v>
      </c>
      <c r="I473" s="3">
        <f t="shared" si="6"/>
        <v>0</v>
      </c>
      <c r="J473" s="3">
        <f t="shared" si="7"/>
        <v>0</v>
      </c>
      <c r="K473" s="3"/>
      <c r="L473" s="3">
        <f t="shared" si="8"/>
        <v>406.5397328</v>
      </c>
      <c r="M473" s="14">
        <f t="shared" si="9"/>
        <v>400.3964491</v>
      </c>
      <c r="N473" s="14">
        <f t="shared" si="10"/>
        <v>6.143283664</v>
      </c>
      <c r="O473" s="3"/>
      <c r="P473" s="3"/>
      <c r="Q473" s="3"/>
      <c r="R473" s="2"/>
      <c r="S473" s="14"/>
    </row>
    <row r="474">
      <c r="A474" s="11" t="s">
        <v>40</v>
      </c>
      <c r="D474" s="3"/>
      <c r="E474" s="4"/>
      <c r="F474" s="3"/>
      <c r="G474" s="3"/>
      <c r="H474" s="3"/>
      <c r="I474" s="3"/>
      <c r="J474" s="3"/>
      <c r="K474" s="3"/>
      <c r="L474" s="3"/>
      <c r="M474" s="5"/>
      <c r="N474" s="3"/>
      <c r="O474" s="3"/>
      <c r="P474" s="3"/>
      <c r="Q474" s="3"/>
      <c r="R474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0</v>
      </c>
      <c r="B1" s="11" t="s">
        <v>1</v>
      </c>
    </row>
    <row r="2">
      <c r="A2" s="11" t="s">
        <v>2</v>
      </c>
      <c r="B2" s="11" t="s">
        <v>3</v>
      </c>
    </row>
    <row r="3">
      <c r="A3" s="11" t="s">
        <v>5</v>
      </c>
      <c r="B3" s="11" t="s">
        <v>6</v>
      </c>
    </row>
    <row r="4">
      <c r="A4" s="11" t="s">
        <v>7</v>
      </c>
      <c r="B4" s="11">
        <v>1.4204E9</v>
      </c>
      <c r="C4" s="11" t="s">
        <v>8</v>
      </c>
    </row>
    <row r="5">
      <c r="A5" s="11" t="s">
        <v>9</v>
      </c>
      <c r="B5" s="11">
        <v>2000000.0</v>
      </c>
      <c r="C5" s="11" t="s">
        <v>8</v>
      </c>
    </row>
    <row r="6">
      <c r="A6" s="11" t="s">
        <v>10</v>
      </c>
      <c r="B6" s="11">
        <v>30000.0</v>
      </c>
      <c r="C6" s="11" t="s">
        <v>8</v>
      </c>
    </row>
    <row r="7">
      <c r="A7" s="11" t="s">
        <v>11</v>
      </c>
      <c r="B7" s="11">
        <v>30000.0</v>
      </c>
      <c r="C7" s="11" t="s">
        <v>8</v>
      </c>
    </row>
    <row r="8">
      <c r="A8" s="11" t="s">
        <v>12</v>
      </c>
      <c r="B8" s="11">
        <v>-97.0</v>
      </c>
      <c r="C8" s="11" t="s">
        <v>13</v>
      </c>
    </row>
    <row r="9">
      <c r="A9" s="11" t="s">
        <v>14</v>
      </c>
      <c r="B9" s="11">
        <v>1.0</v>
      </c>
      <c r="C9" s="11" t="s">
        <v>15</v>
      </c>
    </row>
    <row r="10">
      <c r="A10" s="11" t="s">
        <v>16</v>
      </c>
      <c r="B10" s="11">
        <v>461.0</v>
      </c>
    </row>
    <row r="11">
      <c r="A11" s="11" t="s">
        <v>17</v>
      </c>
      <c r="B11" s="11" t="s">
        <v>8</v>
      </c>
      <c r="C11" s="11" t="s">
        <v>13</v>
      </c>
      <c r="D11" s="2" t="s">
        <v>18</v>
      </c>
      <c r="E11" s="1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26</v>
      </c>
      <c r="M11" s="6" t="s">
        <v>27</v>
      </c>
      <c r="N11" s="2" t="s">
        <v>28</v>
      </c>
      <c r="O11" s="3"/>
      <c r="P11" s="2" t="s">
        <v>29</v>
      </c>
      <c r="Q11" s="2" t="s">
        <v>30</v>
      </c>
      <c r="R11" s="2"/>
      <c r="S11" s="2" t="s">
        <v>31</v>
      </c>
      <c r="V11" s="13" t="s">
        <v>32</v>
      </c>
    </row>
    <row r="12">
      <c r="A12" s="11" t="s">
        <v>33</v>
      </c>
      <c r="B12" s="11" t="s">
        <v>34</v>
      </c>
      <c r="C12" s="11" t="s">
        <v>35</v>
      </c>
      <c r="D12" s="3"/>
      <c r="E12" s="4"/>
      <c r="F12" s="3"/>
      <c r="G12" s="2" t="s">
        <v>36</v>
      </c>
      <c r="H12" s="2" t="s">
        <v>37</v>
      </c>
      <c r="I12" s="3"/>
      <c r="J12" s="3"/>
      <c r="K12" s="3"/>
      <c r="L12" s="3"/>
      <c r="M12" s="5"/>
      <c r="N12" s="3"/>
      <c r="O12" s="3"/>
      <c r="P12" s="3"/>
      <c r="Q12" s="3"/>
      <c r="R12" s="3"/>
      <c r="S12" s="3"/>
    </row>
    <row r="13">
      <c r="A13" s="11">
        <v>1.0</v>
      </c>
      <c r="B13" s="11">
        <v>1.4194E9</v>
      </c>
      <c r="C13" s="2">
        <v>-102.3436203</v>
      </c>
      <c r="D13" s="3">
        <f t="shared" ref="D13:D473" si="1">B13-$B$4</f>
        <v>-1000000</v>
      </c>
      <c r="E13" s="4">
        <f t="shared" ref="E13:E472" si="2">-((B14-$B$4)/$B$4)*(3*10^5)</f>
        <v>210.2898143</v>
      </c>
      <c r="F13" s="3">
        <f t="shared" ref="F13:F473" si="3">-E13/D13</f>
        <v>0.0002102898143</v>
      </c>
      <c r="G13" s="3">
        <f t="shared" ref="G13:G473" si="4">(10^(C13/10))/1000</f>
        <v>0</v>
      </c>
      <c r="H13" s="2">
        <f t="shared" ref="H13:H473" si="5">G13/30000</f>
        <v>0</v>
      </c>
      <c r="I13" s="3">
        <f t="shared" ref="I13:I473" si="6">0.0063*H13</f>
        <v>0</v>
      </c>
      <c r="J13" s="3">
        <f t="shared" ref="J13:J473" si="7">(1/F13^2)*I13</f>
        <v>0</v>
      </c>
      <c r="K13" s="22">
        <f>1.38064852E-23</f>
        <v>0</v>
      </c>
      <c r="L13" s="3">
        <f t="shared" ref="L13:L473" si="8">(1/(2*$K$13))*(I13)</f>
        <v>443.3473709</v>
      </c>
      <c r="M13" s="14">
        <f t="shared" ref="M13:M473" si="9"> 0.0000004683*E13^3 + 0.0000971919*E13^2 + 0.0865457943*E13 + 414.7046573904
</f>
        <v>441.5572646</v>
      </c>
      <c r="N13" s="14">
        <f t="shared" ref="N13:N473" si="10">L13-(M13)</f>
        <v>1.790106293</v>
      </c>
      <c r="O13" s="3"/>
      <c r="P13" s="23">
        <f t="shared" ref="P13:P67" si="11">-((B14-$B$4)/$B$4)*(3*10^5)</f>
        <v>210.2898143</v>
      </c>
      <c r="Q13" s="14">
        <f t="shared" ref="Q13:Q67" si="12">(1/(2*$K$13))*(I13)</f>
        <v>443.3473709</v>
      </c>
      <c r="R13" s="2"/>
      <c r="S13" s="14">
        <f t="shared" ref="S13:S472" si="13">(N13 * ABS(E14-E13))</f>
        <v>1.643847686</v>
      </c>
      <c r="V13" s="3">
        <f>1822400000000000000 * SUM(S13:S473)</f>
        <v>2.04141E+22</v>
      </c>
    </row>
    <row r="14">
      <c r="A14" s="11">
        <v>2.0</v>
      </c>
      <c r="B14" s="11">
        <v>1.41940434782608E9</v>
      </c>
      <c r="C14" s="2">
        <v>-102.3514786</v>
      </c>
      <c r="D14" s="3">
        <f t="shared" si="1"/>
        <v>-995652.1739</v>
      </c>
      <c r="E14" s="4">
        <f t="shared" si="2"/>
        <v>209.3715181</v>
      </c>
      <c r="F14" s="3">
        <f t="shared" si="3"/>
        <v>0.0002102858042</v>
      </c>
      <c r="G14" s="3">
        <f t="shared" si="4"/>
        <v>0</v>
      </c>
      <c r="H14" s="2">
        <f t="shared" si="5"/>
        <v>0</v>
      </c>
      <c r="I14" s="3">
        <f t="shared" si="6"/>
        <v>0</v>
      </c>
      <c r="J14" s="3">
        <f t="shared" si="7"/>
        <v>0</v>
      </c>
      <c r="K14" s="3"/>
      <c r="L14" s="3">
        <f t="shared" si="8"/>
        <v>442.5458856</v>
      </c>
      <c r="M14" s="14">
        <f t="shared" si="9"/>
        <v>441.3835323</v>
      </c>
      <c r="N14" s="14">
        <f t="shared" si="10"/>
        <v>1.162353219</v>
      </c>
      <c r="O14" s="3"/>
      <c r="P14" s="23">
        <f t="shared" si="11"/>
        <v>209.3715181</v>
      </c>
      <c r="Q14" s="14">
        <f t="shared" si="12"/>
        <v>442.5458856</v>
      </c>
      <c r="R14" s="2"/>
      <c r="S14" s="14">
        <f t="shared" si="13"/>
        <v>1.067384466</v>
      </c>
    </row>
    <row r="15">
      <c r="A15" s="11">
        <v>3.0</v>
      </c>
      <c r="B15" s="11">
        <v>1.41940869565217E9</v>
      </c>
      <c r="C15" s="2">
        <v>-102.3370438</v>
      </c>
      <c r="D15" s="3">
        <f t="shared" si="1"/>
        <v>-991304.3478</v>
      </c>
      <c r="E15" s="4">
        <f t="shared" si="2"/>
        <v>208.453222</v>
      </c>
      <c r="F15" s="3">
        <f t="shared" si="3"/>
        <v>0.000210281759</v>
      </c>
      <c r="G15" s="3">
        <f t="shared" si="4"/>
        <v>0</v>
      </c>
      <c r="H15" s="2">
        <f t="shared" si="5"/>
        <v>0</v>
      </c>
      <c r="I15" s="3">
        <f t="shared" si="6"/>
        <v>0</v>
      </c>
      <c r="J15" s="3">
        <f t="shared" si="7"/>
        <v>0</v>
      </c>
      <c r="K15" s="3"/>
      <c r="L15" s="3">
        <f t="shared" si="8"/>
        <v>444.0192382</v>
      </c>
      <c r="M15" s="14">
        <f t="shared" si="9"/>
        <v>441.2104601</v>
      </c>
      <c r="N15" s="14">
        <f t="shared" si="10"/>
        <v>2.80877811</v>
      </c>
      <c r="O15" s="3"/>
      <c r="P15" s="23">
        <f t="shared" si="11"/>
        <v>208.453222</v>
      </c>
      <c r="Q15" s="14">
        <f t="shared" si="12"/>
        <v>444.0192382</v>
      </c>
      <c r="R15" s="2"/>
      <c r="S15" s="14">
        <f t="shared" si="13"/>
        <v>2.57929007</v>
      </c>
    </row>
    <row r="16">
      <c r="A16" s="11">
        <v>4.0</v>
      </c>
      <c r="B16" s="11">
        <v>1.41941304347826E9</v>
      </c>
      <c r="C16" s="2">
        <v>-102.3781586</v>
      </c>
      <c r="D16" s="3">
        <f t="shared" si="1"/>
        <v>-986956.5217</v>
      </c>
      <c r="E16" s="4">
        <f t="shared" si="2"/>
        <v>207.5349259</v>
      </c>
      <c r="F16" s="3">
        <f t="shared" si="3"/>
        <v>0.0002102776782</v>
      </c>
      <c r="G16" s="3">
        <f t="shared" si="4"/>
        <v>0</v>
      </c>
      <c r="H16" s="2">
        <f t="shared" si="5"/>
        <v>0</v>
      </c>
      <c r="I16" s="3">
        <f t="shared" si="6"/>
        <v>0</v>
      </c>
      <c r="J16" s="3">
        <f t="shared" si="7"/>
        <v>0</v>
      </c>
      <c r="K16" s="3"/>
      <c r="L16" s="3">
        <f t="shared" si="8"/>
        <v>439.8355285</v>
      </c>
      <c r="M16" s="14">
        <f t="shared" si="9"/>
        <v>441.0380457</v>
      </c>
      <c r="N16" s="14">
        <f t="shared" si="10"/>
        <v>-1.202517154</v>
      </c>
      <c r="O16" s="3"/>
      <c r="P16" s="23">
        <f t="shared" si="11"/>
        <v>207.5349259</v>
      </c>
      <c r="Q16" s="14">
        <f t="shared" si="12"/>
        <v>439.8355285</v>
      </c>
      <c r="R16" s="2"/>
      <c r="S16" s="14">
        <f t="shared" si="13"/>
        <v>-1.104266852</v>
      </c>
    </row>
    <row r="17">
      <c r="A17" s="11">
        <v>5.0</v>
      </c>
      <c r="B17" s="11">
        <v>1.41941739130434E9</v>
      </c>
      <c r="C17" s="2">
        <v>-102.3664017</v>
      </c>
      <c r="D17" s="3">
        <f t="shared" si="1"/>
        <v>-982608.6957</v>
      </c>
      <c r="E17" s="4">
        <f t="shared" si="2"/>
        <v>206.6166297</v>
      </c>
      <c r="F17" s="3">
        <f t="shared" si="3"/>
        <v>0.0002102735612</v>
      </c>
      <c r="G17" s="3">
        <f t="shared" si="4"/>
        <v>0</v>
      </c>
      <c r="H17" s="2">
        <f t="shared" si="5"/>
        <v>0</v>
      </c>
      <c r="I17" s="3">
        <f t="shared" si="6"/>
        <v>0</v>
      </c>
      <c r="J17" s="3">
        <f t="shared" si="7"/>
        <v>0</v>
      </c>
      <c r="K17" s="3"/>
      <c r="L17" s="3">
        <f t="shared" si="8"/>
        <v>441.027832</v>
      </c>
      <c r="M17" s="14">
        <f t="shared" si="9"/>
        <v>440.8662869</v>
      </c>
      <c r="N17" s="14">
        <f t="shared" si="10"/>
        <v>0.1615450517</v>
      </c>
      <c r="O17" s="3"/>
      <c r="P17" s="23">
        <f t="shared" si="11"/>
        <v>206.6166297</v>
      </c>
      <c r="Q17" s="14">
        <f t="shared" si="12"/>
        <v>441.027832</v>
      </c>
      <c r="R17" s="2"/>
      <c r="S17" s="14">
        <f t="shared" si="13"/>
        <v>0.1483461962</v>
      </c>
    </row>
    <row r="18">
      <c r="A18" s="11">
        <v>6.0</v>
      </c>
      <c r="B18" s="11">
        <v>1.41942173913043E9</v>
      </c>
      <c r="C18" s="2">
        <v>-102.4090195</v>
      </c>
      <c r="D18" s="3">
        <f t="shared" si="1"/>
        <v>-978260.8696</v>
      </c>
      <c r="E18" s="4">
        <f t="shared" si="2"/>
        <v>205.6983336</v>
      </c>
      <c r="F18" s="3">
        <f t="shared" si="3"/>
        <v>0.0002102694077</v>
      </c>
      <c r="G18" s="3">
        <f t="shared" si="4"/>
        <v>0</v>
      </c>
      <c r="H18" s="2">
        <f t="shared" si="5"/>
        <v>0</v>
      </c>
      <c r="I18" s="3">
        <f t="shared" si="6"/>
        <v>0</v>
      </c>
      <c r="J18" s="3">
        <f t="shared" si="7"/>
        <v>0</v>
      </c>
      <c r="K18" s="3"/>
      <c r="L18" s="3">
        <f t="shared" si="8"/>
        <v>436.7211424</v>
      </c>
      <c r="M18" s="14">
        <f t="shared" si="9"/>
        <v>440.6951816</v>
      </c>
      <c r="N18" s="14">
        <f t="shared" si="10"/>
        <v>-3.974039204</v>
      </c>
      <c r="O18" s="3"/>
      <c r="P18" s="23">
        <f t="shared" si="11"/>
        <v>205.6983336</v>
      </c>
      <c r="Q18" s="14">
        <f t="shared" si="12"/>
        <v>436.7211424</v>
      </c>
      <c r="R18" s="2"/>
      <c r="S18" s="14">
        <f t="shared" si="13"/>
        <v>-3.649344824</v>
      </c>
    </row>
    <row r="19">
      <c r="A19" s="11">
        <v>7.0</v>
      </c>
      <c r="B19" s="11">
        <v>1.41942608695652E9</v>
      </c>
      <c r="C19" s="2">
        <v>-102.3588486</v>
      </c>
      <c r="D19" s="3">
        <f t="shared" si="1"/>
        <v>-973913.0435</v>
      </c>
      <c r="E19" s="4">
        <f t="shared" si="2"/>
        <v>204.7800375</v>
      </c>
      <c r="F19" s="3">
        <f t="shared" si="3"/>
        <v>0.000210265217</v>
      </c>
      <c r="G19" s="3">
        <f t="shared" si="4"/>
        <v>0</v>
      </c>
      <c r="H19" s="2">
        <f t="shared" si="5"/>
        <v>0</v>
      </c>
      <c r="I19" s="3">
        <f t="shared" si="6"/>
        <v>0</v>
      </c>
      <c r="J19" s="3">
        <f t="shared" si="7"/>
        <v>0</v>
      </c>
      <c r="K19" s="3"/>
      <c r="L19" s="3">
        <f t="shared" si="8"/>
        <v>441.7955198</v>
      </c>
      <c r="M19" s="14">
        <f t="shared" si="9"/>
        <v>440.5247276</v>
      </c>
      <c r="N19" s="14">
        <f t="shared" si="10"/>
        <v>1.270792104</v>
      </c>
      <c r="O19" s="3"/>
      <c r="P19" s="23">
        <f t="shared" si="11"/>
        <v>204.7800375</v>
      </c>
      <c r="Q19" s="14">
        <f t="shared" si="12"/>
        <v>441.7955198</v>
      </c>
      <c r="R19" s="2"/>
      <c r="S19" s="14">
        <f t="shared" si="13"/>
        <v>1.166963475</v>
      </c>
    </row>
    <row r="20">
      <c r="A20" s="11">
        <v>8.0</v>
      </c>
      <c r="B20" s="11">
        <v>1.4194304347826E9</v>
      </c>
      <c r="C20" s="2">
        <v>-102.3256226</v>
      </c>
      <c r="D20" s="3">
        <f t="shared" si="1"/>
        <v>-969565.2174</v>
      </c>
      <c r="E20" s="4">
        <f t="shared" si="2"/>
        <v>203.8617413</v>
      </c>
      <c r="F20" s="3">
        <f t="shared" si="3"/>
        <v>0.0002102609888</v>
      </c>
      <c r="G20" s="3">
        <f t="shared" si="4"/>
        <v>0</v>
      </c>
      <c r="H20" s="2">
        <f t="shared" si="5"/>
        <v>0</v>
      </c>
      <c r="I20" s="3">
        <f t="shared" si="6"/>
        <v>0</v>
      </c>
      <c r="J20" s="3">
        <f t="shared" si="7"/>
        <v>0</v>
      </c>
      <c r="K20" s="3"/>
      <c r="L20" s="3">
        <f t="shared" si="8"/>
        <v>445.1884694</v>
      </c>
      <c r="M20" s="14">
        <f t="shared" si="9"/>
        <v>440.3549228</v>
      </c>
      <c r="N20" s="14">
        <f t="shared" si="10"/>
        <v>4.833546619</v>
      </c>
      <c r="O20" s="3"/>
      <c r="P20" s="23">
        <f t="shared" si="11"/>
        <v>203.8617413</v>
      </c>
      <c r="Q20" s="14">
        <f t="shared" si="12"/>
        <v>445.1884694</v>
      </c>
      <c r="R20" s="2"/>
      <c r="S20" s="14">
        <f t="shared" si="13"/>
        <v>4.438627167</v>
      </c>
    </row>
    <row r="21">
      <c r="A21" s="11">
        <v>9.0</v>
      </c>
      <c r="B21" s="11">
        <v>1.41943478260869E9</v>
      </c>
      <c r="C21" s="2">
        <v>-102.405632</v>
      </c>
      <c r="D21" s="3">
        <f t="shared" si="1"/>
        <v>-965217.3913</v>
      </c>
      <c r="E21" s="4">
        <f t="shared" si="2"/>
        <v>202.9434452</v>
      </c>
      <c r="F21" s="3">
        <f t="shared" si="3"/>
        <v>0.0002102567225</v>
      </c>
      <c r="G21" s="3">
        <f t="shared" si="4"/>
        <v>0</v>
      </c>
      <c r="H21" s="2">
        <f t="shared" si="5"/>
        <v>0</v>
      </c>
      <c r="I21" s="3">
        <f t="shared" si="6"/>
        <v>0</v>
      </c>
      <c r="J21" s="3">
        <f t="shared" si="7"/>
        <v>0</v>
      </c>
      <c r="K21" s="3"/>
      <c r="L21" s="3">
        <f t="shared" si="8"/>
        <v>437.0619181</v>
      </c>
      <c r="M21" s="14">
        <f t="shared" si="9"/>
        <v>440.1857649</v>
      </c>
      <c r="N21" s="14">
        <f t="shared" si="10"/>
        <v>-3.123846777</v>
      </c>
      <c r="O21" s="3"/>
      <c r="P21" s="23">
        <f t="shared" si="11"/>
        <v>202.9434452</v>
      </c>
      <c r="Q21" s="14">
        <f t="shared" si="12"/>
        <v>437.0619181</v>
      </c>
      <c r="R21" s="2"/>
      <c r="S21" s="14">
        <f t="shared" si="13"/>
        <v>-2.868616415</v>
      </c>
    </row>
    <row r="22">
      <c r="A22" s="11">
        <v>10.0</v>
      </c>
      <c r="B22" s="11">
        <v>1.41943913043478E9</v>
      </c>
      <c r="C22" s="2">
        <v>-102.4300156</v>
      </c>
      <c r="D22" s="3">
        <f t="shared" si="1"/>
        <v>-960869.5652</v>
      </c>
      <c r="E22" s="4">
        <f t="shared" si="2"/>
        <v>202.0251491</v>
      </c>
      <c r="F22" s="3">
        <f t="shared" si="3"/>
        <v>0.0002102524176</v>
      </c>
      <c r="G22" s="3">
        <f t="shared" si="4"/>
        <v>0</v>
      </c>
      <c r="H22" s="2">
        <f t="shared" si="5"/>
        <v>0</v>
      </c>
      <c r="I22" s="3">
        <f t="shared" si="6"/>
        <v>0</v>
      </c>
      <c r="J22" s="3">
        <f t="shared" si="7"/>
        <v>0</v>
      </c>
      <c r="K22" s="3"/>
      <c r="L22" s="3">
        <f t="shared" si="8"/>
        <v>434.6148961</v>
      </c>
      <c r="M22" s="14">
        <f t="shared" si="9"/>
        <v>440.0172518</v>
      </c>
      <c r="N22" s="14">
        <f t="shared" si="10"/>
        <v>-5.402355634</v>
      </c>
      <c r="O22" s="3"/>
      <c r="P22" s="23">
        <f t="shared" si="11"/>
        <v>202.0251491</v>
      </c>
      <c r="Q22" s="14">
        <f t="shared" si="12"/>
        <v>434.6148961</v>
      </c>
      <c r="R22" s="2"/>
      <c r="S22" s="14">
        <f t="shared" si="13"/>
        <v>-4.960962275</v>
      </c>
      <c r="U22" s="11">
        <v>1.0</v>
      </c>
    </row>
    <row r="23">
      <c r="A23" s="11">
        <v>11.0</v>
      </c>
      <c r="B23" s="11">
        <v>1.41944347826087E9</v>
      </c>
      <c r="C23" s="2">
        <v>-102.3927765</v>
      </c>
      <c r="D23" s="3">
        <f t="shared" si="1"/>
        <v>-956521.7391</v>
      </c>
      <c r="E23" s="4">
        <f t="shared" si="2"/>
        <v>201.1068529</v>
      </c>
      <c r="F23" s="3">
        <f t="shared" si="3"/>
        <v>0.0002102480735</v>
      </c>
      <c r="G23" s="3">
        <f t="shared" si="4"/>
        <v>0</v>
      </c>
      <c r="H23" s="2">
        <f t="shared" si="5"/>
        <v>0</v>
      </c>
      <c r="I23" s="3">
        <f t="shared" si="6"/>
        <v>0</v>
      </c>
      <c r="J23" s="3">
        <f t="shared" si="7"/>
        <v>0</v>
      </c>
      <c r="K23" s="3"/>
      <c r="L23" s="3">
        <f t="shared" si="8"/>
        <v>438.3575767</v>
      </c>
      <c r="M23" s="14">
        <f t="shared" si="9"/>
        <v>439.8493812</v>
      </c>
      <c r="N23" s="14">
        <f t="shared" si="10"/>
        <v>-1.491804572</v>
      </c>
      <c r="O23" s="3"/>
      <c r="P23" s="23">
        <f t="shared" si="11"/>
        <v>201.1068529</v>
      </c>
      <c r="Q23" s="14">
        <f t="shared" si="12"/>
        <v>438.3575767</v>
      </c>
      <c r="R23" s="2"/>
      <c r="S23" s="14">
        <f t="shared" si="13"/>
        <v>-1.369918369</v>
      </c>
    </row>
    <row r="24">
      <c r="A24" s="11">
        <v>12.0</v>
      </c>
      <c r="B24" s="11">
        <v>1.41944782608695E9</v>
      </c>
      <c r="C24" s="2">
        <v>-102.3577805</v>
      </c>
      <c r="D24" s="3">
        <f t="shared" si="1"/>
        <v>-952173.913</v>
      </c>
      <c r="E24" s="4">
        <f t="shared" si="2"/>
        <v>200.1885568</v>
      </c>
      <c r="F24" s="3">
        <f t="shared" si="3"/>
        <v>0.0002102436898</v>
      </c>
      <c r="G24" s="3">
        <f t="shared" si="4"/>
        <v>0</v>
      </c>
      <c r="H24" s="2">
        <f t="shared" si="5"/>
        <v>0</v>
      </c>
      <c r="I24" s="3">
        <f t="shared" si="6"/>
        <v>0</v>
      </c>
      <c r="J24" s="3">
        <f t="shared" si="7"/>
        <v>0</v>
      </c>
      <c r="K24" s="3"/>
      <c r="L24" s="3">
        <f t="shared" si="8"/>
        <v>441.9041879</v>
      </c>
      <c r="M24" s="14">
        <f t="shared" si="9"/>
        <v>439.6821511</v>
      </c>
      <c r="N24" s="14">
        <f t="shared" si="10"/>
        <v>2.222036801</v>
      </c>
      <c r="O24" s="3"/>
      <c r="P24" s="23">
        <f t="shared" si="11"/>
        <v>200.1885568</v>
      </c>
      <c r="Q24" s="14">
        <f t="shared" si="12"/>
        <v>441.9041879</v>
      </c>
      <c r="R24" s="2"/>
      <c r="S24" s="14">
        <f t="shared" si="13"/>
        <v>2.040487802</v>
      </c>
    </row>
    <row r="25">
      <c r="A25" s="11">
        <v>13.0</v>
      </c>
      <c r="B25" s="11">
        <v>1.41945217391304E9</v>
      </c>
      <c r="C25" s="2">
        <v>-102.410881</v>
      </c>
      <c r="D25" s="3">
        <f t="shared" si="1"/>
        <v>-947826.087</v>
      </c>
      <c r="E25" s="4">
        <f t="shared" si="2"/>
        <v>199.2702607</v>
      </c>
      <c r="F25" s="3">
        <f t="shared" si="3"/>
        <v>0.0002102392658</v>
      </c>
      <c r="G25" s="3">
        <f t="shared" si="4"/>
        <v>0</v>
      </c>
      <c r="H25" s="2">
        <f t="shared" si="5"/>
        <v>0</v>
      </c>
      <c r="I25" s="3">
        <f t="shared" si="6"/>
        <v>0</v>
      </c>
      <c r="J25" s="3">
        <f t="shared" si="7"/>
        <v>0</v>
      </c>
      <c r="K25" s="3"/>
      <c r="L25" s="3">
        <f t="shared" si="8"/>
        <v>436.5339924</v>
      </c>
      <c r="M25" s="14">
        <f t="shared" si="9"/>
        <v>439.5155593</v>
      </c>
      <c r="N25" s="14">
        <f t="shared" si="10"/>
        <v>-2.981566841</v>
      </c>
      <c r="O25" s="3"/>
      <c r="P25" s="23">
        <f t="shared" si="11"/>
        <v>199.2702607</v>
      </c>
      <c r="Q25" s="14">
        <f t="shared" si="12"/>
        <v>436.5339924</v>
      </c>
      <c r="R25" s="2"/>
      <c r="S25" s="14">
        <f t="shared" si="13"/>
        <v>-2.737961294</v>
      </c>
    </row>
    <row r="26">
      <c r="A26" s="11">
        <v>14.0</v>
      </c>
      <c r="B26" s="11">
        <v>1.41945652173913E9</v>
      </c>
      <c r="C26" s="2">
        <v>-102.3820496</v>
      </c>
      <c r="D26" s="3">
        <f t="shared" si="1"/>
        <v>-943478.2609</v>
      </c>
      <c r="E26" s="4">
        <f t="shared" si="2"/>
        <v>198.3519645</v>
      </c>
      <c r="F26" s="3">
        <f t="shared" si="3"/>
        <v>0.0002102348011</v>
      </c>
      <c r="G26" s="3">
        <f t="shared" si="4"/>
        <v>0</v>
      </c>
      <c r="H26" s="2">
        <f t="shared" si="5"/>
        <v>0</v>
      </c>
      <c r="I26" s="3">
        <f t="shared" si="6"/>
        <v>0</v>
      </c>
      <c r="J26" s="3">
        <f t="shared" si="7"/>
        <v>0</v>
      </c>
      <c r="K26" s="3"/>
      <c r="L26" s="3">
        <f t="shared" si="8"/>
        <v>439.4416406</v>
      </c>
      <c r="M26" s="14">
        <f t="shared" si="9"/>
        <v>439.3496035</v>
      </c>
      <c r="N26" s="14">
        <f t="shared" si="10"/>
        <v>0.09203711948</v>
      </c>
      <c r="O26" s="3"/>
      <c r="P26" s="23">
        <f t="shared" si="11"/>
        <v>198.3519645</v>
      </c>
      <c r="Q26" s="14">
        <f t="shared" si="12"/>
        <v>439.4416406</v>
      </c>
      <c r="R26" s="2"/>
      <c r="S26" s="14">
        <f t="shared" si="13"/>
        <v>0.08451733089</v>
      </c>
    </row>
    <row r="27">
      <c r="A27" s="11">
        <v>15.0</v>
      </c>
      <c r="B27" s="11">
        <v>1.41946086956521E9</v>
      </c>
      <c r="C27" s="2">
        <v>-102.4046631</v>
      </c>
      <c r="D27" s="3">
        <f t="shared" si="1"/>
        <v>-939130.4348</v>
      </c>
      <c r="E27" s="4">
        <f t="shared" si="2"/>
        <v>197.4336684</v>
      </c>
      <c r="F27" s="3">
        <f t="shared" si="3"/>
        <v>0.0002102302951</v>
      </c>
      <c r="G27" s="3">
        <f t="shared" si="4"/>
        <v>0</v>
      </c>
      <c r="H27" s="2">
        <f t="shared" si="5"/>
        <v>0</v>
      </c>
      <c r="I27" s="3">
        <f t="shared" si="6"/>
        <v>0</v>
      </c>
      <c r="J27" s="3">
        <f t="shared" si="7"/>
        <v>0</v>
      </c>
      <c r="K27" s="3"/>
      <c r="L27" s="3">
        <f t="shared" si="8"/>
        <v>437.1594364</v>
      </c>
      <c r="M27" s="14">
        <f t="shared" si="9"/>
        <v>439.1842816</v>
      </c>
      <c r="N27" s="14">
        <f t="shared" si="10"/>
        <v>-2.024845168</v>
      </c>
      <c r="O27" s="3"/>
      <c r="P27" s="23">
        <f t="shared" si="11"/>
        <v>197.4336684</v>
      </c>
      <c r="Q27" s="14">
        <f t="shared" si="12"/>
        <v>437.1594364</v>
      </c>
      <c r="R27" s="2"/>
      <c r="S27" s="14">
        <f t="shared" si="13"/>
        <v>-1.859407487</v>
      </c>
    </row>
    <row r="28">
      <c r="A28" s="11">
        <v>16.0</v>
      </c>
      <c r="B28" s="11">
        <v>1.4194652173913E9</v>
      </c>
      <c r="C28" s="2">
        <v>-102.378746</v>
      </c>
      <c r="D28" s="3">
        <f t="shared" si="1"/>
        <v>-934782.6087</v>
      </c>
      <c r="E28" s="4">
        <f t="shared" si="2"/>
        <v>196.5153723</v>
      </c>
      <c r="F28" s="3">
        <f t="shared" si="3"/>
        <v>0.0002102257471</v>
      </c>
      <c r="G28" s="3">
        <f t="shared" si="4"/>
        <v>0</v>
      </c>
      <c r="H28" s="2">
        <f t="shared" si="5"/>
        <v>0</v>
      </c>
      <c r="I28" s="3">
        <f t="shared" si="6"/>
        <v>0</v>
      </c>
      <c r="J28" s="3">
        <f t="shared" si="7"/>
        <v>0</v>
      </c>
      <c r="K28" s="3"/>
      <c r="L28" s="3">
        <f t="shared" si="8"/>
        <v>439.7760431</v>
      </c>
      <c r="M28" s="14">
        <f t="shared" si="9"/>
        <v>439.0195914</v>
      </c>
      <c r="N28" s="14">
        <f t="shared" si="10"/>
        <v>0.7564517135</v>
      </c>
      <c r="O28" s="3"/>
      <c r="P28" s="23">
        <f t="shared" si="11"/>
        <v>196.5153723</v>
      </c>
      <c r="Q28" s="14">
        <f t="shared" si="12"/>
        <v>439.7760431</v>
      </c>
      <c r="R28" s="2"/>
      <c r="S28" s="14">
        <f t="shared" si="13"/>
        <v>0.6946466815</v>
      </c>
    </row>
    <row r="29">
      <c r="A29" s="11">
        <v>17.0</v>
      </c>
      <c r="B29" s="11">
        <v>1.41946956521739E9</v>
      </c>
      <c r="C29" s="2">
        <v>-102.3587112</v>
      </c>
      <c r="D29" s="3">
        <f t="shared" si="1"/>
        <v>-930434.7826</v>
      </c>
      <c r="E29" s="4">
        <f t="shared" si="2"/>
        <v>195.5970761</v>
      </c>
      <c r="F29" s="3">
        <f t="shared" si="3"/>
        <v>0.0002102211566</v>
      </c>
      <c r="G29" s="3">
        <f t="shared" si="4"/>
        <v>0</v>
      </c>
      <c r="H29" s="2">
        <f t="shared" si="5"/>
        <v>0</v>
      </c>
      <c r="I29" s="3">
        <f t="shared" si="6"/>
        <v>0</v>
      </c>
      <c r="J29" s="3">
        <f t="shared" si="7"/>
        <v>0</v>
      </c>
      <c r="K29" s="3"/>
      <c r="L29" s="3">
        <f t="shared" si="8"/>
        <v>441.8094973</v>
      </c>
      <c r="M29" s="14">
        <f t="shared" si="9"/>
        <v>438.8555308</v>
      </c>
      <c r="N29" s="14">
        <f t="shared" si="10"/>
        <v>2.953966533</v>
      </c>
      <c r="O29" s="3"/>
      <c r="P29" s="23">
        <f t="shared" si="11"/>
        <v>195.5970761</v>
      </c>
      <c r="Q29" s="14">
        <f t="shared" si="12"/>
        <v>441.8094973</v>
      </c>
      <c r="R29" s="2"/>
      <c r="S29" s="14">
        <f t="shared" si="13"/>
        <v>2.712616044</v>
      </c>
    </row>
    <row r="30">
      <c r="A30" s="11">
        <v>18.0</v>
      </c>
      <c r="B30" s="11">
        <v>1.41947391304347E9</v>
      </c>
      <c r="C30" s="2">
        <v>-102.3902817</v>
      </c>
      <c r="D30" s="3">
        <f t="shared" si="1"/>
        <v>-926086.9565</v>
      </c>
      <c r="E30" s="4">
        <f t="shared" si="2"/>
        <v>194.67878</v>
      </c>
      <c r="F30" s="3">
        <f t="shared" si="3"/>
        <v>0.000210216523</v>
      </c>
      <c r="G30" s="3">
        <f t="shared" si="4"/>
        <v>0</v>
      </c>
      <c r="H30" s="2">
        <f t="shared" si="5"/>
        <v>0</v>
      </c>
      <c r="I30" s="3">
        <f t="shared" si="6"/>
        <v>0</v>
      </c>
      <c r="J30" s="3">
        <f t="shared" si="7"/>
        <v>0</v>
      </c>
      <c r="K30" s="3"/>
      <c r="L30" s="3">
        <f t="shared" si="8"/>
        <v>438.609463</v>
      </c>
      <c r="M30" s="14">
        <f t="shared" si="9"/>
        <v>438.6920975</v>
      </c>
      <c r="N30" s="14">
        <f t="shared" si="10"/>
        <v>-0.08263445829</v>
      </c>
      <c r="O30" s="3"/>
      <c r="P30" s="23">
        <f t="shared" si="11"/>
        <v>194.67878</v>
      </c>
      <c r="Q30" s="14">
        <f t="shared" si="12"/>
        <v>438.609463</v>
      </c>
      <c r="R30" s="2"/>
      <c r="S30" s="14">
        <f t="shared" si="13"/>
        <v>-0.07588290349</v>
      </c>
    </row>
    <row r="31">
      <c r="A31" s="11">
        <v>19.0</v>
      </c>
      <c r="B31" s="11">
        <v>1.41947826086956E9</v>
      </c>
      <c r="C31" s="2">
        <v>-102.320961</v>
      </c>
      <c r="D31" s="3">
        <f t="shared" si="1"/>
        <v>-921739.1304</v>
      </c>
      <c r="E31" s="4">
        <f t="shared" si="2"/>
        <v>193.7604839</v>
      </c>
      <c r="F31" s="3">
        <f t="shared" si="3"/>
        <v>0.0002102118457</v>
      </c>
      <c r="G31" s="3">
        <f t="shared" si="4"/>
        <v>0</v>
      </c>
      <c r="H31" s="2">
        <f t="shared" si="5"/>
        <v>0</v>
      </c>
      <c r="I31" s="3">
        <f t="shared" si="6"/>
        <v>0</v>
      </c>
      <c r="J31" s="3">
        <f t="shared" si="7"/>
        <v>0</v>
      </c>
      <c r="K31" s="3"/>
      <c r="L31" s="3">
        <f t="shared" si="8"/>
        <v>445.6665793</v>
      </c>
      <c r="M31" s="14">
        <f t="shared" si="9"/>
        <v>438.5292894</v>
      </c>
      <c r="N31" s="14">
        <f t="shared" si="10"/>
        <v>7.137289855</v>
      </c>
      <c r="O31" s="3"/>
      <c r="P31" s="23">
        <f t="shared" si="11"/>
        <v>193.7604839</v>
      </c>
      <c r="Q31" s="14">
        <f t="shared" si="12"/>
        <v>445.6665793</v>
      </c>
      <c r="R31" s="2"/>
      <c r="S31" s="14">
        <f t="shared" si="13"/>
        <v>6.554145657</v>
      </c>
    </row>
    <row r="32">
      <c r="A32" s="11">
        <v>20.0</v>
      </c>
      <c r="B32" s="11">
        <v>1.41948260869565E9</v>
      </c>
      <c r="C32" s="2">
        <v>-102.4330902</v>
      </c>
      <c r="D32" s="3">
        <f t="shared" si="1"/>
        <v>-917391.3043</v>
      </c>
      <c r="E32" s="4">
        <f t="shared" si="2"/>
        <v>192.8421878</v>
      </c>
      <c r="F32" s="3">
        <f t="shared" si="3"/>
        <v>0.0002102071241</v>
      </c>
      <c r="G32" s="3">
        <f t="shared" si="4"/>
        <v>0</v>
      </c>
      <c r="H32" s="2">
        <f t="shared" si="5"/>
        <v>0</v>
      </c>
      <c r="I32" s="3">
        <f t="shared" si="6"/>
        <v>0</v>
      </c>
      <c r="J32" s="3">
        <f t="shared" si="7"/>
        <v>0</v>
      </c>
      <c r="K32" s="3"/>
      <c r="L32" s="3">
        <f t="shared" si="8"/>
        <v>434.3073182</v>
      </c>
      <c r="M32" s="14">
        <f t="shared" si="9"/>
        <v>438.3671044</v>
      </c>
      <c r="N32" s="14">
        <f t="shared" si="10"/>
        <v>-4.059786192</v>
      </c>
      <c r="O32" s="3"/>
      <c r="P32" s="23">
        <f t="shared" si="11"/>
        <v>192.8421878</v>
      </c>
      <c r="Q32" s="14">
        <f t="shared" si="12"/>
        <v>434.3073182</v>
      </c>
      <c r="R32" s="2"/>
      <c r="S32" s="14">
        <f t="shared" si="13"/>
        <v>-3.72808596</v>
      </c>
    </row>
    <row r="33">
      <c r="A33" s="11">
        <v>21.0</v>
      </c>
      <c r="B33" s="11">
        <v>1.41948695652173E9</v>
      </c>
      <c r="C33" s="2">
        <v>-102.3661346</v>
      </c>
      <c r="D33" s="3">
        <f t="shared" si="1"/>
        <v>-913043.4783</v>
      </c>
      <c r="E33" s="4">
        <f t="shared" si="2"/>
        <v>191.9238916</v>
      </c>
      <c r="F33" s="3">
        <f t="shared" si="3"/>
        <v>0.0002102023575</v>
      </c>
      <c r="G33" s="3">
        <f t="shared" si="4"/>
        <v>0</v>
      </c>
      <c r="H33" s="2">
        <f t="shared" si="5"/>
        <v>0</v>
      </c>
      <c r="I33" s="3">
        <f t="shared" si="6"/>
        <v>0</v>
      </c>
      <c r="J33" s="3">
        <f t="shared" si="7"/>
        <v>0</v>
      </c>
      <c r="K33" s="3"/>
      <c r="L33" s="3">
        <f t="shared" si="8"/>
        <v>441.0549569</v>
      </c>
      <c r="M33" s="14">
        <f t="shared" si="9"/>
        <v>438.2055401</v>
      </c>
      <c r="N33" s="14">
        <f t="shared" si="10"/>
        <v>2.849416769</v>
      </c>
      <c r="O33" s="3"/>
      <c r="P33" s="23">
        <f t="shared" si="11"/>
        <v>191.9238916</v>
      </c>
      <c r="Q33" s="14">
        <f t="shared" si="12"/>
        <v>441.0549569</v>
      </c>
      <c r="R33" s="2"/>
      <c r="S33" s="14">
        <f t="shared" si="13"/>
        <v>2.6166084</v>
      </c>
    </row>
    <row r="34">
      <c r="A34" s="11">
        <v>22.0</v>
      </c>
      <c r="B34" s="11">
        <v>1.41949130434782E9</v>
      </c>
      <c r="C34" s="2">
        <v>-102.4126053</v>
      </c>
      <c r="D34" s="3">
        <f t="shared" si="1"/>
        <v>-908695.6522</v>
      </c>
      <c r="E34" s="4">
        <f t="shared" si="2"/>
        <v>191.0055955</v>
      </c>
      <c r="F34" s="3">
        <f t="shared" si="3"/>
        <v>0.0002101975453</v>
      </c>
      <c r="G34" s="3">
        <f t="shared" si="4"/>
        <v>0</v>
      </c>
      <c r="H34" s="2">
        <f t="shared" si="5"/>
        <v>0</v>
      </c>
      <c r="I34" s="3">
        <f t="shared" si="6"/>
        <v>0</v>
      </c>
      <c r="J34" s="3">
        <f t="shared" si="7"/>
        <v>0</v>
      </c>
      <c r="K34" s="3"/>
      <c r="L34" s="3">
        <f t="shared" si="8"/>
        <v>436.3607076</v>
      </c>
      <c r="M34" s="14">
        <f t="shared" si="9"/>
        <v>438.0445946</v>
      </c>
      <c r="N34" s="14">
        <f t="shared" si="10"/>
        <v>-1.68388695</v>
      </c>
      <c r="O34" s="3"/>
      <c r="P34" s="23">
        <f t="shared" si="11"/>
        <v>191.0055955</v>
      </c>
      <c r="Q34" s="14">
        <f t="shared" si="12"/>
        <v>436.3607076</v>
      </c>
      <c r="R34" s="2"/>
      <c r="S34" s="14">
        <f t="shared" si="13"/>
        <v>-1.546306874</v>
      </c>
    </row>
    <row r="35">
      <c r="A35" s="11">
        <v>23.0</v>
      </c>
      <c r="B35" s="11">
        <v>1.41949565217391E9</v>
      </c>
      <c r="C35" s="2">
        <v>-102.3832932</v>
      </c>
      <c r="D35" s="3">
        <f t="shared" si="1"/>
        <v>-904347.8261</v>
      </c>
      <c r="E35" s="4">
        <f t="shared" si="2"/>
        <v>190.0872994</v>
      </c>
      <c r="F35" s="3">
        <f t="shared" si="3"/>
        <v>0.0002101926868</v>
      </c>
      <c r="G35" s="3">
        <f t="shared" si="4"/>
        <v>0</v>
      </c>
      <c r="H35" s="2">
        <f t="shared" si="5"/>
        <v>0</v>
      </c>
      <c r="I35" s="3">
        <f t="shared" si="6"/>
        <v>0</v>
      </c>
      <c r="J35" s="3">
        <f t="shared" si="7"/>
        <v>0</v>
      </c>
      <c r="K35" s="3"/>
      <c r="L35" s="3">
        <f t="shared" si="8"/>
        <v>439.3158247</v>
      </c>
      <c r="M35" s="14">
        <f t="shared" si="9"/>
        <v>437.8842655</v>
      </c>
      <c r="N35" s="14">
        <f t="shared" si="10"/>
        <v>1.431559171</v>
      </c>
      <c r="O35" s="3"/>
      <c r="P35" s="23">
        <f t="shared" si="11"/>
        <v>190.0872994</v>
      </c>
      <c r="Q35" s="14">
        <f t="shared" si="12"/>
        <v>439.3158247</v>
      </c>
      <c r="R35" s="2"/>
      <c r="S35" s="14">
        <f t="shared" si="13"/>
        <v>1.314595248</v>
      </c>
    </row>
    <row r="36">
      <c r="A36" s="11">
        <v>24.0</v>
      </c>
      <c r="B36" s="11">
        <v>1.4195E9</v>
      </c>
      <c r="C36" s="2">
        <v>-102.4321671</v>
      </c>
      <c r="D36" s="3">
        <f t="shared" si="1"/>
        <v>-900000</v>
      </c>
      <c r="E36" s="4">
        <f t="shared" si="2"/>
        <v>189.1690032</v>
      </c>
      <c r="F36" s="3">
        <f t="shared" si="3"/>
        <v>0.0002101877814</v>
      </c>
      <c r="G36" s="3">
        <f t="shared" si="4"/>
        <v>0</v>
      </c>
      <c r="H36" s="2">
        <f t="shared" si="5"/>
        <v>0</v>
      </c>
      <c r="I36" s="3">
        <f t="shared" si="6"/>
        <v>0</v>
      </c>
      <c r="J36" s="3">
        <f t="shared" si="7"/>
        <v>0</v>
      </c>
      <c r="K36" s="3"/>
      <c r="L36" s="3">
        <f t="shared" si="8"/>
        <v>434.3996407</v>
      </c>
      <c r="M36" s="14">
        <f t="shared" si="9"/>
        <v>437.7245508</v>
      </c>
      <c r="N36" s="14">
        <f t="shared" si="10"/>
        <v>-3.324910076</v>
      </c>
      <c r="O36" s="3"/>
      <c r="P36" s="23">
        <f t="shared" si="11"/>
        <v>189.1690032</v>
      </c>
      <c r="Q36" s="14">
        <f t="shared" si="12"/>
        <v>434.3996407</v>
      </c>
      <c r="R36" s="2"/>
      <c r="S36" s="14">
        <f t="shared" si="13"/>
        <v>-3.053252065</v>
      </c>
    </row>
    <row r="37">
      <c r="A37" s="11">
        <v>25.0</v>
      </c>
      <c r="B37" s="11">
        <v>1.41950434782608E9</v>
      </c>
      <c r="C37" s="2">
        <v>-102.4333725</v>
      </c>
      <c r="D37" s="3">
        <f t="shared" si="1"/>
        <v>-895652.1739</v>
      </c>
      <c r="E37" s="4">
        <f t="shared" si="2"/>
        <v>188.2507071</v>
      </c>
      <c r="F37" s="3">
        <f t="shared" si="3"/>
        <v>0.0002101828283</v>
      </c>
      <c r="G37" s="3">
        <f t="shared" si="4"/>
        <v>0</v>
      </c>
      <c r="H37" s="2">
        <f t="shared" si="5"/>
        <v>0</v>
      </c>
      <c r="I37" s="3">
        <f t="shared" si="6"/>
        <v>0</v>
      </c>
      <c r="J37" s="3">
        <f t="shared" si="7"/>
        <v>0</v>
      </c>
      <c r="K37" s="3"/>
      <c r="L37" s="3">
        <f t="shared" si="8"/>
        <v>434.2790883</v>
      </c>
      <c r="M37" s="14">
        <f t="shared" si="9"/>
        <v>437.5654482</v>
      </c>
      <c r="N37" s="14">
        <f t="shared" si="10"/>
        <v>-3.286359922</v>
      </c>
      <c r="O37" s="3"/>
      <c r="P37" s="23">
        <f t="shared" si="11"/>
        <v>188.2507071</v>
      </c>
      <c r="Q37" s="14">
        <f t="shared" si="12"/>
        <v>434.2790883</v>
      </c>
      <c r="R37" s="2"/>
      <c r="S37" s="14">
        <f t="shared" si="13"/>
        <v>-3.017851607</v>
      </c>
    </row>
    <row r="38">
      <c r="A38" s="11">
        <v>26.0</v>
      </c>
      <c r="B38" s="11">
        <v>1.41950869565217E9</v>
      </c>
      <c r="C38" s="2">
        <v>-102.3700333</v>
      </c>
      <c r="D38" s="3">
        <f t="shared" si="1"/>
        <v>-891304.3478</v>
      </c>
      <c r="E38" s="4">
        <f t="shared" si="2"/>
        <v>187.332411</v>
      </c>
      <c r="F38" s="3">
        <f t="shared" si="3"/>
        <v>0.0002101778269</v>
      </c>
      <c r="G38" s="3">
        <f t="shared" si="4"/>
        <v>0</v>
      </c>
      <c r="H38" s="2">
        <f t="shared" si="5"/>
        <v>0</v>
      </c>
      <c r="I38" s="3">
        <f t="shared" si="6"/>
        <v>0</v>
      </c>
      <c r="J38" s="3">
        <f t="shared" si="7"/>
        <v>0</v>
      </c>
      <c r="K38" s="3"/>
      <c r="L38" s="3">
        <f t="shared" si="8"/>
        <v>440.6591956</v>
      </c>
      <c r="M38" s="14">
        <f t="shared" si="9"/>
        <v>437.4069555</v>
      </c>
      <c r="N38" s="14">
        <f t="shared" si="10"/>
        <v>3.252240118</v>
      </c>
      <c r="O38" s="3"/>
      <c r="P38" s="23">
        <f t="shared" si="11"/>
        <v>187.332411</v>
      </c>
      <c r="Q38" s="14">
        <f t="shared" si="12"/>
        <v>440.6591956</v>
      </c>
      <c r="R38" s="2"/>
      <c r="S38" s="14">
        <f t="shared" si="13"/>
        <v>2.986519517</v>
      </c>
    </row>
    <row r="39">
      <c r="A39" s="11">
        <v>27.0</v>
      </c>
      <c r="B39" s="11">
        <v>1.41951304347826E9</v>
      </c>
      <c r="C39" s="2">
        <v>-102.4279022</v>
      </c>
      <c r="D39" s="3">
        <f t="shared" si="1"/>
        <v>-886956.5217</v>
      </c>
      <c r="E39" s="4">
        <f t="shared" si="2"/>
        <v>186.4141148</v>
      </c>
      <c r="F39" s="3">
        <f t="shared" si="3"/>
        <v>0.0002101727765</v>
      </c>
      <c r="G39" s="3">
        <f t="shared" si="4"/>
        <v>0</v>
      </c>
      <c r="H39" s="2">
        <f t="shared" si="5"/>
        <v>0</v>
      </c>
      <c r="I39" s="3">
        <f t="shared" si="6"/>
        <v>0</v>
      </c>
      <c r="J39" s="3">
        <f t="shared" si="7"/>
        <v>0</v>
      </c>
      <c r="K39" s="3"/>
      <c r="L39" s="3">
        <f t="shared" si="8"/>
        <v>434.8264435</v>
      </c>
      <c r="M39" s="14">
        <f t="shared" si="9"/>
        <v>437.2490707</v>
      </c>
      <c r="N39" s="14">
        <f t="shared" si="10"/>
        <v>-2.42262715</v>
      </c>
      <c r="O39" s="3"/>
      <c r="P39" s="23">
        <f t="shared" si="11"/>
        <v>186.4141148</v>
      </c>
      <c r="Q39" s="14">
        <f t="shared" si="12"/>
        <v>434.8264435</v>
      </c>
      <c r="R39" s="2"/>
      <c r="S39" s="14">
        <f t="shared" si="13"/>
        <v>-2.224689143</v>
      </c>
    </row>
    <row r="40">
      <c r="A40" s="11">
        <v>28.0</v>
      </c>
      <c r="B40" s="11">
        <v>1.41951739130434E9</v>
      </c>
      <c r="C40" s="2">
        <v>-102.3747177</v>
      </c>
      <c r="D40" s="3">
        <f t="shared" si="1"/>
        <v>-882608.6957</v>
      </c>
      <c r="E40" s="4">
        <f t="shared" si="2"/>
        <v>185.4958187</v>
      </c>
      <c r="F40" s="3">
        <f t="shared" si="3"/>
        <v>0.0002101676763</v>
      </c>
      <c r="G40" s="3">
        <f t="shared" si="4"/>
        <v>0</v>
      </c>
      <c r="H40" s="2">
        <f t="shared" si="5"/>
        <v>0</v>
      </c>
      <c r="I40" s="3">
        <f t="shared" si="6"/>
        <v>0</v>
      </c>
      <c r="J40" s="3">
        <f t="shared" si="7"/>
        <v>0</v>
      </c>
      <c r="K40" s="3"/>
      <c r="L40" s="3">
        <f t="shared" si="8"/>
        <v>440.1841468</v>
      </c>
      <c r="M40" s="14">
        <f t="shared" si="9"/>
        <v>437.0917914</v>
      </c>
      <c r="N40" s="14">
        <f t="shared" si="10"/>
        <v>3.092355356</v>
      </c>
      <c r="O40" s="3"/>
      <c r="P40" s="23">
        <f t="shared" si="11"/>
        <v>185.4958187</v>
      </c>
      <c r="Q40" s="14">
        <f t="shared" si="12"/>
        <v>440.1841468</v>
      </c>
      <c r="R40" s="2"/>
      <c r="S40" s="14">
        <f t="shared" si="13"/>
        <v>2.839697965</v>
      </c>
    </row>
    <row r="41">
      <c r="A41" s="11">
        <v>29.0</v>
      </c>
      <c r="B41" s="11">
        <v>1.41952173913043E9</v>
      </c>
      <c r="C41" s="2">
        <v>-102.436676</v>
      </c>
      <c r="D41" s="3">
        <f t="shared" si="1"/>
        <v>-878260.8696</v>
      </c>
      <c r="E41" s="4">
        <f t="shared" si="2"/>
        <v>184.5775226</v>
      </c>
      <c r="F41" s="3">
        <f t="shared" si="3"/>
        <v>0.0002101625257</v>
      </c>
      <c r="G41" s="3">
        <f t="shared" si="4"/>
        <v>0</v>
      </c>
      <c r="H41" s="2">
        <f t="shared" si="5"/>
        <v>0</v>
      </c>
      <c r="I41" s="3">
        <f t="shared" si="6"/>
        <v>0</v>
      </c>
      <c r="J41" s="3">
        <f t="shared" si="7"/>
        <v>0</v>
      </c>
      <c r="K41" s="3"/>
      <c r="L41" s="3">
        <f t="shared" si="8"/>
        <v>433.9488756</v>
      </c>
      <c r="M41" s="14">
        <f t="shared" si="9"/>
        <v>436.9351156</v>
      </c>
      <c r="N41" s="14">
        <f t="shared" si="10"/>
        <v>-2.986240018</v>
      </c>
      <c r="O41" s="3"/>
      <c r="P41" s="23">
        <f t="shared" si="11"/>
        <v>184.5775226</v>
      </c>
      <c r="Q41" s="14">
        <f t="shared" si="12"/>
        <v>433.9488756</v>
      </c>
      <c r="R41" s="2"/>
      <c r="S41" s="14">
        <f t="shared" si="13"/>
        <v>-2.742252654</v>
      </c>
    </row>
    <row r="42">
      <c r="A42" s="11">
        <v>30.0</v>
      </c>
      <c r="B42" s="11">
        <v>1.41952608695652E9</v>
      </c>
      <c r="C42" s="2">
        <v>-102.4283752</v>
      </c>
      <c r="D42" s="3">
        <f t="shared" si="1"/>
        <v>-873913.0435</v>
      </c>
      <c r="E42" s="4">
        <f t="shared" si="2"/>
        <v>183.6592264</v>
      </c>
      <c r="F42" s="3">
        <f t="shared" si="3"/>
        <v>0.0002101573238</v>
      </c>
      <c r="G42" s="3">
        <f t="shared" si="4"/>
        <v>0</v>
      </c>
      <c r="H42" s="2">
        <f t="shared" si="5"/>
        <v>0</v>
      </c>
      <c r="I42" s="3">
        <f t="shared" si="6"/>
        <v>0</v>
      </c>
      <c r="J42" s="3">
        <f t="shared" si="7"/>
        <v>0</v>
      </c>
      <c r="K42" s="3"/>
      <c r="L42" s="3">
        <f t="shared" si="8"/>
        <v>434.7790882</v>
      </c>
      <c r="M42" s="14">
        <f t="shared" si="9"/>
        <v>436.779041</v>
      </c>
      <c r="N42" s="14">
        <f t="shared" si="10"/>
        <v>-1.999952871</v>
      </c>
      <c r="O42" s="3"/>
      <c r="P42" s="23">
        <f t="shared" si="11"/>
        <v>183.6592264</v>
      </c>
      <c r="Q42" s="14">
        <f t="shared" si="12"/>
        <v>434.7790882</v>
      </c>
      <c r="R42" s="2"/>
      <c r="S42" s="14">
        <f t="shared" si="13"/>
        <v>-1.836548987</v>
      </c>
    </row>
    <row r="43">
      <c r="A43" s="11">
        <v>31.0</v>
      </c>
      <c r="B43" s="11">
        <v>1.4195304347826E9</v>
      </c>
      <c r="C43" s="2">
        <v>-102.4199677</v>
      </c>
      <c r="D43" s="3">
        <f t="shared" si="1"/>
        <v>-869565.2174</v>
      </c>
      <c r="E43" s="4">
        <f t="shared" si="2"/>
        <v>182.7409303</v>
      </c>
      <c r="F43" s="3">
        <f t="shared" si="3"/>
        <v>0.0002101520698</v>
      </c>
      <c r="G43" s="3">
        <f t="shared" si="4"/>
        <v>0</v>
      </c>
      <c r="H43" s="2">
        <f t="shared" si="5"/>
        <v>0</v>
      </c>
      <c r="I43" s="3">
        <f t="shared" si="6"/>
        <v>0</v>
      </c>
      <c r="J43" s="3">
        <f t="shared" si="7"/>
        <v>0</v>
      </c>
      <c r="K43" s="3"/>
      <c r="L43" s="3">
        <f t="shared" si="8"/>
        <v>435.6215915</v>
      </c>
      <c r="M43" s="14">
        <f t="shared" si="9"/>
        <v>436.6235655</v>
      </c>
      <c r="N43" s="14">
        <f t="shared" si="10"/>
        <v>-1.001974005</v>
      </c>
      <c r="O43" s="3"/>
      <c r="P43" s="23">
        <f t="shared" si="11"/>
        <v>182.7409303</v>
      </c>
      <c r="Q43" s="14">
        <f t="shared" si="12"/>
        <v>435.6215915</v>
      </c>
      <c r="R43" s="2"/>
      <c r="S43" s="14">
        <f t="shared" si="13"/>
        <v>-0.9201088541</v>
      </c>
    </row>
    <row r="44">
      <c r="A44" s="11">
        <v>32.0</v>
      </c>
      <c r="B44" s="11">
        <v>1.41953478260869E9</v>
      </c>
      <c r="C44" s="2">
        <v>-102.4434204</v>
      </c>
      <c r="D44" s="3">
        <f t="shared" si="1"/>
        <v>-865217.3913</v>
      </c>
      <c r="E44" s="4">
        <f t="shared" si="2"/>
        <v>181.8226342</v>
      </c>
      <c r="F44" s="3">
        <f t="shared" si="3"/>
        <v>0.0002101467631</v>
      </c>
      <c r="G44" s="3">
        <f t="shared" si="4"/>
        <v>0</v>
      </c>
      <c r="H44" s="2">
        <f t="shared" si="5"/>
        <v>0</v>
      </c>
      <c r="I44" s="3">
        <f t="shared" si="6"/>
        <v>0</v>
      </c>
      <c r="J44" s="3">
        <f t="shared" si="7"/>
        <v>0</v>
      </c>
      <c r="K44" s="3"/>
      <c r="L44" s="3">
        <f t="shared" si="8"/>
        <v>433.2754953</v>
      </c>
      <c r="M44" s="14">
        <f t="shared" si="9"/>
        <v>436.468687</v>
      </c>
      <c r="N44" s="14">
        <f t="shared" si="10"/>
        <v>-3.193191691</v>
      </c>
      <c r="O44" s="3"/>
      <c r="P44" s="23">
        <f t="shared" si="11"/>
        <v>181.8226342</v>
      </c>
      <c r="Q44" s="14">
        <f t="shared" si="12"/>
        <v>433.2754953</v>
      </c>
      <c r="R44" s="2"/>
      <c r="S44" s="14">
        <f t="shared" si="13"/>
        <v>-2.932295581</v>
      </c>
    </row>
    <row r="45">
      <c r="A45" s="11">
        <v>33.0</v>
      </c>
      <c r="B45" s="11">
        <v>1.41953913043478E9</v>
      </c>
      <c r="C45" s="2">
        <v>-102.4455795</v>
      </c>
      <c r="D45" s="3">
        <f t="shared" si="1"/>
        <v>-860869.5652</v>
      </c>
      <c r="E45" s="4">
        <f t="shared" si="2"/>
        <v>180.904338</v>
      </c>
      <c r="F45" s="3">
        <f t="shared" si="3"/>
        <v>0.0002101414028</v>
      </c>
      <c r="G45" s="3">
        <f t="shared" si="4"/>
        <v>0</v>
      </c>
      <c r="H45" s="2">
        <f t="shared" si="5"/>
        <v>0</v>
      </c>
      <c r="I45" s="3">
        <f t="shared" si="6"/>
        <v>0</v>
      </c>
      <c r="J45" s="3">
        <f t="shared" si="7"/>
        <v>0</v>
      </c>
      <c r="K45" s="3"/>
      <c r="L45" s="3">
        <f t="shared" si="8"/>
        <v>433.0601454</v>
      </c>
      <c r="M45" s="14">
        <f t="shared" si="9"/>
        <v>436.3144031</v>
      </c>
      <c r="N45" s="14">
        <f t="shared" si="10"/>
        <v>-3.254257722</v>
      </c>
      <c r="O45" s="3"/>
      <c r="P45" s="23">
        <f t="shared" si="11"/>
        <v>180.904338</v>
      </c>
      <c r="Q45" s="14">
        <f t="shared" si="12"/>
        <v>433.0601454</v>
      </c>
      <c r="R45" s="2"/>
      <c r="S45" s="14">
        <f t="shared" si="13"/>
        <v>-2.988372274</v>
      </c>
    </row>
    <row r="46">
      <c r="A46" s="11">
        <v>34.0</v>
      </c>
      <c r="B46" s="11">
        <v>1.41954347826087E9</v>
      </c>
      <c r="C46" s="2">
        <v>-102.4155426</v>
      </c>
      <c r="D46" s="3">
        <f t="shared" si="1"/>
        <v>-856521.7391</v>
      </c>
      <c r="E46" s="4">
        <f t="shared" si="2"/>
        <v>179.9860419</v>
      </c>
      <c r="F46" s="3">
        <f t="shared" si="3"/>
        <v>0.000210135988</v>
      </c>
      <c r="G46" s="3">
        <f t="shared" si="4"/>
        <v>0</v>
      </c>
      <c r="H46" s="2">
        <f t="shared" si="5"/>
        <v>0</v>
      </c>
      <c r="I46" s="3">
        <f t="shared" si="6"/>
        <v>0</v>
      </c>
      <c r="J46" s="3">
        <f t="shared" si="7"/>
        <v>0</v>
      </c>
      <c r="K46" s="3"/>
      <c r="L46" s="3">
        <f t="shared" si="8"/>
        <v>436.06568</v>
      </c>
      <c r="M46" s="14">
        <f t="shared" si="9"/>
        <v>436.1607118</v>
      </c>
      <c r="N46" s="14">
        <f t="shared" si="10"/>
        <v>-0.09503188007</v>
      </c>
      <c r="O46" s="3"/>
      <c r="P46" s="23">
        <f t="shared" si="11"/>
        <v>179.9860419</v>
      </c>
      <c r="Q46" s="14">
        <f t="shared" si="12"/>
        <v>436.06568</v>
      </c>
      <c r="R46" s="2"/>
      <c r="S46" s="14">
        <f t="shared" si="13"/>
        <v>-0.08726740795</v>
      </c>
    </row>
    <row r="47">
      <c r="A47" s="11">
        <v>35.0</v>
      </c>
      <c r="B47" s="11">
        <v>1.41954782608695E9</v>
      </c>
      <c r="C47" s="2">
        <v>-102.3508453</v>
      </c>
      <c r="D47" s="3">
        <f t="shared" si="1"/>
        <v>-852173.913</v>
      </c>
      <c r="E47" s="4">
        <f t="shared" si="2"/>
        <v>179.0677458</v>
      </c>
      <c r="F47" s="3">
        <f t="shared" si="3"/>
        <v>0.000210130518</v>
      </c>
      <c r="G47" s="3">
        <f t="shared" si="4"/>
        <v>0</v>
      </c>
      <c r="H47" s="2">
        <f t="shared" si="5"/>
        <v>0</v>
      </c>
      <c r="I47" s="3">
        <f t="shared" si="6"/>
        <v>0</v>
      </c>
      <c r="J47" s="3">
        <f t="shared" si="7"/>
        <v>0</v>
      </c>
      <c r="K47" s="3"/>
      <c r="L47" s="3">
        <f t="shared" si="8"/>
        <v>442.6104235</v>
      </c>
      <c r="M47" s="14">
        <f t="shared" si="9"/>
        <v>436.0076109</v>
      </c>
      <c r="N47" s="14">
        <f t="shared" si="10"/>
        <v>6.602812577</v>
      </c>
      <c r="O47" s="3"/>
      <c r="P47" s="23">
        <f t="shared" si="11"/>
        <v>179.0677458</v>
      </c>
      <c r="Q47" s="14">
        <f t="shared" si="12"/>
        <v>442.6104235</v>
      </c>
      <c r="R47" s="2"/>
      <c r="S47" s="14">
        <f t="shared" si="13"/>
        <v>6.063337255</v>
      </c>
    </row>
    <row r="48">
      <c r="A48" s="11">
        <v>36.0</v>
      </c>
      <c r="B48" s="11">
        <v>1.41955217391304E9</v>
      </c>
      <c r="C48" s="2">
        <v>-102.3672562</v>
      </c>
      <c r="D48" s="3">
        <f t="shared" si="1"/>
        <v>-847826.087</v>
      </c>
      <c r="E48" s="4">
        <f t="shared" si="2"/>
        <v>178.1494496</v>
      </c>
      <c r="F48" s="3">
        <f t="shared" si="3"/>
        <v>0.0002101249919</v>
      </c>
      <c r="G48" s="3">
        <f t="shared" si="4"/>
        <v>0</v>
      </c>
      <c r="H48" s="2">
        <f t="shared" si="5"/>
        <v>0</v>
      </c>
      <c r="I48" s="3">
        <f t="shared" si="6"/>
        <v>0</v>
      </c>
      <c r="J48" s="3">
        <f t="shared" si="7"/>
        <v>0</v>
      </c>
      <c r="K48" s="3"/>
      <c r="L48" s="3">
        <f t="shared" si="8"/>
        <v>440.9410657</v>
      </c>
      <c r="M48" s="14">
        <f t="shared" si="9"/>
        <v>435.8550982</v>
      </c>
      <c r="N48" s="14">
        <f t="shared" si="10"/>
        <v>5.085967453</v>
      </c>
      <c r="O48" s="3"/>
      <c r="P48" s="23">
        <f t="shared" si="11"/>
        <v>178.1494496</v>
      </c>
      <c r="Q48" s="14">
        <f t="shared" si="12"/>
        <v>440.9410657</v>
      </c>
      <c r="R48" s="2"/>
      <c r="S48" s="14">
        <f t="shared" si="13"/>
        <v>4.670424233</v>
      </c>
    </row>
    <row r="49">
      <c r="A49" s="11">
        <v>37.0</v>
      </c>
      <c r="B49" s="11">
        <v>1.41955652173913E9</v>
      </c>
      <c r="C49" s="2">
        <v>-102.3739853</v>
      </c>
      <c r="D49" s="3">
        <f t="shared" si="1"/>
        <v>-843478.2609</v>
      </c>
      <c r="E49" s="4">
        <f t="shared" si="2"/>
        <v>177.2311535</v>
      </c>
      <c r="F49" s="3">
        <f t="shared" si="3"/>
        <v>0.0002101194088</v>
      </c>
      <c r="G49" s="3">
        <f t="shared" si="4"/>
        <v>0</v>
      </c>
      <c r="H49" s="2">
        <f t="shared" si="5"/>
        <v>0</v>
      </c>
      <c r="I49" s="3">
        <f t="shared" si="6"/>
        <v>0</v>
      </c>
      <c r="J49" s="3">
        <f t="shared" si="7"/>
        <v>0</v>
      </c>
      <c r="K49" s="3"/>
      <c r="L49" s="3">
        <f t="shared" si="8"/>
        <v>440.2583863</v>
      </c>
      <c r="M49" s="14">
        <f t="shared" si="9"/>
        <v>435.7031715</v>
      </c>
      <c r="N49" s="14">
        <f t="shared" si="10"/>
        <v>4.555214717</v>
      </c>
      <c r="O49" s="3"/>
      <c r="P49" s="23">
        <f t="shared" si="11"/>
        <v>177.2311535</v>
      </c>
      <c r="Q49" s="14">
        <f t="shared" si="12"/>
        <v>440.2583863</v>
      </c>
      <c r="R49" s="2"/>
      <c r="S49" s="14">
        <f t="shared" si="13"/>
        <v>4.183036059</v>
      </c>
    </row>
    <row r="50">
      <c r="A50" s="11">
        <v>38.0</v>
      </c>
      <c r="B50" s="11">
        <v>1.41956086956521E9</v>
      </c>
      <c r="C50" s="2">
        <v>-102.4172516</v>
      </c>
      <c r="D50" s="3">
        <f t="shared" si="1"/>
        <v>-839130.4348</v>
      </c>
      <c r="E50" s="4">
        <f t="shared" si="2"/>
        <v>176.3128574</v>
      </c>
      <c r="F50" s="3">
        <f t="shared" si="3"/>
        <v>0.0002101137678</v>
      </c>
      <c r="G50" s="3">
        <f t="shared" si="4"/>
        <v>0</v>
      </c>
      <c r="H50" s="2">
        <f t="shared" si="5"/>
        <v>0</v>
      </c>
      <c r="I50" s="3">
        <f t="shared" si="6"/>
        <v>0</v>
      </c>
      <c r="J50" s="3">
        <f t="shared" si="7"/>
        <v>0</v>
      </c>
      <c r="K50" s="3"/>
      <c r="L50" s="3">
        <f t="shared" si="8"/>
        <v>435.8941167</v>
      </c>
      <c r="M50" s="14">
        <f t="shared" si="9"/>
        <v>435.5518287</v>
      </c>
      <c r="N50" s="14">
        <f t="shared" si="10"/>
        <v>0.3422880113</v>
      </c>
      <c r="O50" s="3"/>
      <c r="P50" s="23">
        <f t="shared" si="11"/>
        <v>176.3128574</v>
      </c>
      <c r="Q50" s="14">
        <f t="shared" si="12"/>
        <v>435.8941167</v>
      </c>
      <c r="R50" s="2"/>
      <c r="S50" s="14">
        <f t="shared" si="13"/>
        <v>0.314321757</v>
      </c>
    </row>
    <row r="51">
      <c r="A51" s="11">
        <v>39.0</v>
      </c>
      <c r="B51" s="11">
        <v>1.4195652173913E9</v>
      </c>
      <c r="C51" s="2">
        <v>-102.441124</v>
      </c>
      <c r="D51" s="3">
        <f t="shared" si="1"/>
        <v>-834782.6087</v>
      </c>
      <c r="E51" s="4">
        <f t="shared" si="2"/>
        <v>175.3945612</v>
      </c>
      <c r="F51" s="3">
        <f t="shared" si="3"/>
        <v>0.0002101080681</v>
      </c>
      <c r="G51" s="3">
        <f t="shared" si="4"/>
        <v>0</v>
      </c>
      <c r="H51" s="2">
        <f t="shared" si="5"/>
        <v>0</v>
      </c>
      <c r="I51" s="3">
        <f t="shared" si="6"/>
        <v>0</v>
      </c>
      <c r="J51" s="3">
        <f t="shared" si="7"/>
        <v>0</v>
      </c>
      <c r="K51" s="3"/>
      <c r="L51" s="3">
        <f t="shared" si="8"/>
        <v>433.5046571</v>
      </c>
      <c r="M51" s="14">
        <f t="shared" si="9"/>
        <v>435.4010676</v>
      </c>
      <c r="N51" s="14">
        <f t="shared" si="10"/>
        <v>-1.896410512</v>
      </c>
      <c r="O51" s="3"/>
      <c r="P51" s="23">
        <f t="shared" si="11"/>
        <v>175.3945612</v>
      </c>
      <c r="Q51" s="14">
        <f t="shared" si="12"/>
        <v>433.5046571</v>
      </c>
      <c r="R51" s="2"/>
      <c r="S51" s="14">
        <f t="shared" si="13"/>
        <v>-1.741466435</v>
      </c>
    </row>
    <row r="52">
      <c r="A52" s="11">
        <v>40.0</v>
      </c>
      <c r="B52" s="11">
        <v>1.41956956521739E9</v>
      </c>
      <c r="C52" s="2">
        <v>-102.3985367</v>
      </c>
      <c r="D52" s="3">
        <f t="shared" si="1"/>
        <v>-830434.7826</v>
      </c>
      <c r="E52" s="4">
        <f t="shared" si="2"/>
        <v>174.4762651</v>
      </c>
      <c r="F52" s="3">
        <f t="shared" si="3"/>
        <v>0.0002101023088</v>
      </c>
      <c r="G52" s="3">
        <f t="shared" si="4"/>
        <v>0</v>
      </c>
      <c r="H52" s="2">
        <f t="shared" si="5"/>
        <v>0</v>
      </c>
      <c r="I52" s="3">
        <f t="shared" si="6"/>
        <v>0</v>
      </c>
      <c r="J52" s="3">
        <f t="shared" si="7"/>
        <v>0</v>
      </c>
      <c r="K52" s="3"/>
      <c r="L52" s="3">
        <f t="shared" si="8"/>
        <v>437.776553</v>
      </c>
      <c r="M52" s="14">
        <f t="shared" si="9"/>
        <v>435.2508859</v>
      </c>
      <c r="N52" s="14">
        <f t="shared" si="10"/>
        <v>2.525667109</v>
      </c>
      <c r="O52" s="3"/>
      <c r="P52" s="23">
        <f t="shared" si="11"/>
        <v>174.4762651</v>
      </c>
      <c r="Q52" s="14">
        <f t="shared" si="12"/>
        <v>437.776553</v>
      </c>
      <c r="R52" s="2"/>
      <c r="S52" s="14">
        <f t="shared" si="13"/>
        <v>2.319310339</v>
      </c>
    </row>
    <row r="53">
      <c r="A53" s="11">
        <v>41.0</v>
      </c>
      <c r="B53" s="11">
        <v>1.41957391304347E9</v>
      </c>
      <c r="C53" s="2">
        <v>-102.448761</v>
      </c>
      <c r="D53" s="3">
        <f t="shared" si="1"/>
        <v>-826086.9565</v>
      </c>
      <c r="E53" s="4">
        <f t="shared" si="2"/>
        <v>173.557969</v>
      </c>
      <c r="F53" s="3">
        <f t="shared" si="3"/>
        <v>0.0002100964888</v>
      </c>
      <c r="G53" s="3">
        <f t="shared" si="4"/>
        <v>0</v>
      </c>
      <c r="H53" s="2">
        <f t="shared" si="5"/>
        <v>0</v>
      </c>
      <c r="I53" s="3">
        <f t="shared" si="6"/>
        <v>0</v>
      </c>
      <c r="J53" s="3">
        <f t="shared" si="7"/>
        <v>0</v>
      </c>
      <c r="K53" s="3"/>
      <c r="L53" s="3">
        <f t="shared" si="8"/>
        <v>432.7430158</v>
      </c>
      <c r="M53" s="14">
        <f t="shared" si="9"/>
        <v>435.1012816</v>
      </c>
      <c r="N53" s="14">
        <f t="shared" si="10"/>
        <v>-2.358265776</v>
      </c>
      <c r="O53" s="3"/>
      <c r="P53" s="23">
        <f t="shared" si="11"/>
        <v>173.557969</v>
      </c>
      <c r="Q53" s="14">
        <f t="shared" si="12"/>
        <v>432.7430158</v>
      </c>
      <c r="R53" s="2"/>
      <c r="S53" s="14">
        <f t="shared" si="13"/>
        <v>-2.165586342</v>
      </c>
    </row>
    <row r="54">
      <c r="A54" s="11">
        <v>42.0</v>
      </c>
      <c r="B54" s="11">
        <v>1.41957826086956E9</v>
      </c>
      <c r="C54" s="2">
        <v>-102.4504471</v>
      </c>
      <c r="D54" s="3">
        <f t="shared" si="1"/>
        <v>-821739.1304</v>
      </c>
      <c r="E54" s="4">
        <f t="shared" si="2"/>
        <v>172.6396728</v>
      </c>
      <c r="F54" s="3">
        <f t="shared" si="3"/>
        <v>0.0002100906072</v>
      </c>
      <c r="G54" s="3">
        <f t="shared" si="4"/>
        <v>0</v>
      </c>
      <c r="H54" s="2">
        <f t="shared" si="5"/>
        <v>0</v>
      </c>
      <c r="I54" s="3">
        <f t="shared" si="6"/>
        <v>0</v>
      </c>
      <c r="J54" s="3">
        <f t="shared" si="7"/>
        <v>0</v>
      </c>
      <c r="K54" s="3"/>
      <c r="L54" s="3">
        <f t="shared" si="8"/>
        <v>432.5750408</v>
      </c>
      <c r="M54" s="14">
        <f t="shared" si="9"/>
        <v>434.9522524</v>
      </c>
      <c r="N54" s="14">
        <f t="shared" si="10"/>
        <v>-2.377211648</v>
      </c>
      <c r="O54" s="3"/>
      <c r="P54" s="23">
        <f t="shared" si="11"/>
        <v>172.6396728</v>
      </c>
      <c r="Q54" s="14">
        <f t="shared" si="12"/>
        <v>432.5750408</v>
      </c>
      <c r="R54" s="2"/>
      <c r="S54" s="14">
        <f t="shared" si="13"/>
        <v>-2.182984258</v>
      </c>
    </row>
    <row r="55">
      <c r="A55" s="11">
        <v>43.0</v>
      </c>
      <c r="B55" s="11">
        <v>1.41958260869565E9</v>
      </c>
      <c r="C55" s="2">
        <v>-102.4305725</v>
      </c>
      <c r="D55" s="3">
        <f t="shared" si="1"/>
        <v>-817391.3043</v>
      </c>
      <c r="E55" s="4">
        <f t="shared" si="2"/>
        <v>171.7213767</v>
      </c>
      <c r="F55" s="3">
        <f t="shared" si="3"/>
        <v>0.000210084663</v>
      </c>
      <c r="G55" s="3">
        <f t="shared" si="4"/>
        <v>0</v>
      </c>
      <c r="H55" s="2">
        <f t="shared" si="5"/>
        <v>0</v>
      </c>
      <c r="I55" s="3">
        <f t="shared" si="6"/>
        <v>0</v>
      </c>
      <c r="J55" s="3">
        <f t="shared" si="7"/>
        <v>0</v>
      </c>
      <c r="K55" s="3"/>
      <c r="L55" s="3">
        <f t="shared" si="8"/>
        <v>434.5591686</v>
      </c>
      <c r="M55" s="14">
        <f t="shared" si="9"/>
        <v>434.8037962</v>
      </c>
      <c r="N55" s="14">
        <f t="shared" si="10"/>
        <v>-0.2446275976</v>
      </c>
      <c r="O55" s="3"/>
      <c r="P55" s="23">
        <f t="shared" si="11"/>
        <v>171.7213767</v>
      </c>
      <c r="Q55" s="14">
        <f t="shared" si="12"/>
        <v>434.5591686</v>
      </c>
      <c r="R55" s="2"/>
      <c r="S55" s="14">
        <f t="shared" si="13"/>
        <v>-0.2246405769</v>
      </c>
    </row>
    <row r="56">
      <c r="A56" s="11">
        <v>44.0</v>
      </c>
      <c r="B56" s="11">
        <v>1.41958695652173E9</v>
      </c>
      <c r="C56" s="2">
        <v>-102.4421387</v>
      </c>
      <c r="D56" s="3">
        <f t="shared" si="1"/>
        <v>-813043.4783</v>
      </c>
      <c r="E56" s="4">
        <f t="shared" si="2"/>
        <v>170.8030806</v>
      </c>
      <c r="F56" s="3">
        <f t="shared" si="3"/>
        <v>0.0002100786553</v>
      </c>
      <c r="G56" s="3">
        <f t="shared" si="4"/>
        <v>0</v>
      </c>
      <c r="H56" s="2">
        <f t="shared" si="5"/>
        <v>0</v>
      </c>
      <c r="I56" s="3">
        <f t="shared" si="6"/>
        <v>0</v>
      </c>
      <c r="J56" s="3">
        <f t="shared" si="7"/>
        <v>0</v>
      </c>
      <c r="K56" s="3"/>
      <c r="L56" s="3">
        <f t="shared" si="8"/>
        <v>433.4033834</v>
      </c>
      <c r="M56" s="14">
        <f t="shared" si="9"/>
        <v>434.6559108</v>
      </c>
      <c r="N56" s="14">
        <f t="shared" si="10"/>
        <v>-1.252527369</v>
      </c>
      <c r="O56" s="3"/>
      <c r="P56" s="23">
        <f t="shared" si="11"/>
        <v>170.8030806</v>
      </c>
      <c r="Q56" s="14">
        <f t="shared" si="12"/>
        <v>433.4033834</v>
      </c>
      <c r="R56" s="2"/>
      <c r="S56" s="14">
        <f t="shared" si="13"/>
        <v>-1.15019104</v>
      </c>
    </row>
    <row r="57">
      <c r="A57" s="11">
        <v>45.0</v>
      </c>
      <c r="B57" s="11">
        <v>1.41959130434782E9</v>
      </c>
      <c r="C57" s="2">
        <v>-102.4561615</v>
      </c>
      <c r="D57" s="3">
        <f t="shared" si="1"/>
        <v>-808695.6522</v>
      </c>
      <c r="E57" s="4">
        <f t="shared" si="2"/>
        <v>169.8847844</v>
      </c>
      <c r="F57" s="3">
        <f t="shared" si="3"/>
        <v>0.0002100725829</v>
      </c>
      <c r="G57" s="3">
        <f t="shared" si="4"/>
        <v>0</v>
      </c>
      <c r="H57" s="2">
        <f t="shared" si="5"/>
        <v>0</v>
      </c>
      <c r="I57" s="3">
        <f t="shared" si="6"/>
        <v>0</v>
      </c>
      <c r="J57" s="3">
        <f t="shared" si="7"/>
        <v>0</v>
      </c>
      <c r="K57" s="3"/>
      <c r="L57" s="3">
        <f t="shared" si="8"/>
        <v>432.0062375</v>
      </c>
      <c r="M57" s="14">
        <f t="shared" si="9"/>
        <v>434.508594</v>
      </c>
      <c r="N57" s="14">
        <f t="shared" si="10"/>
        <v>-2.502356525</v>
      </c>
      <c r="O57" s="3"/>
      <c r="P57" s="23">
        <f t="shared" si="11"/>
        <v>169.8847844</v>
      </c>
      <c r="Q57" s="14">
        <f t="shared" si="12"/>
        <v>432.0062375</v>
      </c>
      <c r="R57" s="2"/>
      <c r="S57" s="14">
        <f t="shared" si="13"/>
        <v>-2.29790432</v>
      </c>
    </row>
    <row r="58">
      <c r="A58" s="11">
        <v>46.0</v>
      </c>
      <c r="B58" s="11">
        <v>1.41959565217391E9</v>
      </c>
      <c r="C58" s="2">
        <v>-102.4109879</v>
      </c>
      <c r="D58" s="3">
        <f t="shared" si="1"/>
        <v>-804347.8261</v>
      </c>
      <c r="E58" s="4">
        <f t="shared" si="2"/>
        <v>168.9664883</v>
      </c>
      <c r="F58" s="3">
        <f t="shared" si="3"/>
        <v>0.0002100664449</v>
      </c>
      <c r="G58" s="3">
        <f t="shared" si="4"/>
        <v>0</v>
      </c>
      <c r="H58" s="2">
        <f t="shared" si="5"/>
        <v>0</v>
      </c>
      <c r="I58" s="3">
        <f t="shared" si="6"/>
        <v>0</v>
      </c>
      <c r="J58" s="3">
        <f t="shared" si="7"/>
        <v>0</v>
      </c>
      <c r="K58" s="3"/>
      <c r="L58" s="3">
        <f t="shared" si="8"/>
        <v>436.5232474</v>
      </c>
      <c r="M58" s="14">
        <f t="shared" si="9"/>
        <v>434.3618437</v>
      </c>
      <c r="N58" s="14">
        <f t="shared" si="10"/>
        <v>2.161403755</v>
      </c>
      <c r="O58" s="3"/>
      <c r="P58" s="23">
        <f t="shared" si="11"/>
        <v>168.9664883</v>
      </c>
      <c r="Q58" s="14">
        <f t="shared" si="12"/>
        <v>436.5232474</v>
      </c>
      <c r="R58" s="2"/>
      <c r="S58" s="14">
        <f t="shared" si="13"/>
        <v>1.984808705</v>
      </c>
    </row>
    <row r="59">
      <c r="A59" s="11">
        <v>47.0</v>
      </c>
      <c r="B59" s="11">
        <v>1.4196E9</v>
      </c>
      <c r="C59" s="2">
        <v>-102.4184418</v>
      </c>
      <c r="D59" s="3">
        <f t="shared" si="1"/>
        <v>-800000</v>
      </c>
      <c r="E59" s="4">
        <f t="shared" si="2"/>
        <v>168.0481922</v>
      </c>
      <c r="F59" s="3">
        <f t="shared" si="3"/>
        <v>0.0002100602402</v>
      </c>
      <c r="G59" s="3">
        <f t="shared" si="4"/>
        <v>0</v>
      </c>
      <c r="H59" s="2">
        <f t="shared" si="5"/>
        <v>0</v>
      </c>
      <c r="I59" s="3">
        <f t="shared" si="6"/>
        <v>0</v>
      </c>
      <c r="J59" s="3">
        <f t="shared" si="7"/>
        <v>0</v>
      </c>
      <c r="K59" s="3"/>
      <c r="L59" s="3">
        <f t="shared" si="8"/>
        <v>435.7746747</v>
      </c>
      <c r="M59" s="14">
        <f t="shared" si="9"/>
        <v>434.2156576</v>
      </c>
      <c r="N59" s="14">
        <f t="shared" si="10"/>
        <v>1.559017127</v>
      </c>
      <c r="O59" s="3"/>
      <c r="P59" s="23">
        <f t="shared" si="11"/>
        <v>168.0481922</v>
      </c>
      <c r="Q59" s="14">
        <f t="shared" si="12"/>
        <v>435.7746747</v>
      </c>
      <c r="R59" s="2"/>
      <c r="S59" s="14">
        <f t="shared" si="13"/>
        <v>1.431639398</v>
      </c>
    </row>
    <row r="60">
      <c r="A60" s="11">
        <v>48.0</v>
      </c>
      <c r="B60" s="11">
        <v>1.41960434782608E9</v>
      </c>
      <c r="C60" s="2">
        <v>-102.424881</v>
      </c>
      <c r="D60" s="3">
        <f t="shared" si="1"/>
        <v>-795652.1739</v>
      </c>
      <c r="E60" s="4">
        <f t="shared" si="2"/>
        <v>167.129896</v>
      </c>
      <c r="F60" s="3">
        <f t="shared" si="3"/>
        <v>0.0002100539677</v>
      </c>
      <c r="G60" s="3">
        <f t="shared" si="4"/>
        <v>0</v>
      </c>
      <c r="H60" s="2">
        <f t="shared" si="5"/>
        <v>0</v>
      </c>
      <c r="I60" s="3">
        <f t="shared" si="6"/>
        <v>0</v>
      </c>
      <c r="J60" s="3">
        <f t="shared" si="7"/>
        <v>0</v>
      </c>
      <c r="K60" s="3"/>
      <c r="L60" s="3">
        <f t="shared" si="8"/>
        <v>435.1290388</v>
      </c>
      <c r="M60" s="14">
        <f t="shared" si="9"/>
        <v>434.0700336</v>
      </c>
      <c r="N60" s="14">
        <f t="shared" si="10"/>
        <v>1.05900521</v>
      </c>
      <c r="O60" s="3"/>
      <c r="P60" s="23">
        <f t="shared" si="11"/>
        <v>167.129896</v>
      </c>
      <c r="Q60" s="14">
        <f t="shared" si="12"/>
        <v>435.1290388</v>
      </c>
      <c r="R60" s="2"/>
      <c r="S60" s="14">
        <f t="shared" si="13"/>
        <v>0.9724803887</v>
      </c>
    </row>
    <row r="61">
      <c r="A61" s="11">
        <v>49.0</v>
      </c>
      <c r="B61" s="11">
        <v>1.41960869565217E9</v>
      </c>
      <c r="C61" s="2">
        <v>-102.4693909</v>
      </c>
      <c r="D61" s="3">
        <f t="shared" si="1"/>
        <v>-791304.3478</v>
      </c>
      <c r="E61" s="4">
        <f t="shared" si="2"/>
        <v>166.2115999</v>
      </c>
      <c r="F61" s="3">
        <f t="shared" si="3"/>
        <v>0.0002100476263</v>
      </c>
      <c r="G61" s="3">
        <f t="shared" si="4"/>
        <v>0</v>
      </c>
      <c r="H61" s="2">
        <f t="shared" si="5"/>
        <v>0</v>
      </c>
      <c r="I61" s="3">
        <f t="shared" si="6"/>
        <v>0</v>
      </c>
      <c r="J61" s="3">
        <f t="shared" si="7"/>
        <v>0</v>
      </c>
      <c r="K61" s="3"/>
      <c r="L61" s="3">
        <f t="shared" si="8"/>
        <v>430.6922702</v>
      </c>
      <c r="M61" s="14">
        <f t="shared" si="9"/>
        <v>433.9249695</v>
      </c>
      <c r="N61" s="14">
        <f t="shared" si="10"/>
        <v>-3.232699343</v>
      </c>
      <c r="O61" s="3"/>
      <c r="P61" s="23">
        <f t="shared" si="11"/>
        <v>166.2115999</v>
      </c>
      <c r="Q61" s="14">
        <f t="shared" si="12"/>
        <v>430.6922702</v>
      </c>
      <c r="R61" s="2"/>
      <c r="S61" s="14">
        <f t="shared" si="13"/>
        <v>-2.968575298</v>
      </c>
    </row>
    <row r="62">
      <c r="A62" s="11">
        <v>50.0</v>
      </c>
      <c r="B62" s="11">
        <v>1.41961304347826E9</v>
      </c>
      <c r="C62" s="2">
        <v>-102.4445877</v>
      </c>
      <c r="D62" s="3">
        <f t="shared" si="1"/>
        <v>-786956.5217</v>
      </c>
      <c r="E62" s="4">
        <f t="shared" si="2"/>
        <v>165.2933038</v>
      </c>
      <c r="F62" s="3">
        <f t="shared" si="3"/>
        <v>0.0002100412148</v>
      </c>
      <c r="G62" s="3">
        <f t="shared" si="4"/>
        <v>0</v>
      </c>
      <c r="H62" s="2">
        <f t="shared" si="5"/>
        <v>0</v>
      </c>
      <c r="I62" s="3">
        <f t="shared" si="6"/>
        <v>0</v>
      </c>
      <c r="J62" s="3">
        <f t="shared" si="7"/>
        <v>0</v>
      </c>
      <c r="K62" s="3"/>
      <c r="L62" s="3">
        <f t="shared" si="8"/>
        <v>433.1590548</v>
      </c>
      <c r="M62" s="14">
        <f t="shared" si="9"/>
        <v>433.7804632</v>
      </c>
      <c r="N62" s="14">
        <f t="shared" si="10"/>
        <v>-0.6214084037</v>
      </c>
      <c r="O62" s="3"/>
      <c r="P62" s="23">
        <f t="shared" si="11"/>
        <v>165.2933038</v>
      </c>
      <c r="Q62" s="14">
        <f t="shared" si="12"/>
        <v>433.1590548</v>
      </c>
      <c r="R62" s="2"/>
      <c r="S62" s="14">
        <f t="shared" si="13"/>
        <v>-0.570636934</v>
      </c>
    </row>
    <row r="63">
      <c r="A63" s="11">
        <v>51.0</v>
      </c>
      <c r="B63" s="11">
        <v>1.41961739130434E9</v>
      </c>
      <c r="C63" s="2">
        <v>-102.4680023</v>
      </c>
      <c r="D63" s="3">
        <f t="shared" si="1"/>
        <v>-782608.6957</v>
      </c>
      <c r="E63" s="4">
        <f t="shared" si="2"/>
        <v>164.3750077</v>
      </c>
      <c r="F63" s="3">
        <f t="shared" si="3"/>
        <v>0.000210034732</v>
      </c>
      <c r="G63" s="3">
        <f t="shared" si="4"/>
        <v>0</v>
      </c>
      <c r="H63" s="2">
        <f t="shared" si="5"/>
        <v>0</v>
      </c>
      <c r="I63" s="3">
        <f t="shared" si="6"/>
        <v>0</v>
      </c>
      <c r="J63" s="3">
        <f t="shared" si="7"/>
        <v>0</v>
      </c>
      <c r="K63" s="3"/>
      <c r="L63" s="3">
        <f t="shared" si="8"/>
        <v>430.8300005</v>
      </c>
      <c r="M63" s="14">
        <f t="shared" si="9"/>
        <v>433.6365125</v>
      </c>
      <c r="N63" s="14">
        <f t="shared" si="10"/>
        <v>-2.806512007</v>
      </c>
      <c r="O63" s="3"/>
      <c r="P63" s="23">
        <f t="shared" si="11"/>
        <v>164.3750077</v>
      </c>
      <c r="Q63" s="14">
        <f t="shared" si="12"/>
        <v>430.8300005</v>
      </c>
      <c r="R63" s="2"/>
      <c r="S63" s="14">
        <f t="shared" si="13"/>
        <v>-2.577209122</v>
      </c>
    </row>
    <row r="64">
      <c r="A64" s="11">
        <v>52.0</v>
      </c>
      <c r="B64" s="11">
        <v>1.41962173913043E9</v>
      </c>
      <c r="C64" s="2">
        <v>-102.4625549</v>
      </c>
      <c r="D64" s="3">
        <f t="shared" si="1"/>
        <v>-778260.8696</v>
      </c>
      <c r="E64" s="4">
        <f t="shared" si="2"/>
        <v>163.4567115</v>
      </c>
      <c r="F64" s="3">
        <f t="shared" si="3"/>
        <v>0.0002100281768</v>
      </c>
      <c r="G64" s="3">
        <f t="shared" si="4"/>
        <v>0</v>
      </c>
      <c r="H64" s="2">
        <f t="shared" si="5"/>
        <v>0</v>
      </c>
      <c r="I64" s="3">
        <f t="shared" si="6"/>
        <v>0</v>
      </c>
      <c r="J64" s="3">
        <f t="shared" si="7"/>
        <v>0</v>
      </c>
      <c r="K64" s="3"/>
      <c r="L64" s="3">
        <f t="shared" si="8"/>
        <v>431.370734</v>
      </c>
      <c r="M64" s="14">
        <f t="shared" si="9"/>
        <v>433.4931151</v>
      </c>
      <c r="N64" s="14">
        <f t="shared" si="10"/>
        <v>-2.122381121</v>
      </c>
      <c r="O64" s="3"/>
      <c r="P64" s="23">
        <f t="shared" si="11"/>
        <v>163.4567115</v>
      </c>
      <c r="Q64" s="14">
        <f t="shared" si="12"/>
        <v>431.370734</v>
      </c>
      <c r="R64" s="2"/>
      <c r="S64" s="14">
        <f t="shared" si="13"/>
        <v>-1.948974371</v>
      </c>
    </row>
    <row r="65">
      <c r="A65" s="11">
        <v>53.0</v>
      </c>
      <c r="B65" s="11">
        <v>1.41962608695652E9</v>
      </c>
      <c r="C65" s="2">
        <v>-102.4037552</v>
      </c>
      <c r="D65" s="3">
        <f t="shared" si="1"/>
        <v>-773913.0435</v>
      </c>
      <c r="E65" s="4">
        <f t="shared" si="2"/>
        <v>162.5384154</v>
      </c>
      <c r="F65" s="3">
        <f t="shared" si="3"/>
        <v>0.000210021548</v>
      </c>
      <c r="G65" s="3">
        <f t="shared" si="4"/>
        <v>0</v>
      </c>
      <c r="H65" s="2">
        <f t="shared" si="5"/>
        <v>0</v>
      </c>
      <c r="I65" s="3">
        <f t="shared" si="6"/>
        <v>0</v>
      </c>
      <c r="J65" s="3">
        <f t="shared" si="7"/>
        <v>0</v>
      </c>
      <c r="K65" s="3"/>
      <c r="L65" s="3">
        <f t="shared" si="8"/>
        <v>437.2508349</v>
      </c>
      <c r="M65" s="14">
        <f t="shared" si="9"/>
        <v>433.3502689</v>
      </c>
      <c r="N65" s="14">
        <f t="shared" si="10"/>
        <v>3.900565931</v>
      </c>
      <c r="O65" s="3"/>
      <c r="P65" s="23">
        <f t="shared" si="11"/>
        <v>162.5384154</v>
      </c>
      <c r="Q65" s="14">
        <f t="shared" si="12"/>
        <v>437.2508349</v>
      </c>
      <c r="R65" s="2"/>
      <c r="S65" s="14">
        <f t="shared" si="13"/>
        <v>3.58187461</v>
      </c>
    </row>
    <row r="66">
      <c r="A66" s="11">
        <v>54.0</v>
      </c>
      <c r="B66" s="11">
        <v>1.4196304347826E9</v>
      </c>
      <c r="C66" s="2">
        <v>-102.4216003</v>
      </c>
      <c r="D66" s="3">
        <f t="shared" si="1"/>
        <v>-769565.2174</v>
      </c>
      <c r="E66" s="4">
        <f t="shared" si="2"/>
        <v>161.6201193</v>
      </c>
      <c r="F66" s="3">
        <f t="shared" si="3"/>
        <v>0.0002100148442</v>
      </c>
      <c r="G66" s="3">
        <f t="shared" si="4"/>
        <v>0</v>
      </c>
      <c r="H66" s="2">
        <f t="shared" si="5"/>
        <v>0</v>
      </c>
      <c r="I66" s="3">
        <f t="shared" si="6"/>
        <v>0</v>
      </c>
      <c r="J66" s="3">
        <f t="shared" si="7"/>
        <v>0</v>
      </c>
      <c r="K66" s="3"/>
      <c r="L66" s="3">
        <f t="shared" si="8"/>
        <v>435.4578634</v>
      </c>
      <c r="M66" s="14">
        <f t="shared" si="9"/>
        <v>433.2079718</v>
      </c>
      <c r="N66" s="14">
        <f t="shared" si="10"/>
        <v>2.249891602</v>
      </c>
      <c r="O66" s="3"/>
      <c r="P66" s="23">
        <f t="shared" si="11"/>
        <v>161.6201193</v>
      </c>
      <c r="Q66" s="14">
        <f t="shared" si="12"/>
        <v>435.4578634</v>
      </c>
      <c r="R66" s="2"/>
      <c r="S66" s="14">
        <f t="shared" si="13"/>
        <v>2.066066757</v>
      </c>
    </row>
    <row r="67">
      <c r="A67" s="11">
        <v>55.0</v>
      </c>
      <c r="B67" s="11">
        <v>1.41963478260869E9</v>
      </c>
      <c r="C67" s="2">
        <v>-102.4554367</v>
      </c>
      <c r="D67" s="3">
        <f t="shared" si="1"/>
        <v>-765217.3913</v>
      </c>
      <c r="E67" s="4">
        <f t="shared" si="2"/>
        <v>160.7018231</v>
      </c>
      <c r="F67" s="3">
        <f t="shared" si="3"/>
        <v>0.0002100080643</v>
      </c>
      <c r="G67" s="3">
        <f t="shared" si="4"/>
        <v>0</v>
      </c>
      <c r="H67" s="2">
        <f t="shared" si="5"/>
        <v>0</v>
      </c>
      <c r="I67" s="3">
        <f t="shared" si="6"/>
        <v>0</v>
      </c>
      <c r="J67" s="3">
        <f t="shared" si="7"/>
        <v>0</v>
      </c>
      <c r="K67" s="3"/>
      <c r="L67" s="3">
        <f t="shared" si="8"/>
        <v>432.0783416</v>
      </c>
      <c r="M67" s="14">
        <f t="shared" si="9"/>
        <v>433.0662216</v>
      </c>
      <c r="N67" s="14">
        <f t="shared" si="10"/>
        <v>-0.9878799667</v>
      </c>
      <c r="O67" s="3"/>
      <c r="P67" s="23">
        <f t="shared" si="11"/>
        <v>160.7018231</v>
      </c>
      <c r="Q67" s="14">
        <f t="shared" si="12"/>
        <v>432.0783416</v>
      </c>
      <c r="R67" s="2"/>
      <c r="S67" s="14">
        <f t="shared" si="13"/>
        <v>-0.9071663531</v>
      </c>
    </row>
    <row r="68">
      <c r="A68" s="11">
        <v>56.0</v>
      </c>
      <c r="B68" s="11">
        <v>1.41963913043478E9</v>
      </c>
      <c r="C68" s="2">
        <v>-102.3647308</v>
      </c>
      <c r="D68" s="24">
        <f t="shared" si="1"/>
        <v>-760869.5652</v>
      </c>
      <c r="E68" s="25">
        <f t="shared" si="2"/>
        <v>159.783527</v>
      </c>
      <c r="F68" s="24">
        <f t="shared" si="3"/>
        <v>0.0002100012069</v>
      </c>
      <c r="G68" s="24">
        <f t="shared" si="4"/>
        <v>0</v>
      </c>
      <c r="H68" s="26">
        <f t="shared" si="5"/>
        <v>0</v>
      </c>
      <c r="I68" s="24">
        <f t="shared" si="6"/>
        <v>0</v>
      </c>
      <c r="J68" s="24">
        <f t="shared" si="7"/>
        <v>0</v>
      </c>
      <c r="K68" s="24"/>
      <c r="L68" s="24">
        <f t="shared" si="8"/>
        <v>441.1975452</v>
      </c>
      <c r="M68" s="14">
        <f t="shared" si="9"/>
        <v>432.925016</v>
      </c>
      <c r="N68" s="27">
        <f t="shared" si="10"/>
        <v>8.272529186</v>
      </c>
      <c r="O68" s="24"/>
      <c r="P68" s="28">
        <f t="shared" ref="P68:P123" si="14">-((B418-$B$4)/$B$4)*(3*10^5)</f>
        <v>-160.7018231</v>
      </c>
      <c r="Q68" s="27">
        <f t="shared" ref="Q68:Q123" si="15">(1/(2*$K$13))*(I417)</f>
        <v>400.6085716</v>
      </c>
      <c r="R68" s="26"/>
      <c r="S68" s="14">
        <f t="shared" si="13"/>
        <v>7.596631542</v>
      </c>
    </row>
    <row r="69">
      <c r="A69" s="11">
        <v>57.0</v>
      </c>
      <c r="B69" s="11">
        <v>1.41964347826087E9</v>
      </c>
      <c r="C69" s="2">
        <v>-102.4800262</v>
      </c>
      <c r="D69" s="24">
        <f t="shared" si="1"/>
        <v>-756521.7391</v>
      </c>
      <c r="E69" s="25">
        <f t="shared" si="2"/>
        <v>158.8652309</v>
      </c>
      <c r="F69" s="24">
        <f t="shared" si="3"/>
        <v>0.0002099942707</v>
      </c>
      <c r="G69" s="24">
        <f t="shared" si="4"/>
        <v>0</v>
      </c>
      <c r="H69" s="26">
        <f t="shared" si="5"/>
        <v>0</v>
      </c>
      <c r="I69" s="24">
        <f t="shared" si="6"/>
        <v>0</v>
      </c>
      <c r="J69" s="24">
        <f t="shared" si="7"/>
        <v>0</v>
      </c>
      <c r="K69" s="24"/>
      <c r="L69" s="24">
        <f t="shared" si="8"/>
        <v>429.6388519</v>
      </c>
      <c r="M69" s="14">
        <f t="shared" si="9"/>
        <v>432.784353</v>
      </c>
      <c r="N69" s="27">
        <f t="shared" si="10"/>
        <v>-3.14550105</v>
      </c>
      <c r="O69" s="24"/>
      <c r="P69" s="28">
        <f t="shared" si="14"/>
        <v>-161.6201193</v>
      </c>
      <c r="Q69" s="27">
        <f t="shared" si="15"/>
        <v>400.3904658</v>
      </c>
      <c r="R69" s="26"/>
      <c r="S69" s="14">
        <f t="shared" si="13"/>
        <v>-2.888501449</v>
      </c>
    </row>
    <row r="70">
      <c r="A70" s="11">
        <v>58.0</v>
      </c>
      <c r="B70" s="11">
        <v>1.41964782608695E9</v>
      </c>
      <c r="C70" s="2">
        <v>-102.4509964</v>
      </c>
      <c r="D70" s="24">
        <f t="shared" si="1"/>
        <v>-752173.913</v>
      </c>
      <c r="E70" s="25">
        <f t="shared" si="2"/>
        <v>157.9469347</v>
      </c>
      <c r="F70" s="24">
        <f t="shared" si="3"/>
        <v>0.0002099872543</v>
      </c>
      <c r="G70" s="24">
        <f t="shared" si="4"/>
        <v>0</v>
      </c>
      <c r="H70" s="26">
        <f t="shared" si="5"/>
        <v>0</v>
      </c>
      <c r="I70" s="24">
        <f t="shared" si="6"/>
        <v>0</v>
      </c>
      <c r="J70" s="24">
        <f t="shared" si="7"/>
        <v>0</v>
      </c>
      <c r="K70" s="24"/>
      <c r="L70" s="24">
        <f t="shared" si="8"/>
        <v>432.5203317</v>
      </c>
      <c r="M70" s="14">
        <f t="shared" si="9"/>
        <v>432.6442302</v>
      </c>
      <c r="N70" s="27">
        <f t="shared" si="10"/>
        <v>-0.1238985372</v>
      </c>
      <c r="O70" s="24"/>
      <c r="P70" s="28">
        <f t="shared" si="14"/>
        <v>-162.5384154</v>
      </c>
      <c r="Q70" s="27">
        <f t="shared" si="15"/>
        <v>399.7242234</v>
      </c>
      <c r="R70" s="26"/>
      <c r="S70" s="14">
        <f t="shared" si="13"/>
        <v>-0.1137755476</v>
      </c>
    </row>
    <row r="71">
      <c r="A71" s="11">
        <v>59.0</v>
      </c>
      <c r="B71" s="11">
        <v>1.41965217391304E9</v>
      </c>
      <c r="C71" s="2">
        <v>-102.4445648</v>
      </c>
      <c r="D71" s="24">
        <f t="shared" si="1"/>
        <v>-747826.087</v>
      </c>
      <c r="E71" s="25">
        <f t="shared" si="2"/>
        <v>157.0286386</v>
      </c>
      <c r="F71" s="24">
        <f t="shared" si="3"/>
        <v>0.0002099801563</v>
      </c>
      <c r="G71" s="24">
        <f t="shared" si="4"/>
        <v>0</v>
      </c>
      <c r="H71" s="26">
        <f t="shared" si="5"/>
        <v>0</v>
      </c>
      <c r="I71" s="24">
        <f t="shared" si="6"/>
        <v>0</v>
      </c>
      <c r="J71" s="24">
        <f t="shared" si="7"/>
        <v>0</v>
      </c>
      <c r="K71" s="24"/>
      <c r="L71" s="24">
        <f t="shared" si="8"/>
        <v>433.1613388</v>
      </c>
      <c r="M71" s="14">
        <f t="shared" si="9"/>
        <v>432.5046457</v>
      </c>
      <c r="N71" s="27">
        <f t="shared" si="10"/>
        <v>0.6566931557</v>
      </c>
      <c r="O71" s="24"/>
      <c r="P71" s="28">
        <f t="shared" si="14"/>
        <v>-163.4567115</v>
      </c>
      <c r="Q71" s="27">
        <f t="shared" si="15"/>
        <v>409.0535324</v>
      </c>
      <c r="R71" s="26"/>
      <c r="S71" s="14">
        <f t="shared" si="13"/>
        <v>0.6030387839</v>
      </c>
    </row>
    <row r="72">
      <c r="A72" s="11">
        <v>60.0</v>
      </c>
      <c r="B72" s="11">
        <v>1.41965652173913E9</v>
      </c>
      <c r="C72" s="2">
        <v>-102.4037704</v>
      </c>
      <c r="D72" s="24">
        <f t="shared" si="1"/>
        <v>-743478.2609</v>
      </c>
      <c r="E72" s="25">
        <f t="shared" si="2"/>
        <v>156.1103425</v>
      </c>
      <c r="F72" s="24">
        <f t="shared" si="3"/>
        <v>0.0002099729752</v>
      </c>
      <c r="G72" s="24">
        <f t="shared" si="4"/>
        <v>0</v>
      </c>
      <c r="H72" s="26">
        <f t="shared" si="5"/>
        <v>0</v>
      </c>
      <c r="I72" s="24">
        <f t="shared" si="6"/>
        <v>0</v>
      </c>
      <c r="J72" s="24">
        <f t="shared" si="7"/>
        <v>0</v>
      </c>
      <c r="K72" s="24"/>
      <c r="L72" s="24">
        <f t="shared" si="8"/>
        <v>437.2493045</v>
      </c>
      <c r="M72" s="14">
        <f t="shared" si="9"/>
        <v>432.3655971</v>
      </c>
      <c r="N72" s="27">
        <f t="shared" si="10"/>
        <v>4.883707427</v>
      </c>
      <c r="O72" s="24"/>
      <c r="P72" s="28">
        <f t="shared" si="14"/>
        <v>-164.3750077</v>
      </c>
      <c r="Q72" s="27">
        <f t="shared" si="15"/>
        <v>397.7656605</v>
      </c>
      <c r="R72" s="26"/>
      <c r="S72" s="14">
        <f t="shared" si="13"/>
        <v>4.484689644</v>
      </c>
    </row>
    <row r="73">
      <c r="A73" s="11">
        <v>61.0</v>
      </c>
      <c r="B73" s="11">
        <v>1.41966086956521E9</v>
      </c>
      <c r="C73" s="2">
        <v>-102.4486313</v>
      </c>
      <c r="D73" s="24">
        <f t="shared" si="1"/>
        <v>-739130.4348</v>
      </c>
      <c r="E73" s="25">
        <f t="shared" si="2"/>
        <v>155.1920463</v>
      </c>
      <c r="F73" s="24">
        <f t="shared" si="3"/>
        <v>0.0002099657097</v>
      </c>
      <c r="G73" s="24">
        <f t="shared" si="4"/>
        <v>0</v>
      </c>
      <c r="H73" s="26">
        <f t="shared" si="5"/>
        <v>0</v>
      </c>
      <c r="I73" s="24">
        <f t="shared" si="6"/>
        <v>0</v>
      </c>
      <c r="J73" s="24">
        <f t="shared" si="7"/>
        <v>0</v>
      </c>
      <c r="K73" s="24"/>
      <c r="L73" s="24">
        <f t="shared" si="8"/>
        <v>432.7559397</v>
      </c>
      <c r="M73" s="14">
        <f t="shared" si="9"/>
        <v>432.2270823</v>
      </c>
      <c r="N73" s="27">
        <f t="shared" si="10"/>
        <v>0.5288573416</v>
      </c>
      <c r="O73" s="24"/>
      <c r="P73" s="28">
        <f t="shared" si="14"/>
        <v>-165.2933038</v>
      </c>
      <c r="Q73" s="27">
        <f t="shared" si="15"/>
        <v>404.2089239</v>
      </c>
      <c r="R73" s="26"/>
      <c r="S73" s="14">
        <f t="shared" si="13"/>
        <v>0.4856476515</v>
      </c>
    </row>
    <row r="74">
      <c r="A74" s="11">
        <v>62.0</v>
      </c>
      <c r="B74" s="11">
        <v>1.4196652173913E9</v>
      </c>
      <c r="C74" s="2">
        <v>-102.4236221</v>
      </c>
      <c r="D74" s="24">
        <f t="shared" si="1"/>
        <v>-734782.6087</v>
      </c>
      <c r="E74" s="25">
        <f t="shared" si="2"/>
        <v>154.2737502</v>
      </c>
      <c r="F74" s="24">
        <f t="shared" si="3"/>
        <v>0.0002099583583</v>
      </c>
      <c r="G74" s="24">
        <f t="shared" si="4"/>
        <v>0</v>
      </c>
      <c r="H74" s="26">
        <f t="shared" si="5"/>
        <v>0</v>
      </c>
      <c r="I74" s="24">
        <f t="shared" si="6"/>
        <v>0</v>
      </c>
      <c r="J74" s="24">
        <f t="shared" si="7"/>
        <v>0</v>
      </c>
      <c r="K74" s="24"/>
      <c r="L74" s="24">
        <f t="shared" si="8"/>
        <v>435.255189</v>
      </c>
      <c r="M74" s="14">
        <f t="shared" si="9"/>
        <v>432.0890992</v>
      </c>
      <c r="N74" s="27">
        <f t="shared" si="10"/>
        <v>3.166089817</v>
      </c>
      <c r="O74" s="24"/>
      <c r="P74" s="28">
        <f t="shared" si="14"/>
        <v>-166.2115999</v>
      </c>
      <c r="Q74" s="27">
        <f t="shared" si="15"/>
        <v>404.5214799</v>
      </c>
      <c r="R74" s="26"/>
      <c r="S74" s="14">
        <f t="shared" si="13"/>
        <v>2.907408028</v>
      </c>
    </row>
    <row r="75">
      <c r="A75" s="11">
        <v>63.0</v>
      </c>
      <c r="B75" s="11">
        <v>1.41966956521739E9</v>
      </c>
      <c r="C75" s="2">
        <v>-102.4379349</v>
      </c>
      <c r="D75" s="24">
        <f t="shared" si="1"/>
        <v>-730434.7826</v>
      </c>
      <c r="E75" s="25">
        <f t="shared" si="2"/>
        <v>153.3554541</v>
      </c>
      <c r="F75" s="24">
        <f t="shared" si="3"/>
        <v>0.0002099509193</v>
      </c>
      <c r="G75" s="24">
        <f t="shared" si="4"/>
        <v>0</v>
      </c>
      <c r="H75" s="26">
        <f t="shared" si="5"/>
        <v>0</v>
      </c>
      <c r="I75" s="24">
        <f t="shared" si="6"/>
        <v>0</v>
      </c>
      <c r="J75" s="24">
        <f t="shared" si="7"/>
        <v>0</v>
      </c>
      <c r="K75" s="24"/>
      <c r="L75" s="24">
        <f t="shared" si="8"/>
        <v>433.823104</v>
      </c>
      <c r="M75" s="14">
        <f t="shared" si="9"/>
        <v>431.9516455</v>
      </c>
      <c r="N75" s="27">
        <f t="shared" si="10"/>
        <v>1.871458467</v>
      </c>
      <c r="O75" s="24"/>
      <c r="P75" s="28">
        <f t="shared" si="14"/>
        <v>-167.129896</v>
      </c>
      <c r="Q75" s="27">
        <f t="shared" si="15"/>
        <v>399.4995803</v>
      </c>
      <c r="R75" s="26"/>
      <c r="S75" s="14">
        <f t="shared" si="13"/>
        <v>1.718553072</v>
      </c>
    </row>
    <row r="76">
      <c r="A76" s="11">
        <v>64.0</v>
      </c>
      <c r="B76" s="11">
        <v>1.41967391304347E9</v>
      </c>
      <c r="C76" s="2">
        <v>-102.4110107</v>
      </c>
      <c r="D76" s="24">
        <f t="shared" si="1"/>
        <v>-726086.9565</v>
      </c>
      <c r="E76" s="25">
        <f t="shared" si="2"/>
        <v>152.4371579</v>
      </c>
      <c r="F76" s="24">
        <f t="shared" si="3"/>
        <v>0.0002099433912</v>
      </c>
      <c r="G76" s="24">
        <f t="shared" si="4"/>
        <v>0</v>
      </c>
      <c r="H76" s="26">
        <f t="shared" si="5"/>
        <v>0</v>
      </c>
      <c r="I76" s="24">
        <f t="shared" si="6"/>
        <v>0</v>
      </c>
      <c r="J76" s="24">
        <f t="shared" si="7"/>
        <v>0</v>
      </c>
      <c r="K76" s="24"/>
      <c r="L76" s="24">
        <f t="shared" si="8"/>
        <v>436.5209557</v>
      </c>
      <c r="M76" s="14">
        <f t="shared" si="9"/>
        <v>431.8147191</v>
      </c>
      <c r="N76" s="27">
        <f t="shared" si="10"/>
        <v>4.706236608</v>
      </c>
      <c r="O76" s="24"/>
      <c r="P76" s="28">
        <f t="shared" si="14"/>
        <v>-168.0481922</v>
      </c>
      <c r="Q76" s="27">
        <f t="shared" si="15"/>
        <v>399.9026181</v>
      </c>
      <c r="R76" s="26"/>
      <c r="S76" s="14">
        <f t="shared" si="13"/>
        <v>4.321718877</v>
      </c>
    </row>
    <row r="77">
      <c r="A77" s="11">
        <v>65.0</v>
      </c>
      <c r="B77" s="11">
        <v>1.41967826086956E9</v>
      </c>
      <c r="C77" s="2">
        <v>-102.4957809</v>
      </c>
      <c r="D77" s="24">
        <f t="shared" si="1"/>
        <v>-721739.1304</v>
      </c>
      <c r="E77" s="25">
        <f t="shared" si="2"/>
        <v>151.5188618</v>
      </c>
      <c r="F77" s="24">
        <f t="shared" si="3"/>
        <v>0.0002099357724</v>
      </c>
      <c r="G77" s="24">
        <f t="shared" si="4"/>
        <v>0</v>
      </c>
      <c r="H77" s="26">
        <f t="shared" si="5"/>
        <v>0</v>
      </c>
      <c r="I77" s="24">
        <f t="shared" si="6"/>
        <v>0</v>
      </c>
      <c r="J77" s="24">
        <f t="shared" si="7"/>
        <v>0</v>
      </c>
      <c r="K77" s="24"/>
      <c r="L77" s="24">
        <f t="shared" si="8"/>
        <v>428.0830945</v>
      </c>
      <c r="M77" s="14">
        <f t="shared" si="9"/>
        <v>431.6783178</v>
      </c>
      <c r="N77" s="27">
        <f t="shared" si="10"/>
        <v>-3.595223316</v>
      </c>
      <c r="O77" s="24"/>
      <c r="P77" s="28">
        <f t="shared" si="14"/>
        <v>-168.9664883</v>
      </c>
      <c r="Q77" s="27">
        <f t="shared" si="15"/>
        <v>403.0241005</v>
      </c>
      <c r="R77" s="26"/>
      <c r="S77" s="14">
        <f t="shared" si="13"/>
        <v>-3.30147966</v>
      </c>
    </row>
    <row r="78">
      <c r="A78" s="11">
        <v>66.0</v>
      </c>
      <c r="B78" s="11">
        <v>1.41968260869565E9</v>
      </c>
      <c r="C78" s="2">
        <v>-102.4339523</v>
      </c>
      <c r="D78" s="24">
        <f t="shared" si="1"/>
        <v>-717391.3043</v>
      </c>
      <c r="E78" s="25">
        <f t="shared" si="2"/>
        <v>150.6005657</v>
      </c>
      <c r="F78" s="24">
        <f t="shared" si="3"/>
        <v>0.0002099280612</v>
      </c>
      <c r="G78" s="24">
        <f t="shared" si="4"/>
        <v>0</v>
      </c>
      <c r="H78" s="26">
        <f t="shared" si="5"/>
        <v>0</v>
      </c>
      <c r="I78" s="24">
        <f t="shared" si="6"/>
        <v>0</v>
      </c>
      <c r="J78" s="24">
        <f t="shared" si="7"/>
        <v>0</v>
      </c>
      <c r="K78" s="24"/>
      <c r="L78" s="24">
        <f t="shared" si="8"/>
        <v>434.2211142</v>
      </c>
      <c r="M78" s="14">
        <f t="shared" si="9"/>
        <v>431.5424394</v>
      </c>
      <c r="N78" s="27">
        <f t="shared" si="10"/>
        <v>2.678674731</v>
      </c>
      <c r="O78" s="24"/>
      <c r="P78" s="28">
        <f t="shared" si="14"/>
        <v>-169.8847844</v>
      </c>
      <c r="Q78" s="27">
        <f t="shared" si="15"/>
        <v>404.2969801</v>
      </c>
      <c r="R78" s="26"/>
      <c r="S78" s="14">
        <f t="shared" si="13"/>
        <v>2.459816646</v>
      </c>
    </row>
    <row r="79">
      <c r="A79" s="11">
        <v>67.0</v>
      </c>
      <c r="B79" s="11">
        <v>1.41968695652173E9</v>
      </c>
      <c r="C79" s="2">
        <v>-102.384903</v>
      </c>
      <c r="D79" s="24">
        <f t="shared" si="1"/>
        <v>-713043.4783</v>
      </c>
      <c r="E79" s="25">
        <f t="shared" si="2"/>
        <v>149.6822695</v>
      </c>
      <c r="F79" s="24">
        <f t="shared" si="3"/>
        <v>0.0002099202561</v>
      </c>
      <c r="G79" s="24">
        <f t="shared" si="4"/>
        <v>0</v>
      </c>
      <c r="H79" s="26">
        <f t="shared" si="5"/>
        <v>0</v>
      </c>
      <c r="I79" s="24">
        <f t="shared" si="6"/>
        <v>0</v>
      </c>
      <c r="J79" s="24">
        <f t="shared" si="7"/>
        <v>0</v>
      </c>
      <c r="K79" s="24"/>
      <c r="L79" s="24">
        <f t="shared" si="8"/>
        <v>439.1530136</v>
      </c>
      <c r="M79" s="14">
        <f t="shared" si="9"/>
        <v>431.4070818</v>
      </c>
      <c r="N79" s="27">
        <f t="shared" si="10"/>
        <v>7.745931788</v>
      </c>
      <c r="O79" s="24"/>
      <c r="P79" s="28">
        <f t="shared" si="14"/>
        <v>-170.8030806</v>
      </c>
      <c r="Q79" s="27">
        <f t="shared" si="15"/>
        <v>402.342868</v>
      </c>
      <c r="R79" s="26"/>
      <c r="S79" s="14">
        <f t="shared" si="13"/>
        <v>7.113059206</v>
      </c>
    </row>
    <row r="80">
      <c r="A80" s="11">
        <v>68.0</v>
      </c>
      <c r="B80" s="11">
        <v>1.41969130434782E9</v>
      </c>
      <c r="C80" s="2">
        <v>-102.4392853</v>
      </c>
      <c r="D80" s="24">
        <f t="shared" si="1"/>
        <v>-708695.6522</v>
      </c>
      <c r="E80" s="25">
        <f t="shared" si="2"/>
        <v>148.7639734</v>
      </c>
      <c r="F80" s="24">
        <f t="shared" si="3"/>
        <v>0.0002099123551</v>
      </c>
      <c r="G80" s="24">
        <f t="shared" si="4"/>
        <v>0</v>
      </c>
      <c r="H80" s="26">
        <f t="shared" si="5"/>
        <v>0</v>
      </c>
      <c r="I80" s="24">
        <f t="shared" si="6"/>
        <v>0</v>
      </c>
      <c r="J80" s="24">
        <f t="shared" si="7"/>
        <v>0</v>
      </c>
      <c r="K80" s="24"/>
      <c r="L80" s="24">
        <f t="shared" si="8"/>
        <v>433.6882315</v>
      </c>
      <c r="M80" s="14">
        <f t="shared" si="9"/>
        <v>431.2722428</v>
      </c>
      <c r="N80" s="27">
        <f t="shared" si="10"/>
        <v>2.415988727</v>
      </c>
      <c r="O80" s="24"/>
      <c r="P80" s="28">
        <f t="shared" si="14"/>
        <v>-171.7213767</v>
      </c>
      <c r="Q80" s="27">
        <f t="shared" si="15"/>
        <v>404.2472623</v>
      </c>
      <c r="R80" s="26"/>
      <c r="S80" s="14">
        <f t="shared" si="13"/>
        <v>2.218593105</v>
      </c>
    </row>
    <row r="81">
      <c r="A81" s="11">
        <v>69.0</v>
      </c>
      <c r="B81" s="11">
        <v>1.41969565217391E9</v>
      </c>
      <c r="C81" s="2">
        <v>-102.482254</v>
      </c>
      <c r="D81" s="24">
        <f t="shared" si="1"/>
        <v>-704347.8261</v>
      </c>
      <c r="E81" s="25">
        <f t="shared" si="2"/>
        <v>147.8456773</v>
      </c>
      <c r="F81" s="24">
        <f t="shared" si="3"/>
        <v>0.0002099043566</v>
      </c>
      <c r="G81" s="24">
        <f t="shared" si="4"/>
        <v>0</v>
      </c>
      <c r="H81" s="26">
        <f t="shared" si="5"/>
        <v>0</v>
      </c>
      <c r="I81" s="24">
        <f t="shared" si="6"/>
        <v>0</v>
      </c>
      <c r="J81" s="24">
        <f t="shared" si="7"/>
        <v>0</v>
      </c>
      <c r="K81" s="24"/>
      <c r="L81" s="24">
        <f t="shared" si="8"/>
        <v>429.4185166</v>
      </c>
      <c r="M81" s="14">
        <f t="shared" si="9"/>
        <v>431.1379202</v>
      </c>
      <c r="N81" s="27">
        <f t="shared" si="10"/>
        <v>-1.719403535</v>
      </c>
      <c r="O81" s="24"/>
      <c r="P81" s="28">
        <f t="shared" si="14"/>
        <v>-172.6396728</v>
      </c>
      <c r="Q81" s="27">
        <f t="shared" si="15"/>
        <v>400.2519232</v>
      </c>
      <c r="R81" s="26"/>
      <c r="S81" s="14">
        <f t="shared" si="13"/>
        <v>-1.578921613</v>
      </c>
    </row>
    <row r="82">
      <c r="A82" s="11">
        <v>70.0</v>
      </c>
      <c r="B82" s="11">
        <v>1.4197E9</v>
      </c>
      <c r="C82" s="2">
        <v>-102.4939423</v>
      </c>
      <c r="D82" s="24">
        <f t="shared" si="1"/>
        <v>-700000</v>
      </c>
      <c r="E82" s="25">
        <f t="shared" si="2"/>
        <v>146.9273811</v>
      </c>
      <c r="F82" s="24">
        <f t="shared" si="3"/>
        <v>0.0002098962588</v>
      </c>
      <c r="G82" s="24">
        <f t="shared" si="4"/>
        <v>0</v>
      </c>
      <c r="H82" s="26">
        <f t="shared" si="5"/>
        <v>0</v>
      </c>
      <c r="I82" s="24">
        <f t="shared" si="6"/>
        <v>0</v>
      </c>
      <c r="J82" s="24">
        <f t="shared" si="7"/>
        <v>0</v>
      </c>
      <c r="K82" s="24"/>
      <c r="L82" s="24">
        <f t="shared" si="8"/>
        <v>428.2643633</v>
      </c>
      <c r="M82" s="14">
        <f t="shared" si="9"/>
        <v>431.0041117</v>
      </c>
      <c r="N82" s="27">
        <f t="shared" si="10"/>
        <v>-2.739748487</v>
      </c>
      <c r="O82" s="24"/>
      <c r="P82" s="28">
        <f t="shared" si="14"/>
        <v>-173.557969</v>
      </c>
      <c r="Q82" s="27">
        <f t="shared" si="15"/>
        <v>398.5707532</v>
      </c>
      <c r="R82" s="26"/>
      <c r="S82" s="14">
        <f t="shared" si="13"/>
        <v>-2.515900441</v>
      </c>
    </row>
    <row r="83">
      <c r="A83" s="11">
        <v>71.0</v>
      </c>
      <c r="B83" s="11">
        <v>1.41970434782608E9</v>
      </c>
      <c r="C83" s="2">
        <v>-102.474884</v>
      </c>
      <c r="D83" s="24">
        <f t="shared" si="1"/>
        <v>-695652.1739</v>
      </c>
      <c r="E83" s="25">
        <f t="shared" si="2"/>
        <v>146.009085</v>
      </c>
      <c r="F83" s="24">
        <f t="shared" si="3"/>
        <v>0.0002098880597</v>
      </c>
      <c r="G83" s="24">
        <f t="shared" si="4"/>
        <v>0</v>
      </c>
      <c r="H83" s="26">
        <f t="shared" si="5"/>
        <v>0</v>
      </c>
      <c r="I83" s="24">
        <f t="shared" si="6"/>
        <v>0</v>
      </c>
      <c r="J83" s="24">
        <f t="shared" si="7"/>
        <v>0</v>
      </c>
      <c r="K83" s="24"/>
      <c r="L83" s="24">
        <f t="shared" si="8"/>
        <v>430.1478608</v>
      </c>
      <c r="M83" s="14">
        <f t="shared" si="9"/>
        <v>430.8708154</v>
      </c>
      <c r="N83" s="27">
        <f t="shared" si="10"/>
        <v>-0.7229546223</v>
      </c>
      <c r="O83" s="24"/>
      <c r="P83" s="28">
        <f t="shared" si="14"/>
        <v>-174.4762651</v>
      </c>
      <c r="Q83" s="27">
        <f t="shared" si="15"/>
        <v>399.2028171</v>
      </c>
      <c r="R83" s="26"/>
      <c r="S83" s="14">
        <f t="shared" si="13"/>
        <v>-0.6638864339</v>
      </c>
    </row>
    <row r="84">
      <c r="A84" s="11">
        <v>72.0</v>
      </c>
      <c r="B84" s="11">
        <v>1.41970869565217E9</v>
      </c>
      <c r="C84" s="2">
        <v>-102.4524918</v>
      </c>
      <c r="D84" s="24">
        <f t="shared" si="1"/>
        <v>-691304.3478</v>
      </c>
      <c r="E84" s="25">
        <f t="shared" si="2"/>
        <v>145.0907889</v>
      </c>
      <c r="F84" s="24">
        <f t="shared" si="3"/>
        <v>0.0002098797575</v>
      </c>
      <c r="G84" s="24">
        <f t="shared" si="4"/>
        <v>0</v>
      </c>
      <c r="H84" s="26">
        <f t="shared" si="5"/>
        <v>0</v>
      </c>
      <c r="I84" s="24">
        <f t="shared" si="6"/>
        <v>0</v>
      </c>
      <c r="J84" s="24">
        <f t="shared" si="7"/>
        <v>0</v>
      </c>
      <c r="K84" s="24"/>
      <c r="L84" s="24">
        <f t="shared" si="8"/>
        <v>432.3714282</v>
      </c>
      <c r="M84" s="14">
        <f t="shared" si="9"/>
        <v>430.7380289</v>
      </c>
      <c r="N84" s="27">
        <f t="shared" si="10"/>
        <v>1.633399336</v>
      </c>
      <c r="O84" s="24"/>
      <c r="P84" s="28">
        <f t="shared" si="14"/>
        <v>-175.3945612</v>
      </c>
      <c r="Q84" s="27">
        <f t="shared" si="15"/>
        <v>398.1802431</v>
      </c>
      <c r="R84" s="26"/>
      <c r="S84" s="14">
        <f t="shared" si="13"/>
        <v>1.49994429</v>
      </c>
    </row>
    <row r="85">
      <c r="A85" s="11">
        <v>73.0</v>
      </c>
      <c r="B85" s="11">
        <v>1.41971304347826E9</v>
      </c>
      <c r="C85" s="2">
        <v>-102.4001007</v>
      </c>
      <c r="D85" s="24">
        <f t="shared" si="1"/>
        <v>-686956.5217</v>
      </c>
      <c r="E85" s="25">
        <f t="shared" si="2"/>
        <v>144.1724927</v>
      </c>
      <c r="F85" s="24">
        <f t="shared" si="3"/>
        <v>0.0002098713502</v>
      </c>
      <c r="G85" s="24">
        <f t="shared" si="4"/>
        <v>0</v>
      </c>
      <c r="H85" s="26">
        <f t="shared" si="5"/>
        <v>0</v>
      </c>
      <c r="I85" s="24">
        <f t="shared" si="6"/>
        <v>0</v>
      </c>
      <c r="J85" s="24">
        <f t="shared" si="7"/>
        <v>0</v>
      </c>
      <c r="K85" s="24"/>
      <c r="L85" s="24">
        <f t="shared" si="8"/>
        <v>437.6189274</v>
      </c>
      <c r="M85" s="14">
        <f t="shared" si="9"/>
        <v>430.6057501</v>
      </c>
      <c r="N85" s="27">
        <f t="shared" si="10"/>
        <v>7.013177333</v>
      </c>
      <c r="O85" s="24"/>
      <c r="P85" s="28">
        <f t="shared" si="14"/>
        <v>-176.3128574</v>
      </c>
      <c r="Q85" s="27">
        <f t="shared" si="15"/>
        <v>399.9496926</v>
      </c>
      <c r="R85" s="26"/>
      <c r="S85" s="14">
        <f t="shared" si="13"/>
        <v>6.440173623</v>
      </c>
    </row>
    <row r="86">
      <c r="A86" s="11">
        <v>74.0</v>
      </c>
      <c r="B86" s="11">
        <v>1.41971739130434E9</v>
      </c>
      <c r="C86" s="2">
        <v>-102.4512558</v>
      </c>
      <c r="D86" s="24">
        <f t="shared" si="1"/>
        <v>-682608.6957</v>
      </c>
      <c r="E86" s="25">
        <f t="shared" si="2"/>
        <v>143.2541966</v>
      </c>
      <c r="F86" s="24">
        <f t="shared" si="3"/>
        <v>0.0002098628358</v>
      </c>
      <c r="G86" s="24">
        <f t="shared" si="4"/>
        <v>0</v>
      </c>
      <c r="H86" s="26">
        <f t="shared" si="5"/>
        <v>0</v>
      </c>
      <c r="I86" s="24">
        <f t="shared" si="6"/>
        <v>0</v>
      </c>
      <c r="J86" s="24">
        <f t="shared" si="7"/>
        <v>0</v>
      </c>
      <c r="K86" s="24"/>
      <c r="L86" s="24">
        <f t="shared" si="8"/>
        <v>432.4944984</v>
      </c>
      <c r="M86" s="14">
        <f t="shared" si="9"/>
        <v>430.4739768</v>
      </c>
      <c r="N86" s="27">
        <f t="shared" si="10"/>
        <v>2.020521609</v>
      </c>
      <c r="O86" s="24"/>
      <c r="P86" s="28">
        <f t="shared" si="14"/>
        <v>-177.2311535</v>
      </c>
      <c r="Q86" s="27">
        <f t="shared" si="15"/>
        <v>400.1907604</v>
      </c>
      <c r="R86" s="26"/>
      <c r="S86" s="14">
        <f t="shared" si="13"/>
        <v>1.85543718</v>
      </c>
    </row>
    <row r="87">
      <c r="A87" s="11">
        <v>75.0</v>
      </c>
      <c r="B87" s="11">
        <v>1.41972173913043E9</v>
      </c>
      <c r="C87" s="2">
        <v>-102.4421692</v>
      </c>
      <c r="D87" s="24">
        <f t="shared" si="1"/>
        <v>-678260.8696</v>
      </c>
      <c r="E87" s="25">
        <f t="shared" si="2"/>
        <v>142.3359005</v>
      </c>
      <c r="F87" s="24">
        <f t="shared" si="3"/>
        <v>0.0002098542122</v>
      </c>
      <c r="G87" s="24">
        <f t="shared" si="4"/>
        <v>0</v>
      </c>
      <c r="H87" s="26">
        <f t="shared" si="5"/>
        <v>0</v>
      </c>
      <c r="I87" s="24">
        <f t="shared" si="6"/>
        <v>0</v>
      </c>
      <c r="J87" s="24">
        <f t="shared" si="7"/>
        <v>0</v>
      </c>
      <c r="K87" s="24"/>
      <c r="L87" s="24">
        <f t="shared" si="8"/>
        <v>433.4003397</v>
      </c>
      <c r="M87" s="14">
        <f t="shared" si="9"/>
        <v>430.3427069</v>
      </c>
      <c r="N87" s="27">
        <f t="shared" si="10"/>
        <v>3.057632788</v>
      </c>
      <c r="O87" s="24"/>
      <c r="P87" s="28">
        <f t="shared" si="14"/>
        <v>-178.1494496</v>
      </c>
      <c r="Q87" s="27">
        <f t="shared" si="15"/>
        <v>400.3989108</v>
      </c>
      <c r="R87" s="26"/>
      <c r="S87" s="14">
        <f t="shared" si="13"/>
        <v>2.807812358</v>
      </c>
    </row>
    <row r="88">
      <c r="A88" s="11">
        <v>76.0</v>
      </c>
      <c r="B88" s="11">
        <v>1.41972608695652E9</v>
      </c>
      <c r="C88" s="2">
        <v>-102.5379105</v>
      </c>
      <c r="D88" s="24">
        <f t="shared" si="1"/>
        <v>-673913.0435</v>
      </c>
      <c r="E88" s="25">
        <f t="shared" si="2"/>
        <v>141.4176044</v>
      </c>
      <c r="F88" s="24">
        <f t="shared" si="3"/>
        <v>0.0002098454774</v>
      </c>
      <c r="G88" s="24">
        <f t="shared" si="4"/>
        <v>0</v>
      </c>
      <c r="H88" s="26">
        <f t="shared" si="5"/>
        <v>0</v>
      </c>
      <c r="I88" s="24">
        <f t="shared" si="6"/>
        <v>0</v>
      </c>
      <c r="J88" s="24">
        <f t="shared" si="7"/>
        <v>0</v>
      </c>
      <c r="K88" s="24"/>
      <c r="L88" s="24">
        <f t="shared" si="8"/>
        <v>423.9504664</v>
      </c>
      <c r="M88" s="14">
        <f t="shared" si="9"/>
        <v>430.2119382</v>
      </c>
      <c r="N88" s="27">
        <f t="shared" si="10"/>
        <v>-6.261471755</v>
      </c>
      <c r="O88" s="24"/>
      <c r="P88" s="28">
        <f t="shared" si="14"/>
        <v>-179.0677458</v>
      </c>
      <c r="Q88" s="27">
        <f t="shared" si="15"/>
        <v>399.3115363</v>
      </c>
      <c r="R88" s="26"/>
      <c r="S88" s="14">
        <f t="shared" si="13"/>
        <v>-5.749885298</v>
      </c>
    </row>
    <row r="89">
      <c r="A89" s="11">
        <v>77.0</v>
      </c>
      <c r="B89" s="11">
        <v>1.4197304347826E9</v>
      </c>
      <c r="C89" s="2">
        <v>-102.4473801</v>
      </c>
      <c r="D89" s="24">
        <f t="shared" si="1"/>
        <v>-669565.2174</v>
      </c>
      <c r="E89" s="25">
        <f t="shared" si="2"/>
        <v>140.4993082</v>
      </c>
      <c r="F89" s="24">
        <f t="shared" si="3"/>
        <v>0.0002098366292</v>
      </c>
      <c r="G89" s="24">
        <f t="shared" si="4"/>
        <v>0</v>
      </c>
      <c r="H89" s="26">
        <f t="shared" si="5"/>
        <v>0</v>
      </c>
      <c r="I89" s="24">
        <f t="shared" si="6"/>
        <v>0</v>
      </c>
      <c r="J89" s="24">
        <f t="shared" si="7"/>
        <v>0</v>
      </c>
      <c r="K89" s="24"/>
      <c r="L89" s="24">
        <f t="shared" si="8"/>
        <v>432.8806344</v>
      </c>
      <c r="M89" s="14">
        <f t="shared" si="9"/>
        <v>430.0816684</v>
      </c>
      <c r="N89" s="27">
        <f t="shared" si="10"/>
        <v>2.798965988</v>
      </c>
      <c r="O89" s="24"/>
      <c r="P89" s="28">
        <f t="shared" si="14"/>
        <v>-179.9860419</v>
      </c>
      <c r="Q89" s="27">
        <f t="shared" si="15"/>
        <v>395.5525489</v>
      </c>
      <c r="R89" s="26"/>
      <c r="S89" s="14">
        <f t="shared" si="13"/>
        <v>2.570279643</v>
      </c>
    </row>
    <row r="90">
      <c r="A90" s="11">
        <v>78.0</v>
      </c>
      <c r="B90" s="11">
        <v>1.41973478260869E9</v>
      </c>
      <c r="C90" s="2">
        <v>-102.4819031</v>
      </c>
      <c r="D90" s="24">
        <f t="shared" si="1"/>
        <v>-665217.3913</v>
      </c>
      <c r="E90" s="25">
        <f t="shared" si="2"/>
        <v>139.5810121</v>
      </c>
      <c r="F90" s="24">
        <f t="shared" si="3"/>
        <v>0.0002098276652</v>
      </c>
      <c r="G90" s="24">
        <f t="shared" si="4"/>
        <v>0</v>
      </c>
      <c r="H90" s="26">
        <f t="shared" si="5"/>
        <v>0</v>
      </c>
      <c r="I90" s="24">
        <f t="shared" si="6"/>
        <v>0</v>
      </c>
      <c r="J90" s="24">
        <f t="shared" si="7"/>
        <v>0</v>
      </c>
      <c r="K90" s="24"/>
      <c r="L90" s="24">
        <f t="shared" si="8"/>
        <v>429.4532141</v>
      </c>
      <c r="M90" s="14">
        <f t="shared" si="9"/>
        <v>429.9518955</v>
      </c>
      <c r="N90" s="27">
        <f t="shared" si="10"/>
        <v>-0.498681396</v>
      </c>
      <c r="O90" s="24"/>
      <c r="P90" s="28">
        <f t="shared" si="14"/>
        <v>-180.904338</v>
      </c>
      <c r="Q90" s="27">
        <f t="shared" si="15"/>
        <v>399.3409966</v>
      </c>
      <c r="R90" s="26"/>
      <c r="S90" s="14">
        <f t="shared" si="13"/>
        <v>-0.4579371974</v>
      </c>
    </row>
    <row r="91">
      <c r="A91" s="11">
        <v>79.0</v>
      </c>
      <c r="B91" s="11">
        <v>1.41973913043478E9</v>
      </c>
      <c r="C91" s="2">
        <v>-102.430069</v>
      </c>
      <c r="D91" s="24">
        <f t="shared" si="1"/>
        <v>-660869.5652</v>
      </c>
      <c r="E91" s="25">
        <f t="shared" si="2"/>
        <v>138.662716</v>
      </c>
      <c r="F91" s="24">
        <f t="shared" si="3"/>
        <v>0.0002098185833</v>
      </c>
      <c r="G91" s="24">
        <f t="shared" si="4"/>
        <v>0</v>
      </c>
      <c r="H91" s="26">
        <f t="shared" si="5"/>
        <v>0</v>
      </c>
      <c r="I91" s="24">
        <f t="shared" si="6"/>
        <v>0</v>
      </c>
      <c r="J91" s="24">
        <f t="shared" si="7"/>
        <v>0</v>
      </c>
      <c r="K91" s="24"/>
      <c r="L91" s="24">
        <f t="shared" si="8"/>
        <v>434.6095522</v>
      </c>
      <c r="M91" s="14">
        <f t="shared" si="9"/>
        <v>429.8226172</v>
      </c>
      <c r="N91" s="27">
        <f t="shared" si="10"/>
        <v>4.786935059</v>
      </c>
      <c r="O91" s="24"/>
      <c r="P91" s="28">
        <f t="shared" si="14"/>
        <v>-181.8226342</v>
      </c>
      <c r="Q91" s="27">
        <f t="shared" si="15"/>
        <v>403.2358509</v>
      </c>
      <c r="R91" s="26"/>
      <c r="S91" s="14">
        <f t="shared" si="13"/>
        <v>4.395823943</v>
      </c>
    </row>
    <row r="92">
      <c r="A92" s="11">
        <v>80.0</v>
      </c>
      <c r="B92" s="11">
        <v>1.41974347826087E9</v>
      </c>
      <c r="C92" s="2">
        <v>-102.4459076</v>
      </c>
      <c r="D92" s="24">
        <f t="shared" si="1"/>
        <v>-656521.7391</v>
      </c>
      <c r="E92" s="25">
        <f t="shared" si="2"/>
        <v>137.7444198</v>
      </c>
      <c r="F92" s="24">
        <f t="shared" si="3"/>
        <v>0.0002098093812</v>
      </c>
      <c r="G92" s="24">
        <f t="shared" si="4"/>
        <v>0</v>
      </c>
      <c r="H92" s="26">
        <f t="shared" si="5"/>
        <v>0</v>
      </c>
      <c r="I92" s="24">
        <f t="shared" si="6"/>
        <v>0</v>
      </c>
      <c r="J92" s="24">
        <f t="shared" si="7"/>
        <v>0</v>
      </c>
      <c r="K92" s="24"/>
      <c r="L92" s="24">
        <f t="shared" si="8"/>
        <v>433.0274299</v>
      </c>
      <c r="M92" s="14">
        <f t="shared" si="9"/>
        <v>429.6938313</v>
      </c>
      <c r="N92" s="27">
        <f t="shared" si="10"/>
        <v>3.333598569</v>
      </c>
      <c r="O92" s="24"/>
      <c r="P92" s="28">
        <f t="shared" si="14"/>
        <v>-182.7409303</v>
      </c>
      <c r="Q92" s="27">
        <f t="shared" si="15"/>
        <v>397.6978813</v>
      </c>
      <c r="R92" s="26"/>
      <c r="S92" s="14">
        <f t="shared" si="13"/>
        <v>3.061230674</v>
      </c>
    </row>
    <row r="93">
      <c r="A93" s="11">
        <v>81.0</v>
      </c>
      <c r="B93" s="11">
        <v>1.41974782608695E9</v>
      </c>
      <c r="C93" s="2">
        <v>-102.4677963</v>
      </c>
      <c r="D93" s="24">
        <f t="shared" si="1"/>
        <v>-652173.913</v>
      </c>
      <c r="E93" s="25">
        <f t="shared" si="2"/>
        <v>136.8261237</v>
      </c>
      <c r="F93" s="24">
        <f t="shared" si="3"/>
        <v>0.0002098000563</v>
      </c>
      <c r="G93" s="24">
        <f t="shared" si="4"/>
        <v>0</v>
      </c>
      <c r="H93" s="26">
        <f t="shared" si="5"/>
        <v>0</v>
      </c>
      <c r="I93" s="24">
        <f t="shared" si="6"/>
        <v>0</v>
      </c>
      <c r="J93" s="24">
        <f t="shared" si="7"/>
        <v>0</v>
      </c>
      <c r="K93" s="24"/>
      <c r="L93" s="24">
        <f t="shared" si="8"/>
        <v>430.8504366</v>
      </c>
      <c r="M93" s="14">
        <f t="shared" si="9"/>
        <v>429.5655358</v>
      </c>
      <c r="N93" s="27">
        <f t="shared" si="10"/>
        <v>1.284900822</v>
      </c>
      <c r="O93" s="24"/>
      <c r="P93" s="28">
        <f t="shared" si="14"/>
        <v>-183.6592264</v>
      </c>
      <c r="Q93" s="27">
        <f t="shared" si="15"/>
        <v>396.8826989</v>
      </c>
      <c r="R93" s="26"/>
      <c r="S93" s="14">
        <f t="shared" si="13"/>
        <v>1.179919456</v>
      </c>
    </row>
    <row r="94">
      <c r="A94" s="11">
        <v>82.0</v>
      </c>
      <c r="B94" s="11">
        <v>1.41975217391304E9</v>
      </c>
      <c r="C94" s="2">
        <v>-102.396698</v>
      </c>
      <c r="D94" s="24">
        <f t="shared" si="1"/>
        <v>-647826.087</v>
      </c>
      <c r="E94" s="25">
        <f t="shared" si="2"/>
        <v>135.9078276</v>
      </c>
      <c r="F94" s="24">
        <f t="shared" si="3"/>
        <v>0.0002097906063</v>
      </c>
      <c r="G94" s="24">
        <f t="shared" si="4"/>
        <v>0</v>
      </c>
      <c r="H94" s="26">
        <f t="shared" si="5"/>
        <v>0</v>
      </c>
      <c r="I94" s="24">
        <f t="shared" si="6"/>
        <v>0</v>
      </c>
      <c r="J94" s="24">
        <f t="shared" si="7"/>
        <v>0</v>
      </c>
      <c r="K94" s="24"/>
      <c r="L94" s="24">
        <f t="shared" si="8"/>
        <v>437.9619365</v>
      </c>
      <c r="M94" s="14">
        <f t="shared" si="9"/>
        <v>429.4377284</v>
      </c>
      <c r="N94" s="27">
        <f t="shared" si="10"/>
        <v>8.524208134</v>
      </c>
      <c r="O94" s="24"/>
      <c r="P94" s="28">
        <f t="shared" si="14"/>
        <v>-184.5775226</v>
      </c>
      <c r="Q94" s="27">
        <f t="shared" si="15"/>
        <v>397.0828473</v>
      </c>
      <c r="R94" s="26"/>
      <c r="S94" s="14">
        <f t="shared" si="13"/>
        <v>7.827747347</v>
      </c>
    </row>
    <row r="95">
      <c r="A95" s="11">
        <v>83.0</v>
      </c>
      <c r="B95" s="11">
        <v>1.41975652173913E9</v>
      </c>
      <c r="C95" s="2">
        <v>-102.4470139</v>
      </c>
      <c r="D95" s="24">
        <f t="shared" si="1"/>
        <v>-643478.2609</v>
      </c>
      <c r="E95" s="25">
        <f t="shared" si="2"/>
        <v>134.9895314</v>
      </c>
      <c r="F95" s="24">
        <f t="shared" si="3"/>
        <v>0.0002097810286</v>
      </c>
      <c r="G95" s="24">
        <f t="shared" si="4"/>
        <v>0</v>
      </c>
      <c r="H95" s="26">
        <f t="shared" si="5"/>
        <v>0</v>
      </c>
      <c r="I95" s="24">
        <f t="shared" si="6"/>
        <v>0</v>
      </c>
      <c r="J95" s="24">
        <f t="shared" si="7"/>
        <v>0</v>
      </c>
      <c r="K95" s="24"/>
      <c r="L95" s="24">
        <f t="shared" si="8"/>
        <v>432.9171367</v>
      </c>
      <c r="M95" s="14">
        <f t="shared" si="9"/>
        <v>429.3104069</v>
      </c>
      <c r="N95" s="27">
        <f t="shared" si="10"/>
        <v>3.606729829</v>
      </c>
      <c r="O95" s="24"/>
      <c r="P95" s="28">
        <f t="shared" si="14"/>
        <v>-185.4958187</v>
      </c>
      <c r="Q95" s="27">
        <f t="shared" si="15"/>
        <v>397.8774789</v>
      </c>
      <c r="R95" s="26"/>
      <c r="S95" s="14">
        <f t="shared" si="13"/>
        <v>3.312046054</v>
      </c>
    </row>
    <row r="96">
      <c r="A96" s="11">
        <v>84.0</v>
      </c>
      <c r="B96" s="11">
        <v>1.41976086956521E9</v>
      </c>
      <c r="C96" s="2">
        <v>-102.3974304</v>
      </c>
      <c r="D96" s="24">
        <f t="shared" si="1"/>
        <v>-639130.4348</v>
      </c>
      <c r="E96" s="25">
        <f t="shared" si="2"/>
        <v>134.0712353</v>
      </c>
      <c r="F96" s="24">
        <f t="shared" si="3"/>
        <v>0.0002097713205</v>
      </c>
      <c r="G96" s="24">
        <f t="shared" si="4"/>
        <v>0</v>
      </c>
      <c r="H96" s="26">
        <f t="shared" si="5"/>
        <v>0</v>
      </c>
      <c r="I96" s="24">
        <f t="shared" si="6"/>
        <v>0</v>
      </c>
      <c r="J96" s="24">
        <f t="shared" si="7"/>
        <v>0</v>
      </c>
      <c r="K96" s="24"/>
      <c r="L96" s="24">
        <f t="shared" si="8"/>
        <v>437.8880842</v>
      </c>
      <c r="M96" s="14">
        <f t="shared" si="9"/>
        <v>429.1835692</v>
      </c>
      <c r="N96" s="27">
        <f t="shared" si="10"/>
        <v>8.704515083</v>
      </c>
      <c r="O96" s="24"/>
      <c r="P96" s="28">
        <f t="shared" si="14"/>
        <v>-186.4141148</v>
      </c>
      <c r="Q96" s="27">
        <f t="shared" si="15"/>
        <v>398.1816458</v>
      </c>
      <c r="R96" s="26"/>
      <c r="S96" s="14">
        <f t="shared" si="13"/>
        <v>7.993322539</v>
      </c>
    </row>
    <row r="97">
      <c r="A97" s="11">
        <v>85.0</v>
      </c>
      <c r="B97" s="11">
        <v>1.4197652173913E9</v>
      </c>
      <c r="C97" s="2">
        <v>-102.4949799</v>
      </c>
      <c r="D97" s="24">
        <f t="shared" si="1"/>
        <v>-634782.6087</v>
      </c>
      <c r="E97" s="25">
        <f t="shared" si="2"/>
        <v>133.1529392</v>
      </c>
      <c r="F97" s="24">
        <f t="shared" si="3"/>
        <v>0.0002097614795</v>
      </c>
      <c r="G97" s="24">
        <f t="shared" si="4"/>
        <v>0</v>
      </c>
      <c r="H97" s="26">
        <f t="shared" si="5"/>
        <v>0</v>
      </c>
      <c r="I97" s="24">
        <f t="shared" si="6"/>
        <v>0</v>
      </c>
      <c r="J97" s="24">
        <f t="shared" si="7"/>
        <v>0</v>
      </c>
      <c r="K97" s="24"/>
      <c r="L97" s="24">
        <f t="shared" si="8"/>
        <v>428.1620562</v>
      </c>
      <c r="M97" s="14">
        <f t="shared" si="9"/>
        <v>429.057213</v>
      </c>
      <c r="N97" s="27">
        <f t="shared" si="10"/>
        <v>-0.8951568484</v>
      </c>
      <c r="O97" s="24"/>
      <c r="P97" s="28">
        <f t="shared" si="14"/>
        <v>-187.332411</v>
      </c>
      <c r="Q97" s="27">
        <f t="shared" si="15"/>
        <v>396.927325</v>
      </c>
      <c r="R97" s="26"/>
      <c r="S97" s="14">
        <f t="shared" si="13"/>
        <v>-0.8220190702</v>
      </c>
    </row>
    <row r="98">
      <c r="A98" s="11">
        <v>86.0</v>
      </c>
      <c r="B98" s="11">
        <v>1.41976956521739E9</v>
      </c>
      <c r="C98" s="2">
        <v>-102.4670258</v>
      </c>
      <c r="D98" s="24">
        <f t="shared" si="1"/>
        <v>-630434.7826</v>
      </c>
      <c r="E98" s="25">
        <f t="shared" si="2"/>
        <v>132.234643</v>
      </c>
      <c r="F98" s="24">
        <f t="shared" si="3"/>
        <v>0.0002097515027</v>
      </c>
      <c r="G98" s="24">
        <f t="shared" si="4"/>
        <v>0</v>
      </c>
      <c r="H98" s="26">
        <f t="shared" si="5"/>
        <v>0</v>
      </c>
      <c r="I98" s="24">
        <f t="shared" si="6"/>
        <v>0</v>
      </c>
      <c r="J98" s="24">
        <f t="shared" si="7"/>
        <v>0</v>
      </c>
      <c r="K98" s="24"/>
      <c r="L98" s="24">
        <f t="shared" si="8"/>
        <v>430.9268824</v>
      </c>
      <c r="M98" s="14">
        <f t="shared" si="9"/>
        <v>428.9313363</v>
      </c>
      <c r="N98" s="27">
        <f t="shared" si="10"/>
        <v>1.995546066</v>
      </c>
      <c r="O98" s="24"/>
      <c r="P98" s="28">
        <f t="shared" si="14"/>
        <v>-188.2507071</v>
      </c>
      <c r="Q98" s="27">
        <f t="shared" si="15"/>
        <v>398.601563</v>
      </c>
      <c r="R98" s="26"/>
      <c r="S98" s="14">
        <f t="shared" si="13"/>
        <v>1.832502235</v>
      </c>
    </row>
    <row r="99">
      <c r="A99" s="11">
        <v>87.0</v>
      </c>
      <c r="B99" s="11">
        <v>1.41977391304347E9</v>
      </c>
      <c r="C99" s="2">
        <v>-102.4645462</v>
      </c>
      <c r="D99" s="24">
        <f t="shared" si="1"/>
        <v>-626086.9565</v>
      </c>
      <c r="E99" s="25">
        <f t="shared" si="2"/>
        <v>131.3163469</v>
      </c>
      <c r="F99" s="24">
        <f t="shared" si="3"/>
        <v>0.0002097413874</v>
      </c>
      <c r="G99" s="24">
        <f t="shared" si="4"/>
        <v>0</v>
      </c>
      <c r="H99" s="26">
        <f t="shared" si="5"/>
        <v>0</v>
      </c>
      <c r="I99" s="24">
        <f t="shared" si="6"/>
        <v>0</v>
      </c>
      <c r="J99" s="24">
        <f t="shared" si="7"/>
        <v>0</v>
      </c>
      <c r="K99" s="24"/>
      <c r="L99" s="24">
        <f t="shared" si="8"/>
        <v>431.1729899</v>
      </c>
      <c r="M99" s="14">
        <f t="shared" si="9"/>
        <v>428.8059368</v>
      </c>
      <c r="N99" s="27">
        <f t="shared" si="10"/>
        <v>2.367053075</v>
      </c>
      <c r="O99" s="24"/>
      <c r="P99" s="28">
        <f t="shared" si="14"/>
        <v>-189.1690032</v>
      </c>
      <c r="Q99" s="27">
        <f t="shared" si="15"/>
        <v>397.6105666</v>
      </c>
      <c r="R99" s="26"/>
      <c r="S99" s="14">
        <f t="shared" si="13"/>
        <v>2.173655684</v>
      </c>
    </row>
    <row r="100">
      <c r="A100" s="11">
        <v>88.0</v>
      </c>
      <c r="B100" s="11">
        <v>1.41977826086956E9</v>
      </c>
      <c r="C100" s="2">
        <v>-102.473999</v>
      </c>
      <c r="D100" s="24">
        <f t="shared" si="1"/>
        <v>-621739.1304</v>
      </c>
      <c r="E100" s="25">
        <f t="shared" si="2"/>
        <v>130.3980508</v>
      </c>
      <c r="F100" s="24">
        <f t="shared" si="3"/>
        <v>0.0002097311306</v>
      </c>
      <c r="G100" s="24">
        <f t="shared" si="4"/>
        <v>0</v>
      </c>
      <c r="H100" s="26">
        <f t="shared" si="5"/>
        <v>0</v>
      </c>
      <c r="I100" s="24">
        <f t="shared" si="6"/>
        <v>0</v>
      </c>
      <c r="J100" s="24">
        <f t="shared" si="7"/>
        <v>0</v>
      </c>
      <c r="K100" s="24"/>
      <c r="L100" s="24">
        <f t="shared" si="8"/>
        <v>430.2355247</v>
      </c>
      <c r="M100" s="14">
        <f t="shared" si="9"/>
        <v>428.6810124</v>
      </c>
      <c r="N100" s="27">
        <f t="shared" si="10"/>
        <v>1.554512308</v>
      </c>
      <c r="O100" s="24"/>
      <c r="P100" s="28">
        <f t="shared" si="14"/>
        <v>-190.0872994</v>
      </c>
      <c r="Q100" s="27">
        <f t="shared" si="15"/>
        <v>395.4094345</v>
      </c>
      <c r="R100" s="26"/>
      <c r="S100" s="14">
        <f t="shared" si="13"/>
        <v>1.427502638</v>
      </c>
    </row>
    <row r="101">
      <c r="A101" s="11">
        <v>89.0</v>
      </c>
      <c r="B101" s="11">
        <v>1.41978260869565E9</v>
      </c>
      <c r="C101" s="2">
        <v>-102.4337234</v>
      </c>
      <c r="D101" s="24">
        <f t="shared" si="1"/>
        <v>-617391.3043</v>
      </c>
      <c r="E101" s="25">
        <f t="shared" si="2"/>
        <v>129.4797546</v>
      </c>
      <c r="F101" s="24">
        <f t="shared" si="3"/>
        <v>0.0002097207293</v>
      </c>
      <c r="G101" s="24">
        <f t="shared" si="4"/>
        <v>0</v>
      </c>
      <c r="H101" s="26">
        <f t="shared" si="5"/>
        <v>0</v>
      </c>
      <c r="I101" s="24">
        <f t="shared" si="6"/>
        <v>0</v>
      </c>
      <c r="J101" s="24">
        <f t="shared" si="7"/>
        <v>0</v>
      </c>
      <c r="K101" s="24"/>
      <c r="L101" s="24">
        <f t="shared" si="8"/>
        <v>434.2440009</v>
      </c>
      <c r="M101" s="14">
        <f t="shared" si="9"/>
        <v>428.5565608</v>
      </c>
      <c r="N101" s="27">
        <f t="shared" si="10"/>
        <v>5.687440067</v>
      </c>
      <c r="O101" s="24"/>
      <c r="P101" s="28">
        <f t="shared" si="14"/>
        <v>-191.0055955</v>
      </c>
      <c r="Q101" s="27">
        <f t="shared" si="15"/>
        <v>396.9349932</v>
      </c>
      <c r="R101" s="26"/>
      <c r="S101" s="14">
        <f t="shared" si="13"/>
        <v>5.222754219</v>
      </c>
    </row>
    <row r="102">
      <c r="A102" s="11">
        <v>90.0</v>
      </c>
      <c r="B102" s="11">
        <v>1.41978695652173E9</v>
      </c>
      <c r="C102" s="2">
        <v>-102.4444275</v>
      </c>
      <c r="D102" s="24">
        <f t="shared" si="1"/>
        <v>-613043.4783</v>
      </c>
      <c r="E102" s="25">
        <f t="shared" si="2"/>
        <v>128.5614585</v>
      </c>
      <c r="F102" s="24">
        <f t="shared" si="3"/>
        <v>0.0002097101805</v>
      </c>
      <c r="G102" s="24">
        <f t="shared" si="4"/>
        <v>0</v>
      </c>
      <c r="H102" s="26">
        <f t="shared" si="5"/>
        <v>0</v>
      </c>
      <c r="I102" s="24">
        <f t="shared" si="6"/>
        <v>0</v>
      </c>
      <c r="J102" s="24">
        <f t="shared" si="7"/>
        <v>0</v>
      </c>
      <c r="K102" s="24"/>
      <c r="L102" s="24">
        <f t="shared" si="8"/>
        <v>433.1750332</v>
      </c>
      <c r="M102" s="14">
        <f t="shared" si="9"/>
        <v>428.43258</v>
      </c>
      <c r="N102" s="27">
        <f t="shared" si="10"/>
        <v>4.742453208</v>
      </c>
      <c r="O102" s="24"/>
      <c r="P102" s="28">
        <f t="shared" si="14"/>
        <v>-191.9238916</v>
      </c>
      <c r="Q102" s="27">
        <f t="shared" si="15"/>
        <v>394.6301362</v>
      </c>
      <c r="R102" s="26"/>
      <c r="S102" s="14">
        <f t="shared" si="13"/>
        <v>4.354976441</v>
      </c>
    </row>
    <row r="103">
      <c r="A103" s="11">
        <v>91.0</v>
      </c>
      <c r="B103" s="11">
        <v>1.41979130434782E9</v>
      </c>
      <c r="C103" s="2">
        <v>-102.4988098</v>
      </c>
      <c r="D103" s="24">
        <f t="shared" si="1"/>
        <v>-608695.6522</v>
      </c>
      <c r="E103" s="25">
        <f t="shared" si="2"/>
        <v>127.6431624</v>
      </c>
      <c r="F103" s="24">
        <f t="shared" si="3"/>
        <v>0.000209699481</v>
      </c>
      <c r="G103" s="24">
        <f t="shared" si="4"/>
        <v>0</v>
      </c>
      <c r="H103" s="26">
        <f t="shared" si="5"/>
        <v>0</v>
      </c>
      <c r="I103" s="24">
        <f t="shared" si="6"/>
        <v>0</v>
      </c>
      <c r="J103" s="24">
        <f t="shared" si="7"/>
        <v>0</v>
      </c>
      <c r="K103" s="24"/>
      <c r="L103" s="24">
        <f t="shared" si="8"/>
        <v>427.7846406</v>
      </c>
      <c r="M103" s="14">
        <f t="shared" si="9"/>
        <v>428.3090677</v>
      </c>
      <c r="N103" s="27">
        <f t="shared" si="10"/>
        <v>-0.5244271225</v>
      </c>
      <c r="O103" s="24"/>
      <c r="P103" s="28">
        <f t="shared" si="14"/>
        <v>-192.8421877</v>
      </c>
      <c r="Q103" s="27">
        <f t="shared" si="15"/>
        <v>392.8924989</v>
      </c>
      <c r="R103" s="26"/>
      <c r="S103" s="14">
        <f t="shared" si="13"/>
        <v>-0.4815793985</v>
      </c>
    </row>
    <row r="104">
      <c r="A104" s="11">
        <v>92.0</v>
      </c>
      <c r="B104" s="11">
        <v>1.41979565217391E9</v>
      </c>
      <c r="C104" s="2">
        <v>-102.5258408</v>
      </c>
      <c r="D104" s="24">
        <f t="shared" si="1"/>
        <v>-604347.8261</v>
      </c>
      <c r="E104" s="25">
        <f t="shared" si="2"/>
        <v>126.7248662</v>
      </c>
      <c r="F104" s="24">
        <f t="shared" si="3"/>
        <v>0.0002096886276</v>
      </c>
      <c r="G104" s="24">
        <f t="shared" si="4"/>
        <v>0</v>
      </c>
      <c r="H104" s="26">
        <f t="shared" si="5"/>
        <v>0</v>
      </c>
      <c r="I104" s="24">
        <f t="shared" si="6"/>
        <v>0</v>
      </c>
      <c r="J104" s="24">
        <f t="shared" si="7"/>
        <v>0</v>
      </c>
      <c r="K104" s="24"/>
      <c r="L104" s="24">
        <f t="shared" si="8"/>
        <v>425.1303276</v>
      </c>
      <c r="M104" s="14">
        <f t="shared" si="9"/>
        <v>428.1860218</v>
      </c>
      <c r="N104" s="27">
        <f t="shared" si="10"/>
        <v>-3.055694214</v>
      </c>
      <c r="O104" s="24"/>
      <c r="P104" s="28">
        <f t="shared" si="14"/>
        <v>-193.7604839</v>
      </c>
      <c r="Q104" s="27">
        <f t="shared" si="15"/>
        <v>399.6568098</v>
      </c>
      <c r="R104" s="26"/>
      <c r="S104" s="14">
        <f t="shared" si="13"/>
        <v>-2.806032174</v>
      </c>
    </row>
    <row r="105">
      <c r="A105" s="11">
        <v>93.0</v>
      </c>
      <c r="B105" s="11">
        <v>1.4198E9</v>
      </c>
      <c r="C105" s="2">
        <v>-102.5050049</v>
      </c>
      <c r="D105" s="24">
        <f t="shared" si="1"/>
        <v>-600000</v>
      </c>
      <c r="E105" s="25">
        <f t="shared" si="2"/>
        <v>125.8065701</v>
      </c>
      <c r="F105" s="24">
        <f t="shared" si="3"/>
        <v>0.0002096776168</v>
      </c>
      <c r="G105" s="24">
        <f t="shared" si="4"/>
        <v>0</v>
      </c>
      <c r="H105" s="26">
        <f t="shared" si="5"/>
        <v>0</v>
      </c>
      <c r="I105" s="24">
        <f t="shared" si="6"/>
        <v>0</v>
      </c>
      <c r="J105" s="24">
        <f t="shared" si="7"/>
        <v>0</v>
      </c>
      <c r="K105" s="24"/>
      <c r="L105" s="24">
        <f t="shared" si="8"/>
        <v>427.1748517</v>
      </c>
      <c r="M105" s="14">
        <f t="shared" si="9"/>
        <v>428.06344</v>
      </c>
      <c r="N105" s="27">
        <f t="shared" si="10"/>
        <v>-0.8885882705</v>
      </c>
      <c r="O105" s="24"/>
      <c r="P105" s="28">
        <f t="shared" si="14"/>
        <v>-194.67878</v>
      </c>
      <c r="Q105" s="27">
        <f t="shared" si="15"/>
        <v>395.6484579</v>
      </c>
      <c r="R105" s="26"/>
      <c r="S105" s="14">
        <f t="shared" si="13"/>
        <v>-0.8159871724</v>
      </c>
    </row>
    <row r="106">
      <c r="A106" s="11">
        <v>94.0</v>
      </c>
      <c r="B106" s="11">
        <v>1.41980434782608E9</v>
      </c>
      <c r="C106" s="2">
        <v>-102.5037384</v>
      </c>
      <c r="D106" s="24">
        <f t="shared" si="1"/>
        <v>-595652.1739</v>
      </c>
      <c r="E106" s="25">
        <f t="shared" si="2"/>
        <v>124.888274</v>
      </c>
      <c r="F106" s="24">
        <f t="shared" si="3"/>
        <v>0.0002096664454</v>
      </c>
      <c r="G106" s="24">
        <f t="shared" si="4"/>
        <v>0</v>
      </c>
      <c r="H106" s="26">
        <f t="shared" si="5"/>
        <v>0</v>
      </c>
      <c r="I106" s="24">
        <f t="shared" si="6"/>
        <v>0</v>
      </c>
      <c r="J106" s="24">
        <f t="shared" si="7"/>
        <v>0</v>
      </c>
      <c r="K106" s="24"/>
      <c r="L106" s="24">
        <f t="shared" si="8"/>
        <v>427.2994437</v>
      </c>
      <c r="M106" s="14">
        <f t="shared" si="9"/>
        <v>427.9413203</v>
      </c>
      <c r="N106" s="27">
        <f t="shared" si="10"/>
        <v>-0.6418765931</v>
      </c>
      <c r="O106" s="24"/>
      <c r="P106" s="28">
        <f t="shared" si="14"/>
        <v>-195.5970761</v>
      </c>
      <c r="Q106" s="27">
        <f t="shared" si="15"/>
        <v>395.5143338</v>
      </c>
      <c r="R106" s="26"/>
      <c r="S106" s="14">
        <f t="shared" si="13"/>
        <v>-0.5894327932</v>
      </c>
    </row>
    <row r="107">
      <c r="A107" s="11">
        <v>95.0</v>
      </c>
      <c r="B107" s="11">
        <v>1.41980869565217E9</v>
      </c>
      <c r="C107" s="2">
        <v>-102.4846802</v>
      </c>
      <c r="D107" s="24">
        <f t="shared" si="1"/>
        <v>-591304.3478</v>
      </c>
      <c r="E107" s="25">
        <f t="shared" si="2"/>
        <v>123.9699778</v>
      </c>
      <c r="F107" s="24">
        <f t="shared" si="3"/>
        <v>0.0002096551096</v>
      </c>
      <c r="G107" s="24">
        <f t="shared" si="4"/>
        <v>0</v>
      </c>
      <c r="H107" s="26">
        <f t="shared" si="5"/>
        <v>0</v>
      </c>
      <c r="I107" s="24">
        <f t="shared" si="6"/>
        <v>0</v>
      </c>
      <c r="J107" s="24">
        <f t="shared" si="7"/>
        <v>0</v>
      </c>
      <c r="K107" s="24"/>
      <c r="L107" s="24">
        <f t="shared" si="8"/>
        <v>429.1786876</v>
      </c>
      <c r="M107" s="14">
        <f t="shared" si="9"/>
        <v>427.8196603</v>
      </c>
      <c r="N107" s="27">
        <f t="shared" si="10"/>
        <v>1.359027256</v>
      </c>
      <c r="O107" s="24"/>
      <c r="P107" s="28">
        <f t="shared" si="14"/>
        <v>-196.5153723</v>
      </c>
      <c r="Q107" s="27">
        <f t="shared" si="15"/>
        <v>399.0927307</v>
      </c>
      <c r="R107" s="26"/>
      <c r="S107" s="14">
        <f t="shared" si="13"/>
        <v>1.247989471</v>
      </c>
    </row>
    <row r="108">
      <c r="A108" s="11">
        <v>96.0</v>
      </c>
      <c r="B108" s="11">
        <v>1.41981304347826E9</v>
      </c>
      <c r="C108" s="2">
        <v>-102.487236</v>
      </c>
      <c r="D108" s="24">
        <f t="shared" si="1"/>
        <v>-586956.5217</v>
      </c>
      <c r="E108" s="25">
        <f t="shared" si="2"/>
        <v>123.0516817</v>
      </c>
      <c r="F108" s="24">
        <f t="shared" si="3"/>
        <v>0.0002096436059</v>
      </c>
      <c r="G108" s="24">
        <f t="shared" si="4"/>
        <v>0</v>
      </c>
      <c r="H108" s="26">
        <f t="shared" si="5"/>
        <v>0</v>
      </c>
      <c r="I108" s="24">
        <f t="shared" si="6"/>
        <v>0</v>
      </c>
      <c r="J108" s="24">
        <f t="shared" si="7"/>
        <v>0</v>
      </c>
      <c r="K108" s="24"/>
      <c r="L108" s="24">
        <f t="shared" si="8"/>
        <v>428.9261925</v>
      </c>
      <c r="M108" s="14">
        <f t="shared" si="9"/>
        <v>427.6984581</v>
      </c>
      <c r="N108" s="27">
        <f t="shared" si="10"/>
        <v>1.227734449</v>
      </c>
      <c r="O108" s="24"/>
      <c r="P108" s="28">
        <f t="shared" si="14"/>
        <v>-197.4336684</v>
      </c>
      <c r="Q108" s="27">
        <f t="shared" si="15"/>
        <v>398.0620428</v>
      </c>
      <c r="R108" s="26"/>
      <c r="S108" s="14">
        <f t="shared" si="13"/>
        <v>1.127423796</v>
      </c>
    </row>
    <row r="109">
      <c r="A109" s="11">
        <v>97.0</v>
      </c>
      <c r="B109" s="11">
        <v>1.41981739130434E9</v>
      </c>
      <c r="C109" s="2">
        <v>-102.4245224</v>
      </c>
      <c r="D109" s="24">
        <f t="shared" si="1"/>
        <v>-582608.6957</v>
      </c>
      <c r="E109" s="25">
        <f t="shared" si="2"/>
        <v>122.1333856</v>
      </c>
      <c r="F109" s="24">
        <f t="shared" si="3"/>
        <v>0.0002096319305</v>
      </c>
      <c r="G109" s="24">
        <f t="shared" si="4"/>
        <v>0</v>
      </c>
      <c r="H109" s="26">
        <f t="shared" si="5"/>
        <v>0</v>
      </c>
      <c r="I109" s="24">
        <f t="shared" si="6"/>
        <v>0</v>
      </c>
      <c r="J109" s="24">
        <f t="shared" si="7"/>
        <v>0</v>
      </c>
      <c r="K109" s="24"/>
      <c r="L109" s="24">
        <f t="shared" si="8"/>
        <v>435.1649692</v>
      </c>
      <c r="M109" s="14">
        <f t="shared" si="9"/>
        <v>427.5777113</v>
      </c>
      <c r="N109" s="27">
        <f t="shared" si="10"/>
        <v>7.587257936</v>
      </c>
      <c r="O109" s="24"/>
      <c r="P109" s="28">
        <f t="shared" si="14"/>
        <v>-198.3519645</v>
      </c>
      <c r="Q109" s="27">
        <f t="shared" si="15"/>
        <v>394.2164724</v>
      </c>
      <c r="R109" s="26"/>
      <c r="S109" s="14">
        <f t="shared" si="13"/>
        <v>6.967349621</v>
      </c>
    </row>
    <row r="110">
      <c r="A110" s="11">
        <v>98.0</v>
      </c>
      <c r="B110" s="11">
        <v>1.41982173913043E9</v>
      </c>
      <c r="C110" s="2">
        <v>-102.4443207</v>
      </c>
      <c r="D110" s="24">
        <f t="shared" si="1"/>
        <v>-578260.8696</v>
      </c>
      <c r="E110" s="25">
        <f t="shared" si="2"/>
        <v>121.2150894</v>
      </c>
      <c r="F110" s="24">
        <f t="shared" si="3"/>
        <v>0.0002096200795</v>
      </c>
      <c r="G110" s="24">
        <f t="shared" si="4"/>
        <v>0</v>
      </c>
      <c r="H110" s="26">
        <f t="shared" si="5"/>
        <v>0</v>
      </c>
      <c r="I110" s="24">
        <f t="shared" si="6"/>
        <v>0</v>
      </c>
      <c r="J110" s="24">
        <f t="shared" si="7"/>
        <v>0</v>
      </c>
      <c r="K110" s="24"/>
      <c r="L110" s="24">
        <f t="shared" si="8"/>
        <v>433.1856858</v>
      </c>
      <c r="M110" s="14">
        <f t="shared" si="9"/>
        <v>427.4574178</v>
      </c>
      <c r="N110" s="27">
        <f t="shared" si="10"/>
        <v>5.728268048</v>
      </c>
      <c r="O110" s="24"/>
      <c r="P110" s="28">
        <f t="shared" si="14"/>
        <v>-199.2702607</v>
      </c>
      <c r="Q110" s="27">
        <f t="shared" si="15"/>
        <v>397.9264041</v>
      </c>
      <c r="R110" s="26"/>
      <c r="S110" s="14">
        <f t="shared" si="13"/>
        <v>5.260246384</v>
      </c>
    </row>
    <row r="111">
      <c r="A111" s="11">
        <v>99.0</v>
      </c>
      <c r="B111" s="11">
        <v>1.41982608695652E9</v>
      </c>
      <c r="C111" s="2">
        <v>-102.4374237</v>
      </c>
      <c r="D111" s="24">
        <f t="shared" si="1"/>
        <v>-573913.0435</v>
      </c>
      <c r="E111" s="25">
        <f t="shared" si="2"/>
        <v>120.2967933</v>
      </c>
      <c r="F111" s="24">
        <f t="shared" si="3"/>
        <v>0.000209608049</v>
      </c>
      <c r="G111" s="24">
        <f t="shared" si="4"/>
        <v>0</v>
      </c>
      <c r="H111" s="26">
        <f t="shared" si="5"/>
        <v>0</v>
      </c>
      <c r="I111" s="24">
        <f t="shared" si="6"/>
        <v>0</v>
      </c>
      <c r="J111" s="24">
        <f t="shared" si="7"/>
        <v>0</v>
      </c>
      <c r="K111" s="24"/>
      <c r="L111" s="24">
        <f t="shared" si="8"/>
        <v>433.8741715</v>
      </c>
      <c r="M111" s="14">
        <f t="shared" si="9"/>
        <v>427.3375754</v>
      </c>
      <c r="N111" s="27">
        <f t="shared" si="10"/>
        <v>6.536596087</v>
      </c>
      <c r="O111" s="24"/>
      <c r="P111" s="28">
        <f t="shared" si="14"/>
        <v>-200.1885568</v>
      </c>
      <c r="Q111" s="27">
        <f t="shared" si="15"/>
        <v>394.9533277</v>
      </c>
      <c r="R111" s="26"/>
      <c r="S111" s="14">
        <f t="shared" si="13"/>
        <v>6.002530908</v>
      </c>
    </row>
    <row r="112">
      <c r="A112" s="11">
        <v>100.0</v>
      </c>
      <c r="B112" s="11">
        <v>1.4198304347826E9</v>
      </c>
      <c r="C112" s="2">
        <v>-102.4374237</v>
      </c>
      <c r="D112" s="24">
        <f t="shared" si="1"/>
        <v>-569565.2174</v>
      </c>
      <c r="E112" s="25">
        <f t="shared" si="2"/>
        <v>119.3784972</v>
      </c>
      <c r="F112" s="24">
        <f t="shared" si="3"/>
        <v>0.0002095958347</v>
      </c>
      <c r="G112" s="24">
        <f t="shared" si="4"/>
        <v>0</v>
      </c>
      <c r="H112" s="26">
        <f t="shared" si="5"/>
        <v>0</v>
      </c>
      <c r="I112" s="24">
        <f t="shared" si="6"/>
        <v>0</v>
      </c>
      <c r="J112" s="24">
        <f t="shared" si="7"/>
        <v>0</v>
      </c>
      <c r="K112" s="24"/>
      <c r="L112" s="24">
        <f t="shared" si="8"/>
        <v>433.8741715</v>
      </c>
      <c r="M112" s="14">
        <f t="shared" si="9"/>
        <v>427.218182</v>
      </c>
      <c r="N112" s="27">
        <f t="shared" si="10"/>
        <v>6.655989501</v>
      </c>
      <c r="O112" s="24"/>
      <c r="P112" s="28">
        <f t="shared" si="14"/>
        <v>-201.1068529</v>
      </c>
      <c r="Q112" s="27">
        <f t="shared" si="15"/>
        <v>401.4342353</v>
      </c>
      <c r="R112" s="26"/>
      <c r="S112" s="14">
        <f t="shared" si="13"/>
        <v>6.112169419</v>
      </c>
      <c r="U112" s="21"/>
      <c r="V112" s="21"/>
    </row>
    <row r="113">
      <c r="A113" s="11">
        <v>101.0</v>
      </c>
      <c r="B113" s="11">
        <v>1.41983478260869E9</v>
      </c>
      <c r="C113" s="2">
        <v>-102.4825211</v>
      </c>
      <c r="D113" s="24">
        <f t="shared" si="1"/>
        <v>-565217.3913</v>
      </c>
      <c r="E113" s="25">
        <f t="shared" si="2"/>
        <v>118.460201</v>
      </c>
      <c r="F113" s="24">
        <f t="shared" si="3"/>
        <v>0.0002095834326</v>
      </c>
      <c r="G113" s="24">
        <f t="shared" si="4"/>
        <v>0</v>
      </c>
      <c r="H113" s="26">
        <f t="shared" si="5"/>
        <v>0</v>
      </c>
      <c r="I113" s="24">
        <f t="shared" si="6"/>
        <v>0</v>
      </c>
      <c r="J113" s="24">
        <f t="shared" si="7"/>
        <v>0</v>
      </c>
      <c r="K113" s="24"/>
      <c r="L113" s="24">
        <f t="shared" si="8"/>
        <v>429.3921073</v>
      </c>
      <c r="M113" s="14">
        <f t="shared" si="9"/>
        <v>427.0992354</v>
      </c>
      <c r="N113" s="27">
        <f t="shared" si="10"/>
        <v>2.292871956</v>
      </c>
      <c r="O113" s="24"/>
      <c r="P113" s="28">
        <f t="shared" si="14"/>
        <v>-202.0251491</v>
      </c>
      <c r="Q113" s="27">
        <f t="shared" si="15"/>
        <v>396.9405685</v>
      </c>
      <c r="R113" s="26"/>
      <c r="S113" s="14">
        <f t="shared" si="13"/>
        <v>2.105535451</v>
      </c>
      <c r="U113" s="21"/>
      <c r="V113" s="21"/>
    </row>
    <row r="114">
      <c r="A114" s="11">
        <v>102.0</v>
      </c>
      <c r="B114" s="11">
        <v>1.41983913043478E9</v>
      </c>
      <c r="C114" s="2">
        <v>-102.4434814</v>
      </c>
      <c r="D114" s="24">
        <f t="shared" si="1"/>
        <v>-560869.5652</v>
      </c>
      <c r="E114" s="25">
        <f t="shared" si="2"/>
        <v>117.5419049</v>
      </c>
      <c r="F114" s="24">
        <f t="shared" si="3"/>
        <v>0.0002095708382</v>
      </c>
      <c r="G114" s="24">
        <f t="shared" si="4"/>
        <v>0</v>
      </c>
      <c r="H114" s="26">
        <f t="shared" si="5"/>
        <v>0</v>
      </c>
      <c r="I114" s="24">
        <f t="shared" si="6"/>
        <v>0</v>
      </c>
      <c r="J114" s="24">
        <f t="shared" si="7"/>
        <v>0</v>
      </c>
      <c r="K114" s="24"/>
      <c r="L114" s="24">
        <f t="shared" si="8"/>
        <v>433.2694096</v>
      </c>
      <c r="M114" s="14">
        <f t="shared" si="9"/>
        <v>426.9807333</v>
      </c>
      <c r="N114" s="27">
        <f t="shared" si="10"/>
        <v>6.288676317</v>
      </c>
      <c r="O114" s="24"/>
      <c r="P114" s="28">
        <f t="shared" si="14"/>
        <v>-202.9434452</v>
      </c>
      <c r="Q114" s="27">
        <f t="shared" si="15"/>
        <v>397.5470063</v>
      </c>
      <c r="R114" s="26"/>
      <c r="S114" s="14">
        <f t="shared" si="13"/>
        <v>5.774867129</v>
      </c>
      <c r="U114" s="21"/>
      <c r="V114" s="21"/>
    </row>
    <row r="115">
      <c r="A115" s="11">
        <v>103.0</v>
      </c>
      <c r="B115" s="11">
        <v>1.41984347826087E9</v>
      </c>
      <c r="C115" s="2">
        <v>-102.4936905</v>
      </c>
      <c r="D115" s="24">
        <f t="shared" si="1"/>
        <v>-556521.7391</v>
      </c>
      <c r="E115" s="25">
        <f t="shared" si="2"/>
        <v>116.6236088</v>
      </c>
      <c r="F115" s="24">
        <f t="shared" si="3"/>
        <v>0.000209558047</v>
      </c>
      <c r="G115" s="24">
        <f t="shared" si="4"/>
        <v>0</v>
      </c>
      <c r="H115" s="26">
        <f t="shared" si="5"/>
        <v>0</v>
      </c>
      <c r="I115" s="24">
        <f t="shared" si="6"/>
        <v>0</v>
      </c>
      <c r="J115" s="24">
        <f t="shared" si="7"/>
        <v>0</v>
      </c>
      <c r="K115" s="24"/>
      <c r="L115" s="24">
        <f t="shared" si="8"/>
        <v>428.2891944</v>
      </c>
      <c r="M115" s="14">
        <f t="shared" si="9"/>
        <v>426.8626737</v>
      </c>
      <c r="N115" s="27">
        <f t="shared" si="10"/>
        <v>1.426520656</v>
      </c>
      <c r="O115" s="24"/>
      <c r="P115" s="28">
        <f t="shared" si="14"/>
        <v>-203.8617413</v>
      </c>
      <c r="Q115" s="27">
        <f t="shared" si="15"/>
        <v>397.5169736</v>
      </c>
      <c r="R115" s="26"/>
      <c r="S115" s="14">
        <f t="shared" si="13"/>
        <v>1.309968402</v>
      </c>
      <c r="U115" s="21"/>
      <c r="V115" s="21"/>
    </row>
    <row r="116">
      <c r="A116" s="11">
        <v>104.0</v>
      </c>
      <c r="B116" s="11">
        <v>1.41984782608695E9</v>
      </c>
      <c r="C116" s="2">
        <v>-102.4755936</v>
      </c>
      <c r="D116" s="24">
        <f t="shared" si="1"/>
        <v>-552173.913</v>
      </c>
      <c r="E116" s="25">
        <f t="shared" si="2"/>
        <v>115.7053126</v>
      </c>
      <c r="F116" s="24">
        <f t="shared" si="3"/>
        <v>0.0002095450544</v>
      </c>
      <c r="G116" s="24">
        <f t="shared" si="4"/>
        <v>0</v>
      </c>
      <c r="H116" s="26">
        <f t="shared" si="5"/>
        <v>0</v>
      </c>
      <c r="I116" s="24">
        <f t="shared" si="6"/>
        <v>0</v>
      </c>
      <c r="J116" s="24">
        <f t="shared" si="7"/>
        <v>0</v>
      </c>
      <c r="K116" s="24"/>
      <c r="L116" s="24">
        <f t="shared" si="8"/>
        <v>430.077584</v>
      </c>
      <c r="M116" s="14">
        <f t="shared" si="9"/>
        <v>426.7450543</v>
      </c>
      <c r="N116" s="27">
        <f t="shared" si="10"/>
        <v>3.332529694</v>
      </c>
      <c r="O116" s="24"/>
      <c r="P116" s="28">
        <f t="shared" si="14"/>
        <v>-204.7800375</v>
      </c>
      <c r="Q116" s="27">
        <f t="shared" si="15"/>
        <v>398.5945602</v>
      </c>
      <c r="R116" s="26"/>
      <c r="S116" s="14">
        <f t="shared" si="13"/>
        <v>3.06024913</v>
      </c>
      <c r="U116" s="21"/>
      <c r="V116" s="21"/>
    </row>
    <row r="117">
      <c r="A117" s="11">
        <v>105.0</v>
      </c>
      <c r="B117" s="11">
        <v>1.41985217391304E9</v>
      </c>
      <c r="C117" s="2">
        <v>-102.4583588</v>
      </c>
      <c r="D117" s="24">
        <f t="shared" si="1"/>
        <v>-547826.087</v>
      </c>
      <c r="E117" s="25">
        <f t="shared" si="2"/>
        <v>114.7870165</v>
      </c>
      <c r="F117" s="24">
        <f t="shared" si="3"/>
        <v>0.0002095318555</v>
      </c>
      <c r="G117" s="24">
        <f t="shared" si="4"/>
        <v>0</v>
      </c>
      <c r="H117" s="26">
        <f t="shared" si="5"/>
        <v>0</v>
      </c>
      <c r="I117" s="24">
        <f t="shared" si="6"/>
        <v>0</v>
      </c>
      <c r="J117" s="24">
        <f t="shared" si="7"/>
        <v>0</v>
      </c>
      <c r="K117" s="24"/>
      <c r="L117" s="24">
        <f t="shared" si="8"/>
        <v>431.7877205</v>
      </c>
      <c r="M117" s="14">
        <f t="shared" si="9"/>
        <v>426.627873</v>
      </c>
      <c r="N117" s="27">
        <f t="shared" si="10"/>
        <v>5.159847465</v>
      </c>
      <c r="O117" s="24"/>
      <c r="P117" s="28">
        <f t="shared" si="14"/>
        <v>-205.6983336</v>
      </c>
      <c r="Q117" s="27">
        <f t="shared" si="15"/>
        <v>399.2947016</v>
      </c>
      <c r="R117" s="26"/>
      <c r="S117" s="14">
        <f t="shared" si="13"/>
        <v>4.738267962</v>
      </c>
      <c r="U117" s="21"/>
      <c r="V117" s="21"/>
    </row>
    <row r="118">
      <c r="A118" s="11">
        <v>106.0</v>
      </c>
      <c r="B118" s="11">
        <v>1.41985652173913E9</v>
      </c>
      <c r="C118" s="2">
        <v>-102.518158</v>
      </c>
      <c r="D118" s="24">
        <f t="shared" si="1"/>
        <v>-543478.2609</v>
      </c>
      <c r="E118" s="25">
        <f t="shared" si="2"/>
        <v>113.8687204</v>
      </c>
      <c r="F118" s="24">
        <f t="shared" si="3"/>
        <v>0.0002095184455</v>
      </c>
      <c r="G118" s="24">
        <f t="shared" si="4"/>
        <v>0</v>
      </c>
      <c r="H118" s="26">
        <f t="shared" si="5"/>
        <v>0</v>
      </c>
      <c r="I118" s="24">
        <f t="shared" si="6"/>
        <v>0</v>
      </c>
      <c r="J118" s="24">
        <f t="shared" si="7"/>
        <v>0</v>
      </c>
      <c r="K118" s="24"/>
      <c r="L118" s="24">
        <f t="shared" si="8"/>
        <v>425.8830615</v>
      </c>
      <c r="M118" s="14">
        <f t="shared" si="9"/>
        <v>426.5111276</v>
      </c>
      <c r="N118" s="27">
        <f t="shared" si="10"/>
        <v>-0.6280661196</v>
      </c>
      <c r="O118" s="24"/>
      <c r="P118" s="28">
        <f t="shared" si="14"/>
        <v>-206.6166297</v>
      </c>
      <c r="Q118" s="27">
        <f t="shared" si="15"/>
        <v>395.3684475</v>
      </c>
      <c r="R118" s="26"/>
      <c r="S118" s="14">
        <f t="shared" si="13"/>
        <v>-0.5767506887</v>
      </c>
      <c r="U118" s="21"/>
      <c r="V118" s="21"/>
    </row>
    <row r="119">
      <c r="A119" s="11">
        <v>107.0</v>
      </c>
      <c r="B119" s="11">
        <v>1.41986086956521E9</v>
      </c>
      <c r="C119" s="2">
        <v>-102.466507</v>
      </c>
      <c r="D119" s="24">
        <f t="shared" si="1"/>
        <v>-539130.4348</v>
      </c>
      <c r="E119" s="25">
        <f t="shared" si="2"/>
        <v>112.9504243</v>
      </c>
      <c r="F119" s="24">
        <f t="shared" si="3"/>
        <v>0.0002095048192</v>
      </c>
      <c r="G119" s="24">
        <f t="shared" si="4"/>
        <v>0</v>
      </c>
      <c r="H119" s="26">
        <f t="shared" si="5"/>
        <v>0</v>
      </c>
      <c r="I119" s="24">
        <f t="shared" si="6"/>
        <v>0</v>
      </c>
      <c r="J119" s="24">
        <f t="shared" si="7"/>
        <v>0</v>
      </c>
      <c r="K119" s="24"/>
      <c r="L119" s="24">
        <f t="shared" si="8"/>
        <v>430.9783632</v>
      </c>
      <c r="M119" s="14">
        <f t="shared" si="9"/>
        <v>426.3948159</v>
      </c>
      <c r="N119" s="27">
        <f t="shared" si="10"/>
        <v>4.583547212</v>
      </c>
      <c r="O119" s="24"/>
      <c r="P119" s="28">
        <f t="shared" si="14"/>
        <v>-207.5349259</v>
      </c>
      <c r="Q119" s="27">
        <f t="shared" si="15"/>
        <v>400.1415475</v>
      </c>
      <c r="R119" s="26"/>
      <c r="S119" s="14">
        <f t="shared" si="13"/>
        <v>4.209053679</v>
      </c>
      <c r="U119" s="21"/>
      <c r="V119" s="21"/>
    </row>
    <row r="120">
      <c r="A120" s="11">
        <v>108.0</v>
      </c>
      <c r="B120" s="11">
        <v>1.4198652173913E9</v>
      </c>
      <c r="C120" s="2">
        <v>-102.5106964</v>
      </c>
      <c r="D120" s="24">
        <f t="shared" si="1"/>
        <v>-534782.6087</v>
      </c>
      <c r="E120" s="25">
        <f t="shared" si="2"/>
        <v>112.0321281</v>
      </c>
      <c r="F120" s="24">
        <f t="shared" si="3"/>
        <v>0.0002094909713</v>
      </c>
      <c r="G120" s="24">
        <f t="shared" si="4"/>
        <v>0</v>
      </c>
      <c r="H120" s="26">
        <f t="shared" si="5"/>
        <v>0</v>
      </c>
      <c r="I120" s="24">
        <f t="shared" si="6"/>
        <v>0</v>
      </c>
      <c r="J120" s="24">
        <f t="shared" si="7"/>
        <v>0</v>
      </c>
      <c r="K120" s="24"/>
      <c r="L120" s="24">
        <f t="shared" si="8"/>
        <v>426.6153988</v>
      </c>
      <c r="M120" s="14">
        <f t="shared" si="9"/>
        <v>426.2789358</v>
      </c>
      <c r="N120" s="27">
        <f t="shared" si="10"/>
        <v>0.3364630033</v>
      </c>
      <c r="O120" s="24"/>
      <c r="P120" s="28">
        <f t="shared" si="14"/>
        <v>-208.453222</v>
      </c>
      <c r="Q120" s="27">
        <f t="shared" si="15"/>
        <v>398.4965422</v>
      </c>
      <c r="R120" s="26"/>
      <c r="S120" s="14">
        <f t="shared" si="13"/>
        <v>0.308972674</v>
      </c>
      <c r="U120" s="21"/>
      <c r="V120" s="21"/>
    </row>
    <row r="121">
      <c r="A121" s="11">
        <v>109.0</v>
      </c>
      <c r="B121" s="11">
        <v>1.41986956521739E9</v>
      </c>
      <c r="C121" s="2">
        <v>-102.4655762</v>
      </c>
      <c r="D121" s="24">
        <f t="shared" si="1"/>
        <v>-530434.7826</v>
      </c>
      <c r="E121" s="25">
        <f t="shared" si="2"/>
        <v>111.113832</v>
      </c>
      <c r="F121" s="24">
        <f t="shared" si="3"/>
        <v>0.0002094768964</v>
      </c>
      <c r="G121" s="24">
        <f t="shared" si="4"/>
        <v>0</v>
      </c>
      <c r="H121" s="26">
        <f t="shared" si="5"/>
        <v>0</v>
      </c>
      <c r="I121" s="24">
        <f t="shared" si="6"/>
        <v>0</v>
      </c>
      <c r="J121" s="24">
        <f t="shared" si="7"/>
        <v>0</v>
      </c>
      <c r="K121" s="24"/>
      <c r="L121" s="24">
        <f t="shared" si="8"/>
        <v>431.0707423</v>
      </c>
      <c r="M121" s="14">
        <f t="shared" si="9"/>
        <v>426.163485</v>
      </c>
      <c r="N121" s="27">
        <f t="shared" si="10"/>
        <v>4.907257298</v>
      </c>
      <c r="O121" s="24"/>
      <c r="P121" s="28">
        <f t="shared" si="14"/>
        <v>-209.3715181</v>
      </c>
      <c r="Q121" s="27">
        <f t="shared" si="15"/>
        <v>398.3859534</v>
      </c>
      <c r="R121" s="26"/>
      <c r="S121" s="14">
        <f t="shared" si="13"/>
        <v>4.5063154</v>
      </c>
      <c r="U121" s="21"/>
      <c r="V121" s="21"/>
    </row>
    <row r="122">
      <c r="A122" s="11">
        <v>110.0</v>
      </c>
      <c r="B122" s="11">
        <v>1.41987391304347E9</v>
      </c>
      <c r="C122" s="2">
        <v>-102.41465</v>
      </c>
      <c r="D122" s="24">
        <f t="shared" si="1"/>
        <v>-526086.9565</v>
      </c>
      <c r="E122" s="25">
        <f t="shared" si="2"/>
        <v>110.1955359</v>
      </c>
      <c r="F122" s="24">
        <f t="shared" si="3"/>
        <v>0.0002094625888</v>
      </c>
      <c r="G122" s="24">
        <f t="shared" si="4"/>
        <v>0</v>
      </c>
      <c r="H122" s="26">
        <f t="shared" si="5"/>
        <v>0</v>
      </c>
      <c r="I122" s="24">
        <f t="shared" si="6"/>
        <v>0</v>
      </c>
      <c r="J122" s="24">
        <f t="shared" si="7"/>
        <v>0</v>
      </c>
      <c r="K122" s="24"/>
      <c r="L122" s="24">
        <f t="shared" si="8"/>
        <v>436.1553132</v>
      </c>
      <c r="M122" s="14">
        <f t="shared" si="9"/>
        <v>426.0484614</v>
      </c>
      <c r="N122" s="27">
        <f t="shared" si="10"/>
        <v>10.10685176</v>
      </c>
      <c r="O122" s="24"/>
      <c r="P122" s="28">
        <f t="shared" si="14"/>
        <v>-210.2898143</v>
      </c>
      <c r="Q122" s="27">
        <f t="shared" si="15"/>
        <v>398.9427228</v>
      </c>
      <c r="R122" s="26"/>
      <c r="S122" s="14">
        <f t="shared" si="13"/>
        <v>9.281082882</v>
      </c>
      <c r="U122" s="21"/>
      <c r="V122" s="21"/>
    </row>
    <row r="123">
      <c r="A123" s="11">
        <v>111.0</v>
      </c>
      <c r="B123" s="11">
        <v>1.41987826086956E9</v>
      </c>
      <c r="C123" s="2">
        <v>-102.425148</v>
      </c>
      <c r="D123" s="24">
        <f t="shared" si="1"/>
        <v>-521739.1304</v>
      </c>
      <c r="E123" s="25">
        <f t="shared" si="2"/>
        <v>109.2772397</v>
      </c>
      <c r="F123" s="24">
        <f t="shared" si="3"/>
        <v>0.0002094480428</v>
      </c>
      <c r="G123" s="24">
        <f t="shared" si="4"/>
        <v>0</v>
      </c>
      <c r="H123" s="26">
        <f t="shared" si="5"/>
        <v>0</v>
      </c>
      <c r="I123" s="24">
        <f t="shared" si="6"/>
        <v>0</v>
      </c>
      <c r="J123" s="24">
        <f t="shared" si="7"/>
        <v>0</v>
      </c>
      <c r="K123" s="24"/>
      <c r="L123" s="24">
        <f t="shared" si="8"/>
        <v>435.1022883</v>
      </c>
      <c r="M123" s="14">
        <f t="shared" si="9"/>
        <v>425.9338629</v>
      </c>
      <c r="N123" s="27">
        <f t="shared" si="10"/>
        <v>9.168425444</v>
      </c>
      <c r="O123" s="24"/>
      <c r="P123" s="28">
        <f t="shared" si="14"/>
        <v>-211.2081104</v>
      </c>
      <c r="Q123" s="27">
        <f t="shared" si="15"/>
        <v>397.5002145</v>
      </c>
      <c r="R123" s="26"/>
      <c r="S123" s="14">
        <f t="shared" si="13"/>
        <v>8.41932961</v>
      </c>
      <c r="U123" s="21"/>
      <c r="V123" s="21"/>
    </row>
    <row r="124">
      <c r="A124" s="11">
        <v>112.0</v>
      </c>
      <c r="B124" s="11">
        <v>1.41988260869565E9</v>
      </c>
      <c r="C124" s="2">
        <v>-102.46492</v>
      </c>
      <c r="D124" s="24">
        <f t="shared" si="1"/>
        <v>-517391.3043</v>
      </c>
      <c r="E124" s="25">
        <f t="shared" si="2"/>
        <v>108.3589436</v>
      </c>
      <c r="F124" s="24">
        <f t="shared" si="3"/>
        <v>0.0002094332523</v>
      </c>
      <c r="G124" s="24">
        <f t="shared" si="4"/>
        <v>0</v>
      </c>
      <c r="H124" s="26">
        <f t="shared" si="5"/>
        <v>0</v>
      </c>
      <c r="I124" s="24">
        <f t="shared" si="6"/>
        <v>0</v>
      </c>
      <c r="J124" s="24">
        <f t="shared" si="7"/>
        <v>0</v>
      </c>
      <c r="K124" s="24"/>
      <c r="L124" s="24">
        <f t="shared" si="8"/>
        <v>431.1358802</v>
      </c>
      <c r="M124" s="14">
        <f t="shared" si="9"/>
        <v>425.8196872</v>
      </c>
      <c r="N124" s="27">
        <f t="shared" si="10"/>
        <v>5.316192993</v>
      </c>
      <c r="O124" s="24"/>
      <c r="P124" s="28"/>
      <c r="Q124" s="27"/>
      <c r="R124" s="26"/>
      <c r="S124" s="14">
        <f t="shared" si="13"/>
        <v>4.881839467</v>
      </c>
      <c r="U124" s="21"/>
      <c r="V124" s="21"/>
    </row>
    <row r="125">
      <c r="A125" s="11">
        <v>113.0</v>
      </c>
      <c r="B125" s="11">
        <v>1.41988695652173E9</v>
      </c>
      <c r="C125" s="2">
        <v>-102.4829178</v>
      </c>
      <c r="D125" s="24">
        <f t="shared" si="1"/>
        <v>-513043.4783</v>
      </c>
      <c r="E125" s="25">
        <f t="shared" si="2"/>
        <v>107.4406475</v>
      </c>
      <c r="F125" s="24">
        <f t="shared" si="3"/>
        <v>0.0002094182111</v>
      </c>
      <c r="G125" s="24">
        <f t="shared" si="4"/>
        <v>0</v>
      </c>
      <c r="H125" s="26">
        <f t="shared" si="5"/>
        <v>0</v>
      </c>
      <c r="I125" s="24">
        <f t="shared" si="6"/>
        <v>0</v>
      </c>
      <c r="J125" s="24">
        <f t="shared" si="7"/>
        <v>0</v>
      </c>
      <c r="K125" s="24"/>
      <c r="L125" s="24">
        <f t="shared" si="8"/>
        <v>429.3528869</v>
      </c>
      <c r="M125" s="14">
        <f t="shared" si="9"/>
        <v>425.7059321</v>
      </c>
      <c r="N125" s="27">
        <f t="shared" si="10"/>
        <v>3.646954805</v>
      </c>
      <c r="O125" s="24"/>
      <c r="P125" s="24"/>
      <c r="Q125" s="24"/>
      <c r="R125" s="26"/>
      <c r="S125" s="14">
        <f t="shared" si="13"/>
        <v>3.348984494</v>
      </c>
      <c r="U125" s="21"/>
      <c r="V125" s="21"/>
    </row>
    <row r="126">
      <c r="A126" s="11">
        <v>114.0</v>
      </c>
      <c r="B126" s="11">
        <v>1.41989130434782E9</v>
      </c>
      <c r="C126" s="2">
        <v>-102.4739075</v>
      </c>
      <c r="D126" s="24">
        <f t="shared" si="1"/>
        <v>-508695.6522</v>
      </c>
      <c r="E126" s="25">
        <f t="shared" si="2"/>
        <v>106.5223513</v>
      </c>
      <c r="F126" s="24">
        <f t="shared" si="3"/>
        <v>0.0002094029129</v>
      </c>
      <c r="G126" s="24">
        <f t="shared" si="4"/>
        <v>0</v>
      </c>
      <c r="H126" s="26">
        <f t="shared" si="5"/>
        <v>0</v>
      </c>
      <c r="I126" s="24">
        <f t="shared" si="6"/>
        <v>0</v>
      </c>
      <c r="J126" s="24">
        <f t="shared" si="7"/>
        <v>0</v>
      </c>
      <c r="K126" s="24"/>
      <c r="L126" s="24">
        <f t="shared" si="8"/>
        <v>430.2445893</v>
      </c>
      <c r="M126" s="14">
        <f t="shared" si="9"/>
        <v>425.5925955</v>
      </c>
      <c r="N126" s="27">
        <f t="shared" si="10"/>
        <v>4.651993743</v>
      </c>
      <c r="O126" s="24"/>
      <c r="P126" s="24"/>
      <c r="Q126" s="24"/>
      <c r="R126" s="26"/>
      <c r="S126" s="14">
        <f t="shared" si="13"/>
        <v>4.271907864</v>
      </c>
      <c r="U126" s="21"/>
      <c r="V126" s="21"/>
    </row>
    <row r="127">
      <c r="A127" s="11">
        <v>115.0</v>
      </c>
      <c r="B127" s="11">
        <v>1.41989565217391E9</v>
      </c>
      <c r="C127" s="2">
        <v>-102.52491</v>
      </c>
      <c r="D127" s="24">
        <f t="shared" si="1"/>
        <v>-504347.8261</v>
      </c>
      <c r="E127" s="25">
        <f t="shared" si="2"/>
        <v>105.6040552</v>
      </c>
      <c r="F127" s="24">
        <f t="shared" si="3"/>
        <v>0.0002093873508</v>
      </c>
      <c r="G127" s="24">
        <f t="shared" si="4"/>
        <v>0</v>
      </c>
      <c r="H127" s="26">
        <f t="shared" si="5"/>
        <v>0</v>
      </c>
      <c r="I127" s="24">
        <f t="shared" si="6"/>
        <v>0</v>
      </c>
      <c r="J127" s="24">
        <f t="shared" si="7"/>
        <v>0</v>
      </c>
      <c r="K127" s="24"/>
      <c r="L127" s="24">
        <f t="shared" si="8"/>
        <v>425.2214532</v>
      </c>
      <c r="M127" s="14">
        <f t="shared" si="9"/>
        <v>425.4796753</v>
      </c>
      <c r="N127" s="27">
        <f t="shared" si="10"/>
        <v>-0.2582220534</v>
      </c>
      <c r="O127" s="24"/>
      <c r="P127" s="24"/>
      <c r="Q127" s="24"/>
      <c r="R127" s="26"/>
      <c r="S127" s="14">
        <f t="shared" si="13"/>
        <v>-0.2371243125</v>
      </c>
      <c r="U127" s="21"/>
      <c r="V127" s="21"/>
    </row>
    <row r="128">
      <c r="A128" s="11">
        <v>116.0</v>
      </c>
      <c r="B128" s="11">
        <v>1.4199E9</v>
      </c>
      <c r="C128" s="2">
        <v>-102.4530106</v>
      </c>
      <c r="D128" s="24">
        <f t="shared" si="1"/>
        <v>-500000</v>
      </c>
      <c r="E128" s="25">
        <f t="shared" si="2"/>
        <v>104.6857591</v>
      </c>
      <c r="F128" s="24">
        <f t="shared" si="3"/>
        <v>0.0002093715181</v>
      </c>
      <c r="G128" s="24">
        <f t="shared" si="4"/>
        <v>0</v>
      </c>
      <c r="H128" s="26">
        <f t="shared" si="5"/>
        <v>0</v>
      </c>
      <c r="I128" s="24">
        <f t="shared" si="6"/>
        <v>0</v>
      </c>
      <c r="J128" s="24">
        <f t="shared" si="7"/>
        <v>0</v>
      </c>
      <c r="K128" s="24"/>
      <c r="L128" s="24">
        <f t="shared" si="8"/>
        <v>432.319781</v>
      </c>
      <c r="M128" s="14">
        <f t="shared" si="9"/>
        <v>425.3671692</v>
      </c>
      <c r="N128" s="27">
        <f t="shared" si="10"/>
        <v>6.952611879</v>
      </c>
      <c r="O128" s="24"/>
      <c r="P128" s="24"/>
      <c r="Q128" s="24"/>
      <c r="R128" s="26"/>
      <c r="S128" s="14">
        <f t="shared" si="13"/>
        <v>6.384556601</v>
      </c>
      <c r="U128" s="21"/>
      <c r="V128" s="21"/>
    </row>
    <row r="129">
      <c r="A129" s="11">
        <v>117.0</v>
      </c>
      <c r="B129" s="11">
        <v>1.41990434782608E9</v>
      </c>
      <c r="C129" s="2">
        <v>-102.5001526</v>
      </c>
      <c r="D129" s="24">
        <f t="shared" si="1"/>
        <v>-495652.1739</v>
      </c>
      <c r="E129" s="25">
        <f t="shared" si="2"/>
        <v>103.7674629</v>
      </c>
      <c r="F129" s="24">
        <f t="shared" si="3"/>
        <v>0.0002093554077</v>
      </c>
      <c r="G129" s="24">
        <f t="shared" si="4"/>
        <v>0</v>
      </c>
      <c r="H129" s="26">
        <f t="shared" si="5"/>
        <v>0</v>
      </c>
      <c r="I129" s="24">
        <f t="shared" si="6"/>
        <v>0</v>
      </c>
      <c r="J129" s="24">
        <f t="shared" si="7"/>
        <v>0</v>
      </c>
      <c r="K129" s="24"/>
      <c r="L129" s="24">
        <f t="shared" si="8"/>
        <v>427.6523938</v>
      </c>
      <c r="M129" s="14">
        <f t="shared" si="9"/>
        <v>425.255075</v>
      </c>
      <c r="N129" s="27">
        <f t="shared" si="10"/>
        <v>2.397318827</v>
      </c>
      <c r="O129" s="24"/>
      <c r="P129" s="24"/>
      <c r="Q129" s="24"/>
      <c r="R129" s="26"/>
      <c r="S129" s="14">
        <f t="shared" si="13"/>
        <v>2.201448608</v>
      </c>
      <c r="U129" s="21"/>
      <c r="V129" s="21"/>
    </row>
    <row r="130">
      <c r="A130" s="11">
        <v>118.0</v>
      </c>
      <c r="B130" s="11">
        <v>1.41990869565217E9</v>
      </c>
      <c r="C130" s="2">
        <v>-102.519165</v>
      </c>
      <c r="D130" s="24">
        <f t="shared" si="1"/>
        <v>-491304.3478</v>
      </c>
      <c r="E130" s="25">
        <f t="shared" si="2"/>
        <v>102.8491668</v>
      </c>
      <c r="F130" s="24">
        <f t="shared" si="3"/>
        <v>0.0002093390121</v>
      </c>
      <c r="G130" s="24">
        <f t="shared" si="4"/>
        <v>0</v>
      </c>
      <c r="H130" s="26">
        <f t="shared" si="5"/>
        <v>0</v>
      </c>
      <c r="I130" s="24">
        <f t="shared" si="6"/>
        <v>0</v>
      </c>
      <c r="J130" s="24">
        <f t="shared" si="7"/>
        <v>0</v>
      </c>
      <c r="K130" s="24"/>
      <c r="L130" s="24">
        <f t="shared" si="8"/>
        <v>425.7843233</v>
      </c>
      <c r="M130" s="14">
        <f t="shared" si="9"/>
        <v>425.1433906</v>
      </c>
      <c r="N130" s="27">
        <f t="shared" si="10"/>
        <v>0.640932684</v>
      </c>
      <c r="O130" s="24"/>
      <c r="P130" s="24"/>
      <c r="Q130" s="24"/>
      <c r="R130" s="26"/>
      <c r="S130" s="14">
        <f t="shared" si="13"/>
        <v>0.5885660037</v>
      </c>
      <c r="U130" s="21"/>
      <c r="V130" s="21"/>
    </row>
    <row r="131">
      <c r="A131" s="11">
        <v>119.0</v>
      </c>
      <c r="B131" s="11">
        <v>1.41991304347826E9</v>
      </c>
      <c r="C131" s="2">
        <v>-102.5294418</v>
      </c>
      <c r="D131" s="24">
        <f t="shared" si="1"/>
        <v>-486956.5217</v>
      </c>
      <c r="E131" s="25">
        <f t="shared" si="2"/>
        <v>101.9308707</v>
      </c>
      <c r="F131" s="24">
        <f t="shared" si="3"/>
        <v>0.0002093223237</v>
      </c>
      <c r="G131" s="24">
        <f t="shared" si="4"/>
        <v>0</v>
      </c>
      <c r="H131" s="26">
        <f t="shared" si="5"/>
        <v>0</v>
      </c>
      <c r="I131" s="24">
        <f t="shared" si="6"/>
        <v>0</v>
      </c>
      <c r="J131" s="24">
        <f t="shared" si="7"/>
        <v>0</v>
      </c>
      <c r="K131" s="24"/>
      <c r="L131" s="24">
        <f t="shared" si="8"/>
        <v>424.7779722</v>
      </c>
      <c r="M131" s="14">
        <f t="shared" si="9"/>
        <v>425.0321139</v>
      </c>
      <c r="N131" s="27">
        <f t="shared" si="10"/>
        <v>-0.2541416459</v>
      </c>
      <c r="O131" s="24"/>
      <c r="P131" s="24"/>
      <c r="Q131" s="24"/>
      <c r="R131" s="26"/>
      <c r="S131" s="14">
        <f t="shared" si="13"/>
        <v>-0.2333772907</v>
      </c>
      <c r="U131" s="21"/>
      <c r="V131" s="21"/>
    </row>
    <row r="132">
      <c r="A132" s="11">
        <v>120.0</v>
      </c>
      <c r="B132" s="11">
        <v>1.41991739130434E9</v>
      </c>
      <c r="C132" s="2">
        <v>-102.4855118</v>
      </c>
      <c r="D132" s="24">
        <f t="shared" si="1"/>
        <v>-482608.6957</v>
      </c>
      <c r="E132" s="25">
        <f t="shared" si="2"/>
        <v>101.0125745</v>
      </c>
      <c r="F132" s="24">
        <f t="shared" si="3"/>
        <v>0.0002093053346</v>
      </c>
      <c r="G132" s="24">
        <f t="shared" si="4"/>
        <v>0</v>
      </c>
      <c r="H132" s="26">
        <f t="shared" si="5"/>
        <v>0</v>
      </c>
      <c r="I132" s="24">
        <f t="shared" si="6"/>
        <v>0</v>
      </c>
      <c r="J132" s="24">
        <f t="shared" si="7"/>
        <v>0</v>
      </c>
      <c r="K132" s="24"/>
      <c r="L132" s="24">
        <f t="shared" si="8"/>
        <v>429.096515</v>
      </c>
      <c r="M132" s="14">
        <f t="shared" si="9"/>
        <v>424.9212425</v>
      </c>
      <c r="N132" s="27">
        <f t="shared" si="10"/>
        <v>4.175272509</v>
      </c>
      <c r="O132" s="24"/>
      <c r="P132" s="24"/>
      <c r="Q132" s="24"/>
      <c r="R132" s="26"/>
      <c r="S132" s="14">
        <f t="shared" si="13"/>
        <v>3.834136599</v>
      </c>
      <c r="U132" s="21"/>
      <c r="V132" s="21"/>
    </row>
    <row r="133">
      <c r="A133" s="11">
        <v>121.0</v>
      </c>
      <c r="B133" s="11">
        <v>1.41992173913043E9</v>
      </c>
      <c r="C133" s="2">
        <v>-102.5138931</v>
      </c>
      <c r="D133" s="24">
        <f t="shared" si="1"/>
        <v>-478260.8696</v>
      </c>
      <c r="E133" s="25">
        <f t="shared" si="2"/>
        <v>100.0942784</v>
      </c>
      <c r="F133" s="24">
        <f t="shared" si="3"/>
        <v>0.0002092880367</v>
      </c>
      <c r="G133" s="24">
        <f t="shared" si="4"/>
        <v>0</v>
      </c>
      <c r="H133" s="26">
        <f t="shared" si="5"/>
        <v>0</v>
      </c>
      <c r="I133" s="24">
        <f t="shared" si="6"/>
        <v>0</v>
      </c>
      <c r="J133" s="24">
        <f t="shared" si="7"/>
        <v>0</v>
      </c>
      <c r="K133" s="24"/>
      <c r="L133" s="24">
        <f t="shared" si="8"/>
        <v>426.3014967</v>
      </c>
      <c r="M133" s="14">
        <f t="shared" si="9"/>
        <v>424.8107745</v>
      </c>
      <c r="N133" s="27">
        <f t="shared" si="10"/>
        <v>1.490722199</v>
      </c>
      <c r="O133" s="24"/>
      <c r="P133" s="24"/>
      <c r="Q133" s="24"/>
      <c r="R133" s="26"/>
      <c r="S133" s="14">
        <f t="shared" si="13"/>
        <v>1.368924427</v>
      </c>
      <c r="U133" s="21"/>
      <c r="V133" s="21"/>
    </row>
    <row r="134">
      <c r="A134" s="11">
        <v>122.0</v>
      </c>
      <c r="B134" s="11">
        <v>1.41992608695652E9</v>
      </c>
      <c r="C134" s="2">
        <v>-102.5135422</v>
      </c>
      <c r="D134" s="24">
        <f t="shared" si="1"/>
        <v>-473913.0435</v>
      </c>
      <c r="E134" s="25">
        <f t="shared" si="2"/>
        <v>99.17598227</v>
      </c>
      <c r="F134" s="24">
        <f t="shared" si="3"/>
        <v>0.0002092704213</v>
      </c>
      <c r="G134" s="24">
        <f t="shared" si="4"/>
        <v>0</v>
      </c>
      <c r="H134" s="26">
        <f t="shared" si="5"/>
        <v>0</v>
      </c>
      <c r="I134" s="24">
        <f t="shared" si="6"/>
        <v>0</v>
      </c>
      <c r="J134" s="24">
        <f t="shared" si="7"/>
        <v>0</v>
      </c>
      <c r="K134" s="24"/>
      <c r="L134" s="24">
        <f t="shared" si="8"/>
        <v>426.3359422</v>
      </c>
      <c r="M134" s="14">
        <f t="shared" si="9"/>
        <v>424.7007075</v>
      </c>
      <c r="N134" s="27">
        <f t="shared" si="10"/>
        <v>1.635234762</v>
      </c>
      <c r="O134" s="24"/>
      <c r="P134" s="24"/>
      <c r="Q134" s="24"/>
      <c r="R134" s="26"/>
      <c r="S134" s="14">
        <f t="shared" si="13"/>
        <v>1.501629759</v>
      </c>
      <c r="U134" s="21"/>
      <c r="V134" s="21"/>
    </row>
    <row r="135">
      <c r="A135" s="11">
        <v>123.0</v>
      </c>
      <c r="B135" s="11">
        <v>1.4199304347826E9</v>
      </c>
      <c r="C135" s="2">
        <v>-102.5211105</v>
      </c>
      <c r="D135" s="24">
        <f t="shared" si="1"/>
        <v>-469565.2174</v>
      </c>
      <c r="E135" s="25">
        <f t="shared" si="2"/>
        <v>98.25768614</v>
      </c>
      <c r="F135" s="24">
        <f t="shared" si="3"/>
        <v>0.0002092524797</v>
      </c>
      <c r="G135" s="24">
        <f t="shared" si="4"/>
        <v>0</v>
      </c>
      <c r="H135" s="26">
        <f t="shared" si="5"/>
        <v>0</v>
      </c>
      <c r="I135" s="24">
        <f t="shared" si="6"/>
        <v>0</v>
      </c>
      <c r="J135" s="24">
        <f t="shared" si="7"/>
        <v>0</v>
      </c>
      <c r="K135" s="24"/>
      <c r="L135" s="24">
        <f t="shared" si="8"/>
        <v>425.5936283</v>
      </c>
      <c r="M135" s="14">
        <f t="shared" si="9"/>
        <v>424.5910394</v>
      </c>
      <c r="N135" s="27">
        <f t="shared" si="10"/>
        <v>1.002588906</v>
      </c>
      <c r="O135" s="24"/>
      <c r="P135" s="24"/>
      <c r="Q135" s="24"/>
      <c r="R135" s="26"/>
      <c r="S135" s="14">
        <f t="shared" si="13"/>
        <v>0.9206735151</v>
      </c>
      <c r="U135" s="21"/>
      <c r="V135" s="21"/>
    </row>
    <row r="136">
      <c r="A136" s="11">
        <v>124.0</v>
      </c>
      <c r="B136" s="11">
        <v>1.41993478260869E9</v>
      </c>
      <c r="C136" s="2">
        <v>-102.5654068</v>
      </c>
      <c r="D136" s="24">
        <f t="shared" si="1"/>
        <v>-465217.3913</v>
      </c>
      <c r="E136" s="25">
        <f t="shared" si="2"/>
        <v>97.33939001</v>
      </c>
      <c r="F136" s="24">
        <f t="shared" si="3"/>
        <v>0.0002092342028</v>
      </c>
      <c r="G136" s="24">
        <f t="shared" si="4"/>
        <v>0</v>
      </c>
      <c r="H136" s="26">
        <f t="shared" si="5"/>
        <v>0</v>
      </c>
      <c r="I136" s="24">
        <f t="shared" si="6"/>
        <v>0</v>
      </c>
      <c r="J136" s="24">
        <f t="shared" si="7"/>
        <v>0</v>
      </c>
      <c r="K136" s="24"/>
      <c r="L136" s="24">
        <f t="shared" si="8"/>
        <v>421.2748061</v>
      </c>
      <c r="M136" s="14">
        <f t="shared" si="9"/>
        <v>424.4817681</v>
      </c>
      <c r="N136" s="27">
        <f t="shared" si="10"/>
        <v>-3.206961947</v>
      </c>
      <c r="O136" s="24"/>
      <c r="P136" s="24"/>
      <c r="Q136" s="24"/>
      <c r="R136" s="26"/>
      <c r="S136" s="14">
        <f t="shared" si="13"/>
        <v>-2.944940754</v>
      </c>
      <c r="U136" s="21"/>
      <c r="V136" s="21"/>
    </row>
    <row r="137">
      <c r="A137" s="11">
        <v>125.0</v>
      </c>
      <c r="B137" s="11">
        <v>1.41993913043478E9</v>
      </c>
      <c r="C137" s="2">
        <v>-102.5330811</v>
      </c>
      <c r="D137" s="24">
        <f t="shared" si="1"/>
        <v>-460869.5652</v>
      </c>
      <c r="E137" s="25">
        <f t="shared" si="2"/>
        <v>96.42109387</v>
      </c>
      <c r="F137" s="24">
        <f t="shared" si="3"/>
        <v>0.000209215581</v>
      </c>
      <c r="G137" s="24">
        <f t="shared" si="4"/>
        <v>0</v>
      </c>
      <c r="H137" s="26">
        <f t="shared" si="5"/>
        <v>0</v>
      </c>
      <c r="I137" s="24">
        <f t="shared" si="6"/>
        <v>0</v>
      </c>
      <c r="J137" s="24">
        <f t="shared" si="7"/>
        <v>0</v>
      </c>
      <c r="K137" s="24"/>
      <c r="L137" s="24">
        <f t="shared" si="8"/>
        <v>424.422166</v>
      </c>
      <c r="M137" s="14">
        <f t="shared" si="9"/>
        <v>424.3728913</v>
      </c>
      <c r="N137" s="27">
        <f t="shared" si="10"/>
        <v>0.04927470889</v>
      </c>
      <c r="O137" s="24"/>
      <c r="P137" s="24"/>
      <c r="Q137" s="24"/>
      <c r="R137" s="26"/>
      <c r="S137" s="14">
        <f t="shared" si="13"/>
        <v>0.04524877452</v>
      </c>
      <c r="U137" s="21"/>
      <c r="V137" s="21"/>
    </row>
    <row r="138">
      <c r="A138" s="11">
        <v>126.0</v>
      </c>
      <c r="B138" s="11">
        <v>1.41994347826087E9</v>
      </c>
      <c r="C138" s="2">
        <v>-102.4946594</v>
      </c>
      <c r="D138" s="24">
        <f t="shared" si="1"/>
        <v>-456521.7391</v>
      </c>
      <c r="E138" s="25">
        <f t="shared" si="2"/>
        <v>95.50279774</v>
      </c>
      <c r="F138" s="24">
        <f t="shared" si="3"/>
        <v>0.0002091966046</v>
      </c>
      <c r="G138" s="24">
        <f t="shared" si="4"/>
        <v>0</v>
      </c>
      <c r="H138" s="26">
        <f t="shared" si="5"/>
        <v>0</v>
      </c>
      <c r="I138" s="24">
        <f t="shared" si="6"/>
        <v>0</v>
      </c>
      <c r="J138" s="24">
        <f t="shared" si="7"/>
        <v>0</v>
      </c>
      <c r="K138" s="24"/>
      <c r="L138" s="24">
        <f t="shared" si="8"/>
        <v>428.1936548</v>
      </c>
      <c r="M138" s="14">
        <f t="shared" si="9"/>
        <v>424.2644068</v>
      </c>
      <c r="N138" s="27">
        <f t="shared" si="10"/>
        <v>3.92924794</v>
      </c>
      <c r="O138" s="24"/>
      <c r="P138" s="24"/>
      <c r="Q138" s="24"/>
      <c r="R138" s="26"/>
      <c r="S138" s="14">
        <f t="shared" si="13"/>
        <v>3.608213188</v>
      </c>
      <c r="U138" s="21"/>
      <c r="V138" s="21"/>
    </row>
    <row r="139">
      <c r="A139" s="11">
        <v>127.0</v>
      </c>
      <c r="B139" s="11">
        <v>1.41994782608695E9</v>
      </c>
      <c r="C139" s="2">
        <v>-102.4860153</v>
      </c>
      <c r="D139" s="24">
        <f t="shared" si="1"/>
        <v>-452173.913</v>
      </c>
      <c r="E139" s="25">
        <f t="shared" si="2"/>
        <v>94.58450161</v>
      </c>
      <c r="F139" s="24">
        <f t="shared" si="3"/>
        <v>0.0002091772632</v>
      </c>
      <c r="G139" s="24">
        <f t="shared" si="4"/>
        <v>0</v>
      </c>
      <c r="H139" s="26">
        <f t="shared" si="5"/>
        <v>0</v>
      </c>
      <c r="I139" s="24">
        <f t="shared" si="6"/>
        <v>0</v>
      </c>
      <c r="J139" s="24">
        <f t="shared" si="7"/>
        <v>0</v>
      </c>
      <c r="K139" s="24"/>
      <c r="L139" s="24">
        <f t="shared" si="8"/>
        <v>429.0467706</v>
      </c>
      <c r="M139" s="14">
        <f t="shared" si="9"/>
        <v>424.1563126</v>
      </c>
      <c r="N139" s="27">
        <f t="shared" si="10"/>
        <v>4.890457933</v>
      </c>
      <c r="O139" s="24"/>
      <c r="P139" s="24"/>
      <c r="Q139" s="24"/>
      <c r="R139" s="26"/>
      <c r="S139" s="14">
        <f t="shared" si="13"/>
        <v>4.490888607</v>
      </c>
      <c r="U139" s="21"/>
      <c r="V139" s="21"/>
    </row>
    <row r="140">
      <c r="A140" s="11">
        <v>128.0</v>
      </c>
      <c r="B140" s="11">
        <v>1.41995217391304E9</v>
      </c>
      <c r="C140" s="2">
        <v>-102.491684</v>
      </c>
      <c r="D140" s="24">
        <f t="shared" si="1"/>
        <v>-447826.087</v>
      </c>
      <c r="E140" s="25">
        <f t="shared" si="2"/>
        <v>93.66620548</v>
      </c>
      <c r="F140" s="24">
        <f t="shared" si="3"/>
        <v>0.0002091575462</v>
      </c>
      <c r="G140" s="24">
        <f t="shared" si="4"/>
        <v>0</v>
      </c>
      <c r="H140" s="26">
        <f t="shared" si="5"/>
        <v>0</v>
      </c>
      <c r="I140" s="24">
        <f t="shared" si="6"/>
        <v>0</v>
      </c>
      <c r="J140" s="24">
        <f t="shared" si="7"/>
        <v>0</v>
      </c>
      <c r="K140" s="24"/>
      <c r="L140" s="24">
        <f t="shared" si="8"/>
        <v>428.4871155</v>
      </c>
      <c r="M140" s="14">
        <f t="shared" si="9"/>
        <v>424.0486064</v>
      </c>
      <c r="N140" s="27">
        <f t="shared" si="10"/>
        <v>4.438509109</v>
      </c>
      <c r="O140" s="24"/>
      <c r="P140" s="24"/>
      <c r="Q140" s="24"/>
      <c r="R140" s="26"/>
      <c r="S140" s="14">
        <f t="shared" si="13"/>
        <v>4.075865741</v>
      </c>
      <c r="U140" s="21"/>
      <c r="V140" s="21"/>
    </row>
    <row r="141">
      <c r="A141" s="11">
        <v>129.0</v>
      </c>
      <c r="B141" s="11">
        <v>1.41995652173913E9</v>
      </c>
      <c r="C141" s="2">
        <v>-102.5102692</v>
      </c>
      <c r="D141" s="24">
        <f t="shared" si="1"/>
        <v>-443478.2609</v>
      </c>
      <c r="E141" s="25">
        <f t="shared" si="2"/>
        <v>92.74790935</v>
      </c>
      <c r="F141" s="24">
        <f t="shared" si="3"/>
        <v>0.0002091374426</v>
      </c>
      <c r="G141" s="24">
        <f t="shared" si="4"/>
        <v>0</v>
      </c>
      <c r="H141" s="26">
        <f t="shared" si="5"/>
        <v>0</v>
      </c>
      <c r="I141" s="24">
        <f t="shared" si="6"/>
        <v>0</v>
      </c>
      <c r="J141" s="24">
        <f t="shared" si="7"/>
        <v>0</v>
      </c>
      <c r="K141" s="24"/>
      <c r="L141" s="24">
        <f t="shared" si="8"/>
        <v>426.6573655</v>
      </c>
      <c r="M141" s="14">
        <f t="shared" si="9"/>
        <v>423.9412861</v>
      </c>
      <c r="N141" s="27">
        <f t="shared" si="10"/>
        <v>2.716079398</v>
      </c>
      <c r="O141" s="24"/>
      <c r="P141" s="24"/>
      <c r="Q141" s="24"/>
      <c r="R141" s="26"/>
      <c r="S141" s="14">
        <f t="shared" si="13"/>
        <v>2.494165207</v>
      </c>
      <c r="U141" s="21"/>
      <c r="V141" s="21"/>
    </row>
    <row r="142">
      <c r="A142" s="11">
        <v>130.0</v>
      </c>
      <c r="B142" s="11">
        <v>1.41996086956521E9</v>
      </c>
      <c r="C142" s="2">
        <v>-102.4915314</v>
      </c>
      <c r="D142" s="24">
        <f t="shared" si="1"/>
        <v>-439130.4348</v>
      </c>
      <c r="E142" s="25">
        <f t="shared" si="2"/>
        <v>91.82961321</v>
      </c>
      <c r="F142" s="24">
        <f t="shared" si="3"/>
        <v>0.000209116941</v>
      </c>
      <c r="G142" s="24">
        <f t="shared" si="4"/>
        <v>0</v>
      </c>
      <c r="H142" s="26">
        <f t="shared" si="5"/>
        <v>0</v>
      </c>
      <c r="I142" s="24">
        <f t="shared" si="6"/>
        <v>0</v>
      </c>
      <c r="J142" s="24">
        <f t="shared" si="7"/>
        <v>0</v>
      </c>
      <c r="K142" s="24"/>
      <c r="L142" s="24">
        <f t="shared" si="8"/>
        <v>428.5021718</v>
      </c>
      <c r="M142" s="14">
        <f t="shared" si="9"/>
        <v>423.8343494</v>
      </c>
      <c r="N142" s="27">
        <f t="shared" si="10"/>
        <v>4.667822309</v>
      </c>
      <c r="O142" s="24"/>
      <c r="P142" s="24"/>
      <c r="Q142" s="24"/>
      <c r="R142" s="26"/>
      <c r="S142" s="14">
        <f t="shared" si="13"/>
        <v>4.286443175</v>
      </c>
      <c r="U142" s="21"/>
      <c r="V142" s="21"/>
    </row>
    <row r="143">
      <c r="A143" s="11">
        <v>131.0</v>
      </c>
      <c r="B143" s="11">
        <v>1.4199652173913E9</v>
      </c>
      <c r="C143" s="2">
        <v>-102.4610214</v>
      </c>
      <c r="D143" s="24">
        <f t="shared" si="1"/>
        <v>-434782.6087</v>
      </c>
      <c r="E143" s="25">
        <f t="shared" si="2"/>
        <v>90.91131708</v>
      </c>
      <c r="F143" s="24">
        <f t="shared" si="3"/>
        <v>0.0002090960293</v>
      </c>
      <c r="G143" s="24">
        <f t="shared" si="4"/>
        <v>0</v>
      </c>
      <c r="H143" s="26">
        <f t="shared" si="5"/>
        <v>0</v>
      </c>
      <c r="I143" s="24">
        <f t="shared" si="6"/>
        <v>0</v>
      </c>
      <c r="J143" s="24">
        <f t="shared" si="7"/>
        <v>0</v>
      </c>
      <c r="K143" s="24"/>
      <c r="L143" s="24">
        <f t="shared" si="8"/>
        <v>431.5230785</v>
      </c>
      <c r="M143" s="14">
        <f t="shared" si="9"/>
        <v>423.7277943</v>
      </c>
      <c r="N143" s="27">
        <f t="shared" si="10"/>
        <v>7.795284198</v>
      </c>
      <c r="O143" s="24"/>
      <c r="P143" s="24"/>
      <c r="Q143" s="24"/>
      <c r="R143" s="26"/>
      <c r="S143" s="14">
        <f t="shared" si="13"/>
        <v>7.158379317</v>
      </c>
      <c r="U143" s="21"/>
      <c r="V143" s="21"/>
    </row>
    <row r="144">
      <c r="A144" s="11">
        <v>132.0</v>
      </c>
      <c r="B144" s="11">
        <v>1.41996956521739E9</v>
      </c>
      <c r="C144" s="2">
        <v>-102.4705887</v>
      </c>
      <c r="D144" s="24">
        <f t="shared" si="1"/>
        <v>-430434.7826</v>
      </c>
      <c r="E144" s="25">
        <f t="shared" si="2"/>
        <v>89.99302095</v>
      </c>
      <c r="F144" s="24">
        <f t="shared" si="3"/>
        <v>0.0002090746951</v>
      </c>
      <c r="G144" s="24">
        <f t="shared" si="4"/>
        <v>0</v>
      </c>
      <c r="H144" s="26">
        <f t="shared" si="5"/>
        <v>0</v>
      </c>
      <c r="I144" s="24">
        <f t="shared" si="6"/>
        <v>0</v>
      </c>
      <c r="J144" s="24">
        <f t="shared" si="7"/>
        <v>0</v>
      </c>
      <c r="K144" s="24"/>
      <c r="L144" s="24">
        <f t="shared" si="8"/>
        <v>430.5735001</v>
      </c>
      <c r="M144" s="14">
        <f t="shared" si="9"/>
        <v>423.6216185</v>
      </c>
      <c r="N144" s="27">
        <f t="shared" si="10"/>
        <v>6.951881624</v>
      </c>
      <c r="O144" s="24"/>
      <c r="P144" s="24"/>
      <c r="Q144" s="24"/>
      <c r="R144" s="26"/>
      <c r="S144" s="14">
        <f t="shared" si="13"/>
        <v>6.383886011</v>
      </c>
      <c r="U144" s="21"/>
      <c r="V144" s="21"/>
    </row>
    <row r="145">
      <c r="A145" s="11">
        <v>133.0</v>
      </c>
      <c r="B145" s="11">
        <v>1.41997391304347E9</v>
      </c>
      <c r="C145" s="2">
        <v>-102.4160461</v>
      </c>
      <c r="D145" s="24">
        <f t="shared" si="1"/>
        <v>-426086.9565</v>
      </c>
      <c r="E145" s="25">
        <f t="shared" si="2"/>
        <v>89.07472482</v>
      </c>
      <c r="F145" s="24">
        <f t="shared" si="3"/>
        <v>0.0002090529256</v>
      </c>
      <c r="G145" s="24">
        <f t="shared" si="4"/>
        <v>0</v>
      </c>
      <c r="H145" s="26">
        <f t="shared" si="5"/>
        <v>0</v>
      </c>
      <c r="I145" s="24">
        <f t="shared" si="6"/>
        <v>0</v>
      </c>
      <c r="J145" s="24">
        <f t="shared" si="7"/>
        <v>0</v>
      </c>
      <c r="K145" s="24"/>
      <c r="L145" s="24">
        <f t="shared" si="8"/>
        <v>436.0151275</v>
      </c>
      <c r="M145" s="14">
        <f t="shared" si="9"/>
        <v>423.5158198</v>
      </c>
      <c r="N145" s="27">
        <f t="shared" si="10"/>
        <v>12.49930778</v>
      </c>
      <c r="O145" s="24"/>
      <c r="P145" s="24"/>
      <c r="Q145" s="24"/>
      <c r="R145" s="26"/>
      <c r="S145" s="14">
        <f t="shared" si="13"/>
        <v>11.47806599</v>
      </c>
      <c r="U145" s="21"/>
      <c r="V145" s="21"/>
    </row>
    <row r="146">
      <c r="A146" s="11">
        <v>134.0</v>
      </c>
      <c r="B146" s="11">
        <v>1.41997826086956E9</v>
      </c>
      <c r="C146" s="2">
        <v>-102.4357834</v>
      </c>
      <c r="D146" s="24">
        <f t="shared" si="1"/>
        <v>-421739.1304</v>
      </c>
      <c r="E146" s="25">
        <f t="shared" si="2"/>
        <v>88.15642869</v>
      </c>
      <c r="F146" s="24">
        <f t="shared" si="3"/>
        <v>0.0002090307072</v>
      </c>
      <c r="G146" s="24">
        <f t="shared" si="4"/>
        <v>0</v>
      </c>
      <c r="H146" s="26">
        <f t="shared" si="5"/>
        <v>0</v>
      </c>
      <c r="I146" s="24">
        <f t="shared" si="6"/>
        <v>0</v>
      </c>
      <c r="J146" s="24">
        <f t="shared" si="7"/>
        <v>0</v>
      </c>
      <c r="K146" s="24"/>
      <c r="L146" s="24">
        <f t="shared" si="8"/>
        <v>434.0380737</v>
      </c>
      <c r="M146" s="14">
        <f t="shared" si="9"/>
        <v>423.4103961</v>
      </c>
      <c r="N146" s="27">
        <f t="shared" si="10"/>
        <v>10.62767765</v>
      </c>
      <c r="O146" s="24"/>
      <c r="P146" s="24"/>
      <c r="Q146" s="24"/>
      <c r="R146" s="26"/>
      <c r="S146" s="14">
        <f t="shared" si="13"/>
        <v>9.759355261</v>
      </c>
      <c r="U146" s="21"/>
      <c r="V146" s="21"/>
    </row>
    <row r="147">
      <c r="A147" s="11">
        <v>135.0</v>
      </c>
      <c r="B147" s="11">
        <v>1.41998260869565E9</v>
      </c>
      <c r="C147" s="2">
        <v>-102.4608307</v>
      </c>
      <c r="D147" s="24">
        <f t="shared" si="1"/>
        <v>-417391.3043</v>
      </c>
      <c r="E147" s="25">
        <f t="shared" si="2"/>
        <v>87.23813255</v>
      </c>
      <c r="F147" s="24">
        <f t="shared" si="3"/>
        <v>0.0002090080259</v>
      </c>
      <c r="G147" s="24">
        <f t="shared" si="4"/>
        <v>0</v>
      </c>
      <c r="H147" s="26">
        <f t="shared" si="5"/>
        <v>0</v>
      </c>
      <c r="I147" s="24">
        <f t="shared" si="6"/>
        <v>0</v>
      </c>
      <c r="J147" s="24">
        <f t="shared" si="7"/>
        <v>0</v>
      </c>
      <c r="K147" s="24"/>
      <c r="L147" s="24">
        <f t="shared" si="8"/>
        <v>431.5420272</v>
      </c>
      <c r="M147" s="14">
        <f t="shared" si="9"/>
        <v>423.3053451</v>
      </c>
      <c r="N147" s="27">
        <f t="shared" si="10"/>
        <v>8.236682071</v>
      </c>
      <c r="O147" s="24"/>
      <c r="P147" s="24"/>
      <c r="Q147" s="24"/>
      <c r="R147" s="26"/>
      <c r="S147" s="14">
        <f t="shared" si="13"/>
        <v>7.563713293</v>
      </c>
      <c r="U147" s="21"/>
      <c r="V147" s="21"/>
    </row>
    <row r="148">
      <c r="A148" s="11">
        <v>136.0</v>
      </c>
      <c r="B148" s="11">
        <v>1.41998695652173E9</v>
      </c>
      <c r="C148" s="2">
        <v>-102.4677811</v>
      </c>
      <c r="D148" s="24">
        <f t="shared" si="1"/>
        <v>-413043.4783</v>
      </c>
      <c r="E148" s="25">
        <f t="shared" si="2"/>
        <v>86.31983642</v>
      </c>
      <c r="F148" s="24">
        <f t="shared" si="3"/>
        <v>0.0002089848671</v>
      </c>
      <c r="G148" s="24">
        <f t="shared" si="4"/>
        <v>0</v>
      </c>
      <c r="H148" s="26">
        <f t="shared" si="5"/>
        <v>0</v>
      </c>
      <c r="I148" s="24">
        <f t="shared" si="6"/>
        <v>0</v>
      </c>
      <c r="J148" s="24">
        <f t="shared" si="7"/>
        <v>0</v>
      </c>
      <c r="K148" s="24"/>
      <c r="L148" s="24">
        <f t="shared" si="8"/>
        <v>430.8519446</v>
      </c>
      <c r="M148" s="14">
        <f t="shared" si="9"/>
        <v>423.2006648</v>
      </c>
      <c r="N148" s="27">
        <f t="shared" si="10"/>
        <v>7.651279712</v>
      </c>
      <c r="O148" s="24"/>
      <c r="P148" s="24"/>
      <c r="Q148" s="24"/>
      <c r="R148" s="26"/>
      <c r="S148" s="14">
        <f t="shared" si="13"/>
        <v>7.02614057</v>
      </c>
      <c r="U148" s="21"/>
      <c r="V148" s="21"/>
    </row>
    <row r="149">
      <c r="A149" s="11">
        <v>137.0</v>
      </c>
      <c r="B149" s="11">
        <v>1.41999130434782E9</v>
      </c>
      <c r="C149" s="2">
        <v>-102.4047623</v>
      </c>
      <c r="D149" s="24">
        <f t="shared" si="1"/>
        <v>-408695.6522</v>
      </c>
      <c r="E149" s="25">
        <f t="shared" si="2"/>
        <v>85.40154029</v>
      </c>
      <c r="F149" s="24">
        <f t="shared" si="3"/>
        <v>0.0002089612156</v>
      </c>
      <c r="G149" s="24">
        <f t="shared" si="4"/>
        <v>0</v>
      </c>
      <c r="H149" s="26">
        <f t="shared" si="5"/>
        <v>0</v>
      </c>
      <c r="I149" s="24">
        <f t="shared" si="6"/>
        <v>0</v>
      </c>
      <c r="J149" s="24">
        <f t="shared" si="7"/>
        <v>0</v>
      </c>
      <c r="K149" s="24"/>
      <c r="L149" s="24">
        <f t="shared" si="8"/>
        <v>437.1494511</v>
      </c>
      <c r="M149" s="14">
        <f t="shared" si="9"/>
        <v>423.096353</v>
      </c>
      <c r="N149" s="27">
        <f t="shared" si="10"/>
        <v>14.05309808</v>
      </c>
      <c r="O149" s="24"/>
      <c r="P149" s="24"/>
      <c r="Q149" s="24"/>
      <c r="R149" s="26"/>
      <c r="S149" s="14">
        <f t="shared" si="13"/>
        <v>12.90490562</v>
      </c>
      <c r="U149" s="21"/>
      <c r="V149" s="21"/>
    </row>
    <row r="150">
      <c r="A150" s="11">
        <v>138.0</v>
      </c>
      <c r="B150" s="11">
        <v>1.41999565217391E9</v>
      </c>
      <c r="C150" s="2">
        <v>-102.3899002</v>
      </c>
      <c r="D150" s="24">
        <f t="shared" si="1"/>
        <v>-404347.8261</v>
      </c>
      <c r="E150" s="25">
        <f t="shared" si="2"/>
        <v>84.48324416</v>
      </c>
      <c r="F150" s="24">
        <f t="shared" si="3"/>
        <v>0.0002089370554</v>
      </c>
      <c r="G150" s="24">
        <f t="shared" si="4"/>
        <v>0</v>
      </c>
      <c r="H150" s="26">
        <f t="shared" si="5"/>
        <v>0</v>
      </c>
      <c r="I150" s="24">
        <f t="shared" si="6"/>
        <v>0</v>
      </c>
      <c r="J150" s="24">
        <f t="shared" si="7"/>
        <v>0</v>
      </c>
      <c r="K150" s="24"/>
      <c r="L150" s="24">
        <f t="shared" si="8"/>
        <v>438.6479938</v>
      </c>
      <c r="M150" s="14">
        <f t="shared" si="9"/>
        <v>422.9924074</v>
      </c>
      <c r="N150" s="27">
        <f t="shared" si="10"/>
        <v>15.65558636</v>
      </c>
      <c r="O150" s="24"/>
      <c r="P150" s="24"/>
      <c r="Q150" s="24"/>
      <c r="R150" s="26"/>
      <c r="S150" s="14">
        <f t="shared" si="13"/>
        <v>14.37646438</v>
      </c>
      <c r="U150" s="21"/>
      <c r="V150" s="21"/>
    </row>
    <row r="151">
      <c r="A151" s="11">
        <v>139.0</v>
      </c>
      <c r="B151" s="11">
        <v>1.42E9</v>
      </c>
      <c r="C151" s="2">
        <v>-102.3096542</v>
      </c>
      <c r="D151" s="24">
        <f t="shared" si="1"/>
        <v>-400000</v>
      </c>
      <c r="E151" s="25">
        <f t="shared" si="2"/>
        <v>83.56494803</v>
      </c>
      <c r="F151" s="24">
        <f t="shared" si="3"/>
        <v>0.0002089123701</v>
      </c>
      <c r="G151" s="24">
        <f t="shared" si="4"/>
        <v>0</v>
      </c>
      <c r="H151" s="26">
        <f t="shared" si="5"/>
        <v>0</v>
      </c>
      <c r="I151" s="24">
        <f t="shared" si="6"/>
        <v>0</v>
      </c>
      <c r="J151" s="24">
        <f t="shared" si="7"/>
        <v>0</v>
      </c>
      <c r="K151" s="24"/>
      <c r="L151" s="24">
        <f t="shared" si="8"/>
        <v>446.8283781</v>
      </c>
      <c r="M151" s="14">
        <f t="shared" si="9"/>
        <v>422.8888259</v>
      </c>
      <c r="N151" s="27">
        <f t="shared" si="10"/>
        <v>23.93955216</v>
      </c>
      <c r="O151" s="24"/>
      <c r="P151" s="24"/>
      <c r="Q151" s="24"/>
      <c r="R151" s="26"/>
      <c r="S151" s="14">
        <f t="shared" si="13"/>
        <v>21.98359817</v>
      </c>
      <c r="U151" s="21"/>
      <c r="V151" s="21"/>
    </row>
    <row r="152">
      <c r="A152" s="11">
        <v>140.0</v>
      </c>
      <c r="B152" s="11">
        <v>1.42000434782608E9</v>
      </c>
      <c r="C152" s="2">
        <v>-102.3456726</v>
      </c>
      <c r="D152" s="24">
        <f t="shared" si="1"/>
        <v>-395652.1739</v>
      </c>
      <c r="E152" s="25">
        <f t="shared" si="2"/>
        <v>82.64665189</v>
      </c>
      <c r="F152" s="24">
        <f t="shared" si="3"/>
        <v>0.0002088871421</v>
      </c>
      <c r="G152" s="24">
        <f t="shared" si="4"/>
        <v>0</v>
      </c>
      <c r="H152" s="26">
        <f t="shared" si="5"/>
        <v>0</v>
      </c>
      <c r="I152" s="24">
        <f t="shared" si="6"/>
        <v>0</v>
      </c>
      <c r="J152" s="24">
        <f t="shared" si="7"/>
        <v>0</v>
      </c>
      <c r="K152" s="24"/>
      <c r="L152" s="24">
        <f t="shared" si="8"/>
        <v>443.1379124</v>
      </c>
      <c r="M152" s="14">
        <f t="shared" si="9"/>
        <v>422.7856064</v>
      </c>
      <c r="N152" s="27">
        <f t="shared" si="10"/>
        <v>20.352306</v>
      </c>
      <c r="O152" s="24"/>
      <c r="P152" s="24"/>
      <c r="Q152" s="24"/>
      <c r="R152" s="26"/>
      <c r="S152" s="14">
        <f t="shared" si="13"/>
        <v>18.68944389</v>
      </c>
      <c r="U152" s="21"/>
      <c r="V152" s="21"/>
    </row>
    <row r="153">
      <c r="A153" s="11">
        <v>141.0</v>
      </c>
      <c r="B153" s="11">
        <v>1.42000869565217E9</v>
      </c>
      <c r="C153" s="2">
        <v>-102.3523407</v>
      </c>
      <c r="D153" s="24">
        <f t="shared" si="1"/>
        <v>-391304.3478</v>
      </c>
      <c r="E153" s="25">
        <f t="shared" si="2"/>
        <v>81.72835576</v>
      </c>
      <c r="F153" s="24">
        <f t="shared" si="3"/>
        <v>0.0002088613536</v>
      </c>
      <c r="G153" s="24">
        <f t="shared" si="4"/>
        <v>0</v>
      </c>
      <c r="H153" s="26">
        <f t="shared" si="5"/>
        <v>0</v>
      </c>
      <c r="I153" s="24">
        <f t="shared" si="6"/>
        <v>0</v>
      </c>
      <c r="J153" s="24">
        <f t="shared" si="7"/>
        <v>0</v>
      </c>
      <c r="K153" s="24"/>
      <c r="L153" s="24">
        <f t="shared" si="8"/>
        <v>442.4580463</v>
      </c>
      <c r="M153" s="14">
        <f t="shared" si="9"/>
        <v>422.6827465</v>
      </c>
      <c r="N153" s="27">
        <f t="shared" si="10"/>
        <v>19.7752998</v>
      </c>
      <c r="O153" s="24"/>
      <c r="P153" s="24"/>
      <c r="Q153" s="24"/>
      <c r="R153" s="26"/>
      <c r="S153" s="14">
        <f t="shared" si="13"/>
        <v>18.15958129</v>
      </c>
      <c r="U153" s="21"/>
      <c r="V153" s="21"/>
    </row>
    <row r="154">
      <c r="A154" s="11">
        <v>142.0</v>
      </c>
      <c r="B154" s="11">
        <v>1.42001304347826E9</v>
      </c>
      <c r="C154" s="2">
        <v>-102.3375397</v>
      </c>
      <c r="D154" s="24">
        <f t="shared" si="1"/>
        <v>-386956.5217</v>
      </c>
      <c r="E154" s="25">
        <f t="shared" si="2"/>
        <v>80.81005963</v>
      </c>
      <c r="F154" s="24">
        <f t="shared" si="3"/>
        <v>0.0002088349856</v>
      </c>
      <c r="G154" s="24">
        <f t="shared" si="4"/>
        <v>0</v>
      </c>
      <c r="H154" s="26">
        <f t="shared" si="5"/>
        <v>0</v>
      </c>
      <c r="I154" s="24">
        <f t="shared" si="6"/>
        <v>0</v>
      </c>
      <c r="J154" s="24">
        <f t="shared" si="7"/>
        <v>0</v>
      </c>
      <c r="K154" s="24"/>
      <c r="L154" s="24">
        <f t="shared" si="8"/>
        <v>443.9685407</v>
      </c>
      <c r="M154" s="14">
        <f t="shared" si="9"/>
        <v>422.5802443</v>
      </c>
      <c r="N154" s="27">
        <f t="shared" si="10"/>
        <v>21.38829642</v>
      </c>
      <c r="O154" s="24"/>
      <c r="P154" s="24"/>
      <c r="Q154" s="24"/>
      <c r="R154" s="26"/>
      <c r="S154" s="14">
        <f t="shared" si="13"/>
        <v>19.64078989</v>
      </c>
      <c r="U154" s="21"/>
      <c r="V154" s="21"/>
    </row>
    <row r="155">
      <c r="A155" s="11">
        <v>143.0</v>
      </c>
      <c r="B155" s="11">
        <v>1.42001739130434E9</v>
      </c>
      <c r="C155" s="2">
        <v>-102.2705536</v>
      </c>
      <c r="D155" s="24">
        <f t="shared" si="1"/>
        <v>-382608.6957</v>
      </c>
      <c r="E155" s="25">
        <f t="shared" si="2"/>
        <v>79.8917635</v>
      </c>
      <c r="F155" s="24">
        <f t="shared" si="3"/>
        <v>0.0002088080182</v>
      </c>
      <c r="G155" s="24">
        <f t="shared" si="4"/>
        <v>0</v>
      </c>
      <c r="H155" s="26">
        <f t="shared" si="5"/>
        <v>0</v>
      </c>
      <c r="I155" s="24">
        <f t="shared" si="6"/>
        <v>0</v>
      </c>
      <c r="J155" s="24">
        <f t="shared" si="7"/>
        <v>0</v>
      </c>
      <c r="K155" s="24"/>
      <c r="L155" s="24">
        <f t="shared" si="8"/>
        <v>450.8694479</v>
      </c>
      <c r="M155" s="14">
        <f t="shared" si="9"/>
        <v>422.4780974</v>
      </c>
      <c r="N155" s="27">
        <f t="shared" si="10"/>
        <v>28.39135053</v>
      </c>
      <c r="O155" s="24"/>
      <c r="P155" s="24"/>
      <c r="Q155" s="24"/>
      <c r="R155" s="26"/>
      <c r="S155" s="14">
        <f t="shared" si="13"/>
        <v>26.07166739</v>
      </c>
      <c r="U155" s="21"/>
      <c r="V155" s="21"/>
    </row>
    <row r="156">
      <c r="A156" s="11">
        <v>144.0</v>
      </c>
      <c r="B156" s="11">
        <v>1.42002173913043E9</v>
      </c>
      <c r="C156" s="2">
        <v>-102.2766724</v>
      </c>
      <c r="D156" s="24">
        <f t="shared" si="1"/>
        <v>-378260.8696</v>
      </c>
      <c r="E156" s="25">
        <f t="shared" si="2"/>
        <v>78.97346736</v>
      </c>
      <c r="F156" s="24">
        <f t="shared" si="3"/>
        <v>0.000208780431</v>
      </c>
      <c r="G156" s="24">
        <f t="shared" si="4"/>
        <v>0</v>
      </c>
      <c r="H156" s="26">
        <f t="shared" si="5"/>
        <v>0</v>
      </c>
      <c r="I156" s="24">
        <f t="shared" si="6"/>
        <v>0</v>
      </c>
      <c r="J156" s="24">
        <f t="shared" si="7"/>
        <v>0</v>
      </c>
      <c r="K156" s="24"/>
      <c r="L156" s="24">
        <f t="shared" si="8"/>
        <v>450.2346626</v>
      </c>
      <c r="M156" s="14">
        <f t="shared" si="9"/>
        <v>422.3763037</v>
      </c>
      <c r="N156" s="27">
        <f t="shared" si="10"/>
        <v>27.8583589</v>
      </c>
      <c r="O156" s="24"/>
      <c r="P156" s="24"/>
      <c r="Q156" s="24"/>
      <c r="R156" s="26"/>
      <c r="S156" s="14">
        <f t="shared" si="13"/>
        <v>25.58222318</v>
      </c>
      <c r="U156" s="21"/>
      <c r="V156" s="21"/>
    </row>
    <row r="157">
      <c r="A157" s="11">
        <v>145.0</v>
      </c>
      <c r="B157" s="11">
        <v>1.42002608695652E9</v>
      </c>
      <c r="C157" s="2">
        <v>-102.2651215</v>
      </c>
      <c r="D157" s="24">
        <f t="shared" si="1"/>
        <v>-373913.0435</v>
      </c>
      <c r="E157" s="25">
        <f t="shared" si="2"/>
        <v>78.05517123</v>
      </c>
      <c r="F157" s="24">
        <f t="shared" si="3"/>
        <v>0.0002087522021</v>
      </c>
      <c r="G157" s="24">
        <f t="shared" si="4"/>
        <v>0</v>
      </c>
      <c r="H157" s="26">
        <f t="shared" si="5"/>
        <v>0</v>
      </c>
      <c r="I157" s="24">
        <f t="shared" si="6"/>
        <v>0</v>
      </c>
      <c r="J157" s="24">
        <f t="shared" si="7"/>
        <v>0</v>
      </c>
      <c r="K157" s="24"/>
      <c r="L157" s="24">
        <f t="shared" si="8"/>
        <v>451.4337425</v>
      </c>
      <c r="M157" s="14">
        <f t="shared" si="9"/>
        <v>422.2748611</v>
      </c>
      <c r="N157" s="27">
        <f t="shared" si="10"/>
        <v>29.15888139</v>
      </c>
      <c r="O157" s="24"/>
      <c r="P157" s="24"/>
      <c r="Q157" s="24"/>
      <c r="R157" s="26"/>
      <c r="S157" s="14">
        <f t="shared" si="13"/>
        <v>26.77648802</v>
      </c>
      <c r="U157" s="21"/>
      <c r="V157" s="21"/>
    </row>
    <row r="158">
      <c r="A158" s="11">
        <v>146.0</v>
      </c>
      <c r="B158" s="11">
        <v>1.4200304347826E9</v>
      </c>
      <c r="C158" s="2">
        <v>-102.3186798</v>
      </c>
      <c r="D158" s="24">
        <f t="shared" si="1"/>
        <v>-369565.2174</v>
      </c>
      <c r="E158" s="25">
        <f t="shared" si="2"/>
        <v>77.1368751</v>
      </c>
      <c r="F158" s="24">
        <f t="shared" si="3"/>
        <v>0.0002087233091</v>
      </c>
      <c r="G158" s="24">
        <f t="shared" si="4"/>
        <v>0</v>
      </c>
      <c r="H158" s="26">
        <f t="shared" si="5"/>
        <v>0</v>
      </c>
      <c r="I158" s="24">
        <f t="shared" si="6"/>
        <v>0</v>
      </c>
      <c r="J158" s="24">
        <f t="shared" si="7"/>
        <v>0</v>
      </c>
      <c r="K158" s="24"/>
      <c r="L158" s="24">
        <f t="shared" si="8"/>
        <v>445.9007341</v>
      </c>
      <c r="M158" s="14">
        <f t="shared" si="9"/>
        <v>422.1737674</v>
      </c>
      <c r="N158" s="27">
        <f t="shared" si="10"/>
        <v>23.72696679</v>
      </c>
      <c r="O158" s="24"/>
      <c r="P158" s="24"/>
      <c r="Q158" s="24"/>
      <c r="R158" s="26"/>
      <c r="S158" s="14">
        <f t="shared" si="13"/>
        <v>21.78838184</v>
      </c>
      <c r="U158" s="21"/>
      <c r="V158" s="21"/>
    </row>
    <row r="159">
      <c r="A159" s="11">
        <v>147.0</v>
      </c>
      <c r="B159" s="11">
        <v>1.42003478260869E9</v>
      </c>
      <c r="C159" s="2">
        <v>-102.2878265</v>
      </c>
      <c r="D159" s="24">
        <f t="shared" si="1"/>
        <v>-365217.3913</v>
      </c>
      <c r="E159" s="25">
        <f t="shared" si="2"/>
        <v>76.21857897</v>
      </c>
      <c r="F159" s="24">
        <f t="shared" si="3"/>
        <v>0.0002086937281</v>
      </c>
      <c r="G159" s="24">
        <f t="shared" si="4"/>
        <v>0</v>
      </c>
      <c r="H159" s="26">
        <f t="shared" si="5"/>
        <v>0</v>
      </c>
      <c r="I159" s="24">
        <f t="shared" si="6"/>
        <v>0</v>
      </c>
      <c r="J159" s="24">
        <f t="shared" si="7"/>
        <v>0</v>
      </c>
      <c r="K159" s="24"/>
      <c r="L159" s="24">
        <f t="shared" si="8"/>
        <v>449.0797967</v>
      </c>
      <c r="M159" s="14">
        <f t="shared" si="9"/>
        <v>422.0730203</v>
      </c>
      <c r="N159" s="27">
        <f t="shared" si="10"/>
        <v>27.00677643</v>
      </c>
      <c r="O159" s="24"/>
      <c r="P159" s="24"/>
      <c r="Q159" s="24"/>
      <c r="R159" s="26"/>
      <c r="S159" s="14">
        <f t="shared" si="13"/>
        <v>24.80021836</v>
      </c>
      <c r="U159" s="21"/>
      <c r="V159" s="21"/>
    </row>
    <row r="160">
      <c r="A160" s="11">
        <v>148.0</v>
      </c>
      <c r="B160" s="11">
        <v>1.42003913043478E9</v>
      </c>
      <c r="C160" s="2">
        <v>-102.2288437</v>
      </c>
      <c r="D160" s="24">
        <f t="shared" si="1"/>
        <v>-360869.5652</v>
      </c>
      <c r="E160" s="25">
        <f t="shared" si="2"/>
        <v>75.30028284</v>
      </c>
      <c r="F160" s="24">
        <f t="shared" si="3"/>
        <v>0.0002086634344</v>
      </c>
      <c r="G160" s="24">
        <f t="shared" si="4"/>
        <v>0</v>
      </c>
      <c r="H160" s="26">
        <f t="shared" si="5"/>
        <v>0</v>
      </c>
      <c r="I160" s="24">
        <f t="shared" si="6"/>
        <v>0</v>
      </c>
      <c r="J160" s="24">
        <f t="shared" si="7"/>
        <v>0</v>
      </c>
      <c r="K160" s="24"/>
      <c r="L160" s="24">
        <f t="shared" si="8"/>
        <v>455.2204852</v>
      </c>
      <c r="M160" s="14">
        <f t="shared" si="9"/>
        <v>421.9726177</v>
      </c>
      <c r="N160" s="27">
        <f t="shared" si="10"/>
        <v>33.24786752</v>
      </c>
      <c r="O160" s="24"/>
      <c r="P160" s="24"/>
      <c r="Q160" s="24"/>
      <c r="R160" s="26"/>
      <c r="S160" s="14">
        <f t="shared" si="13"/>
        <v>30.5313881</v>
      </c>
      <c r="U160" s="21"/>
      <c r="V160" s="21"/>
    </row>
    <row r="161">
      <c r="A161" s="11">
        <v>149.0</v>
      </c>
      <c r="B161" s="11">
        <v>1.42004347826087E9</v>
      </c>
      <c r="C161" s="2">
        <v>-102.2201843</v>
      </c>
      <c r="D161" s="24">
        <f t="shared" si="1"/>
        <v>-356521.7391</v>
      </c>
      <c r="E161" s="25">
        <f t="shared" si="2"/>
        <v>74.3819867</v>
      </c>
      <c r="F161" s="24">
        <f t="shared" si="3"/>
        <v>0.0002086324017</v>
      </c>
      <c r="G161" s="24">
        <f t="shared" si="4"/>
        <v>0</v>
      </c>
      <c r="H161" s="26">
        <f t="shared" si="5"/>
        <v>0</v>
      </c>
      <c r="I161" s="24">
        <f t="shared" si="6"/>
        <v>0</v>
      </c>
      <c r="J161" s="24">
        <f t="shared" si="7"/>
        <v>0</v>
      </c>
      <c r="K161" s="24"/>
      <c r="L161" s="24">
        <f t="shared" si="8"/>
        <v>456.1290551</v>
      </c>
      <c r="M161" s="14">
        <f t="shared" si="9"/>
        <v>421.8725575</v>
      </c>
      <c r="N161" s="27">
        <f t="shared" si="10"/>
        <v>34.25649761</v>
      </c>
      <c r="O161" s="24"/>
      <c r="P161" s="24"/>
      <c r="Q161" s="24"/>
      <c r="R161" s="26"/>
      <c r="S161" s="14">
        <f t="shared" si="13"/>
        <v>31.45760928</v>
      </c>
      <c r="U161" s="21"/>
      <c r="V161" s="21"/>
    </row>
    <row r="162">
      <c r="A162" s="11">
        <v>150.0</v>
      </c>
      <c r="B162" s="11">
        <v>1.42004782608695E9</v>
      </c>
      <c r="C162" s="2">
        <v>-102.1334229</v>
      </c>
      <c r="D162" s="24">
        <f t="shared" si="1"/>
        <v>-352173.913</v>
      </c>
      <c r="E162" s="25">
        <f t="shared" si="2"/>
        <v>73.46369057</v>
      </c>
      <c r="F162" s="24">
        <f t="shared" si="3"/>
        <v>0.0002086006029</v>
      </c>
      <c r="G162" s="24">
        <f t="shared" si="4"/>
        <v>0</v>
      </c>
      <c r="H162" s="26">
        <f t="shared" si="5"/>
        <v>0</v>
      </c>
      <c r="I162" s="24">
        <f t="shared" si="6"/>
        <v>0</v>
      </c>
      <c r="J162" s="24">
        <f t="shared" si="7"/>
        <v>0</v>
      </c>
      <c r="K162" s="24"/>
      <c r="L162" s="24">
        <f t="shared" si="8"/>
        <v>465.3330267</v>
      </c>
      <c r="M162" s="14">
        <f t="shared" si="9"/>
        <v>421.7728374</v>
      </c>
      <c r="N162" s="27">
        <f t="shared" si="10"/>
        <v>43.56018926</v>
      </c>
      <c r="O162" s="24"/>
      <c r="P162" s="24"/>
      <c r="Q162" s="24"/>
      <c r="R162" s="26"/>
      <c r="S162" s="14">
        <f t="shared" si="13"/>
        <v>40.00115334</v>
      </c>
      <c r="U162" s="21"/>
      <c r="V162" s="21"/>
    </row>
    <row r="163">
      <c r="A163" s="11">
        <v>151.0</v>
      </c>
      <c r="B163" s="11">
        <v>1.42005217391304E9</v>
      </c>
      <c r="C163" s="2">
        <v>-102.1622772</v>
      </c>
      <c r="D163" s="24">
        <f t="shared" si="1"/>
        <v>-347826.087</v>
      </c>
      <c r="E163" s="25">
        <f t="shared" si="2"/>
        <v>72.54539444</v>
      </c>
      <c r="F163" s="24">
        <f t="shared" si="3"/>
        <v>0.000208568009</v>
      </c>
      <c r="G163" s="24">
        <f t="shared" si="4"/>
        <v>0</v>
      </c>
      <c r="H163" s="26">
        <f t="shared" si="5"/>
        <v>0</v>
      </c>
      <c r="I163" s="24">
        <f t="shared" si="6"/>
        <v>0</v>
      </c>
      <c r="J163" s="24">
        <f t="shared" si="7"/>
        <v>0</v>
      </c>
      <c r="K163" s="24"/>
      <c r="L163" s="24">
        <f t="shared" si="8"/>
        <v>462.2516259</v>
      </c>
      <c r="M163" s="14">
        <f t="shared" si="9"/>
        <v>421.6734553</v>
      </c>
      <c r="N163" s="27">
        <f t="shared" si="10"/>
        <v>40.57817053</v>
      </c>
      <c r="O163" s="24"/>
      <c r="P163" s="24"/>
      <c r="Q163" s="24"/>
      <c r="R163" s="26"/>
      <c r="S163" s="14">
        <f t="shared" si="13"/>
        <v>37.26277699</v>
      </c>
      <c r="U163" s="21"/>
      <c r="V163" s="21"/>
    </row>
    <row r="164">
      <c r="A164" s="11">
        <v>152.0</v>
      </c>
      <c r="B164" s="11">
        <v>1.42005652173913E9</v>
      </c>
      <c r="C164" s="2">
        <v>-102.154274</v>
      </c>
      <c r="D164" s="24">
        <f t="shared" si="1"/>
        <v>-343478.2609</v>
      </c>
      <c r="E164" s="25">
        <f t="shared" si="2"/>
        <v>71.62709831</v>
      </c>
      <c r="F164" s="24">
        <f t="shared" si="3"/>
        <v>0.00020853459</v>
      </c>
      <c r="G164" s="24">
        <f t="shared" si="4"/>
        <v>0</v>
      </c>
      <c r="H164" s="26">
        <f t="shared" si="5"/>
        <v>0</v>
      </c>
      <c r="I164" s="24">
        <f t="shared" si="6"/>
        <v>0</v>
      </c>
      <c r="J164" s="24">
        <f t="shared" si="7"/>
        <v>0</v>
      </c>
      <c r="K164" s="24"/>
      <c r="L164" s="24">
        <f t="shared" si="8"/>
        <v>463.1042508</v>
      </c>
      <c r="M164" s="14">
        <f t="shared" si="9"/>
        <v>421.5744091</v>
      </c>
      <c r="N164" s="27">
        <f t="shared" si="10"/>
        <v>41.52984174</v>
      </c>
      <c r="O164" s="24"/>
      <c r="P164" s="24"/>
      <c r="Q164" s="24"/>
      <c r="R164" s="26"/>
      <c r="S164" s="14">
        <f t="shared" si="13"/>
        <v>38.13669306</v>
      </c>
      <c r="U164" s="21"/>
      <c r="V164" s="21"/>
    </row>
    <row r="165">
      <c r="A165" s="11">
        <v>153.0</v>
      </c>
      <c r="B165" s="11">
        <v>1.42006086956521E9</v>
      </c>
      <c r="C165" s="2">
        <v>-102.114769</v>
      </c>
      <c r="D165" s="24">
        <f t="shared" si="1"/>
        <v>-339130.4348</v>
      </c>
      <c r="E165" s="25">
        <f t="shared" si="2"/>
        <v>70.70880218</v>
      </c>
      <c r="F165" s="24">
        <f t="shared" si="3"/>
        <v>0.0002085003141</v>
      </c>
      <c r="G165" s="24">
        <f t="shared" si="4"/>
        <v>0</v>
      </c>
      <c r="H165" s="26">
        <f t="shared" si="5"/>
        <v>0</v>
      </c>
      <c r="I165" s="24">
        <f t="shared" si="6"/>
        <v>0</v>
      </c>
      <c r="J165" s="24">
        <f t="shared" si="7"/>
        <v>0</v>
      </c>
      <c r="K165" s="24"/>
      <c r="L165" s="24">
        <f t="shared" si="8"/>
        <v>467.3360326</v>
      </c>
      <c r="M165" s="14">
        <f t="shared" si="9"/>
        <v>421.4756964</v>
      </c>
      <c r="N165" s="27">
        <f t="shared" si="10"/>
        <v>45.86033621</v>
      </c>
      <c r="O165" s="24"/>
      <c r="P165" s="24"/>
      <c r="Q165" s="24"/>
      <c r="R165" s="26"/>
      <c r="S165" s="14">
        <f t="shared" si="13"/>
        <v>42.11336939</v>
      </c>
      <c r="U165" s="21"/>
      <c r="V165" s="21"/>
    </row>
    <row r="166">
      <c r="A166" s="11">
        <v>154.0</v>
      </c>
      <c r="B166" s="11">
        <v>1.4200652173913E9</v>
      </c>
      <c r="C166" s="2">
        <v>-102.0734177</v>
      </c>
      <c r="D166" s="24">
        <f t="shared" si="1"/>
        <v>-334782.6087</v>
      </c>
      <c r="E166" s="25">
        <f t="shared" si="2"/>
        <v>69.79050604</v>
      </c>
      <c r="F166" s="24">
        <f t="shared" si="3"/>
        <v>0.0002084651479</v>
      </c>
      <c r="G166" s="24">
        <f t="shared" si="4"/>
        <v>0</v>
      </c>
      <c r="H166" s="26">
        <f t="shared" si="5"/>
        <v>0</v>
      </c>
      <c r="I166" s="24">
        <f t="shared" si="6"/>
        <v>0</v>
      </c>
      <c r="J166" s="24">
        <f t="shared" si="7"/>
        <v>0</v>
      </c>
      <c r="K166" s="24"/>
      <c r="L166" s="24">
        <f t="shared" si="8"/>
        <v>471.8070188</v>
      </c>
      <c r="M166" s="14">
        <f t="shared" si="9"/>
        <v>421.3773152</v>
      </c>
      <c r="N166" s="27">
        <f t="shared" si="10"/>
        <v>50.42970359</v>
      </c>
      <c r="O166" s="24"/>
      <c r="P166" s="24"/>
      <c r="Q166" s="24"/>
      <c r="R166" s="26"/>
      <c r="S166" s="14">
        <f t="shared" si="13"/>
        <v>46.30940168</v>
      </c>
      <c r="U166" s="21"/>
      <c r="V166" s="21"/>
    </row>
    <row r="167">
      <c r="A167" s="11">
        <v>155.0</v>
      </c>
      <c r="B167" s="11">
        <v>1.42006956521739E9</v>
      </c>
      <c r="C167" s="2">
        <v>-102.0948792</v>
      </c>
      <c r="D167" s="24">
        <f t="shared" si="1"/>
        <v>-330434.7826</v>
      </c>
      <c r="E167" s="25">
        <f t="shared" si="2"/>
        <v>68.87220991</v>
      </c>
      <c r="F167" s="24">
        <f t="shared" si="3"/>
        <v>0.0002084290563</v>
      </c>
      <c r="G167" s="24">
        <f t="shared" si="4"/>
        <v>0</v>
      </c>
      <c r="H167" s="26">
        <f t="shared" si="5"/>
        <v>0</v>
      </c>
      <c r="I167" s="24">
        <f t="shared" si="6"/>
        <v>0</v>
      </c>
      <c r="J167" s="24">
        <f t="shared" si="7"/>
        <v>0</v>
      </c>
      <c r="K167" s="24"/>
      <c r="L167" s="24">
        <f t="shared" si="8"/>
        <v>469.4812448</v>
      </c>
      <c r="M167" s="14">
        <f t="shared" si="9"/>
        <v>421.2792633</v>
      </c>
      <c r="N167" s="27">
        <f t="shared" si="10"/>
        <v>48.20198142</v>
      </c>
      <c r="O167" s="24"/>
      <c r="P167" s="24"/>
      <c r="Q167" s="24"/>
      <c r="R167" s="26"/>
      <c r="S167" s="14">
        <f t="shared" si="13"/>
        <v>44.26369313</v>
      </c>
      <c r="U167" s="21"/>
      <c r="V167" s="21"/>
    </row>
    <row r="168">
      <c r="A168" s="11">
        <v>156.0</v>
      </c>
      <c r="B168" s="11">
        <v>1.42007391304347E9</v>
      </c>
      <c r="C168" s="2">
        <v>-102.1188278</v>
      </c>
      <c r="D168" s="24">
        <f t="shared" si="1"/>
        <v>-326086.9565</v>
      </c>
      <c r="E168" s="25">
        <f t="shared" si="2"/>
        <v>67.95391378</v>
      </c>
      <c r="F168" s="24">
        <f t="shared" si="3"/>
        <v>0.0002083920023</v>
      </c>
      <c r="G168" s="24">
        <f t="shared" si="4"/>
        <v>0</v>
      </c>
      <c r="H168" s="26">
        <f t="shared" si="5"/>
        <v>0</v>
      </c>
      <c r="I168" s="24">
        <f t="shared" si="6"/>
        <v>0</v>
      </c>
      <c r="J168" s="24">
        <f t="shared" si="7"/>
        <v>0</v>
      </c>
      <c r="K168" s="24"/>
      <c r="L168" s="24">
        <f t="shared" si="8"/>
        <v>466.8994769</v>
      </c>
      <c r="M168" s="14">
        <f t="shared" si="9"/>
        <v>421.1815385</v>
      </c>
      <c r="N168" s="27">
        <f t="shared" si="10"/>
        <v>45.71793839</v>
      </c>
      <c r="O168" s="24"/>
      <c r="P168" s="24"/>
      <c r="Q168" s="24"/>
      <c r="R168" s="26"/>
      <c r="S168" s="14">
        <f t="shared" si="13"/>
        <v>41.98260602</v>
      </c>
      <c r="U168" s="21"/>
      <c r="V168" s="21"/>
    </row>
    <row r="169">
      <c r="A169" s="11">
        <v>157.0</v>
      </c>
      <c r="B169" s="11">
        <v>1.42007826086956E9</v>
      </c>
      <c r="C169" s="2">
        <v>-102.0792923</v>
      </c>
      <c r="D169" s="24">
        <f t="shared" si="1"/>
        <v>-321739.1304</v>
      </c>
      <c r="E169" s="25">
        <f t="shared" si="2"/>
        <v>67.03561765</v>
      </c>
      <c r="F169" s="24">
        <f t="shared" si="3"/>
        <v>0.0002083539467</v>
      </c>
      <c r="G169" s="24">
        <f t="shared" si="4"/>
        <v>0</v>
      </c>
      <c r="H169" s="26">
        <f t="shared" si="5"/>
        <v>0</v>
      </c>
      <c r="I169" s="24">
        <f t="shared" si="6"/>
        <v>0</v>
      </c>
      <c r="J169" s="24">
        <f t="shared" si="7"/>
        <v>0</v>
      </c>
      <c r="K169" s="24"/>
      <c r="L169" s="24">
        <f t="shared" si="8"/>
        <v>471.169248</v>
      </c>
      <c r="M169" s="14">
        <f t="shared" si="9"/>
        <v>421.0841387</v>
      </c>
      <c r="N169" s="27">
        <f t="shared" si="10"/>
        <v>50.08510929</v>
      </c>
      <c r="O169" s="24"/>
      <c r="P169" s="24"/>
      <c r="Q169" s="24"/>
      <c r="R169" s="26"/>
      <c r="S169" s="14">
        <f t="shared" si="13"/>
        <v>45.99296206</v>
      </c>
      <c r="U169" s="21"/>
      <c r="V169" s="21"/>
    </row>
    <row r="170">
      <c r="A170" s="11">
        <v>158.0</v>
      </c>
      <c r="B170" s="11">
        <v>1.42008260869565E9</v>
      </c>
      <c r="C170" s="2">
        <v>-102.1082611</v>
      </c>
      <c r="D170" s="24">
        <f t="shared" si="1"/>
        <v>-317391.3043</v>
      </c>
      <c r="E170" s="25">
        <f t="shared" si="2"/>
        <v>66.11732152</v>
      </c>
      <c r="F170" s="24">
        <f t="shared" si="3"/>
        <v>0.0002083148486</v>
      </c>
      <c r="G170" s="24">
        <f t="shared" si="4"/>
        <v>0</v>
      </c>
      <c r="H170" s="26">
        <f t="shared" si="5"/>
        <v>0</v>
      </c>
      <c r="I170" s="24">
        <f t="shared" si="6"/>
        <v>0</v>
      </c>
      <c r="J170" s="24">
        <f t="shared" si="7"/>
        <v>0</v>
      </c>
      <c r="K170" s="24"/>
      <c r="L170" s="24">
        <f t="shared" si="8"/>
        <v>468.0368603</v>
      </c>
      <c r="M170" s="14">
        <f t="shared" si="9"/>
        <v>420.9870615</v>
      </c>
      <c r="N170" s="27">
        <f t="shared" si="10"/>
        <v>47.04979881</v>
      </c>
      <c r="O170" s="24"/>
      <c r="P170" s="24"/>
      <c r="Q170" s="24"/>
      <c r="R170" s="26"/>
      <c r="S170" s="14">
        <f t="shared" si="13"/>
        <v>43.20564829</v>
      </c>
      <c r="U170" s="21"/>
      <c r="V170" s="21"/>
    </row>
    <row r="171">
      <c r="A171" s="11">
        <v>159.0</v>
      </c>
      <c r="B171" s="11">
        <v>1.42008695652173E9</v>
      </c>
      <c r="C171" s="2">
        <v>-102.1241989</v>
      </c>
      <c r="D171" s="24">
        <f t="shared" si="1"/>
        <v>-313043.4783</v>
      </c>
      <c r="E171" s="25">
        <f t="shared" si="2"/>
        <v>65.19902538</v>
      </c>
      <c r="F171" s="24">
        <f t="shared" si="3"/>
        <v>0.0002082746644</v>
      </c>
      <c r="G171" s="24">
        <f t="shared" si="4"/>
        <v>0</v>
      </c>
      <c r="H171" s="26">
        <f t="shared" si="5"/>
        <v>0</v>
      </c>
      <c r="I171" s="24">
        <f t="shared" si="6"/>
        <v>0</v>
      </c>
      <c r="J171" s="24">
        <f t="shared" si="7"/>
        <v>0</v>
      </c>
      <c r="K171" s="24"/>
      <c r="L171" s="24">
        <f t="shared" si="8"/>
        <v>466.3223999</v>
      </c>
      <c r="M171" s="14">
        <f t="shared" si="9"/>
        <v>420.890305</v>
      </c>
      <c r="N171" s="27">
        <f t="shared" si="10"/>
        <v>45.4320949</v>
      </c>
      <c r="O171" s="24"/>
      <c r="P171" s="24"/>
      <c r="Q171" s="24"/>
      <c r="R171" s="26"/>
      <c r="S171" s="14">
        <f t="shared" si="13"/>
        <v>41.72011705</v>
      </c>
      <c r="U171" s="21"/>
      <c r="V171" s="21"/>
    </row>
    <row r="172">
      <c r="A172" s="11">
        <v>160.0</v>
      </c>
      <c r="B172" s="11">
        <v>1.42009130434782E9</v>
      </c>
      <c r="C172" s="2">
        <v>-102.1032562</v>
      </c>
      <c r="D172" s="24">
        <f t="shared" si="1"/>
        <v>-308695.6522</v>
      </c>
      <c r="E172" s="25">
        <f t="shared" si="2"/>
        <v>64.28072925</v>
      </c>
      <c r="F172" s="24">
        <f t="shared" si="3"/>
        <v>0.0002082333483</v>
      </c>
      <c r="G172" s="24">
        <f t="shared" si="4"/>
        <v>0</v>
      </c>
      <c r="H172" s="26">
        <f t="shared" si="5"/>
        <v>0</v>
      </c>
      <c r="I172" s="24">
        <f t="shared" si="6"/>
        <v>0</v>
      </c>
      <c r="J172" s="24">
        <f t="shared" si="7"/>
        <v>0</v>
      </c>
      <c r="K172" s="24"/>
      <c r="L172" s="24">
        <f t="shared" si="8"/>
        <v>468.5765467</v>
      </c>
      <c r="M172" s="14">
        <f t="shared" si="9"/>
        <v>420.7938669</v>
      </c>
      <c r="N172" s="27">
        <f t="shared" si="10"/>
        <v>47.78267983</v>
      </c>
      <c r="O172" s="24"/>
      <c r="P172" s="24"/>
      <c r="Q172" s="24"/>
      <c r="R172" s="26"/>
      <c r="S172" s="14">
        <f t="shared" si="13"/>
        <v>43.8786501</v>
      </c>
      <c r="U172" s="21"/>
      <c r="V172" s="21"/>
    </row>
    <row r="173">
      <c r="A173" s="11">
        <v>161.0</v>
      </c>
      <c r="B173" s="11">
        <v>1.42009565217391E9</v>
      </c>
      <c r="C173" s="2">
        <v>-102.0590515</v>
      </c>
      <c r="D173" s="24">
        <f t="shared" si="1"/>
        <v>-304347.8261</v>
      </c>
      <c r="E173" s="25">
        <f t="shared" si="2"/>
        <v>63.36243312</v>
      </c>
      <c r="F173" s="24">
        <f t="shared" si="3"/>
        <v>0.0002081908517</v>
      </c>
      <c r="G173" s="24">
        <f t="shared" si="4"/>
        <v>0</v>
      </c>
      <c r="H173" s="26">
        <f t="shared" si="5"/>
        <v>0</v>
      </c>
      <c r="I173" s="24">
        <f t="shared" si="6"/>
        <v>0</v>
      </c>
      <c r="J173" s="24">
        <f t="shared" si="7"/>
        <v>0</v>
      </c>
      <c r="K173" s="24"/>
      <c r="L173" s="24">
        <f t="shared" si="8"/>
        <v>473.3703123</v>
      </c>
      <c r="M173" s="14">
        <f t="shared" si="9"/>
        <v>420.6977449</v>
      </c>
      <c r="N173" s="27">
        <f t="shared" si="10"/>
        <v>52.67256733</v>
      </c>
      <c r="O173" s="24"/>
      <c r="P173" s="24"/>
      <c r="Q173" s="24"/>
      <c r="R173" s="26"/>
      <c r="S173" s="14">
        <f t="shared" si="13"/>
        <v>48.36901477</v>
      </c>
      <c r="U173" s="21"/>
      <c r="V173" s="21"/>
    </row>
    <row r="174">
      <c r="A174" s="11">
        <v>162.0</v>
      </c>
      <c r="B174" s="11">
        <v>1.4201E9</v>
      </c>
      <c r="C174" s="2">
        <v>-102.0451889</v>
      </c>
      <c r="D174" s="24">
        <f t="shared" si="1"/>
        <v>-300000</v>
      </c>
      <c r="E174" s="25">
        <f t="shared" si="2"/>
        <v>62.44413699</v>
      </c>
      <c r="F174" s="24">
        <f t="shared" si="3"/>
        <v>0.0002081471233</v>
      </c>
      <c r="G174" s="24">
        <f t="shared" si="4"/>
        <v>0</v>
      </c>
      <c r="H174" s="26">
        <f t="shared" si="5"/>
        <v>0</v>
      </c>
      <c r="I174" s="24">
        <f t="shared" si="6"/>
        <v>0</v>
      </c>
      <c r="J174" s="24">
        <f t="shared" si="7"/>
        <v>0</v>
      </c>
      <c r="K174" s="24"/>
      <c r="L174" s="24">
        <f t="shared" si="8"/>
        <v>474.8837157</v>
      </c>
      <c r="M174" s="14">
        <f t="shared" si="9"/>
        <v>420.6019371</v>
      </c>
      <c r="N174" s="27">
        <f t="shared" si="10"/>
        <v>54.28177862</v>
      </c>
      <c r="O174" s="24"/>
      <c r="P174" s="24"/>
      <c r="Q174" s="24"/>
      <c r="R174" s="26"/>
      <c r="S174" s="14">
        <f t="shared" si="13"/>
        <v>49.84674739</v>
      </c>
      <c r="U174" s="21"/>
      <c r="V174" s="21"/>
    </row>
    <row r="175">
      <c r="A175" s="11">
        <v>163.0</v>
      </c>
      <c r="B175" s="11">
        <v>1.42010434782608E9</v>
      </c>
      <c r="C175" s="2">
        <v>-102.1255493</v>
      </c>
      <c r="D175" s="24">
        <f t="shared" si="1"/>
        <v>-295652.1739</v>
      </c>
      <c r="E175" s="25">
        <f t="shared" si="2"/>
        <v>61.52584085</v>
      </c>
      <c r="F175" s="24">
        <f t="shared" si="3"/>
        <v>0.0002081021088</v>
      </c>
      <c r="G175" s="24">
        <f t="shared" si="4"/>
        <v>0</v>
      </c>
      <c r="H175" s="26">
        <f t="shared" si="5"/>
        <v>0</v>
      </c>
      <c r="I175" s="24">
        <f t="shared" si="6"/>
        <v>0</v>
      </c>
      <c r="J175" s="24">
        <f t="shared" si="7"/>
        <v>0</v>
      </c>
      <c r="K175" s="24"/>
      <c r="L175" s="24">
        <f t="shared" si="8"/>
        <v>466.1774236</v>
      </c>
      <c r="M175" s="14">
        <f t="shared" si="9"/>
        <v>420.5064411</v>
      </c>
      <c r="N175" s="27">
        <f t="shared" si="10"/>
        <v>45.67098256</v>
      </c>
      <c r="O175" s="24"/>
      <c r="P175" s="24"/>
      <c r="Q175" s="24"/>
      <c r="R175" s="26"/>
      <c r="S175" s="14">
        <f t="shared" si="13"/>
        <v>41.93948667</v>
      </c>
      <c r="U175" s="21"/>
      <c r="V175" s="21"/>
    </row>
    <row r="176">
      <c r="A176" s="11">
        <v>164.0</v>
      </c>
      <c r="B176" s="11">
        <v>1.42010869565217E9</v>
      </c>
      <c r="C176" s="2">
        <v>-102.0784073</v>
      </c>
      <c r="D176" s="24">
        <f t="shared" si="1"/>
        <v>-291304.3478</v>
      </c>
      <c r="E176" s="25">
        <f t="shared" si="2"/>
        <v>60.60754472</v>
      </c>
      <c r="F176" s="24">
        <f t="shared" si="3"/>
        <v>0.0002080557505</v>
      </c>
      <c r="G176" s="24">
        <f t="shared" si="4"/>
        <v>0</v>
      </c>
      <c r="H176" s="26">
        <f t="shared" si="5"/>
        <v>0</v>
      </c>
      <c r="I176" s="24">
        <f t="shared" si="6"/>
        <v>0</v>
      </c>
      <c r="J176" s="24">
        <f t="shared" si="7"/>
        <v>0</v>
      </c>
      <c r="K176" s="24"/>
      <c r="L176" s="24">
        <f t="shared" si="8"/>
        <v>471.265272</v>
      </c>
      <c r="M176" s="14">
        <f t="shared" si="9"/>
        <v>420.4112548</v>
      </c>
      <c r="N176" s="27">
        <f t="shared" si="10"/>
        <v>50.85401725</v>
      </c>
      <c r="O176" s="24"/>
      <c r="P176" s="24"/>
      <c r="Q176" s="24"/>
      <c r="R176" s="26"/>
      <c r="S176" s="14">
        <f t="shared" si="13"/>
        <v>46.69904727</v>
      </c>
      <c r="U176" s="21"/>
      <c r="V176" s="21"/>
    </row>
    <row r="177">
      <c r="A177" s="11">
        <v>165.0</v>
      </c>
      <c r="B177" s="11">
        <v>1.42011304347826E9</v>
      </c>
      <c r="C177" s="2">
        <v>-102.0675125</v>
      </c>
      <c r="D177" s="24">
        <f t="shared" si="1"/>
        <v>-286956.5217</v>
      </c>
      <c r="E177" s="25">
        <f t="shared" si="2"/>
        <v>59.68924859</v>
      </c>
      <c r="F177" s="24">
        <f t="shared" si="3"/>
        <v>0.0002080079875</v>
      </c>
      <c r="G177" s="24">
        <f t="shared" si="4"/>
        <v>0</v>
      </c>
      <c r="H177" s="26">
        <f t="shared" si="5"/>
        <v>0</v>
      </c>
      <c r="I177" s="24">
        <f t="shared" si="6"/>
        <v>0</v>
      </c>
      <c r="J177" s="24">
        <f t="shared" si="7"/>
        <v>0</v>
      </c>
      <c r="K177" s="24"/>
      <c r="L177" s="24">
        <f t="shared" si="8"/>
        <v>472.4489818</v>
      </c>
      <c r="M177" s="14">
        <f t="shared" si="9"/>
        <v>420.316376</v>
      </c>
      <c r="N177" s="27">
        <f t="shared" si="10"/>
        <v>52.13260583</v>
      </c>
      <c r="O177" s="24"/>
      <c r="P177" s="24"/>
      <c r="Q177" s="24"/>
      <c r="R177" s="26"/>
      <c r="S177" s="14">
        <f t="shared" si="13"/>
        <v>47.87317032</v>
      </c>
      <c r="U177" s="21"/>
      <c r="V177" s="21"/>
    </row>
    <row r="178">
      <c r="A178" s="11">
        <v>166.0</v>
      </c>
      <c r="B178" s="11">
        <v>1.42011739130434E9</v>
      </c>
      <c r="C178" s="2">
        <v>-102.0816727</v>
      </c>
      <c r="D178" s="24">
        <f t="shared" si="1"/>
        <v>-282608.6957</v>
      </c>
      <c r="E178" s="25">
        <f t="shared" si="2"/>
        <v>58.77095246</v>
      </c>
      <c r="F178" s="24">
        <f t="shared" si="3"/>
        <v>0.0002079587548</v>
      </c>
      <c r="G178" s="24">
        <f t="shared" si="4"/>
        <v>0</v>
      </c>
      <c r="H178" s="26">
        <f t="shared" si="5"/>
        <v>0</v>
      </c>
      <c r="I178" s="24">
        <f t="shared" si="6"/>
        <v>0</v>
      </c>
      <c r="J178" s="24">
        <f t="shared" si="7"/>
        <v>0</v>
      </c>
      <c r="K178" s="24"/>
      <c r="L178" s="24">
        <f t="shared" si="8"/>
        <v>470.9110674</v>
      </c>
      <c r="M178" s="14">
        <f t="shared" si="9"/>
        <v>420.2218026</v>
      </c>
      <c r="N178" s="27">
        <f t="shared" si="10"/>
        <v>50.68926481</v>
      </c>
      <c r="O178" s="24"/>
      <c r="P178" s="24"/>
      <c r="Q178" s="24"/>
      <c r="R178" s="26"/>
      <c r="S178" s="14">
        <f t="shared" si="13"/>
        <v>46.54775585</v>
      </c>
      <c r="U178" s="21"/>
      <c r="V178" s="21"/>
    </row>
    <row r="179">
      <c r="A179" s="11">
        <v>167.0</v>
      </c>
      <c r="B179" s="11">
        <v>1.42012173913043E9</v>
      </c>
      <c r="C179" s="2">
        <v>-102.0239334</v>
      </c>
      <c r="D179" s="24">
        <f t="shared" si="1"/>
        <v>-278260.8696</v>
      </c>
      <c r="E179" s="25">
        <f t="shared" si="2"/>
        <v>57.85265632</v>
      </c>
      <c r="F179" s="24">
        <f t="shared" si="3"/>
        <v>0.0002079079837</v>
      </c>
      <c r="G179" s="24">
        <f t="shared" si="4"/>
        <v>0</v>
      </c>
      <c r="H179" s="26">
        <f t="shared" si="5"/>
        <v>0</v>
      </c>
      <c r="I179" s="24">
        <f t="shared" si="6"/>
        <v>0</v>
      </c>
      <c r="J179" s="24">
        <f t="shared" si="7"/>
        <v>0</v>
      </c>
      <c r="K179" s="24"/>
      <c r="L179" s="24">
        <f t="shared" si="8"/>
        <v>477.2136169</v>
      </c>
      <c r="M179" s="14">
        <f t="shared" si="9"/>
        <v>420.1275323</v>
      </c>
      <c r="N179" s="27">
        <f t="shared" si="10"/>
        <v>57.08608455</v>
      </c>
      <c r="O179" s="24"/>
      <c r="P179" s="24"/>
      <c r="Q179" s="24"/>
      <c r="R179" s="26"/>
      <c r="S179" s="14">
        <f t="shared" si="13"/>
        <v>52.42193056</v>
      </c>
      <c r="U179" s="21"/>
      <c r="V179" s="21"/>
    </row>
    <row r="180">
      <c r="A180" s="11">
        <v>168.0</v>
      </c>
      <c r="B180" s="11">
        <v>1.42012608695652E9</v>
      </c>
      <c r="C180" s="2">
        <v>-102.0554504</v>
      </c>
      <c r="D180" s="24">
        <f t="shared" si="1"/>
        <v>-273913.0435</v>
      </c>
      <c r="E180" s="25">
        <f t="shared" si="2"/>
        <v>56.93436019</v>
      </c>
      <c r="F180" s="24">
        <f t="shared" si="3"/>
        <v>0.0002078556007</v>
      </c>
      <c r="G180" s="24">
        <f t="shared" si="4"/>
        <v>0</v>
      </c>
      <c r="H180" s="26">
        <f t="shared" si="5"/>
        <v>0</v>
      </c>
      <c r="I180" s="24">
        <f t="shared" si="6"/>
        <v>0</v>
      </c>
      <c r="J180" s="24">
        <f t="shared" si="7"/>
        <v>0</v>
      </c>
      <c r="K180" s="24"/>
      <c r="L180" s="24">
        <f t="shared" si="8"/>
        <v>473.7629861</v>
      </c>
      <c r="M180" s="14">
        <f t="shared" si="9"/>
        <v>420.033563</v>
      </c>
      <c r="N180" s="27">
        <f t="shared" si="10"/>
        <v>53.72942304</v>
      </c>
      <c r="O180" s="24"/>
      <c r="P180" s="24"/>
      <c r="Q180" s="24"/>
      <c r="R180" s="26"/>
      <c r="S180" s="14">
        <f t="shared" si="13"/>
        <v>49.3395214</v>
      </c>
      <c r="U180" s="21"/>
      <c r="V180" s="21"/>
    </row>
    <row r="181">
      <c r="A181" s="11">
        <v>169.0</v>
      </c>
      <c r="B181" s="11">
        <v>1.4201304347826E9</v>
      </c>
      <c r="C181" s="2">
        <v>-101.9999542</v>
      </c>
      <c r="D181" s="24">
        <f t="shared" si="1"/>
        <v>-269565.2174</v>
      </c>
      <c r="E181" s="25">
        <f t="shared" si="2"/>
        <v>56.01606406</v>
      </c>
      <c r="F181" s="24">
        <f t="shared" si="3"/>
        <v>0.000207801528</v>
      </c>
      <c r="G181" s="24">
        <f t="shared" si="4"/>
        <v>0</v>
      </c>
      <c r="H181" s="26">
        <f t="shared" si="5"/>
        <v>0</v>
      </c>
      <c r="I181" s="24">
        <f t="shared" si="6"/>
        <v>0</v>
      </c>
      <c r="J181" s="24">
        <f t="shared" si="7"/>
        <v>0</v>
      </c>
      <c r="K181" s="24"/>
      <c r="L181" s="24">
        <f t="shared" si="8"/>
        <v>479.8557988</v>
      </c>
      <c r="M181" s="14">
        <f t="shared" si="9"/>
        <v>419.9398926</v>
      </c>
      <c r="N181" s="27">
        <f t="shared" si="10"/>
        <v>59.91590619</v>
      </c>
      <c r="O181" s="24"/>
      <c r="P181" s="24"/>
      <c r="Q181" s="24"/>
      <c r="R181" s="26"/>
      <c r="S181" s="14">
        <f t="shared" si="13"/>
        <v>55.02054494</v>
      </c>
      <c r="U181" s="21"/>
      <c r="V181" s="21"/>
    </row>
    <row r="182">
      <c r="A182" s="11">
        <v>170.0</v>
      </c>
      <c r="B182" s="11">
        <v>1.42013478260869E9</v>
      </c>
      <c r="C182" s="2">
        <v>-102.0780106</v>
      </c>
      <c r="D182" s="24">
        <f t="shared" si="1"/>
        <v>-265217.3913</v>
      </c>
      <c r="E182" s="25">
        <f t="shared" si="2"/>
        <v>55.09776793</v>
      </c>
      <c r="F182" s="24">
        <f t="shared" si="3"/>
        <v>0.0002077456823</v>
      </c>
      <c r="G182" s="24">
        <f t="shared" si="4"/>
        <v>0</v>
      </c>
      <c r="H182" s="26">
        <f t="shared" si="5"/>
        <v>0</v>
      </c>
      <c r="I182" s="24">
        <f t="shared" si="6"/>
        <v>0</v>
      </c>
      <c r="J182" s="24">
        <f t="shared" si="7"/>
        <v>0</v>
      </c>
      <c r="K182" s="24"/>
      <c r="L182" s="24">
        <f t="shared" si="8"/>
        <v>471.308321</v>
      </c>
      <c r="M182" s="14">
        <f t="shared" si="9"/>
        <v>419.8465188</v>
      </c>
      <c r="N182" s="27">
        <f t="shared" si="10"/>
        <v>51.46180224</v>
      </c>
      <c r="O182" s="24"/>
      <c r="P182" s="24"/>
      <c r="Q182" s="24"/>
      <c r="R182" s="26"/>
      <c r="S182" s="14">
        <f t="shared" si="13"/>
        <v>47.25717398</v>
      </c>
      <c r="U182" s="21"/>
      <c r="V182" s="21"/>
    </row>
    <row r="183">
      <c r="A183" s="11">
        <v>171.0</v>
      </c>
      <c r="B183" s="11">
        <v>1.42013913043478E9</v>
      </c>
      <c r="C183" s="2">
        <v>-102.0237656</v>
      </c>
      <c r="D183" s="24">
        <f t="shared" si="1"/>
        <v>-260869.5652</v>
      </c>
      <c r="E183" s="25">
        <f t="shared" si="2"/>
        <v>54.1794718</v>
      </c>
      <c r="F183" s="24">
        <f t="shared" si="3"/>
        <v>0.0002076879752</v>
      </c>
      <c r="G183" s="24">
        <f t="shared" si="4"/>
        <v>0</v>
      </c>
      <c r="H183" s="26">
        <f t="shared" si="5"/>
        <v>0</v>
      </c>
      <c r="I183" s="24">
        <f t="shared" si="6"/>
        <v>0</v>
      </c>
      <c r="J183" s="24">
        <f t="shared" si="7"/>
        <v>0</v>
      </c>
      <c r="K183" s="24"/>
      <c r="L183" s="24">
        <f t="shared" si="8"/>
        <v>477.2320555</v>
      </c>
      <c r="M183" s="14">
        <f t="shared" si="9"/>
        <v>419.7534395</v>
      </c>
      <c r="N183" s="27">
        <f t="shared" si="10"/>
        <v>57.47861604</v>
      </c>
      <c r="O183" s="24"/>
      <c r="P183" s="24"/>
      <c r="Q183" s="24"/>
      <c r="R183" s="26"/>
      <c r="S183" s="14">
        <f t="shared" si="13"/>
        <v>52.7823907</v>
      </c>
      <c r="U183" s="21"/>
      <c r="V183" s="21"/>
    </row>
    <row r="184">
      <c r="A184" s="11">
        <v>172.0</v>
      </c>
      <c r="B184" s="11">
        <v>1.42014347826087E9</v>
      </c>
      <c r="C184" s="2">
        <v>-102.037941</v>
      </c>
      <c r="D184" s="24">
        <f t="shared" si="1"/>
        <v>-256521.7391</v>
      </c>
      <c r="E184" s="25">
        <f t="shared" si="2"/>
        <v>53.26117567</v>
      </c>
      <c r="F184" s="24">
        <f t="shared" si="3"/>
        <v>0.0002076283119</v>
      </c>
      <c r="G184" s="24">
        <f t="shared" si="4"/>
        <v>0</v>
      </c>
      <c r="H184" s="26">
        <f t="shared" si="5"/>
        <v>0</v>
      </c>
      <c r="I184" s="24">
        <f t="shared" si="6"/>
        <v>0</v>
      </c>
      <c r="J184" s="24">
        <f t="shared" si="7"/>
        <v>0</v>
      </c>
      <c r="K184" s="24"/>
      <c r="L184" s="24">
        <f t="shared" si="8"/>
        <v>475.6769064</v>
      </c>
      <c r="M184" s="14">
        <f t="shared" si="9"/>
        <v>419.6606524</v>
      </c>
      <c r="N184" s="27">
        <f t="shared" si="10"/>
        <v>56.01625395</v>
      </c>
      <c r="O184" s="24"/>
      <c r="P184" s="24"/>
      <c r="Q184" s="24"/>
      <c r="R184" s="26"/>
      <c r="S184" s="14">
        <f t="shared" si="13"/>
        <v>51.43950937</v>
      </c>
      <c r="U184" s="21"/>
      <c r="V184" s="21"/>
    </row>
    <row r="185">
      <c r="A185" s="11">
        <v>173.0</v>
      </c>
      <c r="B185" s="11">
        <v>1.42014782608695E9</v>
      </c>
      <c r="C185" s="2">
        <v>-102.0390854</v>
      </c>
      <c r="D185" s="24">
        <f t="shared" si="1"/>
        <v>-252173.913</v>
      </c>
      <c r="E185" s="25">
        <f t="shared" si="2"/>
        <v>52.34287953</v>
      </c>
      <c r="F185" s="24">
        <f t="shared" si="3"/>
        <v>0.0002075665912</v>
      </c>
      <c r="G185" s="24">
        <f t="shared" si="4"/>
        <v>0</v>
      </c>
      <c r="H185" s="26">
        <f t="shared" si="5"/>
        <v>0</v>
      </c>
      <c r="I185" s="24">
        <f t="shared" si="6"/>
        <v>0</v>
      </c>
      <c r="J185" s="24">
        <f t="shared" si="7"/>
        <v>0</v>
      </c>
      <c r="K185" s="24"/>
      <c r="L185" s="24">
        <f t="shared" si="8"/>
        <v>475.5515783</v>
      </c>
      <c r="M185" s="14">
        <f t="shared" si="9"/>
        <v>419.5681555</v>
      </c>
      <c r="N185" s="27">
        <f t="shared" si="10"/>
        <v>55.9834228</v>
      </c>
      <c r="O185" s="24"/>
      <c r="P185" s="24"/>
      <c r="Q185" s="24"/>
      <c r="R185" s="26"/>
      <c r="S185" s="14">
        <f t="shared" si="13"/>
        <v>51.40936066</v>
      </c>
      <c r="U185" s="21"/>
      <c r="V185" s="21"/>
    </row>
    <row r="186">
      <c r="A186" s="11">
        <v>174.0</v>
      </c>
      <c r="B186" s="11">
        <v>1.42015217391304E9</v>
      </c>
      <c r="C186" s="2">
        <v>-102.0288925</v>
      </c>
      <c r="D186" s="24">
        <f t="shared" si="1"/>
        <v>-247826.087</v>
      </c>
      <c r="E186" s="25">
        <f t="shared" si="2"/>
        <v>51.4245834</v>
      </c>
      <c r="F186" s="24">
        <f t="shared" si="3"/>
        <v>0.0002075027049</v>
      </c>
      <c r="G186" s="24">
        <f t="shared" si="4"/>
        <v>0</v>
      </c>
      <c r="H186" s="26">
        <f t="shared" si="5"/>
        <v>0</v>
      </c>
      <c r="I186" s="24">
        <f t="shared" si="6"/>
        <v>0</v>
      </c>
      <c r="J186" s="24">
        <f t="shared" si="7"/>
        <v>0</v>
      </c>
      <c r="K186" s="24"/>
      <c r="L186" s="24">
        <f t="shared" si="8"/>
        <v>476.6690096</v>
      </c>
      <c r="M186" s="14">
        <f t="shared" si="9"/>
        <v>419.4759465</v>
      </c>
      <c r="N186" s="27">
        <f t="shared" si="10"/>
        <v>57.19306307</v>
      </c>
      <c r="O186" s="24"/>
      <c r="P186" s="24"/>
      <c r="Q186" s="24"/>
      <c r="R186" s="26"/>
      <c r="S186" s="14">
        <f t="shared" si="13"/>
        <v>52.52016852</v>
      </c>
      <c r="U186" s="21"/>
      <c r="V186" s="21"/>
    </row>
    <row r="187">
      <c r="A187" s="11">
        <v>175.0</v>
      </c>
      <c r="B187" s="11">
        <v>1.42015652173913E9</v>
      </c>
      <c r="C187" s="2">
        <v>-102.0205688</v>
      </c>
      <c r="D187" s="24">
        <f t="shared" si="1"/>
        <v>-243478.2609</v>
      </c>
      <c r="E187" s="25">
        <f t="shared" si="2"/>
        <v>50.50628727</v>
      </c>
      <c r="F187" s="24">
        <f t="shared" si="3"/>
        <v>0.000207436537</v>
      </c>
      <c r="G187" s="24">
        <f t="shared" si="4"/>
        <v>0</v>
      </c>
      <c r="H187" s="26">
        <f t="shared" si="5"/>
        <v>0</v>
      </c>
      <c r="I187" s="24">
        <f t="shared" si="6"/>
        <v>0</v>
      </c>
      <c r="J187" s="24">
        <f t="shared" si="7"/>
        <v>0</v>
      </c>
      <c r="K187" s="24"/>
      <c r="L187" s="24">
        <f t="shared" si="8"/>
        <v>477.5834708</v>
      </c>
      <c r="M187" s="14">
        <f t="shared" si="9"/>
        <v>419.3840233</v>
      </c>
      <c r="N187" s="27">
        <f t="shared" si="10"/>
        <v>58.19944748</v>
      </c>
      <c r="O187" s="24"/>
      <c r="P187" s="24"/>
      <c r="Q187" s="24"/>
      <c r="R187" s="26"/>
      <c r="S187" s="14">
        <f t="shared" si="13"/>
        <v>53.44432755</v>
      </c>
      <c r="U187" s="21"/>
      <c r="V187" s="21"/>
    </row>
    <row r="188">
      <c r="A188" s="11">
        <v>176.0</v>
      </c>
      <c r="B188" s="11">
        <v>1.42016086956521E9</v>
      </c>
      <c r="C188" s="2">
        <v>-102.0313263</v>
      </c>
      <c r="D188" s="24">
        <f t="shared" si="1"/>
        <v>-239130.4348</v>
      </c>
      <c r="E188" s="25">
        <f t="shared" si="2"/>
        <v>49.58799114</v>
      </c>
      <c r="F188" s="24">
        <f t="shared" si="3"/>
        <v>0.0002073679629</v>
      </c>
      <c r="G188" s="24">
        <f t="shared" si="4"/>
        <v>0</v>
      </c>
      <c r="H188" s="26">
        <f t="shared" si="5"/>
        <v>0</v>
      </c>
      <c r="I188" s="24">
        <f t="shared" si="6"/>
        <v>0</v>
      </c>
      <c r="J188" s="24">
        <f t="shared" si="7"/>
        <v>0</v>
      </c>
      <c r="K188" s="24"/>
      <c r="L188" s="24">
        <f t="shared" si="8"/>
        <v>476.4019576</v>
      </c>
      <c r="M188" s="14">
        <f t="shared" si="9"/>
        <v>419.2923836</v>
      </c>
      <c r="N188" s="27">
        <f t="shared" si="10"/>
        <v>57.10957395</v>
      </c>
      <c r="O188" s="24"/>
      <c r="P188" s="24"/>
      <c r="Q188" s="24"/>
      <c r="R188" s="26"/>
      <c r="S188" s="14">
        <f t="shared" si="13"/>
        <v>52.4435009</v>
      </c>
      <c r="U188" s="21"/>
      <c r="V188" s="21"/>
    </row>
    <row r="189">
      <c r="A189" s="11">
        <v>177.0</v>
      </c>
      <c r="B189" s="11">
        <v>1.4201652173913E9</v>
      </c>
      <c r="C189" s="2">
        <v>-102.023201</v>
      </c>
      <c r="D189" s="24">
        <f t="shared" si="1"/>
        <v>-234782.6087</v>
      </c>
      <c r="E189" s="25">
        <f t="shared" si="2"/>
        <v>48.669695</v>
      </c>
      <c r="F189" s="24">
        <f t="shared" si="3"/>
        <v>0.0002072968491</v>
      </c>
      <c r="G189" s="24">
        <f t="shared" si="4"/>
        <v>0</v>
      </c>
      <c r="H189" s="26">
        <f t="shared" si="5"/>
        <v>0</v>
      </c>
      <c r="I189" s="24">
        <f t="shared" si="6"/>
        <v>0</v>
      </c>
      <c r="J189" s="24">
        <f t="shared" si="7"/>
        <v>0</v>
      </c>
      <c r="K189" s="24"/>
      <c r="L189" s="24">
        <f t="shared" si="8"/>
        <v>477.2941016</v>
      </c>
      <c r="M189" s="14">
        <f t="shared" si="9"/>
        <v>419.2010254</v>
      </c>
      <c r="N189" s="27">
        <f t="shared" si="10"/>
        <v>58.09307618</v>
      </c>
      <c r="O189" s="24"/>
      <c r="P189" s="24"/>
      <c r="Q189" s="24"/>
      <c r="R189" s="26"/>
      <c r="S189" s="14">
        <f t="shared" si="13"/>
        <v>53.34664707</v>
      </c>
      <c r="U189" s="21"/>
      <c r="V189" s="21"/>
    </row>
    <row r="190">
      <c r="A190" s="11">
        <v>178.0</v>
      </c>
      <c r="B190" s="11">
        <v>1.42016956521739E9</v>
      </c>
      <c r="C190" s="2">
        <v>-102.0338058</v>
      </c>
      <c r="D190" s="24">
        <f t="shared" si="1"/>
        <v>-230434.7826</v>
      </c>
      <c r="E190" s="25">
        <f t="shared" si="2"/>
        <v>47.75139887</v>
      </c>
      <c r="F190" s="24">
        <f t="shared" si="3"/>
        <v>0.0002072230517</v>
      </c>
      <c r="G190" s="24">
        <f t="shared" si="4"/>
        <v>0</v>
      </c>
      <c r="H190" s="26">
        <f t="shared" si="5"/>
        <v>0</v>
      </c>
      <c r="I190" s="24">
        <f t="shared" si="6"/>
        <v>0</v>
      </c>
      <c r="J190" s="24">
        <f t="shared" si="7"/>
        <v>0</v>
      </c>
      <c r="K190" s="24"/>
      <c r="L190" s="24">
        <f t="shared" si="8"/>
        <v>476.130045</v>
      </c>
      <c r="M190" s="14">
        <f t="shared" si="9"/>
        <v>419.1099464</v>
      </c>
      <c r="N190" s="27">
        <f t="shared" si="10"/>
        <v>57.02009854</v>
      </c>
      <c r="O190" s="24"/>
      <c r="P190" s="24"/>
      <c r="Q190" s="24"/>
      <c r="R190" s="26"/>
      <c r="S190" s="14">
        <f t="shared" si="13"/>
        <v>52.36133598</v>
      </c>
      <c r="U190" s="21"/>
      <c r="V190" s="21"/>
    </row>
    <row r="191">
      <c r="A191" s="11">
        <v>179.0</v>
      </c>
      <c r="B191" s="11">
        <v>1.42017391304347E9</v>
      </c>
      <c r="C191" s="2">
        <v>-102.0943756</v>
      </c>
      <c r="D191" s="24">
        <f t="shared" si="1"/>
        <v>-226086.9565</v>
      </c>
      <c r="E191" s="25">
        <f t="shared" si="2"/>
        <v>46.83310274</v>
      </c>
      <c r="F191" s="24">
        <f t="shared" si="3"/>
        <v>0.000207146416</v>
      </c>
      <c r="G191" s="24">
        <f t="shared" si="4"/>
        <v>0</v>
      </c>
      <c r="H191" s="26">
        <f t="shared" si="5"/>
        <v>0</v>
      </c>
      <c r="I191" s="24">
        <f t="shared" si="6"/>
        <v>0</v>
      </c>
      <c r="J191" s="24">
        <f t="shared" si="7"/>
        <v>0</v>
      </c>
      <c r="K191" s="24"/>
      <c r="L191" s="24">
        <f t="shared" si="8"/>
        <v>469.5356881</v>
      </c>
      <c r="M191" s="14">
        <f t="shared" si="9"/>
        <v>419.0191445</v>
      </c>
      <c r="N191" s="27">
        <f t="shared" si="10"/>
        <v>50.51654361</v>
      </c>
      <c r="O191" s="24"/>
      <c r="P191" s="24"/>
      <c r="Q191" s="24"/>
      <c r="R191" s="26"/>
      <c r="S191" s="14">
        <f t="shared" si="13"/>
        <v>46.38914664</v>
      </c>
      <c r="U191" s="21"/>
      <c r="V191" s="21"/>
    </row>
    <row r="192">
      <c r="A192" s="11">
        <v>180.0</v>
      </c>
      <c r="B192" s="11">
        <v>1.42017826086956E9</v>
      </c>
      <c r="C192" s="2">
        <v>-102.0477448</v>
      </c>
      <c r="D192" s="24">
        <f t="shared" si="1"/>
        <v>-221739.1304</v>
      </c>
      <c r="E192" s="25">
        <f t="shared" si="2"/>
        <v>45.91480661</v>
      </c>
      <c r="F192" s="24">
        <f t="shared" si="3"/>
        <v>0.0002070667749</v>
      </c>
      <c r="G192" s="24">
        <f t="shared" si="4"/>
        <v>0</v>
      </c>
      <c r="H192" s="26">
        <f t="shared" si="5"/>
        <v>0</v>
      </c>
      <c r="I192" s="24">
        <f t="shared" si="6"/>
        <v>0</v>
      </c>
      <c r="J192" s="24">
        <f t="shared" si="7"/>
        <v>0</v>
      </c>
      <c r="K192" s="24"/>
      <c r="L192" s="24">
        <f t="shared" si="8"/>
        <v>474.6043204</v>
      </c>
      <c r="M192" s="14">
        <f t="shared" si="9"/>
        <v>418.9286175</v>
      </c>
      <c r="N192" s="27">
        <f t="shared" si="10"/>
        <v>55.67570298</v>
      </c>
      <c r="O192" s="24"/>
      <c r="P192" s="24"/>
      <c r="Q192" s="24"/>
      <c r="R192" s="26"/>
      <c r="S192" s="14">
        <f t="shared" si="13"/>
        <v>51.12678262</v>
      </c>
      <c r="U192" s="21"/>
      <c r="V192" s="21"/>
    </row>
    <row r="193">
      <c r="A193" s="11">
        <v>181.0</v>
      </c>
      <c r="B193" s="11">
        <v>1.42018260869565E9</v>
      </c>
      <c r="C193" s="2">
        <v>-102.0253677</v>
      </c>
      <c r="D193" s="24">
        <f t="shared" si="1"/>
        <v>-217391.3043</v>
      </c>
      <c r="E193" s="25">
        <f t="shared" si="2"/>
        <v>44.99651048</v>
      </c>
      <c r="F193" s="24">
        <f t="shared" si="3"/>
        <v>0.0002069839482</v>
      </c>
      <c r="G193" s="24">
        <f t="shared" si="4"/>
        <v>0</v>
      </c>
      <c r="H193" s="26">
        <f t="shared" si="5"/>
        <v>0</v>
      </c>
      <c r="I193" s="24">
        <f t="shared" si="6"/>
        <v>0</v>
      </c>
      <c r="J193" s="24">
        <f t="shared" si="7"/>
        <v>0</v>
      </c>
      <c r="K193" s="24"/>
      <c r="L193" s="24">
        <f t="shared" si="8"/>
        <v>477.0560384</v>
      </c>
      <c r="M193" s="14">
        <f t="shared" si="9"/>
        <v>418.8383631</v>
      </c>
      <c r="N193" s="27">
        <f t="shared" si="10"/>
        <v>58.21767531</v>
      </c>
      <c r="O193" s="24"/>
      <c r="P193" s="24"/>
      <c r="Q193" s="24"/>
      <c r="R193" s="26"/>
      <c r="S193" s="14">
        <f t="shared" si="13"/>
        <v>53.46106609</v>
      </c>
      <c r="U193" s="21"/>
      <c r="V193" s="21"/>
    </row>
    <row r="194">
      <c r="A194" s="11">
        <v>182.0</v>
      </c>
      <c r="B194" s="11">
        <v>1.42018695652173E9</v>
      </c>
      <c r="C194" s="2">
        <v>-102.0306931</v>
      </c>
      <c r="D194" s="24">
        <f t="shared" si="1"/>
        <v>-213043.4783</v>
      </c>
      <c r="E194" s="25">
        <f t="shared" si="2"/>
        <v>44.07821434</v>
      </c>
      <c r="F194" s="24">
        <f t="shared" si="3"/>
        <v>0.0002068977408</v>
      </c>
      <c r="G194" s="24">
        <f t="shared" si="4"/>
        <v>0</v>
      </c>
      <c r="H194" s="26">
        <f t="shared" si="5"/>
        <v>0</v>
      </c>
      <c r="I194" s="24">
        <f t="shared" si="6"/>
        <v>0</v>
      </c>
      <c r="J194" s="24">
        <f t="shared" si="7"/>
        <v>0</v>
      </c>
      <c r="K194" s="24"/>
      <c r="L194" s="24">
        <f t="shared" si="8"/>
        <v>476.4714219</v>
      </c>
      <c r="M194" s="14">
        <f t="shared" si="9"/>
        <v>418.7483793</v>
      </c>
      <c r="N194" s="27">
        <f t="shared" si="10"/>
        <v>57.7230426</v>
      </c>
      <c r="O194" s="24"/>
      <c r="P194" s="24"/>
      <c r="Q194" s="24"/>
      <c r="R194" s="26"/>
      <c r="S194" s="14">
        <f t="shared" si="13"/>
        <v>53.00684679</v>
      </c>
      <c r="U194" s="21"/>
      <c r="V194" s="21"/>
    </row>
    <row r="195">
      <c r="A195" s="11">
        <v>183.0</v>
      </c>
      <c r="B195" s="11">
        <v>1.42019130434782E9</v>
      </c>
      <c r="C195" s="2">
        <v>-102.0296402</v>
      </c>
      <c r="D195" s="24">
        <f t="shared" si="1"/>
        <v>-208695.6522</v>
      </c>
      <c r="E195" s="25">
        <f t="shared" si="2"/>
        <v>43.15991821</v>
      </c>
      <c r="F195" s="24">
        <f t="shared" si="3"/>
        <v>0.0002068079414</v>
      </c>
      <c r="G195" s="24">
        <f t="shared" si="4"/>
        <v>0</v>
      </c>
      <c r="H195" s="26">
        <f t="shared" si="5"/>
        <v>0</v>
      </c>
      <c r="I195" s="24">
        <f t="shared" si="6"/>
        <v>0</v>
      </c>
      <c r="J195" s="24">
        <f t="shared" si="7"/>
        <v>0</v>
      </c>
      <c r="K195" s="24"/>
      <c r="L195" s="24">
        <f t="shared" si="8"/>
        <v>476.5869513</v>
      </c>
      <c r="M195" s="14">
        <f t="shared" si="9"/>
        <v>418.6586639</v>
      </c>
      <c r="N195" s="27">
        <f t="shared" si="10"/>
        <v>57.92828739</v>
      </c>
      <c r="O195" s="24"/>
      <c r="P195" s="24"/>
      <c r="Q195" s="24"/>
      <c r="R195" s="26"/>
      <c r="S195" s="14">
        <f t="shared" si="13"/>
        <v>53.19532229</v>
      </c>
      <c r="U195" s="21"/>
      <c r="V195" s="21"/>
    </row>
    <row r="196">
      <c r="A196" s="11">
        <v>184.0</v>
      </c>
      <c r="B196" s="11">
        <v>1.42019565217391E9</v>
      </c>
      <c r="C196" s="2">
        <v>-102.0419159</v>
      </c>
      <c r="D196" s="24">
        <f t="shared" si="1"/>
        <v>-204347.8261</v>
      </c>
      <c r="E196" s="25">
        <f t="shared" si="2"/>
        <v>42.24162208</v>
      </c>
      <c r="F196" s="24">
        <f t="shared" si="3"/>
        <v>0.0002067143208</v>
      </c>
      <c r="G196" s="24">
        <f t="shared" si="4"/>
        <v>0</v>
      </c>
      <c r="H196" s="26">
        <f t="shared" si="5"/>
        <v>0</v>
      </c>
      <c r="I196" s="24">
        <f t="shared" si="6"/>
        <v>0</v>
      </c>
      <c r="J196" s="24">
        <f t="shared" si="7"/>
        <v>0</v>
      </c>
      <c r="K196" s="24"/>
      <c r="L196" s="24">
        <f t="shared" si="8"/>
        <v>475.2417401</v>
      </c>
      <c r="M196" s="14">
        <f t="shared" si="9"/>
        <v>418.5692146</v>
      </c>
      <c r="N196" s="27">
        <f t="shared" si="10"/>
        <v>56.67252549</v>
      </c>
      <c r="O196" s="24"/>
      <c r="P196" s="24"/>
      <c r="Q196" s="24"/>
      <c r="R196" s="26"/>
      <c r="S196" s="14">
        <f t="shared" si="13"/>
        <v>52.04216088</v>
      </c>
      <c r="U196" s="21"/>
      <c r="V196" s="21"/>
    </row>
    <row r="197">
      <c r="A197" s="11">
        <v>185.0</v>
      </c>
      <c r="B197" s="11">
        <v>1.4202E9</v>
      </c>
      <c r="C197" s="2">
        <v>-102.0440292</v>
      </c>
      <c r="D197" s="24">
        <f t="shared" si="1"/>
        <v>-200000</v>
      </c>
      <c r="E197" s="25">
        <f t="shared" si="2"/>
        <v>41.32332595</v>
      </c>
      <c r="F197" s="24">
        <f t="shared" si="3"/>
        <v>0.0002066166297</v>
      </c>
      <c r="G197" s="24">
        <f t="shared" si="4"/>
        <v>0</v>
      </c>
      <c r="H197" s="26">
        <f t="shared" si="5"/>
        <v>0</v>
      </c>
      <c r="I197" s="24">
        <f t="shared" si="6"/>
        <v>0</v>
      </c>
      <c r="J197" s="24">
        <f t="shared" si="7"/>
        <v>0</v>
      </c>
      <c r="K197" s="24"/>
      <c r="L197" s="24">
        <f t="shared" si="8"/>
        <v>475.0105412</v>
      </c>
      <c r="M197" s="14">
        <f t="shared" si="9"/>
        <v>418.4800293</v>
      </c>
      <c r="N197" s="27">
        <f t="shared" si="10"/>
        <v>56.53051185</v>
      </c>
      <c r="O197" s="24"/>
      <c r="P197" s="24"/>
      <c r="Q197" s="24"/>
      <c r="R197" s="26"/>
      <c r="S197" s="14">
        <f t="shared" si="13"/>
        <v>51.91175042</v>
      </c>
      <c r="U197" s="21"/>
      <c r="V197" s="21"/>
    </row>
    <row r="198">
      <c r="A198" s="11">
        <v>186.0</v>
      </c>
      <c r="B198" s="11">
        <v>1.42020434782608E9</v>
      </c>
      <c r="C198" s="2">
        <v>-102.0723495</v>
      </c>
      <c r="D198" s="24">
        <f t="shared" si="1"/>
        <v>-195652.1739</v>
      </c>
      <c r="E198" s="25">
        <f t="shared" si="2"/>
        <v>40.40502981</v>
      </c>
      <c r="F198" s="24">
        <f t="shared" si="3"/>
        <v>0.0002065145968</v>
      </c>
      <c r="G198" s="24">
        <f t="shared" si="4"/>
        <v>0</v>
      </c>
      <c r="H198" s="26">
        <f t="shared" si="5"/>
        <v>0</v>
      </c>
      <c r="I198" s="24">
        <f t="shared" si="6"/>
        <v>0</v>
      </c>
      <c r="J198" s="24">
        <f t="shared" si="7"/>
        <v>0</v>
      </c>
      <c r="K198" s="24"/>
      <c r="L198" s="24">
        <f t="shared" si="8"/>
        <v>471.9230798</v>
      </c>
      <c r="M198" s="14">
        <f t="shared" si="9"/>
        <v>418.3911059</v>
      </c>
      <c r="N198" s="27">
        <f t="shared" si="10"/>
        <v>53.53197386</v>
      </c>
      <c r="O198" s="24"/>
      <c r="P198" s="24"/>
      <c r="Q198" s="24"/>
      <c r="R198" s="26"/>
      <c r="S198" s="14">
        <f t="shared" si="13"/>
        <v>49.15820458</v>
      </c>
      <c r="U198" s="21"/>
      <c r="V198" s="21"/>
    </row>
    <row r="199">
      <c r="A199" s="11">
        <v>187.0</v>
      </c>
      <c r="B199" s="11">
        <v>1.42020869565217E9</v>
      </c>
      <c r="C199" s="2">
        <v>-102.0753174</v>
      </c>
      <c r="D199" s="24">
        <f t="shared" si="1"/>
        <v>-191304.3478</v>
      </c>
      <c r="E199" s="25">
        <f t="shared" si="2"/>
        <v>39.48673368</v>
      </c>
      <c r="F199" s="24">
        <f t="shared" si="3"/>
        <v>0.0002064079261</v>
      </c>
      <c r="G199" s="24">
        <f t="shared" si="4"/>
        <v>0</v>
      </c>
      <c r="H199" s="26">
        <f t="shared" si="5"/>
        <v>0</v>
      </c>
      <c r="I199" s="24">
        <f t="shared" si="6"/>
        <v>0</v>
      </c>
      <c r="J199" s="24">
        <f t="shared" si="7"/>
        <v>0</v>
      </c>
      <c r="K199" s="24"/>
      <c r="L199" s="24">
        <f t="shared" si="8"/>
        <v>471.6006852</v>
      </c>
      <c r="M199" s="14">
        <f t="shared" si="9"/>
        <v>418.3024421</v>
      </c>
      <c r="N199" s="27">
        <f t="shared" si="10"/>
        <v>53.29824302</v>
      </c>
      <c r="O199" s="24"/>
      <c r="P199" s="24"/>
      <c r="Q199" s="24"/>
      <c r="R199" s="26"/>
      <c r="S199" s="14">
        <f t="shared" si="13"/>
        <v>48.94357033</v>
      </c>
      <c r="U199" s="21"/>
      <c r="V199" s="21"/>
    </row>
    <row r="200">
      <c r="A200" s="11">
        <v>188.0</v>
      </c>
      <c r="B200" s="11">
        <v>1.42021304347826E9</v>
      </c>
      <c r="C200" s="2">
        <v>-102.0312042</v>
      </c>
      <c r="D200" s="24">
        <f t="shared" si="1"/>
        <v>-186956.5217</v>
      </c>
      <c r="E200" s="25">
        <f t="shared" si="2"/>
        <v>38.56843755</v>
      </c>
      <c r="F200" s="24">
        <f t="shared" si="3"/>
        <v>0.0002062962939</v>
      </c>
      <c r="G200" s="24">
        <f t="shared" si="4"/>
        <v>0</v>
      </c>
      <c r="H200" s="26">
        <f t="shared" si="5"/>
        <v>0</v>
      </c>
      <c r="I200" s="24">
        <f t="shared" si="6"/>
        <v>0</v>
      </c>
      <c r="J200" s="24">
        <f t="shared" si="7"/>
        <v>0</v>
      </c>
      <c r="K200" s="24"/>
      <c r="L200" s="24">
        <f t="shared" si="8"/>
        <v>476.4153516</v>
      </c>
      <c r="M200" s="14">
        <f t="shared" si="9"/>
        <v>418.2140358</v>
      </c>
      <c r="N200" s="27">
        <f t="shared" si="10"/>
        <v>58.20131577</v>
      </c>
      <c r="O200" s="24"/>
      <c r="P200" s="24"/>
      <c r="Q200" s="24"/>
      <c r="R200" s="26"/>
      <c r="S200" s="14">
        <f t="shared" si="13"/>
        <v>53.44604319</v>
      </c>
      <c r="U200" s="21"/>
      <c r="V200" s="21"/>
    </row>
    <row r="201">
      <c r="A201" s="11">
        <v>189.0</v>
      </c>
      <c r="B201" s="11">
        <v>1.42021739130434E9</v>
      </c>
      <c r="C201" s="2">
        <v>-102.0021286</v>
      </c>
      <c r="D201" s="24">
        <f t="shared" si="1"/>
        <v>-182608.6957</v>
      </c>
      <c r="E201" s="25">
        <f t="shared" si="2"/>
        <v>37.65014142</v>
      </c>
      <c r="F201" s="24">
        <f t="shared" si="3"/>
        <v>0.0002061793459</v>
      </c>
      <c r="G201" s="24">
        <f t="shared" si="4"/>
        <v>0</v>
      </c>
      <c r="H201" s="26">
        <f t="shared" si="5"/>
        <v>0</v>
      </c>
      <c r="I201" s="24">
        <f t="shared" si="6"/>
        <v>0</v>
      </c>
      <c r="J201" s="24">
        <f t="shared" si="7"/>
        <v>0</v>
      </c>
      <c r="K201" s="24"/>
      <c r="L201" s="24">
        <f t="shared" si="8"/>
        <v>479.6156076</v>
      </c>
      <c r="M201" s="14">
        <f t="shared" si="9"/>
        <v>418.1258848</v>
      </c>
      <c r="N201" s="27">
        <f t="shared" si="10"/>
        <v>61.48972271</v>
      </c>
      <c r="O201" s="24"/>
      <c r="P201" s="24"/>
      <c r="Q201" s="24"/>
      <c r="R201" s="26"/>
      <c r="S201" s="14">
        <f t="shared" si="13"/>
        <v>56.46577457</v>
      </c>
      <c r="U201" s="21"/>
      <c r="V201" s="21"/>
    </row>
    <row r="202">
      <c r="A202" s="11">
        <v>190.0</v>
      </c>
      <c r="B202" s="11">
        <v>1.42022173913043E9</v>
      </c>
      <c r="C202" s="2">
        <v>-102.0507126</v>
      </c>
      <c r="D202" s="24">
        <f t="shared" si="1"/>
        <v>-178260.8696</v>
      </c>
      <c r="E202" s="25">
        <f t="shared" si="2"/>
        <v>36.73184529</v>
      </c>
      <c r="F202" s="24">
        <f t="shared" si="3"/>
        <v>0.0002060566931</v>
      </c>
      <c r="G202" s="24">
        <f t="shared" si="4"/>
        <v>0</v>
      </c>
      <c r="H202" s="26">
        <f t="shared" si="5"/>
        <v>0</v>
      </c>
      <c r="I202" s="24">
        <f t="shared" si="6"/>
        <v>0</v>
      </c>
      <c r="J202" s="24">
        <f t="shared" si="7"/>
        <v>0</v>
      </c>
      <c r="K202" s="24"/>
      <c r="L202" s="24">
        <f t="shared" si="8"/>
        <v>474.280105</v>
      </c>
      <c r="M202" s="14">
        <f t="shared" si="9"/>
        <v>418.037987</v>
      </c>
      <c r="N202" s="27">
        <f t="shared" si="10"/>
        <v>56.24211806</v>
      </c>
      <c r="O202" s="24"/>
      <c r="P202" s="24"/>
      <c r="Q202" s="24"/>
      <c r="R202" s="26"/>
      <c r="S202" s="14">
        <f t="shared" si="13"/>
        <v>51.6469194</v>
      </c>
      <c r="U202" s="21"/>
      <c r="V202" s="21"/>
    </row>
    <row r="203">
      <c r="A203" s="11">
        <v>191.0</v>
      </c>
      <c r="B203" s="11">
        <v>1.42022608695652E9</v>
      </c>
      <c r="C203" s="2">
        <v>-102.052002</v>
      </c>
      <c r="D203" s="24">
        <f t="shared" si="1"/>
        <v>-173913.0435</v>
      </c>
      <c r="E203" s="25">
        <f t="shared" si="2"/>
        <v>35.81354916</v>
      </c>
      <c r="F203" s="24">
        <f t="shared" si="3"/>
        <v>0.0002059279076</v>
      </c>
      <c r="G203" s="24">
        <f t="shared" si="4"/>
        <v>0</v>
      </c>
      <c r="H203" s="26">
        <f t="shared" si="5"/>
        <v>0</v>
      </c>
      <c r="I203" s="24">
        <f t="shared" si="6"/>
        <v>0</v>
      </c>
      <c r="J203" s="24">
        <f t="shared" si="7"/>
        <v>0</v>
      </c>
      <c r="K203" s="24"/>
      <c r="L203" s="24">
        <f t="shared" si="8"/>
        <v>474.1393144</v>
      </c>
      <c r="M203" s="14">
        <f t="shared" si="9"/>
        <v>417.9503401</v>
      </c>
      <c r="N203" s="27">
        <f t="shared" si="10"/>
        <v>56.18897434</v>
      </c>
      <c r="O203" s="24"/>
      <c r="P203" s="24"/>
      <c r="Q203" s="24"/>
      <c r="R203" s="26"/>
      <c r="S203" s="14">
        <f t="shared" si="13"/>
        <v>51.59811784</v>
      </c>
      <c r="U203" s="21"/>
      <c r="V203" s="21"/>
    </row>
    <row r="204">
      <c r="A204" s="11">
        <v>192.0</v>
      </c>
      <c r="B204" s="11">
        <v>1.4202304347826E9</v>
      </c>
      <c r="C204" s="2">
        <v>-102.0322266</v>
      </c>
      <c r="D204" s="24">
        <f t="shared" si="1"/>
        <v>-169565.2174</v>
      </c>
      <c r="E204" s="25">
        <f t="shared" si="2"/>
        <v>34.89525302</v>
      </c>
      <c r="F204" s="24">
        <f t="shared" si="3"/>
        <v>0.0002057925178</v>
      </c>
      <c r="G204" s="24">
        <f t="shared" si="4"/>
        <v>0</v>
      </c>
      <c r="H204" s="26">
        <f t="shared" si="5"/>
        <v>0</v>
      </c>
      <c r="I204" s="24">
        <f t="shared" si="6"/>
        <v>0</v>
      </c>
      <c r="J204" s="24">
        <f t="shared" si="7"/>
        <v>0</v>
      </c>
      <c r="K204" s="24"/>
      <c r="L204" s="24">
        <f t="shared" si="8"/>
        <v>476.3032089</v>
      </c>
      <c r="M204" s="14">
        <f t="shared" si="9"/>
        <v>417.8629419</v>
      </c>
      <c r="N204" s="27">
        <f t="shared" si="10"/>
        <v>58.44026696</v>
      </c>
      <c r="O204" s="24"/>
      <c r="P204" s="24"/>
      <c r="Q204" s="24"/>
      <c r="R204" s="26"/>
      <c r="S204" s="14">
        <f t="shared" si="13"/>
        <v>53.66547114</v>
      </c>
      <c r="U204" s="21"/>
      <c r="V204" s="21"/>
    </row>
    <row r="205">
      <c r="A205" s="11">
        <v>193.0</v>
      </c>
      <c r="B205" s="11">
        <v>1.42023478260869E9</v>
      </c>
      <c r="C205" s="2">
        <v>-102.0172348</v>
      </c>
      <c r="D205" s="24">
        <f t="shared" si="1"/>
        <v>-165217.3913</v>
      </c>
      <c r="E205" s="25">
        <f t="shared" si="2"/>
        <v>33.97695689</v>
      </c>
      <c r="F205" s="24">
        <f t="shared" si="3"/>
        <v>0.0002056500022</v>
      </c>
      <c r="G205" s="24">
        <f t="shared" si="4"/>
        <v>0</v>
      </c>
      <c r="H205" s="26">
        <f t="shared" si="5"/>
        <v>0</v>
      </c>
      <c r="I205" s="24">
        <f t="shared" si="6"/>
        <v>0</v>
      </c>
      <c r="J205" s="24">
        <f t="shared" si="7"/>
        <v>0</v>
      </c>
      <c r="K205" s="24"/>
      <c r="L205" s="24">
        <f t="shared" si="8"/>
        <v>477.9502437</v>
      </c>
      <c r="M205" s="14">
        <f t="shared" si="9"/>
        <v>417.7757904</v>
      </c>
      <c r="N205" s="27">
        <f t="shared" si="10"/>
        <v>60.17445332</v>
      </c>
      <c r="O205" s="24"/>
      <c r="P205" s="24"/>
      <c r="Q205" s="24"/>
      <c r="R205" s="26"/>
      <c r="S205" s="14">
        <f t="shared" si="13"/>
        <v>55.25796778</v>
      </c>
      <c r="U205" s="21"/>
      <c r="V205" s="21"/>
    </row>
    <row r="206">
      <c r="A206" s="11">
        <v>194.0</v>
      </c>
      <c r="B206" s="11">
        <v>1.42023913043478E9</v>
      </c>
      <c r="C206" s="2">
        <v>-101.9279251</v>
      </c>
      <c r="D206" s="24">
        <f t="shared" si="1"/>
        <v>-160869.5652</v>
      </c>
      <c r="E206" s="25">
        <f t="shared" si="2"/>
        <v>33.05866076</v>
      </c>
      <c r="F206" s="24">
        <f t="shared" si="3"/>
        <v>0.0002054997831</v>
      </c>
      <c r="G206" s="24">
        <f t="shared" si="4"/>
        <v>0</v>
      </c>
      <c r="H206" s="26">
        <f t="shared" si="5"/>
        <v>0</v>
      </c>
      <c r="I206" s="24">
        <f t="shared" si="6"/>
        <v>0</v>
      </c>
      <c r="J206" s="24">
        <f t="shared" si="7"/>
        <v>0</v>
      </c>
      <c r="K206" s="24"/>
      <c r="L206" s="24">
        <f t="shared" si="8"/>
        <v>487.8807215</v>
      </c>
      <c r="M206" s="14">
        <f t="shared" si="9"/>
        <v>417.6888833</v>
      </c>
      <c r="N206" s="27">
        <f t="shared" si="10"/>
        <v>70.19183823</v>
      </c>
      <c r="O206" s="24"/>
      <c r="P206" s="24"/>
      <c r="Q206" s="24"/>
      <c r="R206" s="26"/>
      <c r="S206" s="14">
        <f t="shared" si="13"/>
        <v>64.45689345</v>
      </c>
      <c r="U206" s="21"/>
      <c r="V206" s="21"/>
    </row>
    <row r="207">
      <c r="A207" s="11">
        <v>195.0</v>
      </c>
      <c r="B207" s="11">
        <v>1.42024347826087E9</v>
      </c>
      <c r="C207" s="2">
        <v>-102.0300598</v>
      </c>
      <c r="D207" s="24">
        <f t="shared" si="1"/>
        <v>-156521.7391</v>
      </c>
      <c r="E207" s="25">
        <f t="shared" si="2"/>
        <v>32.14036463</v>
      </c>
      <c r="F207" s="24">
        <f t="shared" si="3"/>
        <v>0.0002053412184</v>
      </c>
      <c r="G207" s="24">
        <f t="shared" si="4"/>
        <v>0</v>
      </c>
      <c r="H207" s="26">
        <f t="shared" si="5"/>
        <v>0</v>
      </c>
      <c r="I207" s="24">
        <f t="shared" si="6"/>
        <v>0</v>
      </c>
      <c r="J207" s="24">
        <f t="shared" si="7"/>
        <v>0</v>
      </c>
      <c r="K207" s="24"/>
      <c r="L207" s="24">
        <f t="shared" si="8"/>
        <v>476.5409073</v>
      </c>
      <c r="M207" s="14">
        <f t="shared" si="9"/>
        <v>417.6022184</v>
      </c>
      <c r="N207" s="27">
        <f t="shared" si="10"/>
        <v>58.93868896</v>
      </c>
      <c r="O207" s="24"/>
      <c r="P207" s="24"/>
      <c r="Q207" s="24"/>
      <c r="R207" s="26"/>
      <c r="S207" s="14">
        <f t="shared" si="13"/>
        <v>54.12317014</v>
      </c>
      <c r="U207" s="21"/>
      <c r="V207" s="21"/>
    </row>
    <row r="208">
      <c r="A208" s="11">
        <v>196.0</v>
      </c>
      <c r="B208" s="11">
        <v>1.42024782608695E9</v>
      </c>
      <c r="C208" s="2">
        <v>-101.9179916</v>
      </c>
      <c r="D208" s="24">
        <f t="shared" si="1"/>
        <v>-152173.913</v>
      </c>
      <c r="E208" s="25">
        <f t="shared" si="2"/>
        <v>31.22206849</v>
      </c>
      <c r="F208" s="24">
        <f t="shared" si="3"/>
        <v>0.0002051735929</v>
      </c>
      <c r="G208" s="24">
        <f t="shared" si="4"/>
        <v>0</v>
      </c>
      <c r="H208" s="26">
        <f t="shared" si="5"/>
        <v>0</v>
      </c>
      <c r="I208" s="24">
        <f t="shared" si="6"/>
        <v>0</v>
      </c>
      <c r="J208" s="24">
        <f t="shared" si="7"/>
        <v>0</v>
      </c>
      <c r="K208" s="24"/>
      <c r="L208" s="24">
        <f t="shared" si="8"/>
        <v>488.997915</v>
      </c>
      <c r="M208" s="14">
        <f t="shared" si="9"/>
        <v>417.5157936</v>
      </c>
      <c r="N208" s="27">
        <f t="shared" si="10"/>
        <v>71.48212143</v>
      </c>
      <c r="O208" s="24"/>
      <c r="P208" s="24"/>
      <c r="Q208" s="24"/>
      <c r="R208" s="26"/>
      <c r="S208" s="14">
        <f t="shared" si="13"/>
        <v>65.64175568</v>
      </c>
      <c r="U208" s="21"/>
      <c r="V208" s="21"/>
    </row>
    <row r="209">
      <c r="A209" s="11">
        <v>197.0</v>
      </c>
      <c r="B209" s="11">
        <v>1.42025217391304E9</v>
      </c>
      <c r="C209" s="2">
        <v>-101.9158478</v>
      </c>
      <c r="D209" s="24">
        <f t="shared" si="1"/>
        <v>-147826.087</v>
      </c>
      <c r="E209" s="25">
        <f t="shared" si="2"/>
        <v>30.30377236</v>
      </c>
      <c r="F209" s="24">
        <f t="shared" si="3"/>
        <v>0.0002049961071</v>
      </c>
      <c r="G209" s="24">
        <f t="shared" si="4"/>
        <v>0</v>
      </c>
      <c r="H209" s="26">
        <f t="shared" si="5"/>
        <v>0</v>
      </c>
      <c r="I209" s="24">
        <f t="shared" si="6"/>
        <v>0</v>
      </c>
      <c r="J209" s="24">
        <f t="shared" si="7"/>
        <v>0</v>
      </c>
      <c r="K209" s="24"/>
      <c r="L209" s="24">
        <f t="shared" si="8"/>
        <v>489.2393578</v>
      </c>
      <c r="M209" s="14">
        <f t="shared" si="9"/>
        <v>417.4296067</v>
      </c>
      <c r="N209" s="27">
        <f t="shared" si="10"/>
        <v>71.80975108</v>
      </c>
      <c r="O209" s="24"/>
      <c r="P209" s="24"/>
      <c r="Q209" s="24"/>
      <c r="R209" s="26"/>
      <c r="S209" s="14">
        <f t="shared" si="13"/>
        <v>65.94261657</v>
      </c>
      <c r="U209" s="21"/>
      <c r="V209" s="21"/>
    </row>
    <row r="210">
      <c r="A210" s="11">
        <v>198.0</v>
      </c>
      <c r="B210" s="11">
        <v>1.42025652173913E9</v>
      </c>
      <c r="C210" s="2">
        <v>-101.9472198</v>
      </c>
      <c r="D210" s="24">
        <f t="shared" si="1"/>
        <v>-143478.2609</v>
      </c>
      <c r="E210" s="25">
        <f t="shared" si="2"/>
        <v>29.38547623</v>
      </c>
      <c r="F210" s="24">
        <f t="shared" si="3"/>
        <v>0.0002048078646</v>
      </c>
      <c r="G210" s="24">
        <f t="shared" si="4"/>
        <v>0</v>
      </c>
      <c r="H210" s="26">
        <f t="shared" si="5"/>
        <v>0</v>
      </c>
      <c r="I210" s="24">
        <f t="shared" si="6"/>
        <v>0</v>
      </c>
      <c r="J210" s="24">
        <f t="shared" si="7"/>
        <v>0</v>
      </c>
      <c r="K210" s="24"/>
      <c r="L210" s="24">
        <f t="shared" si="8"/>
        <v>485.717988</v>
      </c>
      <c r="M210" s="14">
        <f t="shared" si="9"/>
        <v>417.3436555</v>
      </c>
      <c r="N210" s="27">
        <f t="shared" si="10"/>
        <v>68.37433254</v>
      </c>
      <c r="O210" s="24"/>
      <c r="P210" s="24"/>
      <c r="Q210" s="24"/>
      <c r="R210" s="26"/>
      <c r="S210" s="14">
        <f t="shared" si="13"/>
        <v>62.78788515</v>
      </c>
      <c r="U210" s="21"/>
      <c r="V210" s="21"/>
    </row>
    <row r="211">
      <c r="A211" s="11">
        <v>199.0</v>
      </c>
      <c r="B211" s="11">
        <v>1.42026086956521E9</v>
      </c>
      <c r="C211" s="2">
        <v>-101.8993378</v>
      </c>
      <c r="D211" s="24">
        <f t="shared" si="1"/>
        <v>-139130.4348</v>
      </c>
      <c r="E211" s="25">
        <f t="shared" si="2"/>
        <v>28.4671801</v>
      </c>
      <c r="F211" s="24">
        <f t="shared" si="3"/>
        <v>0.0002046078569</v>
      </c>
      <c r="G211" s="24">
        <f t="shared" si="4"/>
        <v>0</v>
      </c>
      <c r="H211" s="26">
        <f t="shared" si="5"/>
        <v>0</v>
      </c>
      <c r="I211" s="24">
        <f t="shared" si="6"/>
        <v>0</v>
      </c>
      <c r="J211" s="24">
        <f t="shared" si="7"/>
        <v>0</v>
      </c>
      <c r="K211" s="24"/>
      <c r="L211" s="24">
        <f t="shared" si="8"/>
        <v>491.1027741</v>
      </c>
      <c r="M211" s="14">
        <f t="shared" si="9"/>
        <v>417.2579378</v>
      </c>
      <c r="N211" s="27">
        <f t="shared" si="10"/>
        <v>73.8448363</v>
      </c>
      <c r="O211" s="24"/>
      <c r="P211" s="24"/>
      <c r="Q211" s="24"/>
      <c r="R211" s="26"/>
      <c r="S211" s="14">
        <f t="shared" si="13"/>
        <v>67.81142761</v>
      </c>
      <c r="U211" s="21"/>
      <c r="V211" s="21"/>
    </row>
    <row r="212">
      <c r="A212" s="11">
        <v>200.0</v>
      </c>
      <c r="B212" s="11">
        <v>1.4202652173913E9</v>
      </c>
      <c r="C212" s="2">
        <v>-101.9263687</v>
      </c>
      <c r="D212" s="24">
        <f t="shared" si="1"/>
        <v>-134782.6087</v>
      </c>
      <c r="E212" s="25">
        <f t="shared" si="2"/>
        <v>27.54888396</v>
      </c>
      <c r="F212" s="24">
        <f t="shared" si="3"/>
        <v>0.0002043949455</v>
      </c>
      <c r="G212" s="24">
        <f t="shared" si="4"/>
        <v>0</v>
      </c>
      <c r="H212" s="26">
        <f t="shared" si="5"/>
        <v>0</v>
      </c>
      <c r="I212" s="24">
        <f t="shared" si="6"/>
        <v>0</v>
      </c>
      <c r="J212" s="24">
        <f t="shared" si="7"/>
        <v>0</v>
      </c>
      <c r="K212" s="24"/>
      <c r="L212" s="24">
        <f t="shared" si="8"/>
        <v>488.0555967</v>
      </c>
      <c r="M212" s="14">
        <f t="shared" si="9"/>
        <v>417.1724516</v>
      </c>
      <c r="N212" s="27">
        <f t="shared" si="10"/>
        <v>70.88314518</v>
      </c>
      <c r="O212" s="24"/>
      <c r="P212" s="24"/>
      <c r="Q212" s="24"/>
      <c r="R212" s="26"/>
      <c r="S212" s="14">
        <f t="shared" si="13"/>
        <v>65.09171795</v>
      </c>
      <c r="U212" s="21"/>
      <c r="V212" s="21"/>
    </row>
    <row r="213">
      <c r="A213" s="11">
        <v>201.0</v>
      </c>
      <c r="B213" s="11">
        <v>1.42026956521739E9</v>
      </c>
      <c r="C213" s="2">
        <v>-101.8689804</v>
      </c>
      <c r="D213" s="24">
        <f t="shared" si="1"/>
        <v>-130434.7826</v>
      </c>
      <c r="E213" s="25">
        <f t="shared" si="2"/>
        <v>26.63058783</v>
      </c>
      <c r="F213" s="24">
        <f t="shared" si="3"/>
        <v>0.0002041678401</v>
      </c>
      <c r="G213" s="24">
        <f t="shared" si="4"/>
        <v>0</v>
      </c>
      <c r="H213" s="26">
        <f t="shared" si="5"/>
        <v>0</v>
      </c>
      <c r="I213" s="24">
        <f t="shared" si="6"/>
        <v>0</v>
      </c>
      <c r="J213" s="24">
        <f t="shared" si="7"/>
        <v>0</v>
      </c>
      <c r="K213" s="24"/>
      <c r="L213" s="24">
        <f t="shared" si="8"/>
        <v>494.5476328</v>
      </c>
      <c r="M213" s="14">
        <f t="shared" si="9"/>
        <v>417.0871945</v>
      </c>
      <c r="N213" s="27">
        <f t="shared" si="10"/>
        <v>77.46043829</v>
      </c>
      <c r="O213" s="24"/>
      <c r="P213" s="24"/>
      <c r="Q213" s="24"/>
      <c r="R213" s="26"/>
      <c r="S213" s="14">
        <f t="shared" si="13"/>
        <v>71.13162092</v>
      </c>
      <c r="U213" s="21"/>
      <c r="V213" s="21"/>
    </row>
    <row r="214">
      <c r="A214" s="11">
        <v>202.0</v>
      </c>
      <c r="B214" s="11">
        <v>1.42027391304347E9</v>
      </c>
      <c r="C214" s="2">
        <v>-101.9054337</v>
      </c>
      <c r="D214" s="24">
        <f t="shared" si="1"/>
        <v>-126086.9565</v>
      </c>
      <c r="E214" s="25">
        <f t="shared" si="2"/>
        <v>25.7122917</v>
      </c>
      <c r="F214" s="24">
        <f t="shared" si="3"/>
        <v>0.0002039250721</v>
      </c>
      <c r="G214" s="24">
        <f t="shared" si="4"/>
        <v>0</v>
      </c>
      <c r="H214" s="26">
        <f t="shared" si="5"/>
        <v>0</v>
      </c>
      <c r="I214" s="24">
        <f t="shared" si="6"/>
        <v>0</v>
      </c>
      <c r="J214" s="24">
        <f t="shared" si="7"/>
        <v>0</v>
      </c>
      <c r="K214" s="24"/>
      <c r="L214" s="24">
        <f t="shared" si="8"/>
        <v>490.4139297</v>
      </c>
      <c r="M214" s="14">
        <f t="shared" si="9"/>
        <v>417.0021644</v>
      </c>
      <c r="N214" s="27">
        <f t="shared" si="10"/>
        <v>73.4117653</v>
      </c>
      <c r="O214" s="24"/>
      <c r="P214" s="24"/>
      <c r="Q214" s="24"/>
      <c r="R214" s="26"/>
      <c r="S214" s="14">
        <f t="shared" si="13"/>
        <v>67.41374018</v>
      </c>
      <c r="U214" s="21"/>
      <c r="V214" s="21"/>
    </row>
    <row r="215">
      <c r="A215" s="11">
        <v>203.0</v>
      </c>
      <c r="B215" s="11">
        <v>1.42027826086956E9</v>
      </c>
      <c r="C215" s="2">
        <v>-101.8207474</v>
      </c>
      <c r="D215" s="24">
        <f t="shared" si="1"/>
        <v>-121739.1304</v>
      </c>
      <c r="E215" s="25">
        <f t="shared" si="2"/>
        <v>24.79399557</v>
      </c>
      <c r="F215" s="24">
        <f t="shared" si="3"/>
        <v>0.0002036649636</v>
      </c>
      <c r="G215" s="24">
        <f t="shared" si="4"/>
        <v>0</v>
      </c>
      <c r="H215" s="26">
        <f t="shared" si="5"/>
        <v>0</v>
      </c>
      <c r="I215" s="24">
        <f t="shared" si="6"/>
        <v>0</v>
      </c>
      <c r="J215" s="24">
        <f t="shared" si="7"/>
        <v>0</v>
      </c>
      <c r="K215" s="24"/>
      <c r="L215" s="24">
        <f t="shared" si="8"/>
        <v>500.0707209</v>
      </c>
      <c r="M215" s="14">
        <f t="shared" si="9"/>
        <v>416.9173592</v>
      </c>
      <c r="N215" s="27">
        <f t="shared" si="10"/>
        <v>83.15336171</v>
      </c>
      <c r="O215" s="24"/>
      <c r="P215" s="24"/>
      <c r="Q215" s="24"/>
      <c r="R215" s="26"/>
      <c r="S215" s="14">
        <f t="shared" si="13"/>
        <v>76.35941031</v>
      </c>
      <c r="U215" s="21"/>
      <c r="V215" s="21"/>
    </row>
    <row r="216">
      <c r="A216" s="11">
        <v>204.0</v>
      </c>
      <c r="B216" s="11">
        <v>1.42028260869565E9</v>
      </c>
      <c r="C216" s="2">
        <v>-101.9146194</v>
      </c>
      <c r="D216" s="24">
        <f t="shared" si="1"/>
        <v>-117391.3043</v>
      </c>
      <c r="E216" s="25">
        <f t="shared" si="2"/>
        <v>23.87569944</v>
      </c>
      <c r="F216" s="24">
        <f t="shared" si="3"/>
        <v>0.0002033855878</v>
      </c>
      <c r="G216" s="24">
        <f t="shared" si="4"/>
        <v>0</v>
      </c>
      <c r="H216" s="26">
        <f t="shared" si="5"/>
        <v>0</v>
      </c>
      <c r="I216" s="24">
        <f t="shared" si="6"/>
        <v>0</v>
      </c>
      <c r="J216" s="24">
        <f t="shared" si="7"/>
        <v>0</v>
      </c>
      <c r="K216" s="24"/>
      <c r="L216" s="24">
        <f t="shared" si="8"/>
        <v>489.3777585</v>
      </c>
      <c r="M216" s="14">
        <f t="shared" si="9"/>
        <v>416.8327766</v>
      </c>
      <c r="N216" s="27">
        <f t="shared" si="10"/>
        <v>72.54498183</v>
      </c>
      <c r="O216" s="24"/>
      <c r="P216" s="24"/>
      <c r="Q216" s="24"/>
      <c r="R216" s="26"/>
      <c r="S216" s="14">
        <f t="shared" si="13"/>
        <v>66.61777627</v>
      </c>
      <c r="U216" s="21"/>
      <c r="V216" s="21"/>
    </row>
    <row r="217">
      <c r="A217" s="11">
        <v>205.0</v>
      </c>
      <c r="B217" s="11">
        <v>1.42028695652173E9</v>
      </c>
      <c r="C217" s="2">
        <v>-101.8552475</v>
      </c>
      <c r="D217" s="24">
        <f t="shared" si="1"/>
        <v>-113043.4783</v>
      </c>
      <c r="E217" s="25">
        <f t="shared" si="2"/>
        <v>22.9574033</v>
      </c>
      <c r="F217" s="24">
        <f t="shared" si="3"/>
        <v>0.0002030847215</v>
      </c>
      <c r="G217" s="24">
        <f t="shared" si="4"/>
        <v>0</v>
      </c>
      <c r="H217" s="26">
        <f t="shared" si="5"/>
        <v>0</v>
      </c>
      <c r="I217" s="24">
        <f t="shared" si="6"/>
        <v>0</v>
      </c>
      <c r="J217" s="24">
        <f t="shared" si="7"/>
        <v>0</v>
      </c>
      <c r="K217" s="24"/>
      <c r="L217" s="24">
        <f t="shared" si="8"/>
        <v>496.1139254</v>
      </c>
      <c r="M217" s="14">
        <f t="shared" si="9"/>
        <v>416.7484146</v>
      </c>
      <c r="N217" s="27">
        <f t="shared" si="10"/>
        <v>79.36551083</v>
      </c>
      <c r="O217" s="24"/>
      <c r="P217" s="24"/>
      <c r="Q217" s="24"/>
      <c r="R217" s="26"/>
      <c r="S217" s="14">
        <f t="shared" si="13"/>
        <v>72.88104167</v>
      </c>
      <c r="U217" s="21"/>
      <c r="V217" s="21"/>
    </row>
    <row r="218">
      <c r="A218" s="11">
        <v>206.0</v>
      </c>
      <c r="B218" s="11">
        <v>1.42029130434782E9</v>
      </c>
      <c r="C218" s="2">
        <v>-101.8280258</v>
      </c>
      <c r="D218" s="24">
        <f t="shared" si="1"/>
        <v>-108695.6522</v>
      </c>
      <c r="E218" s="25">
        <f t="shared" si="2"/>
        <v>22.03910717</v>
      </c>
      <c r="F218" s="24">
        <f t="shared" si="3"/>
        <v>0.000202759786</v>
      </c>
      <c r="G218" s="24">
        <f t="shared" si="4"/>
        <v>0</v>
      </c>
      <c r="H218" s="26">
        <f t="shared" si="5"/>
        <v>0</v>
      </c>
      <c r="I218" s="24">
        <f t="shared" si="6"/>
        <v>0</v>
      </c>
      <c r="J218" s="24">
        <f t="shared" si="7"/>
        <v>0</v>
      </c>
      <c r="K218" s="24"/>
      <c r="L218" s="24">
        <f t="shared" si="8"/>
        <v>499.2333475</v>
      </c>
      <c r="M218" s="14">
        <f t="shared" si="9"/>
        <v>416.6642708</v>
      </c>
      <c r="N218" s="27">
        <f t="shared" si="10"/>
        <v>82.56907669</v>
      </c>
      <c r="O218" s="24"/>
      <c r="P218" s="24"/>
      <c r="Q218" s="24"/>
      <c r="R218" s="26"/>
      <c r="S218" s="14">
        <f t="shared" si="13"/>
        <v>75.82286381</v>
      </c>
      <c r="U218" s="21"/>
      <c r="V218" s="21"/>
    </row>
    <row r="219">
      <c r="A219" s="11">
        <v>207.0</v>
      </c>
      <c r="B219" s="11">
        <v>1.42029565217391E9</v>
      </c>
      <c r="C219" s="2">
        <v>-101.8069077</v>
      </c>
      <c r="D219" s="24">
        <f t="shared" si="1"/>
        <v>-104347.8261</v>
      </c>
      <c r="E219" s="25">
        <f t="shared" si="2"/>
        <v>21.12081104</v>
      </c>
      <c r="F219" s="24">
        <f t="shared" si="3"/>
        <v>0.0002024077725</v>
      </c>
      <c r="G219" s="24">
        <f t="shared" si="4"/>
        <v>0</v>
      </c>
      <c r="H219" s="26">
        <f t="shared" si="5"/>
        <v>0</v>
      </c>
      <c r="I219" s="24">
        <f t="shared" si="6"/>
        <v>0</v>
      </c>
      <c r="J219" s="24">
        <f t="shared" si="7"/>
        <v>0</v>
      </c>
      <c r="K219" s="24"/>
      <c r="L219" s="24">
        <f t="shared" si="8"/>
        <v>501.6668424</v>
      </c>
      <c r="M219" s="14">
        <f t="shared" si="9"/>
        <v>416.5803432</v>
      </c>
      <c r="N219" s="27">
        <f t="shared" si="10"/>
        <v>85.08649927</v>
      </c>
      <c r="O219" s="24"/>
      <c r="P219" s="24"/>
      <c r="Q219" s="24"/>
      <c r="R219" s="26"/>
      <c r="S219" s="14">
        <f t="shared" si="13"/>
        <v>78.13460306</v>
      </c>
      <c r="U219" s="21"/>
      <c r="V219" s="21"/>
    </row>
    <row r="220">
      <c r="A220" s="11">
        <v>208.0</v>
      </c>
      <c r="B220" s="11">
        <v>1.4203E9</v>
      </c>
      <c r="C220" s="2">
        <v>-101.8383179</v>
      </c>
      <c r="D220" s="24">
        <f t="shared" si="1"/>
        <v>-100000</v>
      </c>
      <c r="E220" s="25">
        <f t="shared" si="2"/>
        <v>20.20251491</v>
      </c>
      <c r="F220" s="24">
        <f t="shared" si="3"/>
        <v>0.0002020251491</v>
      </c>
      <c r="G220" s="24">
        <f t="shared" si="4"/>
        <v>0</v>
      </c>
      <c r="H220" s="26">
        <f t="shared" si="5"/>
        <v>0</v>
      </c>
      <c r="I220" s="24">
        <f t="shared" si="6"/>
        <v>0</v>
      </c>
      <c r="J220" s="24">
        <f t="shared" si="7"/>
        <v>0</v>
      </c>
      <c r="K220" s="24"/>
      <c r="L220" s="24">
        <f t="shared" si="8"/>
        <v>498.0516433</v>
      </c>
      <c r="M220" s="14">
        <f t="shared" si="9"/>
        <v>416.4966295</v>
      </c>
      <c r="N220" s="27">
        <f t="shared" si="10"/>
        <v>81.5550138</v>
      </c>
      <c r="O220" s="24"/>
      <c r="P220" s="24"/>
      <c r="Q220" s="24"/>
      <c r="R220" s="26"/>
      <c r="S220" s="14">
        <f t="shared" si="13"/>
        <v>74.89165378</v>
      </c>
      <c r="U220" s="21"/>
      <c r="V220" s="21"/>
    </row>
    <row r="221">
      <c r="A221" s="11">
        <v>209.0</v>
      </c>
      <c r="B221" s="11">
        <v>1.42030434782608E9</v>
      </c>
      <c r="C221" s="2">
        <v>-101.8507538</v>
      </c>
      <c r="D221" s="24">
        <f t="shared" si="1"/>
        <v>-95652.17392</v>
      </c>
      <c r="E221" s="25">
        <f t="shared" si="2"/>
        <v>19.28421878</v>
      </c>
      <c r="F221" s="24">
        <f t="shared" si="3"/>
        <v>0.0002016077417</v>
      </c>
      <c r="G221" s="24">
        <f t="shared" si="4"/>
        <v>0</v>
      </c>
      <c r="H221" s="26">
        <f t="shared" si="5"/>
        <v>0</v>
      </c>
      <c r="I221" s="24">
        <f t="shared" si="6"/>
        <v>0</v>
      </c>
      <c r="J221" s="24">
        <f t="shared" si="7"/>
        <v>0</v>
      </c>
      <c r="K221" s="24"/>
      <c r="L221" s="24">
        <f t="shared" si="8"/>
        <v>496.6275264</v>
      </c>
      <c r="M221" s="14">
        <f t="shared" si="9"/>
        <v>416.4131276</v>
      </c>
      <c r="N221" s="27">
        <f t="shared" si="10"/>
        <v>80.21439877</v>
      </c>
      <c r="O221" s="24"/>
      <c r="P221" s="24"/>
      <c r="Q221" s="24"/>
      <c r="R221" s="26"/>
      <c r="S221" s="14">
        <f t="shared" si="13"/>
        <v>73.66057219</v>
      </c>
      <c r="U221" s="21"/>
      <c r="V221" s="21"/>
    </row>
    <row r="222">
      <c r="A222" s="11">
        <v>210.0</v>
      </c>
      <c r="B222" s="11">
        <v>1.42030869565217E9</v>
      </c>
      <c r="C222" s="2">
        <v>-101.7955933</v>
      </c>
      <c r="D222" s="24">
        <f t="shared" si="1"/>
        <v>-91304.34783</v>
      </c>
      <c r="E222" s="25">
        <f t="shared" si="2"/>
        <v>18.36592264</v>
      </c>
      <c r="F222" s="24">
        <f t="shared" si="3"/>
        <v>0.0002011505813</v>
      </c>
      <c r="G222" s="24">
        <f t="shared" si="4"/>
        <v>0</v>
      </c>
      <c r="H222" s="26">
        <f t="shared" si="5"/>
        <v>0</v>
      </c>
      <c r="I222" s="24">
        <f t="shared" si="6"/>
        <v>0</v>
      </c>
      <c r="J222" s="24">
        <f t="shared" si="7"/>
        <v>0</v>
      </c>
      <c r="K222" s="24"/>
      <c r="L222" s="24">
        <f t="shared" si="8"/>
        <v>502.9755074</v>
      </c>
      <c r="M222" s="14">
        <f t="shared" si="9"/>
        <v>416.3298354</v>
      </c>
      <c r="N222" s="27">
        <f t="shared" si="10"/>
        <v>86.64567198</v>
      </c>
      <c r="O222" s="24"/>
      <c r="P222" s="24"/>
      <c r="Q222" s="24"/>
      <c r="R222" s="26"/>
      <c r="S222" s="14">
        <f t="shared" si="13"/>
        <v>79.56638532</v>
      </c>
      <c r="U222" s="21"/>
      <c r="V222" s="21"/>
    </row>
    <row r="223">
      <c r="A223" s="11">
        <v>211.0</v>
      </c>
      <c r="B223" s="11">
        <v>1.42031304347826E9</v>
      </c>
      <c r="C223" s="2">
        <v>-101.8514404</v>
      </c>
      <c r="D223" s="24">
        <f t="shared" si="1"/>
        <v>-86956.52174</v>
      </c>
      <c r="E223" s="25">
        <f t="shared" si="2"/>
        <v>17.44762651</v>
      </c>
      <c r="F223" s="24">
        <f t="shared" si="3"/>
        <v>0.0002006477049</v>
      </c>
      <c r="G223" s="24">
        <f t="shared" si="4"/>
        <v>0</v>
      </c>
      <c r="H223" s="26">
        <f t="shared" si="5"/>
        <v>0</v>
      </c>
      <c r="I223" s="24">
        <f t="shared" si="6"/>
        <v>0</v>
      </c>
      <c r="J223" s="24">
        <f t="shared" si="7"/>
        <v>0</v>
      </c>
      <c r="K223" s="24"/>
      <c r="L223" s="24">
        <f t="shared" si="8"/>
        <v>496.549018</v>
      </c>
      <c r="M223" s="14">
        <f t="shared" si="9"/>
        <v>416.2467505</v>
      </c>
      <c r="N223" s="27">
        <f t="shared" si="10"/>
        <v>80.3022675</v>
      </c>
      <c r="O223" s="24"/>
      <c r="P223" s="24"/>
      <c r="Q223" s="24"/>
      <c r="R223" s="26"/>
      <c r="S223" s="14">
        <f t="shared" si="13"/>
        <v>73.7412617</v>
      </c>
      <c r="U223" s="21"/>
      <c r="V223" s="21"/>
    </row>
    <row r="224">
      <c r="A224" s="11">
        <v>212.0</v>
      </c>
      <c r="B224" s="11">
        <v>1.42031739130434E9</v>
      </c>
      <c r="C224" s="2">
        <v>-101.818512</v>
      </c>
      <c r="D224" s="24">
        <f t="shared" si="1"/>
        <v>-82608.69566</v>
      </c>
      <c r="E224" s="25">
        <f t="shared" si="2"/>
        <v>16.52933038</v>
      </c>
      <c r="F224" s="24">
        <f t="shared" si="3"/>
        <v>0.000200091894</v>
      </c>
      <c r="G224" s="24">
        <f t="shared" si="4"/>
        <v>0</v>
      </c>
      <c r="H224" s="26">
        <f t="shared" si="5"/>
        <v>0</v>
      </c>
      <c r="I224" s="24">
        <f t="shared" si="6"/>
        <v>0</v>
      </c>
      <c r="J224" s="24">
        <f t="shared" si="7"/>
        <v>0</v>
      </c>
      <c r="K224" s="24"/>
      <c r="L224" s="24">
        <f t="shared" si="8"/>
        <v>500.3281835</v>
      </c>
      <c r="M224" s="14">
        <f t="shared" si="9"/>
        <v>416.163871</v>
      </c>
      <c r="N224" s="27">
        <f t="shared" si="10"/>
        <v>84.16431252</v>
      </c>
      <c r="O224" s="24"/>
      <c r="P224" s="24"/>
      <c r="Q224" s="24"/>
      <c r="R224" s="26"/>
      <c r="S224" s="14">
        <f t="shared" si="13"/>
        <v>77.2877627</v>
      </c>
      <c r="U224" s="21"/>
      <c r="V224" s="21"/>
    </row>
    <row r="225">
      <c r="A225" s="11">
        <v>213.0</v>
      </c>
      <c r="B225" s="11">
        <v>1.42032173913043E9</v>
      </c>
      <c r="C225" s="2">
        <v>-101.867775</v>
      </c>
      <c r="D225" s="24">
        <f t="shared" si="1"/>
        <v>-78260.86957</v>
      </c>
      <c r="E225" s="25">
        <f t="shared" si="2"/>
        <v>15.61103425</v>
      </c>
      <c r="F225" s="24">
        <f t="shared" si="3"/>
        <v>0.0001994743265</v>
      </c>
      <c r="G225" s="24">
        <f t="shared" si="4"/>
        <v>0</v>
      </c>
      <c r="H225" s="26">
        <f t="shared" si="5"/>
        <v>0</v>
      </c>
      <c r="I225" s="24">
        <f t="shared" si="6"/>
        <v>0</v>
      </c>
      <c r="J225" s="24">
        <f t="shared" si="7"/>
        <v>0</v>
      </c>
      <c r="K225" s="24"/>
      <c r="L225" s="24">
        <f t="shared" si="8"/>
        <v>494.6849153</v>
      </c>
      <c r="M225" s="14">
        <f t="shared" si="9"/>
        <v>416.0811945</v>
      </c>
      <c r="N225" s="27">
        <f t="shared" si="10"/>
        <v>78.60372082</v>
      </c>
      <c r="O225" s="24"/>
      <c r="P225" s="24"/>
      <c r="Q225" s="24"/>
      <c r="R225" s="26"/>
      <c r="S225" s="14">
        <f t="shared" si="13"/>
        <v>72.18149268</v>
      </c>
      <c r="U225" s="21"/>
      <c r="V225" s="21"/>
    </row>
    <row r="226">
      <c r="A226" s="11">
        <v>214.0</v>
      </c>
      <c r="B226" s="11">
        <v>1.42032608695652E9</v>
      </c>
      <c r="C226" s="2">
        <v>-101.8198318</v>
      </c>
      <c r="D226" s="24">
        <f t="shared" si="1"/>
        <v>-73913.04348</v>
      </c>
      <c r="E226" s="25">
        <f t="shared" si="2"/>
        <v>14.69273812</v>
      </c>
      <c r="F226" s="24">
        <f t="shared" si="3"/>
        <v>0.0001987841039</v>
      </c>
      <c r="G226" s="24">
        <f t="shared" si="4"/>
        <v>0</v>
      </c>
      <c r="H226" s="26">
        <f t="shared" si="5"/>
        <v>0</v>
      </c>
      <c r="I226" s="24">
        <f t="shared" si="6"/>
        <v>0</v>
      </c>
      <c r="J226" s="24">
        <f t="shared" si="7"/>
        <v>0</v>
      </c>
      <c r="K226" s="24"/>
      <c r="L226" s="24">
        <f t="shared" si="8"/>
        <v>500.1761593</v>
      </c>
      <c r="M226" s="14">
        <f t="shared" si="9"/>
        <v>415.9987189</v>
      </c>
      <c r="N226" s="27">
        <f t="shared" si="10"/>
        <v>84.17744037</v>
      </c>
      <c r="O226" s="24"/>
      <c r="P226" s="24"/>
      <c r="Q226" s="24"/>
      <c r="R226" s="26"/>
      <c r="S226" s="14">
        <f t="shared" si="13"/>
        <v>77.29981796</v>
      </c>
      <c r="U226" s="21"/>
      <c r="V226" s="21"/>
    </row>
    <row r="227">
      <c r="A227" s="11">
        <v>215.0</v>
      </c>
      <c r="B227" s="11">
        <v>1.4203304347826E9</v>
      </c>
      <c r="C227" s="2">
        <v>-101.8368149</v>
      </c>
      <c r="D227" s="24">
        <f t="shared" si="1"/>
        <v>-69565.2174</v>
      </c>
      <c r="E227" s="25">
        <f t="shared" si="2"/>
        <v>13.77444198</v>
      </c>
      <c r="F227" s="24">
        <f t="shared" si="3"/>
        <v>0.0001980076035</v>
      </c>
      <c r="G227" s="24">
        <f t="shared" si="4"/>
        <v>0</v>
      </c>
      <c r="H227" s="26">
        <f t="shared" si="5"/>
        <v>0</v>
      </c>
      <c r="I227" s="24">
        <f t="shared" si="6"/>
        <v>0</v>
      </c>
      <c r="J227" s="24">
        <f t="shared" si="7"/>
        <v>0</v>
      </c>
      <c r="K227" s="24"/>
      <c r="L227" s="24">
        <f t="shared" si="8"/>
        <v>498.2240381</v>
      </c>
      <c r="M227" s="14">
        <f t="shared" si="9"/>
        <v>415.916442</v>
      </c>
      <c r="N227" s="27">
        <f t="shared" si="10"/>
        <v>82.30759608</v>
      </c>
      <c r="O227" s="24"/>
      <c r="P227" s="24"/>
      <c r="Q227" s="24"/>
      <c r="R227" s="26"/>
      <c r="S227" s="14">
        <f t="shared" si="13"/>
        <v>75.58274718</v>
      </c>
      <c r="U227" s="21"/>
      <c r="V227" s="21"/>
    </row>
    <row r="228">
      <c r="A228" s="11">
        <v>216.0</v>
      </c>
      <c r="B228" s="11">
        <v>1.42033478260869E9</v>
      </c>
      <c r="C228" s="2">
        <v>-101.8637924</v>
      </c>
      <c r="D228" s="24">
        <f t="shared" si="1"/>
        <v>-65217.39131</v>
      </c>
      <c r="E228" s="25">
        <f t="shared" si="2"/>
        <v>12.85614585</v>
      </c>
      <c r="F228" s="24">
        <f t="shared" si="3"/>
        <v>0.0001971275697</v>
      </c>
      <c r="G228" s="24">
        <f t="shared" si="4"/>
        <v>0</v>
      </c>
      <c r="H228" s="26">
        <f t="shared" si="5"/>
        <v>0</v>
      </c>
      <c r="I228" s="24">
        <f t="shared" si="6"/>
        <v>0</v>
      </c>
      <c r="J228" s="24">
        <f t="shared" si="7"/>
        <v>0</v>
      </c>
      <c r="K228" s="24"/>
      <c r="L228" s="24">
        <f t="shared" si="8"/>
        <v>495.138763</v>
      </c>
      <c r="M228" s="14">
        <f t="shared" si="9"/>
        <v>415.8343617</v>
      </c>
      <c r="N228" s="27">
        <f t="shared" si="10"/>
        <v>79.3044013</v>
      </c>
      <c r="O228" s="24"/>
      <c r="P228" s="24"/>
      <c r="Q228" s="24"/>
      <c r="R228" s="26"/>
      <c r="S228" s="14">
        <f t="shared" si="13"/>
        <v>72.82492503</v>
      </c>
      <c r="U228" s="21"/>
      <c r="V228" s="21"/>
    </row>
    <row r="229">
      <c r="A229" s="11">
        <v>217.0</v>
      </c>
      <c r="B229" s="11">
        <v>1.42033913043478E9</v>
      </c>
      <c r="C229" s="2">
        <v>-101.8728333</v>
      </c>
      <c r="D229" s="24">
        <f t="shared" si="1"/>
        <v>-60869.56522</v>
      </c>
      <c r="E229" s="25">
        <f t="shared" si="2"/>
        <v>11.93784972</v>
      </c>
      <c r="F229" s="24">
        <f t="shared" si="3"/>
        <v>0.0001961218168</v>
      </c>
      <c r="G229" s="24">
        <f t="shared" si="4"/>
        <v>0</v>
      </c>
      <c r="H229" s="26">
        <f t="shared" si="5"/>
        <v>0</v>
      </c>
      <c r="I229" s="24">
        <f t="shared" si="6"/>
        <v>0</v>
      </c>
      <c r="J229" s="24">
        <f t="shared" si="7"/>
        <v>0</v>
      </c>
      <c r="K229" s="24"/>
      <c r="L229" s="24">
        <f t="shared" si="8"/>
        <v>494.109083</v>
      </c>
      <c r="M229" s="14">
        <f t="shared" si="9"/>
        <v>415.7524758</v>
      </c>
      <c r="N229" s="27">
        <f t="shared" si="10"/>
        <v>78.35660713</v>
      </c>
      <c r="O229" s="24"/>
      <c r="P229" s="24"/>
      <c r="Q229" s="24"/>
      <c r="R229" s="26"/>
      <c r="S229" s="14">
        <f t="shared" si="13"/>
        <v>71.95456914</v>
      </c>
      <c r="U229" s="21"/>
      <c r="V229" s="21"/>
    </row>
    <row r="230">
      <c r="A230" s="11">
        <v>218.0</v>
      </c>
      <c r="B230" s="11">
        <v>1.42034347826087E9</v>
      </c>
      <c r="C230" s="2">
        <v>-101.8245697</v>
      </c>
      <c r="D230" s="24">
        <f t="shared" si="1"/>
        <v>-56521.73913</v>
      </c>
      <c r="E230" s="25">
        <f t="shared" si="2"/>
        <v>11.01955359</v>
      </c>
      <c r="F230" s="24">
        <f t="shared" si="3"/>
        <v>0.0001949613327</v>
      </c>
      <c r="G230" s="24">
        <f t="shared" si="4"/>
        <v>0</v>
      </c>
      <c r="H230" s="26">
        <f t="shared" si="5"/>
        <v>0</v>
      </c>
      <c r="I230" s="24">
        <f t="shared" si="6"/>
        <v>0</v>
      </c>
      <c r="J230" s="24">
        <f t="shared" si="7"/>
        <v>0</v>
      </c>
      <c r="K230" s="24"/>
      <c r="L230" s="24">
        <f t="shared" si="8"/>
        <v>499.6307937</v>
      </c>
      <c r="M230" s="14">
        <f t="shared" si="9"/>
        <v>415.6707821</v>
      </c>
      <c r="N230" s="27">
        <f t="shared" si="10"/>
        <v>83.96001161</v>
      </c>
      <c r="O230" s="24"/>
      <c r="P230" s="24"/>
      <c r="Q230" s="24"/>
      <c r="R230" s="26"/>
      <c r="S230" s="14">
        <f t="shared" si="13"/>
        <v>77.10015397</v>
      </c>
      <c r="U230" s="21"/>
      <c r="V230" s="21"/>
    </row>
    <row r="231">
      <c r="A231" s="11">
        <v>219.0</v>
      </c>
      <c r="B231" s="11">
        <v>1.42034782608695E9</v>
      </c>
      <c r="C231" s="2">
        <v>-101.8628387</v>
      </c>
      <c r="D231" s="24">
        <f t="shared" si="1"/>
        <v>-52173.91305</v>
      </c>
      <c r="E231" s="25">
        <f t="shared" si="2"/>
        <v>10.10125745</v>
      </c>
      <c r="F231" s="24">
        <f t="shared" si="3"/>
        <v>0.0001936074345</v>
      </c>
      <c r="G231" s="24">
        <f t="shared" si="4"/>
        <v>0</v>
      </c>
      <c r="H231" s="26">
        <f t="shared" si="5"/>
        <v>0</v>
      </c>
      <c r="I231" s="24">
        <f t="shared" si="6"/>
        <v>0</v>
      </c>
      <c r="J231" s="24">
        <f t="shared" si="7"/>
        <v>0</v>
      </c>
      <c r="K231" s="24"/>
      <c r="L231" s="24">
        <f t="shared" si="8"/>
        <v>495.2475062</v>
      </c>
      <c r="M231" s="14">
        <f t="shared" si="9"/>
        <v>415.5892784</v>
      </c>
      <c r="N231" s="27">
        <f t="shared" si="10"/>
        <v>79.65822782</v>
      </c>
      <c r="O231" s="24"/>
      <c r="P231" s="24"/>
      <c r="Q231" s="24"/>
      <c r="R231" s="26"/>
      <c r="S231" s="14">
        <f t="shared" si="13"/>
        <v>73.14984255</v>
      </c>
      <c r="U231" s="21"/>
      <c r="V231" s="21"/>
    </row>
    <row r="232">
      <c r="A232" s="11">
        <v>220.0</v>
      </c>
      <c r="B232" s="11">
        <v>1.42035217391304E9</v>
      </c>
      <c r="C232" s="2">
        <v>-101.9141617</v>
      </c>
      <c r="D232" s="24">
        <f t="shared" si="1"/>
        <v>-47826.08696</v>
      </c>
      <c r="E232" s="25">
        <f t="shared" si="2"/>
        <v>9.182961321</v>
      </c>
      <c r="F232" s="24">
        <f t="shared" si="3"/>
        <v>0.0001920073731</v>
      </c>
      <c r="G232" s="24">
        <f t="shared" si="4"/>
        <v>0</v>
      </c>
      <c r="H232" s="26">
        <f t="shared" si="5"/>
        <v>0</v>
      </c>
      <c r="I232" s="24">
        <f t="shared" si="6"/>
        <v>0</v>
      </c>
      <c r="J232" s="24">
        <f t="shared" si="7"/>
        <v>0</v>
      </c>
      <c r="K232" s="24"/>
      <c r="L232" s="24">
        <f t="shared" si="8"/>
        <v>489.4293364</v>
      </c>
      <c r="M232" s="14">
        <f t="shared" si="9"/>
        <v>415.5079626</v>
      </c>
      <c r="N232" s="27">
        <f t="shared" si="10"/>
        <v>73.92137377</v>
      </c>
      <c r="O232" s="24"/>
      <c r="P232" s="24"/>
      <c r="Q232" s="24"/>
      <c r="R232" s="26"/>
      <c r="S232" s="14">
        <f t="shared" si="13"/>
        <v>67.88171151</v>
      </c>
      <c r="U232" s="21"/>
      <c r="V232" s="21"/>
    </row>
    <row r="233">
      <c r="A233" s="11">
        <v>221.0</v>
      </c>
      <c r="B233" s="11">
        <v>1.42035652173913E9</v>
      </c>
      <c r="C233" s="2">
        <v>-101.8910522</v>
      </c>
      <c r="D233" s="24">
        <f t="shared" si="1"/>
        <v>-43478.26087</v>
      </c>
      <c r="E233" s="25">
        <f t="shared" si="2"/>
        <v>8.264665191</v>
      </c>
      <c r="F233" s="24">
        <f t="shared" si="3"/>
        <v>0.0001900872994</v>
      </c>
      <c r="G233" s="24">
        <f t="shared" si="4"/>
        <v>0</v>
      </c>
      <c r="H233" s="26">
        <f t="shared" si="5"/>
        <v>0</v>
      </c>
      <c r="I233" s="24">
        <f t="shared" si="6"/>
        <v>0</v>
      </c>
      <c r="J233" s="24">
        <f t="shared" si="7"/>
        <v>0</v>
      </c>
      <c r="K233" s="24"/>
      <c r="L233" s="24">
        <f t="shared" si="8"/>
        <v>492.040609</v>
      </c>
      <c r="M233" s="14">
        <f t="shared" si="9"/>
        <v>415.4268324</v>
      </c>
      <c r="N233" s="27">
        <f t="shared" si="10"/>
        <v>76.6137766</v>
      </c>
      <c r="O233" s="24"/>
      <c r="P233" s="24"/>
      <c r="Q233" s="24"/>
      <c r="R233" s="26"/>
      <c r="S233" s="14">
        <f t="shared" si="13"/>
        <v>70.35413477</v>
      </c>
      <c r="U233" s="21"/>
      <c r="V233" s="21"/>
    </row>
    <row r="234">
      <c r="A234" s="11">
        <v>222.0</v>
      </c>
      <c r="B234" s="11">
        <v>1.42036086956521E9</v>
      </c>
      <c r="C234" s="2">
        <v>-101.8394775</v>
      </c>
      <c r="D234" s="24">
        <f t="shared" si="1"/>
        <v>-39130.43479</v>
      </c>
      <c r="E234" s="25">
        <f t="shared" si="2"/>
        <v>7.346369058</v>
      </c>
      <c r="F234" s="24">
        <f t="shared" si="3"/>
        <v>0.0001877405426</v>
      </c>
      <c r="G234" s="24">
        <f t="shared" si="4"/>
        <v>0</v>
      </c>
      <c r="H234" s="26">
        <f t="shared" si="5"/>
        <v>0</v>
      </c>
      <c r="I234" s="24">
        <f t="shared" si="6"/>
        <v>0</v>
      </c>
      <c r="J234" s="24">
        <f t="shared" si="7"/>
        <v>0</v>
      </c>
      <c r="K234" s="24"/>
      <c r="L234" s="24">
        <f t="shared" si="8"/>
        <v>497.9186774</v>
      </c>
      <c r="M234" s="14">
        <f t="shared" si="9"/>
        <v>415.3458858</v>
      </c>
      <c r="N234" s="27">
        <f t="shared" si="10"/>
        <v>82.57279163</v>
      </c>
      <c r="O234" s="24"/>
      <c r="P234" s="24"/>
      <c r="Q234" s="24"/>
      <c r="R234" s="26"/>
      <c r="S234" s="14">
        <f t="shared" si="13"/>
        <v>75.82627523</v>
      </c>
      <c r="U234" s="21"/>
      <c r="V234" s="21"/>
    </row>
    <row r="235">
      <c r="A235" s="11">
        <v>223.0</v>
      </c>
      <c r="B235" s="11">
        <v>1.4203652173913E9</v>
      </c>
      <c r="C235" s="2">
        <v>-101.8294907</v>
      </c>
      <c r="D235" s="24">
        <f t="shared" si="1"/>
        <v>-34782.6087</v>
      </c>
      <c r="E235" s="25">
        <f t="shared" si="2"/>
        <v>6.428072925</v>
      </c>
      <c r="F235" s="24">
        <f t="shared" si="3"/>
        <v>0.0001848070966</v>
      </c>
      <c r="G235" s="24">
        <f t="shared" si="4"/>
        <v>0</v>
      </c>
      <c r="H235" s="26">
        <f t="shared" si="5"/>
        <v>0</v>
      </c>
      <c r="I235" s="24">
        <f t="shared" si="6"/>
        <v>0</v>
      </c>
      <c r="J235" s="24">
        <f t="shared" si="7"/>
        <v>0</v>
      </c>
      <c r="K235" s="24"/>
      <c r="L235" s="24">
        <f t="shared" si="8"/>
        <v>499.0649816</v>
      </c>
      <c r="M235" s="14">
        <f t="shared" si="9"/>
        <v>415.2651204</v>
      </c>
      <c r="N235" s="27">
        <f t="shared" si="10"/>
        <v>83.7998612</v>
      </c>
      <c r="O235" s="24"/>
      <c r="P235" s="24"/>
      <c r="Q235" s="24"/>
      <c r="R235" s="26"/>
      <c r="S235" s="14">
        <f t="shared" si="13"/>
        <v>76.95308829</v>
      </c>
      <c r="U235" s="21"/>
      <c r="V235" s="21"/>
    </row>
    <row r="236">
      <c r="A236" s="11">
        <v>224.0</v>
      </c>
      <c r="B236" s="11">
        <v>1.42036956521739E9</v>
      </c>
      <c r="C236" s="2">
        <v>-101.8031158</v>
      </c>
      <c r="D236" s="24">
        <f t="shared" si="1"/>
        <v>-30434.78261</v>
      </c>
      <c r="E236" s="25">
        <f t="shared" si="2"/>
        <v>5.509776795</v>
      </c>
      <c r="F236" s="24">
        <f t="shared" si="3"/>
        <v>0.0001810355232</v>
      </c>
      <c r="G236" s="24">
        <f t="shared" si="4"/>
        <v>0</v>
      </c>
      <c r="H236" s="26">
        <f t="shared" si="5"/>
        <v>0</v>
      </c>
      <c r="I236" s="24">
        <f t="shared" si="6"/>
        <v>0</v>
      </c>
      <c r="J236" s="24">
        <f t="shared" si="7"/>
        <v>0</v>
      </c>
      <c r="K236" s="24"/>
      <c r="L236" s="24">
        <f t="shared" si="8"/>
        <v>502.1050477</v>
      </c>
      <c r="M236" s="14">
        <f t="shared" si="9"/>
        <v>415.1845342</v>
      </c>
      <c r="N236" s="27">
        <f t="shared" si="10"/>
        <v>86.92051344</v>
      </c>
      <c r="O236" s="24"/>
      <c r="P236" s="24"/>
      <c r="Q236" s="24"/>
      <c r="R236" s="26"/>
      <c r="S236" s="14">
        <f t="shared" si="13"/>
        <v>79.81877135</v>
      </c>
      <c r="U236" s="21"/>
      <c r="V236" s="21"/>
    </row>
    <row r="237">
      <c r="A237" s="11">
        <v>225.0</v>
      </c>
      <c r="B237" s="11">
        <v>1.42037391304347E9</v>
      </c>
      <c r="C237" s="2">
        <v>-101.7845612</v>
      </c>
      <c r="D237" s="24">
        <f t="shared" si="1"/>
        <v>-26086.95653</v>
      </c>
      <c r="E237" s="25">
        <f t="shared" si="2"/>
        <v>4.591480662</v>
      </c>
      <c r="F237" s="24">
        <f t="shared" si="3"/>
        <v>0.0001760067586</v>
      </c>
      <c r="G237" s="24">
        <f t="shared" si="4"/>
        <v>0</v>
      </c>
      <c r="H237" s="26">
        <f t="shared" si="5"/>
        <v>0</v>
      </c>
      <c r="I237" s="24">
        <f t="shared" si="6"/>
        <v>0</v>
      </c>
      <c r="J237" s="24">
        <f t="shared" si="7"/>
        <v>0</v>
      </c>
      <c r="K237" s="24"/>
      <c r="L237" s="24">
        <f t="shared" si="8"/>
        <v>504.2548075</v>
      </c>
      <c r="M237" s="14">
        <f t="shared" si="9"/>
        <v>415.104125</v>
      </c>
      <c r="N237" s="27">
        <f t="shared" si="10"/>
        <v>89.15068243</v>
      </c>
      <c r="O237" s="24"/>
      <c r="P237" s="24"/>
      <c r="Q237" s="24"/>
      <c r="R237" s="26"/>
      <c r="S237" s="14">
        <f t="shared" si="13"/>
        <v>81.86672691</v>
      </c>
      <c r="U237" s="21"/>
      <c r="V237" s="21"/>
    </row>
    <row r="238">
      <c r="A238" s="11">
        <v>226.0</v>
      </c>
      <c r="B238" s="11">
        <v>1.42037826086956E9</v>
      </c>
      <c r="C238" s="2">
        <v>-101.8152542</v>
      </c>
      <c r="D238" s="24">
        <f t="shared" si="1"/>
        <v>-21739.13044</v>
      </c>
      <c r="E238" s="25">
        <f t="shared" si="2"/>
        <v>3.673184529</v>
      </c>
      <c r="F238" s="24">
        <f t="shared" si="3"/>
        <v>0.0001689664883</v>
      </c>
      <c r="G238" s="24">
        <f t="shared" si="4"/>
        <v>0</v>
      </c>
      <c r="H238" s="26">
        <f t="shared" si="5"/>
        <v>0</v>
      </c>
      <c r="I238" s="24">
        <f t="shared" si="6"/>
        <v>0</v>
      </c>
      <c r="J238" s="24">
        <f t="shared" si="7"/>
        <v>0</v>
      </c>
      <c r="K238" s="24"/>
      <c r="L238" s="24">
        <f t="shared" si="8"/>
        <v>500.7036386</v>
      </c>
      <c r="M238" s="14">
        <f t="shared" si="9"/>
        <v>415.0238906</v>
      </c>
      <c r="N238" s="27">
        <f t="shared" si="10"/>
        <v>85.67974794</v>
      </c>
      <c r="O238" s="24"/>
      <c r="P238" s="24"/>
      <c r="Q238" s="24"/>
      <c r="R238" s="26"/>
      <c r="S238" s="14">
        <f t="shared" si="13"/>
        <v>78.67938101</v>
      </c>
      <c r="U238" s="21"/>
      <c r="V238" s="21"/>
    </row>
    <row r="239">
      <c r="A239" s="11">
        <v>227.0</v>
      </c>
      <c r="B239" s="11">
        <v>1.42038260869565E9</v>
      </c>
      <c r="C239" s="2">
        <v>-101.8302841</v>
      </c>
      <c r="D239" s="24">
        <f t="shared" si="1"/>
        <v>-17391.30435</v>
      </c>
      <c r="E239" s="25">
        <f t="shared" si="2"/>
        <v>2.754888398</v>
      </c>
      <c r="F239" s="24">
        <f t="shared" si="3"/>
        <v>0.0001584060829</v>
      </c>
      <c r="G239" s="24">
        <f t="shared" si="4"/>
        <v>0</v>
      </c>
      <c r="H239" s="26">
        <f t="shared" si="5"/>
        <v>0</v>
      </c>
      <c r="I239" s="24">
        <f t="shared" si="6"/>
        <v>0</v>
      </c>
      <c r="J239" s="24">
        <f t="shared" si="7"/>
        <v>0</v>
      </c>
      <c r="K239" s="24"/>
      <c r="L239" s="24">
        <f t="shared" si="8"/>
        <v>498.9738172</v>
      </c>
      <c r="M239" s="14">
        <f t="shared" si="9"/>
        <v>414.9438288</v>
      </c>
      <c r="N239" s="27">
        <f t="shared" si="10"/>
        <v>84.02998841</v>
      </c>
      <c r="O239" s="24"/>
      <c r="P239" s="24"/>
      <c r="Q239" s="24"/>
      <c r="R239" s="26"/>
      <c r="S239" s="14">
        <f t="shared" si="13"/>
        <v>77.16441339</v>
      </c>
      <c r="U239" s="21"/>
      <c r="V239" s="21"/>
    </row>
    <row r="240">
      <c r="A240" s="11">
        <v>228.0</v>
      </c>
      <c r="B240" s="11">
        <v>1.42038695652173E9</v>
      </c>
      <c r="C240" s="2">
        <v>-101.7865295</v>
      </c>
      <c r="D240" s="24">
        <f t="shared" si="1"/>
        <v>-13043.47827</v>
      </c>
      <c r="E240" s="25">
        <f t="shared" si="2"/>
        <v>1.836592266</v>
      </c>
      <c r="F240" s="24">
        <f t="shared" si="3"/>
        <v>0.0001408054069</v>
      </c>
      <c r="G240" s="24">
        <f t="shared" si="4"/>
        <v>0</v>
      </c>
      <c r="H240" s="26">
        <f t="shared" si="5"/>
        <v>0</v>
      </c>
      <c r="I240" s="24">
        <f t="shared" si="6"/>
        <v>0</v>
      </c>
      <c r="J240" s="24">
        <f t="shared" si="7"/>
        <v>0</v>
      </c>
      <c r="K240" s="24"/>
      <c r="L240" s="24">
        <f t="shared" si="8"/>
        <v>504.026322</v>
      </c>
      <c r="M240" s="14">
        <f t="shared" si="9"/>
        <v>414.8639375</v>
      </c>
      <c r="N240" s="27">
        <f t="shared" si="10"/>
        <v>89.16238451</v>
      </c>
      <c r="O240" s="24"/>
      <c r="P240" s="24"/>
      <c r="Q240" s="24"/>
      <c r="R240" s="26"/>
      <c r="S240" s="14">
        <f t="shared" si="13"/>
        <v>81.87747289</v>
      </c>
      <c r="U240" s="21"/>
      <c r="V240" s="21"/>
    </row>
    <row r="241">
      <c r="A241" s="11">
        <v>229.0</v>
      </c>
      <c r="B241" s="11">
        <v>1.42039130434782E9</v>
      </c>
      <c r="C241" s="2">
        <v>-101.6786652</v>
      </c>
      <c r="D241" s="24">
        <f t="shared" si="1"/>
        <v>-8695.65218</v>
      </c>
      <c r="E241" s="25">
        <f t="shared" si="2"/>
        <v>0.9182961328</v>
      </c>
      <c r="F241" s="24">
        <f t="shared" si="3"/>
        <v>0.0001056040552</v>
      </c>
      <c r="G241" s="24">
        <f t="shared" si="4"/>
        <v>0</v>
      </c>
      <c r="H241" s="26">
        <f t="shared" si="5"/>
        <v>0</v>
      </c>
      <c r="I241" s="24">
        <f t="shared" si="6"/>
        <v>0</v>
      </c>
      <c r="J241" s="24">
        <f t="shared" si="7"/>
        <v>0</v>
      </c>
      <c r="K241" s="24"/>
      <c r="L241" s="24">
        <f t="shared" si="8"/>
        <v>516.7014108</v>
      </c>
      <c r="M241" s="14">
        <f t="shared" si="9"/>
        <v>414.7842144</v>
      </c>
      <c r="N241" s="27">
        <f t="shared" si="10"/>
        <v>101.9171965</v>
      </c>
      <c r="O241" s="24"/>
      <c r="P241" s="24"/>
      <c r="Q241" s="24"/>
      <c r="R241" s="26"/>
      <c r="S241" s="14">
        <f t="shared" si="13"/>
        <v>93.59016738</v>
      </c>
      <c r="U241" s="21"/>
      <c r="V241" s="21"/>
    </row>
    <row r="242">
      <c r="A242" s="11">
        <v>230.0</v>
      </c>
      <c r="B242" s="11">
        <v>1.42039565217391E9</v>
      </c>
      <c r="C242" s="2">
        <v>-101.6441116</v>
      </c>
      <c r="D242" s="24">
        <f t="shared" si="1"/>
        <v>-4347.82609</v>
      </c>
      <c r="E242" s="25">
        <f t="shared" si="2"/>
        <v>0</v>
      </c>
      <c r="F242" s="24">
        <f t="shared" si="3"/>
        <v>0</v>
      </c>
      <c r="G242" s="24">
        <f t="shared" si="4"/>
        <v>0</v>
      </c>
      <c r="H242" s="26">
        <f t="shared" si="5"/>
        <v>0</v>
      </c>
      <c r="I242" s="24">
        <f t="shared" si="6"/>
        <v>0</v>
      </c>
      <c r="J242" s="24" t="str">
        <f t="shared" si="7"/>
        <v>#DIV/0!</v>
      </c>
      <c r="K242" s="24"/>
      <c r="L242" s="24">
        <f t="shared" si="8"/>
        <v>520.8288194</v>
      </c>
      <c r="M242" s="14">
        <f t="shared" si="9"/>
        <v>414.7046574</v>
      </c>
      <c r="N242" s="27">
        <f t="shared" si="10"/>
        <v>106.124162</v>
      </c>
      <c r="O242" s="24"/>
      <c r="P242" s="24"/>
      <c r="Q242" s="24"/>
      <c r="R242" s="26"/>
      <c r="S242" s="14">
        <f t="shared" si="13"/>
        <v>97.45340737</v>
      </c>
      <c r="U242" s="21"/>
      <c r="V242" s="21"/>
    </row>
    <row r="243">
      <c r="A243" s="11">
        <v>231.0</v>
      </c>
      <c r="B243" s="11">
        <v>1.4204E9</v>
      </c>
      <c r="C243" s="2">
        <v>-101.6221924</v>
      </c>
      <c r="D243" s="24">
        <f t="shared" si="1"/>
        <v>0</v>
      </c>
      <c r="E243" s="25">
        <f t="shared" si="2"/>
        <v>-0.9182961307</v>
      </c>
      <c r="F243" s="24" t="str">
        <f t="shared" si="3"/>
        <v>#DIV/0!</v>
      </c>
      <c r="G243" s="24">
        <f t="shared" si="4"/>
        <v>0</v>
      </c>
      <c r="H243" s="26">
        <f t="shared" si="5"/>
        <v>0</v>
      </c>
      <c r="I243" s="24">
        <f t="shared" si="6"/>
        <v>0</v>
      </c>
      <c r="J243" s="24" t="str">
        <f t="shared" si="7"/>
        <v>#DIV/0!</v>
      </c>
      <c r="K243" s="24"/>
      <c r="L243" s="24">
        <f t="shared" si="8"/>
        <v>523.4641301</v>
      </c>
      <c r="M243" s="14">
        <f t="shared" si="9"/>
        <v>414.6252643</v>
      </c>
      <c r="N243" s="27">
        <f t="shared" si="10"/>
        <v>108.8388658</v>
      </c>
      <c r="O243" s="24"/>
      <c r="P243" s="24"/>
      <c r="Q243" s="24"/>
      <c r="R243" s="26"/>
      <c r="S243" s="14">
        <f t="shared" si="13"/>
        <v>99.94630951</v>
      </c>
      <c r="U243" s="21"/>
      <c r="V243" s="21"/>
    </row>
    <row r="244">
      <c r="A244" s="11">
        <v>232.0</v>
      </c>
      <c r="B244" s="11">
        <v>1.42040434782608E9</v>
      </c>
      <c r="C244" s="2">
        <v>-101.5930557</v>
      </c>
      <c r="D244" s="24">
        <f t="shared" si="1"/>
        <v>4347.82608</v>
      </c>
      <c r="E244" s="25">
        <f t="shared" si="2"/>
        <v>-1.836592263</v>
      </c>
      <c r="F244" s="24">
        <f t="shared" si="3"/>
        <v>0.0004224162213</v>
      </c>
      <c r="G244" s="24">
        <f t="shared" si="4"/>
        <v>0</v>
      </c>
      <c r="H244" s="26">
        <f t="shared" si="5"/>
        <v>0</v>
      </c>
      <c r="I244" s="24">
        <f t="shared" si="6"/>
        <v>0</v>
      </c>
      <c r="J244" s="24">
        <f t="shared" si="7"/>
        <v>0</v>
      </c>
      <c r="K244" s="24"/>
      <c r="L244" s="24">
        <f t="shared" si="8"/>
        <v>526.9878439</v>
      </c>
      <c r="M244" s="14">
        <f t="shared" si="9"/>
        <v>414.546033</v>
      </c>
      <c r="N244" s="27">
        <f t="shared" si="10"/>
        <v>112.4418109</v>
      </c>
      <c r="O244" s="24"/>
      <c r="P244" s="24"/>
      <c r="Q244" s="24"/>
      <c r="R244" s="26"/>
      <c r="S244" s="14">
        <f t="shared" si="13"/>
        <v>103.2548801</v>
      </c>
      <c r="U244" s="21"/>
      <c r="V244" s="21"/>
    </row>
    <row r="245">
      <c r="A245" s="11">
        <v>233.0</v>
      </c>
      <c r="B245" s="11">
        <v>1.42040869565217E9</v>
      </c>
      <c r="C245" s="2">
        <v>-101.5025864</v>
      </c>
      <c r="D245" s="24">
        <f t="shared" si="1"/>
        <v>8695.65217</v>
      </c>
      <c r="E245" s="25">
        <f t="shared" si="2"/>
        <v>-2.754888396</v>
      </c>
      <c r="F245" s="24">
        <f t="shared" si="3"/>
        <v>0.0003168121657</v>
      </c>
      <c r="G245" s="24">
        <f t="shared" si="4"/>
        <v>0</v>
      </c>
      <c r="H245" s="26">
        <f t="shared" si="5"/>
        <v>0</v>
      </c>
      <c r="I245" s="24">
        <f t="shared" si="6"/>
        <v>0</v>
      </c>
      <c r="J245" s="24">
        <f t="shared" si="7"/>
        <v>0</v>
      </c>
      <c r="K245" s="24"/>
      <c r="L245" s="24">
        <f t="shared" si="8"/>
        <v>538.0808393</v>
      </c>
      <c r="M245" s="14">
        <f t="shared" si="9"/>
        <v>414.4669612</v>
      </c>
      <c r="N245" s="27">
        <f t="shared" si="10"/>
        <v>123.6138781</v>
      </c>
      <c r="O245" s="24"/>
      <c r="P245" s="24"/>
      <c r="Q245" s="24"/>
      <c r="R245" s="26"/>
      <c r="S245" s="14">
        <f t="shared" si="13"/>
        <v>113.5141459</v>
      </c>
      <c r="U245" s="21"/>
      <c r="V245" s="21"/>
    </row>
    <row r="246">
      <c r="A246" s="11">
        <v>234.0</v>
      </c>
      <c r="B246" s="11">
        <v>1.42041304347826E9</v>
      </c>
      <c r="C246" s="2">
        <v>-101.5217361</v>
      </c>
      <c r="D246" s="24">
        <f t="shared" si="1"/>
        <v>13043.47826</v>
      </c>
      <c r="E246" s="25">
        <f t="shared" si="2"/>
        <v>-3.673184527</v>
      </c>
      <c r="F246" s="24">
        <f t="shared" si="3"/>
        <v>0.0002816108137</v>
      </c>
      <c r="G246" s="24">
        <f t="shared" si="4"/>
        <v>0</v>
      </c>
      <c r="H246" s="26">
        <f t="shared" si="5"/>
        <v>0</v>
      </c>
      <c r="I246" s="24">
        <f t="shared" si="6"/>
        <v>0</v>
      </c>
      <c r="J246" s="24">
        <f t="shared" si="7"/>
        <v>0</v>
      </c>
      <c r="K246" s="24"/>
      <c r="L246" s="24">
        <f t="shared" si="8"/>
        <v>535.7134588</v>
      </c>
      <c r="M246" s="14">
        <f t="shared" si="9"/>
        <v>414.3880468</v>
      </c>
      <c r="N246" s="27">
        <f t="shared" si="10"/>
        <v>121.325412</v>
      </c>
      <c r="O246" s="24"/>
      <c r="P246" s="24"/>
      <c r="Q246" s="24"/>
      <c r="R246" s="26"/>
      <c r="S246" s="14">
        <f t="shared" si="13"/>
        <v>111.4126566</v>
      </c>
      <c r="U246" s="21"/>
      <c r="V246" s="21"/>
    </row>
    <row r="247">
      <c r="A247" s="11">
        <v>235.0</v>
      </c>
      <c r="B247" s="11">
        <v>1.42041739130434E9</v>
      </c>
      <c r="C247" s="2">
        <v>-101.4619675</v>
      </c>
      <c r="D247" s="24">
        <f t="shared" si="1"/>
        <v>17391.30434</v>
      </c>
      <c r="E247" s="25">
        <f t="shared" si="2"/>
        <v>-4.59148066</v>
      </c>
      <c r="F247" s="24">
        <f t="shared" si="3"/>
        <v>0.0002640101381</v>
      </c>
      <c r="G247" s="24">
        <f t="shared" si="4"/>
        <v>0</v>
      </c>
      <c r="H247" s="26">
        <f t="shared" si="5"/>
        <v>0</v>
      </c>
      <c r="I247" s="24">
        <f t="shared" si="6"/>
        <v>0</v>
      </c>
      <c r="J247" s="24">
        <f t="shared" si="7"/>
        <v>0</v>
      </c>
      <c r="K247" s="24"/>
      <c r="L247" s="24">
        <f t="shared" si="8"/>
        <v>543.1370353</v>
      </c>
      <c r="M247" s="14">
        <f t="shared" si="9"/>
        <v>414.3092877</v>
      </c>
      <c r="N247" s="27">
        <f t="shared" si="10"/>
        <v>128.8277476</v>
      </c>
      <c r="O247" s="24"/>
      <c r="P247" s="24"/>
      <c r="Q247" s="24"/>
      <c r="R247" s="26"/>
      <c r="S247" s="14">
        <f t="shared" si="13"/>
        <v>118.3020224</v>
      </c>
      <c r="U247" s="21"/>
      <c r="V247" s="21"/>
    </row>
    <row r="248">
      <c r="A248" s="11">
        <v>236.0</v>
      </c>
      <c r="B248" s="11">
        <v>1.42042173913043E9</v>
      </c>
      <c r="C248" s="2">
        <v>-101.3519058</v>
      </c>
      <c r="D248" s="24">
        <f t="shared" si="1"/>
        <v>21739.13043</v>
      </c>
      <c r="E248" s="25">
        <f t="shared" si="2"/>
        <v>-5.509776792</v>
      </c>
      <c r="F248" s="24">
        <f t="shared" si="3"/>
        <v>0.0002534497325</v>
      </c>
      <c r="G248" s="24">
        <f t="shared" si="4"/>
        <v>0</v>
      </c>
      <c r="H248" s="26">
        <f t="shared" si="5"/>
        <v>0</v>
      </c>
      <c r="I248" s="24">
        <f t="shared" si="6"/>
        <v>0</v>
      </c>
      <c r="J248" s="24">
        <f t="shared" si="7"/>
        <v>0</v>
      </c>
      <c r="K248" s="24"/>
      <c r="L248" s="24">
        <f t="shared" si="8"/>
        <v>557.0774608</v>
      </c>
      <c r="M248" s="14">
        <f t="shared" si="9"/>
        <v>414.2306816</v>
      </c>
      <c r="N248" s="27">
        <f t="shared" si="10"/>
        <v>142.8467792</v>
      </c>
      <c r="O248" s="24"/>
      <c r="P248" s="24"/>
      <c r="Q248" s="24"/>
      <c r="R248" s="26"/>
      <c r="S248" s="14">
        <f t="shared" si="13"/>
        <v>131.1756446</v>
      </c>
      <c r="U248" s="21"/>
      <c r="V248" s="21"/>
    </row>
    <row r="249">
      <c r="A249" s="11">
        <v>237.0</v>
      </c>
      <c r="B249" s="11">
        <v>1.42042608695652E9</v>
      </c>
      <c r="C249" s="2">
        <v>-101.3319321</v>
      </c>
      <c r="D249" s="24">
        <f t="shared" si="1"/>
        <v>26086.95652</v>
      </c>
      <c r="E249" s="25">
        <f t="shared" si="2"/>
        <v>-6.428072923</v>
      </c>
      <c r="F249" s="24">
        <f t="shared" si="3"/>
        <v>0.0002464094621</v>
      </c>
      <c r="G249" s="24">
        <f t="shared" si="4"/>
        <v>0</v>
      </c>
      <c r="H249" s="26">
        <f t="shared" si="5"/>
        <v>0</v>
      </c>
      <c r="I249" s="24">
        <f t="shared" si="6"/>
        <v>0</v>
      </c>
      <c r="J249" s="24">
        <f t="shared" si="7"/>
        <v>0</v>
      </c>
      <c r="K249" s="24"/>
      <c r="L249" s="24">
        <f t="shared" si="8"/>
        <v>559.6454244</v>
      </c>
      <c r="M249" s="14">
        <f t="shared" si="9"/>
        <v>414.1522263</v>
      </c>
      <c r="N249" s="27">
        <f t="shared" si="10"/>
        <v>145.4931981</v>
      </c>
      <c r="O249" s="24"/>
      <c r="P249" s="24"/>
      <c r="Q249" s="24"/>
      <c r="R249" s="26"/>
      <c r="S249" s="14">
        <f t="shared" si="13"/>
        <v>133.6058412</v>
      </c>
      <c r="U249" s="21"/>
      <c r="V249" s="21"/>
    </row>
    <row r="250">
      <c r="A250" s="11">
        <v>238.0</v>
      </c>
      <c r="B250" s="11">
        <v>1.4204304347826E9</v>
      </c>
      <c r="C250" s="2">
        <v>-101.2785873</v>
      </c>
      <c r="D250" s="24">
        <f t="shared" si="1"/>
        <v>30434.7826</v>
      </c>
      <c r="E250" s="25">
        <f t="shared" si="2"/>
        <v>-7.346369056</v>
      </c>
      <c r="F250" s="24">
        <f t="shared" si="3"/>
        <v>0.0002413806976</v>
      </c>
      <c r="G250" s="24">
        <f t="shared" si="4"/>
        <v>0</v>
      </c>
      <c r="H250" s="26">
        <f t="shared" si="5"/>
        <v>0</v>
      </c>
      <c r="I250" s="24">
        <f t="shared" si="6"/>
        <v>0</v>
      </c>
      <c r="J250" s="24">
        <f t="shared" si="7"/>
        <v>0</v>
      </c>
      <c r="K250" s="24"/>
      <c r="L250" s="24">
        <f t="shared" si="8"/>
        <v>566.5619933</v>
      </c>
      <c r="M250" s="14">
        <f t="shared" si="9"/>
        <v>414.0739197</v>
      </c>
      <c r="N250" s="27">
        <f t="shared" si="10"/>
        <v>152.4880736</v>
      </c>
      <c r="O250" s="24"/>
      <c r="P250" s="24"/>
      <c r="Q250" s="24"/>
      <c r="R250" s="26"/>
      <c r="S250" s="14">
        <f t="shared" si="13"/>
        <v>140.0292083</v>
      </c>
      <c r="U250" s="21"/>
      <c r="V250" s="21"/>
    </row>
    <row r="251">
      <c r="A251" s="11">
        <v>239.0</v>
      </c>
      <c r="B251" s="11">
        <v>1.42043478260869E9</v>
      </c>
      <c r="C251" s="2">
        <v>-101.294014</v>
      </c>
      <c r="D251" s="24">
        <f t="shared" si="1"/>
        <v>34782.60869</v>
      </c>
      <c r="E251" s="25">
        <f t="shared" si="2"/>
        <v>-8.264665189</v>
      </c>
      <c r="F251" s="24">
        <f t="shared" si="3"/>
        <v>0.0002376091242</v>
      </c>
      <c r="G251" s="24">
        <f t="shared" si="4"/>
        <v>0</v>
      </c>
      <c r="H251" s="26">
        <f t="shared" si="5"/>
        <v>0</v>
      </c>
      <c r="I251" s="24">
        <f t="shared" si="6"/>
        <v>0</v>
      </c>
      <c r="J251" s="24">
        <f t="shared" si="7"/>
        <v>0</v>
      </c>
      <c r="K251" s="24"/>
      <c r="L251" s="24">
        <f t="shared" si="8"/>
        <v>564.5530622</v>
      </c>
      <c r="M251" s="14">
        <f t="shared" si="9"/>
        <v>413.9957597</v>
      </c>
      <c r="N251" s="27">
        <f t="shared" si="10"/>
        <v>150.5573025</v>
      </c>
      <c r="O251" s="24"/>
      <c r="P251" s="24"/>
      <c r="Q251" s="24"/>
      <c r="R251" s="26"/>
      <c r="S251" s="14">
        <f t="shared" si="13"/>
        <v>138.2561886</v>
      </c>
      <c r="U251" s="21"/>
      <c r="V251" s="21"/>
    </row>
    <row r="252">
      <c r="A252" s="11">
        <v>240.0</v>
      </c>
      <c r="B252" s="11">
        <v>1.42043913043478E9</v>
      </c>
      <c r="C252" s="2">
        <v>-101.2189484</v>
      </c>
      <c r="D252" s="24">
        <f t="shared" si="1"/>
        <v>39130.43478</v>
      </c>
      <c r="E252" s="25">
        <f t="shared" si="2"/>
        <v>-9.182961321</v>
      </c>
      <c r="F252" s="24">
        <f t="shared" si="3"/>
        <v>0.0002346756782</v>
      </c>
      <c r="G252" s="24">
        <f t="shared" si="4"/>
        <v>0</v>
      </c>
      <c r="H252" s="26">
        <f t="shared" si="5"/>
        <v>0</v>
      </c>
      <c r="I252" s="24">
        <f t="shared" si="6"/>
        <v>0</v>
      </c>
      <c r="J252" s="24">
        <f t="shared" si="7"/>
        <v>0</v>
      </c>
      <c r="K252" s="24"/>
      <c r="L252" s="24">
        <f t="shared" si="8"/>
        <v>574.3958948</v>
      </c>
      <c r="M252" s="14">
        <f t="shared" si="9"/>
        <v>413.917744</v>
      </c>
      <c r="N252" s="27">
        <f t="shared" si="10"/>
        <v>160.4781509</v>
      </c>
      <c r="O252" s="24"/>
      <c r="P252" s="24"/>
      <c r="Q252" s="24"/>
      <c r="R252" s="26"/>
      <c r="S252" s="14">
        <f t="shared" si="13"/>
        <v>147.366465</v>
      </c>
      <c r="U252" s="21"/>
      <c r="V252" s="21"/>
    </row>
    <row r="253">
      <c r="A253" s="11">
        <v>241.0</v>
      </c>
      <c r="B253" s="11">
        <v>1.42044347826087E9</v>
      </c>
      <c r="C253" s="2">
        <v>-101.1841965</v>
      </c>
      <c r="D253" s="24">
        <f t="shared" si="1"/>
        <v>43478.26087</v>
      </c>
      <c r="E253" s="25">
        <f t="shared" si="2"/>
        <v>-10.10125745</v>
      </c>
      <c r="F253" s="24">
        <f t="shared" si="3"/>
        <v>0.0002323289214</v>
      </c>
      <c r="G253" s="24">
        <f t="shared" si="4"/>
        <v>0</v>
      </c>
      <c r="H253" s="26">
        <f t="shared" si="5"/>
        <v>0</v>
      </c>
      <c r="I253" s="24">
        <f t="shared" si="6"/>
        <v>0</v>
      </c>
      <c r="J253" s="24">
        <f t="shared" si="7"/>
        <v>0</v>
      </c>
      <c r="K253" s="24"/>
      <c r="L253" s="24">
        <f t="shared" si="8"/>
        <v>579.0106039</v>
      </c>
      <c r="M253" s="14">
        <f t="shared" si="9"/>
        <v>413.8398704</v>
      </c>
      <c r="N253" s="27">
        <f t="shared" si="10"/>
        <v>165.1707335</v>
      </c>
      <c r="O253" s="24"/>
      <c r="P253" s="24"/>
      <c r="Q253" s="24"/>
      <c r="R253" s="26"/>
      <c r="S253" s="14">
        <f t="shared" si="13"/>
        <v>151.6756458</v>
      </c>
      <c r="U253" s="21"/>
      <c r="V253" s="21"/>
    </row>
    <row r="254">
      <c r="A254" s="11">
        <v>242.0</v>
      </c>
      <c r="B254" s="11">
        <v>1.42044782608695E9</v>
      </c>
      <c r="C254" s="2">
        <v>-101.1555481</v>
      </c>
      <c r="D254" s="24">
        <f t="shared" si="1"/>
        <v>47826.08695</v>
      </c>
      <c r="E254" s="25">
        <f t="shared" si="2"/>
        <v>-11.01955358</v>
      </c>
      <c r="F254" s="24">
        <f t="shared" si="3"/>
        <v>0.0002304088477</v>
      </c>
      <c r="G254" s="24">
        <f t="shared" si="4"/>
        <v>0</v>
      </c>
      <c r="H254" s="26">
        <f t="shared" si="5"/>
        <v>0</v>
      </c>
      <c r="I254" s="24">
        <f t="shared" si="6"/>
        <v>0</v>
      </c>
      <c r="J254" s="24">
        <f t="shared" si="7"/>
        <v>0</v>
      </c>
      <c r="K254" s="24"/>
      <c r="L254" s="24">
        <f t="shared" si="8"/>
        <v>582.8426946</v>
      </c>
      <c r="M254" s="14">
        <f t="shared" si="9"/>
        <v>413.7621368</v>
      </c>
      <c r="N254" s="27">
        <f t="shared" si="10"/>
        <v>169.0805578</v>
      </c>
      <c r="O254" s="24"/>
      <c r="P254" s="24"/>
      <c r="Q254" s="24"/>
      <c r="R254" s="26"/>
      <c r="S254" s="14">
        <f t="shared" si="13"/>
        <v>155.2660224</v>
      </c>
      <c r="U254" s="21"/>
      <c r="V254" s="21"/>
    </row>
    <row r="255">
      <c r="A255" s="11">
        <v>243.0</v>
      </c>
      <c r="B255" s="11">
        <v>1.42045217391304E9</v>
      </c>
      <c r="C255" s="2">
        <v>-101.1311493</v>
      </c>
      <c r="D255" s="24">
        <f t="shared" si="1"/>
        <v>52173.91304</v>
      </c>
      <c r="E255" s="25">
        <f t="shared" si="2"/>
        <v>-11.93784972</v>
      </c>
      <c r="F255" s="24">
        <f t="shared" si="3"/>
        <v>0.0002288087863</v>
      </c>
      <c r="G255" s="24">
        <f t="shared" si="4"/>
        <v>0</v>
      </c>
      <c r="H255" s="26">
        <f t="shared" si="5"/>
        <v>0</v>
      </c>
      <c r="I255" s="24">
        <f t="shared" si="6"/>
        <v>0</v>
      </c>
      <c r="J255" s="24">
        <f t="shared" si="7"/>
        <v>0</v>
      </c>
      <c r="K255" s="24"/>
      <c r="L255" s="24">
        <f t="shared" si="8"/>
        <v>586.1263383</v>
      </c>
      <c r="M255" s="14">
        <f t="shared" si="9"/>
        <v>413.684541</v>
      </c>
      <c r="N255" s="27">
        <f t="shared" si="10"/>
        <v>172.4417973</v>
      </c>
      <c r="O255" s="24"/>
      <c r="P255" s="24"/>
      <c r="Q255" s="24"/>
      <c r="R255" s="26"/>
      <c r="S255" s="14">
        <f t="shared" si="13"/>
        <v>158.3526352</v>
      </c>
      <c r="U255" s="21"/>
      <c r="V255" s="21"/>
    </row>
    <row r="256">
      <c r="A256" s="11">
        <v>244.0</v>
      </c>
      <c r="B256" s="11">
        <v>1.42045652173913E9</v>
      </c>
      <c r="C256" s="2">
        <v>-101.0533752</v>
      </c>
      <c r="D256" s="24">
        <f t="shared" si="1"/>
        <v>56521.73913</v>
      </c>
      <c r="E256" s="25">
        <f t="shared" si="2"/>
        <v>-12.85614585</v>
      </c>
      <c r="F256" s="24">
        <f t="shared" si="3"/>
        <v>0.0002274548881</v>
      </c>
      <c r="G256" s="24">
        <f t="shared" si="4"/>
        <v>0</v>
      </c>
      <c r="H256" s="26">
        <f t="shared" si="5"/>
        <v>0</v>
      </c>
      <c r="I256" s="24">
        <f t="shared" si="6"/>
        <v>0</v>
      </c>
      <c r="J256" s="24">
        <f t="shared" si="7"/>
        <v>0</v>
      </c>
      <c r="K256" s="24"/>
      <c r="L256" s="24">
        <f t="shared" si="8"/>
        <v>596.7173252</v>
      </c>
      <c r="M256" s="14">
        <f t="shared" si="9"/>
        <v>413.6070809</v>
      </c>
      <c r="N256" s="27">
        <f t="shared" si="10"/>
        <v>183.1102443</v>
      </c>
      <c r="O256" s="24"/>
      <c r="P256" s="24"/>
      <c r="Q256" s="24"/>
      <c r="R256" s="26"/>
      <c r="S256" s="14">
        <f t="shared" si="13"/>
        <v>168.1494292</v>
      </c>
      <c r="U256" s="21"/>
      <c r="V256" s="21"/>
    </row>
    <row r="257">
      <c r="A257" s="11">
        <v>245.0</v>
      </c>
      <c r="B257" s="11">
        <v>1.42046086956521E9</v>
      </c>
      <c r="C257" s="2">
        <v>-101.073822</v>
      </c>
      <c r="D257" s="24">
        <f t="shared" si="1"/>
        <v>60869.56521</v>
      </c>
      <c r="E257" s="25">
        <f t="shared" si="2"/>
        <v>-13.77444198</v>
      </c>
      <c r="F257" s="24">
        <f t="shared" si="3"/>
        <v>0.000226294404</v>
      </c>
      <c r="G257" s="24">
        <f t="shared" si="4"/>
        <v>0</v>
      </c>
      <c r="H257" s="26">
        <f t="shared" si="5"/>
        <v>0</v>
      </c>
      <c r="I257" s="24">
        <f t="shared" si="6"/>
        <v>0</v>
      </c>
      <c r="J257" s="24">
        <f t="shared" si="7"/>
        <v>0</v>
      </c>
      <c r="K257" s="24"/>
      <c r="L257" s="24">
        <f t="shared" si="8"/>
        <v>593.9145533</v>
      </c>
      <c r="M257" s="14">
        <f t="shared" si="9"/>
        <v>413.5297542</v>
      </c>
      <c r="N257" s="27">
        <f t="shared" si="10"/>
        <v>180.3847991</v>
      </c>
      <c r="O257" s="24"/>
      <c r="P257" s="24"/>
      <c r="Q257" s="24"/>
      <c r="R257" s="26"/>
      <c r="S257" s="14">
        <f t="shared" si="13"/>
        <v>165.6466634</v>
      </c>
      <c r="U257" s="21"/>
      <c r="V257" s="21"/>
    </row>
    <row r="258">
      <c r="A258" s="11">
        <v>246.0</v>
      </c>
      <c r="B258" s="11">
        <v>1.4204652173913E9</v>
      </c>
      <c r="C258" s="2">
        <v>-101.0972748</v>
      </c>
      <c r="D258" s="24">
        <f t="shared" si="1"/>
        <v>65217.3913</v>
      </c>
      <c r="E258" s="25">
        <f t="shared" si="2"/>
        <v>-14.69273811</v>
      </c>
      <c r="F258" s="24">
        <f t="shared" si="3"/>
        <v>0.0002252886511</v>
      </c>
      <c r="G258" s="24">
        <f t="shared" si="4"/>
        <v>0</v>
      </c>
      <c r="H258" s="26">
        <f t="shared" si="5"/>
        <v>0</v>
      </c>
      <c r="I258" s="24">
        <f t="shared" si="6"/>
        <v>0</v>
      </c>
      <c r="J258" s="24">
        <f t="shared" si="7"/>
        <v>0</v>
      </c>
      <c r="K258" s="24"/>
      <c r="L258" s="24">
        <f t="shared" si="8"/>
        <v>590.7159363</v>
      </c>
      <c r="M258" s="14">
        <f t="shared" si="9"/>
        <v>413.4525588</v>
      </c>
      <c r="N258" s="27">
        <f t="shared" si="10"/>
        <v>177.2633775</v>
      </c>
      <c r="O258" s="24"/>
      <c r="P258" s="24"/>
      <c r="Q258" s="24"/>
      <c r="R258" s="26"/>
      <c r="S258" s="14">
        <f t="shared" si="13"/>
        <v>162.7802737</v>
      </c>
      <c r="U258" s="21"/>
      <c r="V258" s="21"/>
    </row>
    <row r="259">
      <c r="A259" s="11">
        <v>247.0</v>
      </c>
      <c r="B259" s="11">
        <v>1.42046956521739E9</v>
      </c>
      <c r="C259" s="2">
        <v>-101.0673676</v>
      </c>
      <c r="D259" s="24">
        <f t="shared" si="1"/>
        <v>69565.21739</v>
      </c>
      <c r="E259" s="25">
        <f t="shared" si="2"/>
        <v>-15.61103424</v>
      </c>
      <c r="F259" s="24">
        <f t="shared" si="3"/>
        <v>0.0002244086173</v>
      </c>
      <c r="G259" s="24">
        <f t="shared" si="4"/>
        <v>0</v>
      </c>
      <c r="H259" s="26">
        <f t="shared" si="5"/>
        <v>0</v>
      </c>
      <c r="I259" s="24">
        <f t="shared" si="6"/>
        <v>0</v>
      </c>
      <c r="J259" s="24">
        <f t="shared" si="7"/>
        <v>0</v>
      </c>
      <c r="K259" s="24"/>
      <c r="L259" s="24">
        <f t="shared" si="8"/>
        <v>594.7978738</v>
      </c>
      <c r="M259" s="14">
        <f t="shared" si="9"/>
        <v>413.3754925</v>
      </c>
      <c r="N259" s="27">
        <f t="shared" si="10"/>
        <v>181.4223813</v>
      </c>
      <c r="O259" s="24"/>
      <c r="P259" s="24"/>
      <c r="Q259" s="24"/>
      <c r="R259" s="26"/>
      <c r="S259" s="14">
        <f t="shared" si="13"/>
        <v>166.5994711</v>
      </c>
      <c r="U259" s="21"/>
      <c r="V259" s="21"/>
    </row>
    <row r="260">
      <c r="A260" s="11">
        <v>248.0</v>
      </c>
      <c r="B260" s="11">
        <v>1.42047391304347E9</v>
      </c>
      <c r="C260" s="2">
        <v>-101.1342163</v>
      </c>
      <c r="D260" s="24">
        <f t="shared" si="1"/>
        <v>73913.04347</v>
      </c>
      <c r="E260" s="25">
        <f t="shared" si="2"/>
        <v>-16.52933038</v>
      </c>
      <c r="F260" s="24">
        <f t="shared" si="3"/>
        <v>0.0002236321169</v>
      </c>
      <c r="G260" s="24">
        <f t="shared" si="4"/>
        <v>0</v>
      </c>
      <c r="H260" s="26">
        <f t="shared" si="5"/>
        <v>0</v>
      </c>
      <c r="I260" s="24">
        <f t="shared" si="6"/>
        <v>0</v>
      </c>
      <c r="J260" s="24">
        <f t="shared" si="7"/>
        <v>0</v>
      </c>
      <c r="K260" s="24"/>
      <c r="L260" s="24">
        <f t="shared" si="8"/>
        <v>585.7125603</v>
      </c>
      <c r="M260" s="14">
        <f t="shared" si="9"/>
        <v>413.2985531</v>
      </c>
      <c r="N260" s="27">
        <f t="shared" si="10"/>
        <v>172.4140072</v>
      </c>
      <c r="O260" s="24"/>
      <c r="P260" s="24"/>
      <c r="Q260" s="24"/>
      <c r="R260" s="26"/>
      <c r="S260" s="14">
        <f t="shared" si="13"/>
        <v>158.3271161</v>
      </c>
      <c r="U260" s="21"/>
      <c r="V260" s="21"/>
    </row>
    <row r="261">
      <c r="A261" s="11">
        <v>249.0</v>
      </c>
      <c r="B261" s="11">
        <v>1.42047826086956E9</v>
      </c>
      <c r="C261" s="2">
        <v>-101.2498627</v>
      </c>
      <c r="D261" s="24">
        <f t="shared" si="1"/>
        <v>78260.86956</v>
      </c>
      <c r="E261" s="25">
        <f t="shared" si="2"/>
        <v>-17.44762651</v>
      </c>
      <c r="F261" s="24">
        <f t="shared" si="3"/>
        <v>0.0002229418943</v>
      </c>
      <c r="G261" s="24">
        <f t="shared" si="4"/>
        <v>0</v>
      </c>
      <c r="H261" s="26">
        <f t="shared" si="5"/>
        <v>0</v>
      </c>
      <c r="I261" s="24">
        <f t="shared" si="6"/>
        <v>0</v>
      </c>
      <c r="J261" s="24">
        <f t="shared" si="7"/>
        <v>0</v>
      </c>
      <c r="K261" s="24"/>
      <c r="L261" s="24">
        <f t="shared" si="8"/>
        <v>570.3217015</v>
      </c>
      <c r="M261" s="14">
        <f t="shared" si="9"/>
        <v>413.2217385</v>
      </c>
      <c r="N261" s="27">
        <f t="shared" si="10"/>
        <v>157.099963</v>
      </c>
      <c r="O261" s="24"/>
      <c r="P261" s="24"/>
      <c r="Q261" s="24"/>
      <c r="R261" s="26"/>
      <c r="S261" s="14">
        <f t="shared" si="13"/>
        <v>144.2642881</v>
      </c>
      <c r="U261" s="21"/>
      <c r="V261" s="21"/>
    </row>
    <row r="262">
      <c r="A262" s="11">
        <v>250.0</v>
      </c>
      <c r="B262" s="11">
        <v>1.42048260869565E9</v>
      </c>
      <c r="C262" s="2">
        <v>-101.2485962</v>
      </c>
      <c r="D262" s="24">
        <f t="shared" si="1"/>
        <v>82608.69565</v>
      </c>
      <c r="E262" s="25">
        <f t="shared" si="2"/>
        <v>-18.36592264</v>
      </c>
      <c r="F262" s="24">
        <f t="shared" si="3"/>
        <v>0.0002223243267</v>
      </c>
      <c r="G262" s="24">
        <f t="shared" si="4"/>
        <v>0</v>
      </c>
      <c r="H262" s="26">
        <f t="shared" si="5"/>
        <v>0</v>
      </c>
      <c r="I262" s="24">
        <f t="shared" si="6"/>
        <v>0</v>
      </c>
      <c r="J262" s="24">
        <f t="shared" si="7"/>
        <v>0</v>
      </c>
      <c r="K262" s="24"/>
      <c r="L262" s="24">
        <f t="shared" si="8"/>
        <v>570.4880443</v>
      </c>
      <c r="M262" s="14">
        <f t="shared" si="9"/>
        <v>413.1450464</v>
      </c>
      <c r="N262" s="27">
        <f t="shared" si="10"/>
        <v>157.3429979</v>
      </c>
      <c r="O262" s="24"/>
      <c r="P262" s="24"/>
      <c r="Q262" s="24"/>
      <c r="R262" s="26"/>
      <c r="S262" s="14">
        <f t="shared" si="13"/>
        <v>144.4874665</v>
      </c>
      <c r="U262" s="21"/>
      <c r="V262" s="21"/>
    </row>
    <row r="263">
      <c r="A263" s="11">
        <v>251.0</v>
      </c>
      <c r="B263" s="11">
        <v>1.42048695652173E9</v>
      </c>
      <c r="C263" s="2">
        <v>-101.2259064</v>
      </c>
      <c r="D263" s="24">
        <f t="shared" si="1"/>
        <v>86956.52173</v>
      </c>
      <c r="E263" s="25">
        <f t="shared" si="2"/>
        <v>-19.28421877</v>
      </c>
      <c r="F263" s="24">
        <f t="shared" si="3"/>
        <v>0.0002217685159</v>
      </c>
      <c r="G263" s="24">
        <f t="shared" si="4"/>
        <v>0</v>
      </c>
      <c r="H263" s="26">
        <f t="shared" si="5"/>
        <v>0</v>
      </c>
      <c r="I263" s="24">
        <f t="shared" si="6"/>
        <v>0</v>
      </c>
      <c r="J263" s="24">
        <f t="shared" si="7"/>
        <v>0</v>
      </c>
      <c r="K263" s="24"/>
      <c r="L263" s="24">
        <f t="shared" si="8"/>
        <v>573.4763697</v>
      </c>
      <c r="M263" s="14">
        <f t="shared" si="9"/>
        <v>413.0684748</v>
      </c>
      <c r="N263" s="27">
        <f t="shared" si="10"/>
        <v>160.4078949</v>
      </c>
      <c r="O263" s="24"/>
      <c r="P263" s="24"/>
      <c r="Q263" s="24"/>
      <c r="R263" s="26"/>
      <c r="S263" s="14">
        <f t="shared" si="13"/>
        <v>147.3019496</v>
      </c>
      <c r="U263" s="21"/>
      <c r="V263" s="21"/>
    </row>
    <row r="264">
      <c r="A264" s="11">
        <v>252.0</v>
      </c>
      <c r="B264" s="11">
        <v>1.42049130434782E9</v>
      </c>
      <c r="C264" s="2">
        <v>-101.1959915</v>
      </c>
      <c r="D264" s="24">
        <f t="shared" si="1"/>
        <v>91304.34782</v>
      </c>
      <c r="E264" s="25">
        <f t="shared" si="2"/>
        <v>-20.20251491</v>
      </c>
      <c r="F264" s="24">
        <f t="shared" si="3"/>
        <v>0.0002212656395</v>
      </c>
      <c r="G264" s="24">
        <f t="shared" si="4"/>
        <v>0</v>
      </c>
      <c r="H264" s="26">
        <f t="shared" si="5"/>
        <v>0</v>
      </c>
      <c r="I264" s="24">
        <f t="shared" si="6"/>
        <v>0</v>
      </c>
      <c r="J264" s="24">
        <f t="shared" si="7"/>
        <v>0</v>
      </c>
      <c r="K264" s="24"/>
      <c r="L264" s="24">
        <f t="shared" si="8"/>
        <v>577.440203</v>
      </c>
      <c r="M264" s="14">
        <f t="shared" si="9"/>
        <v>412.9920214</v>
      </c>
      <c r="N264" s="27">
        <f t="shared" si="10"/>
        <v>164.4481816</v>
      </c>
      <c r="O264" s="24"/>
      <c r="P264" s="24"/>
      <c r="Q264" s="24"/>
      <c r="R264" s="26"/>
      <c r="S264" s="14">
        <f t="shared" si="13"/>
        <v>151.0121292</v>
      </c>
      <c r="U264" s="21"/>
      <c r="V264" s="21"/>
    </row>
    <row r="265">
      <c r="A265" s="11">
        <v>253.0</v>
      </c>
      <c r="B265" s="11">
        <v>1.42049565217391E9</v>
      </c>
      <c r="C265" s="2">
        <v>-101.2799835</v>
      </c>
      <c r="D265" s="24">
        <f t="shared" si="1"/>
        <v>95652.17391</v>
      </c>
      <c r="E265" s="25">
        <f t="shared" si="2"/>
        <v>-21.12081104</v>
      </c>
      <c r="F265" s="24">
        <f t="shared" si="3"/>
        <v>0.0002208084791</v>
      </c>
      <c r="G265" s="24">
        <f t="shared" si="4"/>
        <v>0</v>
      </c>
      <c r="H265" s="26">
        <f t="shared" si="5"/>
        <v>0</v>
      </c>
      <c r="I265" s="24">
        <f t="shared" si="6"/>
        <v>0</v>
      </c>
      <c r="J265" s="24">
        <f t="shared" si="7"/>
        <v>0</v>
      </c>
      <c r="K265" s="24"/>
      <c r="L265" s="24">
        <f t="shared" si="8"/>
        <v>566.3798803</v>
      </c>
      <c r="M265" s="14">
        <f t="shared" si="9"/>
        <v>412.915684</v>
      </c>
      <c r="N265" s="27">
        <f t="shared" si="10"/>
        <v>153.4641963</v>
      </c>
      <c r="O265" s="24"/>
      <c r="P265" s="24"/>
      <c r="Q265" s="24"/>
      <c r="R265" s="26"/>
      <c r="S265" s="14">
        <f t="shared" si="13"/>
        <v>140.9255777</v>
      </c>
      <c r="U265" s="21"/>
      <c r="V265" s="21"/>
    </row>
    <row r="266">
      <c r="A266" s="11">
        <v>254.0</v>
      </c>
      <c r="B266" s="11">
        <v>1.4205E9</v>
      </c>
      <c r="C266" s="2">
        <v>-101.305336</v>
      </c>
      <c r="D266" s="24">
        <f t="shared" si="1"/>
        <v>100000</v>
      </c>
      <c r="E266" s="25">
        <f t="shared" si="2"/>
        <v>-22.03910717</v>
      </c>
      <c r="F266" s="24">
        <f t="shared" si="3"/>
        <v>0.0002203910717</v>
      </c>
      <c r="G266" s="24">
        <f t="shared" si="4"/>
        <v>0</v>
      </c>
      <c r="H266" s="26">
        <f t="shared" si="5"/>
        <v>0</v>
      </c>
      <c r="I266" s="24">
        <f t="shared" si="6"/>
        <v>0</v>
      </c>
      <c r="J266" s="24">
        <f t="shared" si="7"/>
        <v>0</v>
      </c>
      <c r="K266" s="24"/>
      <c r="L266" s="24">
        <f t="shared" si="8"/>
        <v>563.0831966</v>
      </c>
      <c r="M266" s="14">
        <f t="shared" si="9"/>
        <v>412.8394605</v>
      </c>
      <c r="N266" s="27">
        <f t="shared" si="10"/>
        <v>150.243736</v>
      </c>
      <c r="O266" s="24"/>
      <c r="P266" s="24"/>
      <c r="Q266" s="24"/>
      <c r="R266" s="26"/>
      <c r="S266" s="14">
        <f t="shared" si="13"/>
        <v>137.9682418</v>
      </c>
      <c r="U266" s="21"/>
      <c r="V266" s="21"/>
    </row>
    <row r="267">
      <c r="A267" s="11">
        <v>255.0</v>
      </c>
      <c r="B267" s="11">
        <v>1.42050434782608E9</v>
      </c>
      <c r="C267" s="2">
        <v>-101.3881531</v>
      </c>
      <c r="D267" s="24">
        <f t="shared" si="1"/>
        <v>104347.8261</v>
      </c>
      <c r="E267" s="25">
        <f t="shared" si="2"/>
        <v>-22.9574033</v>
      </c>
      <c r="F267" s="24">
        <f t="shared" si="3"/>
        <v>0.0002200084483</v>
      </c>
      <c r="G267" s="24">
        <f t="shared" si="4"/>
        <v>0</v>
      </c>
      <c r="H267" s="26">
        <f t="shared" si="5"/>
        <v>0</v>
      </c>
      <c r="I267" s="24">
        <f t="shared" si="6"/>
        <v>0</v>
      </c>
      <c r="J267" s="24">
        <f t="shared" si="7"/>
        <v>0</v>
      </c>
      <c r="K267" s="24"/>
      <c r="L267" s="24">
        <f t="shared" si="8"/>
        <v>552.4473026</v>
      </c>
      <c r="M267" s="14">
        <f t="shared" si="9"/>
        <v>412.7633487</v>
      </c>
      <c r="N267" s="27">
        <f t="shared" si="10"/>
        <v>139.6839538</v>
      </c>
      <c r="O267" s="24"/>
      <c r="P267" s="24"/>
      <c r="Q267" s="24"/>
      <c r="R267" s="26"/>
      <c r="S267" s="14">
        <f t="shared" si="13"/>
        <v>128.2712346</v>
      </c>
      <c r="U267" s="21"/>
      <c r="V267" s="21"/>
    </row>
    <row r="268">
      <c r="A268" s="11">
        <v>256.0</v>
      </c>
      <c r="B268" s="11">
        <v>1.42050869565217E9</v>
      </c>
      <c r="C268" s="2">
        <v>-101.4785385</v>
      </c>
      <c r="D268" s="24">
        <f t="shared" si="1"/>
        <v>108695.6522</v>
      </c>
      <c r="E268" s="25">
        <f t="shared" si="2"/>
        <v>-23.87569944</v>
      </c>
      <c r="F268" s="24">
        <f t="shared" si="3"/>
        <v>0.0002196564348</v>
      </c>
      <c r="G268" s="24">
        <f t="shared" si="4"/>
        <v>0</v>
      </c>
      <c r="H268" s="26">
        <f t="shared" si="5"/>
        <v>0</v>
      </c>
      <c r="I268" s="24">
        <f t="shared" si="6"/>
        <v>0</v>
      </c>
      <c r="J268" s="24">
        <f t="shared" si="7"/>
        <v>0</v>
      </c>
      <c r="K268" s="24"/>
      <c r="L268" s="24">
        <f t="shared" si="8"/>
        <v>541.0685829</v>
      </c>
      <c r="M268" s="14">
        <f t="shared" si="9"/>
        <v>412.6873465</v>
      </c>
      <c r="N268" s="27">
        <f t="shared" si="10"/>
        <v>128.3812364</v>
      </c>
      <c r="O268" s="24"/>
      <c r="P268" s="24"/>
      <c r="Q268" s="24"/>
      <c r="R268" s="26"/>
      <c r="S268" s="14">
        <f t="shared" si="13"/>
        <v>117.8919927</v>
      </c>
      <c r="U268" s="21"/>
      <c r="V268" s="21"/>
    </row>
    <row r="269">
      <c r="A269" s="11">
        <v>257.0</v>
      </c>
      <c r="B269" s="11">
        <v>1.42051304347826E9</v>
      </c>
      <c r="C269" s="2">
        <v>-101.5965271</v>
      </c>
      <c r="D269" s="24">
        <f t="shared" si="1"/>
        <v>113043.4783</v>
      </c>
      <c r="E269" s="25">
        <f t="shared" si="2"/>
        <v>-24.79399557</v>
      </c>
      <c r="F269" s="24">
        <f t="shared" si="3"/>
        <v>0.0002193314992</v>
      </c>
      <c r="G269" s="24">
        <f t="shared" si="4"/>
        <v>0</v>
      </c>
      <c r="H269" s="26">
        <f t="shared" si="5"/>
        <v>0</v>
      </c>
      <c r="I269" s="24">
        <f t="shared" si="6"/>
        <v>0</v>
      </c>
      <c r="J269" s="24">
        <f t="shared" si="7"/>
        <v>0</v>
      </c>
      <c r="K269" s="24"/>
      <c r="L269" s="24">
        <f t="shared" si="8"/>
        <v>526.5667806</v>
      </c>
      <c r="M269" s="14">
        <f t="shared" si="9"/>
        <v>412.6114515</v>
      </c>
      <c r="N269" s="27">
        <f t="shared" si="10"/>
        <v>113.9553291</v>
      </c>
      <c r="O269" s="24"/>
      <c r="P269" s="24"/>
      <c r="Q269" s="24"/>
      <c r="R269" s="26"/>
      <c r="S269" s="14">
        <f t="shared" si="13"/>
        <v>104.644738</v>
      </c>
      <c r="U269" s="21"/>
      <c r="V269" s="21"/>
    </row>
    <row r="270">
      <c r="A270" s="11">
        <v>258.0</v>
      </c>
      <c r="B270" s="11">
        <v>1.42051739130434E9</v>
      </c>
      <c r="C270" s="2">
        <v>-101.6850433</v>
      </c>
      <c r="D270" s="24">
        <f t="shared" si="1"/>
        <v>117391.3043</v>
      </c>
      <c r="E270" s="25">
        <f t="shared" si="2"/>
        <v>-25.7122917</v>
      </c>
      <c r="F270" s="24">
        <f t="shared" si="3"/>
        <v>0.000219030633</v>
      </c>
      <c r="G270" s="24">
        <f t="shared" si="4"/>
        <v>0</v>
      </c>
      <c r="H270" s="26">
        <f t="shared" si="5"/>
        <v>0</v>
      </c>
      <c r="I270" s="24">
        <f t="shared" si="6"/>
        <v>0</v>
      </c>
      <c r="J270" s="24">
        <f t="shared" si="7"/>
        <v>0</v>
      </c>
      <c r="K270" s="24"/>
      <c r="L270" s="24">
        <f t="shared" si="8"/>
        <v>515.943134</v>
      </c>
      <c r="M270" s="14">
        <f t="shared" si="9"/>
        <v>412.5356618</v>
      </c>
      <c r="N270" s="27">
        <f t="shared" si="10"/>
        <v>103.4074722</v>
      </c>
      <c r="O270" s="24"/>
      <c r="P270" s="24"/>
      <c r="Q270" s="24"/>
      <c r="R270" s="26"/>
      <c r="S270" s="14">
        <f t="shared" si="13"/>
        <v>94.95868185</v>
      </c>
      <c r="U270" s="21"/>
      <c r="V270" s="21"/>
    </row>
    <row r="271">
      <c r="A271" s="11">
        <v>259.0</v>
      </c>
      <c r="B271" s="11">
        <v>1.42052173913043E9</v>
      </c>
      <c r="C271" s="2">
        <v>-101.7562943</v>
      </c>
      <c r="D271" s="24">
        <f t="shared" si="1"/>
        <v>121739.1304</v>
      </c>
      <c r="E271" s="25">
        <f t="shared" si="2"/>
        <v>-26.63058783</v>
      </c>
      <c r="F271" s="24">
        <f t="shared" si="3"/>
        <v>0.0002187512572</v>
      </c>
      <c r="G271" s="24">
        <f t="shared" si="4"/>
        <v>0</v>
      </c>
      <c r="H271" s="26">
        <f t="shared" si="5"/>
        <v>0</v>
      </c>
      <c r="I271" s="24">
        <f t="shared" si="6"/>
        <v>0</v>
      </c>
      <c r="J271" s="24">
        <f t="shared" si="7"/>
        <v>0</v>
      </c>
      <c r="K271" s="24"/>
      <c r="L271" s="24">
        <f t="shared" si="8"/>
        <v>507.5475519</v>
      </c>
      <c r="M271" s="14">
        <f t="shared" si="9"/>
        <v>412.459975</v>
      </c>
      <c r="N271" s="27">
        <f t="shared" si="10"/>
        <v>95.08757694</v>
      </c>
      <c r="O271" s="24"/>
      <c r="P271" s="24"/>
      <c r="Q271" s="24"/>
      <c r="R271" s="26"/>
      <c r="S271" s="14">
        <f t="shared" si="13"/>
        <v>87.31855397</v>
      </c>
      <c r="U271" s="21"/>
      <c r="V271" s="21"/>
    </row>
    <row r="272">
      <c r="A272" s="11">
        <v>260.0</v>
      </c>
      <c r="B272" s="11">
        <v>1.42052608695652E9</v>
      </c>
      <c r="C272" s="2">
        <v>-101.8338318</v>
      </c>
      <c r="D272" s="24">
        <f t="shared" si="1"/>
        <v>126086.9565</v>
      </c>
      <c r="E272" s="25">
        <f t="shared" si="2"/>
        <v>-27.54888396</v>
      </c>
      <c r="F272" s="24">
        <f t="shared" si="3"/>
        <v>0.0002184911487</v>
      </c>
      <c r="G272" s="24">
        <f t="shared" si="4"/>
        <v>0</v>
      </c>
      <c r="H272" s="26">
        <f t="shared" si="5"/>
        <v>0</v>
      </c>
      <c r="I272" s="24">
        <f t="shared" si="6"/>
        <v>0</v>
      </c>
      <c r="J272" s="24">
        <f t="shared" si="7"/>
        <v>0</v>
      </c>
      <c r="K272" s="24"/>
      <c r="L272" s="24">
        <f t="shared" si="8"/>
        <v>498.5663779</v>
      </c>
      <c r="M272" s="14">
        <f t="shared" si="9"/>
        <v>412.3843891</v>
      </c>
      <c r="N272" s="27">
        <f t="shared" si="10"/>
        <v>86.18198882</v>
      </c>
      <c r="O272" s="24"/>
      <c r="P272" s="24"/>
      <c r="Q272" s="24"/>
      <c r="R272" s="26"/>
      <c r="S272" s="14">
        <f t="shared" si="13"/>
        <v>79.14058705</v>
      </c>
      <c r="U272" s="21"/>
      <c r="V272" s="21"/>
    </row>
    <row r="273">
      <c r="A273" s="11">
        <v>261.0</v>
      </c>
      <c r="B273" s="11">
        <v>1.4205304347826E9</v>
      </c>
      <c r="C273" s="2">
        <v>-101.9544144</v>
      </c>
      <c r="D273" s="24">
        <f t="shared" si="1"/>
        <v>130434.7826</v>
      </c>
      <c r="E273" s="25">
        <f t="shared" si="2"/>
        <v>-28.4671801</v>
      </c>
      <c r="F273" s="24">
        <f t="shared" si="3"/>
        <v>0.0002182483807</v>
      </c>
      <c r="G273" s="24">
        <f t="shared" si="4"/>
        <v>0</v>
      </c>
      <c r="H273" s="26">
        <f t="shared" si="5"/>
        <v>0</v>
      </c>
      <c r="I273" s="24">
        <f t="shared" si="6"/>
        <v>0</v>
      </c>
      <c r="J273" s="24">
        <f t="shared" si="7"/>
        <v>0</v>
      </c>
      <c r="K273" s="24"/>
      <c r="L273" s="24">
        <f t="shared" si="8"/>
        <v>484.9140051</v>
      </c>
      <c r="M273" s="14">
        <f t="shared" si="9"/>
        <v>412.3089018</v>
      </c>
      <c r="N273" s="27">
        <f t="shared" si="10"/>
        <v>72.6051033</v>
      </c>
      <c r="O273" s="24"/>
      <c r="P273" s="24"/>
      <c r="Q273" s="24"/>
      <c r="R273" s="26"/>
      <c r="S273" s="14">
        <f t="shared" si="13"/>
        <v>66.67298557</v>
      </c>
      <c r="U273" s="21"/>
      <c r="V273" s="21"/>
    </row>
    <row r="274">
      <c r="A274" s="11">
        <v>262.0</v>
      </c>
      <c r="B274" s="11">
        <v>1.42053478260869E9</v>
      </c>
      <c r="C274" s="2">
        <v>-102.0504532</v>
      </c>
      <c r="D274" s="24">
        <f t="shared" si="1"/>
        <v>134782.6087</v>
      </c>
      <c r="E274" s="25">
        <f t="shared" si="2"/>
        <v>-29.38547623</v>
      </c>
      <c r="F274" s="24">
        <f t="shared" si="3"/>
        <v>0.0002180212752</v>
      </c>
      <c r="G274" s="24">
        <f t="shared" si="4"/>
        <v>0</v>
      </c>
      <c r="H274" s="26">
        <f t="shared" si="5"/>
        <v>0</v>
      </c>
      <c r="I274" s="24">
        <f t="shared" si="6"/>
        <v>0</v>
      </c>
      <c r="J274" s="24">
        <f t="shared" si="7"/>
        <v>0</v>
      </c>
      <c r="K274" s="24"/>
      <c r="L274" s="24">
        <f t="shared" si="8"/>
        <v>474.3084342</v>
      </c>
      <c r="M274" s="14">
        <f t="shared" si="9"/>
        <v>412.2335109</v>
      </c>
      <c r="N274" s="27">
        <f t="shared" si="10"/>
        <v>62.07492327</v>
      </c>
      <c r="O274" s="24"/>
      <c r="P274" s="24"/>
      <c r="Q274" s="24"/>
      <c r="R274" s="26"/>
      <c r="S274" s="14">
        <f t="shared" si="13"/>
        <v>57.00316198</v>
      </c>
      <c r="U274" s="21"/>
      <c r="V274" s="21"/>
    </row>
    <row r="275">
      <c r="A275" s="11">
        <v>263.0</v>
      </c>
      <c r="B275" s="11">
        <v>1.42053913043478E9</v>
      </c>
      <c r="C275" s="2">
        <v>-102.1086502</v>
      </c>
      <c r="D275" s="24">
        <f t="shared" si="1"/>
        <v>139130.4348</v>
      </c>
      <c r="E275" s="25">
        <f t="shared" si="2"/>
        <v>-30.30377236</v>
      </c>
      <c r="F275" s="24">
        <f t="shared" si="3"/>
        <v>0.0002178083638</v>
      </c>
      <c r="G275" s="24">
        <f t="shared" si="4"/>
        <v>0</v>
      </c>
      <c r="H275" s="26">
        <f t="shared" si="5"/>
        <v>0</v>
      </c>
      <c r="I275" s="24">
        <f t="shared" si="6"/>
        <v>0</v>
      </c>
      <c r="J275" s="24">
        <f t="shared" si="7"/>
        <v>0</v>
      </c>
      <c r="K275" s="24"/>
      <c r="L275" s="24">
        <f t="shared" si="8"/>
        <v>467.9949291</v>
      </c>
      <c r="M275" s="14">
        <f t="shared" si="9"/>
        <v>412.1582144</v>
      </c>
      <c r="N275" s="27">
        <f t="shared" si="10"/>
        <v>55.83671475</v>
      </c>
      <c r="O275" s="24"/>
      <c r="P275" s="24"/>
      <c r="Q275" s="24"/>
      <c r="R275" s="26"/>
      <c r="S275" s="14">
        <f t="shared" si="13"/>
        <v>51.2746391</v>
      </c>
      <c r="U275" s="21"/>
      <c r="V275" s="21"/>
    </row>
    <row r="276">
      <c r="A276" s="11">
        <v>264.0</v>
      </c>
      <c r="B276" s="11">
        <v>1.42054347826087E9</v>
      </c>
      <c r="C276" s="2">
        <v>-102.219101</v>
      </c>
      <c r="D276" s="24">
        <f t="shared" si="1"/>
        <v>143478.2609</v>
      </c>
      <c r="E276" s="25">
        <f t="shared" si="2"/>
        <v>-31.22206849</v>
      </c>
      <c r="F276" s="24">
        <f t="shared" si="3"/>
        <v>0.0002176083562</v>
      </c>
      <c r="G276" s="24">
        <f t="shared" si="4"/>
        <v>0</v>
      </c>
      <c r="H276" s="26">
        <f t="shared" si="5"/>
        <v>0</v>
      </c>
      <c r="I276" s="24">
        <f t="shared" si="6"/>
        <v>0</v>
      </c>
      <c r="J276" s="24">
        <f t="shared" si="7"/>
        <v>0</v>
      </c>
      <c r="K276" s="24"/>
      <c r="L276" s="24">
        <f t="shared" si="8"/>
        <v>456.2428457</v>
      </c>
      <c r="M276" s="14">
        <f t="shared" si="9"/>
        <v>412.0830099</v>
      </c>
      <c r="N276" s="27">
        <f t="shared" si="10"/>
        <v>44.15983574</v>
      </c>
      <c r="O276" s="24"/>
      <c r="P276" s="24"/>
      <c r="Q276" s="24"/>
      <c r="R276" s="26"/>
      <c r="S276" s="14">
        <f t="shared" si="13"/>
        <v>40.55180638</v>
      </c>
      <c r="U276" s="21"/>
      <c r="V276" s="21"/>
    </row>
    <row r="277">
      <c r="A277" s="11">
        <v>265.0</v>
      </c>
      <c r="B277" s="11">
        <v>1.42054782608695E9</v>
      </c>
      <c r="C277" s="2">
        <v>-102.2329636</v>
      </c>
      <c r="D277" s="24">
        <f t="shared" si="1"/>
        <v>147826.087</v>
      </c>
      <c r="E277" s="25">
        <f t="shared" si="2"/>
        <v>-32.14036462</v>
      </c>
      <c r="F277" s="24">
        <f t="shared" si="3"/>
        <v>0.0002174201136</v>
      </c>
      <c r="G277" s="24">
        <f t="shared" si="4"/>
        <v>0</v>
      </c>
      <c r="H277" s="26">
        <f t="shared" si="5"/>
        <v>0</v>
      </c>
      <c r="I277" s="24">
        <f t="shared" si="6"/>
        <v>0</v>
      </c>
      <c r="J277" s="24">
        <f t="shared" si="7"/>
        <v>0</v>
      </c>
      <c r="K277" s="24"/>
      <c r="L277" s="24">
        <f t="shared" si="8"/>
        <v>454.7888487</v>
      </c>
      <c r="M277" s="14">
        <f t="shared" si="9"/>
        <v>412.0078955</v>
      </c>
      <c r="N277" s="27">
        <f t="shared" si="10"/>
        <v>42.78095326</v>
      </c>
      <c r="O277" s="24"/>
      <c r="P277" s="24"/>
      <c r="Q277" s="24"/>
      <c r="R277" s="26"/>
      <c r="S277" s="14">
        <f t="shared" si="13"/>
        <v>39.28558393</v>
      </c>
      <c r="U277" s="21"/>
      <c r="V277" s="21"/>
    </row>
    <row r="278">
      <c r="A278" s="11">
        <v>266.0</v>
      </c>
      <c r="B278" s="11">
        <v>1.42055217391304E9</v>
      </c>
      <c r="C278" s="2">
        <v>-102.2522659</v>
      </c>
      <c r="D278" s="24">
        <f t="shared" si="1"/>
        <v>152173.913</v>
      </c>
      <c r="E278" s="25">
        <f t="shared" si="2"/>
        <v>-33.05866076</v>
      </c>
      <c r="F278" s="24">
        <f t="shared" si="3"/>
        <v>0.0002172426278</v>
      </c>
      <c r="G278" s="24">
        <f t="shared" si="4"/>
        <v>0</v>
      </c>
      <c r="H278" s="26">
        <f t="shared" si="5"/>
        <v>0</v>
      </c>
      <c r="I278" s="24">
        <f t="shared" si="6"/>
        <v>0</v>
      </c>
      <c r="J278" s="24">
        <f t="shared" si="7"/>
        <v>0</v>
      </c>
      <c r="K278" s="24"/>
      <c r="L278" s="24">
        <f t="shared" si="8"/>
        <v>452.7720164</v>
      </c>
      <c r="M278" s="14">
        <f t="shared" si="9"/>
        <v>411.9328687</v>
      </c>
      <c r="N278" s="27">
        <f t="shared" si="10"/>
        <v>40.83914763</v>
      </c>
      <c r="O278" s="24"/>
      <c r="P278" s="24"/>
      <c r="Q278" s="24"/>
      <c r="R278" s="26"/>
      <c r="S278" s="14">
        <f t="shared" si="13"/>
        <v>37.50243125</v>
      </c>
      <c r="U278" s="21"/>
      <c r="V278" s="21"/>
    </row>
    <row r="279">
      <c r="A279" s="11">
        <v>267.0</v>
      </c>
      <c r="B279" s="11">
        <v>1.42055652173913E9</v>
      </c>
      <c r="C279" s="2">
        <v>-102.2801437</v>
      </c>
      <c r="D279" s="24">
        <f t="shared" si="1"/>
        <v>156521.7391</v>
      </c>
      <c r="E279" s="25">
        <f t="shared" si="2"/>
        <v>-33.97695689</v>
      </c>
      <c r="F279" s="24">
        <f t="shared" si="3"/>
        <v>0.0002170750023</v>
      </c>
      <c r="G279" s="24">
        <f t="shared" si="4"/>
        <v>0</v>
      </c>
      <c r="H279" s="26">
        <f t="shared" si="5"/>
        <v>0</v>
      </c>
      <c r="I279" s="24">
        <f t="shared" si="6"/>
        <v>0</v>
      </c>
      <c r="J279" s="24">
        <f t="shared" si="7"/>
        <v>0</v>
      </c>
      <c r="K279" s="24"/>
      <c r="L279" s="24">
        <f t="shared" si="8"/>
        <v>449.8749355</v>
      </c>
      <c r="M279" s="14">
        <f t="shared" si="9"/>
        <v>411.8579276</v>
      </c>
      <c r="N279" s="27">
        <f t="shared" si="10"/>
        <v>38.01700789</v>
      </c>
      <c r="O279" s="24"/>
      <c r="P279" s="24"/>
      <c r="Q279" s="24"/>
      <c r="R279" s="26"/>
      <c r="S279" s="14">
        <f t="shared" si="13"/>
        <v>34.91087132</v>
      </c>
      <c r="U279" s="21"/>
      <c r="V279" s="21"/>
    </row>
    <row r="280">
      <c r="A280" s="11">
        <v>268.0</v>
      </c>
      <c r="B280" s="11">
        <v>1.42056086956521E9</v>
      </c>
      <c r="C280" s="2">
        <v>-102.3045044</v>
      </c>
      <c r="D280" s="24">
        <f t="shared" si="1"/>
        <v>160869.5652</v>
      </c>
      <c r="E280" s="25">
        <f t="shared" si="2"/>
        <v>-34.89525302</v>
      </c>
      <c r="F280" s="24">
        <f t="shared" si="3"/>
        <v>0.0002169164377</v>
      </c>
      <c r="G280" s="24">
        <f t="shared" si="4"/>
        <v>0</v>
      </c>
      <c r="H280" s="26">
        <f t="shared" si="5"/>
        <v>0</v>
      </c>
      <c r="I280" s="24">
        <f t="shared" si="6"/>
        <v>0</v>
      </c>
      <c r="J280" s="24">
        <f t="shared" si="7"/>
        <v>0</v>
      </c>
      <c r="K280" s="24"/>
      <c r="L280" s="24">
        <f t="shared" si="8"/>
        <v>447.3585349</v>
      </c>
      <c r="M280" s="14">
        <f t="shared" si="9"/>
        <v>411.7830699</v>
      </c>
      <c r="N280" s="27">
        <f t="shared" si="10"/>
        <v>35.57546499</v>
      </c>
      <c r="O280" s="24"/>
      <c r="P280" s="24"/>
      <c r="Q280" s="24"/>
      <c r="R280" s="26"/>
      <c r="S280" s="14">
        <f t="shared" si="13"/>
        <v>32.66881192</v>
      </c>
      <c r="U280" s="21"/>
      <c r="V280" s="21"/>
    </row>
    <row r="281">
      <c r="A281" s="11">
        <v>269.0</v>
      </c>
      <c r="B281" s="11">
        <v>1.4205652173913E9</v>
      </c>
      <c r="C281" s="2">
        <v>-102.2844009</v>
      </c>
      <c r="D281" s="24">
        <f t="shared" si="1"/>
        <v>165217.3913</v>
      </c>
      <c r="E281" s="25">
        <f t="shared" si="2"/>
        <v>-35.81354915</v>
      </c>
      <c r="F281" s="24">
        <f t="shared" si="3"/>
        <v>0.0002167662186</v>
      </c>
      <c r="G281" s="24">
        <f t="shared" si="4"/>
        <v>0</v>
      </c>
      <c r="H281" s="26">
        <f t="shared" si="5"/>
        <v>0</v>
      </c>
      <c r="I281" s="24">
        <f t="shared" si="6"/>
        <v>0</v>
      </c>
      <c r="J281" s="24">
        <f t="shared" si="7"/>
        <v>0</v>
      </c>
      <c r="K281" s="24"/>
      <c r="L281" s="24">
        <f t="shared" si="8"/>
        <v>449.4341587</v>
      </c>
      <c r="M281" s="14">
        <f t="shared" si="9"/>
        <v>411.7082934</v>
      </c>
      <c r="N281" s="27">
        <f t="shared" si="10"/>
        <v>37.72586533</v>
      </c>
      <c r="O281" s="24"/>
      <c r="P281" s="24"/>
      <c r="Q281" s="24"/>
      <c r="R281" s="26"/>
      <c r="S281" s="14">
        <f t="shared" si="13"/>
        <v>34.64351616</v>
      </c>
      <c r="U281" s="21"/>
      <c r="V281" s="21"/>
    </row>
    <row r="282">
      <c r="A282" s="11">
        <v>270.0</v>
      </c>
      <c r="B282" s="11">
        <v>1.42056956521739E9</v>
      </c>
      <c r="C282" s="2">
        <v>-102.2533875</v>
      </c>
      <c r="D282" s="24">
        <f t="shared" si="1"/>
        <v>169565.2174</v>
      </c>
      <c r="E282" s="25">
        <f t="shared" si="2"/>
        <v>-36.73184528</v>
      </c>
      <c r="F282" s="24">
        <f t="shared" si="3"/>
        <v>0.000216623703</v>
      </c>
      <c r="G282" s="24">
        <f t="shared" si="4"/>
        <v>0</v>
      </c>
      <c r="H282" s="26">
        <f t="shared" si="5"/>
        <v>0</v>
      </c>
      <c r="I282" s="24">
        <f t="shared" si="6"/>
        <v>0</v>
      </c>
      <c r="J282" s="24">
        <f t="shared" si="7"/>
        <v>0</v>
      </c>
      <c r="K282" s="24"/>
      <c r="L282" s="24">
        <f t="shared" si="8"/>
        <v>452.6550995</v>
      </c>
      <c r="M282" s="14">
        <f t="shared" si="9"/>
        <v>411.633596</v>
      </c>
      <c r="N282" s="27">
        <f t="shared" si="10"/>
        <v>41.02150353</v>
      </c>
      <c r="O282" s="24"/>
      <c r="P282" s="24"/>
      <c r="Q282" s="24"/>
      <c r="R282" s="26"/>
      <c r="S282" s="14">
        <f t="shared" si="13"/>
        <v>37.66988806</v>
      </c>
      <c r="U282" s="21"/>
      <c r="V282" s="21"/>
    </row>
    <row r="283">
      <c r="A283" s="11">
        <v>271.0</v>
      </c>
      <c r="B283" s="11">
        <v>1.42057391304347E9</v>
      </c>
      <c r="C283" s="2">
        <v>-102.2511063</v>
      </c>
      <c r="D283" s="24">
        <f t="shared" si="1"/>
        <v>173913.0435</v>
      </c>
      <c r="E283" s="25">
        <f t="shared" si="2"/>
        <v>-37.65014142</v>
      </c>
      <c r="F283" s="24">
        <f t="shared" si="3"/>
        <v>0.0002164883132</v>
      </c>
      <c r="G283" s="24">
        <f t="shared" si="4"/>
        <v>0</v>
      </c>
      <c r="H283" s="26">
        <f t="shared" si="5"/>
        <v>0</v>
      </c>
      <c r="I283" s="24">
        <f t="shared" si="6"/>
        <v>0</v>
      </c>
      <c r="J283" s="24">
        <f t="shared" si="7"/>
        <v>0</v>
      </c>
      <c r="K283" s="24"/>
      <c r="L283" s="24">
        <f t="shared" si="8"/>
        <v>452.8929261</v>
      </c>
      <c r="M283" s="14">
        <f t="shared" si="9"/>
        <v>411.5589754</v>
      </c>
      <c r="N283" s="27">
        <f t="shared" si="10"/>
        <v>41.33395074</v>
      </c>
      <c r="O283" s="24"/>
      <c r="P283" s="24"/>
      <c r="Q283" s="24"/>
      <c r="R283" s="26"/>
      <c r="S283" s="14">
        <f t="shared" si="13"/>
        <v>37.95680711</v>
      </c>
      <c r="U283" s="21"/>
      <c r="V283" s="21"/>
    </row>
    <row r="284">
      <c r="A284" s="11">
        <v>272.0</v>
      </c>
      <c r="B284" s="11">
        <v>1.42057826086956E9</v>
      </c>
      <c r="C284" s="2">
        <v>-102.2973557</v>
      </c>
      <c r="D284" s="24">
        <f t="shared" si="1"/>
        <v>178260.8696</v>
      </c>
      <c r="E284" s="25">
        <f t="shared" si="2"/>
        <v>-38.56843755</v>
      </c>
      <c r="F284" s="24">
        <f t="shared" si="3"/>
        <v>0.0002163595277</v>
      </c>
      <c r="G284" s="24">
        <f t="shared" si="4"/>
        <v>0</v>
      </c>
      <c r="H284" s="26">
        <f t="shared" si="5"/>
        <v>0</v>
      </c>
      <c r="I284" s="24">
        <f t="shared" si="6"/>
        <v>0</v>
      </c>
      <c r="J284" s="24">
        <f t="shared" si="7"/>
        <v>0</v>
      </c>
      <c r="K284" s="24"/>
      <c r="L284" s="24">
        <f t="shared" si="8"/>
        <v>448.0955153</v>
      </c>
      <c r="M284" s="14">
        <f t="shared" si="9"/>
        <v>411.4844296</v>
      </c>
      <c r="N284" s="27">
        <f t="shared" si="10"/>
        <v>36.61108574</v>
      </c>
      <c r="O284" s="24"/>
      <c r="P284" s="24"/>
      <c r="Q284" s="24"/>
      <c r="R284" s="26"/>
      <c r="S284" s="14">
        <f t="shared" si="13"/>
        <v>33.61981837</v>
      </c>
      <c r="U284" s="21"/>
      <c r="V284" s="21"/>
    </row>
    <row r="285">
      <c r="A285" s="11">
        <v>273.0</v>
      </c>
      <c r="B285" s="11">
        <v>1.42058260869565E9</v>
      </c>
      <c r="C285" s="2">
        <v>-102.3122482</v>
      </c>
      <c r="D285" s="24">
        <f t="shared" si="1"/>
        <v>182608.6957</v>
      </c>
      <c r="E285" s="25">
        <f t="shared" si="2"/>
        <v>-39.48673368</v>
      </c>
      <c r="F285" s="24">
        <f t="shared" si="3"/>
        <v>0.0002162368749</v>
      </c>
      <c r="G285" s="24">
        <f t="shared" si="4"/>
        <v>0</v>
      </c>
      <c r="H285" s="26">
        <f t="shared" si="5"/>
        <v>0</v>
      </c>
      <c r="I285" s="24">
        <f t="shared" si="6"/>
        <v>0</v>
      </c>
      <c r="J285" s="24">
        <f t="shared" si="7"/>
        <v>0</v>
      </c>
      <c r="K285" s="24"/>
      <c r="L285" s="24">
        <f t="shared" si="8"/>
        <v>446.5615714</v>
      </c>
      <c r="M285" s="14">
        <f t="shared" si="9"/>
        <v>411.4099563</v>
      </c>
      <c r="N285" s="27">
        <f t="shared" si="10"/>
        <v>35.15161512</v>
      </c>
      <c r="O285" s="24"/>
      <c r="P285" s="24"/>
      <c r="Q285" s="24"/>
      <c r="R285" s="26"/>
      <c r="S285" s="14">
        <f t="shared" si="13"/>
        <v>32.27959223</v>
      </c>
      <c r="U285" s="21"/>
      <c r="V285" s="21"/>
    </row>
    <row r="286">
      <c r="A286" s="11">
        <v>274.0</v>
      </c>
      <c r="B286" s="11">
        <v>1.42058695652173E9</v>
      </c>
      <c r="C286" s="2">
        <v>-102.3708038</v>
      </c>
      <c r="D286" s="24">
        <f t="shared" si="1"/>
        <v>186956.5217</v>
      </c>
      <c r="E286" s="25">
        <f t="shared" si="2"/>
        <v>-40.40502981</v>
      </c>
      <c r="F286" s="24">
        <f t="shared" si="3"/>
        <v>0.0002161199269</v>
      </c>
      <c r="G286" s="24">
        <f t="shared" si="4"/>
        <v>0</v>
      </c>
      <c r="H286" s="26">
        <f t="shared" si="5"/>
        <v>0</v>
      </c>
      <c r="I286" s="24">
        <f t="shared" si="6"/>
        <v>0</v>
      </c>
      <c r="J286" s="24">
        <f t="shared" si="7"/>
        <v>0</v>
      </c>
      <c r="K286" s="24"/>
      <c r="L286" s="24">
        <f t="shared" si="8"/>
        <v>440.5810234</v>
      </c>
      <c r="M286" s="14">
        <f t="shared" si="9"/>
        <v>411.3355533</v>
      </c>
      <c r="N286" s="27">
        <f t="shared" si="10"/>
        <v>29.24547006</v>
      </c>
      <c r="O286" s="24"/>
      <c r="P286" s="24"/>
      <c r="Q286" s="24"/>
      <c r="R286" s="26"/>
      <c r="S286" s="14">
        <f t="shared" si="13"/>
        <v>26.85600205</v>
      </c>
      <c r="U286" s="21"/>
      <c r="V286" s="21"/>
    </row>
    <row r="287">
      <c r="A287" s="11">
        <v>275.0</v>
      </c>
      <c r="B287" s="11">
        <v>1.42059130434782E9</v>
      </c>
      <c r="C287" s="2">
        <v>-102.3782349</v>
      </c>
      <c r="D287" s="24">
        <f t="shared" si="1"/>
        <v>191304.3478</v>
      </c>
      <c r="E287" s="25">
        <f t="shared" si="2"/>
        <v>-41.32332595</v>
      </c>
      <c r="F287" s="24">
        <f t="shared" si="3"/>
        <v>0.0002160082947</v>
      </c>
      <c r="G287" s="24">
        <f t="shared" si="4"/>
        <v>0</v>
      </c>
      <c r="H287" s="26">
        <f t="shared" si="5"/>
        <v>0</v>
      </c>
      <c r="I287" s="24">
        <f t="shared" si="6"/>
        <v>0</v>
      </c>
      <c r="J287" s="24">
        <f t="shared" si="7"/>
        <v>0</v>
      </c>
      <c r="K287" s="24"/>
      <c r="L287" s="24">
        <f t="shared" si="8"/>
        <v>439.8278012</v>
      </c>
      <c r="M287" s="14">
        <f t="shared" si="9"/>
        <v>411.2612186</v>
      </c>
      <c r="N287" s="27">
        <f t="shared" si="10"/>
        <v>28.56658268</v>
      </c>
      <c r="O287" s="24"/>
      <c r="P287" s="24"/>
      <c r="Q287" s="24"/>
      <c r="R287" s="26"/>
      <c r="S287" s="14">
        <f t="shared" si="13"/>
        <v>26.2325824</v>
      </c>
      <c r="U287" s="21"/>
      <c r="V287" s="21"/>
    </row>
    <row r="288">
      <c r="A288" s="11">
        <v>276.0</v>
      </c>
      <c r="B288" s="11">
        <v>1.42059565217391E9</v>
      </c>
      <c r="C288" s="2">
        <v>-102.3887939</v>
      </c>
      <c r="D288" s="24">
        <f t="shared" si="1"/>
        <v>195652.1739</v>
      </c>
      <c r="E288" s="25">
        <f t="shared" si="2"/>
        <v>-42.24162208</v>
      </c>
      <c r="F288" s="24">
        <f t="shared" si="3"/>
        <v>0.000215901624</v>
      </c>
      <c r="G288" s="24">
        <f t="shared" si="4"/>
        <v>0</v>
      </c>
      <c r="H288" s="26">
        <f t="shared" si="5"/>
        <v>0</v>
      </c>
      <c r="I288" s="24">
        <f t="shared" si="6"/>
        <v>0</v>
      </c>
      <c r="J288" s="24">
        <f t="shared" si="7"/>
        <v>0</v>
      </c>
      <c r="K288" s="24"/>
      <c r="L288" s="24">
        <f t="shared" si="8"/>
        <v>438.759747</v>
      </c>
      <c r="M288" s="14">
        <f t="shared" si="9"/>
        <v>411.1869498</v>
      </c>
      <c r="N288" s="27">
        <f t="shared" si="10"/>
        <v>27.57279718</v>
      </c>
      <c r="O288" s="24"/>
      <c r="P288" s="24"/>
      <c r="Q288" s="24"/>
      <c r="R288" s="26"/>
      <c r="S288" s="14">
        <f t="shared" si="13"/>
        <v>25.31999296</v>
      </c>
      <c r="U288" s="21"/>
      <c r="V288" s="21"/>
    </row>
    <row r="289">
      <c r="A289" s="11">
        <v>277.0</v>
      </c>
      <c r="B289" s="11">
        <v>1.4206E9</v>
      </c>
      <c r="C289" s="2">
        <v>-102.3026123</v>
      </c>
      <c r="D289" s="24">
        <f t="shared" si="1"/>
        <v>200000</v>
      </c>
      <c r="E289" s="25">
        <f t="shared" si="2"/>
        <v>-43.15991821</v>
      </c>
      <c r="F289" s="24">
        <f t="shared" si="3"/>
        <v>0.000215799591</v>
      </c>
      <c r="G289" s="24">
        <f t="shared" si="4"/>
        <v>0</v>
      </c>
      <c r="H289" s="26">
        <f t="shared" si="5"/>
        <v>0</v>
      </c>
      <c r="I289" s="24">
        <f t="shared" si="6"/>
        <v>0</v>
      </c>
      <c r="J289" s="24">
        <f t="shared" si="7"/>
        <v>0</v>
      </c>
      <c r="K289" s="24"/>
      <c r="L289" s="24">
        <f t="shared" si="8"/>
        <v>447.553479</v>
      </c>
      <c r="M289" s="14">
        <f t="shared" si="9"/>
        <v>411.1127449</v>
      </c>
      <c r="N289" s="27">
        <f t="shared" si="10"/>
        <v>36.44073408</v>
      </c>
      <c r="O289" s="24"/>
      <c r="P289" s="24"/>
      <c r="Q289" s="24"/>
      <c r="R289" s="26"/>
      <c r="S289" s="14">
        <f t="shared" si="13"/>
        <v>33.46338518</v>
      </c>
      <c r="U289" s="21"/>
      <c r="V289" s="21"/>
    </row>
    <row r="290">
      <c r="A290" s="11">
        <v>278.0</v>
      </c>
      <c r="B290" s="11">
        <v>1.42060434782608E9</v>
      </c>
      <c r="C290" s="2">
        <v>-102.3347855</v>
      </c>
      <c r="D290" s="24">
        <f t="shared" si="1"/>
        <v>204347.8261</v>
      </c>
      <c r="E290" s="25">
        <f t="shared" si="2"/>
        <v>-44.07821434</v>
      </c>
      <c r="F290" s="24">
        <f t="shared" si="3"/>
        <v>0.0002157019</v>
      </c>
      <c r="G290" s="24">
        <f t="shared" si="4"/>
        <v>0</v>
      </c>
      <c r="H290" s="26">
        <f t="shared" si="5"/>
        <v>0</v>
      </c>
      <c r="I290" s="24">
        <f t="shared" si="6"/>
        <v>0</v>
      </c>
      <c r="J290" s="24">
        <f t="shared" si="7"/>
        <v>0</v>
      </c>
      <c r="K290" s="24"/>
      <c r="L290" s="24">
        <f t="shared" si="8"/>
        <v>444.250185</v>
      </c>
      <c r="M290" s="14">
        <f t="shared" si="9"/>
        <v>411.0386016</v>
      </c>
      <c r="N290" s="27">
        <f t="shared" si="10"/>
        <v>33.21158344</v>
      </c>
      <c r="O290" s="24"/>
      <c r="P290" s="24"/>
      <c r="Q290" s="24"/>
      <c r="R290" s="26"/>
      <c r="S290" s="14">
        <f t="shared" si="13"/>
        <v>30.49806864</v>
      </c>
      <c r="U290" s="21"/>
      <c r="V290" s="21"/>
    </row>
    <row r="291">
      <c r="A291" s="11">
        <v>279.0</v>
      </c>
      <c r="B291" s="11">
        <v>1.42060869565217E9</v>
      </c>
      <c r="C291" s="2">
        <v>-102.3351746</v>
      </c>
      <c r="D291" s="24">
        <f t="shared" si="1"/>
        <v>208695.6522</v>
      </c>
      <c r="E291" s="25">
        <f t="shared" si="2"/>
        <v>-44.99651047</v>
      </c>
      <c r="F291" s="24">
        <f t="shared" si="3"/>
        <v>0.0002156082794</v>
      </c>
      <c r="G291" s="24">
        <f t="shared" si="4"/>
        <v>0</v>
      </c>
      <c r="H291" s="26">
        <f t="shared" si="5"/>
        <v>0</v>
      </c>
      <c r="I291" s="24">
        <f t="shared" si="6"/>
        <v>0</v>
      </c>
      <c r="J291" s="24">
        <f t="shared" si="7"/>
        <v>0</v>
      </c>
      <c r="K291" s="24"/>
      <c r="L291" s="24">
        <f t="shared" si="8"/>
        <v>444.2103849</v>
      </c>
      <c r="M291" s="14">
        <f t="shared" si="9"/>
        <v>410.9645178</v>
      </c>
      <c r="N291" s="27">
        <f t="shared" si="10"/>
        <v>33.24586705</v>
      </c>
      <c r="O291" s="24"/>
      <c r="P291" s="24"/>
      <c r="Q291" s="24"/>
      <c r="R291" s="26"/>
      <c r="S291" s="14">
        <f t="shared" si="13"/>
        <v>30.52955107</v>
      </c>
      <c r="U291" s="21"/>
      <c r="V291" s="21"/>
    </row>
    <row r="292">
      <c r="A292" s="11">
        <v>280.0</v>
      </c>
      <c r="B292" s="11">
        <v>1.42061304347826E9</v>
      </c>
      <c r="C292" s="2">
        <v>-102.3180847</v>
      </c>
      <c r="D292" s="24">
        <f t="shared" si="1"/>
        <v>213043.4783</v>
      </c>
      <c r="E292" s="25">
        <f t="shared" si="2"/>
        <v>-45.91480661</v>
      </c>
      <c r="F292" s="24">
        <f t="shared" si="3"/>
        <v>0.00021551848</v>
      </c>
      <c r="G292" s="24">
        <f t="shared" si="4"/>
        <v>0</v>
      </c>
      <c r="H292" s="26">
        <f t="shared" si="5"/>
        <v>0</v>
      </c>
      <c r="I292" s="24">
        <f t="shared" si="6"/>
        <v>0</v>
      </c>
      <c r="J292" s="24">
        <f t="shared" si="7"/>
        <v>0</v>
      </c>
      <c r="K292" s="24"/>
      <c r="L292" s="24">
        <f t="shared" si="8"/>
        <v>445.9618387</v>
      </c>
      <c r="M292" s="14">
        <f t="shared" si="9"/>
        <v>410.8904913</v>
      </c>
      <c r="N292" s="27">
        <f t="shared" si="10"/>
        <v>35.07134737</v>
      </c>
      <c r="O292" s="24"/>
      <c r="P292" s="24"/>
      <c r="Q292" s="24"/>
      <c r="R292" s="26"/>
      <c r="S292" s="14">
        <f t="shared" si="13"/>
        <v>32.20588266</v>
      </c>
      <c r="U292" s="21"/>
      <c r="V292" s="21"/>
    </row>
    <row r="293">
      <c r="A293" s="11">
        <v>281.0</v>
      </c>
      <c r="B293" s="11">
        <v>1.42061739130434E9</v>
      </c>
      <c r="C293" s="2">
        <v>-102.2704926</v>
      </c>
      <c r="D293" s="24">
        <f t="shared" si="1"/>
        <v>217391.3043</v>
      </c>
      <c r="E293" s="25">
        <f t="shared" si="2"/>
        <v>-46.83310274</v>
      </c>
      <c r="F293" s="24">
        <f t="shared" si="3"/>
        <v>0.0002154322726</v>
      </c>
      <c r="G293" s="24">
        <f t="shared" si="4"/>
        <v>0</v>
      </c>
      <c r="H293" s="26">
        <f t="shared" si="5"/>
        <v>0</v>
      </c>
      <c r="I293" s="24">
        <f t="shared" si="6"/>
        <v>0</v>
      </c>
      <c r="J293" s="24">
        <f t="shared" si="7"/>
        <v>0</v>
      </c>
      <c r="K293" s="24"/>
      <c r="L293" s="24">
        <f t="shared" si="8"/>
        <v>450.8757808</v>
      </c>
      <c r="M293" s="14">
        <f t="shared" si="9"/>
        <v>410.81652</v>
      </c>
      <c r="N293" s="27">
        <f t="shared" si="10"/>
        <v>40.05926081</v>
      </c>
      <c r="O293" s="24"/>
      <c r="P293" s="24"/>
      <c r="Q293" s="24"/>
      <c r="R293" s="26"/>
      <c r="S293" s="14">
        <f t="shared" si="13"/>
        <v>36.78626429</v>
      </c>
      <c r="U293" s="21"/>
      <c r="V293" s="21"/>
    </row>
    <row r="294">
      <c r="A294" s="11">
        <v>282.0</v>
      </c>
      <c r="B294" s="11">
        <v>1.42062173913043E9</v>
      </c>
      <c r="C294" s="2">
        <v>-102.3703995</v>
      </c>
      <c r="D294" s="24">
        <f t="shared" si="1"/>
        <v>221739.1304</v>
      </c>
      <c r="E294" s="25">
        <f t="shared" si="2"/>
        <v>-47.75139887</v>
      </c>
      <c r="F294" s="24">
        <f t="shared" si="3"/>
        <v>0.0002153494459</v>
      </c>
      <c r="G294" s="24">
        <f t="shared" si="4"/>
        <v>0</v>
      </c>
      <c r="H294" s="26">
        <f t="shared" si="5"/>
        <v>0</v>
      </c>
      <c r="I294" s="24">
        <f t="shared" si="6"/>
        <v>0</v>
      </c>
      <c r="J294" s="24">
        <f t="shared" si="7"/>
        <v>0</v>
      </c>
      <c r="K294" s="24"/>
      <c r="L294" s="24">
        <f t="shared" si="8"/>
        <v>440.6220405</v>
      </c>
      <c r="M294" s="14">
        <f t="shared" si="9"/>
        <v>410.7426015</v>
      </c>
      <c r="N294" s="27">
        <f t="shared" si="10"/>
        <v>29.879439</v>
      </c>
      <c r="O294" s="24"/>
      <c r="P294" s="24"/>
      <c r="Q294" s="24"/>
      <c r="R294" s="26"/>
      <c r="S294" s="14">
        <f t="shared" si="13"/>
        <v>27.43817322</v>
      </c>
      <c r="U294" s="21"/>
      <c r="V294" s="21"/>
    </row>
    <row r="295">
      <c r="A295" s="11">
        <v>283.0</v>
      </c>
      <c r="B295" s="11">
        <v>1.42062608695652E9</v>
      </c>
      <c r="C295" s="2">
        <v>-102.3161163</v>
      </c>
      <c r="D295" s="24">
        <f t="shared" si="1"/>
        <v>226086.9565</v>
      </c>
      <c r="E295" s="25">
        <f t="shared" si="2"/>
        <v>-48.669695</v>
      </c>
      <c r="F295" s="24">
        <f t="shared" si="3"/>
        <v>0.0002152698048</v>
      </c>
      <c r="G295" s="24">
        <f t="shared" si="4"/>
        <v>0</v>
      </c>
      <c r="H295" s="26">
        <f t="shared" si="5"/>
        <v>0</v>
      </c>
      <c r="I295" s="24">
        <f t="shared" si="6"/>
        <v>0</v>
      </c>
      <c r="J295" s="24">
        <f t="shared" si="7"/>
        <v>0</v>
      </c>
      <c r="K295" s="24"/>
      <c r="L295" s="24">
        <f t="shared" si="8"/>
        <v>446.1640126</v>
      </c>
      <c r="M295" s="14">
        <f t="shared" si="9"/>
        <v>410.6687339</v>
      </c>
      <c r="N295" s="27">
        <f t="shared" si="10"/>
        <v>35.49527873</v>
      </c>
      <c r="O295" s="24"/>
      <c r="P295" s="24"/>
      <c r="Q295" s="24"/>
      <c r="R295" s="26"/>
      <c r="S295" s="14">
        <f t="shared" si="13"/>
        <v>32.59517719</v>
      </c>
      <c r="U295" s="21"/>
      <c r="V295" s="21"/>
    </row>
    <row r="296">
      <c r="A296" s="11">
        <v>284.0</v>
      </c>
      <c r="B296" s="11">
        <v>1.4206304347826E9</v>
      </c>
      <c r="C296" s="2">
        <v>-102.3335648</v>
      </c>
      <c r="D296" s="24">
        <f t="shared" si="1"/>
        <v>230434.7826</v>
      </c>
      <c r="E296" s="25">
        <f t="shared" si="2"/>
        <v>-49.58799113</v>
      </c>
      <c r="F296" s="24">
        <f t="shared" si="3"/>
        <v>0.0002151931691</v>
      </c>
      <c r="G296" s="24">
        <f t="shared" si="4"/>
        <v>0</v>
      </c>
      <c r="H296" s="26">
        <f t="shared" si="5"/>
        <v>0</v>
      </c>
      <c r="I296" s="24">
        <f t="shared" si="6"/>
        <v>0</v>
      </c>
      <c r="J296" s="24">
        <f t="shared" si="7"/>
        <v>0</v>
      </c>
      <c r="K296" s="24"/>
      <c r="L296" s="24">
        <f t="shared" si="8"/>
        <v>444.3750709</v>
      </c>
      <c r="M296" s="14">
        <f t="shared" si="9"/>
        <v>410.5949149</v>
      </c>
      <c r="N296" s="27">
        <f t="shared" si="10"/>
        <v>33.78015606</v>
      </c>
      <c r="O296" s="24"/>
      <c r="P296" s="24"/>
      <c r="Q296" s="24"/>
      <c r="R296" s="26"/>
      <c r="S296" s="14">
        <f t="shared" si="13"/>
        <v>31.02018668</v>
      </c>
      <c r="U296" s="21"/>
      <c r="V296" s="21"/>
    </row>
    <row r="297">
      <c r="A297" s="11">
        <v>285.0</v>
      </c>
      <c r="B297" s="11">
        <v>1.42063478260869E9</v>
      </c>
      <c r="C297" s="2">
        <v>-102.3594208</v>
      </c>
      <c r="D297" s="24">
        <f t="shared" si="1"/>
        <v>234782.6087</v>
      </c>
      <c r="E297" s="25">
        <f t="shared" si="2"/>
        <v>-50.50628727</v>
      </c>
      <c r="F297" s="24">
        <f t="shared" si="3"/>
        <v>0.0002151193717</v>
      </c>
      <c r="G297" s="24">
        <f t="shared" si="4"/>
        <v>0</v>
      </c>
      <c r="H297" s="26">
        <f t="shared" si="5"/>
        <v>0</v>
      </c>
      <c r="I297" s="24">
        <f t="shared" si="6"/>
        <v>0</v>
      </c>
      <c r="J297" s="24">
        <f t="shared" si="7"/>
        <v>0</v>
      </c>
      <c r="K297" s="24"/>
      <c r="L297" s="24">
        <f t="shared" si="8"/>
        <v>441.7373153</v>
      </c>
      <c r="M297" s="14">
        <f t="shared" si="9"/>
        <v>410.5211422</v>
      </c>
      <c r="N297" s="27">
        <f t="shared" si="10"/>
        <v>31.21617306</v>
      </c>
      <c r="O297" s="24"/>
      <c r="P297" s="24"/>
      <c r="Q297" s="24"/>
      <c r="R297" s="26"/>
      <c r="S297" s="14">
        <f t="shared" si="13"/>
        <v>28.66569101</v>
      </c>
      <c r="U297" s="21"/>
      <c r="V297" s="21"/>
    </row>
    <row r="298">
      <c r="A298" s="11">
        <v>286.0</v>
      </c>
      <c r="B298" s="11">
        <v>1.42063913043478E9</v>
      </c>
      <c r="C298" s="2">
        <v>-102.3233414</v>
      </c>
      <c r="D298" s="24">
        <f t="shared" si="1"/>
        <v>239130.4348</v>
      </c>
      <c r="E298" s="25">
        <f t="shared" si="2"/>
        <v>-51.4245834</v>
      </c>
      <c r="F298" s="24">
        <f t="shared" si="3"/>
        <v>0.0002150482579</v>
      </c>
      <c r="G298" s="24">
        <f t="shared" si="4"/>
        <v>0</v>
      </c>
      <c r="H298" s="26">
        <f t="shared" si="5"/>
        <v>0</v>
      </c>
      <c r="I298" s="24">
        <f t="shared" si="6"/>
        <v>0</v>
      </c>
      <c r="J298" s="24">
        <f t="shared" si="7"/>
        <v>0</v>
      </c>
      <c r="K298" s="24"/>
      <c r="L298" s="24">
        <f t="shared" si="8"/>
        <v>445.4223731</v>
      </c>
      <c r="M298" s="14">
        <f t="shared" si="9"/>
        <v>410.4474139</v>
      </c>
      <c r="N298" s="27">
        <f t="shared" si="10"/>
        <v>34.97495922</v>
      </c>
      <c r="O298" s="24"/>
      <c r="P298" s="24"/>
      <c r="Q298" s="24"/>
      <c r="R298" s="26"/>
      <c r="S298" s="14">
        <f t="shared" si="13"/>
        <v>32.11736972</v>
      </c>
      <c r="U298" s="21"/>
      <c r="V298" s="21"/>
    </row>
    <row r="299">
      <c r="A299" s="11">
        <v>287.0</v>
      </c>
      <c r="B299" s="11">
        <v>1.42064347826087E9</v>
      </c>
      <c r="C299" s="2">
        <v>-102.3809586</v>
      </c>
      <c r="D299" s="24">
        <f t="shared" si="1"/>
        <v>243478.2609</v>
      </c>
      <c r="E299" s="25">
        <f t="shared" si="2"/>
        <v>-52.34287953</v>
      </c>
      <c r="F299" s="24">
        <f t="shared" si="3"/>
        <v>0.0002149796838</v>
      </c>
      <c r="G299" s="24">
        <f t="shared" si="4"/>
        <v>0</v>
      </c>
      <c r="H299" s="26">
        <f t="shared" si="5"/>
        <v>0</v>
      </c>
      <c r="I299" s="24">
        <f t="shared" si="6"/>
        <v>0</v>
      </c>
      <c r="J299" s="24">
        <f t="shared" si="7"/>
        <v>0</v>
      </c>
      <c r="K299" s="24"/>
      <c r="L299" s="24">
        <f t="shared" si="8"/>
        <v>439.5520475</v>
      </c>
      <c r="M299" s="14">
        <f t="shared" si="9"/>
        <v>410.3737276</v>
      </c>
      <c r="N299" s="27">
        <f t="shared" si="10"/>
        <v>29.17831992</v>
      </c>
      <c r="O299" s="24"/>
      <c r="P299" s="24"/>
      <c r="Q299" s="24"/>
      <c r="R299" s="26"/>
      <c r="S299" s="14">
        <f t="shared" si="13"/>
        <v>26.79433834</v>
      </c>
      <c r="U299" s="21"/>
      <c r="V299" s="21"/>
    </row>
    <row r="300">
      <c r="A300" s="11">
        <v>288.0</v>
      </c>
      <c r="B300" s="11">
        <v>1.42064782608695E9</v>
      </c>
      <c r="C300" s="2">
        <v>-102.4233398</v>
      </c>
      <c r="D300" s="24">
        <f t="shared" si="1"/>
        <v>247826.087</v>
      </c>
      <c r="E300" s="25">
        <f t="shared" si="2"/>
        <v>-53.26117566</v>
      </c>
      <c r="F300" s="24">
        <f t="shared" si="3"/>
        <v>0.0002149135158</v>
      </c>
      <c r="G300" s="24">
        <f t="shared" si="4"/>
        <v>0</v>
      </c>
      <c r="H300" s="26">
        <f t="shared" si="5"/>
        <v>0</v>
      </c>
      <c r="I300" s="24">
        <f t="shared" si="6"/>
        <v>0</v>
      </c>
      <c r="J300" s="24">
        <f t="shared" si="7"/>
        <v>0</v>
      </c>
      <c r="K300" s="24"/>
      <c r="L300" s="24">
        <f t="shared" si="8"/>
        <v>435.2834824</v>
      </c>
      <c r="M300" s="14">
        <f t="shared" si="9"/>
        <v>410.3000812</v>
      </c>
      <c r="N300" s="27">
        <f t="shared" si="10"/>
        <v>24.98340123</v>
      </c>
      <c r="O300" s="24"/>
      <c r="P300" s="24"/>
      <c r="Q300" s="24"/>
      <c r="R300" s="26"/>
      <c r="S300" s="14">
        <f t="shared" si="13"/>
        <v>22.94216073</v>
      </c>
      <c r="U300" s="21"/>
      <c r="V300" s="21"/>
    </row>
    <row r="301">
      <c r="A301" s="11">
        <v>289.0</v>
      </c>
      <c r="B301" s="11">
        <v>1.42065217391304E9</v>
      </c>
      <c r="C301" s="2">
        <v>-102.359375</v>
      </c>
      <c r="D301" s="24">
        <f t="shared" si="1"/>
        <v>252173.913</v>
      </c>
      <c r="E301" s="25">
        <f t="shared" si="2"/>
        <v>-54.1794718</v>
      </c>
      <c r="F301" s="24">
        <f t="shared" si="3"/>
        <v>0.0002148496295</v>
      </c>
      <c r="G301" s="24">
        <f t="shared" si="4"/>
        <v>0</v>
      </c>
      <c r="H301" s="26">
        <f t="shared" si="5"/>
        <v>0</v>
      </c>
      <c r="I301" s="24">
        <f t="shared" si="6"/>
        <v>0</v>
      </c>
      <c r="J301" s="24">
        <f t="shared" si="7"/>
        <v>0</v>
      </c>
      <c r="K301" s="24"/>
      <c r="L301" s="24">
        <f t="shared" si="8"/>
        <v>441.7419738</v>
      </c>
      <c r="M301" s="14">
        <f t="shared" si="9"/>
        <v>410.2264725</v>
      </c>
      <c r="N301" s="27">
        <f t="shared" si="10"/>
        <v>31.51550134</v>
      </c>
      <c r="O301" s="24"/>
      <c r="P301" s="24"/>
      <c r="Q301" s="24"/>
      <c r="R301" s="26"/>
      <c r="S301" s="14">
        <f t="shared" si="13"/>
        <v>28.94056294</v>
      </c>
      <c r="U301" s="21"/>
      <c r="V301" s="21"/>
    </row>
    <row r="302">
      <c r="A302" s="11">
        <v>290.0</v>
      </c>
      <c r="B302" s="11">
        <v>1.42065652173913E9</v>
      </c>
      <c r="C302" s="2">
        <v>-102.3456345</v>
      </c>
      <c r="D302" s="24">
        <f t="shared" si="1"/>
        <v>256521.7391</v>
      </c>
      <c r="E302" s="25">
        <f t="shared" si="2"/>
        <v>-55.09776793</v>
      </c>
      <c r="F302" s="24">
        <f t="shared" si="3"/>
        <v>0.0002147879089</v>
      </c>
      <c r="G302" s="24">
        <f t="shared" si="4"/>
        <v>0</v>
      </c>
      <c r="H302" s="26">
        <f t="shared" si="5"/>
        <v>0</v>
      </c>
      <c r="I302" s="24">
        <f t="shared" si="6"/>
        <v>0</v>
      </c>
      <c r="J302" s="24">
        <f t="shared" si="7"/>
        <v>0</v>
      </c>
      <c r="K302" s="24"/>
      <c r="L302" s="24">
        <f t="shared" si="8"/>
        <v>443.1418</v>
      </c>
      <c r="M302" s="14">
        <f t="shared" si="9"/>
        <v>410.1528993</v>
      </c>
      <c r="N302" s="27">
        <f t="shared" si="10"/>
        <v>32.98890062</v>
      </c>
      <c r="O302" s="24"/>
      <c r="P302" s="24"/>
      <c r="Q302" s="24"/>
      <c r="R302" s="26"/>
      <c r="S302" s="14">
        <f t="shared" si="13"/>
        <v>30.29357987</v>
      </c>
      <c r="U302" s="21"/>
      <c r="V302" s="21"/>
    </row>
    <row r="303">
      <c r="A303" s="11">
        <v>291.0</v>
      </c>
      <c r="B303" s="11">
        <v>1.42066086956521E9</v>
      </c>
      <c r="C303" s="2">
        <v>-102.3146973</v>
      </c>
      <c r="D303" s="24">
        <f t="shared" si="1"/>
        <v>260869.5652</v>
      </c>
      <c r="E303" s="25">
        <f t="shared" si="2"/>
        <v>-56.01606406</v>
      </c>
      <c r="F303" s="24">
        <f t="shared" si="3"/>
        <v>0.0002147282456</v>
      </c>
      <c r="G303" s="24">
        <f t="shared" si="4"/>
        <v>0</v>
      </c>
      <c r="H303" s="26">
        <f t="shared" si="5"/>
        <v>0</v>
      </c>
      <c r="I303" s="24">
        <f t="shared" si="6"/>
        <v>0</v>
      </c>
      <c r="J303" s="24">
        <f t="shared" si="7"/>
        <v>0</v>
      </c>
      <c r="K303" s="24"/>
      <c r="L303" s="24">
        <f t="shared" si="8"/>
        <v>446.3098147</v>
      </c>
      <c r="M303" s="14">
        <f t="shared" si="9"/>
        <v>410.0793596</v>
      </c>
      <c r="N303" s="27">
        <f t="shared" si="10"/>
        <v>36.23045511</v>
      </c>
      <c r="O303" s="24"/>
      <c r="P303" s="24"/>
      <c r="Q303" s="24"/>
      <c r="R303" s="26"/>
      <c r="S303" s="14">
        <f t="shared" si="13"/>
        <v>33.27028681</v>
      </c>
      <c r="U303" s="21"/>
      <c r="V303" s="21"/>
    </row>
    <row r="304">
      <c r="A304" s="11">
        <v>292.0</v>
      </c>
      <c r="B304" s="11">
        <v>1.4206652173913E9</v>
      </c>
      <c r="C304" s="2">
        <v>-102.3529587</v>
      </c>
      <c r="D304" s="24">
        <f t="shared" si="1"/>
        <v>265217.3913</v>
      </c>
      <c r="E304" s="25">
        <f t="shared" si="2"/>
        <v>-56.93436019</v>
      </c>
      <c r="F304" s="24">
        <f t="shared" si="3"/>
        <v>0.0002146705384</v>
      </c>
      <c r="G304" s="24">
        <f t="shared" si="4"/>
        <v>0</v>
      </c>
      <c r="H304" s="26">
        <f t="shared" si="5"/>
        <v>0</v>
      </c>
      <c r="I304" s="24">
        <f t="shared" si="6"/>
        <v>0</v>
      </c>
      <c r="J304" s="24">
        <f t="shared" si="7"/>
        <v>0</v>
      </c>
      <c r="K304" s="24"/>
      <c r="L304" s="24">
        <f t="shared" si="8"/>
        <v>442.3950891</v>
      </c>
      <c r="M304" s="14">
        <f t="shared" si="9"/>
        <v>410.005851</v>
      </c>
      <c r="N304" s="27">
        <f t="shared" si="10"/>
        <v>32.38923816</v>
      </c>
      <c r="O304" s="24"/>
      <c r="P304" s="24"/>
      <c r="Q304" s="24"/>
      <c r="R304" s="26"/>
      <c r="S304" s="14">
        <f t="shared" si="13"/>
        <v>29.74291208</v>
      </c>
      <c r="U304" s="21"/>
      <c r="V304" s="21"/>
    </row>
    <row r="305">
      <c r="A305" s="11">
        <v>293.0</v>
      </c>
      <c r="B305" s="11">
        <v>1.42066956521739E9</v>
      </c>
      <c r="C305" s="2">
        <v>-102.3773575</v>
      </c>
      <c r="D305" s="24">
        <f t="shared" si="1"/>
        <v>269565.2174</v>
      </c>
      <c r="E305" s="25">
        <f t="shared" si="2"/>
        <v>-57.85265632</v>
      </c>
      <c r="F305" s="24">
        <f t="shared" si="3"/>
        <v>0.0002146146928</v>
      </c>
      <c r="G305" s="24">
        <f t="shared" si="4"/>
        <v>0</v>
      </c>
      <c r="H305" s="26">
        <f t="shared" si="5"/>
        <v>0</v>
      </c>
      <c r="I305" s="24">
        <f t="shared" si="6"/>
        <v>0</v>
      </c>
      <c r="J305" s="24">
        <f t="shared" si="7"/>
        <v>0</v>
      </c>
      <c r="K305" s="24"/>
      <c r="L305" s="24">
        <f t="shared" si="8"/>
        <v>439.9166681</v>
      </c>
      <c r="M305" s="14">
        <f t="shared" si="9"/>
        <v>409.9323714</v>
      </c>
      <c r="N305" s="27">
        <f t="shared" si="10"/>
        <v>29.9842967</v>
      </c>
      <c r="O305" s="24"/>
      <c r="P305" s="24"/>
      <c r="Q305" s="24"/>
      <c r="R305" s="26"/>
      <c r="S305" s="14">
        <f t="shared" si="13"/>
        <v>27.53446371</v>
      </c>
      <c r="U305" s="21"/>
      <c r="V305" s="21"/>
    </row>
    <row r="306">
      <c r="A306" s="11">
        <v>294.0</v>
      </c>
      <c r="B306" s="11">
        <v>1.42067391304347E9</v>
      </c>
      <c r="C306" s="2">
        <v>-102.391304</v>
      </c>
      <c r="D306" s="24">
        <f t="shared" si="1"/>
        <v>273913.0435</v>
      </c>
      <c r="E306" s="25">
        <f t="shared" si="2"/>
        <v>-58.77095246</v>
      </c>
      <c r="F306" s="24">
        <f t="shared" si="3"/>
        <v>0.0002145606201</v>
      </c>
      <c r="G306" s="24">
        <f t="shared" si="4"/>
        <v>0</v>
      </c>
      <c r="H306" s="26">
        <f t="shared" si="5"/>
        <v>0</v>
      </c>
      <c r="I306" s="24">
        <f t="shared" si="6"/>
        <v>0</v>
      </c>
      <c r="J306" s="24">
        <f t="shared" si="7"/>
        <v>0</v>
      </c>
      <c r="K306" s="24"/>
      <c r="L306" s="24">
        <f t="shared" si="8"/>
        <v>438.5062295</v>
      </c>
      <c r="M306" s="14">
        <f t="shared" si="9"/>
        <v>409.8589187</v>
      </c>
      <c r="N306" s="27">
        <f t="shared" si="10"/>
        <v>28.64731078</v>
      </c>
      <c r="O306" s="24"/>
      <c r="P306" s="24"/>
      <c r="Q306" s="24"/>
      <c r="R306" s="26"/>
      <c r="S306" s="14">
        <f t="shared" si="13"/>
        <v>26.30671471</v>
      </c>
      <c r="U306" s="21"/>
      <c r="V306" s="21"/>
    </row>
    <row r="307">
      <c r="A307" s="11">
        <v>295.0</v>
      </c>
      <c r="B307" s="11">
        <v>1.42067826086956E9</v>
      </c>
      <c r="C307" s="2">
        <v>-102.4158096</v>
      </c>
      <c r="D307" s="24">
        <f t="shared" si="1"/>
        <v>278260.8696</v>
      </c>
      <c r="E307" s="25">
        <f t="shared" si="2"/>
        <v>-59.68924859</v>
      </c>
      <c r="F307" s="24">
        <f t="shared" si="3"/>
        <v>0.0002145082371</v>
      </c>
      <c r="G307" s="24">
        <f t="shared" si="4"/>
        <v>0</v>
      </c>
      <c r="H307" s="26">
        <f t="shared" si="5"/>
        <v>0</v>
      </c>
      <c r="I307" s="24">
        <f t="shared" si="6"/>
        <v>0</v>
      </c>
      <c r="J307" s="24">
        <f t="shared" si="7"/>
        <v>0</v>
      </c>
      <c r="K307" s="24"/>
      <c r="L307" s="24">
        <f t="shared" si="8"/>
        <v>436.0388719</v>
      </c>
      <c r="M307" s="14">
        <f t="shared" si="9"/>
        <v>409.7854906</v>
      </c>
      <c r="N307" s="27">
        <f t="shared" si="10"/>
        <v>26.25338127</v>
      </c>
      <c r="O307" s="24"/>
      <c r="P307" s="24"/>
      <c r="Q307" s="24"/>
      <c r="R307" s="26"/>
      <c r="S307" s="14">
        <f t="shared" si="13"/>
        <v>24.10837843</v>
      </c>
      <c r="U307" s="21"/>
      <c r="V307" s="21"/>
    </row>
    <row r="308">
      <c r="A308" s="11">
        <v>296.0</v>
      </c>
      <c r="B308" s="11">
        <v>1.42068260869565E9</v>
      </c>
      <c r="C308" s="2">
        <v>-102.3939743</v>
      </c>
      <c r="D308" s="24">
        <f t="shared" si="1"/>
        <v>282608.6957</v>
      </c>
      <c r="E308" s="25">
        <f t="shared" si="2"/>
        <v>-60.60754472</v>
      </c>
      <c r="F308" s="24">
        <f t="shared" si="3"/>
        <v>0.0002144574659</v>
      </c>
      <c r="G308" s="24">
        <f t="shared" si="4"/>
        <v>0</v>
      </c>
      <c r="H308" s="26">
        <f t="shared" si="5"/>
        <v>0</v>
      </c>
      <c r="I308" s="24">
        <f t="shared" si="6"/>
        <v>0</v>
      </c>
      <c r="J308" s="24">
        <f t="shared" si="7"/>
        <v>0</v>
      </c>
      <c r="K308" s="24"/>
      <c r="L308" s="24">
        <f t="shared" si="8"/>
        <v>438.2366927</v>
      </c>
      <c r="M308" s="14">
        <f t="shared" si="9"/>
        <v>409.7120851</v>
      </c>
      <c r="N308" s="27">
        <f t="shared" si="10"/>
        <v>28.52460765</v>
      </c>
      <c r="O308" s="24"/>
      <c r="P308" s="24"/>
      <c r="Q308" s="24"/>
      <c r="R308" s="26"/>
      <c r="S308" s="14">
        <f t="shared" si="13"/>
        <v>26.19403689</v>
      </c>
      <c r="U308" s="21"/>
      <c r="V308" s="21"/>
    </row>
    <row r="309">
      <c r="A309" s="11">
        <v>297.0</v>
      </c>
      <c r="B309" s="11">
        <v>1.42068695652173E9</v>
      </c>
      <c r="C309" s="2">
        <v>-102.4475174</v>
      </c>
      <c r="D309" s="24">
        <f t="shared" si="1"/>
        <v>286956.5217</v>
      </c>
      <c r="E309" s="25">
        <f t="shared" si="2"/>
        <v>-61.52584085</v>
      </c>
      <c r="F309" s="24">
        <f t="shared" si="3"/>
        <v>0.0002144082333</v>
      </c>
      <c r="G309" s="24">
        <f t="shared" si="4"/>
        <v>0</v>
      </c>
      <c r="H309" s="26">
        <f t="shared" si="5"/>
        <v>0</v>
      </c>
      <c r="I309" s="24">
        <f t="shared" si="6"/>
        <v>0</v>
      </c>
      <c r="J309" s="24">
        <f t="shared" si="7"/>
        <v>0</v>
      </c>
      <c r="K309" s="24"/>
      <c r="L309" s="24">
        <f t="shared" si="8"/>
        <v>432.8669493</v>
      </c>
      <c r="M309" s="14">
        <f t="shared" si="9"/>
        <v>409.6386998</v>
      </c>
      <c r="N309" s="27">
        <f t="shared" si="10"/>
        <v>23.2282495</v>
      </c>
      <c r="O309" s="24"/>
      <c r="P309" s="24"/>
      <c r="Q309" s="24"/>
      <c r="R309" s="26"/>
      <c r="S309" s="14">
        <f t="shared" si="13"/>
        <v>21.33041168</v>
      </c>
      <c r="U309" s="21"/>
      <c r="V309" s="21"/>
    </row>
    <row r="310">
      <c r="A310" s="11">
        <v>298.0</v>
      </c>
      <c r="B310" s="11">
        <v>1.42069130434782E9</v>
      </c>
      <c r="C310" s="2">
        <v>-102.4066544</v>
      </c>
      <c r="D310" s="24">
        <f t="shared" si="1"/>
        <v>291304.3478</v>
      </c>
      <c r="E310" s="25">
        <f t="shared" si="2"/>
        <v>-62.44413698</v>
      </c>
      <c r="F310" s="24">
        <f t="shared" si="3"/>
        <v>0.0002143604703</v>
      </c>
      <c r="G310" s="24">
        <f t="shared" si="4"/>
        <v>0</v>
      </c>
      <c r="H310" s="26">
        <f t="shared" si="5"/>
        <v>0</v>
      </c>
      <c r="I310" s="24">
        <f t="shared" si="6"/>
        <v>0</v>
      </c>
      <c r="J310" s="24">
        <f t="shared" si="7"/>
        <v>0</v>
      </c>
      <c r="K310" s="24"/>
      <c r="L310" s="24">
        <f t="shared" si="8"/>
        <v>436.9590387</v>
      </c>
      <c r="M310" s="14">
        <f t="shared" si="9"/>
        <v>409.5653327</v>
      </c>
      <c r="N310" s="27">
        <f t="shared" si="10"/>
        <v>27.39370604</v>
      </c>
      <c r="O310" s="24"/>
      <c r="P310" s="24"/>
      <c r="Q310" s="24"/>
      <c r="R310" s="26"/>
      <c r="S310" s="14">
        <f t="shared" si="13"/>
        <v>25.15553432</v>
      </c>
      <c r="U310" s="21"/>
      <c r="V310" s="21"/>
    </row>
    <row r="311">
      <c r="A311" s="11">
        <v>299.0</v>
      </c>
      <c r="B311" s="11">
        <v>1.42069565217391E9</v>
      </c>
      <c r="C311" s="2">
        <v>-102.3502731</v>
      </c>
      <c r="D311" s="24">
        <f t="shared" si="1"/>
        <v>295652.1739</v>
      </c>
      <c r="E311" s="25">
        <f t="shared" si="2"/>
        <v>-63.36243312</v>
      </c>
      <c r="F311" s="24">
        <f t="shared" si="3"/>
        <v>0.000214314112</v>
      </c>
      <c r="G311" s="24">
        <f t="shared" si="4"/>
        <v>0</v>
      </c>
      <c r="H311" s="26">
        <f t="shared" si="5"/>
        <v>0</v>
      </c>
      <c r="I311" s="24">
        <f t="shared" si="6"/>
        <v>0</v>
      </c>
      <c r="J311" s="24">
        <f t="shared" si="7"/>
        <v>0</v>
      </c>
      <c r="K311" s="24"/>
      <c r="L311" s="24">
        <f t="shared" si="8"/>
        <v>442.668743</v>
      </c>
      <c r="M311" s="14">
        <f t="shared" si="9"/>
        <v>409.4919815</v>
      </c>
      <c r="N311" s="27">
        <f t="shared" si="10"/>
        <v>33.17676149</v>
      </c>
      <c r="O311" s="24"/>
      <c r="P311" s="24"/>
      <c r="Q311" s="24"/>
      <c r="R311" s="26"/>
      <c r="S311" s="14">
        <f t="shared" si="13"/>
        <v>30.4660917</v>
      </c>
      <c r="U311" s="21"/>
      <c r="V311" s="21"/>
    </row>
    <row r="312">
      <c r="A312" s="11">
        <v>300.0</v>
      </c>
      <c r="B312" s="11">
        <v>1.4207E9</v>
      </c>
      <c r="C312" s="2">
        <v>-102.3327484</v>
      </c>
      <c r="D312" s="24">
        <f t="shared" si="1"/>
        <v>300000</v>
      </c>
      <c r="E312" s="25">
        <f t="shared" si="2"/>
        <v>-64.28072925</v>
      </c>
      <c r="F312" s="24">
        <f t="shared" si="3"/>
        <v>0.0002142690975</v>
      </c>
      <c r="G312" s="24">
        <f t="shared" si="4"/>
        <v>0</v>
      </c>
      <c r="H312" s="26">
        <f t="shared" si="5"/>
        <v>0</v>
      </c>
      <c r="I312" s="24">
        <f t="shared" si="6"/>
        <v>0</v>
      </c>
      <c r="J312" s="24">
        <f t="shared" si="7"/>
        <v>0</v>
      </c>
      <c r="K312" s="24"/>
      <c r="L312" s="24">
        <f t="shared" si="8"/>
        <v>444.4586137</v>
      </c>
      <c r="M312" s="14">
        <f t="shared" si="9"/>
        <v>409.4186442</v>
      </c>
      <c r="N312" s="27">
        <f t="shared" si="10"/>
        <v>35.03996959</v>
      </c>
      <c r="O312" s="24"/>
      <c r="P312" s="24"/>
      <c r="Q312" s="24"/>
      <c r="R312" s="26"/>
      <c r="S312" s="14">
        <f t="shared" si="13"/>
        <v>32.17706857</v>
      </c>
      <c r="U312" s="21"/>
      <c r="V312" s="21"/>
    </row>
    <row r="313">
      <c r="A313" s="11">
        <v>301.0</v>
      </c>
      <c r="B313" s="11">
        <v>1.42070434782608E9</v>
      </c>
      <c r="C313" s="2">
        <v>-102.3991394</v>
      </c>
      <c r="D313" s="24">
        <f t="shared" si="1"/>
        <v>304347.8261</v>
      </c>
      <c r="E313" s="25">
        <f t="shared" si="2"/>
        <v>-65.19902538</v>
      </c>
      <c r="F313" s="24">
        <f t="shared" si="3"/>
        <v>0.0002142253691</v>
      </c>
      <c r="G313" s="24">
        <f t="shared" si="4"/>
        <v>0</v>
      </c>
      <c r="H313" s="26">
        <f t="shared" si="5"/>
        <v>0</v>
      </c>
      <c r="I313" s="24">
        <f t="shared" si="6"/>
        <v>0</v>
      </c>
      <c r="J313" s="24">
        <f t="shared" si="7"/>
        <v>0</v>
      </c>
      <c r="K313" s="24"/>
      <c r="L313" s="24">
        <f t="shared" si="8"/>
        <v>437.715804</v>
      </c>
      <c r="M313" s="14">
        <f t="shared" si="9"/>
        <v>409.3453184</v>
      </c>
      <c r="N313" s="27">
        <f t="shared" si="10"/>
        <v>28.37048562</v>
      </c>
      <c r="O313" s="24"/>
      <c r="P313" s="24"/>
      <c r="Q313" s="24"/>
      <c r="R313" s="26"/>
      <c r="S313" s="14">
        <f t="shared" si="13"/>
        <v>26.05250723</v>
      </c>
      <c r="U313" s="21"/>
      <c r="V313" s="21"/>
    </row>
    <row r="314">
      <c r="A314" s="11">
        <v>302.0</v>
      </c>
      <c r="B314" s="11">
        <v>1.42070869565217E9</v>
      </c>
      <c r="C314" s="2">
        <v>-102.3916092</v>
      </c>
      <c r="D314" s="24">
        <f t="shared" si="1"/>
        <v>308695.6522</v>
      </c>
      <c r="E314" s="25">
        <f t="shared" si="2"/>
        <v>-66.11732151</v>
      </c>
      <c r="F314" s="24">
        <f t="shared" si="3"/>
        <v>0.0002141828725</v>
      </c>
      <c r="G314" s="24">
        <f t="shared" si="4"/>
        <v>0</v>
      </c>
      <c r="H314" s="26">
        <f t="shared" si="5"/>
        <v>0</v>
      </c>
      <c r="I314" s="24">
        <f t="shared" si="6"/>
        <v>0</v>
      </c>
      <c r="J314" s="24">
        <f t="shared" si="7"/>
        <v>0</v>
      </c>
      <c r="K314" s="24"/>
      <c r="L314" s="24">
        <f t="shared" si="8"/>
        <v>438.4754146</v>
      </c>
      <c r="M314" s="14">
        <f t="shared" si="9"/>
        <v>409.2720021</v>
      </c>
      <c r="N314" s="27">
        <f t="shared" si="10"/>
        <v>29.20341251</v>
      </c>
      <c r="O314" s="24"/>
      <c r="P314" s="24"/>
      <c r="Q314" s="24"/>
      <c r="R314" s="26"/>
      <c r="S314" s="14">
        <f t="shared" si="13"/>
        <v>26.81738071</v>
      </c>
      <c r="U314" s="21"/>
      <c r="V314" s="21"/>
    </row>
    <row r="315">
      <c r="A315" s="11">
        <v>303.0</v>
      </c>
      <c r="B315" s="11">
        <v>1.42071304347826E9</v>
      </c>
      <c r="C315" s="2">
        <v>-102.4367142</v>
      </c>
      <c r="D315" s="24">
        <f t="shared" si="1"/>
        <v>313043.4783</v>
      </c>
      <c r="E315" s="25">
        <f t="shared" si="2"/>
        <v>-67.03561764</v>
      </c>
      <c r="F315" s="24">
        <f t="shared" si="3"/>
        <v>0.0002141415564</v>
      </c>
      <c r="G315" s="24">
        <f t="shared" si="4"/>
        <v>0</v>
      </c>
      <c r="H315" s="26">
        <f t="shared" si="5"/>
        <v>0</v>
      </c>
      <c r="I315" s="24">
        <f t="shared" si="6"/>
        <v>0</v>
      </c>
      <c r="J315" s="24">
        <f t="shared" si="7"/>
        <v>0</v>
      </c>
      <c r="K315" s="24"/>
      <c r="L315" s="24">
        <f t="shared" si="8"/>
        <v>433.9450586</v>
      </c>
      <c r="M315" s="14">
        <f t="shared" si="9"/>
        <v>409.198693</v>
      </c>
      <c r="N315" s="27">
        <f t="shared" si="10"/>
        <v>24.74636563</v>
      </c>
      <c r="O315" s="24"/>
      <c r="P315" s="24"/>
      <c r="Q315" s="24"/>
      <c r="R315" s="26"/>
      <c r="S315" s="14">
        <f t="shared" si="13"/>
        <v>22.72449186</v>
      </c>
      <c r="U315" s="21"/>
      <c r="V315" s="21"/>
    </row>
    <row r="316">
      <c r="A316" s="11">
        <v>304.0</v>
      </c>
      <c r="B316" s="11">
        <v>1.42071739130434E9</v>
      </c>
      <c r="C316" s="2">
        <v>-102.4298477</v>
      </c>
      <c r="D316" s="24">
        <f t="shared" si="1"/>
        <v>317391.3043</v>
      </c>
      <c r="E316" s="25">
        <f t="shared" si="2"/>
        <v>-67.95391378</v>
      </c>
      <c r="F316" s="24">
        <f t="shared" si="3"/>
        <v>0.0002141013722</v>
      </c>
      <c r="G316" s="24">
        <f t="shared" si="4"/>
        <v>0</v>
      </c>
      <c r="H316" s="26">
        <f t="shared" si="5"/>
        <v>0</v>
      </c>
      <c r="I316" s="24">
        <f t="shared" si="6"/>
        <v>0</v>
      </c>
      <c r="J316" s="24">
        <f t="shared" si="7"/>
        <v>0</v>
      </c>
      <c r="K316" s="24"/>
      <c r="L316" s="24">
        <f t="shared" si="8"/>
        <v>434.6316988</v>
      </c>
      <c r="M316" s="14">
        <f t="shared" si="9"/>
        <v>409.125389</v>
      </c>
      <c r="N316" s="27">
        <f t="shared" si="10"/>
        <v>25.50630983</v>
      </c>
      <c r="O316" s="24"/>
      <c r="P316" s="24"/>
      <c r="Q316" s="24"/>
      <c r="R316" s="26"/>
      <c r="S316" s="14">
        <f t="shared" si="13"/>
        <v>23.42234568</v>
      </c>
      <c r="U316" s="21"/>
      <c r="V316" s="21"/>
    </row>
    <row r="317">
      <c r="A317" s="11">
        <v>305.0</v>
      </c>
      <c r="B317" s="11">
        <v>1.42072173913043E9</v>
      </c>
      <c r="C317" s="2">
        <v>-102.4202118</v>
      </c>
      <c r="D317" s="24">
        <f t="shared" si="1"/>
        <v>321739.1304</v>
      </c>
      <c r="E317" s="25">
        <f t="shared" si="2"/>
        <v>-68.87220991</v>
      </c>
      <c r="F317" s="24">
        <f t="shared" si="3"/>
        <v>0.000214062274</v>
      </c>
      <c r="G317" s="24">
        <f t="shared" si="4"/>
        <v>0</v>
      </c>
      <c r="H317" s="26">
        <f t="shared" si="5"/>
        <v>0</v>
      </c>
      <c r="I317" s="24">
        <f t="shared" si="6"/>
        <v>0</v>
      </c>
      <c r="J317" s="24">
        <f t="shared" si="7"/>
        <v>0</v>
      </c>
      <c r="K317" s="24"/>
      <c r="L317" s="24">
        <f t="shared" si="8"/>
        <v>435.5971076</v>
      </c>
      <c r="M317" s="14">
        <f t="shared" si="9"/>
        <v>409.0520879</v>
      </c>
      <c r="N317" s="27">
        <f t="shared" si="10"/>
        <v>26.54501971</v>
      </c>
      <c r="O317" s="24"/>
      <c r="P317" s="24"/>
      <c r="Q317" s="24"/>
      <c r="R317" s="26"/>
      <c r="S317" s="14">
        <f t="shared" si="13"/>
        <v>24.37618889</v>
      </c>
      <c r="U317" s="21"/>
      <c r="V317" s="21"/>
    </row>
    <row r="318">
      <c r="A318" s="11">
        <v>306.0</v>
      </c>
      <c r="B318" s="11">
        <v>1.42072608695652E9</v>
      </c>
      <c r="C318" s="2">
        <v>-102.4756775</v>
      </c>
      <c r="D318" s="24">
        <f t="shared" si="1"/>
        <v>326086.9565</v>
      </c>
      <c r="E318" s="25">
        <f t="shared" si="2"/>
        <v>-69.79050604</v>
      </c>
      <c r="F318" s="24">
        <f t="shared" si="3"/>
        <v>0.0002140242185</v>
      </c>
      <c r="G318" s="24">
        <f t="shared" si="4"/>
        <v>0</v>
      </c>
      <c r="H318" s="26">
        <f t="shared" si="5"/>
        <v>0</v>
      </c>
      <c r="I318" s="24">
        <f t="shared" si="6"/>
        <v>0</v>
      </c>
      <c r="J318" s="24">
        <f t="shared" si="7"/>
        <v>0</v>
      </c>
      <c r="K318" s="24"/>
      <c r="L318" s="24">
        <f t="shared" si="8"/>
        <v>430.0692756</v>
      </c>
      <c r="M318" s="14">
        <f t="shared" si="9"/>
        <v>408.9787876</v>
      </c>
      <c r="N318" s="27">
        <f t="shared" si="10"/>
        <v>21.09048799</v>
      </c>
      <c r="O318" s="24"/>
      <c r="P318" s="24"/>
      <c r="Q318" s="24"/>
      <c r="R318" s="26"/>
      <c r="S318" s="14">
        <f t="shared" si="13"/>
        <v>19.36731356</v>
      </c>
      <c r="U318" s="21"/>
      <c r="V318" s="21"/>
    </row>
    <row r="319">
      <c r="A319" s="11">
        <v>307.0</v>
      </c>
      <c r="B319" s="11">
        <v>1.4207304347826E9</v>
      </c>
      <c r="C319" s="2">
        <v>-102.3786926</v>
      </c>
      <c r="D319" s="24">
        <f t="shared" si="1"/>
        <v>330434.7826</v>
      </c>
      <c r="E319" s="25">
        <f t="shared" si="2"/>
        <v>-70.70880217</v>
      </c>
      <c r="F319" s="24">
        <f t="shared" si="3"/>
        <v>0.0002139871645</v>
      </c>
      <c r="G319" s="24">
        <f t="shared" si="4"/>
        <v>0</v>
      </c>
      <c r="H319" s="26">
        <f t="shared" si="5"/>
        <v>0</v>
      </c>
      <c r="I319" s="24">
        <f t="shared" si="6"/>
        <v>0</v>
      </c>
      <c r="J319" s="24">
        <f t="shared" si="7"/>
        <v>0</v>
      </c>
      <c r="K319" s="24"/>
      <c r="L319" s="24">
        <f t="shared" si="8"/>
        <v>439.7814505</v>
      </c>
      <c r="M319" s="14">
        <f t="shared" si="9"/>
        <v>408.9054858</v>
      </c>
      <c r="N319" s="27">
        <f t="shared" si="10"/>
        <v>30.87596475</v>
      </c>
      <c r="O319" s="24"/>
      <c r="P319" s="24"/>
      <c r="Q319" s="24"/>
      <c r="R319" s="26"/>
      <c r="S319" s="14">
        <f t="shared" si="13"/>
        <v>28.35327903</v>
      </c>
      <c r="U319" s="21"/>
      <c r="V319" s="21"/>
    </row>
    <row r="320">
      <c r="A320" s="11">
        <v>308.0</v>
      </c>
      <c r="B320" s="11">
        <v>1.42073478260869E9</v>
      </c>
      <c r="C320" s="2">
        <v>-102.4540634</v>
      </c>
      <c r="D320" s="24">
        <f t="shared" si="1"/>
        <v>334782.6087</v>
      </c>
      <c r="E320" s="25">
        <f t="shared" si="2"/>
        <v>-71.62709831</v>
      </c>
      <c r="F320" s="24">
        <f t="shared" si="3"/>
        <v>0.0002139510729</v>
      </c>
      <c r="G320" s="24">
        <f t="shared" si="4"/>
        <v>0</v>
      </c>
      <c r="H320" s="26">
        <f t="shared" si="5"/>
        <v>0</v>
      </c>
      <c r="I320" s="24">
        <f t="shared" si="6"/>
        <v>0</v>
      </c>
      <c r="J320" s="24">
        <f t="shared" si="7"/>
        <v>0</v>
      </c>
      <c r="K320" s="24"/>
      <c r="L320" s="24">
        <f t="shared" si="8"/>
        <v>432.2149924</v>
      </c>
      <c r="M320" s="14">
        <f t="shared" si="9"/>
        <v>408.8321804</v>
      </c>
      <c r="N320" s="27">
        <f t="shared" si="10"/>
        <v>23.38281207</v>
      </c>
      <c r="O320" s="24"/>
      <c r="P320" s="24"/>
      <c r="Q320" s="24"/>
      <c r="R320" s="26"/>
      <c r="S320" s="14">
        <f t="shared" si="13"/>
        <v>21.4723459</v>
      </c>
      <c r="U320" s="21"/>
      <c r="V320" s="21"/>
    </row>
    <row r="321">
      <c r="A321" s="11">
        <v>309.0</v>
      </c>
      <c r="B321" s="11">
        <v>1.42073913043478E9</v>
      </c>
      <c r="C321" s="2">
        <v>-102.4611893</v>
      </c>
      <c r="D321" s="24">
        <f t="shared" si="1"/>
        <v>339130.4348</v>
      </c>
      <c r="E321" s="25">
        <f t="shared" si="2"/>
        <v>-72.54539444</v>
      </c>
      <c r="F321" s="24">
        <f t="shared" si="3"/>
        <v>0.0002139159067</v>
      </c>
      <c r="G321" s="24">
        <f t="shared" si="4"/>
        <v>0</v>
      </c>
      <c r="H321" s="26">
        <f t="shared" si="5"/>
        <v>0</v>
      </c>
      <c r="I321" s="24">
        <f t="shared" si="6"/>
        <v>0</v>
      </c>
      <c r="J321" s="24">
        <f t="shared" si="7"/>
        <v>0</v>
      </c>
      <c r="K321" s="24"/>
      <c r="L321" s="24">
        <f t="shared" si="8"/>
        <v>431.506396</v>
      </c>
      <c r="M321" s="14">
        <f t="shared" si="9"/>
        <v>408.7588692</v>
      </c>
      <c r="N321" s="27">
        <f t="shared" si="10"/>
        <v>22.7475268</v>
      </c>
      <c r="O321" s="24"/>
      <c r="P321" s="24"/>
      <c r="Q321" s="24"/>
      <c r="R321" s="26"/>
      <c r="S321" s="14">
        <f t="shared" si="13"/>
        <v>20.88896584</v>
      </c>
      <c r="U321" s="21"/>
      <c r="V321" s="21"/>
    </row>
    <row r="322">
      <c r="A322" s="11">
        <v>310.0</v>
      </c>
      <c r="B322" s="11">
        <v>1.42074347826087E9</v>
      </c>
      <c r="C322" s="2">
        <v>-102.4874573</v>
      </c>
      <c r="D322" s="24">
        <f t="shared" si="1"/>
        <v>343478.2609</v>
      </c>
      <c r="E322" s="25">
        <f t="shared" si="2"/>
        <v>-73.46369057</v>
      </c>
      <c r="F322" s="24">
        <f t="shared" si="3"/>
        <v>0.0002138816308</v>
      </c>
      <c r="G322" s="24">
        <f t="shared" si="4"/>
        <v>0</v>
      </c>
      <c r="H322" s="26">
        <f t="shared" si="5"/>
        <v>0</v>
      </c>
      <c r="I322" s="24">
        <f t="shared" si="6"/>
        <v>0</v>
      </c>
      <c r="J322" s="24">
        <f t="shared" si="7"/>
        <v>0</v>
      </c>
      <c r="K322" s="24"/>
      <c r="L322" s="24">
        <f t="shared" si="8"/>
        <v>428.9043366</v>
      </c>
      <c r="M322" s="14">
        <f t="shared" si="9"/>
        <v>408.68555</v>
      </c>
      <c r="N322" s="27">
        <f t="shared" si="10"/>
        <v>20.21878665</v>
      </c>
      <c r="O322" s="24"/>
      <c r="P322" s="24"/>
      <c r="Q322" s="24"/>
      <c r="R322" s="26"/>
      <c r="S322" s="14">
        <f t="shared" si="13"/>
        <v>18.56683359</v>
      </c>
      <c r="U322" s="21"/>
      <c r="V322" s="21"/>
    </row>
    <row r="323">
      <c r="A323" s="11">
        <v>311.0</v>
      </c>
      <c r="B323" s="11">
        <v>1.42074782608695E9</v>
      </c>
      <c r="C323" s="2">
        <v>-102.5245361</v>
      </c>
      <c r="D323" s="24">
        <f t="shared" si="1"/>
        <v>347826.087</v>
      </c>
      <c r="E323" s="25">
        <f t="shared" si="2"/>
        <v>-74.3819867</v>
      </c>
      <c r="F323" s="24">
        <f t="shared" si="3"/>
        <v>0.0002138482118</v>
      </c>
      <c r="G323" s="24">
        <f t="shared" si="4"/>
        <v>0</v>
      </c>
      <c r="H323" s="26">
        <f t="shared" si="5"/>
        <v>0</v>
      </c>
      <c r="I323" s="24">
        <f t="shared" si="6"/>
        <v>0</v>
      </c>
      <c r="J323" s="24">
        <f t="shared" si="7"/>
        <v>0</v>
      </c>
      <c r="K323" s="24"/>
      <c r="L323" s="24">
        <f t="shared" si="8"/>
        <v>425.2580637</v>
      </c>
      <c r="M323" s="14">
        <f t="shared" si="9"/>
        <v>408.6122206</v>
      </c>
      <c r="N323" s="27">
        <f t="shared" si="10"/>
        <v>16.64584303</v>
      </c>
      <c r="O323" s="24"/>
      <c r="P323" s="24"/>
      <c r="Q323" s="24"/>
      <c r="R323" s="26"/>
      <c r="S323" s="14">
        <f t="shared" si="13"/>
        <v>15.28581328</v>
      </c>
      <c r="U323" s="21"/>
      <c r="V323" s="21"/>
    </row>
    <row r="324">
      <c r="A324" s="11">
        <v>312.0</v>
      </c>
      <c r="B324" s="11">
        <v>1.42075217391304E9</v>
      </c>
      <c r="C324" s="2">
        <v>-102.5528717</v>
      </c>
      <c r="D324" s="24">
        <f t="shared" si="1"/>
        <v>352173.913</v>
      </c>
      <c r="E324" s="25">
        <f t="shared" si="2"/>
        <v>-75.30028284</v>
      </c>
      <c r="F324" s="24">
        <f t="shared" si="3"/>
        <v>0.0002138156179</v>
      </c>
      <c r="G324" s="24">
        <f t="shared" si="4"/>
        <v>0</v>
      </c>
      <c r="H324" s="26">
        <f t="shared" si="5"/>
        <v>0</v>
      </c>
      <c r="I324" s="24">
        <f t="shared" si="6"/>
        <v>0</v>
      </c>
      <c r="J324" s="24">
        <f t="shared" si="7"/>
        <v>0</v>
      </c>
      <c r="K324" s="24"/>
      <c r="L324" s="24">
        <f t="shared" si="8"/>
        <v>422.4924937</v>
      </c>
      <c r="M324" s="14">
        <f t="shared" si="9"/>
        <v>408.538879</v>
      </c>
      <c r="N324" s="27">
        <f t="shared" si="10"/>
        <v>13.95361473</v>
      </c>
      <c r="O324" s="24"/>
      <c r="P324" s="24"/>
      <c r="Q324" s="24"/>
      <c r="R324" s="26"/>
      <c r="S324" s="14">
        <f t="shared" si="13"/>
        <v>12.81355041</v>
      </c>
      <c r="U324" s="21"/>
      <c r="V324" s="21"/>
    </row>
    <row r="325">
      <c r="A325" s="11">
        <v>313.0</v>
      </c>
      <c r="B325" s="11">
        <v>1.42075652173913E9</v>
      </c>
      <c r="C325" s="2">
        <v>-102.5172348</v>
      </c>
      <c r="D325" s="24">
        <f t="shared" si="1"/>
        <v>356521.7391</v>
      </c>
      <c r="E325" s="25">
        <f t="shared" si="2"/>
        <v>-76.21857897</v>
      </c>
      <c r="F325" s="24">
        <f t="shared" si="3"/>
        <v>0.0002137838191</v>
      </c>
      <c r="G325" s="24">
        <f t="shared" si="4"/>
        <v>0</v>
      </c>
      <c r="H325" s="26">
        <f t="shared" si="5"/>
        <v>0</v>
      </c>
      <c r="I325" s="24">
        <f t="shared" si="6"/>
        <v>0</v>
      </c>
      <c r="J325" s="24">
        <f t="shared" si="7"/>
        <v>0</v>
      </c>
      <c r="K325" s="24"/>
      <c r="L325" s="24">
        <f t="shared" si="8"/>
        <v>425.9736031</v>
      </c>
      <c r="M325" s="14">
        <f t="shared" si="9"/>
        <v>408.4655228</v>
      </c>
      <c r="N325" s="27">
        <f t="shared" si="10"/>
        <v>17.50808025</v>
      </c>
      <c r="O325" s="24"/>
      <c r="P325" s="24"/>
      <c r="Q325" s="24"/>
      <c r="R325" s="26"/>
      <c r="S325" s="14">
        <f t="shared" si="13"/>
        <v>16.07760239</v>
      </c>
      <c r="U325" s="21"/>
      <c r="V325" s="21"/>
    </row>
    <row r="326">
      <c r="A326" s="11">
        <v>314.0</v>
      </c>
      <c r="B326" s="11">
        <v>1.42076086956521E9</v>
      </c>
      <c r="C326" s="2">
        <v>-102.5643997</v>
      </c>
      <c r="D326" s="24">
        <f t="shared" si="1"/>
        <v>360869.5652</v>
      </c>
      <c r="E326" s="25">
        <f t="shared" si="2"/>
        <v>-77.1368751</v>
      </c>
      <c r="F326" s="24">
        <f t="shared" si="3"/>
        <v>0.0002137527864</v>
      </c>
      <c r="G326" s="24">
        <f t="shared" si="4"/>
        <v>0</v>
      </c>
      <c r="H326" s="26">
        <f t="shared" si="5"/>
        <v>0</v>
      </c>
      <c r="I326" s="24">
        <f t="shared" si="6"/>
        <v>0</v>
      </c>
      <c r="J326" s="24">
        <f t="shared" si="7"/>
        <v>0</v>
      </c>
      <c r="K326" s="24"/>
      <c r="L326" s="24">
        <f t="shared" si="8"/>
        <v>421.3725083</v>
      </c>
      <c r="M326" s="14">
        <f t="shared" si="9"/>
        <v>408.39215</v>
      </c>
      <c r="N326" s="27">
        <f t="shared" si="10"/>
        <v>12.98035826</v>
      </c>
      <c r="O326" s="24"/>
      <c r="P326" s="24"/>
      <c r="Q326" s="24"/>
      <c r="R326" s="26"/>
      <c r="S326" s="14">
        <f t="shared" si="13"/>
        <v>11.9198128</v>
      </c>
      <c r="U326" s="21"/>
      <c r="V326" s="21"/>
    </row>
    <row r="327">
      <c r="A327" s="11">
        <v>315.0</v>
      </c>
      <c r="B327" s="11">
        <v>1.4207652173913E9</v>
      </c>
      <c r="C327" s="2">
        <v>-102.5331421</v>
      </c>
      <c r="D327" s="24">
        <f t="shared" si="1"/>
        <v>365217.3913</v>
      </c>
      <c r="E327" s="25">
        <f t="shared" si="2"/>
        <v>-78.05517123</v>
      </c>
      <c r="F327" s="24">
        <f t="shared" si="3"/>
        <v>0.0002137224927</v>
      </c>
      <c r="G327" s="24">
        <f t="shared" si="4"/>
        <v>0</v>
      </c>
      <c r="H327" s="26">
        <f t="shared" si="5"/>
        <v>0</v>
      </c>
      <c r="I327" s="24">
        <f t="shared" si="6"/>
        <v>0</v>
      </c>
      <c r="J327" s="24">
        <f t="shared" si="7"/>
        <v>0</v>
      </c>
      <c r="K327" s="24"/>
      <c r="L327" s="24">
        <f t="shared" si="8"/>
        <v>424.4162047</v>
      </c>
      <c r="M327" s="14">
        <f t="shared" si="9"/>
        <v>408.3187583</v>
      </c>
      <c r="N327" s="27">
        <f t="shared" si="10"/>
        <v>16.09744636</v>
      </c>
      <c r="O327" s="24"/>
      <c r="P327" s="24"/>
      <c r="Q327" s="24"/>
      <c r="R327" s="26"/>
      <c r="S327" s="14">
        <f t="shared" si="13"/>
        <v>14.78222271</v>
      </c>
      <c r="U327" s="21"/>
      <c r="V327" s="21"/>
    </row>
    <row r="328">
      <c r="A328" s="11">
        <v>316.0</v>
      </c>
      <c r="B328" s="11">
        <v>1.42076956521739E9</v>
      </c>
      <c r="C328" s="2">
        <v>-102.5862808</v>
      </c>
      <c r="D328" s="24">
        <f t="shared" si="1"/>
        <v>369565.2174</v>
      </c>
      <c r="E328" s="25">
        <f t="shared" si="2"/>
        <v>-78.97346736</v>
      </c>
      <c r="F328" s="24">
        <f t="shared" si="3"/>
        <v>0.0002136929117</v>
      </c>
      <c r="G328" s="24">
        <f t="shared" si="4"/>
        <v>0</v>
      </c>
      <c r="H328" s="26">
        <f t="shared" si="5"/>
        <v>0</v>
      </c>
      <c r="I328" s="24">
        <f t="shared" si="6"/>
        <v>0</v>
      </c>
      <c r="J328" s="24">
        <f t="shared" si="7"/>
        <v>0</v>
      </c>
      <c r="K328" s="24"/>
      <c r="L328" s="24">
        <f t="shared" si="8"/>
        <v>419.2548424</v>
      </c>
      <c r="M328" s="14">
        <f t="shared" si="9"/>
        <v>408.2453456</v>
      </c>
      <c r="N328" s="27">
        <f t="shared" si="10"/>
        <v>11.00949677</v>
      </c>
      <c r="O328" s="24"/>
      <c r="P328" s="24"/>
      <c r="Q328" s="24"/>
      <c r="R328" s="26"/>
      <c r="S328" s="14">
        <f t="shared" si="13"/>
        <v>10.10997831</v>
      </c>
      <c r="U328" s="21"/>
      <c r="V328" s="21"/>
    </row>
    <row r="329">
      <c r="A329" s="11">
        <v>317.0</v>
      </c>
      <c r="B329" s="11">
        <v>1.42077391304347E9</v>
      </c>
      <c r="C329" s="2">
        <v>-102.5682144</v>
      </c>
      <c r="D329" s="24">
        <f t="shared" si="1"/>
        <v>373913.0435</v>
      </c>
      <c r="E329" s="25">
        <f t="shared" si="2"/>
        <v>-79.89176349</v>
      </c>
      <c r="F329" s="24">
        <f t="shared" si="3"/>
        <v>0.0002136640187</v>
      </c>
      <c r="G329" s="24">
        <f t="shared" si="4"/>
        <v>0</v>
      </c>
      <c r="H329" s="26">
        <f t="shared" si="5"/>
        <v>0</v>
      </c>
      <c r="I329" s="24">
        <f t="shared" si="6"/>
        <v>0</v>
      </c>
      <c r="J329" s="24">
        <f t="shared" si="7"/>
        <v>0</v>
      </c>
      <c r="K329" s="24"/>
      <c r="L329" s="24">
        <f t="shared" si="8"/>
        <v>421.002551</v>
      </c>
      <c r="M329" s="14">
        <f t="shared" si="9"/>
        <v>408.1719097</v>
      </c>
      <c r="N329" s="27">
        <f t="shared" si="10"/>
        <v>12.83064131</v>
      </c>
      <c r="O329" s="24"/>
      <c r="P329" s="24"/>
      <c r="Q329" s="24"/>
      <c r="R329" s="26"/>
      <c r="S329" s="14">
        <f t="shared" si="13"/>
        <v>11.7823283</v>
      </c>
      <c r="U329" s="21"/>
      <c r="V329" s="21"/>
    </row>
    <row r="330">
      <c r="A330" s="11">
        <v>318.0</v>
      </c>
      <c r="B330" s="11">
        <v>1.42077826086956E9</v>
      </c>
      <c r="C330" s="2">
        <v>-102.5802994</v>
      </c>
      <c r="D330" s="24">
        <f t="shared" si="1"/>
        <v>378260.8696</v>
      </c>
      <c r="E330" s="25">
        <f t="shared" si="2"/>
        <v>-80.81005963</v>
      </c>
      <c r="F330" s="24">
        <f t="shared" si="3"/>
        <v>0.0002136357898</v>
      </c>
      <c r="G330" s="24">
        <f t="shared" si="4"/>
        <v>0</v>
      </c>
      <c r="H330" s="26">
        <f t="shared" si="5"/>
        <v>0</v>
      </c>
      <c r="I330" s="24">
        <f t="shared" si="6"/>
        <v>0</v>
      </c>
      <c r="J330" s="24">
        <f t="shared" si="7"/>
        <v>0</v>
      </c>
      <c r="K330" s="24"/>
      <c r="L330" s="24">
        <f t="shared" si="8"/>
        <v>419.8326666</v>
      </c>
      <c r="M330" s="14">
        <f t="shared" si="9"/>
        <v>408.0984484</v>
      </c>
      <c r="N330" s="27">
        <f t="shared" si="10"/>
        <v>11.73421818</v>
      </c>
      <c r="O330" s="24"/>
      <c r="P330" s="24"/>
      <c r="Q330" s="24"/>
      <c r="R330" s="26"/>
      <c r="S330" s="14">
        <f t="shared" si="13"/>
        <v>10.77548715</v>
      </c>
      <c r="U330" s="21"/>
      <c r="V330" s="21"/>
    </row>
    <row r="331">
      <c r="A331" s="11">
        <v>319.0</v>
      </c>
      <c r="B331" s="11">
        <v>1.42078260869565E9</v>
      </c>
      <c r="C331" s="2">
        <v>-102.6626816</v>
      </c>
      <c r="D331" s="24">
        <f t="shared" si="1"/>
        <v>382608.6957</v>
      </c>
      <c r="E331" s="25">
        <f t="shared" si="2"/>
        <v>-81.72835576</v>
      </c>
      <c r="F331" s="24">
        <f t="shared" si="3"/>
        <v>0.0002136082026</v>
      </c>
      <c r="G331" s="24">
        <f t="shared" si="4"/>
        <v>0</v>
      </c>
      <c r="H331" s="26">
        <f t="shared" si="5"/>
        <v>0</v>
      </c>
      <c r="I331" s="24">
        <f t="shared" si="6"/>
        <v>0</v>
      </c>
      <c r="J331" s="24">
        <f t="shared" si="7"/>
        <v>0</v>
      </c>
      <c r="K331" s="24"/>
      <c r="L331" s="24">
        <f t="shared" si="8"/>
        <v>411.9438346</v>
      </c>
      <c r="M331" s="14">
        <f t="shared" si="9"/>
        <v>408.0249595</v>
      </c>
      <c r="N331" s="27">
        <f t="shared" si="10"/>
        <v>3.918875107</v>
      </c>
      <c r="O331" s="24"/>
      <c r="P331" s="24"/>
      <c r="Q331" s="24"/>
      <c r="R331" s="26"/>
      <c r="S331" s="14">
        <f t="shared" si="13"/>
        <v>3.598687856</v>
      </c>
      <c r="U331" s="21"/>
      <c r="V331" s="21"/>
    </row>
    <row r="332">
      <c r="A332" s="11">
        <v>320.0</v>
      </c>
      <c r="B332" s="11">
        <v>1.42078695652173E9</v>
      </c>
      <c r="C332" s="2">
        <v>-102.6019592</v>
      </c>
      <c r="D332" s="24">
        <f t="shared" si="1"/>
        <v>386956.5217</v>
      </c>
      <c r="E332" s="25">
        <f t="shared" si="2"/>
        <v>-82.64665189</v>
      </c>
      <c r="F332" s="24">
        <f t="shared" si="3"/>
        <v>0.0002135812352</v>
      </c>
      <c r="G332" s="24">
        <f t="shared" si="4"/>
        <v>0</v>
      </c>
      <c r="H332" s="26">
        <f t="shared" si="5"/>
        <v>0</v>
      </c>
      <c r="I332" s="24">
        <f t="shared" si="6"/>
        <v>0</v>
      </c>
      <c r="J332" s="24">
        <f t="shared" si="7"/>
        <v>0</v>
      </c>
      <c r="K332" s="24"/>
      <c r="L332" s="24">
        <f t="shared" si="8"/>
        <v>417.7440255</v>
      </c>
      <c r="M332" s="14">
        <f t="shared" si="9"/>
        <v>407.951441</v>
      </c>
      <c r="N332" s="27">
        <f t="shared" si="10"/>
        <v>9.792584511</v>
      </c>
      <c r="O332" s="24"/>
      <c r="P332" s="24"/>
      <c r="Q332" s="24"/>
      <c r="R332" s="26"/>
      <c r="S332" s="14">
        <f t="shared" si="13"/>
        <v>8.992492486</v>
      </c>
      <c r="U332" s="21"/>
      <c r="V332" s="21"/>
    </row>
    <row r="333">
      <c r="A333" s="11">
        <v>321.0</v>
      </c>
      <c r="B333" s="11">
        <v>1.42079130434782E9</v>
      </c>
      <c r="C333" s="2">
        <v>-102.6661072</v>
      </c>
      <c r="D333" s="24">
        <f t="shared" si="1"/>
        <v>391304.3478</v>
      </c>
      <c r="E333" s="25">
        <f t="shared" si="2"/>
        <v>-83.56494802</v>
      </c>
      <c r="F333" s="24">
        <f t="shared" si="3"/>
        <v>0.0002135548672</v>
      </c>
      <c r="G333" s="24">
        <f t="shared" si="4"/>
        <v>0</v>
      </c>
      <c r="H333" s="26">
        <f t="shared" si="5"/>
        <v>0</v>
      </c>
      <c r="I333" s="24">
        <f t="shared" si="6"/>
        <v>0</v>
      </c>
      <c r="J333" s="24">
        <f t="shared" si="7"/>
        <v>0</v>
      </c>
      <c r="K333" s="24"/>
      <c r="L333" s="24">
        <f t="shared" si="8"/>
        <v>411.6190324</v>
      </c>
      <c r="M333" s="14">
        <f t="shared" si="9"/>
        <v>407.8778905</v>
      </c>
      <c r="N333" s="27">
        <f t="shared" si="10"/>
        <v>3.741141886</v>
      </c>
      <c r="O333" s="24"/>
      <c r="P333" s="24"/>
      <c r="Q333" s="24"/>
      <c r="R333" s="26"/>
      <c r="S333" s="14">
        <f t="shared" si="13"/>
        <v>3.435476126</v>
      </c>
      <c r="U333" s="21"/>
      <c r="V333" s="21"/>
    </row>
    <row r="334">
      <c r="A334" s="11">
        <v>322.0</v>
      </c>
      <c r="B334" s="11">
        <v>1.42079565217391E9</v>
      </c>
      <c r="C334" s="2">
        <v>-102.6299286</v>
      </c>
      <c r="D334" s="24">
        <f t="shared" si="1"/>
        <v>395652.1739</v>
      </c>
      <c r="E334" s="25">
        <f t="shared" si="2"/>
        <v>-84.48324416</v>
      </c>
      <c r="F334" s="24">
        <f t="shared" si="3"/>
        <v>0.0002135290786</v>
      </c>
      <c r="G334" s="24">
        <f t="shared" si="4"/>
        <v>0</v>
      </c>
      <c r="H334" s="26">
        <f t="shared" si="5"/>
        <v>0</v>
      </c>
      <c r="I334" s="24">
        <f t="shared" si="6"/>
        <v>0</v>
      </c>
      <c r="J334" s="24">
        <f t="shared" si="7"/>
        <v>0</v>
      </c>
      <c r="K334" s="24"/>
      <c r="L334" s="24">
        <f t="shared" si="8"/>
        <v>415.0623182</v>
      </c>
      <c r="M334" s="14">
        <f t="shared" si="9"/>
        <v>407.8043059</v>
      </c>
      <c r="N334" s="27">
        <f t="shared" si="10"/>
        <v>7.258012312</v>
      </c>
      <c r="O334" s="24"/>
      <c r="P334" s="24"/>
      <c r="Q334" s="24"/>
      <c r="R334" s="26"/>
      <c r="S334" s="14">
        <f t="shared" si="13"/>
        <v>6.665004623</v>
      </c>
      <c r="U334" s="21"/>
      <c r="V334" s="21"/>
    </row>
    <row r="335">
      <c r="A335" s="11">
        <v>323.0</v>
      </c>
      <c r="B335" s="11">
        <v>1.4208E9</v>
      </c>
      <c r="C335" s="2">
        <v>-102.6709595</v>
      </c>
      <c r="D335" s="24">
        <f t="shared" si="1"/>
        <v>400000</v>
      </c>
      <c r="E335" s="25">
        <f t="shared" si="2"/>
        <v>-85.40154029</v>
      </c>
      <c r="F335" s="24">
        <f t="shared" si="3"/>
        <v>0.0002135038507</v>
      </c>
      <c r="G335" s="24">
        <f t="shared" si="4"/>
        <v>0</v>
      </c>
      <c r="H335" s="26">
        <f t="shared" si="5"/>
        <v>0</v>
      </c>
      <c r="I335" s="24">
        <f t="shared" si="6"/>
        <v>0</v>
      </c>
      <c r="J335" s="24">
        <f t="shared" si="7"/>
        <v>0</v>
      </c>
      <c r="K335" s="24"/>
      <c r="L335" s="24">
        <f t="shared" si="8"/>
        <v>411.1593941</v>
      </c>
      <c r="M335" s="14">
        <f t="shared" si="9"/>
        <v>407.7306851</v>
      </c>
      <c r="N335" s="27">
        <f t="shared" si="10"/>
        <v>3.428709004</v>
      </c>
      <c r="O335" s="24"/>
      <c r="P335" s="24"/>
      <c r="Q335" s="24"/>
      <c r="R335" s="26"/>
      <c r="S335" s="14">
        <f t="shared" si="13"/>
        <v>3.148570219</v>
      </c>
      <c r="U335" s="21"/>
      <c r="V335" s="21"/>
    </row>
    <row r="336">
      <c r="A336" s="11">
        <v>324.0</v>
      </c>
      <c r="B336" s="11">
        <v>1.42080434782608E9</v>
      </c>
      <c r="C336" s="2">
        <v>-102.6324997</v>
      </c>
      <c r="D336" s="24">
        <f t="shared" si="1"/>
        <v>404347.8261</v>
      </c>
      <c r="E336" s="25">
        <f t="shared" si="2"/>
        <v>-86.31983642</v>
      </c>
      <c r="F336" s="24">
        <f t="shared" si="3"/>
        <v>0.0002134791653</v>
      </c>
      <c r="G336" s="24">
        <f t="shared" si="4"/>
        <v>0</v>
      </c>
      <c r="H336" s="26">
        <f t="shared" si="5"/>
        <v>0</v>
      </c>
      <c r="I336" s="24">
        <f t="shared" si="6"/>
        <v>0</v>
      </c>
      <c r="J336" s="24">
        <f t="shared" si="7"/>
        <v>0</v>
      </c>
      <c r="K336" s="24"/>
      <c r="L336" s="24">
        <f t="shared" si="8"/>
        <v>414.8166667</v>
      </c>
      <c r="M336" s="14">
        <f t="shared" si="9"/>
        <v>407.6570258</v>
      </c>
      <c r="N336" s="27">
        <f t="shared" si="10"/>
        <v>7.159640901</v>
      </c>
      <c r="O336" s="24"/>
      <c r="P336" s="24"/>
      <c r="Q336" s="24"/>
      <c r="R336" s="26"/>
      <c r="S336" s="14">
        <f t="shared" si="13"/>
        <v>6.574670552</v>
      </c>
      <c r="U336" s="21"/>
      <c r="V336" s="21"/>
    </row>
    <row r="337">
      <c r="A337" s="11">
        <v>325.0</v>
      </c>
      <c r="B337" s="11">
        <v>1.42080869565217E9</v>
      </c>
      <c r="C337" s="2">
        <v>-102.6242905</v>
      </c>
      <c r="D337" s="24">
        <f t="shared" si="1"/>
        <v>408695.6522</v>
      </c>
      <c r="E337" s="25">
        <f t="shared" si="2"/>
        <v>-87.23813255</v>
      </c>
      <c r="F337" s="24">
        <f t="shared" si="3"/>
        <v>0.0002134550052</v>
      </c>
      <c r="G337" s="24">
        <f t="shared" si="4"/>
        <v>0</v>
      </c>
      <c r="H337" s="26">
        <f t="shared" si="5"/>
        <v>0</v>
      </c>
      <c r="I337" s="24">
        <f t="shared" si="6"/>
        <v>0</v>
      </c>
      <c r="J337" s="24">
        <f t="shared" si="7"/>
        <v>0</v>
      </c>
      <c r="K337" s="24"/>
      <c r="L337" s="24">
        <f t="shared" si="8"/>
        <v>415.6015105</v>
      </c>
      <c r="M337" s="14">
        <f t="shared" si="9"/>
        <v>407.583326</v>
      </c>
      <c r="N337" s="27">
        <f t="shared" si="10"/>
        <v>8.018184599</v>
      </c>
      <c r="O337" s="24"/>
      <c r="P337" s="24"/>
      <c r="Q337" s="24"/>
      <c r="R337" s="26"/>
      <c r="S337" s="14">
        <f t="shared" si="13"/>
        <v>7.363067892</v>
      </c>
      <c r="U337" s="21"/>
      <c r="V337" s="21"/>
    </row>
    <row r="338">
      <c r="A338" s="11">
        <v>326.0</v>
      </c>
      <c r="B338" s="11">
        <v>1.42081304347826E9</v>
      </c>
      <c r="C338" s="2">
        <v>-102.6574326</v>
      </c>
      <c r="D338" s="24">
        <f t="shared" si="1"/>
        <v>413043.4783</v>
      </c>
      <c r="E338" s="25">
        <f t="shared" si="2"/>
        <v>-88.15642868</v>
      </c>
      <c r="F338" s="24">
        <f t="shared" si="3"/>
        <v>0.0002134313537</v>
      </c>
      <c r="G338" s="24">
        <f t="shared" si="4"/>
        <v>0</v>
      </c>
      <c r="H338" s="26">
        <f t="shared" si="5"/>
        <v>0</v>
      </c>
      <c r="I338" s="24">
        <f t="shared" si="6"/>
        <v>0</v>
      </c>
      <c r="J338" s="24">
        <f t="shared" si="7"/>
        <v>0</v>
      </c>
      <c r="K338" s="24"/>
      <c r="L338" s="24">
        <f t="shared" si="8"/>
        <v>412.4420221</v>
      </c>
      <c r="M338" s="14">
        <f t="shared" si="9"/>
        <v>407.5095833</v>
      </c>
      <c r="N338" s="27">
        <f t="shared" si="10"/>
        <v>4.93243876</v>
      </c>
      <c r="O338" s="24"/>
      <c r="P338" s="24"/>
      <c r="Q338" s="24"/>
      <c r="R338" s="26"/>
      <c r="S338" s="14">
        <f t="shared" si="13"/>
        <v>4.529439438</v>
      </c>
      <c r="U338" s="21"/>
      <c r="V338" s="21"/>
    </row>
    <row r="339">
      <c r="A339" s="11">
        <v>327.0</v>
      </c>
      <c r="B339" s="11">
        <v>1.42081739130434E9</v>
      </c>
      <c r="C339" s="2">
        <v>-102.6411133</v>
      </c>
      <c r="D339" s="24">
        <f t="shared" si="1"/>
        <v>417391.3043</v>
      </c>
      <c r="E339" s="25">
        <f t="shared" si="2"/>
        <v>-89.07472482</v>
      </c>
      <c r="F339" s="24">
        <f t="shared" si="3"/>
        <v>0.0002134081949</v>
      </c>
      <c r="G339" s="24">
        <f t="shared" si="4"/>
        <v>0</v>
      </c>
      <c r="H339" s="26">
        <f t="shared" si="5"/>
        <v>0</v>
      </c>
      <c r="I339" s="24">
        <f t="shared" si="6"/>
        <v>0</v>
      </c>
      <c r="J339" s="24">
        <f t="shared" si="7"/>
        <v>0</v>
      </c>
      <c r="K339" s="24"/>
      <c r="L339" s="24">
        <f t="shared" si="8"/>
        <v>413.9947535</v>
      </c>
      <c r="M339" s="14">
        <f t="shared" si="9"/>
        <v>407.4357957</v>
      </c>
      <c r="N339" s="27">
        <f t="shared" si="10"/>
        <v>6.558957802</v>
      </c>
      <c r="O339" s="24"/>
      <c r="P339" s="24"/>
      <c r="Q339" s="24"/>
      <c r="R339" s="26"/>
      <c r="S339" s="14">
        <f t="shared" si="13"/>
        <v>6.023065585</v>
      </c>
      <c r="U339" s="21"/>
      <c r="V339" s="21"/>
    </row>
    <row r="340">
      <c r="A340" s="11">
        <v>328.0</v>
      </c>
      <c r="B340" s="11">
        <v>1.42082173913043E9</v>
      </c>
      <c r="C340" s="2">
        <v>-102.6754761</v>
      </c>
      <c r="D340" s="24">
        <f t="shared" si="1"/>
        <v>421739.1304</v>
      </c>
      <c r="E340" s="25">
        <f t="shared" si="2"/>
        <v>-89.99302095</v>
      </c>
      <c r="F340" s="24">
        <f t="shared" si="3"/>
        <v>0.0002133855136</v>
      </c>
      <c r="G340" s="24">
        <f t="shared" si="4"/>
        <v>0</v>
      </c>
      <c r="H340" s="26">
        <f t="shared" si="5"/>
        <v>0</v>
      </c>
      <c r="I340" s="24">
        <f t="shared" si="6"/>
        <v>0</v>
      </c>
      <c r="J340" s="24">
        <f t="shared" si="7"/>
        <v>0</v>
      </c>
      <c r="K340" s="24"/>
      <c r="L340" s="24">
        <f t="shared" si="8"/>
        <v>410.7320165</v>
      </c>
      <c r="M340" s="14">
        <f t="shared" si="9"/>
        <v>407.3619609</v>
      </c>
      <c r="N340" s="27">
        <f t="shared" si="10"/>
        <v>3.370055591</v>
      </c>
      <c r="O340" s="24"/>
      <c r="P340" s="24"/>
      <c r="Q340" s="24"/>
      <c r="R340" s="26"/>
      <c r="S340" s="14">
        <f t="shared" si="13"/>
        <v>3.09470901</v>
      </c>
      <c r="U340" s="21"/>
      <c r="V340" s="21"/>
    </row>
    <row r="341">
      <c r="A341" s="11">
        <v>329.0</v>
      </c>
      <c r="B341" s="11">
        <v>1.42082608695652E9</v>
      </c>
      <c r="C341" s="2">
        <v>-102.6760712</v>
      </c>
      <c r="D341" s="24">
        <f t="shared" si="1"/>
        <v>426086.9565</v>
      </c>
      <c r="E341" s="25">
        <f t="shared" si="2"/>
        <v>-90.91131708</v>
      </c>
      <c r="F341" s="24">
        <f t="shared" si="3"/>
        <v>0.0002133632952</v>
      </c>
      <c r="G341" s="24">
        <f t="shared" si="4"/>
        <v>0</v>
      </c>
      <c r="H341" s="26">
        <f t="shared" si="5"/>
        <v>0</v>
      </c>
      <c r="I341" s="24">
        <f t="shared" si="6"/>
        <v>0</v>
      </c>
      <c r="J341" s="24">
        <f t="shared" si="7"/>
        <v>0</v>
      </c>
      <c r="K341" s="24"/>
      <c r="L341" s="24">
        <f t="shared" si="8"/>
        <v>410.6757391</v>
      </c>
      <c r="M341" s="14">
        <f t="shared" si="9"/>
        <v>407.2880769</v>
      </c>
      <c r="N341" s="27">
        <f t="shared" si="10"/>
        <v>3.387662205</v>
      </c>
      <c r="O341" s="24"/>
      <c r="P341" s="24"/>
      <c r="Q341" s="24"/>
      <c r="R341" s="26"/>
      <c r="S341" s="14">
        <f t="shared" si="13"/>
        <v>3.110877102</v>
      </c>
      <c r="U341" s="21"/>
      <c r="V341" s="21"/>
    </row>
    <row r="342">
      <c r="A342" s="11">
        <v>330.0</v>
      </c>
      <c r="B342" s="11">
        <v>1.4208304347826E9</v>
      </c>
      <c r="C342" s="2">
        <v>-102.6418991</v>
      </c>
      <c r="D342" s="24">
        <f t="shared" si="1"/>
        <v>430434.7826</v>
      </c>
      <c r="E342" s="25">
        <f t="shared" si="2"/>
        <v>-91.82961321</v>
      </c>
      <c r="F342" s="24">
        <f t="shared" si="3"/>
        <v>0.0002133415256</v>
      </c>
      <c r="G342" s="24">
        <f t="shared" si="4"/>
        <v>0</v>
      </c>
      <c r="H342" s="26">
        <f t="shared" si="5"/>
        <v>0</v>
      </c>
      <c r="I342" s="24">
        <f t="shared" si="6"/>
        <v>0</v>
      </c>
      <c r="J342" s="24">
        <f t="shared" si="7"/>
        <v>0</v>
      </c>
      <c r="K342" s="24"/>
      <c r="L342" s="24">
        <f t="shared" si="8"/>
        <v>413.9198532</v>
      </c>
      <c r="M342" s="14">
        <f t="shared" si="9"/>
        <v>407.2141413</v>
      </c>
      <c r="N342" s="27">
        <f t="shared" si="10"/>
        <v>6.705711932</v>
      </c>
      <c r="O342" s="24"/>
      <c r="P342" s="24"/>
      <c r="Q342" s="24"/>
      <c r="R342" s="26"/>
      <c r="S342" s="14">
        <f t="shared" si="13"/>
        <v>6.157829335</v>
      </c>
      <c r="U342" s="21"/>
      <c r="V342" s="21"/>
    </row>
    <row r="343">
      <c r="A343" s="11">
        <v>331.0</v>
      </c>
      <c r="B343" s="11">
        <v>1.42083478260869E9</v>
      </c>
      <c r="C343" s="2">
        <v>-102.6693268</v>
      </c>
      <c r="D343" s="24">
        <f t="shared" si="1"/>
        <v>434782.6087</v>
      </c>
      <c r="E343" s="25">
        <f t="shared" si="2"/>
        <v>-92.74790935</v>
      </c>
      <c r="F343" s="24">
        <f t="shared" si="3"/>
        <v>0.0002133201915</v>
      </c>
      <c r="G343" s="24">
        <f t="shared" si="4"/>
        <v>0</v>
      </c>
      <c r="H343" s="26">
        <f t="shared" si="5"/>
        <v>0</v>
      </c>
      <c r="I343" s="24">
        <f t="shared" si="6"/>
        <v>0</v>
      </c>
      <c r="J343" s="24">
        <f t="shared" si="7"/>
        <v>0</v>
      </c>
      <c r="K343" s="24"/>
      <c r="L343" s="24">
        <f t="shared" si="8"/>
        <v>411.3139957</v>
      </c>
      <c r="M343" s="14">
        <f t="shared" si="9"/>
        <v>407.1401521</v>
      </c>
      <c r="N343" s="27">
        <f t="shared" si="10"/>
        <v>4.17384359</v>
      </c>
      <c r="O343" s="24"/>
      <c r="P343" s="24"/>
      <c r="Q343" s="24"/>
      <c r="R343" s="26"/>
      <c r="S343" s="14">
        <f t="shared" si="13"/>
        <v>3.832824428</v>
      </c>
      <c r="U343" s="21"/>
      <c r="V343" s="21"/>
    </row>
    <row r="344">
      <c r="A344" s="11">
        <v>332.0</v>
      </c>
      <c r="B344" s="11">
        <v>1.42083913043478E9</v>
      </c>
      <c r="C344" s="2">
        <v>-102.6650085</v>
      </c>
      <c r="D344" s="24">
        <f t="shared" si="1"/>
        <v>439130.4348</v>
      </c>
      <c r="E344" s="25">
        <f t="shared" si="2"/>
        <v>-93.66620548</v>
      </c>
      <c r="F344" s="24">
        <f t="shared" si="3"/>
        <v>0.0002132992798</v>
      </c>
      <c r="G344" s="24">
        <f t="shared" si="4"/>
        <v>0</v>
      </c>
      <c r="H344" s="26">
        <f t="shared" si="5"/>
        <v>0</v>
      </c>
      <c r="I344" s="24">
        <f t="shared" si="6"/>
        <v>0</v>
      </c>
      <c r="J344" s="24">
        <f t="shared" si="7"/>
        <v>0</v>
      </c>
      <c r="K344" s="24"/>
      <c r="L344" s="24">
        <f t="shared" si="8"/>
        <v>411.723179</v>
      </c>
      <c r="M344" s="14">
        <f t="shared" si="9"/>
        <v>407.066107</v>
      </c>
      <c r="N344" s="27">
        <f t="shared" si="10"/>
        <v>4.65707197</v>
      </c>
      <c r="O344" s="24"/>
      <c r="P344" s="24"/>
      <c r="Q344" s="24"/>
      <c r="R344" s="26"/>
      <c r="S344" s="14">
        <f t="shared" si="13"/>
        <v>4.27657117</v>
      </c>
      <c r="U344" s="21"/>
      <c r="V344" s="21"/>
    </row>
    <row r="345">
      <c r="A345" s="11">
        <v>333.0</v>
      </c>
      <c r="B345" s="11">
        <v>1.42084347826087E9</v>
      </c>
      <c r="C345" s="2">
        <v>-102.6705704</v>
      </c>
      <c r="D345" s="24">
        <f t="shared" si="1"/>
        <v>443478.2609</v>
      </c>
      <c r="E345" s="25">
        <f t="shared" si="2"/>
        <v>-94.58450161</v>
      </c>
      <c r="F345" s="24">
        <f t="shared" si="3"/>
        <v>0.0002132787781</v>
      </c>
      <c r="G345" s="24">
        <f t="shared" si="4"/>
        <v>0</v>
      </c>
      <c r="H345" s="26">
        <f t="shared" si="5"/>
        <v>0</v>
      </c>
      <c r="I345" s="24">
        <f t="shared" si="6"/>
        <v>0</v>
      </c>
      <c r="J345" s="24">
        <f t="shared" si="7"/>
        <v>0</v>
      </c>
      <c r="K345" s="24"/>
      <c r="L345" s="24">
        <f t="shared" si="8"/>
        <v>411.196233</v>
      </c>
      <c r="M345" s="14">
        <f t="shared" si="9"/>
        <v>406.9920039</v>
      </c>
      <c r="N345" s="27">
        <f t="shared" si="10"/>
        <v>4.204229042</v>
      </c>
      <c r="O345" s="24"/>
      <c r="P345" s="24"/>
      <c r="Q345" s="24"/>
      <c r="R345" s="26"/>
      <c r="S345" s="14">
        <f t="shared" si="13"/>
        <v>3.86072727</v>
      </c>
      <c r="U345" s="21"/>
      <c r="V345" s="21"/>
    </row>
    <row r="346">
      <c r="A346" s="11">
        <v>334.0</v>
      </c>
      <c r="B346" s="11">
        <v>1.42084782608695E9</v>
      </c>
      <c r="C346" s="2">
        <v>-102.6532288</v>
      </c>
      <c r="D346" s="24">
        <f t="shared" si="1"/>
        <v>447826.087</v>
      </c>
      <c r="E346" s="25">
        <f t="shared" si="2"/>
        <v>-95.50279774</v>
      </c>
      <c r="F346" s="24">
        <f t="shared" si="3"/>
        <v>0.0002132586746</v>
      </c>
      <c r="G346" s="24">
        <f t="shared" si="4"/>
        <v>0</v>
      </c>
      <c r="H346" s="26">
        <f t="shared" si="5"/>
        <v>0</v>
      </c>
      <c r="I346" s="24">
        <f t="shared" si="6"/>
        <v>0</v>
      </c>
      <c r="J346" s="24">
        <f t="shared" si="7"/>
        <v>0</v>
      </c>
      <c r="K346" s="24"/>
      <c r="L346" s="24">
        <f t="shared" si="8"/>
        <v>412.841443</v>
      </c>
      <c r="M346" s="14">
        <f t="shared" si="9"/>
        <v>406.9178407</v>
      </c>
      <c r="N346" s="27">
        <f t="shared" si="10"/>
        <v>5.923602345</v>
      </c>
      <c r="O346" s="24"/>
      <c r="P346" s="24"/>
      <c r="Q346" s="24"/>
      <c r="R346" s="26"/>
      <c r="S346" s="14">
        <f t="shared" si="13"/>
        <v>5.439621126</v>
      </c>
      <c r="U346" s="21"/>
      <c r="V346" s="21"/>
    </row>
    <row r="347">
      <c r="A347" s="11">
        <v>335.0</v>
      </c>
      <c r="B347" s="11">
        <v>1.42085217391304E9</v>
      </c>
      <c r="C347" s="2">
        <v>-102.6663132</v>
      </c>
      <c r="D347" s="24">
        <f t="shared" si="1"/>
        <v>452173.913</v>
      </c>
      <c r="E347" s="25">
        <f t="shared" si="2"/>
        <v>-96.42109387</v>
      </c>
      <c r="F347" s="24">
        <f t="shared" si="3"/>
        <v>0.0002132389576</v>
      </c>
      <c r="G347" s="24">
        <f t="shared" si="4"/>
        <v>0</v>
      </c>
      <c r="H347" s="26">
        <f t="shared" si="5"/>
        <v>0</v>
      </c>
      <c r="I347" s="24">
        <f t="shared" si="6"/>
        <v>0</v>
      </c>
      <c r="J347" s="24">
        <f t="shared" si="7"/>
        <v>0</v>
      </c>
      <c r="K347" s="24"/>
      <c r="L347" s="24">
        <f t="shared" si="8"/>
        <v>411.5995084</v>
      </c>
      <c r="M347" s="14">
        <f t="shared" si="9"/>
        <v>406.843615</v>
      </c>
      <c r="N347" s="27">
        <f t="shared" si="10"/>
        <v>4.755893366</v>
      </c>
      <c r="O347" s="24"/>
      <c r="P347" s="24"/>
      <c r="Q347" s="24"/>
      <c r="R347" s="26"/>
      <c r="S347" s="14">
        <f t="shared" si="13"/>
        <v>4.367318476</v>
      </c>
      <c r="U347" s="21"/>
      <c r="V347" s="21"/>
    </row>
    <row r="348">
      <c r="A348" s="11">
        <v>336.0</v>
      </c>
      <c r="B348" s="11">
        <v>1.42085652173913E9</v>
      </c>
      <c r="C348" s="2">
        <v>-102.6808777</v>
      </c>
      <c r="D348" s="24">
        <f t="shared" si="1"/>
        <v>456521.7391</v>
      </c>
      <c r="E348" s="25">
        <f t="shared" si="2"/>
        <v>-97.33939</v>
      </c>
      <c r="F348" s="24">
        <f t="shared" si="3"/>
        <v>0.0002132196162</v>
      </c>
      <c r="G348" s="24">
        <f t="shared" si="4"/>
        <v>0</v>
      </c>
      <c r="H348" s="26">
        <f t="shared" si="5"/>
        <v>0</v>
      </c>
      <c r="I348" s="24">
        <f t="shared" si="6"/>
        <v>0</v>
      </c>
      <c r="J348" s="24">
        <f t="shared" si="7"/>
        <v>0</v>
      </c>
      <c r="K348" s="24"/>
      <c r="L348" s="24">
        <f t="shared" si="8"/>
        <v>410.2214802</v>
      </c>
      <c r="M348" s="14">
        <f t="shared" si="9"/>
        <v>406.7693248</v>
      </c>
      <c r="N348" s="27">
        <f t="shared" si="10"/>
        <v>3.452155382</v>
      </c>
      <c r="O348" s="24"/>
      <c r="P348" s="24"/>
      <c r="Q348" s="24"/>
      <c r="R348" s="26"/>
      <c r="S348" s="14">
        <f t="shared" si="13"/>
        <v>3.170100937</v>
      </c>
      <c r="U348" s="21"/>
      <c r="V348" s="21"/>
    </row>
    <row r="349">
      <c r="A349" s="11">
        <v>337.0</v>
      </c>
      <c r="B349" s="11">
        <v>1.42086086956521E9</v>
      </c>
      <c r="C349" s="2">
        <v>-102.6352768</v>
      </c>
      <c r="D349" s="24">
        <f t="shared" si="1"/>
        <v>460869.5652</v>
      </c>
      <c r="E349" s="25">
        <f t="shared" si="2"/>
        <v>-98.25768614</v>
      </c>
      <c r="F349" s="24">
        <f t="shared" si="3"/>
        <v>0.0002132006397</v>
      </c>
      <c r="G349" s="24">
        <f t="shared" si="4"/>
        <v>0</v>
      </c>
      <c r="H349" s="26">
        <f t="shared" si="5"/>
        <v>0</v>
      </c>
      <c r="I349" s="24">
        <f t="shared" si="6"/>
        <v>0</v>
      </c>
      <c r="J349" s="24">
        <f t="shared" si="7"/>
        <v>0</v>
      </c>
      <c r="K349" s="24"/>
      <c r="L349" s="24">
        <f t="shared" si="8"/>
        <v>414.5514966</v>
      </c>
      <c r="M349" s="14">
        <f t="shared" si="9"/>
        <v>406.6949679</v>
      </c>
      <c r="N349" s="27">
        <f t="shared" si="10"/>
        <v>7.856528675</v>
      </c>
      <c r="O349" s="24"/>
      <c r="P349" s="24"/>
      <c r="Q349" s="24"/>
      <c r="R349" s="26"/>
      <c r="S349" s="14">
        <f t="shared" si="13"/>
        <v>7.214619899</v>
      </c>
      <c r="U349" s="21"/>
      <c r="V349" s="21"/>
    </row>
    <row r="350">
      <c r="A350" s="11">
        <v>338.0</v>
      </c>
      <c r="B350" s="11">
        <v>1.4208652173913E9</v>
      </c>
      <c r="C350" s="2">
        <v>-102.6893845</v>
      </c>
      <c r="D350" s="24">
        <f t="shared" si="1"/>
        <v>465217.3913</v>
      </c>
      <c r="E350" s="25">
        <f t="shared" si="2"/>
        <v>-99.17598227</v>
      </c>
      <c r="F350" s="24">
        <f t="shared" si="3"/>
        <v>0.000213182018</v>
      </c>
      <c r="G350" s="24">
        <f t="shared" si="4"/>
        <v>0</v>
      </c>
      <c r="H350" s="26">
        <f t="shared" si="5"/>
        <v>0</v>
      </c>
      <c r="I350" s="24">
        <f t="shared" si="6"/>
        <v>0</v>
      </c>
      <c r="J350" s="24">
        <f t="shared" si="7"/>
        <v>0</v>
      </c>
      <c r="K350" s="24"/>
      <c r="L350" s="24">
        <f t="shared" si="8"/>
        <v>409.41874</v>
      </c>
      <c r="M350" s="14">
        <f t="shared" si="9"/>
        <v>406.6205421</v>
      </c>
      <c r="N350" s="27">
        <f t="shared" si="10"/>
        <v>2.798197835</v>
      </c>
      <c r="O350" s="24"/>
      <c r="P350" s="24"/>
      <c r="Q350" s="24"/>
      <c r="R350" s="26"/>
      <c r="S350" s="14">
        <f t="shared" si="13"/>
        <v>2.569574244</v>
      </c>
      <c r="U350" s="21"/>
      <c r="V350" s="21"/>
    </row>
    <row r="351">
      <c r="A351" s="11">
        <v>339.0</v>
      </c>
      <c r="B351" s="11">
        <v>1.42086956521739E9</v>
      </c>
      <c r="C351" s="2">
        <v>-102.6702728</v>
      </c>
      <c r="D351" s="24">
        <f t="shared" si="1"/>
        <v>469565.2174</v>
      </c>
      <c r="E351" s="25">
        <f t="shared" si="2"/>
        <v>-100.0942784</v>
      </c>
      <c r="F351" s="24">
        <f t="shared" si="3"/>
        <v>0.000213163741</v>
      </c>
      <c r="G351" s="24">
        <f t="shared" si="4"/>
        <v>0</v>
      </c>
      <c r="H351" s="26">
        <f t="shared" si="5"/>
        <v>0</v>
      </c>
      <c r="I351" s="24">
        <f t="shared" si="6"/>
        <v>0</v>
      </c>
      <c r="J351" s="24">
        <f t="shared" si="7"/>
        <v>0</v>
      </c>
      <c r="K351" s="24"/>
      <c r="L351" s="24">
        <f t="shared" si="8"/>
        <v>411.2244111</v>
      </c>
      <c r="M351" s="14">
        <f t="shared" si="9"/>
        <v>406.5460453</v>
      </c>
      <c r="N351" s="27">
        <f t="shared" si="10"/>
        <v>4.678365861</v>
      </c>
      <c r="O351" s="24"/>
      <c r="P351" s="24"/>
      <c r="Q351" s="24"/>
      <c r="R351" s="26"/>
      <c r="S351" s="14">
        <f t="shared" si="13"/>
        <v>4.296125278</v>
      </c>
      <c r="U351" s="21"/>
      <c r="V351" s="21"/>
    </row>
    <row r="352">
      <c r="A352" s="11">
        <v>340.0</v>
      </c>
      <c r="B352" s="11">
        <v>1.42087391304347E9</v>
      </c>
      <c r="C352" s="2">
        <v>-102.737648</v>
      </c>
      <c r="D352" s="24">
        <f t="shared" si="1"/>
        <v>473913.0435</v>
      </c>
      <c r="E352" s="25">
        <f t="shared" si="2"/>
        <v>-101.0125745</v>
      </c>
      <c r="F352" s="24">
        <f t="shared" si="3"/>
        <v>0.0002131457995</v>
      </c>
      <c r="G352" s="24">
        <f t="shared" si="4"/>
        <v>0</v>
      </c>
      <c r="H352" s="26">
        <f t="shared" si="5"/>
        <v>0</v>
      </c>
      <c r="I352" s="24">
        <f t="shared" si="6"/>
        <v>0</v>
      </c>
      <c r="J352" s="24">
        <f t="shared" si="7"/>
        <v>0</v>
      </c>
      <c r="K352" s="24"/>
      <c r="L352" s="24">
        <f t="shared" si="8"/>
        <v>404.8940245</v>
      </c>
      <c r="M352" s="14">
        <f t="shared" si="9"/>
        <v>406.4714752</v>
      </c>
      <c r="N352" s="27">
        <f t="shared" si="10"/>
        <v>-1.577450698</v>
      </c>
      <c r="O352" s="24"/>
      <c r="P352" s="24"/>
      <c r="Q352" s="24"/>
      <c r="R352" s="26"/>
      <c r="S352" s="14">
        <f t="shared" si="13"/>
        <v>-1.448566876</v>
      </c>
      <c r="U352" s="21"/>
      <c r="V352" s="21"/>
    </row>
    <row r="353">
      <c r="A353" s="11">
        <v>341.0</v>
      </c>
      <c r="B353" s="11">
        <v>1.42087826086956E9</v>
      </c>
      <c r="C353" s="2">
        <v>-102.7645645</v>
      </c>
      <c r="D353" s="24">
        <f t="shared" si="1"/>
        <v>478260.8696</v>
      </c>
      <c r="E353" s="25">
        <f t="shared" si="2"/>
        <v>-101.9308707</v>
      </c>
      <c r="F353" s="24">
        <f t="shared" si="3"/>
        <v>0.0002131281841</v>
      </c>
      <c r="G353" s="24">
        <f t="shared" si="4"/>
        <v>0</v>
      </c>
      <c r="H353" s="26">
        <f t="shared" si="5"/>
        <v>0</v>
      </c>
      <c r="I353" s="24">
        <f t="shared" si="6"/>
        <v>0</v>
      </c>
      <c r="J353" s="24">
        <f t="shared" si="7"/>
        <v>0</v>
      </c>
      <c r="K353" s="24"/>
      <c r="L353" s="24">
        <f t="shared" si="8"/>
        <v>402.3923516</v>
      </c>
      <c r="M353" s="14">
        <f t="shared" si="9"/>
        <v>406.3968296</v>
      </c>
      <c r="N353" s="27">
        <f t="shared" si="10"/>
        <v>-4.004477997</v>
      </c>
      <c r="O353" s="24"/>
      <c r="P353" s="24"/>
      <c r="Q353" s="24"/>
      <c r="R353" s="26"/>
      <c r="S353" s="14">
        <f t="shared" si="13"/>
        <v>-3.67729665</v>
      </c>
      <c r="U353" s="21"/>
      <c r="V353" s="21"/>
    </row>
    <row r="354">
      <c r="A354" s="11">
        <v>342.0</v>
      </c>
      <c r="B354" s="11">
        <v>1.42088260869565E9</v>
      </c>
      <c r="C354" s="2">
        <v>-102.7428207</v>
      </c>
      <c r="D354" s="24">
        <f t="shared" si="1"/>
        <v>482608.6957</v>
      </c>
      <c r="E354" s="25">
        <f t="shared" si="2"/>
        <v>-102.8491668</v>
      </c>
      <c r="F354" s="24">
        <f t="shared" si="3"/>
        <v>0.0002131108862</v>
      </c>
      <c r="G354" s="24">
        <f t="shared" si="4"/>
        <v>0</v>
      </c>
      <c r="H354" s="26">
        <f t="shared" si="5"/>
        <v>0</v>
      </c>
      <c r="I354" s="24">
        <f t="shared" si="6"/>
        <v>0</v>
      </c>
      <c r="J354" s="24">
        <f t="shared" si="7"/>
        <v>0</v>
      </c>
      <c r="K354" s="24"/>
      <c r="L354" s="24">
        <f t="shared" si="8"/>
        <v>404.4120592</v>
      </c>
      <c r="M354" s="14">
        <f t="shared" si="9"/>
        <v>406.3221065</v>
      </c>
      <c r="N354" s="27">
        <f t="shared" si="10"/>
        <v>-1.910047284</v>
      </c>
      <c r="O354" s="24"/>
      <c r="P354" s="24"/>
      <c r="Q354" s="24"/>
      <c r="R354" s="26"/>
      <c r="S354" s="14">
        <f t="shared" si="13"/>
        <v>-1.753989034</v>
      </c>
      <c r="U354" s="21"/>
      <c r="V354" s="21"/>
    </row>
    <row r="355">
      <c r="A355" s="11">
        <v>343.0</v>
      </c>
      <c r="B355" s="11">
        <v>1.42088695652173E9</v>
      </c>
      <c r="C355" s="2">
        <v>-102.6985779</v>
      </c>
      <c r="D355" s="24">
        <f t="shared" si="1"/>
        <v>486956.5217</v>
      </c>
      <c r="E355" s="25">
        <f t="shared" si="2"/>
        <v>-103.7674629</v>
      </c>
      <c r="F355" s="24">
        <f t="shared" si="3"/>
        <v>0.0002130938971</v>
      </c>
      <c r="G355" s="24">
        <f t="shared" si="4"/>
        <v>0</v>
      </c>
      <c r="H355" s="26">
        <f t="shared" si="5"/>
        <v>0</v>
      </c>
      <c r="I355" s="24">
        <f t="shared" si="6"/>
        <v>0</v>
      </c>
      <c r="J355" s="24">
        <f t="shared" si="7"/>
        <v>0</v>
      </c>
      <c r="K355" s="24"/>
      <c r="L355" s="24">
        <f t="shared" si="8"/>
        <v>408.5529751</v>
      </c>
      <c r="M355" s="14">
        <f t="shared" si="9"/>
        <v>406.2473036</v>
      </c>
      <c r="N355" s="27">
        <f t="shared" si="10"/>
        <v>2.305671511</v>
      </c>
      <c r="O355" s="24"/>
      <c r="P355" s="24"/>
      <c r="Q355" s="24"/>
      <c r="R355" s="26"/>
      <c r="S355" s="14">
        <f t="shared" si="13"/>
        <v>2.117289232</v>
      </c>
      <c r="U355" s="21"/>
      <c r="V355" s="21"/>
    </row>
    <row r="356">
      <c r="A356" s="11">
        <v>344.0</v>
      </c>
      <c r="B356" s="11">
        <v>1.42089130434782E9</v>
      </c>
      <c r="C356" s="2">
        <v>-102.7278671</v>
      </c>
      <c r="D356" s="24">
        <f t="shared" si="1"/>
        <v>491304.3478</v>
      </c>
      <c r="E356" s="25">
        <f t="shared" si="2"/>
        <v>-104.6857591</v>
      </c>
      <c r="F356" s="24">
        <f t="shared" si="3"/>
        <v>0.0002130772087</v>
      </c>
      <c r="G356" s="24">
        <f t="shared" si="4"/>
        <v>0</v>
      </c>
      <c r="H356" s="26">
        <f t="shared" si="5"/>
        <v>0</v>
      </c>
      <c r="I356" s="24">
        <f t="shared" si="6"/>
        <v>0</v>
      </c>
      <c r="J356" s="24">
        <f t="shared" si="7"/>
        <v>0</v>
      </c>
      <c r="K356" s="24"/>
      <c r="L356" s="24">
        <f t="shared" si="8"/>
        <v>405.8069283</v>
      </c>
      <c r="M356" s="14">
        <f t="shared" si="9"/>
        <v>406.1724187</v>
      </c>
      <c r="N356" s="27">
        <f t="shared" si="10"/>
        <v>-0.3654904522</v>
      </c>
      <c r="O356" s="24"/>
      <c r="P356" s="24"/>
      <c r="Q356" s="24"/>
      <c r="R356" s="26"/>
      <c r="S356" s="14">
        <f t="shared" si="13"/>
        <v>-0.3356284688</v>
      </c>
      <c r="U356" s="21"/>
      <c r="V356" s="21"/>
    </row>
    <row r="357">
      <c r="A357" s="11">
        <v>345.0</v>
      </c>
      <c r="B357" s="11">
        <v>1.42089565217391E9</v>
      </c>
      <c r="C357" s="2">
        <v>-102.7393951</v>
      </c>
      <c r="D357" s="24">
        <f t="shared" si="1"/>
        <v>495652.1739</v>
      </c>
      <c r="E357" s="25">
        <f t="shared" si="2"/>
        <v>-105.6040552</v>
      </c>
      <c r="F357" s="24">
        <f t="shared" si="3"/>
        <v>0.0002130608131</v>
      </c>
      <c r="G357" s="24">
        <f t="shared" si="4"/>
        <v>0</v>
      </c>
      <c r="H357" s="26">
        <f t="shared" si="5"/>
        <v>0</v>
      </c>
      <c r="I357" s="24">
        <f t="shared" si="6"/>
        <v>0</v>
      </c>
      <c r="J357" s="24">
        <f t="shared" si="7"/>
        <v>0</v>
      </c>
      <c r="K357" s="24"/>
      <c r="L357" s="24">
        <f t="shared" si="8"/>
        <v>404.7311746</v>
      </c>
      <c r="M357" s="14">
        <f t="shared" si="9"/>
        <v>406.0974497</v>
      </c>
      <c r="N357" s="27">
        <f t="shared" si="10"/>
        <v>-1.366275145</v>
      </c>
      <c r="O357" s="24"/>
      <c r="P357" s="24"/>
      <c r="Q357" s="24"/>
      <c r="R357" s="26"/>
      <c r="S357" s="14">
        <f t="shared" si="13"/>
        <v>-1.254645179</v>
      </c>
      <c r="U357" s="21"/>
      <c r="V357" s="21"/>
    </row>
    <row r="358">
      <c r="A358" s="11">
        <v>346.0</v>
      </c>
      <c r="B358" s="11">
        <v>1.4209E9</v>
      </c>
      <c r="C358" s="2">
        <v>-102.6804428</v>
      </c>
      <c r="D358" s="24">
        <f t="shared" si="1"/>
        <v>500000</v>
      </c>
      <c r="E358" s="25">
        <f t="shared" si="2"/>
        <v>-106.5223513</v>
      </c>
      <c r="F358" s="24">
        <f t="shared" si="3"/>
        <v>0.0002130447027</v>
      </c>
      <c r="G358" s="24">
        <f t="shared" si="4"/>
        <v>0</v>
      </c>
      <c r="H358" s="26">
        <f t="shared" si="5"/>
        <v>0</v>
      </c>
      <c r="I358" s="24">
        <f t="shared" si="6"/>
        <v>0</v>
      </c>
      <c r="J358" s="24">
        <f t="shared" si="7"/>
        <v>0</v>
      </c>
      <c r="K358" s="24"/>
      <c r="L358" s="24">
        <f t="shared" si="8"/>
        <v>410.2625616</v>
      </c>
      <c r="M358" s="14">
        <f t="shared" si="9"/>
        <v>406.0223944</v>
      </c>
      <c r="N358" s="27">
        <f t="shared" si="10"/>
        <v>4.240167201</v>
      </c>
      <c r="O358" s="24"/>
      <c r="P358" s="24"/>
      <c r="Q358" s="24"/>
      <c r="R358" s="26"/>
      <c r="S358" s="14">
        <f t="shared" si="13"/>
        <v>3.893729143</v>
      </c>
      <c r="U358" s="21"/>
      <c r="V358" s="21"/>
    </row>
    <row r="359">
      <c r="A359" s="11">
        <v>347.0</v>
      </c>
      <c r="B359" s="11">
        <v>1.42090434782608E9</v>
      </c>
      <c r="C359" s="2">
        <v>-102.6833496</v>
      </c>
      <c r="D359" s="24">
        <f t="shared" si="1"/>
        <v>504347.8261</v>
      </c>
      <c r="E359" s="25">
        <f t="shared" si="2"/>
        <v>-107.4406475</v>
      </c>
      <c r="F359" s="24">
        <f t="shared" si="3"/>
        <v>0.00021302887</v>
      </c>
      <c r="G359" s="24">
        <f t="shared" si="4"/>
        <v>0</v>
      </c>
      <c r="H359" s="26">
        <f t="shared" si="5"/>
        <v>0</v>
      </c>
      <c r="I359" s="24">
        <f t="shared" si="6"/>
        <v>0</v>
      </c>
      <c r="J359" s="24">
        <f t="shared" si="7"/>
        <v>0</v>
      </c>
      <c r="K359" s="24"/>
      <c r="L359" s="24">
        <f t="shared" si="8"/>
        <v>409.9880584</v>
      </c>
      <c r="M359" s="14">
        <f t="shared" si="9"/>
        <v>405.9472507</v>
      </c>
      <c r="N359" s="27">
        <f t="shared" si="10"/>
        <v>4.04080778</v>
      </c>
      <c r="O359" s="24"/>
      <c r="P359" s="24"/>
      <c r="Q359" s="24"/>
      <c r="R359" s="26"/>
      <c r="S359" s="14">
        <f t="shared" si="13"/>
        <v>3.710658158</v>
      </c>
      <c r="U359" s="21"/>
      <c r="V359" s="21"/>
    </row>
    <row r="360">
      <c r="A360" s="11">
        <v>348.0</v>
      </c>
      <c r="B360" s="11">
        <v>1.42090869565217E9</v>
      </c>
      <c r="C360" s="2">
        <v>-102.6506958</v>
      </c>
      <c r="D360" s="24">
        <f t="shared" si="1"/>
        <v>508695.6522</v>
      </c>
      <c r="E360" s="25">
        <f t="shared" si="2"/>
        <v>-108.3589436</v>
      </c>
      <c r="F360" s="24">
        <f t="shared" si="3"/>
        <v>0.0002130133079</v>
      </c>
      <c r="G360" s="24">
        <f t="shared" si="4"/>
        <v>0</v>
      </c>
      <c r="H360" s="26">
        <f t="shared" si="5"/>
        <v>0</v>
      </c>
      <c r="I360" s="24">
        <f t="shared" si="6"/>
        <v>0</v>
      </c>
      <c r="J360" s="24">
        <f t="shared" si="7"/>
        <v>0</v>
      </c>
      <c r="K360" s="24"/>
      <c r="L360" s="24">
        <f t="shared" si="8"/>
        <v>413.0823009</v>
      </c>
      <c r="M360" s="14">
        <f t="shared" si="9"/>
        <v>405.8720162</v>
      </c>
      <c r="N360" s="27">
        <f t="shared" si="10"/>
        <v>7.210284636</v>
      </c>
      <c r="O360" s="24"/>
      <c r="P360" s="24"/>
      <c r="Q360" s="24"/>
      <c r="R360" s="26"/>
      <c r="S360" s="14">
        <f t="shared" si="13"/>
        <v>6.621176482</v>
      </c>
      <c r="U360" s="21"/>
      <c r="V360" s="21"/>
    </row>
    <row r="361">
      <c r="A361" s="11">
        <v>349.0</v>
      </c>
      <c r="B361" s="11">
        <v>1.42091304347826E9</v>
      </c>
      <c r="C361" s="2">
        <v>-102.7053223</v>
      </c>
      <c r="D361" s="24">
        <f t="shared" si="1"/>
        <v>513043.4783</v>
      </c>
      <c r="E361" s="25">
        <f t="shared" si="2"/>
        <v>-109.2772397</v>
      </c>
      <c r="F361" s="24">
        <f t="shared" si="3"/>
        <v>0.0002129980096</v>
      </c>
      <c r="G361" s="24">
        <f t="shared" si="4"/>
        <v>0</v>
      </c>
      <c r="H361" s="26">
        <f t="shared" si="5"/>
        <v>0</v>
      </c>
      <c r="I361" s="24">
        <f t="shared" si="6"/>
        <v>0</v>
      </c>
      <c r="J361" s="24">
        <f t="shared" si="7"/>
        <v>0</v>
      </c>
      <c r="K361" s="24"/>
      <c r="L361" s="24">
        <f t="shared" si="8"/>
        <v>407.9190029</v>
      </c>
      <c r="M361" s="14">
        <f t="shared" si="9"/>
        <v>405.796689</v>
      </c>
      <c r="N361" s="27">
        <f t="shared" si="10"/>
        <v>2.122313908</v>
      </c>
      <c r="O361" s="24"/>
      <c r="P361" s="24"/>
      <c r="Q361" s="24"/>
      <c r="R361" s="26"/>
      <c r="S361" s="14">
        <f t="shared" si="13"/>
        <v>1.948912654</v>
      </c>
      <c r="U361" s="21"/>
      <c r="V361" s="21"/>
    </row>
    <row r="362">
      <c r="A362" s="11">
        <v>350.0</v>
      </c>
      <c r="B362" s="11">
        <v>1.42091739130434E9</v>
      </c>
      <c r="C362" s="2">
        <v>-102.7431488</v>
      </c>
      <c r="D362" s="24">
        <f t="shared" si="1"/>
        <v>517391.3043</v>
      </c>
      <c r="E362" s="25">
        <f t="shared" si="2"/>
        <v>-110.1955359</v>
      </c>
      <c r="F362" s="24">
        <f t="shared" si="3"/>
        <v>0.0002129829685</v>
      </c>
      <c r="G362" s="24">
        <f t="shared" si="4"/>
        <v>0</v>
      </c>
      <c r="H362" s="26">
        <f t="shared" si="5"/>
        <v>0</v>
      </c>
      <c r="I362" s="24">
        <f t="shared" si="6"/>
        <v>0</v>
      </c>
      <c r="J362" s="24">
        <f t="shared" si="7"/>
        <v>0</v>
      </c>
      <c r="K362" s="24"/>
      <c r="L362" s="24">
        <f t="shared" si="8"/>
        <v>404.3815079</v>
      </c>
      <c r="M362" s="14">
        <f t="shared" si="9"/>
        <v>405.7212667</v>
      </c>
      <c r="N362" s="27">
        <f t="shared" si="10"/>
        <v>-1.339758818</v>
      </c>
      <c r="O362" s="24"/>
      <c r="P362" s="24"/>
      <c r="Q362" s="24"/>
      <c r="R362" s="26"/>
      <c r="S362" s="14">
        <f t="shared" si="13"/>
        <v>-1.230295342</v>
      </c>
      <c r="U362" s="21"/>
      <c r="V362" s="21"/>
    </row>
    <row r="363">
      <c r="A363" s="11">
        <v>351.0</v>
      </c>
      <c r="B363" s="11">
        <v>1.42092173913043E9</v>
      </c>
      <c r="C363" s="2">
        <v>-102.7166901</v>
      </c>
      <c r="D363" s="24">
        <f t="shared" si="1"/>
        <v>521739.1304</v>
      </c>
      <c r="E363" s="25">
        <f t="shared" si="2"/>
        <v>-111.113832</v>
      </c>
      <c r="F363" s="24">
        <f t="shared" si="3"/>
        <v>0.000212968178</v>
      </c>
      <c r="G363" s="24">
        <f t="shared" si="4"/>
        <v>0</v>
      </c>
      <c r="H363" s="26">
        <f t="shared" si="5"/>
        <v>0</v>
      </c>
      <c r="I363" s="24">
        <f t="shared" si="6"/>
        <v>0</v>
      </c>
      <c r="J363" s="24">
        <f t="shared" si="7"/>
        <v>0</v>
      </c>
      <c r="K363" s="24"/>
      <c r="L363" s="24">
        <f t="shared" si="8"/>
        <v>406.8526578</v>
      </c>
      <c r="M363" s="14">
        <f t="shared" si="9"/>
        <v>405.6457473</v>
      </c>
      <c r="N363" s="27">
        <f t="shared" si="10"/>
        <v>1.206910489</v>
      </c>
      <c r="O363" s="24"/>
      <c r="P363" s="24"/>
      <c r="Q363" s="24"/>
      <c r="R363" s="26"/>
      <c r="S363" s="14">
        <f t="shared" si="13"/>
        <v>1.108301232</v>
      </c>
      <c r="U363" s="21"/>
      <c r="V363" s="21"/>
    </row>
    <row r="364">
      <c r="A364" s="11">
        <v>352.0</v>
      </c>
      <c r="B364" s="11">
        <v>1.42092608695652E9</v>
      </c>
      <c r="C364" s="2">
        <v>-102.7337189</v>
      </c>
      <c r="D364" s="24">
        <f t="shared" si="1"/>
        <v>526086.9565</v>
      </c>
      <c r="E364" s="25">
        <f t="shared" si="2"/>
        <v>-112.0321281</v>
      </c>
      <c r="F364" s="24">
        <f t="shared" si="3"/>
        <v>0.000212953632</v>
      </c>
      <c r="G364" s="24">
        <f t="shared" si="4"/>
        <v>0</v>
      </c>
      <c r="H364" s="26">
        <f t="shared" si="5"/>
        <v>0</v>
      </c>
      <c r="I364" s="24">
        <f t="shared" si="6"/>
        <v>0</v>
      </c>
      <c r="J364" s="24">
        <f t="shared" si="7"/>
        <v>0</v>
      </c>
      <c r="K364" s="24"/>
      <c r="L364" s="24">
        <f t="shared" si="8"/>
        <v>405.2605014</v>
      </c>
      <c r="M364" s="14">
        <f t="shared" si="9"/>
        <v>405.5701285</v>
      </c>
      <c r="N364" s="27">
        <f t="shared" si="10"/>
        <v>-0.3096271227</v>
      </c>
      <c r="O364" s="24"/>
      <c r="P364" s="24"/>
      <c r="Q364" s="24"/>
      <c r="R364" s="26"/>
      <c r="S364" s="14">
        <f t="shared" si="13"/>
        <v>-0.2843293894</v>
      </c>
      <c r="U364" s="21"/>
      <c r="V364" s="21"/>
    </row>
    <row r="365">
      <c r="A365" s="11">
        <v>353.0</v>
      </c>
      <c r="B365" s="11">
        <v>1.4209304347826E9</v>
      </c>
      <c r="C365" s="2">
        <v>-102.7380219</v>
      </c>
      <c r="D365" s="24">
        <f t="shared" si="1"/>
        <v>530434.7826</v>
      </c>
      <c r="E365" s="25">
        <f t="shared" si="2"/>
        <v>-112.9504243</v>
      </c>
      <c r="F365" s="24">
        <f t="shared" si="3"/>
        <v>0.0002129393244</v>
      </c>
      <c r="G365" s="24">
        <f t="shared" si="4"/>
        <v>0</v>
      </c>
      <c r="H365" s="26">
        <f t="shared" si="5"/>
        <v>0</v>
      </c>
      <c r="I365" s="24">
        <f t="shared" si="6"/>
        <v>0</v>
      </c>
      <c r="J365" s="24">
        <f t="shared" si="7"/>
        <v>0</v>
      </c>
      <c r="K365" s="24"/>
      <c r="L365" s="24">
        <f t="shared" si="8"/>
        <v>404.8591672</v>
      </c>
      <c r="M365" s="14">
        <f t="shared" si="9"/>
        <v>405.4944082</v>
      </c>
      <c r="N365" s="27">
        <f t="shared" si="10"/>
        <v>-0.6352410025</v>
      </c>
      <c r="O365" s="24"/>
      <c r="P365" s="24"/>
      <c r="Q365" s="24"/>
      <c r="R365" s="26"/>
      <c r="S365" s="14">
        <f t="shared" si="13"/>
        <v>-0.583339356</v>
      </c>
      <c r="U365" s="21"/>
      <c r="V365" s="21"/>
    </row>
    <row r="366">
      <c r="A366" s="11">
        <v>354.0</v>
      </c>
      <c r="B366" s="11">
        <v>1.42093478260869E9</v>
      </c>
      <c r="C366" s="2">
        <v>-102.6712112</v>
      </c>
      <c r="D366" s="24">
        <f t="shared" si="1"/>
        <v>534782.6087</v>
      </c>
      <c r="E366" s="25">
        <f t="shared" si="2"/>
        <v>-113.8687204</v>
      </c>
      <c r="F366" s="24">
        <f t="shared" si="3"/>
        <v>0.0002129252495</v>
      </c>
      <c r="G366" s="24">
        <f t="shared" si="4"/>
        <v>0</v>
      </c>
      <c r="H366" s="26">
        <f t="shared" si="5"/>
        <v>0</v>
      </c>
      <c r="I366" s="24">
        <f t="shared" si="6"/>
        <v>0</v>
      </c>
      <c r="J366" s="24">
        <f t="shared" si="7"/>
        <v>0</v>
      </c>
      <c r="K366" s="24"/>
      <c r="L366" s="24">
        <f t="shared" si="8"/>
        <v>411.1355656</v>
      </c>
      <c r="M366" s="14">
        <f t="shared" si="9"/>
        <v>405.4185841</v>
      </c>
      <c r="N366" s="27">
        <f t="shared" si="10"/>
        <v>5.716981473</v>
      </c>
      <c r="O366" s="24"/>
      <c r="P366" s="24"/>
      <c r="Q366" s="24"/>
      <c r="R366" s="26"/>
      <c r="S366" s="14">
        <f t="shared" si="13"/>
        <v>5.249881978</v>
      </c>
      <c r="U366" s="21"/>
      <c r="V366" s="21"/>
    </row>
    <row r="367">
      <c r="A367" s="11">
        <v>355.0</v>
      </c>
      <c r="B367" s="11">
        <v>1.42093913043478E9</v>
      </c>
      <c r="C367" s="2">
        <v>-102.6948624</v>
      </c>
      <c r="D367" s="24">
        <f t="shared" si="1"/>
        <v>539130.4348</v>
      </c>
      <c r="E367" s="25">
        <f t="shared" si="2"/>
        <v>-114.7870165</v>
      </c>
      <c r="F367" s="24">
        <f t="shared" si="3"/>
        <v>0.0002129114016</v>
      </c>
      <c r="G367" s="24">
        <f t="shared" si="4"/>
        <v>0</v>
      </c>
      <c r="H367" s="26">
        <f t="shared" si="5"/>
        <v>0</v>
      </c>
      <c r="I367" s="24">
        <f t="shared" si="6"/>
        <v>0</v>
      </c>
      <c r="J367" s="24">
        <f t="shared" si="7"/>
        <v>0</v>
      </c>
      <c r="K367" s="24"/>
      <c r="L367" s="24">
        <f t="shared" si="8"/>
        <v>408.9026521</v>
      </c>
      <c r="M367" s="14">
        <f t="shared" si="9"/>
        <v>405.3426542</v>
      </c>
      <c r="N367" s="27">
        <f t="shared" si="10"/>
        <v>3.559997927</v>
      </c>
      <c r="O367" s="24"/>
      <c r="P367" s="24"/>
      <c r="Q367" s="24"/>
      <c r="R367" s="26"/>
      <c r="S367" s="14">
        <f t="shared" si="13"/>
        <v>3.269132321</v>
      </c>
      <c r="U367" s="21"/>
      <c r="V367" s="21"/>
    </row>
    <row r="368">
      <c r="A368" s="11">
        <v>356.0</v>
      </c>
      <c r="B368" s="11">
        <v>1.42094347826087E9</v>
      </c>
      <c r="C368" s="2">
        <v>-102.7397308</v>
      </c>
      <c r="D368" s="24">
        <f t="shared" si="1"/>
        <v>543478.2609</v>
      </c>
      <c r="E368" s="25">
        <f t="shared" si="2"/>
        <v>-115.7053126</v>
      </c>
      <c r="F368" s="24">
        <f t="shared" si="3"/>
        <v>0.0002128977753</v>
      </c>
      <c r="G368" s="24">
        <f t="shared" si="4"/>
        <v>0</v>
      </c>
      <c r="H368" s="26">
        <f t="shared" si="5"/>
        <v>0</v>
      </c>
      <c r="I368" s="24">
        <f t="shared" si="6"/>
        <v>0</v>
      </c>
      <c r="J368" s="24">
        <f t="shared" si="7"/>
        <v>0</v>
      </c>
      <c r="K368" s="24"/>
      <c r="L368" s="24">
        <f t="shared" si="8"/>
        <v>404.699891</v>
      </c>
      <c r="M368" s="14">
        <f t="shared" si="9"/>
        <v>405.2666162</v>
      </c>
      <c r="N368" s="27">
        <f t="shared" si="10"/>
        <v>-0.5667252547</v>
      </c>
      <c r="O368" s="24"/>
      <c r="P368" s="24"/>
      <c r="Q368" s="24"/>
      <c r="R368" s="26"/>
      <c r="S368" s="14">
        <f t="shared" si="13"/>
        <v>-0.5204216097</v>
      </c>
      <c r="U368" s="21"/>
      <c r="V368" s="21"/>
    </row>
    <row r="369">
      <c r="A369" s="11">
        <v>357.0</v>
      </c>
      <c r="B369" s="11">
        <v>1.42094782608695E9</v>
      </c>
      <c r="C369" s="2">
        <v>-102.6954575</v>
      </c>
      <c r="D369" s="24">
        <f t="shared" si="1"/>
        <v>547826.087</v>
      </c>
      <c r="E369" s="25">
        <f t="shared" si="2"/>
        <v>-116.6236088</v>
      </c>
      <c r="F369" s="24">
        <f t="shared" si="3"/>
        <v>0.0002128843652</v>
      </c>
      <c r="G369" s="24">
        <f t="shared" si="4"/>
        <v>0</v>
      </c>
      <c r="H369" s="26">
        <f t="shared" si="5"/>
        <v>0</v>
      </c>
      <c r="I369" s="24">
        <f t="shared" si="6"/>
        <v>0</v>
      </c>
      <c r="J369" s="24">
        <f t="shared" si="7"/>
        <v>0</v>
      </c>
      <c r="K369" s="24"/>
      <c r="L369" s="24">
        <f t="shared" si="8"/>
        <v>408.8466253</v>
      </c>
      <c r="M369" s="14">
        <f t="shared" si="9"/>
        <v>405.190468</v>
      </c>
      <c r="N369" s="27">
        <f t="shared" si="10"/>
        <v>3.656157329</v>
      </c>
      <c r="O369" s="24"/>
      <c r="P369" s="24"/>
      <c r="Q369" s="24"/>
      <c r="R369" s="26"/>
      <c r="S369" s="14">
        <f t="shared" si="13"/>
        <v>3.357435136</v>
      </c>
      <c r="U369" s="21"/>
      <c r="V369" s="21"/>
    </row>
    <row r="370">
      <c r="A370" s="11">
        <v>358.0</v>
      </c>
      <c r="B370" s="11">
        <v>1.42095217391304E9</v>
      </c>
      <c r="C370" s="2">
        <v>-102.7501526</v>
      </c>
      <c r="D370" s="24">
        <f t="shared" si="1"/>
        <v>552173.913</v>
      </c>
      <c r="E370" s="25">
        <f t="shared" si="2"/>
        <v>-117.5419049</v>
      </c>
      <c r="F370" s="24">
        <f t="shared" si="3"/>
        <v>0.0002128711664</v>
      </c>
      <c r="G370" s="24">
        <f t="shared" si="4"/>
        <v>0</v>
      </c>
      <c r="H370" s="26">
        <f t="shared" si="5"/>
        <v>0</v>
      </c>
      <c r="I370" s="24">
        <f t="shared" si="6"/>
        <v>0</v>
      </c>
      <c r="J370" s="24">
        <f t="shared" si="7"/>
        <v>0</v>
      </c>
      <c r="K370" s="24"/>
      <c r="L370" s="24">
        <f t="shared" si="8"/>
        <v>403.7298937</v>
      </c>
      <c r="M370" s="14">
        <f t="shared" si="9"/>
        <v>405.1142074</v>
      </c>
      <c r="N370" s="27">
        <f t="shared" si="10"/>
        <v>-1.384313703</v>
      </c>
      <c r="O370" s="24"/>
      <c r="P370" s="24"/>
      <c r="Q370" s="24"/>
      <c r="R370" s="26"/>
      <c r="S370" s="14">
        <f t="shared" si="13"/>
        <v>-1.271209917</v>
      </c>
      <c r="U370" s="21"/>
      <c r="V370" s="21"/>
    </row>
    <row r="371">
      <c r="A371" s="11">
        <v>359.0</v>
      </c>
      <c r="B371" s="11">
        <v>1.42095652173913E9</v>
      </c>
      <c r="C371" s="2">
        <v>-102.6735535</v>
      </c>
      <c r="D371" s="24">
        <f t="shared" si="1"/>
        <v>556521.7391</v>
      </c>
      <c r="E371" s="25">
        <f t="shared" si="2"/>
        <v>-118.460201</v>
      </c>
      <c r="F371" s="24">
        <f t="shared" si="3"/>
        <v>0.0002128581738</v>
      </c>
      <c r="G371" s="24">
        <f t="shared" si="4"/>
        <v>0</v>
      </c>
      <c r="H371" s="26">
        <f t="shared" si="5"/>
        <v>0</v>
      </c>
      <c r="I371" s="24">
        <f t="shared" si="6"/>
        <v>0</v>
      </c>
      <c r="J371" s="24">
        <f t="shared" si="7"/>
        <v>0</v>
      </c>
      <c r="K371" s="24"/>
      <c r="L371" s="24">
        <f t="shared" si="8"/>
        <v>410.9138858</v>
      </c>
      <c r="M371" s="14">
        <f t="shared" si="9"/>
        <v>405.0378321</v>
      </c>
      <c r="N371" s="27">
        <f t="shared" si="10"/>
        <v>5.876053635</v>
      </c>
      <c r="O371" s="24"/>
      <c r="P371" s="24"/>
      <c r="Q371" s="24"/>
      <c r="R371" s="26"/>
      <c r="S371" s="14">
        <f t="shared" si="13"/>
        <v>5.395957329</v>
      </c>
      <c r="U371" s="21"/>
      <c r="V371" s="21"/>
    </row>
    <row r="372">
      <c r="A372" s="11">
        <v>360.0</v>
      </c>
      <c r="B372" s="11">
        <v>1.42096086956521E9</v>
      </c>
      <c r="C372" s="2">
        <v>-102.7454147</v>
      </c>
      <c r="D372" s="24">
        <f t="shared" si="1"/>
        <v>560869.5652</v>
      </c>
      <c r="E372" s="25">
        <f t="shared" si="2"/>
        <v>-119.3784972</v>
      </c>
      <c r="F372" s="24">
        <f t="shared" si="3"/>
        <v>0.0002128453826</v>
      </c>
      <c r="G372" s="24">
        <f t="shared" si="4"/>
        <v>0</v>
      </c>
      <c r="H372" s="26">
        <f t="shared" si="5"/>
        <v>0</v>
      </c>
      <c r="I372" s="24">
        <f t="shared" si="6"/>
        <v>0</v>
      </c>
      <c r="J372" s="24">
        <f t="shared" si="7"/>
        <v>0</v>
      </c>
      <c r="K372" s="24"/>
      <c r="L372" s="24">
        <f t="shared" si="8"/>
        <v>404.1705798</v>
      </c>
      <c r="M372" s="14">
        <f t="shared" si="9"/>
        <v>404.9613402</v>
      </c>
      <c r="N372" s="27">
        <f t="shared" si="10"/>
        <v>-0.7907603508</v>
      </c>
      <c r="O372" s="24"/>
      <c r="P372" s="24"/>
      <c r="Q372" s="24"/>
      <c r="R372" s="26"/>
      <c r="S372" s="14">
        <f t="shared" si="13"/>
        <v>-0.7261521721</v>
      </c>
      <c r="U372" s="21"/>
      <c r="V372" s="21"/>
    </row>
    <row r="373">
      <c r="A373" s="11">
        <v>361.0</v>
      </c>
      <c r="B373" s="11">
        <v>1.4209652173913E9</v>
      </c>
      <c r="C373" s="2">
        <v>-102.6655502</v>
      </c>
      <c r="D373" s="24">
        <f t="shared" si="1"/>
        <v>565217.3913</v>
      </c>
      <c r="E373" s="25">
        <f t="shared" si="2"/>
        <v>-120.2967933</v>
      </c>
      <c r="F373" s="24">
        <f t="shared" si="3"/>
        <v>0.0002128327882</v>
      </c>
      <c r="G373" s="24">
        <f t="shared" si="4"/>
        <v>0</v>
      </c>
      <c r="H373" s="26">
        <f t="shared" si="5"/>
        <v>0</v>
      </c>
      <c r="I373" s="24">
        <f t="shared" si="6"/>
        <v>0</v>
      </c>
      <c r="J373" s="24">
        <f t="shared" si="7"/>
        <v>0</v>
      </c>
      <c r="K373" s="24"/>
      <c r="L373" s="24">
        <f t="shared" si="8"/>
        <v>411.6718275</v>
      </c>
      <c r="M373" s="14">
        <f t="shared" si="9"/>
        <v>404.8847292</v>
      </c>
      <c r="N373" s="27">
        <f t="shared" si="10"/>
        <v>6.787098288</v>
      </c>
      <c r="O373" s="24"/>
      <c r="P373" s="24"/>
      <c r="Q373" s="24"/>
      <c r="R373" s="26"/>
      <c r="S373" s="14">
        <f t="shared" si="13"/>
        <v>6.232566096</v>
      </c>
      <c r="U373" s="21"/>
      <c r="V373" s="21"/>
    </row>
    <row r="374">
      <c r="A374" s="11">
        <v>362.0</v>
      </c>
      <c r="B374" s="11">
        <v>1.42096956521739E9</v>
      </c>
      <c r="C374" s="2">
        <v>-102.7648849</v>
      </c>
      <c r="D374" s="24">
        <f t="shared" si="1"/>
        <v>569565.2174</v>
      </c>
      <c r="E374" s="25">
        <f t="shared" si="2"/>
        <v>-121.2150894</v>
      </c>
      <c r="F374" s="24">
        <f t="shared" si="3"/>
        <v>0.000212820386</v>
      </c>
      <c r="G374" s="24">
        <f t="shared" si="4"/>
        <v>0</v>
      </c>
      <c r="H374" s="26">
        <f t="shared" si="5"/>
        <v>0</v>
      </c>
      <c r="I374" s="24">
        <f t="shared" si="6"/>
        <v>0</v>
      </c>
      <c r="J374" s="24">
        <f t="shared" si="7"/>
        <v>0</v>
      </c>
      <c r="K374" s="24"/>
      <c r="L374" s="24">
        <f t="shared" si="8"/>
        <v>402.3626663</v>
      </c>
      <c r="M374" s="14">
        <f t="shared" si="9"/>
        <v>404.8079972</v>
      </c>
      <c r="N374" s="27">
        <f t="shared" si="10"/>
        <v>-2.445330911</v>
      </c>
      <c r="O374" s="24"/>
      <c r="P374" s="24"/>
      <c r="Q374" s="24"/>
      <c r="R374" s="26"/>
      <c r="S374" s="14">
        <f t="shared" si="13"/>
        <v>-2.245537919</v>
      </c>
    </row>
    <row r="375">
      <c r="A375" s="11">
        <v>363.0</v>
      </c>
      <c r="B375" s="11">
        <v>1.42097391304347E9</v>
      </c>
      <c r="C375" s="2">
        <v>-102.7446289</v>
      </c>
      <c r="D375" s="24">
        <f t="shared" si="1"/>
        <v>573913.0435</v>
      </c>
      <c r="E375" s="25">
        <f t="shared" si="2"/>
        <v>-122.1333856</v>
      </c>
      <c r="F375" s="24">
        <f t="shared" si="3"/>
        <v>0.0002128081718</v>
      </c>
      <c r="G375" s="24">
        <f t="shared" si="4"/>
        <v>0</v>
      </c>
      <c r="H375" s="26">
        <f t="shared" si="5"/>
        <v>0</v>
      </c>
      <c r="I375" s="24">
        <f t="shared" si="6"/>
        <v>0</v>
      </c>
      <c r="J375" s="24">
        <f t="shared" si="7"/>
        <v>0</v>
      </c>
      <c r="K375" s="24"/>
      <c r="L375" s="24">
        <f t="shared" si="8"/>
        <v>404.2437159</v>
      </c>
      <c r="M375" s="14">
        <f t="shared" si="9"/>
        <v>404.7311419</v>
      </c>
      <c r="N375" s="27">
        <f t="shared" si="10"/>
        <v>-0.4874259795</v>
      </c>
      <c r="O375" s="24"/>
      <c r="P375" s="24"/>
      <c r="Q375" s="24"/>
      <c r="R375" s="26"/>
      <c r="S375" s="14">
        <f t="shared" si="13"/>
        <v>-0.447601392</v>
      </c>
    </row>
    <row r="376">
      <c r="A376" s="11">
        <v>364.0</v>
      </c>
      <c r="B376" s="11">
        <v>1.42097826086956E9</v>
      </c>
      <c r="C376" s="2">
        <v>-102.7311859</v>
      </c>
      <c r="D376" s="24">
        <f t="shared" si="1"/>
        <v>578260.8696</v>
      </c>
      <c r="E376" s="25">
        <f t="shared" si="2"/>
        <v>-123.0516817</v>
      </c>
      <c r="F376" s="24">
        <f t="shared" si="3"/>
        <v>0.0002127961413</v>
      </c>
      <c r="G376" s="24">
        <f t="shared" si="4"/>
        <v>0</v>
      </c>
      <c r="H376" s="26">
        <f t="shared" si="5"/>
        <v>0</v>
      </c>
      <c r="I376" s="24">
        <f t="shared" si="6"/>
        <v>0</v>
      </c>
      <c r="J376" s="24">
        <f t="shared" si="7"/>
        <v>0</v>
      </c>
      <c r="K376" s="24"/>
      <c r="L376" s="24">
        <f t="shared" si="8"/>
        <v>405.4969364</v>
      </c>
      <c r="M376" s="14">
        <f t="shared" si="9"/>
        <v>404.6541611</v>
      </c>
      <c r="N376" s="27">
        <f t="shared" si="10"/>
        <v>0.8427753092</v>
      </c>
      <c r="O376" s="24"/>
      <c r="P376" s="24"/>
      <c r="Q376" s="24"/>
      <c r="R376" s="26"/>
      <c r="S376" s="14">
        <f t="shared" si="13"/>
        <v>0.7739173054</v>
      </c>
    </row>
    <row r="377">
      <c r="A377" s="11">
        <v>365.0</v>
      </c>
      <c r="B377" s="11">
        <v>1.42098260869565E9</v>
      </c>
      <c r="C377" s="2">
        <v>-102.7279282</v>
      </c>
      <c r="D377" s="24">
        <f t="shared" si="1"/>
        <v>582608.6957</v>
      </c>
      <c r="E377" s="25">
        <f t="shared" si="2"/>
        <v>-123.9699778</v>
      </c>
      <c r="F377" s="24">
        <f t="shared" si="3"/>
        <v>0.0002127842903</v>
      </c>
      <c r="G377" s="24">
        <f t="shared" si="4"/>
        <v>0</v>
      </c>
      <c r="H377" s="26">
        <f t="shared" si="5"/>
        <v>0</v>
      </c>
      <c r="I377" s="24">
        <f t="shared" si="6"/>
        <v>0</v>
      </c>
      <c r="J377" s="24">
        <f t="shared" si="7"/>
        <v>0</v>
      </c>
      <c r="K377" s="24"/>
      <c r="L377" s="24">
        <f t="shared" si="8"/>
        <v>405.8012191</v>
      </c>
      <c r="M377" s="14">
        <f t="shared" si="9"/>
        <v>404.5770526</v>
      </c>
      <c r="N377" s="27">
        <f t="shared" si="10"/>
        <v>1.224166439</v>
      </c>
      <c r="O377" s="24"/>
      <c r="P377" s="24"/>
      <c r="Q377" s="24"/>
      <c r="R377" s="26"/>
      <c r="S377" s="14">
        <f t="shared" si="13"/>
        <v>1.124147307</v>
      </c>
    </row>
    <row r="378">
      <c r="A378" s="11">
        <v>366.0</v>
      </c>
      <c r="B378" s="11">
        <v>1.42098695652173E9</v>
      </c>
      <c r="C378" s="2">
        <v>-102.713356</v>
      </c>
      <c r="D378" s="24">
        <f t="shared" si="1"/>
        <v>586956.5217</v>
      </c>
      <c r="E378" s="25">
        <f t="shared" si="2"/>
        <v>-124.888274</v>
      </c>
      <c r="F378" s="24">
        <f t="shared" si="3"/>
        <v>0.0002127726149</v>
      </c>
      <c r="G378" s="24">
        <f t="shared" si="4"/>
        <v>0</v>
      </c>
      <c r="H378" s="26">
        <f t="shared" si="5"/>
        <v>0</v>
      </c>
      <c r="I378" s="24">
        <f t="shared" si="6"/>
        <v>0</v>
      </c>
      <c r="J378" s="24">
        <f t="shared" si="7"/>
        <v>0</v>
      </c>
      <c r="K378" s="24"/>
      <c r="L378" s="24">
        <f t="shared" si="8"/>
        <v>407.1651205</v>
      </c>
      <c r="M378" s="14">
        <f t="shared" si="9"/>
        <v>404.4998144</v>
      </c>
      <c r="N378" s="27">
        <f t="shared" si="10"/>
        <v>2.665306089</v>
      </c>
      <c r="O378" s="24"/>
      <c r="P378" s="24"/>
      <c r="Q378" s="24"/>
      <c r="R378" s="26"/>
      <c r="S378" s="14">
        <f t="shared" si="13"/>
        <v>2.447540274</v>
      </c>
    </row>
    <row r="379">
      <c r="A379" s="11">
        <v>367.0</v>
      </c>
      <c r="B379" s="11">
        <v>1.42099130434782E9</v>
      </c>
      <c r="C379" s="2">
        <v>-102.6720734</v>
      </c>
      <c r="D379" s="24">
        <f t="shared" si="1"/>
        <v>591304.3478</v>
      </c>
      <c r="E379" s="25">
        <f t="shared" si="2"/>
        <v>-125.8065701</v>
      </c>
      <c r="F379" s="24">
        <f t="shared" si="3"/>
        <v>0.0002127611112</v>
      </c>
      <c r="G379" s="24">
        <f t="shared" si="4"/>
        <v>0</v>
      </c>
      <c r="H379" s="26">
        <f t="shared" si="5"/>
        <v>0</v>
      </c>
      <c r="I379" s="24">
        <f t="shared" si="6"/>
        <v>0</v>
      </c>
      <c r="J379" s="24">
        <f t="shared" si="7"/>
        <v>0</v>
      </c>
      <c r="K379" s="24"/>
      <c r="L379" s="24">
        <f t="shared" si="8"/>
        <v>411.0539514</v>
      </c>
      <c r="M379" s="14">
        <f t="shared" si="9"/>
        <v>404.4224441</v>
      </c>
      <c r="N379" s="27">
        <f t="shared" si="10"/>
        <v>6.631507274</v>
      </c>
      <c r="O379" s="24"/>
      <c r="P379" s="24"/>
      <c r="Q379" s="24"/>
      <c r="R379" s="26"/>
      <c r="S379" s="14">
        <f t="shared" si="13"/>
        <v>6.089687484</v>
      </c>
    </row>
    <row r="380">
      <c r="A380" s="11">
        <v>368.0</v>
      </c>
      <c r="B380" s="11">
        <v>1.42099565217391E9</v>
      </c>
      <c r="C380" s="2">
        <v>-102.7879791</v>
      </c>
      <c r="D380" s="24">
        <f t="shared" si="1"/>
        <v>595652.1739</v>
      </c>
      <c r="E380" s="25">
        <f t="shared" si="2"/>
        <v>-126.7248662</v>
      </c>
      <c r="F380" s="24">
        <f t="shared" si="3"/>
        <v>0.0002127497754</v>
      </c>
      <c r="G380" s="24">
        <f t="shared" si="4"/>
        <v>0</v>
      </c>
      <c r="H380" s="26">
        <f t="shared" si="5"/>
        <v>0</v>
      </c>
      <c r="I380" s="24">
        <f t="shared" si="6"/>
        <v>0</v>
      </c>
      <c r="J380" s="24">
        <f t="shared" si="7"/>
        <v>0</v>
      </c>
      <c r="K380" s="24"/>
      <c r="L380" s="24">
        <f t="shared" si="8"/>
        <v>400.2287269</v>
      </c>
      <c r="M380" s="14">
        <f t="shared" si="9"/>
        <v>404.3449397</v>
      </c>
      <c r="N380" s="27">
        <f t="shared" si="10"/>
        <v>-4.116212861</v>
      </c>
      <c r="O380" s="24"/>
      <c r="P380" s="24"/>
      <c r="Q380" s="24"/>
      <c r="R380" s="26"/>
      <c r="S380" s="14">
        <f t="shared" si="13"/>
        <v>-3.779902343</v>
      </c>
    </row>
    <row r="381">
      <c r="A381" s="11">
        <v>369.0</v>
      </c>
      <c r="B381" s="11">
        <v>1.421E9</v>
      </c>
      <c r="C381" s="2">
        <v>-102.7241898</v>
      </c>
      <c r="D381" s="24">
        <f t="shared" si="1"/>
        <v>600000</v>
      </c>
      <c r="E381" s="25">
        <f t="shared" si="2"/>
        <v>-127.6431624</v>
      </c>
      <c r="F381" s="24">
        <f t="shared" si="3"/>
        <v>0.0002127386039</v>
      </c>
      <c r="G381" s="24">
        <f t="shared" si="4"/>
        <v>0</v>
      </c>
      <c r="H381" s="26">
        <f t="shared" si="5"/>
        <v>0</v>
      </c>
      <c r="I381" s="24">
        <f t="shared" si="6"/>
        <v>0</v>
      </c>
      <c r="J381" s="24">
        <f t="shared" si="7"/>
        <v>0</v>
      </c>
      <c r="K381" s="24"/>
      <c r="L381" s="24">
        <f t="shared" si="8"/>
        <v>406.1506825</v>
      </c>
      <c r="M381" s="14">
        <f t="shared" si="9"/>
        <v>404.2672989</v>
      </c>
      <c r="N381" s="27">
        <f t="shared" si="10"/>
        <v>1.883383567</v>
      </c>
      <c r="O381" s="24"/>
      <c r="P381" s="24"/>
      <c r="Q381" s="24"/>
      <c r="R381" s="26"/>
      <c r="S381" s="14">
        <f t="shared" si="13"/>
        <v>1.729503846</v>
      </c>
    </row>
    <row r="382">
      <c r="A382" s="11">
        <v>370.0</v>
      </c>
      <c r="B382" s="11">
        <v>1.42100434782608E9</v>
      </c>
      <c r="C382" s="2">
        <v>-102.7032318</v>
      </c>
      <c r="D382" s="24">
        <f t="shared" si="1"/>
        <v>604347.8261</v>
      </c>
      <c r="E382" s="25">
        <f t="shared" si="2"/>
        <v>-128.5614585</v>
      </c>
      <c r="F382" s="24">
        <f t="shared" si="3"/>
        <v>0.0002127275932</v>
      </c>
      <c r="G382" s="24">
        <f t="shared" si="4"/>
        <v>0</v>
      </c>
      <c r="H382" s="26">
        <f t="shared" si="5"/>
        <v>0</v>
      </c>
      <c r="I382" s="24">
        <f t="shared" si="6"/>
        <v>0</v>
      </c>
      <c r="J382" s="24">
        <f t="shared" si="7"/>
        <v>0</v>
      </c>
      <c r="K382" s="24"/>
      <c r="L382" s="24">
        <f t="shared" si="8"/>
        <v>408.1154042</v>
      </c>
      <c r="M382" s="14">
        <f t="shared" si="9"/>
        <v>404.1895197</v>
      </c>
      <c r="N382" s="27">
        <f t="shared" si="10"/>
        <v>3.925884518</v>
      </c>
      <c r="O382" s="24"/>
      <c r="P382" s="24"/>
      <c r="Q382" s="24"/>
      <c r="R382" s="26"/>
      <c r="S382" s="14">
        <f t="shared" si="13"/>
        <v>3.605124571</v>
      </c>
    </row>
    <row r="383">
      <c r="A383" s="11">
        <v>371.0</v>
      </c>
      <c r="B383" s="11">
        <v>1.42100869565217E9</v>
      </c>
      <c r="C383" s="2">
        <v>-102.744957</v>
      </c>
      <c r="D383" s="24">
        <f t="shared" si="1"/>
        <v>608695.6522</v>
      </c>
      <c r="E383" s="25">
        <f t="shared" si="2"/>
        <v>-129.4797546</v>
      </c>
      <c r="F383" s="24">
        <f t="shared" si="3"/>
        <v>0.0002127167398</v>
      </c>
      <c r="G383" s="24">
        <f t="shared" si="4"/>
        <v>0</v>
      </c>
      <c r="H383" s="26">
        <f t="shared" si="5"/>
        <v>0</v>
      </c>
      <c r="I383" s="24">
        <f t="shared" si="6"/>
        <v>0</v>
      </c>
      <c r="J383" s="24">
        <f t="shared" si="7"/>
        <v>0</v>
      </c>
      <c r="K383" s="24"/>
      <c r="L383" s="24">
        <f t="shared" si="8"/>
        <v>404.2131773</v>
      </c>
      <c r="M383" s="14">
        <f t="shared" si="9"/>
        <v>404.1115997</v>
      </c>
      <c r="N383" s="27">
        <f t="shared" si="10"/>
        <v>0.1015776497</v>
      </c>
      <c r="O383" s="24"/>
      <c r="P383" s="24"/>
      <c r="Q383" s="24"/>
      <c r="R383" s="26"/>
      <c r="S383" s="14">
        <f t="shared" si="13"/>
        <v>0.09327836269</v>
      </c>
    </row>
    <row r="384">
      <c r="A384" s="11">
        <v>372.0</v>
      </c>
      <c r="B384" s="11">
        <v>1.42101304347826E9</v>
      </c>
      <c r="C384" s="2">
        <v>-102.751915</v>
      </c>
      <c r="D384" s="24">
        <f t="shared" si="1"/>
        <v>613043.4783</v>
      </c>
      <c r="E384" s="25">
        <f t="shared" si="2"/>
        <v>-130.3980508</v>
      </c>
      <c r="F384" s="24">
        <f t="shared" si="3"/>
        <v>0.0002127060402</v>
      </c>
      <c r="G384" s="24">
        <f t="shared" si="4"/>
        <v>0</v>
      </c>
      <c r="H384" s="26">
        <f t="shared" si="5"/>
        <v>0</v>
      </c>
      <c r="I384" s="24">
        <f t="shared" si="6"/>
        <v>0</v>
      </c>
      <c r="J384" s="24">
        <f t="shared" si="7"/>
        <v>0</v>
      </c>
      <c r="K384" s="24"/>
      <c r="L384" s="24">
        <f t="shared" si="8"/>
        <v>403.5660902</v>
      </c>
      <c r="M384" s="14">
        <f t="shared" si="9"/>
        <v>404.0335368</v>
      </c>
      <c r="N384" s="27">
        <f t="shared" si="10"/>
        <v>-0.4674465675</v>
      </c>
      <c r="O384" s="24"/>
      <c r="P384" s="24"/>
      <c r="Q384" s="24"/>
      <c r="R384" s="26"/>
      <c r="S384" s="14">
        <f t="shared" si="13"/>
        <v>-0.4292543752</v>
      </c>
    </row>
    <row r="385">
      <c r="A385" s="11">
        <v>373.0</v>
      </c>
      <c r="B385" s="11">
        <v>1.42101739130434E9</v>
      </c>
      <c r="C385" s="2">
        <v>-102.7672195</v>
      </c>
      <c r="D385" s="24">
        <f t="shared" si="1"/>
        <v>617391.3043</v>
      </c>
      <c r="E385" s="25">
        <f t="shared" si="2"/>
        <v>-131.3163469</v>
      </c>
      <c r="F385" s="24">
        <f t="shared" si="3"/>
        <v>0.0002126954915</v>
      </c>
      <c r="G385" s="24">
        <f t="shared" si="4"/>
        <v>0</v>
      </c>
      <c r="H385" s="26">
        <f t="shared" si="5"/>
        <v>0</v>
      </c>
      <c r="I385" s="24">
        <f t="shared" si="6"/>
        <v>0</v>
      </c>
      <c r="J385" s="24">
        <f t="shared" si="7"/>
        <v>0</v>
      </c>
      <c r="K385" s="24"/>
      <c r="L385" s="24">
        <f t="shared" si="8"/>
        <v>402.1464297</v>
      </c>
      <c r="M385" s="14">
        <f t="shared" si="9"/>
        <v>403.9553289</v>
      </c>
      <c r="N385" s="27">
        <f t="shared" si="10"/>
        <v>-1.808899166</v>
      </c>
      <c r="O385" s="24"/>
      <c r="P385" s="24"/>
      <c r="Q385" s="24"/>
      <c r="R385" s="26"/>
      <c r="S385" s="14">
        <f t="shared" si="13"/>
        <v>-1.661105109</v>
      </c>
    </row>
    <row r="386">
      <c r="A386" s="11">
        <v>374.0</v>
      </c>
      <c r="B386" s="11">
        <v>1.42102173913043E9</v>
      </c>
      <c r="C386" s="2">
        <v>-102.792717</v>
      </c>
      <c r="D386" s="24">
        <f t="shared" si="1"/>
        <v>621739.1304</v>
      </c>
      <c r="E386" s="25">
        <f t="shared" si="2"/>
        <v>-132.234643</v>
      </c>
      <c r="F386" s="24">
        <f t="shared" si="3"/>
        <v>0.0002126850902</v>
      </c>
      <c r="G386" s="24">
        <f t="shared" si="4"/>
        <v>0</v>
      </c>
      <c r="H386" s="26">
        <f t="shared" si="5"/>
        <v>0</v>
      </c>
      <c r="I386" s="24">
        <f t="shared" si="6"/>
        <v>0</v>
      </c>
      <c r="J386" s="24">
        <f t="shared" si="7"/>
        <v>0</v>
      </c>
      <c r="K386" s="24"/>
      <c r="L386" s="24">
        <f t="shared" si="8"/>
        <v>399.7923387</v>
      </c>
      <c r="M386" s="14">
        <f t="shared" si="9"/>
        <v>403.8769738</v>
      </c>
      <c r="N386" s="27">
        <f t="shared" si="10"/>
        <v>-4.084635076</v>
      </c>
      <c r="O386" s="24"/>
      <c r="P386" s="24"/>
      <c r="Q386" s="24"/>
      <c r="R386" s="26"/>
      <c r="S386" s="14">
        <f t="shared" si="13"/>
        <v>-3.750904586</v>
      </c>
    </row>
    <row r="387">
      <c r="A387" s="11">
        <v>375.0</v>
      </c>
      <c r="B387" s="11">
        <v>1.42102608695652E9</v>
      </c>
      <c r="C387" s="2">
        <v>-102.7763824</v>
      </c>
      <c r="D387" s="24">
        <f t="shared" si="1"/>
        <v>626086.9565</v>
      </c>
      <c r="E387" s="25">
        <f t="shared" si="2"/>
        <v>-133.1529392</v>
      </c>
      <c r="F387" s="24">
        <f t="shared" si="3"/>
        <v>0.0002126748334</v>
      </c>
      <c r="G387" s="24">
        <f t="shared" si="4"/>
        <v>0</v>
      </c>
      <c r="H387" s="26">
        <f t="shared" si="5"/>
        <v>0</v>
      </c>
      <c r="I387" s="24">
        <f t="shared" si="6"/>
        <v>0</v>
      </c>
      <c r="J387" s="24">
        <f t="shared" si="7"/>
        <v>0</v>
      </c>
      <c r="K387" s="24"/>
      <c r="L387" s="24">
        <f t="shared" si="8"/>
        <v>401.2988613</v>
      </c>
      <c r="M387" s="14">
        <f t="shared" si="9"/>
        <v>403.7984692</v>
      </c>
      <c r="N387" s="27">
        <f t="shared" si="10"/>
        <v>-2.499607958</v>
      </c>
      <c r="O387" s="24"/>
      <c r="P387" s="24"/>
      <c r="Q387" s="24"/>
      <c r="R387" s="26"/>
      <c r="S387" s="14">
        <f t="shared" si="13"/>
        <v>-2.295380321</v>
      </c>
    </row>
    <row r="388">
      <c r="A388" s="11">
        <v>376.0</v>
      </c>
      <c r="B388" s="11">
        <v>1.4210304347826E9</v>
      </c>
      <c r="C388" s="2">
        <v>-102.7409973</v>
      </c>
      <c r="D388" s="24">
        <f t="shared" si="1"/>
        <v>630434.7826</v>
      </c>
      <c r="E388" s="25">
        <f t="shared" si="2"/>
        <v>-134.0712353</v>
      </c>
      <c r="F388" s="24">
        <f t="shared" si="3"/>
        <v>0.0002126647181</v>
      </c>
      <c r="G388" s="24">
        <f t="shared" si="4"/>
        <v>0</v>
      </c>
      <c r="H388" s="26">
        <f t="shared" si="5"/>
        <v>0</v>
      </c>
      <c r="I388" s="24">
        <f t="shared" si="6"/>
        <v>0</v>
      </c>
      <c r="J388" s="24">
        <f t="shared" si="7"/>
        <v>0</v>
      </c>
      <c r="K388" s="24"/>
      <c r="L388" s="24">
        <f t="shared" si="8"/>
        <v>404.5818886</v>
      </c>
      <c r="M388" s="14">
        <f t="shared" si="9"/>
        <v>403.7198131</v>
      </c>
      <c r="N388" s="27">
        <f t="shared" si="10"/>
        <v>0.8620754967</v>
      </c>
      <c r="O388" s="24"/>
      <c r="P388" s="24"/>
      <c r="Q388" s="24"/>
      <c r="R388" s="26"/>
      <c r="S388" s="14">
        <f t="shared" si="13"/>
        <v>0.7916405947</v>
      </c>
    </row>
    <row r="389">
      <c r="A389" s="11">
        <v>377.0</v>
      </c>
      <c r="B389" s="11">
        <v>1.42103478260869E9</v>
      </c>
      <c r="C389" s="2">
        <v>-102.7466812</v>
      </c>
      <c r="D389" s="24">
        <f t="shared" si="1"/>
        <v>634782.6087</v>
      </c>
      <c r="E389" s="25">
        <f t="shared" si="2"/>
        <v>-134.9895314</v>
      </c>
      <c r="F389" s="24">
        <f t="shared" si="3"/>
        <v>0.0002126547413</v>
      </c>
      <c r="G389" s="24">
        <f t="shared" si="4"/>
        <v>0</v>
      </c>
      <c r="H389" s="26">
        <f t="shared" si="5"/>
        <v>0</v>
      </c>
      <c r="I389" s="24">
        <f t="shared" si="6"/>
        <v>0</v>
      </c>
      <c r="J389" s="24">
        <f t="shared" si="7"/>
        <v>0</v>
      </c>
      <c r="K389" s="24"/>
      <c r="L389" s="24">
        <f t="shared" si="8"/>
        <v>404.0527318</v>
      </c>
      <c r="M389" s="14">
        <f t="shared" si="9"/>
        <v>403.6410033</v>
      </c>
      <c r="N389" s="27">
        <f t="shared" si="10"/>
        <v>0.411728551</v>
      </c>
      <c r="O389" s="24"/>
      <c r="P389" s="24"/>
      <c r="Q389" s="24"/>
      <c r="R389" s="26"/>
      <c r="S389" s="14">
        <f t="shared" si="13"/>
        <v>0.3780887361</v>
      </c>
    </row>
    <row r="390">
      <c r="A390" s="11">
        <v>378.0</v>
      </c>
      <c r="B390" s="11">
        <v>1.42103913043478E9</v>
      </c>
      <c r="C390" s="2">
        <v>-102.7382965</v>
      </c>
      <c r="D390" s="24">
        <f t="shared" si="1"/>
        <v>639130.4348</v>
      </c>
      <c r="E390" s="25">
        <f t="shared" si="2"/>
        <v>-135.9078276</v>
      </c>
      <c r="F390" s="24">
        <f t="shared" si="3"/>
        <v>0.0002126449003</v>
      </c>
      <c r="G390" s="24">
        <f t="shared" si="4"/>
        <v>0</v>
      </c>
      <c r="H390" s="26">
        <f t="shared" si="5"/>
        <v>0</v>
      </c>
      <c r="I390" s="24">
        <f t="shared" si="6"/>
        <v>0</v>
      </c>
      <c r="J390" s="24">
        <f t="shared" si="7"/>
        <v>0</v>
      </c>
      <c r="K390" s="24"/>
      <c r="L390" s="24">
        <f t="shared" si="8"/>
        <v>404.8335691</v>
      </c>
      <c r="M390" s="14">
        <f t="shared" si="9"/>
        <v>403.5620375</v>
      </c>
      <c r="N390" s="27">
        <f t="shared" si="10"/>
        <v>1.271531673</v>
      </c>
      <c r="O390" s="24"/>
      <c r="P390" s="24"/>
      <c r="Q390" s="24"/>
      <c r="R390" s="26"/>
      <c r="S390" s="14">
        <f t="shared" si="13"/>
        <v>1.167642616</v>
      </c>
    </row>
    <row r="391">
      <c r="A391" s="11">
        <v>379.0</v>
      </c>
      <c r="B391" s="11">
        <v>1.42104347826087E9</v>
      </c>
      <c r="C391" s="2">
        <v>-102.7229309</v>
      </c>
      <c r="D391" s="24">
        <f t="shared" si="1"/>
        <v>643478.2609</v>
      </c>
      <c r="E391" s="25">
        <f t="shared" si="2"/>
        <v>-136.8261237</v>
      </c>
      <c r="F391" s="24">
        <f t="shared" si="3"/>
        <v>0.0002126351922</v>
      </c>
      <c r="G391" s="24">
        <f t="shared" si="4"/>
        <v>0</v>
      </c>
      <c r="H391" s="26">
        <f t="shared" si="5"/>
        <v>0</v>
      </c>
      <c r="I391" s="24">
        <f t="shared" si="6"/>
        <v>0</v>
      </c>
      <c r="J391" s="24">
        <f t="shared" si="7"/>
        <v>0</v>
      </c>
      <c r="K391" s="24"/>
      <c r="L391" s="24">
        <f t="shared" si="8"/>
        <v>406.2684315</v>
      </c>
      <c r="M391" s="14">
        <f t="shared" si="9"/>
        <v>403.4829136</v>
      </c>
      <c r="N391" s="27">
        <f t="shared" si="10"/>
        <v>2.785517908</v>
      </c>
      <c r="O391" s="24"/>
      <c r="P391" s="24"/>
      <c r="Q391" s="24"/>
      <c r="R391" s="26"/>
      <c r="S391" s="14">
        <f t="shared" si="13"/>
        <v>2.557930322</v>
      </c>
    </row>
    <row r="392">
      <c r="A392" s="11">
        <v>380.0</v>
      </c>
      <c r="B392" s="11">
        <v>1.42104782608695E9</v>
      </c>
      <c r="C392" s="2">
        <v>-102.7265549</v>
      </c>
      <c r="D392" s="24">
        <f t="shared" si="1"/>
        <v>647826.087</v>
      </c>
      <c r="E392" s="25">
        <f t="shared" si="2"/>
        <v>-137.7444198</v>
      </c>
      <c r="F392" s="24">
        <f t="shared" si="3"/>
        <v>0.0002126256145</v>
      </c>
      <c r="G392" s="24">
        <f t="shared" si="4"/>
        <v>0</v>
      </c>
      <c r="H392" s="26">
        <f t="shared" si="5"/>
        <v>0</v>
      </c>
      <c r="I392" s="24">
        <f t="shared" si="6"/>
        <v>0</v>
      </c>
      <c r="J392" s="24">
        <f t="shared" si="7"/>
        <v>0</v>
      </c>
      <c r="K392" s="24"/>
      <c r="L392" s="24">
        <f t="shared" si="8"/>
        <v>405.9295594</v>
      </c>
      <c r="M392" s="14">
        <f t="shared" si="9"/>
        <v>403.4036294</v>
      </c>
      <c r="N392" s="27">
        <f t="shared" si="10"/>
        <v>2.525930022</v>
      </c>
      <c r="O392" s="24"/>
      <c r="P392" s="24"/>
      <c r="Q392" s="24"/>
      <c r="R392" s="26"/>
      <c r="S392" s="14">
        <f t="shared" si="13"/>
        <v>2.319551771</v>
      </c>
    </row>
    <row r="393">
      <c r="A393" s="11">
        <v>381.0</v>
      </c>
      <c r="B393" s="11">
        <v>1.42105217391304E9</v>
      </c>
      <c r="C393" s="2">
        <v>-102.7622375</v>
      </c>
      <c r="D393" s="24">
        <f t="shared" si="1"/>
        <v>652173.913</v>
      </c>
      <c r="E393" s="25">
        <f t="shared" si="2"/>
        <v>-138.662716</v>
      </c>
      <c r="F393" s="24">
        <f t="shared" si="3"/>
        <v>0.0002126161645</v>
      </c>
      <c r="G393" s="24">
        <f t="shared" si="4"/>
        <v>0</v>
      </c>
      <c r="H393" s="26">
        <f t="shared" si="5"/>
        <v>0</v>
      </c>
      <c r="I393" s="24">
        <f t="shared" si="6"/>
        <v>0</v>
      </c>
      <c r="J393" s="24">
        <f t="shared" si="7"/>
        <v>0</v>
      </c>
      <c r="K393" s="24"/>
      <c r="L393" s="24">
        <f t="shared" si="8"/>
        <v>402.6080159</v>
      </c>
      <c r="M393" s="14">
        <f t="shared" si="9"/>
        <v>403.3241827</v>
      </c>
      <c r="N393" s="27">
        <f t="shared" si="10"/>
        <v>-0.7161668797</v>
      </c>
      <c r="O393" s="24"/>
      <c r="P393" s="24"/>
      <c r="Q393" s="24"/>
      <c r="R393" s="26"/>
      <c r="S393" s="14">
        <f t="shared" si="13"/>
        <v>-0.6576532745</v>
      </c>
    </row>
    <row r="394">
      <c r="A394" s="11">
        <v>382.0</v>
      </c>
      <c r="B394" s="11">
        <v>1.42105652173913E9</v>
      </c>
      <c r="C394" s="2">
        <v>-102.7386398</v>
      </c>
      <c r="D394" s="24">
        <f t="shared" si="1"/>
        <v>656521.7391</v>
      </c>
      <c r="E394" s="25">
        <f t="shared" si="2"/>
        <v>-139.5810121</v>
      </c>
      <c r="F394" s="24">
        <f t="shared" si="3"/>
        <v>0.0002126068396</v>
      </c>
      <c r="G394" s="24">
        <f t="shared" si="4"/>
        <v>0</v>
      </c>
      <c r="H394" s="26">
        <f t="shared" si="5"/>
        <v>0</v>
      </c>
      <c r="I394" s="24">
        <f t="shared" si="6"/>
        <v>0</v>
      </c>
      <c r="J394" s="24">
        <f t="shared" si="7"/>
        <v>0</v>
      </c>
      <c r="K394" s="24"/>
      <c r="L394" s="24">
        <f t="shared" si="8"/>
        <v>404.8015692</v>
      </c>
      <c r="M394" s="14">
        <f t="shared" si="9"/>
        <v>403.2445715</v>
      </c>
      <c r="N394" s="27">
        <f t="shared" si="10"/>
        <v>1.556997733</v>
      </c>
      <c r="O394" s="24"/>
      <c r="P394" s="24"/>
      <c r="Q394" s="24"/>
      <c r="R394" s="26"/>
      <c r="S394" s="14">
        <f t="shared" si="13"/>
        <v>1.429784997</v>
      </c>
    </row>
    <row r="395">
      <c r="A395" s="11">
        <v>383.0</v>
      </c>
      <c r="B395" s="11">
        <v>1.42106086956521E9</v>
      </c>
      <c r="C395" s="2">
        <v>-102.7451248</v>
      </c>
      <c r="D395" s="24">
        <f t="shared" si="1"/>
        <v>660869.5652</v>
      </c>
      <c r="E395" s="25">
        <f t="shared" si="2"/>
        <v>-140.4993082</v>
      </c>
      <c r="F395" s="24">
        <f t="shared" si="3"/>
        <v>0.0002125976374</v>
      </c>
      <c r="G395" s="24">
        <f t="shared" si="4"/>
        <v>0</v>
      </c>
      <c r="H395" s="26">
        <f t="shared" si="5"/>
        <v>0</v>
      </c>
      <c r="I395" s="24">
        <f t="shared" si="6"/>
        <v>0</v>
      </c>
      <c r="J395" s="24">
        <f t="shared" si="7"/>
        <v>0</v>
      </c>
      <c r="K395" s="24"/>
      <c r="L395" s="24">
        <f t="shared" si="8"/>
        <v>404.1975599</v>
      </c>
      <c r="M395" s="14">
        <f t="shared" si="9"/>
        <v>403.1647934</v>
      </c>
      <c r="N395" s="27">
        <f t="shared" si="10"/>
        <v>1.032766477</v>
      </c>
      <c r="O395" s="24"/>
      <c r="P395" s="24"/>
      <c r="Q395" s="24"/>
      <c r="R395" s="26"/>
      <c r="S395" s="14">
        <f t="shared" si="13"/>
        <v>0.9483854623</v>
      </c>
    </row>
    <row r="396">
      <c r="A396" s="11">
        <v>384.0</v>
      </c>
      <c r="B396" s="11">
        <v>1.4210652173913E9</v>
      </c>
      <c r="C396" s="2">
        <v>-102.7243423</v>
      </c>
      <c r="D396" s="24">
        <f t="shared" si="1"/>
        <v>665217.3913</v>
      </c>
      <c r="E396" s="25">
        <f t="shared" si="2"/>
        <v>-141.4176043</v>
      </c>
      <c r="F396" s="24">
        <f t="shared" si="3"/>
        <v>0.0002125885556</v>
      </c>
      <c r="G396" s="24">
        <f t="shared" si="4"/>
        <v>0</v>
      </c>
      <c r="H396" s="26">
        <f t="shared" si="5"/>
        <v>0</v>
      </c>
      <c r="I396" s="24">
        <f t="shared" si="6"/>
        <v>0</v>
      </c>
      <c r="J396" s="24">
        <f t="shared" si="7"/>
        <v>0</v>
      </c>
      <c r="K396" s="24"/>
      <c r="L396" s="24">
        <f t="shared" si="8"/>
        <v>406.136421</v>
      </c>
      <c r="M396" s="14">
        <f t="shared" si="9"/>
        <v>403.0848464</v>
      </c>
      <c r="N396" s="27">
        <f t="shared" si="10"/>
        <v>3.051574667</v>
      </c>
      <c r="O396" s="24"/>
      <c r="P396" s="24"/>
      <c r="Q396" s="24"/>
      <c r="R396" s="26"/>
      <c r="S396" s="14">
        <f t="shared" si="13"/>
        <v>2.802249209</v>
      </c>
    </row>
    <row r="397">
      <c r="A397" s="11">
        <v>385.0</v>
      </c>
      <c r="B397" s="11">
        <v>1.42106956521739E9</v>
      </c>
      <c r="C397" s="2">
        <v>-102.7624283</v>
      </c>
      <c r="D397" s="24">
        <f t="shared" si="1"/>
        <v>669565.2174</v>
      </c>
      <c r="E397" s="25">
        <f t="shared" si="2"/>
        <v>-142.3359005</v>
      </c>
      <c r="F397" s="24">
        <f t="shared" si="3"/>
        <v>0.0002125795916</v>
      </c>
      <c r="G397" s="24">
        <f t="shared" si="4"/>
        <v>0</v>
      </c>
      <c r="H397" s="26">
        <f t="shared" si="5"/>
        <v>0</v>
      </c>
      <c r="I397" s="24">
        <f t="shared" si="6"/>
        <v>0</v>
      </c>
      <c r="J397" s="24">
        <f t="shared" si="7"/>
        <v>0</v>
      </c>
      <c r="K397" s="24"/>
      <c r="L397" s="24">
        <f t="shared" si="8"/>
        <v>402.5903283</v>
      </c>
      <c r="M397" s="14">
        <f t="shared" si="9"/>
        <v>403.0047281</v>
      </c>
      <c r="N397" s="27">
        <f t="shared" si="10"/>
        <v>-0.4143997868</v>
      </c>
      <c r="O397" s="24"/>
      <c r="P397" s="24"/>
      <c r="Q397" s="24"/>
      <c r="R397" s="26"/>
      <c r="S397" s="14">
        <f t="shared" si="13"/>
        <v>-0.3805417217</v>
      </c>
    </row>
    <row r="398">
      <c r="A398" s="11">
        <v>386.0</v>
      </c>
      <c r="B398" s="11">
        <v>1.42107391304347E9</v>
      </c>
      <c r="C398" s="2">
        <v>-102.7896576</v>
      </c>
      <c r="D398" s="24">
        <f t="shared" si="1"/>
        <v>673913.0435</v>
      </c>
      <c r="E398" s="25">
        <f t="shared" si="2"/>
        <v>-143.2541966</v>
      </c>
      <c r="F398" s="24">
        <f t="shared" si="3"/>
        <v>0.0002125707434</v>
      </c>
      <c r="G398" s="24">
        <f t="shared" si="4"/>
        <v>0</v>
      </c>
      <c r="H398" s="26">
        <f t="shared" si="5"/>
        <v>0</v>
      </c>
      <c r="I398" s="24">
        <f t="shared" si="6"/>
        <v>0</v>
      </c>
      <c r="J398" s="24">
        <f t="shared" si="7"/>
        <v>0</v>
      </c>
      <c r="K398" s="24"/>
      <c r="L398" s="24">
        <f t="shared" si="8"/>
        <v>400.0740728</v>
      </c>
      <c r="M398" s="14">
        <f t="shared" si="9"/>
        <v>402.9244366</v>
      </c>
      <c r="N398" s="27">
        <f t="shared" si="10"/>
        <v>-2.850363805</v>
      </c>
      <c r="O398" s="24"/>
      <c r="P398" s="24"/>
      <c r="Q398" s="24"/>
      <c r="R398" s="26"/>
      <c r="S398" s="14">
        <f t="shared" si="13"/>
        <v>-2.61747806</v>
      </c>
    </row>
    <row r="399">
      <c r="A399" s="11">
        <v>387.0</v>
      </c>
      <c r="B399" s="11">
        <v>1.42107826086956E9</v>
      </c>
      <c r="C399" s="2">
        <v>-102.7749023</v>
      </c>
      <c r="D399" s="24">
        <f t="shared" si="1"/>
        <v>678260.8696</v>
      </c>
      <c r="E399" s="25">
        <f t="shared" si="2"/>
        <v>-144.1724927</v>
      </c>
      <c r="F399" s="24">
        <f t="shared" si="3"/>
        <v>0.0002125620085</v>
      </c>
      <c r="G399" s="24">
        <f t="shared" si="4"/>
        <v>0</v>
      </c>
      <c r="H399" s="26">
        <f t="shared" si="5"/>
        <v>0</v>
      </c>
      <c r="I399" s="24">
        <f t="shared" si="6"/>
        <v>0</v>
      </c>
      <c r="J399" s="24">
        <f t="shared" si="7"/>
        <v>0</v>
      </c>
      <c r="K399" s="24"/>
      <c r="L399" s="24">
        <f t="shared" si="8"/>
        <v>401.4356495</v>
      </c>
      <c r="M399" s="14">
        <f t="shared" si="9"/>
        <v>402.8439695</v>
      </c>
      <c r="N399" s="27">
        <f t="shared" si="10"/>
        <v>-1.408320034</v>
      </c>
      <c r="O399" s="24"/>
      <c r="P399" s="24"/>
      <c r="Q399" s="24"/>
      <c r="R399" s="26"/>
      <c r="S399" s="14">
        <f t="shared" si="13"/>
        <v>-1.293254838</v>
      </c>
    </row>
    <row r="400">
      <c r="A400" s="11">
        <v>388.0</v>
      </c>
      <c r="B400" s="11">
        <v>1.42108260869565E9</v>
      </c>
      <c r="C400" s="2">
        <v>-102.7645264</v>
      </c>
      <c r="D400" s="24">
        <f t="shared" si="1"/>
        <v>682608.6957</v>
      </c>
      <c r="E400" s="25">
        <f t="shared" si="2"/>
        <v>-145.0907889</v>
      </c>
      <c r="F400" s="24">
        <f t="shared" si="3"/>
        <v>0.000212553385</v>
      </c>
      <c r="G400" s="24">
        <f t="shared" si="4"/>
        <v>0</v>
      </c>
      <c r="H400" s="26">
        <f t="shared" si="5"/>
        <v>0</v>
      </c>
      <c r="I400" s="24">
        <f t="shared" si="6"/>
        <v>0</v>
      </c>
      <c r="J400" s="24">
        <f t="shared" si="7"/>
        <v>0</v>
      </c>
      <c r="K400" s="24"/>
      <c r="L400" s="24">
        <f t="shared" si="8"/>
        <v>402.3958818</v>
      </c>
      <c r="M400" s="14">
        <f t="shared" si="9"/>
        <v>402.7633248</v>
      </c>
      <c r="N400" s="27">
        <f t="shared" si="10"/>
        <v>-0.3674430047</v>
      </c>
      <c r="O400" s="24"/>
      <c r="P400" s="24"/>
      <c r="Q400" s="24"/>
      <c r="R400" s="26"/>
      <c r="S400" s="14">
        <f t="shared" si="13"/>
        <v>-0.3374214902</v>
      </c>
    </row>
    <row r="401">
      <c r="A401" s="11">
        <v>389.0</v>
      </c>
      <c r="B401" s="11">
        <v>1.42108695652173E9</v>
      </c>
      <c r="C401" s="2">
        <v>-102.7738037</v>
      </c>
      <c r="D401" s="24">
        <f t="shared" si="1"/>
        <v>686956.5217</v>
      </c>
      <c r="E401" s="25">
        <f t="shared" si="2"/>
        <v>-146.009085</v>
      </c>
      <c r="F401" s="24">
        <f t="shared" si="3"/>
        <v>0.0002125448706</v>
      </c>
      <c r="G401" s="24">
        <f t="shared" si="4"/>
        <v>0</v>
      </c>
      <c r="H401" s="26">
        <f t="shared" si="5"/>
        <v>0</v>
      </c>
      <c r="I401" s="24">
        <f t="shared" si="6"/>
        <v>0</v>
      </c>
      <c r="J401" s="24">
        <f t="shared" si="7"/>
        <v>0</v>
      </c>
      <c r="K401" s="24"/>
      <c r="L401" s="24">
        <f t="shared" si="8"/>
        <v>401.5372103</v>
      </c>
      <c r="M401" s="14">
        <f t="shared" si="9"/>
        <v>402.6825002</v>
      </c>
      <c r="N401" s="27">
        <f t="shared" si="10"/>
        <v>-1.145289865</v>
      </c>
      <c r="O401" s="24"/>
      <c r="P401" s="24"/>
      <c r="Q401" s="24"/>
      <c r="R401" s="26"/>
      <c r="S401" s="14">
        <f t="shared" si="13"/>
        <v>-1.051715254</v>
      </c>
    </row>
    <row r="402">
      <c r="A402" s="11">
        <v>390.0</v>
      </c>
      <c r="B402" s="11">
        <v>1.42109130434782E9</v>
      </c>
      <c r="C402" s="2">
        <v>-102.7845764</v>
      </c>
      <c r="D402" s="24">
        <f t="shared" si="1"/>
        <v>691304.3478</v>
      </c>
      <c r="E402" s="25">
        <f t="shared" si="2"/>
        <v>-146.9273811</v>
      </c>
      <c r="F402" s="24">
        <f t="shared" si="3"/>
        <v>0.0002125364633</v>
      </c>
      <c r="G402" s="24">
        <f t="shared" si="4"/>
        <v>0</v>
      </c>
      <c r="H402" s="26">
        <f t="shared" si="5"/>
        <v>0</v>
      </c>
      <c r="I402" s="24">
        <f t="shared" si="6"/>
        <v>0</v>
      </c>
      <c r="J402" s="24">
        <f t="shared" si="7"/>
        <v>0</v>
      </c>
      <c r="K402" s="24"/>
      <c r="L402" s="24">
        <f t="shared" si="8"/>
        <v>400.5424292</v>
      </c>
      <c r="M402" s="14">
        <f t="shared" si="9"/>
        <v>402.6014935</v>
      </c>
      <c r="N402" s="27">
        <f t="shared" si="10"/>
        <v>-2.059064321</v>
      </c>
      <c r="O402" s="24"/>
      <c r="P402" s="24"/>
      <c r="Q402" s="24"/>
      <c r="R402" s="26"/>
      <c r="S402" s="14">
        <f t="shared" si="13"/>
        <v>-1.890830804</v>
      </c>
    </row>
    <row r="403">
      <c r="A403" s="11">
        <v>391.0</v>
      </c>
      <c r="B403" s="11">
        <v>1.42109565217391E9</v>
      </c>
      <c r="C403" s="2">
        <v>-102.743721</v>
      </c>
      <c r="D403" s="24">
        <f t="shared" si="1"/>
        <v>695652.1739</v>
      </c>
      <c r="E403" s="25">
        <f t="shared" si="2"/>
        <v>-147.8456773</v>
      </c>
      <c r="F403" s="24">
        <f t="shared" si="3"/>
        <v>0.0002125281611</v>
      </c>
      <c r="G403" s="24">
        <f t="shared" si="4"/>
        <v>0</v>
      </c>
      <c r="H403" s="26">
        <f t="shared" si="5"/>
        <v>0</v>
      </c>
      <c r="I403" s="24">
        <f t="shared" si="6"/>
        <v>0</v>
      </c>
      <c r="J403" s="24">
        <f t="shared" si="7"/>
        <v>0</v>
      </c>
      <c r="K403" s="24"/>
      <c r="L403" s="24">
        <f t="shared" si="8"/>
        <v>404.3282326</v>
      </c>
      <c r="M403" s="14">
        <f t="shared" si="9"/>
        <v>402.5203026</v>
      </c>
      <c r="N403" s="27">
        <f t="shared" si="10"/>
        <v>1.80792992</v>
      </c>
      <c r="O403" s="24"/>
      <c r="P403" s="24"/>
      <c r="Q403" s="24"/>
      <c r="R403" s="26"/>
      <c r="S403" s="14">
        <f t="shared" si="13"/>
        <v>1.66021505</v>
      </c>
    </row>
    <row r="404">
      <c r="A404" s="11">
        <v>392.0</v>
      </c>
      <c r="B404" s="11">
        <v>1.4211E9</v>
      </c>
      <c r="C404" s="2">
        <v>-102.7524185</v>
      </c>
      <c r="D404" s="24">
        <f t="shared" si="1"/>
        <v>700000</v>
      </c>
      <c r="E404" s="25">
        <f t="shared" si="2"/>
        <v>-148.7639734</v>
      </c>
      <c r="F404" s="24">
        <f t="shared" si="3"/>
        <v>0.000212519962</v>
      </c>
      <c r="G404" s="24">
        <f t="shared" si="4"/>
        <v>0</v>
      </c>
      <c r="H404" s="26">
        <f t="shared" si="5"/>
        <v>0</v>
      </c>
      <c r="I404" s="24">
        <f t="shared" si="6"/>
        <v>0</v>
      </c>
      <c r="J404" s="24">
        <f t="shared" si="7"/>
        <v>0</v>
      </c>
      <c r="K404" s="24"/>
      <c r="L404" s="24">
        <f t="shared" si="8"/>
        <v>403.5193055</v>
      </c>
      <c r="M404" s="14">
        <f t="shared" si="9"/>
        <v>402.4389254</v>
      </c>
      <c r="N404" s="27">
        <f t="shared" si="10"/>
        <v>1.080380063</v>
      </c>
      <c r="O404" s="24"/>
      <c r="P404" s="24"/>
      <c r="Q404" s="24"/>
      <c r="R404" s="26"/>
      <c r="S404" s="14">
        <f t="shared" si="13"/>
        <v>0.9921088334</v>
      </c>
    </row>
    <row r="405">
      <c r="A405" s="11">
        <v>393.0</v>
      </c>
      <c r="B405" s="11">
        <v>1.42110434782608E9</v>
      </c>
      <c r="C405" s="2">
        <v>-102.7251129</v>
      </c>
      <c r="D405" s="24">
        <f t="shared" si="1"/>
        <v>704347.8261</v>
      </c>
      <c r="E405" s="25">
        <f t="shared" si="2"/>
        <v>-149.6822695</v>
      </c>
      <c r="F405" s="24">
        <f t="shared" si="3"/>
        <v>0.0002125118642</v>
      </c>
      <c r="G405" s="24">
        <f t="shared" si="4"/>
        <v>0</v>
      </c>
      <c r="H405" s="26">
        <f t="shared" si="5"/>
        <v>0</v>
      </c>
      <c r="I405" s="24">
        <f t="shared" si="6"/>
        <v>0</v>
      </c>
      <c r="J405" s="24">
        <f t="shared" si="7"/>
        <v>0</v>
      </c>
      <c r="K405" s="24"/>
      <c r="L405" s="24">
        <f t="shared" si="8"/>
        <v>406.0643637</v>
      </c>
      <c r="M405" s="14">
        <f t="shared" si="9"/>
        <v>402.3573596</v>
      </c>
      <c r="N405" s="27">
        <f t="shared" si="10"/>
        <v>3.707004125</v>
      </c>
      <c r="O405" s="24"/>
      <c r="P405" s="24"/>
      <c r="Q405" s="24"/>
      <c r="R405" s="26"/>
      <c r="S405" s="14">
        <f t="shared" si="13"/>
        <v>3.404127552</v>
      </c>
    </row>
    <row r="406">
      <c r="A406" s="11">
        <v>394.0</v>
      </c>
      <c r="B406" s="11">
        <v>1.42110869565217E9</v>
      </c>
      <c r="C406" s="2">
        <v>-102.7231903</v>
      </c>
      <c r="D406" s="24">
        <f t="shared" si="1"/>
        <v>708695.6522</v>
      </c>
      <c r="E406" s="25">
        <f t="shared" si="2"/>
        <v>-150.6005657</v>
      </c>
      <c r="F406" s="24">
        <f t="shared" si="3"/>
        <v>0.0002125038657</v>
      </c>
      <c r="G406" s="24">
        <f t="shared" si="4"/>
        <v>0</v>
      </c>
      <c r="H406" s="26">
        <f t="shared" si="5"/>
        <v>0</v>
      </c>
      <c r="I406" s="24">
        <f t="shared" si="6"/>
        <v>0</v>
      </c>
      <c r="J406" s="24">
        <f t="shared" si="7"/>
        <v>0</v>
      </c>
      <c r="K406" s="24"/>
      <c r="L406" s="24">
        <f t="shared" si="8"/>
        <v>406.2441662</v>
      </c>
      <c r="M406" s="14">
        <f t="shared" si="9"/>
        <v>402.275603</v>
      </c>
      <c r="N406" s="27">
        <f t="shared" si="10"/>
        <v>3.968563149</v>
      </c>
      <c r="O406" s="24"/>
      <c r="P406" s="24"/>
      <c r="Q406" s="24"/>
      <c r="R406" s="26"/>
      <c r="S406" s="14">
        <f t="shared" si="13"/>
        <v>3.644316184</v>
      </c>
    </row>
    <row r="407">
      <c r="A407" s="11">
        <v>395.0</v>
      </c>
      <c r="B407" s="11">
        <v>1.42111304347826E9</v>
      </c>
      <c r="C407" s="2">
        <v>-102.7757263</v>
      </c>
      <c r="D407" s="24">
        <f t="shared" si="1"/>
        <v>713043.4783</v>
      </c>
      <c r="E407" s="25">
        <f t="shared" si="2"/>
        <v>-151.5188618</v>
      </c>
      <c r="F407" s="24">
        <f t="shared" si="3"/>
        <v>0.0002124959647</v>
      </c>
      <c r="G407" s="24">
        <f t="shared" si="4"/>
        <v>0</v>
      </c>
      <c r="H407" s="26">
        <f t="shared" si="5"/>
        <v>0</v>
      </c>
      <c r="I407" s="24">
        <f t="shared" si="6"/>
        <v>0</v>
      </c>
      <c r="J407" s="24">
        <f t="shared" si="7"/>
        <v>0</v>
      </c>
      <c r="K407" s="24"/>
      <c r="L407" s="24">
        <f t="shared" si="8"/>
        <v>401.3594911</v>
      </c>
      <c r="M407" s="14">
        <f t="shared" si="9"/>
        <v>402.1936535</v>
      </c>
      <c r="N407" s="27">
        <f t="shared" si="10"/>
        <v>-0.8341624165</v>
      </c>
      <c r="O407" s="24"/>
      <c r="P407" s="24"/>
      <c r="Q407" s="24"/>
      <c r="R407" s="26"/>
      <c r="S407" s="14">
        <f t="shared" si="13"/>
        <v>-0.7660081212</v>
      </c>
    </row>
    <row r="408">
      <c r="A408" s="11">
        <v>396.0</v>
      </c>
      <c r="B408" s="11">
        <v>1.42111739130434E9</v>
      </c>
      <c r="C408" s="2">
        <v>-102.7689819</v>
      </c>
      <c r="D408" s="24">
        <f t="shared" si="1"/>
        <v>717391.3043</v>
      </c>
      <c r="E408" s="25">
        <f t="shared" si="2"/>
        <v>-152.4371579</v>
      </c>
      <c r="F408" s="24">
        <f t="shared" si="3"/>
        <v>0.0002124881595</v>
      </c>
      <c r="G408" s="24">
        <f t="shared" si="4"/>
        <v>0</v>
      </c>
      <c r="H408" s="26">
        <f t="shared" si="5"/>
        <v>0</v>
      </c>
      <c r="I408" s="24">
        <f t="shared" si="6"/>
        <v>0</v>
      </c>
      <c r="J408" s="24">
        <f t="shared" si="7"/>
        <v>0</v>
      </c>
      <c r="K408" s="24"/>
      <c r="L408" s="24">
        <f t="shared" si="8"/>
        <v>401.9832688</v>
      </c>
      <c r="M408" s="14">
        <f t="shared" si="9"/>
        <v>402.111509</v>
      </c>
      <c r="N408" s="27">
        <f t="shared" si="10"/>
        <v>-0.128240195</v>
      </c>
      <c r="O408" s="24"/>
      <c r="P408" s="24"/>
      <c r="Q408" s="24"/>
      <c r="R408" s="26"/>
      <c r="S408" s="14">
        <f t="shared" si="13"/>
        <v>-0.1177624752</v>
      </c>
    </row>
    <row r="409">
      <c r="A409" s="11">
        <v>397.0</v>
      </c>
      <c r="B409" s="11">
        <v>1.42112173913043E9</v>
      </c>
      <c r="C409" s="2">
        <v>-102.7164917</v>
      </c>
      <c r="D409" s="24">
        <f t="shared" si="1"/>
        <v>721739.1304</v>
      </c>
      <c r="E409" s="25">
        <f t="shared" si="2"/>
        <v>-153.3554541</v>
      </c>
      <c r="F409" s="24">
        <f t="shared" si="3"/>
        <v>0.0002124804484</v>
      </c>
      <c r="G409" s="24">
        <f t="shared" si="4"/>
        <v>0</v>
      </c>
      <c r="H409" s="26">
        <f t="shared" si="5"/>
        <v>0</v>
      </c>
      <c r="I409" s="24">
        <f t="shared" si="6"/>
        <v>0</v>
      </c>
      <c r="J409" s="24">
        <f t="shared" si="7"/>
        <v>0</v>
      </c>
      <c r="K409" s="24"/>
      <c r="L409" s="24">
        <f t="shared" si="8"/>
        <v>406.8712446</v>
      </c>
      <c r="M409" s="14">
        <f t="shared" si="9"/>
        <v>402.0291671</v>
      </c>
      <c r="N409" s="27">
        <f t="shared" si="10"/>
        <v>4.842077445</v>
      </c>
      <c r="O409" s="24"/>
      <c r="P409" s="24"/>
      <c r="Q409" s="24"/>
      <c r="R409" s="26"/>
      <c r="S409" s="14">
        <f t="shared" si="13"/>
        <v>4.446460982</v>
      </c>
    </row>
    <row r="410">
      <c r="A410" s="11">
        <v>398.0</v>
      </c>
      <c r="B410" s="11">
        <v>1.42112608695652E9</v>
      </c>
      <c r="C410" s="2">
        <v>-102.8032227</v>
      </c>
      <c r="D410" s="24">
        <f t="shared" si="1"/>
        <v>726086.9565</v>
      </c>
      <c r="E410" s="25">
        <f t="shared" si="2"/>
        <v>-154.2737502</v>
      </c>
      <c r="F410" s="24">
        <f t="shared" si="3"/>
        <v>0.0002124728296</v>
      </c>
      <c r="G410" s="24">
        <f t="shared" si="4"/>
        <v>0</v>
      </c>
      <c r="H410" s="26">
        <f t="shared" si="5"/>
        <v>0</v>
      </c>
      <c r="I410" s="24">
        <f t="shared" si="6"/>
        <v>0</v>
      </c>
      <c r="J410" s="24">
        <f t="shared" si="7"/>
        <v>0</v>
      </c>
      <c r="K410" s="24"/>
      <c r="L410" s="24">
        <f t="shared" si="8"/>
        <v>398.8263991</v>
      </c>
      <c r="M410" s="14">
        <f t="shared" si="9"/>
        <v>401.9466258</v>
      </c>
      <c r="N410" s="27">
        <f t="shared" si="10"/>
        <v>-3.120226747</v>
      </c>
      <c r="O410" s="24"/>
      <c r="P410" s="24"/>
      <c r="Q410" s="24"/>
      <c r="R410" s="26"/>
      <c r="S410" s="14">
        <f t="shared" si="13"/>
        <v>-2.865292155</v>
      </c>
    </row>
    <row r="411">
      <c r="A411" s="11">
        <v>399.0</v>
      </c>
      <c r="B411" s="11">
        <v>1.4211304347826E9</v>
      </c>
      <c r="C411" s="2">
        <v>-102.7822037</v>
      </c>
      <c r="D411" s="24">
        <f t="shared" si="1"/>
        <v>730434.7826</v>
      </c>
      <c r="E411" s="25">
        <f t="shared" si="2"/>
        <v>-155.1920463</v>
      </c>
      <c r="F411" s="24">
        <f t="shared" si="3"/>
        <v>0.0002124653015</v>
      </c>
      <c r="G411" s="24">
        <f t="shared" si="4"/>
        <v>0</v>
      </c>
      <c r="H411" s="26">
        <f t="shared" si="5"/>
        <v>0</v>
      </c>
      <c r="I411" s="24">
        <f t="shared" si="6"/>
        <v>0</v>
      </c>
      <c r="J411" s="24">
        <f t="shared" si="7"/>
        <v>0</v>
      </c>
      <c r="K411" s="24"/>
      <c r="L411" s="24">
        <f t="shared" si="8"/>
        <v>400.7613191</v>
      </c>
      <c r="M411" s="14">
        <f t="shared" si="9"/>
        <v>401.8638829</v>
      </c>
      <c r="N411" s="27">
        <f t="shared" si="10"/>
        <v>-1.102563856</v>
      </c>
      <c r="O411" s="24"/>
      <c r="P411" s="24"/>
      <c r="Q411" s="24"/>
      <c r="R411" s="26"/>
      <c r="S411" s="14">
        <f t="shared" si="13"/>
        <v>-1.012480125</v>
      </c>
    </row>
    <row r="412">
      <c r="A412" s="11">
        <v>400.0</v>
      </c>
      <c r="B412" s="11">
        <v>1.42113478260869E9</v>
      </c>
      <c r="C412" s="2">
        <v>-102.7936707</v>
      </c>
      <c r="D412" s="24">
        <f t="shared" si="1"/>
        <v>734782.6087</v>
      </c>
      <c r="E412" s="25">
        <f t="shared" si="2"/>
        <v>-156.1103425</v>
      </c>
      <c r="F412" s="24">
        <f t="shared" si="3"/>
        <v>0.0002124578625</v>
      </c>
      <c r="G412" s="24">
        <f t="shared" si="4"/>
        <v>0</v>
      </c>
      <c r="H412" s="26">
        <f t="shared" si="5"/>
        <v>0</v>
      </c>
      <c r="I412" s="24">
        <f t="shared" si="6"/>
        <v>0</v>
      </c>
      <c r="J412" s="24">
        <f t="shared" si="7"/>
        <v>0</v>
      </c>
      <c r="K412" s="24"/>
      <c r="L412" s="24">
        <f t="shared" si="8"/>
        <v>399.7045549</v>
      </c>
      <c r="M412" s="14">
        <f t="shared" si="9"/>
        <v>401.7809362</v>
      </c>
      <c r="N412" s="27">
        <f t="shared" si="10"/>
        <v>-2.07638131</v>
      </c>
      <c r="O412" s="24"/>
      <c r="P412" s="24"/>
      <c r="Q412" s="24"/>
      <c r="R412" s="26"/>
      <c r="S412" s="14">
        <f t="shared" si="13"/>
        <v>-1.906732927</v>
      </c>
    </row>
    <row r="413">
      <c r="A413" s="11">
        <v>401.0</v>
      </c>
      <c r="B413" s="11">
        <v>1.42113913043478E9</v>
      </c>
      <c r="C413" s="2">
        <v>-102.7929153</v>
      </c>
      <c r="D413" s="24">
        <f t="shared" si="1"/>
        <v>739130.4348</v>
      </c>
      <c r="E413" s="25">
        <f t="shared" si="2"/>
        <v>-157.0286386</v>
      </c>
      <c r="F413" s="24">
        <f t="shared" si="3"/>
        <v>0.000212450511</v>
      </c>
      <c r="G413" s="24">
        <f t="shared" si="4"/>
        <v>0</v>
      </c>
      <c r="H413" s="26">
        <f t="shared" si="5"/>
        <v>0</v>
      </c>
      <c r="I413" s="24">
        <f t="shared" si="6"/>
        <v>0</v>
      </c>
      <c r="J413" s="24">
        <f t="shared" si="7"/>
        <v>0</v>
      </c>
      <c r="K413" s="24"/>
      <c r="L413" s="24">
        <f t="shared" si="8"/>
        <v>399.7740845</v>
      </c>
      <c r="M413" s="14">
        <f t="shared" si="9"/>
        <v>401.6977835</v>
      </c>
      <c r="N413" s="27">
        <f t="shared" si="10"/>
        <v>-1.923699065</v>
      </c>
      <c r="O413" s="24"/>
      <c r="P413" s="24"/>
      <c r="Q413" s="24"/>
      <c r="R413" s="26"/>
      <c r="S413" s="14">
        <f t="shared" si="13"/>
        <v>-1.766525408</v>
      </c>
    </row>
    <row r="414">
      <c r="A414" s="11">
        <v>402.0</v>
      </c>
      <c r="B414" s="11">
        <v>1.42114347826087E9</v>
      </c>
      <c r="C414" s="2">
        <v>-102.8190079</v>
      </c>
      <c r="D414" s="24">
        <f t="shared" si="1"/>
        <v>743478.2609</v>
      </c>
      <c r="E414" s="25">
        <f t="shared" si="2"/>
        <v>-157.9469347</v>
      </c>
      <c r="F414" s="24">
        <f t="shared" si="3"/>
        <v>0.0002124432455</v>
      </c>
      <c r="G414" s="24">
        <f t="shared" si="4"/>
        <v>0</v>
      </c>
      <c r="H414" s="26">
        <f t="shared" si="5"/>
        <v>0</v>
      </c>
      <c r="I414" s="24">
        <f t="shared" si="6"/>
        <v>0</v>
      </c>
      <c r="J414" s="24">
        <f t="shared" si="7"/>
        <v>0</v>
      </c>
      <c r="K414" s="24"/>
      <c r="L414" s="24">
        <f t="shared" si="8"/>
        <v>397.3794253</v>
      </c>
      <c r="M414" s="14">
        <f t="shared" si="9"/>
        <v>401.6144227</v>
      </c>
      <c r="N414" s="27">
        <f t="shared" si="10"/>
        <v>-4.234997391</v>
      </c>
      <c r="O414" s="24"/>
      <c r="P414" s="24"/>
      <c r="Q414" s="24"/>
      <c r="R414" s="26"/>
      <c r="S414" s="14">
        <f t="shared" si="13"/>
        <v>-3.888981727</v>
      </c>
    </row>
    <row r="415">
      <c r="A415" s="11">
        <v>403.0</v>
      </c>
      <c r="B415" s="11">
        <v>1.42114782608695E9</v>
      </c>
      <c r="C415" s="2">
        <v>-102.7529526</v>
      </c>
      <c r="D415" s="24">
        <f t="shared" si="1"/>
        <v>747826.087</v>
      </c>
      <c r="E415" s="25">
        <f t="shared" si="2"/>
        <v>-158.8652309</v>
      </c>
      <c r="F415" s="24">
        <f t="shared" si="3"/>
        <v>0.0002124360645</v>
      </c>
      <c r="G415" s="24">
        <f t="shared" si="4"/>
        <v>0</v>
      </c>
      <c r="H415" s="26">
        <f t="shared" si="5"/>
        <v>0</v>
      </c>
      <c r="I415" s="24">
        <f t="shared" si="6"/>
        <v>0</v>
      </c>
      <c r="J415" s="24">
        <f t="shared" si="7"/>
        <v>0</v>
      </c>
      <c r="K415" s="24"/>
      <c r="L415" s="24">
        <f t="shared" si="8"/>
        <v>403.4696833</v>
      </c>
      <c r="M415" s="14">
        <f t="shared" si="9"/>
        <v>401.5308516</v>
      </c>
      <c r="N415" s="27">
        <f t="shared" si="10"/>
        <v>1.938831696</v>
      </c>
      <c r="O415" s="24"/>
      <c r="P415" s="24"/>
      <c r="Q415" s="24"/>
      <c r="R415" s="26"/>
      <c r="S415" s="14">
        <f t="shared" si="13"/>
        <v>1.780421648</v>
      </c>
    </row>
    <row r="416">
      <c r="A416" s="11">
        <v>404.0</v>
      </c>
      <c r="B416" s="11">
        <v>1.42115217391304E9</v>
      </c>
      <c r="C416" s="2">
        <v>-102.7895355</v>
      </c>
      <c r="D416" s="24">
        <f t="shared" si="1"/>
        <v>752173.913</v>
      </c>
      <c r="E416" s="25">
        <f t="shared" si="2"/>
        <v>-159.783527</v>
      </c>
      <c r="F416" s="24">
        <f t="shared" si="3"/>
        <v>0.0002124289665</v>
      </c>
      <c r="G416" s="24">
        <f t="shared" si="4"/>
        <v>0</v>
      </c>
      <c r="H416" s="26">
        <f t="shared" si="5"/>
        <v>0</v>
      </c>
      <c r="I416" s="24">
        <f t="shared" si="6"/>
        <v>0</v>
      </c>
      <c r="J416" s="24">
        <f t="shared" si="7"/>
        <v>0</v>
      </c>
      <c r="K416" s="24"/>
      <c r="L416" s="24">
        <f t="shared" si="8"/>
        <v>400.0853208</v>
      </c>
      <c r="M416" s="14">
        <f t="shared" si="9"/>
        <v>401.4470679</v>
      </c>
      <c r="N416" s="27">
        <f t="shared" si="10"/>
        <v>-1.361747084</v>
      </c>
      <c r="O416" s="24"/>
      <c r="P416" s="24"/>
      <c r="Q416" s="24"/>
      <c r="R416" s="26"/>
      <c r="S416" s="14">
        <f t="shared" si="13"/>
        <v>-1.250487078</v>
      </c>
    </row>
    <row r="417">
      <c r="A417" s="11">
        <v>405.0</v>
      </c>
      <c r="B417" s="11">
        <v>1.42115652173913E9</v>
      </c>
      <c r="C417" s="2">
        <v>-102.7838593</v>
      </c>
      <c r="D417" s="3">
        <f t="shared" si="1"/>
        <v>756521.7391</v>
      </c>
      <c r="E417" s="4">
        <f t="shared" si="2"/>
        <v>-160.7018231</v>
      </c>
      <c r="F417" s="3">
        <f t="shared" si="3"/>
        <v>0.0002124219501</v>
      </c>
      <c r="G417" s="3">
        <f t="shared" si="4"/>
        <v>0</v>
      </c>
      <c r="H417" s="2">
        <f t="shared" si="5"/>
        <v>0</v>
      </c>
      <c r="I417" s="3">
        <f t="shared" si="6"/>
        <v>0</v>
      </c>
      <c r="J417" s="3">
        <f t="shared" si="7"/>
        <v>0</v>
      </c>
      <c r="K417" s="3"/>
      <c r="L417" s="3">
        <f t="shared" si="8"/>
        <v>400.6085716</v>
      </c>
      <c r="M417" s="14">
        <f t="shared" si="9"/>
        <v>401.3630696</v>
      </c>
      <c r="N417" s="14">
        <f t="shared" si="10"/>
        <v>-0.7544980379</v>
      </c>
      <c r="O417" s="3"/>
      <c r="P417" s="3"/>
      <c r="Q417" s="3"/>
      <c r="R417" s="2"/>
      <c r="S417" s="14">
        <f t="shared" si="13"/>
        <v>-0.6928526303</v>
      </c>
    </row>
    <row r="418">
      <c r="A418" s="11">
        <v>406.0</v>
      </c>
      <c r="B418" s="11">
        <v>1.42116086956521E9</v>
      </c>
      <c r="C418" s="2">
        <v>-102.7862244</v>
      </c>
      <c r="D418" s="3">
        <f t="shared" si="1"/>
        <v>760869.5652</v>
      </c>
      <c r="E418" s="4">
        <f t="shared" si="2"/>
        <v>-161.6201193</v>
      </c>
      <c r="F418" s="3">
        <f t="shared" si="3"/>
        <v>0.0002124150139</v>
      </c>
      <c r="G418" s="3">
        <f t="shared" si="4"/>
        <v>0</v>
      </c>
      <c r="H418" s="2">
        <f t="shared" si="5"/>
        <v>0</v>
      </c>
      <c r="I418" s="3">
        <f t="shared" si="6"/>
        <v>0</v>
      </c>
      <c r="J418" s="3">
        <f t="shared" si="7"/>
        <v>0</v>
      </c>
      <c r="K418" s="3"/>
      <c r="L418" s="3">
        <f t="shared" si="8"/>
        <v>400.3904658</v>
      </c>
      <c r="M418" s="14">
        <f t="shared" si="9"/>
        <v>401.2788544</v>
      </c>
      <c r="N418" s="14">
        <f t="shared" si="10"/>
        <v>-0.8883886474</v>
      </c>
      <c r="O418" s="3"/>
      <c r="P418" s="3"/>
      <c r="Q418" s="3"/>
      <c r="R418" s="2"/>
      <c r="S418" s="14">
        <f t="shared" si="13"/>
        <v>-0.8158038593</v>
      </c>
    </row>
    <row r="419">
      <c r="A419" s="11">
        <v>407.0</v>
      </c>
      <c r="B419" s="11">
        <v>1.4211652173913E9</v>
      </c>
      <c r="C419" s="2">
        <v>-102.793457</v>
      </c>
      <c r="D419" s="3">
        <f t="shared" si="1"/>
        <v>765217.3913</v>
      </c>
      <c r="E419" s="4">
        <f t="shared" si="2"/>
        <v>-162.5384154</v>
      </c>
      <c r="F419" s="3">
        <f t="shared" si="3"/>
        <v>0.0002124081565</v>
      </c>
      <c r="G419" s="3">
        <f t="shared" si="4"/>
        <v>0</v>
      </c>
      <c r="H419" s="2">
        <f t="shared" si="5"/>
        <v>0</v>
      </c>
      <c r="I419" s="3">
        <f t="shared" si="6"/>
        <v>0</v>
      </c>
      <c r="J419" s="3">
        <f t="shared" si="7"/>
        <v>0</v>
      </c>
      <c r="K419" s="3"/>
      <c r="L419" s="3">
        <f t="shared" si="8"/>
        <v>399.7242234</v>
      </c>
      <c r="M419" s="14">
        <f t="shared" si="9"/>
        <v>401.1944202</v>
      </c>
      <c r="N419" s="14">
        <f t="shared" si="10"/>
        <v>-1.470196868</v>
      </c>
      <c r="O419" s="3"/>
      <c r="P419" s="3"/>
      <c r="Q419" s="3"/>
      <c r="R419" s="2"/>
      <c r="S419" s="14">
        <f t="shared" si="13"/>
        <v>-1.350076095</v>
      </c>
    </row>
    <row r="420">
      <c r="A420" s="11">
        <v>408.0</v>
      </c>
      <c r="B420" s="11">
        <v>1.42116956521739E9</v>
      </c>
      <c r="C420" s="2">
        <v>-102.6932602</v>
      </c>
      <c r="D420" s="3">
        <f t="shared" si="1"/>
        <v>769565.2174</v>
      </c>
      <c r="E420" s="4">
        <f t="shared" si="2"/>
        <v>-163.4567115</v>
      </c>
      <c r="F420" s="3">
        <f t="shared" si="3"/>
        <v>0.0002124013765</v>
      </c>
      <c r="G420" s="3">
        <f t="shared" si="4"/>
        <v>0</v>
      </c>
      <c r="H420" s="2">
        <f t="shared" si="5"/>
        <v>0</v>
      </c>
      <c r="I420" s="3">
        <f t="shared" si="6"/>
        <v>0</v>
      </c>
      <c r="J420" s="3">
        <f t="shared" si="7"/>
        <v>0</v>
      </c>
      <c r="K420" s="3"/>
      <c r="L420" s="3">
        <f t="shared" si="8"/>
        <v>409.0535324</v>
      </c>
      <c r="M420" s="14">
        <f t="shared" si="9"/>
        <v>401.1097648</v>
      </c>
      <c r="N420" s="14">
        <f t="shared" si="10"/>
        <v>7.943767576</v>
      </c>
      <c r="O420" s="3"/>
      <c r="P420" s="3"/>
      <c r="Q420" s="3"/>
      <c r="R420" s="2"/>
      <c r="S420" s="14">
        <f t="shared" si="13"/>
        <v>7.294731045</v>
      </c>
    </row>
    <row r="421">
      <c r="A421" s="11">
        <v>409.0</v>
      </c>
      <c r="B421" s="11">
        <v>1.42117391304347E9</v>
      </c>
      <c r="C421" s="2">
        <v>-102.8147888</v>
      </c>
      <c r="D421" s="3">
        <f t="shared" si="1"/>
        <v>773913.0435</v>
      </c>
      <c r="E421" s="4">
        <f t="shared" si="2"/>
        <v>-164.3750077</v>
      </c>
      <c r="F421" s="3">
        <f t="shared" si="3"/>
        <v>0.0002123946728</v>
      </c>
      <c r="G421" s="3">
        <f t="shared" si="4"/>
        <v>0</v>
      </c>
      <c r="H421" s="2">
        <f t="shared" si="5"/>
        <v>0</v>
      </c>
      <c r="I421" s="3">
        <f t="shared" si="6"/>
        <v>0</v>
      </c>
      <c r="J421" s="3">
        <f t="shared" si="7"/>
        <v>0</v>
      </c>
      <c r="K421" s="3"/>
      <c r="L421" s="3">
        <f t="shared" si="8"/>
        <v>397.7656605</v>
      </c>
      <c r="M421" s="14">
        <f t="shared" si="9"/>
        <v>401.024886</v>
      </c>
      <c r="N421" s="14">
        <f t="shared" si="10"/>
        <v>-3.259225498</v>
      </c>
      <c r="O421" s="3"/>
      <c r="P421" s="3"/>
      <c r="Q421" s="3"/>
      <c r="R421" s="2"/>
      <c r="S421" s="14">
        <f t="shared" si="13"/>
        <v>-2.99293417</v>
      </c>
    </row>
    <row r="422">
      <c r="A422" s="11">
        <v>410.0</v>
      </c>
      <c r="B422" s="11">
        <v>1.42117826086956E9</v>
      </c>
      <c r="C422" s="2">
        <v>-102.7450027</v>
      </c>
      <c r="D422" s="3">
        <f t="shared" si="1"/>
        <v>778260.8696</v>
      </c>
      <c r="E422" s="4">
        <f t="shared" si="2"/>
        <v>-165.2933038</v>
      </c>
      <c r="F422" s="3">
        <f t="shared" si="3"/>
        <v>0.000212388044</v>
      </c>
      <c r="G422" s="3">
        <f t="shared" si="4"/>
        <v>0</v>
      </c>
      <c r="H422" s="2">
        <f t="shared" si="5"/>
        <v>0</v>
      </c>
      <c r="I422" s="3">
        <f t="shared" si="6"/>
        <v>0</v>
      </c>
      <c r="J422" s="3">
        <f t="shared" si="7"/>
        <v>0</v>
      </c>
      <c r="K422" s="3"/>
      <c r="L422" s="3">
        <f t="shared" si="8"/>
        <v>404.2089239</v>
      </c>
      <c r="M422" s="14">
        <f t="shared" si="9"/>
        <v>400.9397817</v>
      </c>
      <c r="N422" s="14">
        <f t="shared" si="10"/>
        <v>3.269142187</v>
      </c>
      <c r="O422" s="3"/>
      <c r="P422" s="3"/>
      <c r="Q422" s="3"/>
      <c r="R422" s="2"/>
      <c r="S422" s="14">
        <f t="shared" si="13"/>
        <v>3.002040621</v>
      </c>
    </row>
    <row r="423">
      <c r="A423" s="11">
        <v>411.0</v>
      </c>
      <c r="B423" s="11">
        <v>1.42118260869565E9</v>
      </c>
      <c r="C423" s="2">
        <v>-102.7416458</v>
      </c>
      <c r="D423" s="3">
        <f t="shared" si="1"/>
        <v>782608.6957</v>
      </c>
      <c r="E423" s="4">
        <f t="shared" si="2"/>
        <v>-166.2115999</v>
      </c>
      <c r="F423" s="3">
        <f t="shared" si="3"/>
        <v>0.0002123814888</v>
      </c>
      <c r="G423" s="3">
        <f t="shared" si="4"/>
        <v>0</v>
      </c>
      <c r="H423" s="2">
        <f t="shared" si="5"/>
        <v>0</v>
      </c>
      <c r="I423" s="3">
        <f t="shared" si="6"/>
        <v>0</v>
      </c>
      <c r="J423" s="3">
        <f t="shared" si="7"/>
        <v>0</v>
      </c>
      <c r="K423" s="3"/>
      <c r="L423" s="3">
        <f t="shared" si="8"/>
        <v>404.5214799</v>
      </c>
      <c r="M423" s="14">
        <f t="shared" si="9"/>
        <v>400.8544496</v>
      </c>
      <c r="N423" s="14">
        <f t="shared" si="10"/>
        <v>3.667030261</v>
      </c>
      <c r="O423" s="3"/>
      <c r="P423" s="3"/>
      <c r="Q423" s="3"/>
      <c r="R423" s="2"/>
      <c r="S423" s="14">
        <f t="shared" si="13"/>
        <v>3.367419708</v>
      </c>
    </row>
    <row r="424">
      <c r="A424" s="11">
        <v>412.0</v>
      </c>
      <c r="B424" s="11">
        <v>1.42118695652173E9</v>
      </c>
      <c r="C424" s="2">
        <v>-102.7958984</v>
      </c>
      <c r="D424" s="3">
        <f t="shared" si="1"/>
        <v>786956.5217</v>
      </c>
      <c r="E424" s="4">
        <f t="shared" si="2"/>
        <v>-167.129896</v>
      </c>
      <c r="F424" s="3">
        <f t="shared" si="3"/>
        <v>0.000212375006</v>
      </c>
      <c r="G424" s="3">
        <f t="shared" si="4"/>
        <v>0</v>
      </c>
      <c r="H424" s="2">
        <f t="shared" si="5"/>
        <v>0</v>
      </c>
      <c r="I424" s="3">
        <f t="shared" si="6"/>
        <v>0</v>
      </c>
      <c r="J424" s="3">
        <f t="shared" si="7"/>
        <v>0</v>
      </c>
      <c r="K424" s="3"/>
      <c r="L424" s="3">
        <f t="shared" si="8"/>
        <v>399.4995803</v>
      </c>
      <c r="M424" s="14">
        <f t="shared" si="9"/>
        <v>400.7688876</v>
      </c>
      <c r="N424" s="14">
        <f t="shared" si="10"/>
        <v>-1.269307365</v>
      </c>
      <c r="O424" s="3"/>
      <c r="P424" s="3"/>
      <c r="Q424" s="3"/>
      <c r="R424" s="2"/>
      <c r="S424" s="14">
        <f t="shared" si="13"/>
        <v>-1.165600044</v>
      </c>
    </row>
    <row r="425">
      <c r="A425" s="11">
        <v>413.0</v>
      </c>
      <c r="B425" s="11">
        <v>1.42119130434782E9</v>
      </c>
      <c r="C425" s="2">
        <v>-102.7915192</v>
      </c>
      <c r="D425" s="3">
        <f t="shared" si="1"/>
        <v>791304.3478</v>
      </c>
      <c r="E425" s="4">
        <f t="shared" si="2"/>
        <v>-168.0481922</v>
      </c>
      <c r="F425" s="3">
        <f t="shared" si="3"/>
        <v>0.0002123685945</v>
      </c>
      <c r="G425" s="3">
        <f t="shared" si="4"/>
        <v>0</v>
      </c>
      <c r="H425" s="2">
        <f t="shared" si="5"/>
        <v>0</v>
      </c>
      <c r="I425" s="3">
        <f t="shared" si="6"/>
        <v>0</v>
      </c>
      <c r="J425" s="3">
        <f t="shared" si="7"/>
        <v>0</v>
      </c>
      <c r="K425" s="3"/>
      <c r="L425" s="3">
        <f t="shared" si="8"/>
        <v>399.9026181</v>
      </c>
      <c r="M425" s="14">
        <f t="shared" si="9"/>
        <v>400.6830936</v>
      </c>
      <c r="N425" s="14">
        <f t="shared" si="10"/>
        <v>-0.7804755101</v>
      </c>
      <c r="O425" s="3"/>
      <c r="P425" s="3"/>
      <c r="Q425" s="3"/>
      <c r="R425" s="2"/>
      <c r="S425" s="14">
        <f t="shared" si="13"/>
        <v>-0.7167076427</v>
      </c>
    </row>
    <row r="426">
      <c r="A426" s="11">
        <v>414.0</v>
      </c>
      <c r="B426" s="11">
        <v>1.42119565217391E9</v>
      </c>
      <c r="C426" s="2">
        <v>-102.7577515</v>
      </c>
      <c r="D426" s="3">
        <f t="shared" si="1"/>
        <v>795652.1739</v>
      </c>
      <c r="E426" s="4">
        <f t="shared" si="2"/>
        <v>-168.9664883</v>
      </c>
      <c r="F426" s="3">
        <f t="shared" si="3"/>
        <v>0.0002123622531</v>
      </c>
      <c r="G426" s="3">
        <f t="shared" si="4"/>
        <v>0</v>
      </c>
      <c r="H426" s="2">
        <f t="shared" si="5"/>
        <v>0</v>
      </c>
      <c r="I426" s="3">
        <f t="shared" si="6"/>
        <v>0</v>
      </c>
      <c r="J426" s="3">
        <f t="shared" si="7"/>
        <v>0</v>
      </c>
      <c r="K426" s="3"/>
      <c r="L426" s="3">
        <f t="shared" si="8"/>
        <v>403.0241005</v>
      </c>
      <c r="M426" s="14">
        <f t="shared" si="9"/>
        <v>400.5970653</v>
      </c>
      <c r="N426" s="14">
        <f t="shared" si="10"/>
        <v>2.427035245</v>
      </c>
      <c r="O426" s="3"/>
      <c r="P426" s="3"/>
      <c r="Q426" s="3"/>
      <c r="R426" s="2"/>
      <c r="S426" s="14">
        <f t="shared" si="13"/>
        <v>2.228737074</v>
      </c>
    </row>
    <row r="427">
      <c r="A427" s="11">
        <v>415.0</v>
      </c>
      <c r="B427" s="11">
        <v>1.4212E9</v>
      </c>
      <c r="C427" s="2">
        <v>-102.7440567</v>
      </c>
      <c r="D427" s="3">
        <f t="shared" si="1"/>
        <v>800000</v>
      </c>
      <c r="E427" s="4">
        <f t="shared" si="2"/>
        <v>-169.8847844</v>
      </c>
      <c r="F427" s="3">
        <f t="shared" si="3"/>
        <v>0.0002123559806</v>
      </c>
      <c r="G427" s="3">
        <f t="shared" si="4"/>
        <v>0</v>
      </c>
      <c r="H427" s="2">
        <f t="shared" si="5"/>
        <v>0</v>
      </c>
      <c r="I427" s="3">
        <f t="shared" si="6"/>
        <v>0</v>
      </c>
      <c r="J427" s="3">
        <f t="shared" si="7"/>
        <v>0</v>
      </c>
      <c r="K427" s="3"/>
      <c r="L427" s="3">
        <f t="shared" si="8"/>
        <v>404.2969801</v>
      </c>
      <c r="M427" s="14">
        <f t="shared" si="9"/>
        <v>400.5108005</v>
      </c>
      <c r="N427" s="14">
        <f t="shared" si="10"/>
        <v>3.786179578</v>
      </c>
      <c r="O427" s="3"/>
      <c r="P427" s="3"/>
      <c r="Q427" s="3"/>
      <c r="R427" s="2"/>
      <c r="S427" s="14">
        <f t="shared" si="13"/>
        <v>3.476834064</v>
      </c>
    </row>
    <row r="428">
      <c r="A428" s="11">
        <v>416.0</v>
      </c>
      <c r="B428" s="11">
        <v>1.42120434782608E9</v>
      </c>
      <c r="C428" s="2">
        <v>-102.7650986</v>
      </c>
      <c r="D428" s="3">
        <f t="shared" si="1"/>
        <v>804347.8261</v>
      </c>
      <c r="E428" s="4">
        <f t="shared" si="2"/>
        <v>-170.8030806</v>
      </c>
      <c r="F428" s="3">
        <f t="shared" si="3"/>
        <v>0.0002123497759</v>
      </c>
      <c r="G428" s="3">
        <f t="shared" si="4"/>
        <v>0</v>
      </c>
      <c r="H428" s="2">
        <f t="shared" si="5"/>
        <v>0</v>
      </c>
      <c r="I428" s="3">
        <f t="shared" si="6"/>
        <v>0</v>
      </c>
      <c r="J428" s="3">
        <f t="shared" si="7"/>
        <v>0</v>
      </c>
      <c r="K428" s="3"/>
      <c r="L428" s="3">
        <f t="shared" si="8"/>
        <v>402.342868</v>
      </c>
      <c r="M428" s="14">
        <f t="shared" si="9"/>
        <v>400.4242972</v>
      </c>
      <c r="N428" s="14">
        <f t="shared" si="10"/>
        <v>1.918570865</v>
      </c>
      <c r="O428" s="3"/>
      <c r="P428" s="3"/>
      <c r="Q428" s="3"/>
      <c r="R428" s="2"/>
      <c r="S428" s="14">
        <f t="shared" si="13"/>
        <v>1.761816206</v>
      </c>
    </row>
    <row r="429">
      <c r="A429" s="11">
        <v>417.0</v>
      </c>
      <c r="B429" s="11">
        <v>1.42120869565217E9</v>
      </c>
      <c r="C429" s="2">
        <v>-102.7445908</v>
      </c>
      <c r="D429" s="3">
        <f t="shared" si="1"/>
        <v>808695.6522</v>
      </c>
      <c r="E429" s="4">
        <f t="shared" si="2"/>
        <v>-171.7213767</v>
      </c>
      <c r="F429" s="3">
        <f t="shared" si="3"/>
        <v>0.0002123436379</v>
      </c>
      <c r="G429" s="3">
        <f t="shared" si="4"/>
        <v>0</v>
      </c>
      <c r="H429" s="2">
        <f t="shared" si="5"/>
        <v>0</v>
      </c>
      <c r="I429" s="3">
        <f t="shared" si="6"/>
        <v>0</v>
      </c>
      <c r="J429" s="3">
        <f t="shared" si="7"/>
        <v>0</v>
      </c>
      <c r="K429" s="3"/>
      <c r="L429" s="3">
        <f t="shared" si="8"/>
        <v>404.2472623</v>
      </c>
      <c r="M429" s="14">
        <f t="shared" si="9"/>
        <v>400.337553</v>
      </c>
      <c r="N429" s="14">
        <f t="shared" si="10"/>
        <v>3.909709268</v>
      </c>
      <c r="O429" s="3"/>
      <c r="P429" s="3"/>
      <c r="Q429" s="3"/>
      <c r="R429" s="2"/>
      <c r="S429" s="14">
        <f t="shared" si="13"/>
        <v>3.590270892</v>
      </c>
    </row>
    <row r="430">
      <c r="A430" s="11">
        <v>418.0</v>
      </c>
      <c r="B430" s="11">
        <v>1.42121304347826E9</v>
      </c>
      <c r="C430" s="2">
        <v>-102.7877274</v>
      </c>
      <c r="D430" s="3">
        <f t="shared" si="1"/>
        <v>813043.4783</v>
      </c>
      <c r="E430" s="4">
        <f t="shared" si="2"/>
        <v>-172.6396728</v>
      </c>
      <c r="F430" s="3">
        <f t="shared" si="3"/>
        <v>0.0002123375655</v>
      </c>
      <c r="G430" s="3">
        <f t="shared" si="4"/>
        <v>0</v>
      </c>
      <c r="H430" s="2">
        <f t="shared" si="5"/>
        <v>0</v>
      </c>
      <c r="I430" s="3">
        <f t="shared" si="6"/>
        <v>0</v>
      </c>
      <c r="J430" s="3">
        <f t="shared" si="7"/>
        <v>0</v>
      </c>
      <c r="K430" s="3"/>
      <c r="L430" s="3">
        <f t="shared" si="8"/>
        <v>400.2519232</v>
      </c>
      <c r="M430" s="14">
        <f t="shared" si="9"/>
        <v>400.2505659</v>
      </c>
      <c r="N430" s="14">
        <f t="shared" si="10"/>
        <v>0.001357301562</v>
      </c>
      <c r="O430" s="3"/>
      <c r="P430" s="3"/>
      <c r="Q430" s="3"/>
      <c r="R430" s="2"/>
      <c r="S430" s="14">
        <f t="shared" si="13"/>
        <v>0.001246404776</v>
      </c>
    </row>
    <row r="431">
      <c r="A431" s="11">
        <v>419.0</v>
      </c>
      <c r="B431" s="11">
        <v>1.42121739130434E9</v>
      </c>
      <c r="C431" s="2">
        <v>-102.8060074</v>
      </c>
      <c r="D431" s="3">
        <f t="shared" si="1"/>
        <v>817391.3043</v>
      </c>
      <c r="E431" s="4">
        <f t="shared" si="2"/>
        <v>-173.557969</v>
      </c>
      <c r="F431" s="3">
        <f t="shared" si="3"/>
        <v>0.0002123315578</v>
      </c>
      <c r="G431" s="3">
        <f t="shared" si="4"/>
        <v>0</v>
      </c>
      <c r="H431" s="2">
        <f t="shared" si="5"/>
        <v>0</v>
      </c>
      <c r="I431" s="3">
        <f t="shared" si="6"/>
        <v>0</v>
      </c>
      <c r="J431" s="3">
        <f t="shared" si="7"/>
        <v>0</v>
      </c>
      <c r="K431" s="3"/>
      <c r="L431" s="3">
        <f t="shared" si="8"/>
        <v>398.5707532</v>
      </c>
      <c r="M431" s="14">
        <f t="shared" si="9"/>
        <v>400.1633337</v>
      </c>
      <c r="N431" s="14">
        <f t="shared" si="10"/>
        <v>-1.59258044</v>
      </c>
      <c r="O431" s="3"/>
      <c r="P431" s="3"/>
      <c r="Q431" s="3"/>
      <c r="R431" s="2"/>
      <c r="S431" s="14">
        <f t="shared" si="13"/>
        <v>-1.462460459</v>
      </c>
    </row>
    <row r="432">
      <c r="A432" s="11">
        <v>420.0</v>
      </c>
      <c r="B432" s="11">
        <v>1.42122173913043E9</v>
      </c>
      <c r="C432" s="2">
        <v>-102.7991257</v>
      </c>
      <c r="D432" s="3">
        <f t="shared" si="1"/>
        <v>821739.1304</v>
      </c>
      <c r="E432" s="4">
        <f t="shared" si="2"/>
        <v>-174.4762651</v>
      </c>
      <c r="F432" s="3">
        <f t="shared" si="3"/>
        <v>0.0002123256136</v>
      </c>
      <c r="G432" s="3">
        <f t="shared" si="4"/>
        <v>0</v>
      </c>
      <c r="H432" s="2">
        <f t="shared" si="5"/>
        <v>0</v>
      </c>
      <c r="I432" s="3">
        <f t="shared" si="6"/>
        <v>0</v>
      </c>
      <c r="J432" s="3">
        <f t="shared" si="7"/>
        <v>0</v>
      </c>
      <c r="K432" s="3"/>
      <c r="L432" s="3">
        <f t="shared" si="8"/>
        <v>399.2028171</v>
      </c>
      <c r="M432" s="14">
        <f t="shared" si="9"/>
        <v>400.0758541</v>
      </c>
      <c r="N432" s="14">
        <f t="shared" si="10"/>
        <v>-0.8730369874</v>
      </c>
      <c r="O432" s="3"/>
      <c r="P432" s="3"/>
      <c r="Q432" s="3"/>
      <c r="R432" s="2"/>
      <c r="S432" s="14">
        <f t="shared" si="13"/>
        <v>-0.8017064875</v>
      </c>
    </row>
    <row r="433">
      <c r="A433" s="11">
        <v>421.0</v>
      </c>
      <c r="B433" s="11">
        <v>1.42122608695652E9</v>
      </c>
      <c r="C433" s="2">
        <v>-102.8102646</v>
      </c>
      <c r="D433" s="3">
        <f t="shared" si="1"/>
        <v>826086.9565</v>
      </c>
      <c r="E433" s="4">
        <f t="shared" si="2"/>
        <v>-175.3945612</v>
      </c>
      <c r="F433" s="3">
        <f t="shared" si="3"/>
        <v>0.000212319732</v>
      </c>
      <c r="G433" s="3">
        <f t="shared" si="4"/>
        <v>0</v>
      </c>
      <c r="H433" s="2">
        <f t="shared" si="5"/>
        <v>0</v>
      </c>
      <c r="I433" s="3">
        <f t="shared" si="6"/>
        <v>0</v>
      </c>
      <c r="J433" s="3">
        <f t="shared" si="7"/>
        <v>0</v>
      </c>
      <c r="K433" s="3"/>
      <c r="L433" s="3">
        <f t="shared" si="8"/>
        <v>398.1802431</v>
      </c>
      <c r="M433" s="14">
        <f t="shared" si="9"/>
        <v>399.9881251</v>
      </c>
      <c r="N433" s="14">
        <f t="shared" si="10"/>
        <v>-1.807881985</v>
      </c>
      <c r="O433" s="3"/>
      <c r="P433" s="3"/>
      <c r="Q433" s="3"/>
      <c r="R433" s="2"/>
      <c r="S433" s="14">
        <f t="shared" si="13"/>
        <v>-1.660171036</v>
      </c>
    </row>
    <row r="434">
      <c r="A434" s="11">
        <v>422.0</v>
      </c>
      <c r="B434" s="11">
        <v>1.4212304347826E9</v>
      </c>
      <c r="C434" s="2">
        <v>-102.791008</v>
      </c>
      <c r="D434" s="3">
        <f t="shared" si="1"/>
        <v>830434.7826</v>
      </c>
      <c r="E434" s="4">
        <f t="shared" si="2"/>
        <v>-176.3128574</v>
      </c>
      <c r="F434" s="3">
        <f t="shared" si="3"/>
        <v>0.000212313912</v>
      </c>
      <c r="G434" s="3">
        <f t="shared" si="4"/>
        <v>0</v>
      </c>
      <c r="H434" s="2">
        <f t="shared" si="5"/>
        <v>0</v>
      </c>
      <c r="I434" s="3">
        <f t="shared" si="6"/>
        <v>0</v>
      </c>
      <c r="J434" s="3">
        <f t="shared" si="7"/>
        <v>0</v>
      </c>
      <c r="K434" s="3"/>
      <c r="L434" s="3">
        <f t="shared" si="8"/>
        <v>399.9496926</v>
      </c>
      <c r="M434" s="14">
        <f t="shared" si="9"/>
        <v>399.9001443</v>
      </c>
      <c r="N434" s="14">
        <f t="shared" si="10"/>
        <v>0.04954830259</v>
      </c>
      <c r="O434" s="3"/>
      <c r="P434" s="3"/>
      <c r="Q434" s="3"/>
      <c r="R434" s="2"/>
      <c r="S434" s="14">
        <f t="shared" si="13"/>
        <v>0.04550001466</v>
      </c>
    </row>
    <row r="435">
      <c r="A435" s="11">
        <v>423.0</v>
      </c>
      <c r="B435" s="11">
        <v>1.42123478260869E9</v>
      </c>
      <c r="C435" s="2">
        <v>-102.7883911</v>
      </c>
      <c r="D435" s="3">
        <f t="shared" si="1"/>
        <v>834782.6087</v>
      </c>
      <c r="E435" s="4">
        <f t="shared" si="2"/>
        <v>-177.2311535</v>
      </c>
      <c r="F435" s="3">
        <f t="shared" si="3"/>
        <v>0.0002123081526</v>
      </c>
      <c r="G435" s="3">
        <f t="shared" si="4"/>
        <v>0</v>
      </c>
      <c r="H435" s="2">
        <f t="shared" si="5"/>
        <v>0</v>
      </c>
      <c r="I435" s="3">
        <f t="shared" si="6"/>
        <v>0</v>
      </c>
      <c r="J435" s="3">
        <f t="shared" si="7"/>
        <v>0</v>
      </c>
      <c r="K435" s="3"/>
      <c r="L435" s="3">
        <f t="shared" si="8"/>
        <v>400.1907604</v>
      </c>
      <c r="M435" s="14">
        <f t="shared" si="9"/>
        <v>399.8119098</v>
      </c>
      <c r="N435" s="14">
        <f t="shared" si="10"/>
        <v>0.3788505607</v>
      </c>
      <c r="O435" s="3"/>
      <c r="P435" s="3"/>
      <c r="Q435" s="3"/>
      <c r="R435" s="2"/>
      <c r="S435" s="14">
        <f t="shared" si="13"/>
        <v>0.3478970048</v>
      </c>
    </row>
    <row r="436">
      <c r="A436" s="11">
        <v>424.0</v>
      </c>
      <c r="B436" s="11">
        <v>1.42123913043478E9</v>
      </c>
      <c r="C436" s="2">
        <v>-102.7861328</v>
      </c>
      <c r="D436" s="3">
        <f t="shared" si="1"/>
        <v>839130.4348</v>
      </c>
      <c r="E436" s="4">
        <f t="shared" si="2"/>
        <v>-178.1494496</v>
      </c>
      <c r="F436" s="3">
        <f t="shared" si="3"/>
        <v>0.0002123024529</v>
      </c>
      <c r="G436" s="3">
        <f t="shared" si="4"/>
        <v>0</v>
      </c>
      <c r="H436" s="2">
        <f t="shared" si="5"/>
        <v>0</v>
      </c>
      <c r="I436" s="3">
        <f t="shared" si="6"/>
        <v>0</v>
      </c>
      <c r="J436" s="3">
        <f t="shared" si="7"/>
        <v>0</v>
      </c>
      <c r="K436" s="3"/>
      <c r="L436" s="3">
        <f t="shared" si="8"/>
        <v>400.3989108</v>
      </c>
      <c r="M436" s="14">
        <f t="shared" si="9"/>
        <v>399.7234192</v>
      </c>
      <c r="N436" s="14">
        <f t="shared" si="10"/>
        <v>0.6754915536</v>
      </c>
      <c r="O436" s="3"/>
      <c r="P436" s="3"/>
      <c r="Q436" s="3"/>
      <c r="R436" s="2"/>
      <c r="S436" s="14">
        <f t="shared" si="13"/>
        <v>0.62030128</v>
      </c>
    </row>
    <row r="437">
      <c r="A437" s="11">
        <v>425.0</v>
      </c>
      <c r="B437" s="11">
        <v>1.42124347826087E9</v>
      </c>
      <c r="C437" s="2">
        <v>-102.7979431</v>
      </c>
      <c r="D437" s="3">
        <f t="shared" si="1"/>
        <v>843478.2609</v>
      </c>
      <c r="E437" s="4">
        <f t="shared" si="2"/>
        <v>-179.0677458</v>
      </c>
      <c r="F437" s="3">
        <f t="shared" si="3"/>
        <v>0.000212296812</v>
      </c>
      <c r="G437" s="3">
        <f t="shared" si="4"/>
        <v>0</v>
      </c>
      <c r="H437" s="2">
        <f t="shared" si="5"/>
        <v>0</v>
      </c>
      <c r="I437" s="3">
        <f t="shared" si="6"/>
        <v>0</v>
      </c>
      <c r="J437" s="3">
        <f t="shared" si="7"/>
        <v>0</v>
      </c>
      <c r="K437" s="3"/>
      <c r="L437" s="3">
        <f t="shared" si="8"/>
        <v>399.3115363</v>
      </c>
      <c r="M437" s="14">
        <f t="shared" si="9"/>
        <v>399.6346705</v>
      </c>
      <c r="N437" s="14">
        <f t="shared" si="10"/>
        <v>-0.3231341364</v>
      </c>
      <c r="O437" s="3"/>
      <c r="P437" s="3"/>
      <c r="Q437" s="3"/>
      <c r="R437" s="2"/>
      <c r="S437" s="14">
        <f t="shared" si="13"/>
        <v>-0.2967328278</v>
      </c>
    </row>
    <row r="438">
      <c r="A438" s="11">
        <v>426.0</v>
      </c>
      <c r="B438" s="11">
        <v>1.42124782608695E9</v>
      </c>
      <c r="C438" s="2">
        <v>-102.8390198</v>
      </c>
      <c r="D438" s="3">
        <f t="shared" si="1"/>
        <v>847826.087</v>
      </c>
      <c r="E438" s="4">
        <f t="shared" si="2"/>
        <v>-179.9860419</v>
      </c>
      <c r="F438" s="3">
        <f t="shared" si="3"/>
        <v>0.0002122912289</v>
      </c>
      <c r="G438" s="3">
        <f t="shared" si="4"/>
        <v>0</v>
      </c>
      <c r="H438" s="2">
        <f t="shared" si="5"/>
        <v>0</v>
      </c>
      <c r="I438" s="3">
        <f t="shared" si="6"/>
        <v>0</v>
      </c>
      <c r="J438" s="3">
        <f t="shared" si="7"/>
        <v>0</v>
      </c>
      <c r="K438" s="3"/>
      <c r="L438" s="3">
        <f t="shared" si="8"/>
        <v>395.5525489</v>
      </c>
      <c r="M438" s="14">
        <f t="shared" si="9"/>
        <v>399.5456613</v>
      </c>
      <c r="N438" s="14">
        <f t="shared" si="10"/>
        <v>-3.99311246</v>
      </c>
      <c r="O438" s="3"/>
      <c r="P438" s="3"/>
      <c r="Q438" s="3"/>
      <c r="R438" s="2"/>
      <c r="S438" s="14">
        <f t="shared" si="13"/>
        <v>-3.66685973</v>
      </c>
    </row>
    <row r="439">
      <c r="A439" s="11">
        <v>427.0</v>
      </c>
      <c r="B439" s="11">
        <v>1.42125217391304E9</v>
      </c>
      <c r="C439" s="2">
        <v>-102.7976227</v>
      </c>
      <c r="D439" s="3">
        <f t="shared" si="1"/>
        <v>852173.913</v>
      </c>
      <c r="E439" s="4">
        <f t="shared" si="2"/>
        <v>-180.904338</v>
      </c>
      <c r="F439" s="3">
        <f t="shared" si="3"/>
        <v>0.0002122857028</v>
      </c>
      <c r="G439" s="3">
        <f t="shared" si="4"/>
        <v>0</v>
      </c>
      <c r="H439" s="2">
        <f t="shared" si="5"/>
        <v>0</v>
      </c>
      <c r="I439" s="3">
        <f t="shared" si="6"/>
        <v>0</v>
      </c>
      <c r="J439" s="3">
        <f t="shared" si="7"/>
        <v>0</v>
      </c>
      <c r="K439" s="3"/>
      <c r="L439" s="3">
        <f t="shared" si="8"/>
        <v>399.3409966</v>
      </c>
      <c r="M439" s="14">
        <f t="shared" si="9"/>
        <v>399.4563897</v>
      </c>
      <c r="N439" s="14">
        <f t="shared" si="10"/>
        <v>-0.1153931091</v>
      </c>
      <c r="O439" s="3"/>
      <c r="P439" s="3"/>
      <c r="Q439" s="3"/>
      <c r="R439" s="2"/>
      <c r="S439" s="14">
        <f t="shared" si="13"/>
        <v>-0.1059650456</v>
      </c>
    </row>
    <row r="440">
      <c r="A440" s="11">
        <v>428.0</v>
      </c>
      <c r="B440" s="11">
        <v>1.42125652173913E9</v>
      </c>
      <c r="C440" s="2">
        <v>-102.7554703</v>
      </c>
      <c r="D440" s="3">
        <f t="shared" si="1"/>
        <v>856521.7391</v>
      </c>
      <c r="E440" s="4">
        <f t="shared" si="2"/>
        <v>-181.8226342</v>
      </c>
      <c r="F440" s="3">
        <f t="shared" si="3"/>
        <v>0.0002122802328</v>
      </c>
      <c r="G440" s="3">
        <f t="shared" si="4"/>
        <v>0</v>
      </c>
      <c r="H440" s="2">
        <f t="shared" si="5"/>
        <v>0</v>
      </c>
      <c r="I440" s="3">
        <f t="shared" si="6"/>
        <v>0</v>
      </c>
      <c r="J440" s="3">
        <f t="shared" si="7"/>
        <v>0</v>
      </c>
      <c r="K440" s="3"/>
      <c r="L440" s="3">
        <f t="shared" si="8"/>
        <v>403.2358509</v>
      </c>
      <c r="M440" s="14">
        <f t="shared" si="9"/>
        <v>399.3668533</v>
      </c>
      <c r="N440" s="14">
        <f t="shared" si="10"/>
        <v>3.868997596</v>
      </c>
      <c r="O440" s="3"/>
      <c r="P440" s="3"/>
      <c r="Q440" s="3"/>
      <c r="R440" s="2"/>
      <c r="S440" s="14">
        <f t="shared" si="13"/>
        <v>3.55288553</v>
      </c>
    </row>
    <row r="441">
      <c r="A441" s="11">
        <v>429.0</v>
      </c>
      <c r="B441" s="11">
        <v>1.42126086956521E9</v>
      </c>
      <c r="C441" s="2">
        <v>-102.8155289</v>
      </c>
      <c r="D441" s="3">
        <f t="shared" si="1"/>
        <v>860869.5652</v>
      </c>
      <c r="E441" s="4">
        <f t="shared" si="2"/>
        <v>-182.7409303</v>
      </c>
      <c r="F441" s="3">
        <f t="shared" si="3"/>
        <v>0.000212274818</v>
      </c>
      <c r="G441" s="3">
        <f t="shared" si="4"/>
        <v>0</v>
      </c>
      <c r="H441" s="2">
        <f t="shared" si="5"/>
        <v>0</v>
      </c>
      <c r="I441" s="3">
        <f t="shared" si="6"/>
        <v>0</v>
      </c>
      <c r="J441" s="3">
        <f t="shared" si="7"/>
        <v>0</v>
      </c>
      <c r="K441" s="3"/>
      <c r="L441" s="3">
        <f t="shared" si="8"/>
        <v>397.6978813</v>
      </c>
      <c r="M441" s="14">
        <f t="shared" si="9"/>
        <v>399.27705</v>
      </c>
      <c r="N441" s="14">
        <f t="shared" si="10"/>
        <v>-1.579168635</v>
      </c>
      <c r="O441" s="3"/>
      <c r="P441" s="3"/>
      <c r="Q441" s="3"/>
      <c r="R441" s="2"/>
      <c r="S441" s="14">
        <f t="shared" si="13"/>
        <v>-1.45014445</v>
      </c>
    </row>
    <row r="442">
      <c r="A442" s="11">
        <v>430.0</v>
      </c>
      <c r="B442" s="11">
        <v>1.4212652173913E9</v>
      </c>
      <c r="C442" s="2">
        <v>-102.82444</v>
      </c>
      <c r="D442" s="3">
        <f t="shared" si="1"/>
        <v>865217.3913</v>
      </c>
      <c r="E442" s="4">
        <f t="shared" si="2"/>
        <v>-183.6592264</v>
      </c>
      <c r="F442" s="3">
        <f t="shared" si="3"/>
        <v>0.0002122694577</v>
      </c>
      <c r="G442" s="3">
        <f t="shared" si="4"/>
        <v>0</v>
      </c>
      <c r="H442" s="2">
        <f t="shared" si="5"/>
        <v>0</v>
      </c>
      <c r="I442" s="3">
        <f t="shared" si="6"/>
        <v>0</v>
      </c>
      <c r="J442" s="3">
        <f t="shared" si="7"/>
        <v>0</v>
      </c>
      <c r="K442" s="3"/>
      <c r="L442" s="3">
        <f t="shared" si="8"/>
        <v>396.8826989</v>
      </c>
      <c r="M442" s="14">
        <f t="shared" si="9"/>
        <v>399.1869776</v>
      </c>
      <c r="N442" s="14">
        <f t="shared" si="10"/>
        <v>-2.304278695</v>
      </c>
      <c r="O442" s="3"/>
      <c r="P442" s="3"/>
      <c r="Q442" s="3"/>
      <c r="R442" s="2"/>
      <c r="S442" s="14">
        <f t="shared" si="13"/>
        <v>-2.116010209</v>
      </c>
    </row>
    <row r="443">
      <c r="A443" s="11">
        <v>431.0</v>
      </c>
      <c r="B443" s="11">
        <v>1.42126956521739E9</v>
      </c>
      <c r="C443" s="2">
        <v>-102.8222504</v>
      </c>
      <c r="D443" s="3">
        <f t="shared" si="1"/>
        <v>869565.2174</v>
      </c>
      <c r="E443" s="4">
        <f t="shared" si="2"/>
        <v>-184.5775226</v>
      </c>
      <c r="F443" s="3">
        <f t="shared" si="3"/>
        <v>0.0002122641509</v>
      </c>
      <c r="G443" s="3">
        <f t="shared" si="4"/>
        <v>0</v>
      </c>
      <c r="H443" s="2">
        <f t="shared" si="5"/>
        <v>0</v>
      </c>
      <c r="I443" s="3">
        <f t="shared" si="6"/>
        <v>0</v>
      </c>
      <c r="J443" s="3">
        <f t="shared" si="7"/>
        <v>0</v>
      </c>
      <c r="K443" s="3"/>
      <c r="L443" s="3">
        <f t="shared" si="8"/>
        <v>397.0828473</v>
      </c>
      <c r="M443" s="14">
        <f t="shared" si="9"/>
        <v>399.096634</v>
      </c>
      <c r="N443" s="14">
        <f t="shared" si="10"/>
        <v>-2.013786688</v>
      </c>
      <c r="O443" s="3"/>
      <c r="P443" s="3"/>
      <c r="Q443" s="3"/>
      <c r="R443" s="2"/>
      <c r="S443" s="14">
        <f t="shared" si="13"/>
        <v>-1.849252528</v>
      </c>
    </row>
    <row r="444">
      <c r="A444" s="11">
        <v>432.0</v>
      </c>
      <c r="B444" s="11">
        <v>1.42127391304347E9</v>
      </c>
      <c r="C444" s="2">
        <v>-102.8135681</v>
      </c>
      <c r="D444" s="3">
        <f t="shared" si="1"/>
        <v>873913.0435</v>
      </c>
      <c r="E444" s="4">
        <f t="shared" si="2"/>
        <v>-185.4958187</v>
      </c>
      <c r="F444" s="3">
        <f t="shared" si="3"/>
        <v>0.000212258897</v>
      </c>
      <c r="G444" s="3">
        <f t="shared" si="4"/>
        <v>0</v>
      </c>
      <c r="H444" s="2">
        <f t="shared" si="5"/>
        <v>0</v>
      </c>
      <c r="I444" s="3">
        <f t="shared" si="6"/>
        <v>0</v>
      </c>
      <c r="J444" s="3">
        <f t="shared" si="7"/>
        <v>0</v>
      </c>
      <c r="K444" s="3"/>
      <c r="L444" s="3">
        <f t="shared" si="8"/>
        <v>397.8774789</v>
      </c>
      <c r="M444" s="14">
        <f t="shared" si="9"/>
        <v>399.006017</v>
      </c>
      <c r="N444" s="14">
        <f t="shared" si="10"/>
        <v>-1.128538132</v>
      </c>
      <c r="O444" s="3"/>
      <c r="P444" s="3"/>
      <c r="Q444" s="3"/>
      <c r="R444" s="2"/>
      <c r="S444" s="14">
        <f t="shared" si="13"/>
        <v>-1.036332203</v>
      </c>
    </row>
    <row r="445">
      <c r="A445" s="11">
        <v>433.0</v>
      </c>
      <c r="B445" s="11">
        <v>1.42127826086956E9</v>
      </c>
      <c r="C445" s="2">
        <v>-102.8102493</v>
      </c>
      <c r="D445" s="3">
        <f t="shared" si="1"/>
        <v>878260.8696</v>
      </c>
      <c r="E445" s="4">
        <f t="shared" si="2"/>
        <v>-186.4141148</v>
      </c>
      <c r="F445" s="3">
        <f t="shared" si="3"/>
        <v>0.0002122536951</v>
      </c>
      <c r="G445" s="3">
        <f t="shared" si="4"/>
        <v>0</v>
      </c>
      <c r="H445" s="2">
        <f t="shared" si="5"/>
        <v>0</v>
      </c>
      <c r="I445" s="3">
        <f t="shared" si="6"/>
        <v>0</v>
      </c>
      <c r="J445" s="3">
        <f t="shared" si="7"/>
        <v>0</v>
      </c>
      <c r="K445" s="3"/>
      <c r="L445" s="3">
        <f t="shared" si="8"/>
        <v>398.1816458</v>
      </c>
      <c r="M445" s="14">
        <f t="shared" si="9"/>
        <v>398.9151244</v>
      </c>
      <c r="N445" s="14">
        <f t="shared" si="10"/>
        <v>-0.7334785158</v>
      </c>
      <c r="O445" s="3"/>
      <c r="P445" s="3"/>
      <c r="Q445" s="3"/>
      <c r="R445" s="2"/>
      <c r="S445" s="14">
        <f t="shared" si="13"/>
        <v>-0.673550483</v>
      </c>
    </row>
    <row r="446">
      <c r="A446" s="11">
        <v>434.0</v>
      </c>
      <c r="B446" s="11">
        <v>1.42128260869565E9</v>
      </c>
      <c r="C446" s="2">
        <v>-102.8239517</v>
      </c>
      <c r="D446" s="3">
        <f t="shared" si="1"/>
        <v>882608.6957</v>
      </c>
      <c r="E446" s="4">
        <f t="shared" si="2"/>
        <v>-187.332411</v>
      </c>
      <c r="F446" s="3">
        <f t="shared" si="3"/>
        <v>0.0002122485444</v>
      </c>
      <c r="G446" s="3">
        <f t="shared" si="4"/>
        <v>0</v>
      </c>
      <c r="H446" s="2">
        <f t="shared" si="5"/>
        <v>0</v>
      </c>
      <c r="I446" s="3">
        <f t="shared" si="6"/>
        <v>0</v>
      </c>
      <c r="J446" s="3">
        <f t="shared" si="7"/>
        <v>0</v>
      </c>
      <c r="K446" s="3"/>
      <c r="L446" s="3">
        <f t="shared" si="8"/>
        <v>396.927325</v>
      </c>
      <c r="M446" s="14">
        <f t="shared" si="9"/>
        <v>398.823954</v>
      </c>
      <c r="N446" s="14">
        <f t="shared" si="10"/>
        <v>-1.896628923</v>
      </c>
      <c r="O446" s="3"/>
      <c r="P446" s="3"/>
      <c r="Q446" s="3"/>
      <c r="R446" s="2"/>
      <c r="S446" s="14">
        <f t="shared" si="13"/>
        <v>-1.741667006</v>
      </c>
    </row>
    <row r="447">
      <c r="A447" s="11">
        <v>435.0</v>
      </c>
      <c r="B447" s="11">
        <v>1.42128695652173E9</v>
      </c>
      <c r="C447" s="2">
        <v>-102.8056717</v>
      </c>
      <c r="D447" s="3">
        <f t="shared" si="1"/>
        <v>886956.5217</v>
      </c>
      <c r="E447" s="4">
        <f t="shared" si="2"/>
        <v>-188.2507071</v>
      </c>
      <c r="F447" s="3">
        <f t="shared" si="3"/>
        <v>0.0002122434443</v>
      </c>
      <c r="G447" s="3">
        <f t="shared" si="4"/>
        <v>0</v>
      </c>
      <c r="H447" s="2">
        <f t="shared" si="5"/>
        <v>0</v>
      </c>
      <c r="I447" s="3">
        <f t="shared" si="6"/>
        <v>0</v>
      </c>
      <c r="J447" s="3">
        <f t="shared" si="7"/>
        <v>0</v>
      </c>
      <c r="K447" s="3"/>
      <c r="L447" s="3">
        <f t="shared" si="8"/>
        <v>398.601563</v>
      </c>
      <c r="M447" s="14">
        <f t="shared" si="9"/>
        <v>398.7325036</v>
      </c>
      <c r="N447" s="14">
        <f t="shared" si="10"/>
        <v>-0.1309405582</v>
      </c>
      <c r="O447" s="3"/>
      <c r="P447" s="3"/>
      <c r="Q447" s="3"/>
      <c r="R447" s="2"/>
      <c r="S447" s="14">
        <f t="shared" si="13"/>
        <v>-0.1202422082</v>
      </c>
    </row>
    <row r="448">
      <c r="A448" s="11">
        <v>436.0</v>
      </c>
      <c r="B448" s="11">
        <v>1.42129130434782E9</v>
      </c>
      <c r="C448" s="2">
        <v>-102.8164825</v>
      </c>
      <c r="D448" s="3">
        <f t="shared" si="1"/>
        <v>891304.3478</v>
      </c>
      <c r="E448" s="4">
        <f t="shared" si="2"/>
        <v>-189.1690032</v>
      </c>
      <c r="F448" s="3">
        <f t="shared" si="3"/>
        <v>0.0002122383939</v>
      </c>
      <c r="G448" s="3">
        <f t="shared" si="4"/>
        <v>0</v>
      </c>
      <c r="H448" s="2">
        <f t="shared" si="5"/>
        <v>0</v>
      </c>
      <c r="I448" s="3">
        <f t="shared" si="6"/>
        <v>0</v>
      </c>
      <c r="J448" s="3">
        <f t="shared" si="7"/>
        <v>0</v>
      </c>
      <c r="K448" s="3"/>
      <c r="L448" s="3">
        <f t="shared" si="8"/>
        <v>397.6105666</v>
      </c>
      <c r="M448" s="14">
        <f t="shared" si="9"/>
        <v>398.6407711</v>
      </c>
      <c r="N448" s="14">
        <f t="shared" si="10"/>
        <v>-1.030204512</v>
      </c>
      <c r="O448" s="3"/>
      <c r="P448" s="3"/>
      <c r="Q448" s="3"/>
      <c r="R448" s="2"/>
      <c r="S448" s="14">
        <f t="shared" si="13"/>
        <v>-0.9460328193</v>
      </c>
    </row>
    <row r="449">
      <c r="A449" s="11">
        <v>437.0</v>
      </c>
      <c r="B449" s="11">
        <v>1.42129565217391E9</v>
      </c>
      <c r="C449" s="2">
        <v>-102.8405914</v>
      </c>
      <c r="D449" s="3">
        <f t="shared" si="1"/>
        <v>895652.1739</v>
      </c>
      <c r="E449" s="4">
        <f t="shared" si="2"/>
        <v>-190.0872994</v>
      </c>
      <c r="F449" s="3">
        <f t="shared" si="3"/>
        <v>0.0002122333925</v>
      </c>
      <c r="G449" s="3">
        <f t="shared" si="4"/>
        <v>0</v>
      </c>
      <c r="H449" s="2">
        <f t="shared" si="5"/>
        <v>0</v>
      </c>
      <c r="I449" s="3">
        <f t="shared" si="6"/>
        <v>0</v>
      </c>
      <c r="J449" s="3">
        <f t="shared" si="7"/>
        <v>0</v>
      </c>
      <c r="K449" s="3"/>
      <c r="L449" s="3">
        <f t="shared" si="8"/>
        <v>395.4094345</v>
      </c>
      <c r="M449" s="14">
        <f t="shared" si="9"/>
        <v>398.5487543</v>
      </c>
      <c r="N449" s="14">
        <f t="shared" si="10"/>
        <v>-3.139319866</v>
      </c>
      <c r="O449" s="3"/>
      <c r="P449" s="3"/>
      <c r="Q449" s="3"/>
      <c r="R449" s="2"/>
      <c r="S449" s="14">
        <f t="shared" si="13"/>
        <v>-2.882825286</v>
      </c>
    </row>
    <row r="450">
      <c r="A450" s="11">
        <v>438.0</v>
      </c>
      <c r="B450" s="11">
        <v>1.4213E9</v>
      </c>
      <c r="C450" s="2">
        <v>-102.8238678</v>
      </c>
      <c r="D450" s="3">
        <f t="shared" si="1"/>
        <v>900000</v>
      </c>
      <c r="E450" s="4">
        <f t="shared" si="2"/>
        <v>-191.0055955</v>
      </c>
      <c r="F450" s="3">
        <f t="shared" si="3"/>
        <v>0.0002122284394</v>
      </c>
      <c r="G450" s="3">
        <f t="shared" si="4"/>
        <v>0</v>
      </c>
      <c r="H450" s="2">
        <f t="shared" si="5"/>
        <v>0</v>
      </c>
      <c r="I450" s="3">
        <f t="shared" si="6"/>
        <v>0</v>
      </c>
      <c r="J450" s="3">
        <f t="shared" si="7"/>
        <v>0</v>
      </c>
      <c r="K450" s="3"/>
      <c r="L450" s="3">
        <f t="shared" si="8"/>
        <v>396.9349932</v>
      </c>
      <c r="M450" s="14">
        <f t="shared" si="9"/>
        <v>398.4564511</v>
      </c>
      <c r="N450" s="14">
        <f t="shared" si="10"/>
        <v>-1.521457862</v>
      </c>
      <c r="O450" s="3"/>
      <c r="P450" s="3"/>
      <c r="Q450" s="3"/>
      <c r="R450" s="2"/>
      <c r="S450" s="14">
        <f t="shared" si="13"/>
        <v>-1.397148871</v>
      </c>
    </row>
    <row r="451">
      <c r="A451" s="11">
        <v>439.0</v>
      </c>
      <c r="B451" s="11">
        <v>1.42130434782608E9</v>
      </c>
      <c r="C451" s="2">
        <v>-102.8491592</v>
      </c>
      <c r="D451" s="3">
        <f t="shared" si="1"/>
        <v>904347.8261</v>
      </c>
      <c r="E451" s="4">
        <f t="shared" si="2"/>
        <v>-191.9238916</v>
      </c>
      <c r="F451" s="3">
        <f t="shared" si="3"/>
        <v>0.000212223534</v>
      </c>
      <c r="G451" s="3">
        <f t="shared" si="4"/>
        <v>0</v>
      </c>
      <c r="H451" s="2">
        <f t="shared" si="5"/>
        <v>0</v>
      </c>
      <c r="I451" s="3">
        <f t="shared" si="6"/>
        <v>0</v>
      </c>
      <c r="J451" s="3">
        <f t="shared" si="7"/>
        <v>0</v>
      </c>
      <c r="K451" s="3"/>
      <c r="L451" s="3">
        <f t="shared" si="8"/>
        <v>394.6301362</v>
      </c>
      <c r="M451" s="14">
        <f t="shared" si="9"/>
        <v>398.3638592</v>
      </c>
      <c r="N451" s="14">
        <f t="shared" si="10"/>
        <v>-3.733722973</v>
      </c>
      <c r="O451" s="3"/>
      <c r="P451" s="3"/>
      <c r="Q451" s="3"/>
      <c r="R451" s="2"/>
      <c r="S451" s="14">
        <f t="shared" si="13"/>
        <v>-3.428663367</v>
      </c>
    </row>
    <row r="452">
      <c r="A452" s="11">
        <v>440.0</v>
      </c>
      <c r="B452" s="11">
        <v>1.42130869565217E9</v>
      </c>
      <c r="C452" s="2">
        <v>-102.8683243</v>
      </c>
      <c r="D452" s="3">
        <f t="shared" si="1"/>
        <v>908695.6522</v>
      </c>
      <c r="E452" s="4">
        <f t="shared" si="2"/>
        <v>-192.8421877</v>
      </c>
      <c r="F452" s="3">
        <f t="shared" si="3"/>
        <v>0.0002122186755</v>
      </c>
      <c r="G452" s="3">
        <f t="shared" si="4"/>
        <v>0</v>
      </c>
      <c r="H452" s="2">
        <f t="shared" si="5"/>
        <v>0</v>
      </c>
      <c r="I452" s="3">
        <f t="shared" si="6"/>
        <v>0</v>
      </c>
      <c r="J452" s="3">
        <f t="shared" si="7"/>
        <v>0</v>
      </c>
      <c r="K452" s="3"/>
      <c r="L452" s="3">
        <f t="shared" si="8"/>
        <v>392.8924989</v>
      </c>
      <c r="M452" s="14">
        <f t="shared" si="9"/>
        <v>398.2709764</v>
      </c>
      <c r="N452" s="14">
        <f t="shared" si="10"/>
        <v>-5.378477501</v>
      </c>
      <c r="O452" s="3"/>
      <c r="P452" s="3"/>
      <c r="Q452" s="3"/>
      <c r="R452" s="2"/>
      <c r="S452" s="14">
        <f t="shared" si="13"/>
        <v>-4.939035078</v>
      </c>
    </row>
    <row r="453">
      <c r="A453" s="11">
        <v>441.0</v>
      </c>
      <c r="B453" s="11">
        <v>1.42131304347826E9</v>
      </c>
      <c r="C453" s="2">
        <v>-102.7941895</v>
      </c>
      <c r="D453" s="3">
        <f t="shared" si="1"/>
        <v>913043.4783</v>
      </c>
      <c r="E453" s="4">
        <f t="shared" si="2"/>
        <v>-193.7604839</v>
      </c>
      <c r="F453" s="3">
        <f t="shared" si="3"/>
        <v>0.0002122138633</v>
      </c>
      <c r="G453" s="3">
        <f t="shared" si="4"/>
        <v>0</v>
      </c>
      <c r="H453" s="2">
        <f t="shared" si="5"/>
        <v>0</v>
      </c>
      <c r="I453" s="3">
        <f t="shared" si="6"/>
        <v>0</v>
      </c>
      <c r="J453" s="3">
        <f t="shared" si="7"/>
        <v>0</v>
      </c>
      <c r="K453" s="3"/>
      <c r="L453" s="3">
        <f t="shared" si="8"/>
        <v>399.6568098</v>
      </c>
      <c r="M453" s="14">
        <f t="shared" si="9"/>
        <v>398.1778007</v>
      </c>
      <c r="N453" s="14">
        <f t="shared" si="10"/>
        <v>1.479009129</v>
      </c>
      <c r="O453" s="3"/>
      <c r="P453" s="3"/>
      <c r="Q453" s="3"/>
      <c r="R453" s="2"/>
      <c r="S453" s="14">
        <f t="shared" si="13"/>
        <v>1.358168363</v>
      </c>
    </row>
    <row r="454">
      <c r="A454" s="11">
        <v>442.0</v>
      </c>
      <c r="B454" s="11">
        <v>1.42131739130434E9</v>
      </c>
      <c r="C454" s="2">
        <v>-102.8379669</v>
      </c>
      <c r="D454" s="3">
        <f t="shared" si="1"/>
        <v>917391.3043</v>
      </c>
      <c r="E454" s="4">
        <f t="shared" si="2"/>
        <v>-194.67878</v>
      </c>
      <c r="F454" s="3">
        <f t="shared" si="3"/>
        <v>0.0002122090967</v>
      </c>
      <c r="G454" s="3">
        <f t="shared" si="4"/>
        <v>0</v>
      </c>
      <c r="H454" s="2">
        <f t="shared" si="5"/>
        <v>0</v>
      </c>
      <c r="I454" s="3">
        <f t="shared" si="6"/>
        <v>0</v>
      </c>
      <c r="J454" s="3">
        <f t="shared" si="7"/>
        <v>0</v>
      </c>
      <c r="K454" s="3"/>
      <c r="L454" s="3">
        <f t="shared" si="8"/>
        <v>395.6484579</v>
      </c>
      <c r="M454" s="14">
        <f t="shared" si="9"/>
        <v>398.0843298</v>
      </c>
      <c r="N454" s="14">
        <f t="shared" si="10"/>
        <v>-2.435871819</v>
      </c>
      <c r="O454" s="3"/>
      <c r="P454" s="3"/>
      <c r="Q454" s="3"/>
      <c r="R454" s="2"/>
      <c r="S454" s="14">
        <f t="shared" si="13"/>
        <v>-2.236851671</v>
      </c>
    </row>
    <row r="455">
      <c r="A455" s="11">
        <v>443.0</v>
      </c>
      <c r="B455" s="11">
        <v>1.42132173913043E9</v>
      </c>
      <c r="C455" s="2">
        <v>-102.8394394</v>
      </c>
      <c r="D455" s="3">
        <f t="shared" si="1"/>
        <v>921739.1304</v>
      </c>
      <c r="E455" s="4">
        <f t="shared" si="2"/>
        <v>-195.5970761</v>
      </c>
      <c r="F455" s="3">
        <f t="shared" si="3"/>
        <v>0.0002122043751</v>
      </c>
      <c r="G455" s="3">
        <f t="shared" si="4"/>
        <v>0</v>
      </c>
      <c r="H455" s="2">
        <f t="shared" si="5"/>
        <v>0</v>
      </c>
      <c r="I455" s="3">
        <f t="shared" si="6"/>
        <v>0</v>
      </c>
      <c r="J455" s="3">
        <f t="shared" si="7"/>
        <v>0</v>
      </c>
      <c r="K455" s="3"/>
      <c r="L455" s="3">
        <f t="shared" si="8"/>
        <v>395.5143338</v>
      </c>
      <c r="M455" s="14">
        <f t="shared" si="9"/>
        <v>397.9905615</v>
      </c>
      <c r="N455" s="14">
        <f t="shared" si="10"/>
        <v>-2.476227641</v>
      </c>
      <c r="O455" s="3"/>
      <c r="P455" s="3"/>
      <c r="Q455" s="3"/>
      <c r="R455" s="2"/>
      <c r="S455" s="14">
        <f t="shared" si="13"/>
        <v>-2.273910261</v>
      </c>
    </row>
    <row r="456">
      <c r="A456" s="11">
        <v>444.0</v>
      </c>
      <c r="B456" s="11">
        <v>1.42132608695652E9</v>
      </c>
      <c r="C456" s="2">
        <v>-102.8003235</v>
      </c>
      <c r="D456" s="3">
        <f t="shared" si="1"/>
        <v>926086.9565</v>
      </c>
      <c r="E456" s="4">
        <f t="shared" si="2"/>
        <v>-196.5153723</v>
      </c>
      <c r="F456" s="3">
        <f t="shared" si="3"/>
        <v>0.0002121996978</v>
      </c>
      <c r="G456" s="3">
        <f t="shared" si="4"/>
        <v>0</v>
      </c>
      <c r="H456" s="2">
        <f t="shared" si="5"/>
        <v>0</v>
      </c>
      <c r="I456" s="3">
        <f t="shared" si="6"/>
        <v>0</v>
      </c>
      <c r="J456" s="3">
        <f t="shared" si="7"/>
        <v>0</v>
      </c>
      <c r="K456" s="3"/>
      <c r="L456" s="3">
        <f t="shared" si="8"/>
        <v>399.0927307</v>
      </c>
      <c r="M456" s="14">
        <f t="shared" si="9"/>
        <v>397.8964937</v>
      </c>
      <c r="N456" s="14">
        <f t="shared" si="10"/>
        <v>1.196237055</v>
      </c>
      <c r="O456" s="3"/>
      <c r="P456" s="3"/>
      <c r="Q456" s="3"/>
      <c r="R456" s="2"/>
      <c r="S456" s="14">
        <f t="shared" si="13"/>
        <v>1.098499861</v>
      </c>
    </row>
    <row r="457">
      <c r="A457" s="11">
        <v>445.0</v>
      </c>
      <c r="B457" s="11">
        <v>1.4213304347826E9</v>
      </c>
      <c r="C457" s="2">
        <v>-102.811554</v>
      </c>
      <c r="D457" s="3">
        <f t="shared" si="1"/>
        <v>930434.7826</v>
      </c>
      <c r="E457" s="4">
        <f t="shared" si="2"/>
        <v>-197.4336684</v>
      </c>
      <c r="F457" s="3">
        <f t="shared" si="3"/>
        <v>0.0002121950642</v>
      </c>
      <c r="G457" s="3">
        <f t="shared" si="4"/>
        <v>0</v>
      </c>
      <c r="H457" s="2">
        <f t="shared" si="5"/>
        <v>0</v>
      </c>
      <c r="I457" s="3">
        <f t="shared" si="6"/>
        <v>0</v>
      </c>
      <c r="J457" s="3">
        <f t="shared" si="7"/>
        <v>0</v>
      </c>
      <c r="K457" s="3"/>
      <c r="L457" s="3">
        <f t="shared" si="8"/>
        <v>398.0620428</v>
      </c>
      <c r="M457" s="14">
        <f t="shared" si="9"/>
        <v>397.8021241</v>
      </c>
      <c r="N457" s="14">
        <f t="shared" si="10"/>
        <v>0.2599186425</v>
      </c>
      <c r="O457" s="3"/>
      <c r="P457" s="3"/>
      <c r="Q457" s="3"/>
      <c r="R457" s="2"/>
      <c r="S457" s="14">
        <f t="shared" si="13"/>
        <v>0.2386822842</v>
      </c>
    </row>
    <row r="458">
      <c r="A458" s="11">
        <v>446.0</v>
      </c>
      <c r="B458" s="11">
        <v>1.42133478260869E9</v>
      </c>
      <c r="C458" s="2">
        <v>-102.853714</v>
      </c>
      <c r="D458" s="3">
        <f t="shared" si="1"/>
        <v>934782.6087</v>
      </c>
      <c r="E458" s="4">
        <f t="shared" si="2"/>
        <v>-198.3519645</v>
      </c>
      <c r="F458" s="3">
        <f t="shared" si="3"/>
        <v>0.0002121904737</v>
      </c>
      <c r="G458" s="3">
        <f t="shared" si="4"/>
        <v>0</v>
      </c>
      <c r="H458" s="2">
        <f t="shared" si="5"/>
        <v>0</v>
      </c>
      <c r="I458" s="3">
        <f t="shared" si="6"/>
        <v>0</v>
      </c>
      <c r="J458" s="3">
        <f t="shared" si="7"/>
        <v>0</v>
      </c>
      <c r="K458" s="3"/>
      <c r="L458" s="3">
        <f t="shared" si="8"/>
        <v>394.2164724</v>
      </c>
      <c r="M458" s="14">
        <f t="shared" si="9"/>
        <v>397.7074507</v>
      </c>
      <c r="N458" s="14">
        <f t="shared" si="10"/>
        <v>-3.490978322</v>
      </c>
      <c r="O458" s="3"/>
      <c r="P458" s="3"/>
      <c r="Q458" s="3"/>
      <c r="R458" s="2"/>
      <c r="S458" s="14">
        <f t="shared" si="13"/>
        <v>-3.205751893</v>
      </c>
    </row>
    <row r="459">
      <c r="A459" s="11">
        <v>447.0</v>
      </c>
      <c r="B459" s="11">
        <v>1.42133913043478E9</v>
      </c>
      <c r="C459" s="2">
        <v>-102.8130341</v>
      </c>
      <c r="D459" s="3">
        <f t="shared" si="1"/>
        <v>939130.4348</v>
      </c>
      <c r="E459" s="4">
        <f t="shared" si="2"/>
        <v>-199.2702607</v>
      </c>
      <c r="F459" s="3">
        <f t="shared" si="3"/>
        <v>0.0002121859257</v>
      </c>
      <c r="G459" s="3">
        <f t="shared" si="4"/>
        <v>0</v>
      </c>
      <c r="H459" s="2">
        <f t="shared" si="5"/>
        <v>0</v>
      </c>
      <c r="I459" s="3">
        <f t="shared" si="6"/>
        <v>0</v>
      </c>
      <c r="J459" s="3">
        <f t="shared" si="7"/>
        <v>0</v>
      </c>
      <c r="K459" s="3"/>
      <c r="L459" s="3">
        <f t="shared" si="8"/>
        <v>397.9264041</v>
      </c>
      <c r="M459" s="14">
        <f t="shared" si="9"/>
        <v>397.6124712</v>
      </c>
      <c r="N459" s="14">
        <f t="shared" si="10"/>
        <v>0.3139328595</v>
      </c>
      <c r="O459" s="3"/>
      <c r="P459" s="3"/>
      <c r="Q459" s="3"/>
      <c r="R459" s="2"/>
      <c r="S459" s="14">
        <f t="shared" si="13"/>
        <v>0.2882833302</v>
      </c>
    </row>
    <row r="460">
      <c r="A460" s="11">
        <v>448.0</v>
      </c>
      <c r="B460" s="11">
        <v>1.42134347826087E9</v>
      </c>
      <c r="C460" s="2">
        <v>-102.8456039</v>
      </c>
      <c r="D460" s="3">
        <f t="shared" si="1"/>
        <v>943478.2609</v>
      </c>
      <c r="E460" s="4">
        <f t="shared" si="2"/>
        <v>-200.1885568</v>
      </c>
      <c r="F460" s="3">
        <f t="shared" si="3"/>
        <v>0.0002121814197</v>
      </c>
      <c r="G460" s="3">
        <f t="shared" si="4"/>
        <v>0</v>
      </c>
      <c r="H460" s="2">
        <f t="shared" si="5"/>
        <v>0</v>
      </c>
      <c r="I460" s="3">
        <f t="shared" si="6"/>
        <v>0</v>
      </c>
      <c r="J460" s="3">
        <f t="shared" si="7"/>
        <v>0</v>
      </c>
      <c r="K460" s="3"/>
      <c r="L460" s="3">
        <f t="shared" si="8"/>
        <v>394.9533277</v>
      </c>
      <c r="M460" s="14">
        <f t="shared" si="9"/>
        <v>397.5171835</v>
      </c>
      <c r="N460" s="14">
        <f t="shared" si="10"/>
        <v>-2.563855805</v>
      </c>
      <c r="O460" s="3"/>
      <c r="P460" s="3"/>
      <c r="Q460" s="3"/>
      <c r="R460" s="2"/>
      <c r="S460" s="14">
        <f t="shared" si="13"/>
        <v>-2.354378871</v>
      </c>
    </row>
    <row r="461">
      <c r="A461" s="11">
        <v>449.0</v>
      </c>
      <c r="B461" s="11">
        <v>1.42134782608695E9</v>
      </c>
      <c r="C461" s="2">
        <v>-102.7749176</v>
      </c>
      <c r="D461" s="3">
        <f t="shared" si="1"/>
        <v>947826.087</v>
      </c>
      <c r="E461" s="4">
        <f t="shared" si="2"/>
        <v>-201.1068529</v>
      </c>
      <c r="F461" s="3">
        <f t="shared" si="3"/>
        <v>0.0002121769549</v>
      </c>
      <c r="G461" s="3">
        <f t="shared" si="4"/>
        <v>0</v>
      </c>
      <c r="H461" s="2">
        <f t="shared" si="5"/>
        <v>0</v>
      </c>
      <c r="I461" s="3">
        <f t="shared" si="6"/>
        <v>0</v>
      </c>
      <c r="J461" s="3">
        <f t="shared" si="7"/>
        <v>0</v>
      </c>
      <c r="K461" s="3"/>
      <c r="L461" s="3">
        <f t="shared" si="8"/>
        <v>401.4342353</v>
      </c>
      <c r="M461" s="14">
        <f t="shared" si="9"/>
        <v>397.4215854</v>
      </c>
      <c r="N461" s="14">
        <f t="shared" si="10"/>
        <v>4.012649836</v>
      </c>
      <c r="O461" s="3"/>
      <c r="P461" s="3"/>
      <c r="Q461" s="3"/>
      <c r="R461" s="2"/>
      <c r="S461" s="14">
        <f t="shared" si="13"/>
        <v>3.684800827</v>
      </c>
    </row>
    <row r="462">
      <c r="A462" s="11">
        <v>450.0</v>
      </c>
      <c r="B462" s="11">
        <v>1.42135217391304E9</v>
      </c>
      <c r="C462" s="2">
        <v>-102.8238068</v>
      </c>
      <c r="D462" s="3">
        <f t="shared" si="1"/>
        <v>952173.913</v>
      </c>
      <c r="E462" s="4">
        <f t="shared" si="2"/>
        <v>-202.0251491</v>
      </c>
      <c r="F462" s="3">
        <f t="shared" si="3"/>
        <v>0.000212172531</v>
      </c>
      <c r="G462" s="3">
        <f t="shared" si="4"/>
        <v>0</v>
      </c>
      <c r="H462" s="2">
        <f t="shared" si="5"/>
        <v>0</v>
      </c>
      <c r="I462" s="3">
        <f t="shared" si="6"/>
        <v>0</v>
      </c>
      <c r="J462" s="3">
        <f t="shared" si="7"/>
        <v>0</v>
      </c>
      <c r="K462" s="3"/>
      <c r="L462" s="3">
        <f t="shared" si="8"/>
        <v>396.9405685</v>
      </c>
      <c r="M462" s="14">
        <f t="shared" si="9"/>
        <v>397.3256747</v>
      </c>
      <c r="N462" s="14">
        <f t="shared" si="10"/>
        <v>-0.3851061845</v>
      </c>
      <c r="O462" s="3"/>
      <c r="P462" s="3"/>
      <c r="Q462" s="3"/>
      <c r="R462" s="2"/>
      <c r="S462" s="14">
        <f t="shared" si="13"/>
        <v>-0.3536415192</v>
      </c>
    </row>
    <row r="463">
      <c r="A463" s="11">
        <v>451.0</v>
      </c>
      <c r="B463" s="11">
        <v>1.42135652173913E9</v>
      </c>
      <c r="C463" s="2">
        <v>-102.8171768</v>
      </c>
      <c r="D463" s="3">
        <f t="shared" si="1"/>
        <v>956521.7391</v>
      </c>
      <c r="E463" s="4">
        <f t="shared" si="2"/>
        <v>-202.9434452</v>
      </c>
      <c r="F463" s="3">
        <f t="shared" si="3"/>
        <v>0.0002121681473</v>
      </c>
      <c r="G463" s="3">
        <f t="shared" si="4"/>
        <v>0</v>
      </c>
      <c r="H463" s="2">
        <f t="shared" si="5"/>
        <v>0</v>
      </c>
      <c r="I463" s="3">
        <f t="shared" si="6"/>
        <v>0</v>
      </c>
      <c r="J463" s="3">
        <f t="shared" si="7"/>
        <v>0</v>
      </c>
      <c r="K463" s="3"/>
      <c r="L463" s="3">
        <f t="shared" si="8"/>
        <v>397.5470063</v>
      </c>
      <c r="M463" s="14">
        <f t="shared" si="9"/>
        <v>397.2294492</v>
      </c>
      <c r="N463" s="14">
        <f t="shared" si="10"/>
        <v>0.317557063</v>
      </c>
      <c r="O463" s="3"/>
      <c r="P463" s="3"/>
      <c r="Q463" s="3"/>
      <c r="R463" s="2"/>
      <c r="S463" s="14">
        <f t="shared" si="13"/>
        <v>0.2916114228</v>
      </c>
    </row>
    <row r="464">
      <c r="A464" s="11">
        <v>452.0</v>
      </c>
      <c r="B464" s="11">
        <v>1.42136086956521E9</v>
      </c>
      <c r="C464" s="2">
        <v>-102.8175049</v>
      </c>
      <c r="D464" s="3">
        <f t="shared" si="1"/>
        <v>960869.5652</v>
      </c>
      <c r="E464" s="4">
        <f t="shared" si="2"/>
        <v>-203.8617413</v>
      </c>
      <c r="F464" s="3">
        <f t="shared" si="3"/>
        <v>0.0002121638032</v>
      </c>
      <c r="G464" s="3">
        <f t="shared" si="4"/>
        <v>0</v>
      </c>
      <c r="H464" s="2">
        <f t="shared" si="5"/>
        <v>0</v>
      </c>
      <c r="I464" s="3">
        <f t="shared" si="6"/>
        <v>0</v>
      </c>
      <c r="J464" s="3">
        <f t="shared" si="7"/>
        <v>0</v>
      </c>
      <c r="K464" s="3"/>
      <c r="L464" s="3">
        <f t="shared" si="8"/>
        <v>397.5169736</v>
      </c>
      <c r="M464" s="14">
        <f t="shared" si="9"/>
        <v>397.1329068</v>
      </c>
      <c r="N464" s="14">
        <f t="shared" si="10"/>
        <v>0.3840667997</v>
      </c>
      <c r="O464" s="3"/>
      <c r="P464" s="3"/>
      <c r="Q464" s="3"/>
      <c r="R464" s="2"/>
      <c r="S464" s="14">
        <f t="shared" si="13"/>
        <v>0.3526870569</v>
      </c>
    </row>
    <row r="465">
      <c r="A465" s="11">
        <v>453.0</v>
      </c>
      <c r="B465" s="11">
        <v>1.4213652173913E9</v>
      </c>
      <c r="C465" s="2">
        <v>-102.805748</v>
      </c>
      <c r="D465" s="3">
        <f t="shared" si="1"/>
        <v>965217.3913</v>
      </c>
      <c r="E465" s="4">
        <f t="shared" si="2"/>
        <v>-204.7800375</v>
      </c>
      <c r="F465" s="3">
        <f t="shared" si="3"/>
        <v>0.0002121594983</v>
      </c>
      <c r="G465" s="3">
        <f t="shared" si="4"/>
        <v>0</v>
      </c>
      <c r="H465" s="2">
        <f t="shared" si="5"/>
        <v>0</v>
      </c>
      <c r="I465" s="3">
        <f t="shared" si="6"/>
        <v>0</v>
      </c>
      <c r="J465" s="3">
        <f t="shared" si="7"/>
        <v>0</v>
      </c>
      <c r="K465" s="3"/>
      <c r="L465" s="3">
        <f t="shared" si="8"/>
        <v>398.5945602</v>
      </c>
      <c r="M465" s="14">
        <f t="shared" si="9"/>
        <v>397.0360453</v>
      </c>
      <c r="N465" s="14">
        <f t="shared" si="10"/>
        <v>1.55851489</v>
      </c>
      <c r="O465" s="3"/>
      <c r="P465" s="3"/>
      <c r="Q465" s="3"/>
      <c r="R465" s="2"/>
      <c r="S465" s="14">
        <f t="shared" si="13"/>
        <v>1.431178193</v>
      </c>
    </row>
    <row r="466">
      <c r="A466" s="11">
        <v>454.0</v>
      </c>
      <c r="B466" s="11">
        <v>1.42136956521739E9</v>
      </c>
      <c r="C466" s="2">
        <v>-102.7981262</v>
      </c>
      <c r="D466" s="3">
        <f t="shared" si="1"/>
        <v>969565.2174</v>
      </c>
      <c r="E466" s="4">
        <f t="shared" si="2"/>
        <v>-205.6983336</v>
      </c>
      <c r="F466" s="3">
        <f t="shared" si="3"/>
        <v>0.000212155232</v>
      </c>
      <c r="G466" s="3">
        <f t="shared" si="4"/>
        <v>0</v>
      </c>
      <c r="H466" s="2">
        <f t="shared" si="5"/>
        <v>0</v>
      </c>
      <c r="I466" s="3">
        <f t="shared" si="6"/>
        <v>0</v>
      </c>
      <c r="J466" s="3">
        <f t="shared" si="7"/>
        <v>0</v>
      </c>
      <c r="K466" s="3"/>
      <c r="L466" s="3">
        <f t="shared" si="8"/>
        <v>399.2947016</v>
      </c>
      <c r="M466" s="14">
        <f t="shared" si="9"/>
        <v>396.9388625</v>
      </c>
      <c r="N466" s="14">
        <f t="shared" si="10"/>
        <v>2.355839094</v>
      </c>
      <c r="O466" s="3"/>
      <c r="P466" s="3"/>
      <c r="Q466" s="3"/>
      <c r="R466" s="2"/>
      <c r="S466" s="14">
        <f t="shared" si="13"/>
        <v>2.163357929</v>
      </c>
    </row>
    <row r="467">
      <c r="A467" s="11">
        <v>455.0</v>
      </c>
      <c r="B467" s="11">
        <v>1.42137391304347E9</v>
      </c>
      <c r="C467" s="2">
        <v>-102.8410416</v>
      </c>
      <c r="D467" s="3">
        <f t="shared" si="1"/>
        <v>973913.0435</v>
      </c>
      <c r="E467" s="4">
        <f t="shared" si="2"/>
        <v>-206.6166297</v>
      </c>
      <c r="F467" s="3">
        <f t="shared" si="3"/>
        <v>0.0002121510037</v>
      </c>
      <c r="G467" s="3">
        <f t="shared" si="4"/>
        <v>0</v>
      </c>
      <c r="H467" s="2">
        <f t="shared" si="5"/>
        <v>0</v>
      </c>
      <c r="I467" s="3">
        <f t="shared" si="6"/>
        <v>0</v>
      </c>
      <c r="J467" s="3">
        <f t="shared" si="7"/>
        <v>0</v>
      </c>
      <c r="K467" s="3"/>
      <c r="L467" s="3">
        <f t="shared" si="8"/>
        <v>395.3684475</v>
      </c>
      <c r="M467" s="14">
        <f t="shared" si="9"/>
        <v>396.8413562</v>
      </c>
      <c r="N467" s="14">
        <f t="shared" si="10"/>
        <v>-1.472908677</v>
      </c>
      <c r="O467" s="3"/>
      <c r="P467" s="3"/>
      <c r="Q467" s="3"/>
      <c r="R467" s="2"/>
      <c r="S467" s="14">
        <f t="shared" si="13"/>
        <v>-1.352566342</v>
      </c>
    </row>
    <row r="468">
      <c r="A468" s="11">
        <v>456.0</v>
      </c>
      <c r="B468" s="11">
        <v>1.42137826086956E9</v>
      </c>
      <c r="C468" s="2">
        <v>-102.7889252</v>
      </c>
      <c r="D468" s="3">
        <f t="shared" si="1"/>
        <v>978260.8696</v>
      </c>
      <c r="E468" s="4">
        <f t="shared" si="2"/>
        <v>-207.5349259</v>
      </c>
      <c r="F468" s="3">
        <f t="shared" si="3"/>
        <v>0.0002121468131</v>
      </c>
      <c r="G468" s="3">
        <f t="shared" si="4"/>
        <v>0</v>
      </c>
      <c r="H468" s="2">
        <f t="shared" si="5"/>
        <v>0</v>
      </c>
      <c r="I468" s="3">
        <f t="shared" si="6"/>
        <v>0</v>
      </c>
      <c r="J468" s="3">
        <f t="shared" si="7"/>
        <v>0</v>
      </c>
      <c r="K468" s="3"/>
      <c r="L468" s="3">
        <f t="shared" si="8"/>
        <v>400.1415475</v>
      </c>
      <c r="M468" s="14">
        <f t="shared" si="9"/>
        <v>396.7435243</v>
      </c>
      <c r="N468" s="14">
        <f t="shared" si="10"/>
        <v>3.398023221</v>
      </c>
      <c r="O468" s="3"/>
      <c r="P468" s="3"/>
      <c r="Q468" s="3"/>
      <c r="R468" s="2"/>
      <c r="S468" s="14">
        <f t="shared" si="13"/>
        <v>3.120391576</v>
      </c>
    </row>
    <row r="469">
      <c r="A469" s="11">
        <v>457.0</v>
      </c>
      <c r="B469" s="11">
        <v>1.42138260869565E9</v>
      </c>
      <c r="C469" s="2">
        <v>-102.8068161</v>
      </c>
      <c r="D469" s="3">
        <f t="shared" si="1"/>
        <v>982608.6957</v>
      </c>
      <c r="E469" s="4">
        <f t="shared" si="2"/>
        <v>-208.453222</v>
      </c>
      <c r="F469" s="3">
        <f t="shared" si="3"/>
        <v>0.0002121426596</v>
      </c>
      <c r="G469" s="3">
        <f t="shared" si="4"/>
        <v>0</v>
      </c>
      <c r="H469" s="2">
        <f t="shared" si="5"/>
        <v>0</v>
      </c>
      <c r="I469" s="3">
        <f t="shared" si="6"/>
        <v>0</v>
      </c>
      <c r="J469" s="3">
        <f t="shared" si="7"/>
        <v>0</v>
      </c>
      <c r="K469" s="3"/>
      <c r="L469" s="3">
        <f t="shared" si="8"/>
        <v>398.4965422</v>
      </c>
      <c r="M469" s="14">
        <f t="shared" si="9"/>
        <v>396.6453645</v>
      </c>
      <c r="N469" s="14">
        <f t="shared" si="10"/>
        <v>1.851177723</v>
      </c>
      <c r="O469" s="3"/>
      <c r="P469" s="3"/>
      <c r="Q469" s="3"/>
      <c r="R469" s="2"/>
      <c r="S469" s="14">
        <f t="shared" si="13"/>
        <v>1.699929344</v>
      </c>
    </row>
    <row r="470">
      <c r="A470" s="11">
        <v>458.0</v>
      </c>
      <c r="B470" s="11">
        <v>1.42138695652173E9</v>
      </c>
      <c r="C470" s="2">
        <v>-102.8080215</v>
      </c>
      <c r="D470" s="3">
        <f t="shared" si="1"/>
        <v>986956.5217</v>
      </c>
      <c r="E470" s="4">
        <f t="shared" si="2"/>
        <v>-209.3715181</v>
      </c>
      <c r="F470" s="3">
        <f t="shared" si="3"/>
        <v>0.0002121385426</v>
      </c>
      <c r="G470" s="3">
        <f t="shared" si="4"/>
        <v>0</v>
      </c>
      <c r="H470" s="2">
        <f t="shared" si="5"/>
        <v>0</v>
      </c>
      <c r="I470" s="3">
        <f t="shared" si="6"/>
        <v>0</v>
      </c>
      <c r="J470" s="3">
        <f t="shared" si="7"/>
        <v>0</v>
      </c>
      <c r="K470" s="3"/>
      <c r="L470" s="3">
        <f t="shared" si="8"/>
        <v>398.3859534</v>
      </c>
      <c r="M470" s="14">
        <f t="shared" si="9"/>
        <v>396.5468748</v>
      </c>
      <c r="N470" s="14">
        <f t="shared" si="10"/>
        <v>1.839078658</v>
      </c>
      <c r="O470" s="3"/>
      <c r="P470" s="3"/>
      <c r="Q470" s="3"/>
      <c r="R470" s="2"/>
      <c r="S470" s="14">
        <f t="shared" si="13"/>
        <v>1.688818819</v>
      </c>
    </row>
    <row r="471">
      <c r="A471" s="11">
        <v>459.0</v>
      </c>
      <c r="B471" s="11">
        <v>1.42139130434782E9</v>
      </c>
      <c r="C471" s="2">
        <v>-102.8019562</v>
      </c>
      <c r="D471" s="3">
        <f t="shared" si="1"/>
        <v>991304.3478</v>
      </c>
      <c r="E471" s="4">
        <f t="shared" si="2"/>
        <v>-210.2898143</v>
      </c>
      <c r="F471" s="3">
        <f t="shared" si="3"/>
        <v>0.0002121344618</v>
      </c>
      <c r="G471" s="3">
        <f t="shared" si="4"/>
        <v>0</v>
      </c>
      <c r="H471" s="2">
        <f t="shared" si="5"/>
        <v>0</v>
      </c>
      <c r="I471" s="3">
        <f t="shared" si="6"/>
        <v>0</v>
      </c>
      <c r="J471" s="3">
        <f t="shared" si="7"/>
        <v>0</v>
      </c>
      <c r="K471" s="3"/>
      <c r="L471" s="3">
        <f t="shared" si="8"/>
        <v>398.9427228</v>
      </c>
      <c r="M471" s="14">
        <f t="shared" si="9"/>
        <v>396.4480529</v>
      </c>
      <c r="N471" s="14">
        <f t="shared" si="10"/>
        <v>2.494669884</v>
      </c>
      <c r="O471" s="3"/>
      <c r="P471" s="3"/>
      <c r="Q471" s="3"/>
      <c r="R471" s="2"/>
      <c r="S471" s="14">
        <f t="shared" si="13"/>
        <v>2.290845707</v>
      </c>
    </row>
    <row r="472">
      <c r="A472" s="11">
        <v>460.0</v>
      </c>
      <c r="B472" s="11">
        <v>1.42139565217391E9</v>
      </c>
      <c r="C472" s="2">
        <v>-102.817688</v>
      </c>
      <c r="D472" s="3">
        <f t="shared" si="1"/>
        <v>995652.1739</v>
      </c>
      <c r="E472" s="4">
        <f t="shared" si="2"/>
        <v>-211.2081104</v>
      </c>
      <c r="F472" s="3">
        <f t="shared" si="3"/>
        <v>0.0002121304166</v>
      </c>
      <c r="G472" s="3">
        <f t="shared" si="4"/>
        <v>0</v>
      </c>
      <c r="H472" s="2">
        <f t="shared" si="5"/>
        <v>0</v>
      </c>
      <c r="I472" s="3">
        <f t="shared" si="6"/>
        <v>0</v>
      </c>
      <c r="J472" s="3">
        <f t="shared" si="7"/>
        <v>0</v>
      </c>
      <c r="K472" s="3"/>
      <c r="L472" s="3">
        <f t="shared" si="8"/>
        <v>397.5002145</v>
      </c>
      <c r="M472" s="14">
        <f t="shared" si="9"/>
        <v>396.3488966</v>
      </c>
      <c r="N472" s="14">
        <f t="shared" si="10"/>
        <v>1.151317908</v>
      </c>
      <c r="O472" s="3"/>
      <c r="P472" s="3"/>
      <c r="Q472" s="3"/>
      <c r="R472" s="2"/>
      <c r="S472" s="14">
        <f t="shared" si="13"/>
        <v>0.9117166875</v>
      </c>
    </row>
    <row r="473">
      <c r="A473" s="11">
        <v>461.0</v>
      </c>
      <c r="B473" s="11">
        <v>1.4214E9</v>
      </c>
      <c r="C473" s="2">
        <v>-102.8596115</v>
      </c>
      <c r="D473" s="3">
        <f t="shared" si="1"/>
        <v>1000000</v>
      </c>
      <c r="E473" s="29">
        <f>-0.000212*D473</f>
        <v>-212</v>
      </c>
      <c r="F473" s="3">
        <f t="shared" si="3"/>
        <v>0.000212</v>
      </c>
      <c r="G473" s="3">
        <f t="shared" si="4"/>
        <v>0</v>
      </c>
      <c r="H473" s="2">
        <f t="shared" si="5"/>
        <v>0</v>
      </c>
      <c r="I473" s="3">
        <f t="shared" si="6"/>
        <v>0</v>
      </c>
      <c r="J473" s="3">
        <f t="shared" si="7"/>
        <v>0</v>
      </c>
      <c r="K473" s="3"/>
      <c r="L473" s="3">
        <f t="shared" si="8"/>
        <v>393.6815096</v>
      </c>
      <c r="M473" s="14">
        <f t="shared" si="9"/>
        <v>396.2631194</v>
      </c>
      <c r="N473" s="14">
        <f t="shared" si="10"/>
        <v>-2.581609795</v>
      </c>
      <c r="O473" s="3"/>
      <c r="P473" s="3"/>
      <c r="Q473" s="3"/>
      <c r="R473" s="2"/>
      <c r="S473" s="14"/>
    </row>
    <row r="474">
      <c r="A474" s="11" t="s">
        <v>40</v>
      </c>
      <c r="D474" s="3"/>
      <c r="E474" s="4"/>
      <c r="F474" s="3"/>
      <c r="G474" s="3"/>
      <c r="H474" s="3"/>
      <c r="I474" s="3"/>
      <c r="J474" s="3"/>
      <c r="K474" s="3"/>
      <c r="L474" s="3"/>
      <c r="M474" s="5"/>
      <c r="N474" s="3"/>
      <c r="O474" s="3"/>
      <c r="P474" s="3"/>
      <c r="Q474" s="3"/>
      <c r="R474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0</v>
      </c>
      <c r="B1" s="11" t="s">
        <v>1</v>
      </c>
    </row>
    <row r="2">
      <c r="A2" s="11" t="s">
        <v>2</v>
      </c>
      <c r="B2" s="11" t="s">
        <v>3</v>
      </c>
    </row>
    <row r="3">
      <c r="A3" s="11" t="s">
        <v>5</v>
      </c>
      <c r="B3" s="11" t="s">
        <v>6</v>
      </c>
    </row>
    <row r="4">
      <c r="A4" s="11" t="s">
        <v>7</v>
      </c>
      <c r="B4" s="11">
        <v>1.4204E9</v>
      </c>
      <c r="C4" s="11" t="s">
        <v>8</v>
      </c>
    </row>
    <row r="5">
      <c r="A5" s="11" t="s">
        <v>9</v>
      </c>
      <c r="B5" s="11">
        <v>2000000.0</v>
      </c>
      <c r="C5" s="11" t="s">
        <v>8</v>
      </c>
    </row>
    <row r="6">
      <c r="A6" s="11" t="s">
        <v>10</v>
      </c>
      <c r="B6" s="11">
        <v>30000.0</v>
      </c>
      <c r="C6" s="11" t="s">
        <v>8</v>
      </c>
    </row>
    <row r="7">
      <c r="A7" s="11" t="s">
        <v>11</v>
      </c>
      <c r="B7" s="11">
        <v>30000.0</v>
      </c>
      <c r="C7" s="11" t="s">
        <v>8</v>
      </c>
    </row>
    <row r="8">
      <c r="A8" s="11" t="s">
        <v>12</v>
      </c>
      <c r="B8" s="11">
        <v>-97.0</v>
      </c>
      <c r="C8" s="11" t="s">
        <v>13</v>
      </c>
    </row>
    <row r="9">
      <c r="A9" s="11" t="s">
        <v>14</v>
      </c>
      <c r="B9" s="11">
        <v>1.0</v>
      </c>
      <c r="C9" s="11" t="s">
        <v>15</v>
      </c>
    </row>
    <row r="10">
      <c r="A10" s="11" t="s">
        <v>16</v>
      </c>
      <c r="B10" s="11">
        <v>461.0</v>
      </c>
    </row>
    <row r="11">
      <c r="A11" s="11" t="s">
        <v>17</v>
      </c>
      <c r="B11" s="11" t="s">
        <v>8</v>
      </c>
      <c r="C11" s="11" t="s">
        <v>13</v>
      </c>
      <c r="D11" s="2" t="s">
        <v>18</v>
      </c>
      <c r="E11" s="1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26</v>
      </c>
      <c r="M11" s="6" t="s">
        <v>27</v>
      </c>
      <c r="N11" s="2" t="s">
        <v>28</v>
      </c>
      <c r="O11" s="3"/>
      <c r="P11" s="2" t="s">
        <v>29</v>
      </c>
      <c r="Q11" s="2" t="s">
        <v>30</v>
      </c>
      <c r="R11" s="2"/>
      <c r="S11" s="2" t="s">
        <v>31</v>
      </c>
      <c r="V11" s="13" t="s">
        <v>32</v>
      </c>
    </row>
    <row r="12">
      <c r="A12" s="11" t="s">
        <v>33</v>
      </c>
      <c r="B12" s="11" t="s">
        <v>34</v>
      </c>
      <c r="C12" s="11" t="s">
        <v>35</v>
      </c>
      <c r="D12" s="3"/>
      <c r="E12" s="4"/>
      <c r="F12" s="3"/>
      <c r="G12" s="2" t="s">
        <v>36</v>
      </c>
      <c r="H12" s="2" t="s">
        <v>37</v>
      </c>
      <c r="I12" s="3"/>
      <c r="J12" s="3"/>
      <c r="K12" s="3"/>
      <c r="L12" s="3"/>
      <c r="M12" s="5"/>
      <c r="N12" s="3"/>
      <c r="O12" s="3"/>
      <c r="P12" s="3"/>
      <c r="Q12" s="3"/>
      <c r="R12" s="3"/>
      <c r="S12" s="3"/>
    </row>
    <row r="13">
      <c r="A13" s="11">
        <v>1.0</v>
      </c>
      <c r="B13" s="11">
        <v>1.4194E9</v>
      </c>
      <c r="C13" s="2">
        <v>-102.4282608</v>
      </c>
      <c r="D13" s="3">
        <f t="shared" ref="D13:D473" si="1">B13-$B$4</f>
        <v>-1000000</v>
      </c>
      <c r="E13" s="4">
        <f t="shared" ref="E13:E472" si="2">-((B14-$B$4)/$B$4)*(3*10^5)</f>
        <v>210.2898143</v>
      </c>
      <c r="F13" s="3">
        <f t="shared" ref="F13:F473" si="3">-E13/D13</f>
        <v>0.0002102898143</v>
      </c>
      <c r="G13" s="3">
        <f t="shared" ref="G13:G473" si="4">(10^(C13/10))/1000</f>
        <v>0</v>
      </c>
      <c r="H13" s="2">
        <f t="shared" ref="H13:H473" si="5">G13/30000</f>
        <v>0</v>
      </c>
      <c r="I13" s="3">
        <f t="shared" ref="I13:I473" si="6">0.0063*H13</f>
        <v>0</v>
      </c>
      <c r="J13" s="3">
        <f t="shared" ref="J13:J473" si="7">(1/F13^2)*I13</f>
        <v>0</v>
      </c>
      <c r="K13" s="22">
        <f>1.38064852E-23</f>
        <v>0</v>
      </c>
      <c r="L13" s="3">
        <f t="shared" ref="L13:L473" si="8">(1/(2*$K$13))*(I13)</f>
        <v>434.7905411</v>
      </c>
      <c r="M13" s="14">
        <f t="shared" ref="M13:M473" si="9"> 0.0000002574*E13^3 + 0.0000292908*E13^2 + 0.0809112451*E13 + 412.2671988519
</f>
        <v>432.970966</v>
      </c>
      <c r="N13" s="14">
        <f t="shared" ref="N13:N473" si="10">L13-(M13)</f>
        <v>1.819575073</v>
      </c>
      <c r="O13" s="3"/>
      <c r="P13" s="23">
        <f t="shared" ref="P13:P67" si="11">-((B14-$B$4)/$B$4)*(3*10^5)</f>
        <v>210.2898143</v>
      </c>
      <c r="Q13" s="14">
        <f t="shared" ref="Q13:Q67" si="12">(1/(2*$K$13))*(I13)</f>
        <v>434.7905411</v>
      </c>
      <c r="R13" s="2"/>
      <c r="S13" s="14">
        <f t="shared" ref="S13:S472" si="13">(N13 * ABS(E14-E13))</f>
        <v>1.670908753</v>
      </c>
      <c r="V13" s="3">
        <f>1822400000000000000 * SUM(S13:S473)</f>
        <v>1.68972E+22</v>
      </c>
    </row>
    <row r="14">
      <c r="A14" s="11">
        <v>2.0</v>
      </c>
      <c r="B14" s="11">
        <v>1.41940434782608E9</v>
      </c>
      <c r="C14" s="2">
        <v>-102.4685059</v>
      </c>
      <c r="D14" s="3">
        <f t="shared" si="1"/>
        <v>-995652.1739</v>
      </c>
      <c r="E14" s="4">
        <f t="shared" si="2"/>
        <v>209.3715181</v>
      </c>
      <c r="F14" s="3">
        <f t="shared" si="3"/>
        <v>0.0002102858042</v>
      </c>
      <c r="G14" s="3">
        <f t="shared" si="4"/>
        <v>0</v>
      </c>
      <c r="H14" s="2">
        <f t="shared" si="5"/>
        <v>0</v>
      </c>
      <c r="I14" s="3">
        <f t="shared" si="6"/>
        <v>0</v>
      </c>
      <c r="J14" s="3">
        <f t="shared" si="7"/>
        <v>0</v>
      </c>
      <c r="K14" s="3"/>
      <c r="L14" s="3">
        <f t="shared" si="8"/>
        <v>430.7800451</v>
      </c>
      <c r="M14" s="14">
        <f t="shared" si="9"/>
        <v>432.8541563</v>
      </c>
      <c r="N14" s="14">
        <f t="shared" si="10"/>
        <v>-2.07411122</v>
      </c>
      <c r="O14" s="3"/>
      <c r="P14" s="23">
        <f t="shared" si="11"/>
        <v>209.3715181</v>
      </c>
      <c r="Q14" s="14">
        <f t="shared" si="12"/>
        <v>430.7800451</v>
      </c>
      <c r="R14" s="2"/>
      <c r="S14" s="14">
        <f t="shared" si="13"/>
        <v>-1.904648313</v>
      </c>
    </row>
    <row r="15">
      <c r="A15" s="11">
        <v>3.0</v>
      </c>
      <c r="B15" s="11">
        <v>1.41940869565217E9</v>
      </c>
      <c r="C15" s="2">
        <v>-102.4918594</v>
      </c>
      <c r="D15" s="3">
        <f t="shared" si="1"/>
        <v>-991304.3478</v>
      </c>
      <c r="E15" s="4">
        <f t="shared" si="2"/>
        <v>208.453222</v>
      </c>
      <c r="F15" s="3">
        <f t="shared" si="3"/>
        <v>0.000210281759</v>
      </c>
      <c r="G15" s="3">
        <f t="shared" si="4"/>
        <v>0</v>
      </c>
      <c r="H15" s="2">
        <f t="shared" si="5"/>
        <v>0</v>
      </c>
      <c r="I15" s="3">
        <f t="shared" si="6"/>
        <v>0</v>
      </c>
      <c r="J15" s="3">
        <f t="shared" si="7"/>
        <v>0</v>
      </c>
      <c r="K15" s="3"/>
      <c r="L15" s="3">
        <f t="shared" si="8"/>
        <v>428.4698104</v>
      </c>
      <c r="M15" s="14">
        <f t="shared" si="9"/>
        <v>432.7376687</v>
      </c>
      <c r="N15" s="14">
        <f t="shared" si="10"/>
        <v>-4.267858246</v>
      </c>
      <c r="O15" s="3"/>
      <c r="P15" s="23">
        <f t="shared" si="11"/>
        <v>208.453222</v>
      </c>
      <c r="Q15" s="14">
        <f t="shared" si="12"/>
        <v>428.4698104</v>
      </c>
      <c r="R15" s="2"/>
      <c r="S15" s="14">
        <f t="shared" si="13"/>
        <v>-3.919157713</v>
      </c>
    </row>
    <row r="16">
      <c r="A16" s="11">
        <v>4.0</v>
      </c>
      <c r="B16" s="11">
        <v>1.41941304347826E9</v>
      </c>
      <c r="C16" s="2">
        <v>-102.4938889</v>
      </c>
      <c r="D16" s="3">
        <f t="shared" si="1"/>
        <v>-986956.5217</v>
      </c>
      <c r="E16" s="4">
        <f t="shared" si="2"/>
        <v>207.5349259</v>
      </c>
      <c r="F16" s="3">
        <f t="shared" si="3"/>
        <v>0.0002102776782</v>
      </c>
      <c r="G16" s="3">
        <f t="shared" si="4"/>
        <v>0</v>
      </c>
      <c r="H16" s="2">
        <f t="shared" si="5"/>
        <v>0</v>
      </c>
      <c r="I16" s="3">
        <f t="shared" si="6"/>
        <v>0</v>
      </c>
      <c r="J16" s="3">
        <f t="shared" si="7"/>
        <v>0</v>
      </c>
      <c r="K16" s="3"/>
      <c r="L16" s="3">
        <f t="shared" si="8"/>
        <v>428.2696291</v>
      </c>
      <c r="M16" s="14">
        <f t="shared" si="9"/>
        <v>432.6215019</v>
      </c>
      <c r="N16" s="14">
        <f t="shared" si="10"/>
        <v>-4.351872804</v>
      </c>
      <c r="O16" s="3"/>
      <c r="P16" s="23">
        <f t="shared" si="11"/>
        <v>207.5349259</v>
      </c>
      <c r="Q16" s="14">
        <f t="shared" si="12"/>
        <v>428.2696291</v>
      </c>
      <c r="R16" s="2"/>
      <c r="S16" s="14">
        <f t="shared" si="13"/>
        <v>-3.996307966</v>
      </c>
    </row>
    <row r="17">
      <c r="A17" s="11">
        <v>5.0</v>
      </c>
      <c r="B17" s="11">
        <v>1.41941739130434E9</v>
      </c>
      <c r="C17" s="2">
        <v>-102.4791489</v>
      </c>
      <c r="D17" s="3">
        <f t="shared" si="1"/>
        <v>-982608.6957</v>
      </c>
      <c r="E17" s="4">
        <f t="shared" si="2"/>
        <v>206.6166297</v>
      </c>
      <c r="F17" s="3">
        <f t="shared" si="3"/>
        <v>0.0002102735612</v>
      </c>
      <c r="G17" s="3">
        <f t="shared" si="4"/>
        <v>0</v>
      </c>
      <c r="H17" s="2">
        <f t="shared" si="5"/>
        <v>0</v>
      </c>
      <c r="I17" s="3">
        <f t="shared" si="6"/>
        <v>0</v>
      </c>
      <c r="J17" s="3">
        <f t="shared" si="7"/>
        <v>0</v>
      </c>
      <c r="K17" s="3"/>
      <c r="L17" s="3">
        <f t="shared" si="8"/>
        <v>429.7256502</v>
      </c>
      <c r="M17" s="14">
        <f t="shared" si="9"/>
        <v>432.5056549</v>
      </c>
      <c r="N17" s="14">
        <f t="shared" si="10"/>
        <v>-2.78000468</v>
      </c>
      <c r="O17" s="3"/>
      <c r="P17" s="23">
        <f t="shared" si="11"/>
        <v>206.6166297</v>
      </c>
      <c r="Q17" s="14">
        <f t="shared" si="12"/>
        <v>429.7256502</v>
      </c>
      <c r="R17" s="2"/>
      <c r="S17" s="14">
        <f t="shared" si="13"/>
        <v>-2.552867547</v>
      </c>
    </row>
    <row r="18">
      <c r="A18" s="11">
        <v>6.0</v>
      </c>
      <c r="B18" s="11">
        <v>1.41942173913043E9</v>
      </c>
      <c r="C18" s="2">
        <v>-102.4895554</v>
      </c>
      <c r="D18" s="3">
        <f t="shared" si="1"/>
        <v>-978260.8696</v>
      </c>
      <c r="E18" s="4">
        <f t="shared" si="2"/>
        <v>205.6983336</v>
      </c>
      <c r="F18" s="3">
        <f t="shared" si="3"/>
        <v>0.0002102694077</v>
      </c>
      <c r="G18" s="3">
        <f t="shared" si="4"/>
        <v>0</v>
      </c>
      <c r="H18" s="2">
        <f t="shared" si="5"/>
        <v>0</v>
      </c>
      <c r="I18" s="3">
        <f t="shared" si="6"/>
        <v>0</v>
      </c>
      <c r="J18" s="3">
        <f t="shared" si="7"/>
        <v>0</v>
      </c>
      <c r="K18" s="3"/>
      <c r="L18" s="3">
        <f t="shared" si="8"/>
        <v>428.6971807</v>
      </c>
      <c r="M18" s="14">
        <f t="shared" si="9"/>
        <v>432.3901263</v>
      </c>
      <c r="N18" s="14">
        <f t="shared" si="10"/>
        <v>-3.692945647</v>
      </c>
      <c r="O18" s="3"/>
      <c r="P18" s="23">
        <f t="shared" si="11"/>
        <v>205.6983336</v>
      </c>
      <c r="Q18" s="14">
        <f t="shared" si="12"/>
        <v>428.6971807</v>
      </c>
      <c r="R18" s="2"/>
      <c r="S18" s="14">
        <f t="shared" si="13"/>
        <v>-3.391217698</v>
      </c>
    </row>
    <row r="19">
      <c r="A19" s="11">
        <v>7.0</v>
      </c>
      <c r="B19" s="11">
        <v>1.41942608695652E9</v>
      </c>
      <c r="C19" s="2">
        <v>-102.483017</v>
      </c>
      <c r="D19" s="3">
        <f t="shared" si="1"/>
        <v>-973913.0435</v>
      </c>
      <c r="E19" s="4">
        <f t="shared" si="2"/>
        <v>204.7800375</v>
      </c>
      <c r="F19" s="3">
        <f t="shared" si="3"/>
        <v>0.000210265217</v>
      </c>
      <c r="G19" s="3">
        <f t="shared" si="4"/>
        <v>0</v>
      </c>
      <c r="H19" s="2">
        <f t="shared" si="5"/>
        <v>0</v>
      </c>
      <c r="I19" s="3">
        <f t="shared" si="6"/>
        <v>0</v>
      </c>
      <c r="J19" s="3">
        <f t="shared" si="7"/>
        <v>0</v>
      </c>
      <c r="K19" s="3"/>
      <c r="L19" s="3">
        <f t="shared" si="8"/>
        <v>429.3430799</v>
      </c>
      <c r="M19" s="14">
        <f t="shared" si="9"/>
        <v>432.274915</v>
      </c>
      <c r="N19" s="14">
        <f t="shared" si="10"/>
        <v>-2.93183514</v>
      </c>
      <c r="O19" s="3"/>
      <c r="P19" s="23">
        <f t="shared" si="11"/>
        <v>204.7800375</v>
      </c>
      <c r="Q19" s="14">
        <f t="shared" si="12"/>
        <v>429.3430799</v>
      </c>
      <c r="R19" s="2"/>
      <c r="S19" s="14">
        <f t="shared" si="13"/>
        <v>-2.692292871</v>
      </c>
    </row>
    <row r="20">
      <c r="A20" s="11">
        <v>8.0</v>
      </c>
      <c r="B20" s="11">
        <v>1.4194304347826E9</v>
      </c>
      <c r="C20" s="2">
        <v>-102.408226</v>
      </c>
      <c r="D20" s="3">
        <f t="shared" si="1"/>
        <v>-969565.2174</v>
      </c>
      <c r="E20" s="4">
        <f t="shared" si="2"/>
        <v>203.8617413</v>
      </c>
      <c r="F20" s="3">
        <f t="shared" si="3"/>
        <v>0.0002102609888</v>
      </c>
      <c r="G20" s="3">
        <f t="shared" si="4"/>
        <v>0</v>
      </c>
      <c r="H20" s="2">
        <f t="shared" si="5"/>
        <v>0</v>
      </c>
      <c r="I20" s="3">
        <f t="shared" si="6"/>
        <v>0</v>
      </c>
      <c r="J20" s="3">
        <f t="shared" si="7"/>
        <v>0</v>
      </c>
      <c r="K20" s="3"/>
      <c r="L20" s="3">
        <f t="shared" si="8"/>
        <v>436.8009431</v>
      </c>
      <c r="M20" s="14">
        <f t="shared" si="9"/>
        <v>432.1600198</v>
      </c>
      <c r="N20" s="14">
        <f t="shared" si="10"/>
        <v>4.640923249</v>
      </c>
      <c r="O20" s="3"/>
      <c r="P20" s="23">
        <f t="shared" si="11"/>
        <v>203.8617413</v>
      </c>
      <c r="Q20" s="14">
        <f t="shared" si="12"/>
        <v>436.8009431</v>
      </c>
      <c r="R20" s="2"/>
      <c r="S20" s="14">
        <f t="shared" si="13"/>
        <v>4.261741872</v>
      </c>
    </row>
    <row r="21">
      <c r="A21" s="11">
        <v>9.0</v>
      </c>
      <c r="B21" s="11">
        <v>1.41943478260869E9</v>
      </c>
      <c r="C21" s="2">
        <v>-102.4395218</v>
      </c>
      <c r="D21" s="3">
        <f t="shared" si="1"/>
        <v>-965217.3913</v>
      </c>
      <c r="E21" s="4">
        <f t="shared" si="2"/>
        <v>202.9434452</v>
      </c>
      <c r="F21" s="3">
        <f t="shared" si="3"/>
        <v>0.0002102567225</v>
      </c>
      <c r="G21" s="3">
        <f t="shared" si="4"/>
        <v>0</v>
      </c>
      <c r="H21" s="2">
        <f t="shared" si="5"/>
        <v>0</v>
      </c>
      <c r="I21" s="3">
        <f t="shared" si="6"/>
        <v>0</v>
      </c>
      <c r="J21" s="3">
        <f t="shared" si="7"/>
        <v>0</v>
      </c>
      <c r="K21" s="3"/>
      <c r="L21" s="3">
        <f t="shared" si="8"/>
        <v>433.6646152</v>
      </c>
      <c r="M21" s="14">
        <f t="shared" si="9"/>
        <v>432.0454396</v>
      </c>
      <c r="N21" s="14">
        <f t="shared" si="10"/>
        <v>1.619175626</v>
      </c>
      <c r="O21" s="3"/>
      <c r="P21" s="23">
        <f t="shared" si="11"/>
        <v>202.9434452</v>
      </c>
      <c r="Q21" s="14">
        <f t="shared" si="12"/>
        <v>433.6646152</v>
      </c>
      <c r="R21" s="2"/>
      <c r="S21" s="14">
        <f t="shared" si="13"/>
        <v>1.486882716</v>
      </c>
    </row>
    <row r="22">
      <c r="A22" s="11">
        <v>10.0</v>
      </c>
      <c r="B22" s="11">
        <v>1.41943913043478E9</v>
      </c>
      <c r="C22" s="2">
        <v>-102.4300537</v>
      </c>
      <c r="D22" s="3">
        <f t="shared" si="1"/>
        <v>-960869.5652</v>
      </c>
      <c r="E22" s="4">
        <f t="shared" si="2"/>
        <v>202.0251491</v>
      </c>
      <c r="F22" s="3">
        <f t="shared" si="3"/>
        <v>0.0002102524176</v>
      </c>
      <c r="G22" s="3">
        <f t="shared" si="4"/>
        <v>0</v>
      </c>
      <c r="H22" s="2">
        <f t="shared" si="5"/>
        <v>0</v>
      </c>
      <c r="I22" s="3">
        <f t="shared" si="6"/>
        <v>0</v>
      </c>
      <c r="J22" s="3">
        <f t="shared" si="7"/>
        <v>0</v>
      </c>
      <c r="K22" s="3"/>
      <c r="L22" s="3">
        <f t="shared" si="8"/>
        <v>434.6110833</v>
      </c>
      <c r="M22" s="14">
        <f t="shared" si="9"/>
        <v>431.931173</v>
      </c>
      <c r="N22" s="14">
        <f t="shared" si="10"/>
        <v>2.679910364</v>
      </c>
      <c r="O22" s="3"/>
      <c r="P22" s="23">
        <f t="shared" si="11"/>
        <v>202.0251491</v>
      </c>
      <c r="Q22" s="14">
        <f t="shared" si="12"/>
        <v>434.6110833</v>
      </c>
      <c r="R22" s="2"/>
      <c r="S22" s="14">
        <f t="shared" si="13"/>
        <v>2.460951318</v>
      </c>
      <c r="U22" s="11">
        <v>1.0</v>
      </c>
    </row>
    <row r="23">
      <c r="A23" s="11">
        <v>11.0</v>
      </c>
      <c r="B23" s="11">
        <v>1.41944347826087E9</v>
      </c>
      <c r="C23" s="2">
        <v>-102.372818</v>
      </c>
      <c r="D23" s="3">
        <f t="shared" si="1"/>
        <v>-956521.7391</v>
      </c>
      <c r="E23" s="4">
        <f t="shared" si="2"/>
        <v>201.1068529</v>
      </c>
      <c r="F23" s="3">
        <f t="shared" si="3"/>
        <v>0.0002102480735</v>
      </c>
      <c r="G23" s="3">
        <f t="shared" si="4"/>
        <v>0</v>
      </c>
      <c r="H23" s="2">
        <f t="shared" si="5"/>
        <v>0</v>
      </c>
      <c r="I23" s="3">
        <f t="shared" si="6"/>
        <v>0</v>
      </c>
      <c r="J23" s="3">
        <f t="shared" si="7"/>
        <v>0</v>
      </c>
      <c r="K23" s="3"/>
      <c r="L23" s="3">
        <f t="shared" si="8"/>
        <v>440.3767352</v>
      </c>
      <c r="M23" s="14">
        <f t="shared" si="9"/>
        <v>431.8172189</v>
      </c>
      <c r="N23" s="14">
        <f t="shared" si="10"/>
        <v>8.559516272</v>
      </c>
      <c r="O23" s="3"/>
      <c r="P23" s="23">
        <f t="shared" si="11"/>
        <v>201.1068529</v>
      </c>
      <c r="Q23" s="14">
        <f t="shared" si="12"/>
        <v>440.3767352</v>
      </c>
      <c r="R23" s="2"/>
      <c r="S23" s="14">
        <f t="shared" si="13"/>
        <v>7.860170691</v>
      </c>
    </row>
    <row r="24">
      <c r="A24" s="11">
        <v>12.0</v>
      </c>
      <c r="B24" s="11">
        <v>1.41944782608695E9</v>
      </c>
      <c r="C24" s="2">
        <v>-102.5025406</v>
      </c>
      <c r="D24" s="3">
        <f t="shared" si="1"/>
        <v>-952173.913</v>
      </c>
      <c r="E24" s="4">
        <f t="shared" si="2"/>
        <v>200.1885568</v>
      </c>
      <c r="F24" s="3">
        <f t="shared" si="3"/>
        <v>0.0002102436898</v>
      </c>
      <c r="G24" s="3">
        <f t="shared" si="4"/>
        <v>0</v>
      </c>
      <c r="H24" s="2">
        <f t="shared" si="5"/>
        <v>0</v>
      </c>
      <c r="I24" s="3">
        <f t="shared" si="6"/>
        <v>0</v>
      </c>
      <c r="J24" s="3">
        <f t="shared" si="7"/>
        <v>0</v>
      </c>
      <c r="K24" s="3"/>
      <c r="L24" s="3">
        <f t="shared" si="8"/>
        <v>427.4173107</v>
      </c>
      <c r="M24" s="14">
        <f t="shared" si="9"/>
        <v>431.7035761</v>
      </c>
      <c r="N24" s="14">
        <f t="shared" si="10"/>
        <v>-4.286265441</v>
      </c>
      <c r="O24" s="3"/>
      <c r="P24" s="23">
        <f t="shared" si="11"/>
        <v>200.1885568</v>
      </c>
      <c r="Q24" s="14">
        <f t="shared" si="12"/>
        <v>427.4173107</v>
      </c>
      <c r="R24" s="2"/>
      <c r="S24" s="14">
        <f t="shared" si="13"/>
        <v>-3.936060978</v>
      </c>
    </row>
    <row r="25">
      <c r="A25" s="11">
        <v>13.0</v>
      </c>
      <c r="B25" s="11">
        <v>1.41945217391304E9</v>
      </c>
      <c r="C25" s="2">
        <v>-102.4875793</v>
      </c>
      <c r="D25" s="3">
        <f t="shared" si="1"/>
        <v>-947826.087</v>
      </c>
      <c r="E25" s="4">
        <f t="shared" si="2"/>
        <v>199.2702607</v>
      </c>
      <c r="F25" s="3">
        <f t="shared" si="3"/>
        <v>0.0002102392658</v>
      </c>
      <c r="G25" s="3">
        <f t="shared" si="4"/>
        <v>0</v>
      </c>
      <c r="H25" s="2">
        <f t="shared" si="5"/>
        <v>0</v>
      </c>
      <c r="I25" s="3">
        <f t="shared" si="6"/>
        <v>0</v>
      </c>
      <c r="J25" s="3">
        <f t="shared" si="7"/>
        <v>0</v>
      </c>
      <c r="K25" s="3"/>
      <c r="L25" s="3">
        <f t="shared" si="8"/>
        <v>428.8922882</v>
      </c>
      <c r="M25" s="14">
        <f t="shared" si="9"/>
        <v>431.5902434</v>
      </c>
      <c r="N25" s="14">
        <f t="shared" si="10"/>
        <v>-2.697955241</v>
      </c>
      <c r="O25" s="3"/>
      <c r="P25" s="23">
        <f t="shared" si="11"/>
        <v>199.2702607</v>
      </c>
      <c r="Q25" s="14">
        <f t="shared" si="12"/>
        <v>428.8922882</v>
      </c>
      <c r="R25" s="2"/>
      <c r="S25" s="14">
        <f t="shared" si="13"/>
        <v>-2.477521859</v>
      </c>
    </row>
    <row r="26">
      <c r="A26" s="11">
        <v>14.0</v>
      </c>
      <c r="B26" s="11">
        <v>1.41945652173913E9</v>
      </c>
      <c r="C26" s="2">
        <v>-102.4640198</v>
      </c>
      <c r="D26" s="3">
        <f t="shared" si="1"/>
        <v>-943478.2609</v>
      </c>
      <c r="E26" s="4">
        <f t="shared" si="2"/>
        <v>198.3519645</v>
      </c>
      <c r="F26" s="3">
        <f t="shared" si="3"/>
        <v>0.0002102348011</v>
      </c>
      <c r="G26" s="3">
        <f t="shared" si="4"/>
        <v>0</v>
      </c>
      <c r="H26" s="2">
        <f t="shared" si="5"/>
        <v>0</v>
      </c>
      <c r="I26" s="3">
        <f t="shared" si="6"/>
        <v>0</v>
      </c>
      <c r="J26" s="3">
        <f t="shared" si="7"/>
        <v>0</v>
      </c>
      <c r="K26" s="3"/>
      <c r="L26" s="3">
        <f t="shared" si="8"/>
        <v>431.2252547</v>
      </c>
      <c r="M26" s="14">
        <f t="shared" si="9"/>
        <v>431.4772197</v>
      </c>
      <c r="N26" s="14">
        <f t="shared" si="10"/>
        <v>-0.2519649988</v>
      </c>
      <c r="O26" s="3"/>
      <c r="P26" s="23">
        <f t="shared" si="11"/>
        <v>198.3519645</v>
      </c>
      <c r="Q26" s="14">
        <f t="shared" si="12"/>
        <v>431.2252547</v>
      </c>
      <c r="R26" s="2"/>
      <c r="S26" s="14">
        <f t="shared" si="13"/>
        <v>-0.231378484</v>
      </c>
    </row>
    <row r="27">
      <c r="A27" s="11">
        <v>15.0</v>
      </c>
      <c r="B27" s="11">
        <v>1.41946086956521E9</v>
      </c>
      <c r="C27" s="2">
        <v>-102.4518661</v>
      </c>
      <c r="D27" s="3">
        <f t="shared" si="1"/>
        <v>-939130.4348</v>
      </c>
      <c r="E27" s="4">
        <f t="shared" si="2"/>
        <v>197.4336684</v>
      </c>
      <c r="F27" s="3">
        <f t="shared" si="3"/>
        <v>0.0002102302951</v>
      </c>
      <c r="G27" s="3">
        <f t="shared" si="4"/>
        <v>0</v>
      </c>
      <c r="H27" s="2">
        <f t="shared" si="5"/>
        <v>0</v>
      </c>
      <c r="I27" s="3">
        <f t="shared" si="6"/>
        <v>0</v>
      </c>
      <c r="J27" s="3">
        <f t="shared" si="7"/>
        <v>0</v>
      </c>
      <c r="K27" s="3"/>
      <c r="L27" s="3">
        <f t="shared" si="8"/>
        <v>432.4337257</v>
      </c>
      <c r="M27" s="14">
        <f t="shared" si="9"/>
        <v>431.3645037</v>
      </c>
      <c r="N27" s="14">
        <f t="shared" si="10"/>
        <v>1.06922197</v>
      </c>
      <c r="O27" s="3"/>
      <c r="P27" s="23">
        <f t="shared" si="11"/>
        <v>197.4336684</v>
      </c>
      <c r="Q27" s="14">
        <f t="shared" si="12"/>
        <v>432.4337257</v>
      </c>
      <c r="R27" s="2"/>
      <c r="S27" s="14">
        <f t="shared" si="13"/>
        <v>0.9818624002</v>
      </c>
    </row>
    <row r="28">
      <c r="A28" s="11">
        <v>16.0</v>
      </c>
      <c r="B28" s="11">
        <v>1.4194652173913E9</v>
      </c>
      <c r="C28" s="2">
        <v>-102.4430389</v>
      </c>
      <c r="D28" s="3">
        <f t="shared" si="1"/>
        <v>-934782.6087</v>
      </c>
      <c r="E28" s="4">
        <f t="shared" si="2"/>
        <v>196.5153723</v>
      </c>
      <c r="F28" s="3">
        <f t="shared" si="3"/>
        <v>0.0002102257471</v>
      </c>
      <c r="G28" s="3">
        <f t="shared" si="4"/>
        <v>0</v>
      </c>
      <c r="H28" s="2">
        <f t="shared" si="5"/>
        <v>0</v>
      </c>
      <c r="I28" s="3">
        <f t="shared" si="6"/>
        <v>0</v>
      </c>
      <c r="J28" s="3">
        <f t="shared" si="7"/>
        <v>0</v>
      </c>
      <c r="K28" s="3"/>
      <c r="L28" s="3">
        <f t="shared" si="8"/>
        <v>433.3135574</v>
      </c>
      <c r="M28" s="14">
        <f t="shared" si="9"/>
        <v>431.2520942</v>
      </c>
      <c r="N28" s="14">
        <f t="shared" si="10"/>
        <v>2.061463248</v>
      </c>
      <c r="O28" s="3"/>
      <c r="P28" s="23">
        <f t="shared" si="11"/>
        <v>196.5153723</v>
      </c>
      <c r="Q28" s="14">
        <f t="shared" si="12"/>
        <v>433.3135574</v>
      </c>
      <c r="R28" s="2"/>
      <c r="S28" s="14">
        <f t="shared" si="13"/>
        <v>1.893033724</v>
      </c>
    </row>
    <row r="29">
      <c r="A29" s="11">
        <v>17.0</v>
      </c>
      <c r="B29" s="11">
        <v>1.41946956521739E9</v>
      </c>
      <c r="C29" s="2">
        <v>-102.4508591</v>
      </c>
      <c r="D29" s="3">
        <f t="shared" si="1"/>
        <v>-930434.7826</v>
      </c>
      <c r="E29" s="4">
        <f t="shared" si="2"/>
        <v>195.5970761</v>
      </c>
      <c r="F29" s="3">
        <f t="shared" si="3"/>
        <v>0.0002102211566</v>
      </c>
      <c r="G29" s="3">
        <f t="shared" si="4"/>
        <v>0</v>
      </c>
      <c r="H29" s="2">
        <f t="shared" si="5"/>
        <v>0</v>
      </c>
      <c r="I29" s="3">
        <f t="shared" si="6"/>
        <v>0</v>
      </c>
      <c r="J29" s="3">
        <f t="shared" si="7"/>
        <v>0</v>
      </c>
      <c r="K29" s="3"/>
      <c r="L29" s="3">
        <f t="shared" si="8"/>
        <v>432.5340058</v>
      </c>
      <c r="M29" s="14">
        <f t="shared" si="9"/>
        <v>431.13999</v>
      </c>
      <c r="N29" s="14">
        <f t="shared" si="10"/>
        <v>1.394015797</v>
      </c>
      <c r="O29" s="3"/>
      <c r="P29" s="23">
        <f t="shared" si="11"/>
        <v>195.5970761</v>
      </c>
      <c r="Q29" s="14">
        <f t="shared" si="12"/>
        <v>432.5340058</v>
      </c>
      <c r="R29" s="2"/>
      <c r="S29" s="14">
        <f t="shared" si="13"/>
        <v>1.280119315</v>
      </c>
    </row>
    <row r="30">
      <c r="A30" s="11">
        <v>18.0</v>
      </c>
      <c r="B30" s="11">
        <v>1.41947391304347E9</v>
      </c>
      <c r="C30" s="2">
        <v>-102.4384232</v>
      </c>
      <c r="D30" s="3">
        <f t="shared" si="1"/>
        <v>-926086.9565</v>
      </c>
      <c r="E30" s="4">
        <f t="shared" si="2"/>
        <v>194.67878</v>
      </c>
      <c r="F30" s="3">
        <f t="shared" si="3"/>
        <v>0.000210216523</v>
      </c>
      <c r="G30" s="3">
        <f t="shared" si="4"/>
        <v>0</v>
      </c>
      <c r="H30" s="2">
        <f t="shared" si="5"/>
        <v>0</v>
      </c>
      <c r="I30" s="3">
        <f t="shared" si="6"/>
        <v>0</v>
      </c>
      <c r="J30" s="3">
        <f t="shared" si="7"/>
        <v>0</v>
      </c>
      <c r="K30" s="3"/>
      <c r="L30" s="3">
        <f t="shared" si="8"/>
        <v>433.7743297</v>
      </c>
      <c r="M30" s="14">
        <f t="shared" si="9"/>
        <v>431.02819</v>
      </c>
      <c r="N30" s="14">
        <f t="shared" si="10"/>
        <v>2.74613972</v>
      </c>
      <c r="O30" s="3"/>
      <c r="P30" s="23">
        <f t="shared" si="11"/>
        <v>194.67878</v>
      </c>
      <c r="Q30" s="14">
        <f t="shared" si="12"/>
        <v>433.7743297</v>
      </c>
      <c r="R30" s="2"/>
      <c r="S30" s="14">
        <f t="shared" si="13"/>
        <v>2.521769485</v>
      </c>
    </row>
    <row r="31">
      <c r="A31" s="11">
        <v>19.0</v>
      </c>
      <c r="B31" s="11">
        <v>1.41947826086956E9</v>
      </c>
      <c r="C31" s="2">
        <v>-102.4664841</v>
      </c>
      <c r="D31" s="3">
        <f t="shared" si="1"/>
        <v>-921739.1304</v>
      </c>
      <c r="E31" s="4">
        <f t="shared" si="2"/>
        <v>193.7604839</v>
      </c>
      <c r="F31" s="3">
        <f t="shared" si="3"/>
        <v>0.0002102118457</v>
      </c>
      <c r="G31" s="3">
        <f t="shared" si="4"/>
        <v>0</v>
      </c>
      <c r="H31" s="2">
        <f t="shared" si="5"/>
        <v>0</v>
      </c>
      <c r="I31" s="3">
        <f t="shared" si="6"/>
        <v>0</v>
      </c>
      <c r="J31" s="3">
        <f t="shared" si="7"/>
        <v>0</v>
      </c>
      <c r="K31" s="3"/>
      <c r="L31" s="3">
        <f t="shared" si="8"/>
        <v>430.9806357</v>
      </c>
      <c r="M31" s="14">
        <f t="shared" si="9"/>
        <v>430.9166929</v>
      </c>
      <c r="N31" s="14">
        <f t="shared" si="10"/>
        <v>0.06394276113</v>
      </c>
      <c r="O31" s="3"/>
      <c r="P31" s="23">
        <f t="shared" si="11"/>
        <v>193.7604839</v>
      </c>
      <c r="Q31" s="14">
        <f t="shared" si="12"/>
        <v>430.9806357</v>
      </c>
      <c r="R31" s="2"/>
      <c r="S31" s="14">
        <f t="shared" si="13"/>
        <v>0.05871839013</v>
      </c>
    </row>
    <row r="32">
      <c r="A32" s="11">
        <v>20.0</v>
      </c>
      <c r="B32" s="11">
        <v>1.41948260869565E9</v>
      </c>
      <c r="C32" s="2">
        <v>-102.4935837</v>
      </c>
      <c r="D32" s="3">
        <f t="shared" si="1"/>
        <v>-917391.3043</v>
      </c>
      <c r="E32" s="4">
        <f t="shared" si="2"/>
        <v>192.8421878</v>
      </c>
      <c r="F32" s="3">
        <f t="shared" si="3"/>
        <v>0.0002102071241</v>
      </c>
      <c r="G32" s="3">
        <f t="shared" si="4"/>
        <v>0</v>
      </c>
      <c r="H32" s="2">
        <f t="shared" si="5"/>
        <v>0</v>
      </c>
      <c r="I32" s="3">
        <f t="shared" si="6"/>
        <v>0</v>
      </c>
      <c r="J32" s="3">
        <f t="shared" si="7"/>
        <v>0</v>
      </c>
      <c r="K32" s="3"/>
      <c r="L32" s="3">
        <f t="shared" si="8"/>
        <v>428.2997268</v>
      </c>
      <c r="M32" s="14">
        <f t="shared" si="9"/>
        <v>430.8054976</v>
      </c>
      <c r="N32" s="14">
        <f t="shared" si="10"/>
        <v>-2.50577076</v>
      </c>
      <c r="O32" s="3"/>
      <c r="P32" s="23">
        <f t="shared" si="11"/>
        <v>192.8421878</v>
      </c>
      <c r="Q32" s="14">
        <f t="shared" si="12"/>
        <v>428.2997268</v>
      </c>
      <c r="R32" s="2"/>
      <c r="S32" s="14">
        <f t="shared" si="13"/>
        <v>-2.301039598</v>
      </c>
    </row>
    <row r="33">
      <c r="A33" s="11">
        <v>21.0</v>
      </c>
      <c r="B33" s="11">
        <v>1.41948695652173E9</v>
      </c>
      <c r="C33" s="2">
        <v>-102.4557266</v>
      </c>
      <c r="D33" s="3">
        <f t="shared" si="1"/>
        <v>-913043.4783</v>
      </c>
      <c r="E33" s="4">
        <f t="shared" si="2"/>
        <v>191.9238916</v>
      </c>
      <c r="F33" s="3">
        <f t="shared" si="3"/>
        <v>0.0002102023575</v>
      </c>
      <c r="G33" s="3">
        <f t="shared" si="4"/>
        <v>0</v>
      </c>
      <c r="H33" s="2">
        <f t="shared" si="5"/>
        <v>0</v>
      </c>
      <c r="I33" s="3">
        <f t="shared" si="6"/>
        <v>0</v>
      </c>
      <c r="J33" s="3">
        <f t="shared" si="7"/>
        <v>0</v>
      </c>
      <c r="K33" s="3"/>
      <c r="L33" s="3">
        <f t="shared" si="8"/>
        <v>432.0495005</v>
      </c>
      <c r="M33" s="14">
        <f t="shared" si="9"/>
        <v>430.6946028</v>
      </c>
      <c r="N33" s="14">
        <f t="shared" si="10"/>
        <v>1.354897738</v>
      </c>
      <c r="O33" s="3"/>
      <c r="P33" s="23">
        <f t="shared" si="11"/>
        <v>191.9238916</v>
      </c>
      <c r="Q33" s="14">
        <f t="shared" si="12"/>
        <v>432.0495005</v>
      </c>
      <c r="R33" s="2"/>
      <c r="S33" s="14">
        <f t="shared" si="13"/>
        <v>1.244197353</v>
      </c>
    </row>
    <row r="34">
      <c r="A34" s="11">
        <v>22.0</v>
      </c>
      <c r="B34" s="11">
        <v>1.41949130434782E9</v>
      </c>
      <c r="C34" s="2">
        <v>-102.4890976</v>
      </c>
      <c r="D34" s="3">
        <f t="shared" si="1"/>
        <v>-908695.6522</v>
      </c>
      <c r="E34" s="4">
        <f t="shared" si="2"/>
        <v>191.0055955</v>
      </c>
      <c r="F34" s="3">
        <f t="shared" si="3"/>
        <v>0.0002101975453</v>
      </c>
      <c r="G34" s="3">
        <f t="shared" si="4"/>
        <v>0</v>
      </c>
      <c r="H34" s="2">
        <f t="shared" si="5"/>
        <v>0</v>
      </c>
      <c r="I34" s="3">
        <f t="shared" si="6"/>
        <v>0</v>
      </c>
      <c r="J34" s="3">
        <f t="shared" si="7"/>
        <v>0</v>
      </c>
      <c r="K34" s="3"/>
      <c r="L34" s="3">
        <f t="shared" si="8"/>
        <v>428.742373</v>
      </c>
      <c r="M34" s="14">
        <f t="shared" si="9"/>
        <v>430.5840073</v>
      </c>
      <c r="N34" s="14">
        <f t="shared" si="10"/>
        <v>-1.841634289</v>
      </c>
      <c r="O34" s="3"/>
      <c r="P34" s="23">
        <f t="shared" si="11"/>
        <v>191.0055955</v>
      </c>
      <c r="Q34" s="14">
        <f t="shared" si="12"/>
        <v>428.742373</v>
      </c>
      <c r="R34" s="2"/>
      <c r="S34" s="14">
        <f t="shared" si="13"/>
        <v>-1.691165645</v>
      </c>
    </row>
    <row r="35">
      <c r="A35" s="11">
        <v>23.0</v>
      </c>
      <c r="B35" s="11">
        <v>1.41949565217391E9</v>
      </c>
      <c r="C35" s="2">
        <v>-102.4369888</v>
      </c>
      <c r="D35" s="3">
        <f t="shared" si="1"/>
        <v>-904347.8261</v>
      </c>
      <c r="E35" s="4">
        <f t="shared" si="2"/>
        <v>190.0872994</v>
      </c>
      <c r="F35" s="3">
        <f t="shared" si="3"/>
        <v>0.0002101926868</v>
      </c>
      <c r="G35" s="3">
        <f t="shared" si="4"/>
        <v>0</v>
      </c>
      <c r="H35" s="2">
        <f t="shared" si="5"/>
        <v>0</v>
      </c>
      <c r="I35" s="3">
        <f t="shared" si="6"/>
        <v>0</v>
      </c>
      <c r="J35" s="3">
        <f t="shared" si="7"/>
        <v>0</v>
      </c>
      <c r="K35" s="3"/>
      <c r="L35" s="3">
        <f t="shared" si="8"/>
        <v>433.9176216</v>
      </c>
      <c r="M35" s="14">
        <f t="shared" si="9"/>
        <v>430.47371</v>
      </c>
      <c r="N35" s="14">
        <f t="shared" si="10"/>
        <v>3.443911567</v>
      </c>
      <c r="O35" s="3"/>
      <c r="P35" s="23">
        <f t="shared" si="11"/>
        <v>190.0872994</v>
      </c>
      <c r="Q35" s="14">
        <f t="shared" si="12"/>
        <v>433.9176216</v>
      </c>
      <c r="R35" s="2"/>
      <c r="S35" s="14">
        <f t="shared" si="13"/>
        <v>3.162530666</v>
      </c>
    </row>
    <row r="36">
      <c r="A36" s="11">
        <v>24.0</v>
      </c>
      <c r="B36" s="11">
        <v>1.4195E9</v>
      </c>
      <c r="C36" s="2">
        <v>-102.4623032</v>
      </c>
      <c r="D36" s="3">
        <f t="shared" si="1"/>
        <v>-900000</v>
      </c>
      <c r="E36" s="4">
        <f t="shared" si="2"/>
        <v>189.1690032</v>
      </c>
      <c r="F36" s="3">
        <f t="shared" si="3"/>
        <v>0.0002101877814</v>
      </c>
      <c r="G36" s="3">
        <f t="shared" si="4"/>
        <v>0</v>
      </c>
      <c r="H36" s="2">
        <f t="shared" si="5"/>
        <v>0</v>
      </c>
      <c r="I36" s="3">
        <f t="shared" si="6"/>
        <v>0</v>
      </c>
      <c r="J36" s="3">
        <f t="shared" si="7"/>
        <v>0</v>
      </c>
      <c r="K36" s="3"/>
      <c r="L36" s="3">
        <f t="shared" si="8"/>
        <v>431.3957352</v>
      </c>
      <c r="M36" s="14">
        <f t="shared" si="9"/>
        <v>430.3637097</v>
      </c>
      <c r="N36" s="14">
        <f t="shared" si="10"/>
        <v>1.032025564</v>
      </c>
      <c r="O36" s="3"/>
      <c r="P36" s="23">
        <f t="shared" si="11"/>
        <v>189.1690032</v>
      </c>
      <c r="Q36" s="14">
        <f t="shared" si="12"/>
        <v>431.3957352</v>
      </c>
      <c r="R36" s="2"/>
      <c r="S36" s="14">
        <f t="shared" si="13"/>
        <v>0.9477050842</v>
      </c>
    </row>
    <row r="37">
      <c r="A37" s="11">
        <v>25.0</v>
      </c>
      <c r="B37" s="11">
        <v>1.41950434782608E9</v>
      </c>
      <c r="C37" s="2">
        <v>-102.5028839</v>
      </c>
      <c r="D37" s="3">
        <f t="shared" si="1"/>
        <v>-895652.1739</v>
      </c>
      <c r="E37" s="4">
        <f t="shared" si="2"/>
        <v>188.2507071</v>
      </c>
      <c r="F37" s="3">
        <f t="shared" si="3"/>
        <v>0.0002101828283</v>
      </c>
      <c r="G37" s="3">
        <f t="shared" si="4"/>
        <v>0</v>
      </c>
      <c r="H37" s="2">
        <f t="shared" si="5"/>
        <v>0</v>
      </c>
      <c r="I37" s="3">
        <f t="shared" si="6"/>
        <v>0</v>
      </c>
      <c r="J37" s="3">
        <f t="shared" si="7"/>
        <v>0</v>
      </c>
      <c r="K37" s="3"/>
      <c r="L37" s="3">
        <f t="shared" si="8"/>
        <v>427.3835256</v>
      </c>
      <c r="M37" s="14">
        <f t="shared" si="9"/>
        <v>430.2540051</v>
      </c>
      <c r="N37" s="14">
        <f t="shared" si="10"/>
        <v>-2.870479485</v>
      </c>
      <c r="O37" s="3"/>
      <c r="P37" s="23">
        <f t="shared" si="11"/>
        <v>188.2507071</v>
      </c>
      <c r="Q37" s="14">
        <f t="shared" si="12"/>
        <v>427.3835256</v>
      </c>
      <c r="R37" s="2"/>
      <c r="S37" s="14">
        <f t="shared" si="13"/>
        <v>-2.635950211</v>
      </c>
    </row>
    <row r="38">
      <c r="A38" s="11">
        <v>26.0</v>
      </c>
      <c r="B38" s="11">
        <v>1.41950869565217E9</v>
      </c>
      <c r="C38" s="2">
        <v>-102.4167786</v>
      </c>
      <c r="D38" s="3">
        <f t="shared" si="1"/>
        <v>-891304.3478</v>
      </c>
      <c r="E38" s="4">
        <f t="shared" si="2"/>
        <v>187.332411</v>
      </c>
      <c r="F38" s="3">
        <f t="shared" si="3"/>
        <v>0.0002101778269</v>
      </c>
      <c r="G38" s="3">
        <f t="shared" si="4"/>
        <v>0</v>
      </c>
      <c r="H38" s="2">
        <f t="shared" si="5"/>
        <v>0</v>
      </c>
      <c r="I38" s="3">
        <f t="shared" si="6"/>
        <v>0</v>
      </c>
      <c r="J38" s="3">
        <f t="shared" si="7"/>
        <v>0</v>
      </c>
      <c r="K38" s="3"/>
      <c r="L38" s="3">
        <f t="shared" si="8"/>
        <v>435.9415935</v>
      </c>
      <c r="M38" s="14">
        <f t="shared" si="9"/>
        <v>430.1445951</v>
      </c>
      <c r="N38" s="14">
        <f t="shared" si="10"/>
        <v>5.796998433</v>
      </c>
      <c r="O38" s="3"/>
      <c r="P38" s="23">
        <f t="shared" si="11"/>
        <v>187.332411</v>
      </c>
      <c r="Q38" s="14">
        <f t="shared" si="12"/>
        <v>435.9415935</v>
      </c>
      <c r="R38" s="2"/>
      <c r="S38" s="14">
        <f t="shared" si="13"/>
        <v>5.32336123</v>
      </c>
    </row>
    <row r="39">
      <c r="A39" s="11">
        <v>27.0</v>
      </c>
      <c r="B39" s="11">
        <v>1.41951304347826E9</v>
      </c>
      <c r="C39" s="2">
        <v>-102.438446</v>
      </c>
      <c r="D39" s="3">
        <f t="shared" si="1"/>
        <v>-886956.5217</v>
      </c>
      <c r="E39" s="4">
        <f t="shared" si="2"/>
        <v>186.4141148</v>
      </c>
      <c r="F39" s="3">
        <f t="shared" si="3"/>
        <v>0.0002101727765</v>
      </c>
      <c r="G39" s="3">
        <f t="shared" si="4"/>
        <v>0</v>
      </c>
      <c r="H39" s="2">
        <f t="shared" si="5"/>
        <v>0</v>
      </c>
      <c r="I39" s="3">
        <f t="shared" si="6"/>
        <v>0</v>
      </c>
      <c r="J39" s="3">
        <f t="shared" si="7"/>
        <v>0</v>
      </c>
      <c r="K39" s="3"/>
      <c r="L39" s="3">
        <f t="shared" si="8"/>
        <v>433.7720525</v>
      </c>
      <c r="M39" s="14">
        <f t="shared" si="9"/>
        <v>430.0354785</v>
      </c>
      <c r="N39" s="14">
        <f t="shared" si="10"/>
        <v>3.73657399</v>
      </c>
      <c r="O39" s="3"/>
      <c r="P39" s="23">
        <f t="shared" si="11"/>
        <v>186.4141148</v>
      </c>
      <c r="Q39" s="14">
        <f t="shared" si="12"/>
        <v>433.7720525</v>
      </c>
      <c r="R39" s="2"/>
      <c r="S39" s="14">
        <f t="shared" si="13"/>
        <v>3.431281445</v>
      </c>
    </row>
    <row r="40">
      <c r="A40" s="11">
        <v>28.0</v>
      </c>
      <c r="B40" s="11">
        <v>1.41951739130434E9</v>
      </c>
      <c r="C40" s="2">
        <v>-102.5292206</v>
      </c>
      <c r="D40" s="3">
        <f t="shared" si="1"/>
        <v>-882608.6957</v>
      </c>
      <c r="E40" s="4">
        <f t="shared" si="2"/>
        <v>185.4958187</v>
      </c>
      <c r="F40" s="3">
        <f t="shared" si="3"/>
        <v>0.0002101676763</v>
      </c>
      <c r="G40" s="3">
        <f t="shared" si="4"/>
        <v>0</v>
      </c>
      <c r="H40" s="2">
        <f t="shared" si="5"/>
        <v>0</v>
      </c>
      <c r="I40" s="3">
        <f t="shared" si="6"/>
        <v>0</v>
      </c>
      <c r="J40" s="3">
        <f t="shared" si="7"/>
        <v>0</v>
      </c>
      <c r="K40" s="3"/>
      <c r="L40" s="3">
        <f t="shared" si="8"/>
        <v>424.7996081</v>
      </c>
      <c r="M40" s="14">
        <f t="shared" si="9"/>
        <v>429.926654</v>
      </c>
      <c r="N40" s="14">
        <f t="shared" si="10"/>
        <v>-5.127045943</v>
      </c>
      <c r="O40" s="3"/>
      <c r="P40" s="23">
        <f t="shared" si="11"/>
        <v>185.4958187</v>
      </c>
      <c r="Q40" s="14">
        <f t="shared" si="12"/>
        <v>424.7996081</v>
      </c>
      <c r="R40" s="2"/>
      <c r="S40" s="14">
        <f t="shared" si="13"/>
        <v>-4.708146462</v>
      </c>
    </row>
    <row r="41">
      <c r="A41" s="11">
        <v>29.0</v>
      </c>
      <c r="B41" s="11">
        <v>1.41952173913043E9</v>
      </c>
      <c r="C41" s="2">
        <v>-102.4481735</v>
      </c>
      <c r="D41" s="3">
        <f t="shared" si="1"/>
        <v>-878260.8696</v>
      </c>
      <c r="E41" s="4">
        <f t="shared" si="2"/>
        <v>184.5775226</v>
      </c>
      <c r="F41" s="3">
        <f t="shared" si="3"/>
        <v>0.0002101625257</v>
      </c>
      <c r="G41" s="3">
        <f t="shared" si="4"/>
        <v>0</v>
      </c>
      <c r="H41" s="2">
        <f t="shared" si="5"/>
        <v>0</v>
      </c>
      <c r="I41" s="3">
        <f t="shared" si="6"/>
        <v>0</v>
      </c>
      <c r="J41" s="3">
        <f t="shared" si="7"/>
        <v>0</v>
      </c>
      <c r="K41" s="3"/>
      <c r="L41" s="3">
        <f t="shared" si="8"/>
        <v>432.8015599</v>
      </c>
      <c r="M41" s="14">
        <f t="shared" si="9"/>
        <v>429.8181205</v>
      </c>
      <c r="N41" s="14">
        <f t="shared" si="10"/>
        <v>2.98343937</v>
      </c>
      <c r="O41" s="3"/>
      <c r="P41" s="23">
        <f t="shared" si="11"/>
        <v>184.5775226</v>
      </c>
      <c r="Q41" s="14">
        <f t="shared" si="12"/>
        <v>432.8015599</v>
      </c>
      <c r="R41" s="2"/>
      <c r="S41" s="14">
        <f t="shared" si="13"/>
        <v>2.739680829</v>
      </c>
    </row>
    <row r="42">
      <c r="A42" s="11">
        <v>30.0</v>
      </c>
      <c r="B42" s="11">
        <v>1.41952608695652E9</v>
      </c>
      <c r="C42" s="2">
        <v>-102.4713364</v>
      </c>
      <c r="D42" s="3">
        <f t="shared" si="1"/>
        <v>-873913.0435</v>
      </c>
      <c r="E42" s="4">
        <f t="shared" si="2"/>
        <v>183.6592264</v>
      </c>
      <c r="F42" s="3">
        <f t="shared" si="3"/>
        <v>0.0002101573238</v>
      </c>
      <c r="G42" s="3">
        <f t="shared" si="4"/>
        <v>0</v>
      </c>
      <c r="H42" s="2">
        <f t="shared" si="5"/>
        <v>0</v>
      </c>
      <c r="I42" s="3">
        <f t="shared" si="6"/>
        <v>0</v>
      </c>
      <c r="J42" s="3">
        <f t="shared" si="7"/>
        <v>0</v>
      </c>
      <c r="K42" s="3"/>
      <c r="L42" s="3">
        <f t="shared" si="8"/>
        <v>430.4993771</v>
      </c>
      <c r="M42" s="14">
        <f t="shared" si="9"/>
        <v>429.7098768</v>
      </c>
      <c r="N42" s="14">
        <f t="shared" si="10"/>
        <v>0.7895002513</v>
      </c>
      <c r="O42" s="3"/>
      <c r="P42" s="23">
        <f t="shared" si="11"/>
        <v>183.6592264</v>
      </c>
      <c r="Q42" s="14">
        <f t="shared" si="12"/>
        <v>430.4993771</v>
      </c>
      <c r="R42" s="2"/>
      <c r="S42" s="14">
        <f t="shared" si="13"/>
        <v>0.7249950276</v>
      </c>
    </row>
    <row r="43">
      <c r="A43" s="11">
        <v>31.0</v>
      </c>
      <c r="B43" s="11">
        <v>1.4195304347826E9</v>
      </c>
      <c r="C43" s="2">
        <v>-102.4707336</v>
      </c>
      <c r="D43" s="3">
        <f t="shared" si="1"/>
        <v>-869565.2174</v>
      </c>
      <c r="E43" s="4">
        <f t="shared" si="2"/>
        <v>182.7409303</v>
      </c>
      <c r="F43" s="3">
        <f t="shared" si="3"/>
        <v>0.0002101520698</v>
      </c>
      <c r="G43" s="3">
        <f t="shared" si="4"/>
        <v>0</v>
      </c>
      <c r="H43" s="2">
        <f t="shared" si="5"/>
        <v>0</v>
      </c>
      <c r="I43" s="3">
        <f t="shared" si="6"/>
        <v>0</v>
      </c>
      <c r="J43" s="3">
        <f t="shared" si="7"/>
        <v>0</v>
      </c>
      <c r="K43" s="3"/>
      <c r="L43" s="3">
        <f t="shared" si="8"/>
        <v>430.5591345</v>
      </c>
      <c r="M43" s="14">
        <f t="shared" si="9"/>
        <v>429.6019217</v>
      </c>
      <c r="N43" s="14">
        <f t="shared" si="10"/>
        <v>0.9572127495</v>
      </c>
      <c r="O43" s="3"/>
      <c r="P43" s="23">
        <f t="shared" si="11"/>
        <v>182.7409303</v>
      </c>
      <c r="Q43" s="14">
        <f t="shared" si="12"/>
        <v>430.5591345</v>
      </c>
      <c r="R43" s="2"/>
      <c r="S43" s="14">
        <f t="shared" si="13"/>
        <v>0.879004766</v>
      </c>
    </row>
    <row r="44">
      <c r="A44" s="11">
        <v>32.0</v>
      </c>
      <c r="B44" s="11">
        <v>1.41953478260869E9</v>
      </c>
      <c r="C44" s="2">
        <v>-102.4579163</v>
      </c>
      <c r="D44" s="3">
        <f t="shared" si="1"/>
        <v>-865217.3913</v>
      </c>
      <c r="E44" s="4">
        <f t="shared" si="2"/>
        <v>181.8226342</v>
      </c>
      <c r="F44" s="3">
        <f t="shared" si="3"/>
        <v>0.0002101467631</v>
      </c>
      <c r="G44" s="3">
        <f t="shared" si="4"/>
        <v>0</v>
      </c>
      <c r="H44" s="2">
        <f t="shared" si="5"/>
        <v>0</v>
      </c>
      <c r="I44" s="3">
        <f t="shared" si="6"/>
        <v>0</v>
      </c>
      <c r="J44" s="3">
        <f t="shared" si="7"/>
        <v>0</v>
      </c>
      <c r="K44" s="3"/>
      <c r="L44" s="3">
        <f t="shared" si="8"/>
        <v>431.8317173</v>
      </c>
      <c r="M44" s="14">
        <f t="shared" si="9"/>
        <v>429.494254</v>
      </c>
      <c r="N44" s="14">
        <f t="shared" si="10"/>
        <v>2.337463325</v>
      </c>
      <c r="O44" s="3"/>
      <c r="P44" s="23">
        <f t="shared" si="11"/>
        <v>181.8226342</v>
      </c>
      <c r="Q44" s="14">
        <f t="shared" si="12"/>
        <v>431.8317173</v>
      </c>
      <c r="R44" s="2"/>
      <c r="S44" s="14">
        <f t="shared" si="13"/>
        <v>2.146483532</v>
      </c>
    </row>
    <row r="45">
      <c r="A45" s="11">
        <v>33.0</v>
      </c>
      <c r="B45" s="11">
        <v>1.41953913043478E9</v>
      </c>
      <c r="C45" s="2">
        <v>-102.4912491</v>
      </c>
      <c r="D45" s="3">
        <f t="shared" si="1"/>
        <v>-860869.5652</v>
      </c>
      <c r="E45" s="4">
        <f t="shared" si="2"/>
        <v>180.904338</v>
      </c>
      <c r="F45" s="3">
        <f t="shared" si="3"/>
        <v>0.0002101414028</v>
      </c>
      <c r="G45" s="3">
        <f t="shared" si="4"/>
        <v>0</v>
      </c>
      <c r="H45" s="2">
        <f t="shared" si="5"/>
        <v>0</v>
      </c>
      <c r="I45" s="3">
        <f t="shared" si="6"/>
        <v>0</v>
      </c>
      <c r="J45" s="3">
        <f t="shared" si="7"/>
        <v>0</v>
      </c>
      <c r="K45" s="3"/>
      <c r="L45" s="3">
        <f t="shared" si="8"/>
        <v>428.5300262</v>
      </c>
      <c r="M45" s="14">
        <f t="shared" si="9"/>
        <v>429.3868725</v>
      </c>
      <c r="N45" s="14">
        <f t="shared" si="10"/>
        <v>-0.856846323</v>
      </c>
      <c r="O45" s="3"/>
      <c r="P45" s="23">
        <f t="shared" si="11"/>
        <v>180.904338</v>
      </c>
      <c r="Q45" s="14">
        <f t="shared" si="12"/>
        <v>428.5300262</v>
      </c>
      <c r="R45" s="2"/>
      <c r="S45" s="14">
        <f t="shared" si="13"/>
        <v>-0.786838663</v>
      </c>
    </row>
    <row r="46">
      <c r="A46" s="11">
        <v>34.0</v>
      </c>
      <c r="B46" s="11">
        <v>1.41954347826087E9</v>
      </c>
      <c r="C46" s="2">
        <v>-102.5169525</v>
      </c>
      <c r="D46" s="3">
        <f t="shared" si="1"/>
        <v>-856521.7391</v>
      </c>
      <c r="E46" s="4">
        <f t="shared" si="2"/>
        <v>179.9860419</v>
      </c>
      <c r="F46" s="3">
        <f t="shared" si="3"/>
        <v>0.000210135988</v>
      </c>
      <c r="G46" s="3">
        <f t="shared" si="4"/>
        <v>0</v>
      </c>
      <c r="H46" s="2">
        <f t="shared" si="5"/>
        <v>0</v>
      </c>
      <c r="I46" s="3">
        <f t="shared" si="6"/>
        <v>0</v>
      </c>
      <c r="J46" s="3">
        <f t="shared" si="7"/>
        <v>0</v>
      </c>
      <c r="K46" s="3"/>
      <c r="L46" s="3">
        <f t="shared" si="8"/>
        <v>426.0012931</v>
      </c>
      <c r="M46" s="14">
        <f t="shared" si="9"/>
        <v>429.279776</v>
      </c>
      <c r="N46" s="14">
        <f t="shared" si="10"/>
        <v>-3.278482849</v>
      </c>
      <c r="O46" s="3"/>
      <c r="P46" s="23">
        <f t="shared" si="11"/>
        <v>179.9860419</v>
      </c>
      <c r="Q46" s="14">
        <f t="shared" si="12"/>
        <v>426.0012931</v>
      </c>
      <c r="R46" s="2"/>
      <c r="S46" s="14">
        <f t="shared" si="13"/>
        <v>-3.010618121</v>
      </c>
    </row>
    <row r="47">
      <c r="A47" s="11">
        <v>35.0</v>
      </c>
      <c r="B47" s="11">
        <v>1.41954782608695E9</v>
      </c>
      <c r="C47" s="2">
        <v>-102.4715652</v>
      </c>
      <c r="D47" s="3">
        <f t="shared" si="1"/>
        <v>-852173.913</v>
      </c>
      <c r="E47" s="4">
        <f t="shared" si="2"/>
        <v>179.0677458</v>
      </c>
      <c r="F47" s="3">
        <f t="shared" si="3"/>
        <v>0.000210130518</v>
      </c>
      <c r="G47" s="3">
        <f t="shared" si="4"/>
        <v>0</v>
      </c>
      <c r="H47" s="2">
        <f t="shared" si="5"/>
        <v>0</v>
      </c>
      <c r="I47" s="3">
        <f t="shared" si="6"/>
        <v>0</v>
      </c>
      <c r="J47" s="3">
        <f t="shared" si="7"/>
        <v>0</v>
      </c>
      <c r="K47" s="3"/>
      <c r="L47" s="3">
        <f t="shared" si="8"/>
        <v>430.4766976</v>
      </c>
      <c r="M47" s="14">
        <f t="shared" si="9"/>
        <v>429.1729632</v>
      </c>
      <c r="N47" s="14">
        <f t="shared" si="10"/>
        <v>1.303734388</v>
      </c>
      <c r="O47" s="3"/>
      <c r="P47" s="23">
        <f t="shared" si="11"/>
        <v>179.0677458</v>
      </c>
      <c r="Q47" s="14">
        <f t="shared" si="12"/>
        <v>430.4766976</v>
      </c>
      <c r="R47" s="2"/>
      <c r="S47" s="14">
        <f t="shared" si="13"/>
        <v>1.197214246</v>
      </c>
    </row>
    <row r="48">
      <c r="A48" s="11">
        <v>36.0</v>
      </c>
      <c r="B48" s="11">
        <v>1.41955217391304E9</v>
      </c>
      <c r="C48" s="2">
        <v>-102.5192413</v>
      </c>
      <c r="D48" s="3">
        <f t="shared" si="1"/>
        <v>-847826.087</v>
      </c>
      <c r="E48" s="4">
        <f t="shared" si="2"/>
        <v>178.1494496</v>
      </c>
      <c r="F48" s="3">
        <f t="shared" si="3"/>
        <v>0.0002101249919</v>
      </c>
      <c r="G48" s="3">
        <f t="shared" si="4"/>
        <v>0</v>
      </c>
      <c r="H48" s="2">
        <f t="shared" si="5"/>
        <v>0</v>
      </c>
      <c r="I48" s="3">
        <f t="shared" si="6"/>
        <v>0</v>
      </c>
      <c r="J48" s="3">
        <f t="shared" si="7"/>
        <v>0</v>
      </c>
      <c r="K48" s="3"/>
      <c r="L48" s="3">
        <f t="shared" si="8"/>
        <v>425.7768429</v>
      </c>
      <c r="M48" s="14">
        <f t="shared" si="9"/>
        <v>429.0664331</v>
      </c>
      <c r="N48" s="14">
        <f t="shared" si="10"/>
        <v>-3.289590223</v>
      </c>
      <c r="O48" s="3"/>
      <c r="P48" s="23">
        <f t="shared" si="11"/>
        <v>178.1494496</v>
      </c>
      <c r="Q48" s="14">
        <f t="shared" si="12"/>
        <v>425.7768429</v>
      </c>
      <c r="R48" s="2"/>
      <c r="S48" s="14">
        <f t="shared" si="13"/>
        <v>-3.020817974</v>
      </c>
    </row>
    <row r="49">
      <c r="A49" s="11">
        <v>37.0</v>
      </c>
      <c r="B49" s="11">
        <v>1.41955652173913E9</v>
      </c>
      <c r="C49" s="2">
        <v>-102.4644928</v>
      </c>
      <c r="D49" s="3">
        <f t="shared" si="1"/>
        <v>-843478.2609</v>
      </c>
      <c r="E49" s="4">
        <f t="shared" si="2"/>
        <v>177.2311535</v>
      </c>
      <c r="F49" s="3">
        <f t="shared" si="3"/>
        <v>0.0002101194088</v>
      </c>
      <c r="G49" s="3">
        <f t="shared" si="4"/>
        <v>0</v>
      </c>
      <c r="H49" s="2">
        <f t="shared" si="5"/>
        <v>0</v>
      </c>
      <c r="I49" s="3">
        <f t="shared" si="6"/>
        <v>0</v>
      </c>
      <c r="J49" s="3">
        <f t="shared" si="7"/>
        <v>0</v>
      </c>
      <c r="K49" s="3"/>
      <c r="L49" s="3">
        <f t="shared" si="8"/>
        <v>431.1782915</v>
      </c>
      <c r="M49" s="14">
        <f t="shared" si="9"/>
        <v>428.9601844</v>
      </c>
      <c r="N49" s="14">
        <f t="shared" si="10"/>
        <v>2.218107128</v>
      </c>
      <c r="O49" s="3"/>
      <c r="P49" s="23">
        <f t="shared" si="11"/>
        <v>177.2311535</v>
      </c>
      <c r="Q49" s="14">
        <f t="shared" si="12"/>
        <v>431.1782915</v>
      </c>
      <c r="R49" s="2"/>
      <c r="S49" s="14">
        <f t="shared" si="13"/>
        <v>2.036879198</v>
      </c>
    </row>
    <row r="50">
      <c r="A50" s="11">
        <v>38.0</v>
      </c>
      <c r="B50" s="11">
        <v>1.41956086956521E9</v>
      </c>
      <c r="C50" s="2">
        <v>-102.5154877</v>
      </c>
      <c r="D50" s="3">
        <f t="shared" si="1"/>
        <v>-839130.4348</v>
      </c>
      <c r="E50" s="4">
        <f t="shared" si="2"/>
        <v>176.3128574</v>
      </c>
      <c r="F50" s="3">
        <f t="shared" si="3"/>
        <v>0.0002101137678</v>
      </c>
      <c r="G50" s="3">
        <f t="shared" si="4"/>
        <v>0</v>
      </c>
      <c r="H50" s="2">
        <f t="shared" si="5"/>
        <v>0</v>
      </c>
      <c r="I50" s="3">
        <f t="shared" si="6"/>
        <v>0</v>
      </c>
      <c r="J50" s="3">
        <f t="shared" si="7"/>
        <v>0</v>
      </c>
      <c r="K50" s="3"/>
      <c r="L50" s="3">
        <f t="shared" si="8"/>
        <v>426.1450002</v>
      </c>
      <c r="M50" s="14">
        <f t="shared" si="9"/>
        <v>428.8542159</v>
      </c>
      <c r="N50" s="14">
        <f t="shared" si="10"/>
        <v>-2.70921574</v>
      </c>
      <c r="O50" s="3"/>
      <c r="P50" s="23">
        <f t="shared" si="11"/>
        <v>176.3128574</v>
      </c>
      <c r="Q50" s="14">
        <f t="shared" si="12"/>
        <v>426.1450002</v>
      </c>
      <c r="R50" s="2"/>
      <c r="S50" s="14">
        <f t="shared" si="13"/>
        <v>-2.487862337</v>
      </c>
    </row>
    <row r="51">
      <c r="A51" s="11">
        <v>39.0</v>
      </c>
      <c r="B51" s="11">
        <v>1.4195652173913E9</v>
      </c>
      <c r="C51" s="2">
        <v>-102.4790878</v>
      </c>
      <c r="D51" s="3">
        <f t="shared" si="1"/>
        <v>-834782.6087</v>
      </c>
      <c r="E51" s="4">
        <f t="shared" si="2"/>
        <v>175.3945612</v>
      </c>
      <c r="F51" s="3">
        <f t="shared" si="3"/>
        <v>0.0002101080681</v>
      </c>
      <c r="G51" s="3">
        <f t="shared" si="4"/>
        <v>0</v>
      </c>
      <c r="H51" s="2">
        <f t="shared" si="5"/>
        <v>0</v>
      </c>
      <c r="I51" s="3">
        <f t="shared" si="6"/>
        <v>0</v>
      </c>
      <c r="J51" s="3">
        <f t="shared" si="7"/>
        <v>0</v>
      </c>
      <c r="K51" s="3"/>
      <c r="L51" s="3">
        <f t="shared" si="8"/>
        <v>429.731696</v>
      </c>
      <c r="M51" s="14">
        <f t="shared" si="9"/>
        <v>428.7485265</v>
      </c>
      <c r="N51" s="14">
        <f t="shared" si="10"/>
        <v>0.9831695147</v>
      </c>
      <c r="O51" s="3"/>
      <c r="P51" s="23">
        <f t="shared" si="11"/>
        <v>175.3945612</v>
      </c>
      <c r="Q51" s="14">
        <f t="shared" si="12"/>
        <v>429.731696</v>
      </c>
      <c r="R51" s="2"/>
      <c r="S51" s="14">
        <f t="shared" si="13"/>
        <v>0.9028407611</v>
      </c>
    </row>
    <row r="52">
      <c r="A52" s="11">
        <v>40.0</v>
      </c>
      <c r="B52" s="11">
        <v>1.41956956521739E9</v>
      </c>
      <c r="C52" s="2">
        <v>-102.4706039</v>
      </c>
      <c r="D52" s="3">
        <f t="shared" si="1"/>
        <v>-830434.7826</v>
      </c>
      <c r="E52" s="4">
        <f t="shared" si="2"/>
        <v>174.4762651</v>
      </c>
      <c r="F52" s="3">
        <f t="shared" si="3"/>
        <v>0.0002101023088</v>
      </c>
      <c r="G52" s="3">
        <f t="shared" si="4"/>
        <v>0</v>
      </c>
      <c r="H52" s="2">
        <f t="shared" si="5"/>
        <v>0</v>
      </c>
      <c r="I52" s="3">
        <f t="shared" si="6"/>
        <v>0</v>
      </c>
      <c r="J52" s="3">
        <f t="shared" si="7"/>
        <v>0</v>
      </c>
      <c r="K52" s="3"/>
      <c r="L52" s="3">
        <f t="shared" si="8"/>
        <v>430.5719931</v>
      </c>
      <c r="M52" s="14">
        <f t="shared" si="9"/>
        <v>428.6431148</v>
      </c>
      <c r="N52" s="14">
        <f t="shared" si="10"/>
        <v>1.928878289</v>
      </c>
      <c r="O52" s="3"/>
      <c r="P52" s="23">
        <f t="shared" si="11"/>
        <v>174.4762651</v>
      </c>
      <c r="Q52" s="14">
        <f t="shared" si="12"/>
        <v>430.5719931</v>
      </c>
      <c r="R52" s="2"/>
      <c r="S52" s="14">
        <f t="shared" si="13"/>
        <v>1.771281473</v>
      </c>
    </row>
    <row r="53">
      <c r="A53" s="11">
        <v>41.0</v>
      </c>
      <c r="B53" s="11">
        <v>1.41957391304347E9</v>
      </c>
      <c r="C53" s="2">
        <v>-102.4994507</v>
      </c>
      <c r="D53" s="3">
        <f t="shared" si="1"/>
        <v>-826086.9565</v>
      </c>
      <c r="E53" s="4">
        <f t="shared" si="2"/>
        <v>173.557969</v>
      </c>
      <c r="F53" s="3">
        <f t="shared" si="3"/>
        <v>0.0002100964888</v>
      </c>
      <c r="G53" s="3">
        <f t="shared" si="4"/>
        <v>0</v>
      </c>
      <c r="H53" s="2">
        <f t="shared" si="5"/>
        <v>0</v>
      </c>
      <c r="I53" s="3">
        <f t="shared" si="6"/>
        <v>0</v>
      </c>
      <c r="J53" s="3">
        <f t="shared" si="7"/>
        <v>0</v>
      </c>
      <c r="K53" s="3"/>
      <c r="L53" s="3">
        <f t="shared" si="8"/>
        <v>427.7215159</v>
      </c>
      <c r="M53" s="14">
        <f t="shared" si="9"/>
        <v>428.5379798</v>
      </c>
      <c r="N53" s="14">
        <f t="shared" si="10"/>
        <v>-0.8164638723</v>
      </c>
      <c r="O53" s="3"/>
      <c r="P53" s="23">
        <f t="shared" si="11"/>
        <v>173.557969</v>
      </c>
      <c r="Q53" s="14">
        <f t="shared" si="12"/>
        <v>427.7215159</v>
      </c>
      <c r="R53" s="2"/>
      <c r="S53" s="14">
        <f t="shared" si="13"/>
        <v>-0.7497556165</v>
      </c>
    </row>
    <row r="54">
      <c r="A54" s="11">
        <v>42.0</v>
      </c>
      <c r="B54" s="11">
        <v>1.41957826086956E9</v>
      </c>
      <c r="C54" s="2">
        <v>-102.4823227</v>
      </c>
      <c r="D54" s="3">
        <f t="shared" si="1"/>
        <v>-821739.1304</v>
      </c>
      <c r="E54" s="4">
        <f t="shared" si="2"/>
        <v>172.6396728</v>
      </c>
      <c r="F54" s="3">
        <f t="shared" si="3"/>
        <v>0.0002100906072</v>
      </c>
      <c r="G54" s="3">
        <f t="shared" si="4"/>
        <v>0</v>
      </c>
      <c r="H54" s="2">
        <f t="shared" si="5"/>
        <v>0</v>
      </c>
      <c r="I54" s="3">
        <f t="shared" si="6"/>
        <v>0</v>
      </c>
      <c r="J54" s="3">
        <f t="shared" si="7"/>
        <v>0</v>
      </c>
      <c r="K54" s="3"/>
      <c r="L54" s="3">
        <f t="shared" si="8"/>
        <v>429.4117238</v>
      </c>
      <c r="M54" s="14">
        <f t="shared" si="9"/>
        <v>428.4331202</v>
      </c>
      <c r="N54" s="14">
        <f t="shared" si="10"/>
        <v>0.9786035897</v>
      </c>
      <c r="O54" s="3"/>
      <c r="P54" s="23">
        <f t="shared" si="11"/>
        <v>172.6396728</v>
      </c>
      <c r="Q54" s="14">
        <f t="shared" si="12"/>
        <v>429.4117238</v>
      </c>
      <c r="R54" s="2"/>
      <c r="S54" s="14">
        <f t="shared" si="13"/>
        <v>0.8986478898</v>
      </c>
    </row>
    <row r="55">
      <c r="A55" s="11">
        <v>43.0</v>
      </c>
      <c r="B55" s="11">
        <v>1.41958260869565E9</v>
      </c>
      <c r="C55" s="2">
        <v>-102.478714</v>
      </c>
      <c r="D55" s="3">
        <f t="shared" si="1"/>
        <v>-817391.3043</v>
      </c>
      <c r="E55" s="4">
        <f t="shared" si="2"/>
        <v>171.7213767</v>
      </c>
      <c r="F55" s="3">
        <f t="shared" si="3"/>
        <v>0.000210084663</v>
      </c>
      <c r="G55" s="3">
        <f t="shared" si="4"/>
        <v>0</v>
      </c>
      <c r="H55" s="2">
        <f t="shared" si="5"/>
        <v>0</v>
      </c>
      <c r="I55" s="3">
        <f t="shared" si="6"/>
        <v>0</v>
      </c>
      <c r="J55" s="3">
        <f t="shared" si="7"/>
        <v>0</v>
      </c>
      <c r="K55" s="3"/>
      <c r="L55" s="3">
        <f t="shared" si="8"/>
        <v>429.7686848</v>
      </c>
      <c r="M55" s="14">
        <f t="shared" si="9"/>
        <v>428.3285349</v>
      </c>
      <c r="N55" s="14">
        <f t="shared" si="10"/>
        <v>1.440149972</v>
      </c>
      <c r="O55" s="3"/>
      <c r="P55" s="23">
        <f t="shared" si="11"/>
        <v>171.7213767</v>
      </c>
      <c r="Q55" s="14">
        <f t="shared" si="12"/>
        <v>429.7686848</v>
      </c>
      <c r="R55" s="2"/>
      <c r="S55" s="14">
        <f t="shared" si="13"/>
        <v>1.32248415</v>
      </c>
    </row>
    <row r="56">
      <c r="A56" s="11">
        <v>44.0</v>
      </c>
      <c r="B56" s="11">
        <v>1.41958695652173E9</v>
      </c>
      <c r="C56" s="2">
        <v>-102.5127869</v>
      </c>
      <c r="D56" s="3">
        <f t="shared" si="1"/>
        <v>-813043.4783</v>
      </c>
      <c r="E56" s="4">
        <f t="shared" si="2"/>
        <v>170.8030806</v>
      </c>
      <c r="F56" s="3">
        <f t="shared" si="3"/>
        <v>0.0002100786553</v>
      </c>
      <c r="G56" s="3">
        <f t="shared" si="4"/>
        <v>0</v>
      </c>
      <c r="H56" s="2">
        <f t="shared" si="5"/>
        <v>0</v>
      </c>
      <c r="I56" s="3">
        <f t="shared" si="6"/>
        <v>0</v>
      </c>
      <c r="J56" s="3">
        <f t="shared" si="7"/>
        <v>0</v>
      </c>
      <c r="K56" s="3"/>
      <c r="L56" s="3">
        <f t="shared" si="8"/>
        <v>426.4100946</v>
      </c>
      <c r="M56" s="14">
        <f t="shared" si="9"/>
        <v>428.2242226</v>
      </c>
      <c r="N56" s="14">
        <f t="shared" si="10"/>
        <v>-1.814127976</v>
      </c>
      <c r="O56" s="3"/>
      <c r="P56" s="23">
        <f t="shared" si="11"/>
        <v>170.8030806</v>
      </c>
      <c r="Q56" s="14">
        <f t="shared" si="12"/>
        <v>426.4100946</v>
      </c>
      <c r="R56" s="2"/>
      <c r="S56" s="14">
        <f t="shared" si="13"/>
        <v>-1.665906705</v>
      </c>
    </row>
    <row r="57">
      <c r="A57" s="11">
        <v>45.0</v>
      </c>
      <c r="B57" s="11">
        <v>1.41959130434782E9</v>
      </c>
      <c r="C57" s="2">
        <v>-102.5062103</v>
      </c>
      <c r="D57" s="3">
        <f t="shared" si="1"/>
        <v>-808695.6522</v>
      </c>
      <c r="E57" s="4">
        <f t="shared" si="2"/>
        <v>169.8847844</v>
      </c>
      <c r="F57" s="3">
        <f t="shared" si="3"/>
        <v>0.0002100725829</v>
      </c>
      <c r="G57" s="3">
        <f t="shared" si="4"/>
        <v>0</v>
      </c>
      <c r="H57" s="2">
        <f t="shared" si="5"/>
        <v>0</v>
      </c>
      <c r="I57" s="3">
        <f t="shared" si="6"/>
        <v>0</v>
      </c>
      <c r="J57" s="3">
        <f t="shared" si="7"/>
        <v>0</v>
      </c>
      <c r="K57" s="3"/>
      <c r="L57" s="3">
        <f t="shared" si="8"/>
        <v>427.0563043</v>
      </c>
      <c r="M57" s="14">
        <f t="shared" si="9"/>
        <v>428.1201821</v>
      </c>
      <c r="N57" s="14">
        <f t="shared" si="10"/>
        <v>-1.063877823</v>
      </c>
      <c r="O57" s="3"/>
      <c r="P57" s="23">
        <f t="shared" si="11"/>
        <v>169.8847844</v>
      </c>
      <c r="Q57" s="14">
        <f t="shared" si="12"/>
        <v>427.0563043</v>
      </c>
      <c r="R57" s="2"/>
      <c r="S57" s="14">
        <f t="shared" si="13"/>
        <v>-0.976954891</v>
      </c>
    </row>
    <row r="58">
      <c r="A58" s="11">
        <v>46.0</v>
      </c>
      <c r="B58" s="11">
        <v>1.41959565217391E9</v>
      </c>
      <c r="C58" s="2">
        <v>-102.4614868</v>
      </c>
      <c r="D58" s="3">
        <f t="shared" si="1"/>
        <v>-804347.8261</v>
      </c>
      <c r="E58" s="4">
        <f t="shared" si="2"/>
        <v>168.9664883</v>
      </c>
      <c r="F58" s="3">
        <f t="shared" si="3"/>
        <v>0.0002100664449</v>
      </c>
      <c r="G58" s="3">
        <f t="shared" si="4"/>
        <v>0</v>
      </c>
      <c r="H58" s="2">
        <f t="shared" si="5"/>
        <v>0</v>
      </c>
      <c r="I58" s="3">
        <f t="shared" si="6"/>
        <v>0</v>
      </c>
      <c r="J58" s="3">
        <f t="shared" si="7"/>
        <v>0</v>
      </c>
      <c r="K58" s="3"/>
      <c r="L58" s="3">
        <f t="shared" si="8"/>
        <v>431.476838</v>
      </c>
      <c r="M58" s="14">
        <f t="shared" si="9"/>
        <v>428.0164123</v>
      </c>
      <c r="N58" s="14">
        <f t="shared" si="10"/>
        <v>3.460425669</v>
      </c>
      <c r="O58" s="3"/>
      <c r="P58" s="23">
        <f t="shared" si="11"/>
        <v>168.9664883</v>
      </c>
      <c r="Q58" s="14">
        <f t="shared" si="12"/>
        <v>431.476838</v>
      </c>
      <c r="R58" s="2"/>
      <c r="S58" s="14">
        <f t="shared" si="13"/>
        <v>3.177695502</v>
      </c>
    </row>
    <row r="59">
      <c r="A59" s="11">
        <v>47.0</v>
      </c>
      <c r="B59" s="11">
        <v>1.4196E9</v>
      </c>
      <c r="C59" s="2">
        <v>-102.5113602</v>
      </c>
      <c r="D59" s="3">
        <f t="shared" si="1"/>
        <v>-800000</v>
      </c>
      <c r="E59" s="4">
        <f t="shared" si="2"/>
        <v>168.0481922</v>
      </c>
      <c r="F59" s="3">
        <f t="shared" si="3"/>
        <v>0.0002100602402</v>
      </c>
      <c r="G59" s="3">
        <f t="shared" si="4"/>
        <v>0</v>
      </c>
      <c r="H59" s="2">
        <f t="shared" si="5"/>
        <v>0</v>
      </c>
      <c r="I59" s="3">
        <f t="shared" si="6"/>
        <v>0</v>
      </c>
      <c r="J59" s="3">
        <f t="shared" si="7"/>
        <v>0</v>
      </c>
      <c r="K59" s="3"/>
      <c r="L59" s="3">
        <f t="shared" si="8"/>
        <v>426.5501975</v>
      </c>
      <c r="M59" s="14">
        <f t="shared" si="9"/>
        <v>427.9129119</v>
      </c>
      <c r="N59" s="14">
        <f t="shared" si="10"/>
        <v>-1.362714423</v>
      </c>
      <c r="O59" s="3"/>
      <c r="P59" s="23">
        <f t="shared" si="11"/>
        <v>168.0481922</v>
      </c>
      <c r="Q59" s="14">
        <f t="shared" si="12"/>
        <v>426.5501975</v>
      </c>
      <c r="R59" s="2"/>
      <c r="S59" s="14">
        <f t="shared" si="13"/>
        <v>-1.251375385</v>
      </c>
    </row>
    <row r="60">
      <c r="A60" s="11">
        <v>48.0</v>
      </c>
      <c r="B60" s="11">
        <v>1.41960434782608E9</v>
      </c>
      <c r="C60" s="2">
        <v>-102.510704</v>
      </c>
      <c r="D60" s="3">
        <f t="shared" si="1"/>
        <v>-795652.1739</v>
      </c>
      <c r="E60" s="4">
        <f t="shared" si="2"/>
        <v>167.129896</v>
      </c>
      <c r="F60" s="3">
        <f t="shared" si="3"/>
        <v>0.0002100539677</v>
      </c>
      <c r="G60" s="3">
        <f t="shared" si="4"/>
        <v>0</v>
      </c>
      <c r="H60" s="2">
        <f t="shared" si="5"/>
        <v>0</v>
      </c>
      <c r="I60" s="3">
        <f t="shared" si="6"/>
        <v>0</v>
      </c>
      <c r="J60" s="3">
        <f t="shared" si="7"/>
        <v>0</v>
      </c>
      <c r="K60" s="3"/>
      <c r="L60" s="3">
        <f t="shared" si="8"/>
        <v>426.6146522</v>
      </c>
      <c r="M60" s="14">
        <f t="shared" si="9"/>
        <v>427.8096798</v>
      </c>
      <c r="N60" s="14">
        <f t="shared" si="10"/>
        <v>-1.195027575</v>
      </c>
      <c r="O60" s="3"/>
      <c r="P60" s="23">
        <f t="shared" si="11"/>
        <v>167.129896</v>
      </c>
      <c r="Q60" s="14">
        <f t="shared" si="12"/>
        <v>426.6146522</v>
      </c>
      <c r="R60" s="2"/>
      <c r="S60" s="14">
        <f t="shared" si="13"/>
        <v>-1.097389201</v>
      </c>
    </row>
    <row r="61">
      <c r="A61" s="11">
        <v>49.0</v>
      </c>
      <c r="B61" s="11">
        <v>1.41960869565217E9</v>
      </c>
      <c r="C61" s="2">
        <v>-102.4998856</v>
      </c>
      <c r="D61" s="3">
        <f t="shared" si="1"/>
        <v>-791304.3478</v>
      </c>
      <c r="E61" s="4">
        <f t="shared" si="2"/>
        <v>166.2115999</v>
      </c>
      <c r="F61" s="3">
        <f t="shared" si="3"/>
        <v>0.0002100476263</v>
      </c>
      <c r="G61" s="3">
        <f t="shared" si="4"/>
        <v>0</v>
      </c>
      <c r="H61" s="2">
        <f t="shared" si="5"/>
        <v>0</v>
      </c>
      <c r="I61" s="3">
        <f t="shared" si="6"/>
        <v>0</v>
      </c>
      <c r="J61" s="3">
        <f t="shared" si="7"/>
        <v>0</v>
      </c>
      <c r="K61" s="3"/>
      <c r="L61" s="3">
        <f t="shared" si="8"/>
        <v>427.6786863</v>
      </c>
      <c r="M61" s="14">
        <f t="shared" si="9"/>
        <v>427.7067148</v>
      </c>
      <c r="N61" s="14">
        <f t="shared" si="10"/>
        <v>-0.02802848604</v>
      </c>
      <c r="O61" s="3"/>
      <c r="P61" s="23">
        <f t="shared" si="11"/>
        <v>166.2115999</v>
      </c>
      <c r="Q61" s="14">
        <f t="shared" si="12"/>
        <v>427.6786863</v>
      </c>
      <c r="R61" s="2"/>
      <c r="S61" s="14">
        <f t="shared" si="13"/>
        <v>-0.02573845027</v>
      </c>
    </row>
    <row r="62">
      <c r="A62" s="11">
        <v>50.0</v>
      </c>
      <c r="B62" s="11">
        <v>1.41961304347826E9</v>
      </c>
      <c r="C62" s="2">
        <v>-102.4877853</v>
      </c>
      <c r="D62" s="3">
        <f t="shared" si="1"/>
        <v>-786956.5217</v>
      </c>
      <c r="E62" s="4">
        <f t="shared" si="2"/>
        <v>165.2933038</v>
      </c>
      <c r="F62" s="3">
        <f t="shared" si="3"/>
        <v>0.0002100412148</v>
      </c>
      <c r="G62" s="3">
        <f t="shared" si="4"/>
        <v>0</v>
      </c>
      <c r="H62" s="2">
        <f t="shared" si="5"/>
        <v>0</v>
      </c>
      <c r="I62" s="3">
        <f t="shared" si="6"/>
        <v>0</v>
      </c>
      <c r="J62" s="3">
        <f t="shared" si="7"/>
        <v>0</v>
      </c>
      <c r="K62" s="3"/>
      <c r="L62" s="3">
        <f t="shared" si="8"/>
        <v>428.8719449</v>
      </c>
      <c r="M62" s="14">
        <f t="shared" si="9"/>
        <v>427.6040156</v>
      </c>
      <c r="N62" s="14">
        <f t="shared" si="10"/>
        <v>1.26792934</v>
      </c>
      <c r="O62" s="3"/>
      <c r="P62" s="23">
        <f t="shared" si="11"/>
        <v>165.2933038</v>
      </c>
      <c r="Q62" s="14">
        <f t="shared" si="12"/>
        <v>428.8719449</v>
      </c>
      <c r="R62" s="2"/>
      <c r="S62" s="14">
        <f t="shared" si="13"/>
        <v>1.164334609</v>
      </c>
    </row>
    <row r="63">
      <c r="A63" s="11">
        <v>51.0</v>
      </c>
      <c r="B63" s="11">
        <v>1.41961739130434E9</v>
      </c>
      <c r="C63" s="2">
        <v>-102.4899063</v>
      </c>
      <c r="D63" s="3">
        <f t="shared" si="1"/>
        <v>-782608.6957</v>
      </c>
      <c r="E63" s="4">
        <f t="shared" si="2"/>
        <v>164.3750077</v>
      </c>
      <c r="F63" s="3">
        <f t="shared" si="3"/>
        <v>0.000210034732</v>
      </c>
      <c r="G63" s="3">
        <f t="shared" si="4"/>
        <v>0</v>
      </c>
      <c r="H63" s="2">
        <f t="shared" si="5"/>
        <v>0</v>
      </c>
      <c r="I63" s="3">
        <f t="shared" si="6"/>
        <v>0</v>
      </c>
      <c r="J63" s="3">
        <f t="shared" si="7"/>
        <v>0</v>
      </c>
      <c r="K63" s="3"/>
      <c r="L63" s="3">
        <f t="shared" si="8"/>
        <v>428.6625443</v>
      </c>
      <c r="M63" s="14">
        <f t="shared" si="9"/>
        <v>427.5015811</v>
      </c>
      <c r="N63" s="14">
        <f t="shared" si="10"/>
        <v>1.160963239</v>
      </c>
      <c r="O63" s="3"/>
      <c r="P63" s="23">
        <f t="shared" si="11"/>
        <v>164.3750077</v>
      </c>
      <c r="Q63" s="14">
        <f t="shared" si="12"/>
        <v>428.6625443</v>
      </c>
      <c r="R63" s="2"/>
      <c r="S63" s="14">
        <f t="shared" si="13"/>
        <v>1.066108053</v>
      </c>
    </row>
    <row r="64">
      <c r="A64" s="11">
        <v>52.0</v>
      </c>
      <c r="B64" s="11">
        <v>1.41962173913043E9</v>
      </c>
      <c r="C64" s="2">
        <v>-102.5348511</v>
      </c>
      <c r="D64" s="3">
        <f t="shared" si="1"/>
        <v>-778260.8696</v>
      </c>
      <c r="E64" s="4">
        <f t="shared" si="2"/>
        <v>163.4567115</v>
      </c>
      <c r="F64" s="3">
        <f t="shared" si="3"/>
        <v>0.0002100281768</v>
      </c>
      <c r="G64" s="3">
        <f t="shared" si="4"/>
        <v>0</v>
      </c>
      <c r="H64" s="2">
        <f t="shared" si="5"/>
        <v>0</v>
      </c>
      <c r="I64" s="3">
        <f t="shared" si="6"/>
        <v>0</v>
      </c>
      <c r="J64" s="3">
        <f t="shared" si="7"/>
        <v>0</v>
      </c>
      <c r="K64" s="3"/>
      <c r="L64" s="3">
        <f t="shared" si="8"/>
        <v>424.2492247</v>
      </c>
      <c r="M64" s="14">
        <f t="shared" si="9"/>
        <v>427.39941</v>
      </c>
      <c r="N64" s="14">
        <f t="shared" si="10"/>
        <v>-3.150185294</v>
      </c>
      <c r="O64" s="3"/>
      <c r="P64" s="23">
        <f t="shared" si="11"/>
        <v>163.4567115</v>
      </c>
      <c r="Q64" s="14">
        <f t="shared" si="12"/>
        <v>424.2492247</v>
      </c>
      <c r="R64" s="2"/>
      <c r="S64" s="14">
        <f t="shared" si="13"/>
        <v>-2.892802966</v>
      </c>
    </row>
    <row r="65">
      <c r="A65" s="11">
        <v>53.0</v>
      </c>
      <c r="B65" s="11">
        <v>1.41962608695652E9</v>
      </c>
      <c r="C65" s="2">
        <v>-102.5072327</v>
      </c>
      <c r="D65" s="3">
        <f t="shared" si="1"/>
        <v>-773913.0435</v>
      </c>
      <c r="E65" s="4">
        <f t="shared" si="2"/>
        <v>162.5384154</v>
      </c>
      <c r="F65" s="3">
        <f t="shared" si="3"/>
        <v>0.000210021548</v>
      </c>
      <c r="G65" s="3">
        <f t="shared" si="4"/>
        <v>0</v>
      </c>
      <c r="H65" s="2">
        <f t="shared" si="5"/>
        <v>0</v>
      </c>
      <c r="I65" s="3">
        <f t="shared" si="6"/>
        <v>0</v>
      </c>
      <c r="J65" s="3">
        <f t="shared" si="7"/>
        <v>0</v>
      </c>
      <c r="K65" s="3"/>
      <c r="L65" s="3">
        <f t="shared" si="8"/>
        <v>426.9557801</v>
      </c>
      <c r="M65" s="14">
        <f t="shared" si="9"/>
        <v>427.2975013</v>
      </c>
      <c r="N65" s="14">
        <f t="shared" si="10"/>
        <v>-0.3417211793</v>
      </c>
      <c r="O65" s="3"/>
      <c r="P65" s="23">
        <f t="shared" si="11"/>
        <v>162.5384154</v>
      </c>
      <c r="Q65" s="14">
        <f t="shared" si="12"/>
        <v>426.9557801</v>
      </c>
      <c r="R65" s="2"/>
      <c r="S65" s="14">
        <f t="shared" si="13"/>
        <v>-0.3138012375</v>
      </c>
    </row>
    <row r="66">
      <c r="A66" s="11">
        <v>54.0</v>
      </c>
      <c r="B66" s="11">
        <v>1.4196304347826E9</v>
      </c>
      <c r="C66" s="2">
        <v>-102.5572281</v>
      </c>
      <c r="D66" s="3">
        <f t="shared" si="1"/>
        <v>-769565.2174</v>
      </c>
      <c r="E66" s="4">
        <f t="shared" si="2"/>
        <v>161.6201193</v>
      </c>
      <c r="F66" s="3">
        <f t="shared" si="3"/>
        <v>0.0002100148442</v>
      </c>
      <c r="G66" s="3">
        <f t="shared" si="4"/>
        <v>0</v>
      </c>
      <c r="H66" s="2">
        <f t="shared" si="5"/>
        <v>0</v>
      </c>
      <c r="I66" s="3">
        <f t="shared" si="6"/>
        <v>0</v>
      </c>
      <c r="J66" s="3">
        <f t="shared" si="7"/>
        <v>0</v>
      </c>
      <c r="K66" s="3"/>
      <c r="L66" s="3">
        <f t="shared" si="8"/>
        <v>422.0689047</v>
      </c>
      <c r="M66" s="14">
        <f t="shared" si="9"/>
        <v>427.1958536</v>
      </c>
      <c r="N66" s="14">
        <f t="shared" si="10"/>
        <v>-5.126948846</v>
      </c>
      <c r="O66" s="3"/>
      <c r="P66" s="23">
        <f t="shared" si="11"/>
        <v>161.6201193</v>
      </c>
      <c r="Q66" s="14">
        <f t="shared" si="12"/>
        <v>422.0689047</v>
      </c>
      <c r="R66" s="2"/>
      <c r="S66" s="14">
        <f t="shared" si="13"/>
        <v>-4.708057298</v>
      </c>
    </row>
    <row r="67">
      <c r="A67" s="11">
        <v>55.0</v>
      </c>
      <c r="B67" s="11">
        <v>1.41963478260869E9</v>
      </c>
      <c r="C67" s="2">
        <v>-102.5065689</v>
      </c>
      <c r="D67" s="3">
        <f t="shared" si="1"/>
        <v>-765217.3913</v>
      </c>
      <c r="E67" s="4">
        <f t="shared" si="2"/>
        <v>160.7018231</v>
      </c>
      <c r="F67" s="3">
        <f t="shared" si="3"/>
        <v>0.0002100080643</v>
      </c>
      <c r="G67" s="3">
        <f t="shared" si="4"/>
        <v>0</v>
      </c>
      <c r="H67" s="2">
        <f t="shared" si="5"/>
        <v>0</v>
      </c>
      <c r="I67" s="3">
        <f t="shared" si="6"/>
        <v>0</v>
      </c>
      <c r="J67" s="3">
        <f t="shared" si="7"/>
        <v>0</v>
      </c>
      <c r="K67" s="3"/>
      <c r="L67" s="3">
        <f t="shared" si="8"/>
        <v>427.0210434</v>
      </c>
      <c r="M67" s="14">
        <f t="shared" si="9"/>
        <v>427.0944658</v>
      </c>
      <c r="N67" s="14">
        <f t="shared" si="10"/>
        <v>-0.0734223992</v>
      </c>
      <c r="O67" s="3"/>
      <c r="P67" s="23">
        <f t="shared" si="11"/>
        <v>160.7018231</v>
      </c>
      <c r="Q67" s="14">
        <f t="shared" si="12"/>
        <v>427.0210434</v>
      </c>
      <c r="R67" s="2"/>
      <c r="S67" s="14">
        <f t="shared" si="13"/>
        <v>-0.06742350524</v>
      </c>
    </row>
    <row r="68">
      <c r="A68" s="11">
        <v>56.0</v>
      </c>
      <c r="B68" s="11">
        <v>1.41963913043478E9</v>
      </c>
      <c r="C68" s="2">
        <v>-102.5532227</v>
      </c>
      <c r="D68" s="24">
        <f t="shared" si="1"/>
        <v>-760869.5652</v>
      </c>
      <c r="E68" s="25">
        <f t="shared" si="2"/>
        <v>159.783527</v>
      </c>
      <c r="F68" s="24">
        <f t="shared" si="3"/>
        <v>0.0002100012069</v>
      </c>
      <c r="G68" s="24">
        <f t="shared" si="4"/>
        <v>0</v>
      </c>
      <c r="H68" s="26">
        <f t="shared" si="5"/>
        <v>0</v>
      </c>
      <c r="I68" s="24">
        <f t="shared" si="6"/>
        <v>0</v>
      </c>
      <c r="J68" s="24">
        <f t="shared" si="7"/>
        <v>0</v>
      </c>
      <c r="K68" s="24"/>
      <c r="L68" s="24">
        <f t="shared" si="8"/>
        <v>422.4583489</v>
      </c>
      <c r="M68" s="14">
        <f t="shared" si="9"/>
        <v>426.9933367</v>
      </c>
      <c r="N68" s="27">
        <f t="shared" si="10"/>
        <v>-4.534987753</v>
      </c>
      <c r="O68" s="24"/>
      <c r="P68" s="28">
        <f t="shared" ref="P68:P123" si="14">-((B418-$B$4)/$B$4)*(3*10^5)</f>
        <v>-160.7018231</v>
      </c>
      <c r="Q68" s="27">
        <f t="shared" ref="Q68:Q123" si="15">(1/(2*$K$13))*(I417)</f>
        <v>395.4677813</v>
      </c>
      <c r="R68" s="26"/>
      <c r="S68" s="14">
        <f t="shared" si="13"/>
        <v>-4.164461706</v>
      </c>
    </row>
    <row r="69">
      <c r="A69" s="11">
        <v>57.0</v>
      </c>
      <c r="B69" s="11">
        <v>1.41964347826087E9</v>
      </c>
      <c r="C69" s="2">
        <v>-102.4954071</v>
      </c>
      <c r="D69" s="24">
        <f t="shared" si="1"/>
        <v>-756521.7391</v>
      </c>
      <c r="E69" s="25">
        <f t="shared" si="2"/>
        <v>158.8652309</v>
      </c>
      <c r="F69" s="24">
        <f t="shared" si="3"/>
        <v>0.0002099942707</v>
      </c>
      <c r="G69" s="24">
        <f t="shared" si="4"/>
        <v>0</v>
      </c>
      <c r="H69" s="26">
        <f t="shared" si="5"/>
        <v>0</v>
      </c>
      <c r="I69" s="24">
        <f t="shared" si="6"/>
        <v>0</v>
      </c>
      <c r="J69" s="24">
        <f t="shared" si="7"/>
        <v>0</v>
      </c>
      <c r="K69" s="24"/>
      <c r="L69" s="24">
        <f t="shared" si="8"/>
        <v>428.1199415</v>
      </c>
      <c r="M69" s="14">
        <f t="shared" si="9"/>
        <v>426.8924651</v>
      </c>
      <c r="N69" s="27">
        <f t="shared" si="10"/>
        <v>1.2274764</v>
      </c>
      <c r="O69" s="24"/>
      <c r="P69" s="28">
        <f t="shared" si="14"/>
        <v>-161.6201193</v>
      </c>
      <c r="Q69" s="27">
        <f t="shared" si="15"/>
        <v>400.0150371</v>
      </c>
      <c r="R69" s="26"/>
      <c r="S69" s="14">
        <f t="shared" si="13"/>
        <v>1.127186831</v>
      </c>
    </row>
    <row r="70">
      <c r="A70" s="11">
        <v>58.0</v>
      </c>
      <c r="B70" s="11">
        <v>1.41964782608695E9</v>
      </c>
      <c r="C70" s="2">
        <v>-102.4883804</v>
      </c>
      <c r="D70" s="24">
        <f t="shared" si="1"/>
        <v>-752173.913</v>
      </c>
      <c r="E70" s="25">
        <f t="shared" si="2"/>
        <v>157.9469347</v>
      </c>
      <c r="F70" s="24">
        <f t="shared" si="3"/>
        <v>0.0002099872543</v>
      </c>
      <c r="G70" s="24">
        <f t="shared" si="4"/>
        <v>0</v>
      </c>
      <c r="H70" s="26">
        <f t="shared" si="5"/>
        <v>0</v>
      </c>
      <c r="I70" s="24">
        <f t="shared" si="6"/>
        <v>0</v>
      </c>
      <c r="J70" s="24">
        <f t="shared" si="7"/>
        <v>0</v>
      </c>
      <c r="K70" s="24"/>
      <c r="L70" s="24">
        <f t="shared" si="8"/>
        <v>428.813182</v>
      </c>
      <c r="M70" s="14">
        <f t="shared" si="9"/>
        <v>426.7918498</v>
      </c>
      <c r="N70" s="27">
        <f t="shared" si="10"/>
        <v>2.021332241</v>
      </c>
      <c r="O70" s="24"/>
      <c r="P70" s="28">
        <f t="shared" si="14"/>
        <v>-162.5384154</v>
      </c>
      <c r="Q70" s="27">
        <f t="shared" si="15"/>
        <v>398.3432638</v>
      </c>
      <c r="R70" s="26"/>
      <c r="S70" s="14">
        <f t="shared" si="13"/>
        <v>1.85618158</v>
      </c>
    </row>
    <row r="71">
      <c r="A71" s="11">
        <v>59.0</v>
      </c>
      <c r="B71" s="11">
        <v>1.41965217391304E9</v>
      </c>
      <c r="C71" s="2">
        <v>-102.545639</v>
      </c>
      <c r="D71" s="24">
        <f t="shared" si="1"/>
        <v>-747826.087</v>
      </c>
      <c r="E71" s="25">
        <f t="shared" si="2"/>
        <v>157.0286386</v>
      </c>
      <c r="F71" s="24">
        <f t="shared" si="3"/>
        <v>0.0002099801563</v>
      </c>
      <c r="G71" s="24">
        <f t="shared" si="4"/>
        <v>0</v>
      </c>
      <c r="H71" s="26">
        <f t="shared" si="5"/>
        <v>0</v>
      </c>
      <c r="I71" s="24">
        <f t="shared" si="6"/>
        <v>0</v>
      </c>
      <c r="J71" s="24">
        <f t="shared" si="7"/>
        <v>0</v>
      </c>
      <c r="K71" s="24"/>
      <c r="L71" s="24">
        <f t="shared" si="8"/>
        <v>423.196695</v>
      </c>
      <c r="M71" s="14">
        <f t="shared" si="9"/>
        <v>426.6914895</v>
      </c>
      <c r="N71" s="27">
        <f t="shared" si="10"/>
        <v>-3.494794523</v>
      </c>
      <c r="O71" s="24"/>
      <c r="P71" s="28">
        <f t="shared" si="14"/>
        <v>-163.4567115</v>
      </c>
      <c r="Q71" s="27">
        <f t="shared" si="15"/>
        <v>398.5553538</v>
      </c>
      <c r="R71" s="26"/>
      <c r="S71" s="14">
        <f t="shared" si="13"/>
        <v>-3.209256288</v>
      </c>
    </row>
    <row r="72">
      <c r="A72" s="11">
        <v>60.0</v>
      </c>
      <c r="B72" s="11">
        <v>1.41965652173913E9</v>
      </c>
      <c r="C72" s="2">
        <v>-102.5414352</v>
      </c>
      <c r="D72" s="24">
        <f t="shared" si="1"/>
        <v>-743478.2609</v>
      </c>
      <c r="E72" s="25">
        <f t="shared" si="2"/>
        <v>156.1103425</v>
      </c>
      <c r="F72" s="24">
        <f t="shared" si="3"/>
        <v>0.0002099729752</v>
      </c>
      <c r="G72" s="24">
        <f t="shared" si="4"/>
        <v>0</v>
      </c>
      <c r="H72" s="26">
        <f t="shared" si="5"/>
        <v>0</v>
      </c>
      <c r="I72" s="24">
        <f t="shared" si="6"/>
        <v>0</v>
      </c>
      <c r="J72" s="24">
        <f t="shared" si="7"/>
        <v>0</v>
      </c>
      <c r="K72" s="24"/>
      <c r="L72" s="24">
        <f t="shared" si="8"/>
        <v>423.6065311</v>
      </c>
      <c r="M72" s="14">
        <f t="shared" si="9"/>
        <v>426.5913832</v>
      </c>
      <c r="N72" s="27">
        <f t="shared" si="10"/>
        <v>-2.984852111</v>
      </c>
      <c r="O72" s="24"/>
      <c r="P72" s="28">
        <f t="shared" si="14"/>
        <v>-164.3750077</v>
      </c>
      <c r="Q72" s="27">
        <f t="shared" si="15"/>
        <v>397.1868005</v>
      </c>
      <c r="R72" s="26"/>
      <c r="S72" s="14">
        <f t="shared" si="13"/>
        <v>-2.740978151</v>
      </c>
    </row>
    <row r="73">
      <c r="A73" s="11">
        <v>61.0</v>
      </c>
      <c r="B73" s="11">
        <v>1.41966086956521E9</v>
      </c>
      <c r="C73" s="2">
        <v>-102.5197144</v>
      </c>
      <c r="D73" s="24">
        <f t="shared" si="1"/>
        <v>-739130.4348</v>
      </c>
      <c r="E73" s="25">
        <f t="shared" si="2"/>
        <v>155.1920463</v>
      </c>
      <c r="F73" s="24">
        <f t="shared" si="3"/>
        <v>0.0002099657097</v>
      </c>
      <c r="G73" s="24">
        <f t="shared" si="4"/>
        <v>0</v>
      </c>
      <c r="H73" s="26">
        <f t="shared" si="5"/>
        <v>0</v>
      </c>
      <c r="I73" s="24">
        <f t="shared" si="6"/>
        <v>0</v>
      </c>
      <c r="J73" s="24">
        <f t="shared" si="7"/>
        <v>0</v>
      </c>
      <c r="K73" s="24"/>
      <c r="L73" s="24">
        <f t="shared" si="8"/>
        <v>425.7304633</v>
      </c>
      <c r="M73" s="14">
        <f t="shared" si="9"/>
        <v>426.4915296</v>
      </c>
      <c r="N73" s="27">
        <f t="shared" si="10"/>
        <v>-0.7610663253</v>
      </c>
      <c r="O73" s="24"/>
      <c r="P73" s="28">
        <f t="shared" si="14"/>
        <v>-165.2933038</v>
      </c>
      <c r="Q73" s="27">
        <f t="shared" si="15"/>
        <v>399.9335309</v>
      </c>
      <c r="R73" s="26"/>
      <c r="S73" s="14">
        <f t="shared" si="13"/>
        <v>-0.6988842633</v>
      </c>
    </row>
    <row r="74">
      <c r="A74" s="11">
        <v>62.0</v>
      </c>
      <c r="B74" s="11">
        <v>1.4196652173913E9</v>
      </c>
      <c r="C74" s="2">
        <v>-102.4985733</v>
      </c>
      <c r="D74" s="24">
        <f t="shared" si="1"/>
        <v>-734782.6087</v>
      </c>
      <c r="E74" s="25">
        <f t="shared" si="2"/>
        <v>154.2737502</v>
      </c>
      <c r="F74" s="24">
        <f t="shared" si="3"/>
        <v>0.0002099583583</v>
      </c>
      <c r="G74" s="24">
        <f t="shared" si="4"/>
        <v>0</v>
      </c>
      <c r="H74" s="26">
        <f t="shared" si="5"/>
        <v>0</v>
      </c>
      <c r="I74" s="24">
        <f t="shared" si="6"/>
        <v>0</v>
      </c>
      <c r="J74" s="24">
        <f t="shared" si="7"/>
        <v>0</v>
      </c>
      <c r="K74" s="24"/>
      <c r="L74" s="24">
        <f t="shared" si="8"/>
        <v>427.8079367</v>
      </c>
      <c r="M74" s="14">
        <f t="shared" si="9"/>
        <v>426.3919275</v>
      </c>
      <c r="N74" s="27">
        <f t="shared" si="10"/>
        <v>1.416009207</v>
      </c>
      <c r="O74" s="24"/>
      <c r="P74" s="28">
        <f t="shared" si="14"/>
        <v>-166.2115999</v>
      </c>
      <c r="Q74" s="27">
        <f t="shared" si="15"/>
        <v>398.441244</v>
      </c>
      <c r="R74" s="26"/>
      <c r="S74" s="14">
        <f t="shared" si="13"/>
        <v>1.300315776</v>
      </c>
    </row>
    <row r="75">
      <c r="A75" s="11">
        <v>63.0</v>
      </c>
      <c r="B75" s="11">
        <v>1.41966956521739E9</v>
      </c>
      <c r="C75" s="2">
        <v>-102.5328751</v>
      </c>
      <c r="D75" s="24">
        <f t="shared" si="1"/>
        <v>-730434.7826</v>
      </c>
      <c r="E75" s="25">
        <f t="shared" si="2"/>
        <v>153.3554541</v>
      </c>
      <c r="F75" s="24">
        <f t="shared" si="3"/>
        <v>0.0002099509193</v>
      </c>
      <c r="G75" s="24">
        <f t="shared" si="4"/>
        <v>0</v>
      </c>
      <c r="H75" s="26">
        <f t="shared" si="5"/>
        <v>0</v>
      </c>
      <c r="I75" s="24">
        <f t="shared" si="6"/>
        <v>0</v>
      </c>
      <c r="J75" s="24">
        <f t="shared" si="7"/>
        <v>0</v>
      </c>
      <c r="K75" s="24"/>
      <c r="L75" s="24">
        <f t="shared" si="8"/>
        <v>424.4422982</v>
      </c>
      <c r="M75" s="14">
        <f t="shared" si="9"/>
        <v>426.2925758</v>
      </c>
      <c r="N75" s="27">
        <f t="shared" si="10"/>
        <v>-1.850277585</v>
      </c>
      <c r="O75" s="24"/>
      <c r="P75" s="28">
        <f t="shared" si="14"/>
        <v>-167.129896</v>
      </c>
      <c r="Q75" s="27">
        <f t="shared" si="15"/>
        <v>395.9863972</v>
      </c>
      <c r="R75" s="26"/>
      <c r="S75" s="14">
        <f t="shared" si="13"/>
        <v>-1.699102751</v>
      </c>
    </row>
    <row r="76">
      <c r="A76" s="11">
        <v>64.0</v>
      </c>
      <c r="B76" s="11">
        <v>1.41967391304347E9</v>
      </c>
      <c r="C76" s="2">
        <v>-102.495285</v>
      </c>
      <c r="D76" s="24">
        <f t="shared" si="1"/>
        <v>-726086.9565</v>
      </c>
      <c r="E76" s="25">
        <f t="shared" si="2"/>
        <v>152.4371579</v>
      </c>
      <c r="F76" s="24">
        <f t="shared" si="3"/>
        <v>0.0002099433912</v>
      </c>
      <c r="G76" s="24">
        <f t="shared" si="4"/>
        <v>0</v>
      </c>
      <c r="H76" s="26">
        <f t="shared" si="5"/>
        <v>0</v>
      </c>
      <c r="I76" s="24">
        <f t="shared" si="6"/>
        <v>0</v>
      </c>
      <c r="J76" s="24">
        <f t="shared" si="7"/>
        <v>0</v>
      </c>
      <c r="K76" s="24"/>
      <c r="L76" s="24">
        <f t="shared" si="8"/>
        <v>428.131978</v>
      </c>
      <c r="M76" s="14">
        <f t="shared" si="9"/>
        <v>426.1934731</v>
      </c>
      <c r="N76" s="27">
        <f t="shared" si="10"/>
        <v>1.938504946</v>
      </c>
      <c r="O76" s="24"/>
      <c r="P76" s="28">
        <f t="shared" si="14"/>
        <v>-168.0481922</v>
      </c>
      <c r="Q76" s="27">
        <f t="shared" si="15"/>
        <v>395.3997108</v>
      </c>
      <c r="R76" s="26"/>
      <c r="S76" s="14">
        <f t="shared" si="13"/>
        <v>1.780121595</v>
      </c>
    </row>
    <row r="77">
      <c r="A77" s="11">
        <v>65.0</v>
      </c>
      <c r="B77" s="11">
        <v>1.41967826086956E9</v>
      </c>
      <c r="C77" s="2">
        <v>-102.472496</v>
      </c>
      <c r="D77" s="24">
        <f t="shared" si="1"/>
        <v>-721739.1304</v>
      </c>
      <c r="E77" s="25">
        <f t="shared" si="2"/>
        <v>151.5188618</v>
      </c>
      <c r="F77" s="24">
        <f t="shared" si="3"/>
        <v>0.0002099357724</v>
      </c>
      <c r="G77" s="24">
        <f t="shared" si="4"/>
        <v>0</v>
      </c>
      <c r="H77" s="26">
        <f t="shared" si="5"/>
        <v>0</v>
      </c>
      <c r="I77" s="24">
        <f t="shared" si="6"/>
        <v>0</v>
      </c>
      <c r="J77" s="24">
        <f t="shared" si="7"/>
        <v>0</v>
      </c>
      <c r="K77" s="24"/>
      <c r="L77" s="24">
        <f t="shared" si="8"/>
        <v>430.3844457</v>
      </c>
      <c r="M77" s="14">
        <f t="shared" si="9"/>
        <v>426.0946184</v>
      </c>
      <c r="N77" s="27">
        <f t="shared" si="10"/>
        <v>4.289827377</v>
      </c>
      <c r="O77" s="24"/>
      <c r="P77" s="28">
        <f t="shared" si="14"/>
        <v>-168.9664883</v>
      </c>
      <c r="Q77" s="27">
        <f t="shared" si="15"/>
        <v>401.267843</v>
      </c>
      <c r="R77" s="26"/>
      <c r="S77" s="14">
        <f t="shared" si="13"/>
        <v>3.939331881</v>
      </c>
    </row>
    <row r="78">
      <c r="A78" s="11">
        <v>66.0</v>
      </c>
      <c r="B78" s="11">
        <v>1.41968260869565E9</v>
      </c>
      <c r="C78" s="2">
        <v>-102.5108414</v>
      </c>
      <c r="D78" s="24">
        <f t="shared" si="1"/>
        <v>-717391.3043</v>
      </c>
      <c r="E78" s="25">
        <f t="shared" si="2"/>
        <v>150.6005657</v>
      </c>
      <c r="F78" s="24">
        <f t="shared" si="3"/>
        <v>0.0002099280612</v>
      </c>
      <c r="G78" s="24">
        <f t="shared" si="4"/>
        <v>0</v>
      </c>
      <c r="H78" s="26">
        <f t="shared" si="5"/>
        <v>0</v>
      </c>
      <c r="I78" s="24">
        <f t="shared" si="6"/>
        <v>0</v>
      </c>
      <c r="J78" s="24">
        <f t="shared" si="7"/>
        <v>0</v>
      </c>
      <c r="K78" s="24"/>
      <c r="L78" s="24">
        <f t="shared" si="8"/>
        <v>426.6011554</v>
      </c>
      <c r="M78" s="14">
        <f t="shared" si="9"/>
        <v>425.9960104</v>
      </c>
      <c r="N78" s="27">
        <f t="shared" si="10"/>
        <v>0.6051450537</v>
      </c>
      <c r="O78" s="24"/>
      <c r="P78" s="28">
        <f t="shared" si="14"/>
        <v>-169.8847844</v>
      </c>
      <c r="Q78" s="27">
        <f t="shared" si="15"/>
        <v>397.7901155</v>
      </c>
      <c r="R78" s="26"/>
      <c r="S78" s="14">
        <f t="shared" si="13"/>
        <v>0.5557023626</v>
      </c>
    </row>
    <row r="79">
      <c r="A79" s="11">
        <v>67.0</v>
      </c>
      <c r="B79" s="11">
        <v>1.41968695652173E9</v>
      </c>
      <c r="C79" s="2">
        <v>-102.5140228</v>
      </c>
      <c r="D79" s="24">
        <f t="shared" si="1"/>
        <v>-713043.4783</v>
      </c>
      <c r="E79" s="25">
        <f t="shared" si="2"/>
        <v>149.6822695</v>
      </c>
      <c r="F79" s="24">
        <f t="shared" si="3"/>
        <v>0.0002099202561</v>
      </c>
      <c r="G79" s="24">
        <f t="shared" si="4"/>
        <v>0</v>
      </c>
      <c r="H79" s="26">
        <f t="shared" si="5"/>
        <v>0</v>
      </c>
      <c r="I79" s="24">
        <f t="shared" si="6"/>
        <v>0</v>
      </c>
      <c r="J79" s="24">
        <f t="shared" si="7"/>
        <v>0</v>
      </c>
      <c r="K79" s="24"/>
      <c r="L79" s="24">
        <f t="shared" si="8"/>
        <v>426.2887656</v>
      </c>
      <c r="M79" s="14">
        <f t="shared" si="9"/>
        <v>425.8976479</v>
      </c>
      <c r="N79" s="27">
        <f t="shared" si="10"/>
        <v>0.3911176547</v>
      </c>
      <c r="O79" s="24"/>
      <c r="P79" s="28">
        <f t="shared" si="14"/>
        <v>-170.8030806</v>
      </c>
      <c r="Q79" s="27">
        <f t="shared" si="15"/>
        <v>396.7551268</v>
      </c>
      <c r="R79" s="26"/>
      <c r="S79" s="14">
        <f t="shared" si="13"/>
        <v>0.3591618297</v>
      </c>
    </row>
    <row r="80">
      <c r="A80" s="11">
        <v>68.0</v>
      </c>
      <c r="B80" s="11">
        <v>1.41969130434782E9</v>
      </c>
      <c r="C80" s="2">
        <v>-102.5496902</v>
      </c>
      <c r="D80" s="24">
        <f t="shared" si="1"/>
        <v>-708695.6522</v>
      </c>
      <c r="E80" s="25">
        <f t="shared" si="2"/>
        <v>148.7639734</v>
      </c>
      <c r="F80" s="24">
        <f t="shared" si="3"/>
        <v>0.0002099123551</v>
      </c>
      <c r="G80" s="24">
        <f t="shared" si="4"/>
        <v>0</v>
      </c>
      <c r="H80" s="26">
        <f t="shared" si="5"/>
        <v>0</v>
      </c>
      <c r="I80" s="24">
        <f t="shared" si="6"/>
        <v>0</v>
      </c>
      <c r="J80" s="24">
        <f t="shared" si="7"/>
        <v>0</v>
      </c>
      <c r="K80" s="24"/>
      <c r="L80" s="24">
        <f t="shared" si="8"/>
        <v>422.8021113</v>
      </c>
      <c r="M80" s="14">
        <f t="shared" si="9"/>
        <v>425.7995298</v>
      </c>
      <c r="N80" s="27">
        <f t="shared" si="10"/>
        <v>-2.997418434</v>
      </c>
      <c r="O80" s="24"/>
      <c r="P80" s="28">
        <f t="shared" si="14"/>
        <v>-171.7213767</v>
      </c>
      <c r="Q80" s="27">
        <f t="shared" si="15"/>
        <v>398.5287503</v>
      </c>
      <c r="R80" s="26"/>
      <c r="S80" s="14">
        <f t="shared" si="13"/>
        <v>-2.752517757</v>
      </c>
    </row>
    <row r="81">
      <c r="A81" s="11">
        <v>69.0</v>
      </c>
      <c r="B81" s="11">
        <v>1.41969565217391E9</v>
      </c>
      <c r="C81" s="2">
        <v>-102.5104294</v>
      </c>
      <c r="D81" s="24">
        <f t="shared" si="1"/>
        <v>-704347.8261</v>
      </c>
      <c r="E81" s="25">
        <f t="shared" si="2"/>
        <v>147.8456773</v>
      </c>
      <c r="F81" s="24">
        <f t="shared" si="3"/>
        <v>0.0002099043566</v>
      </c>
      <c r="G81" s="24">
        <f t="shared" si="4"/>
        <v>0</v>
      </c>
      <c r="H81" s="26">
        <f t="shared" si="5"/>
        <v>0</v>
      </c>
      <c r="I81" s="24">
        <f t="shared" si="6"/>
        <v>0</v>
      </c>
      <c r="J81" s="24">
        <f t="shared" si="7"/>
        <v>0</v>
      </c>
      <c r="K81" s="24"/>
      <c r="L81" s="24">
        <f t="shared" si="8"/>
        <v>426.6416275</v>
      </c>
      <c r="M81" s="14">
        <f t="shared" si="9"/>
        <v>425.7016548</v>
      </c>
      <c r="N81" s="27">
        <f t="shared" si="10"/>
        <v>0.9399727091</v>
      </c>
      <c r="O81" s="24"/>
      <c r="P81" s="28">
        <f t="shared" si="14"/>
        <v>-172.6396728</v>
      </c>
      <c r="Q81" s="27">
        <f t="shared" si="15"/>
        <v>393.2474249</v>
      </c>
      <c r="R81" s="26"/>
      <c r="S81" s="14">
        <f t="shared" si="13"/>
        <v>0.8631733018</v>
      </c>
    </row>
    <row r="82">
      <c r="A82" s="11">
        <v>70.0</v>
      </c>
      <c r="B82" s="11">
        <v>1.4197E9</v>
      </c>
      <c r="C82" s="2">
        <v>-102.5021591</v>
      </c>
      <c r="D82" s="24">
        <f t="shared" si="1"/>
        <v>-700000</v>
      </c>
      <c r="E82" s="25">
        <f t="shared" si="2"/>
        <v>146.9273811</v>
      </c>
      <c r="F82" s="24">
        <f t="shared" si="3"/>
        <v>0.0002098962588</v>
      </c>
      <c r="G82" s="24">
        <f t="shared" si="4"/>
        <v>0</v>
      </c>
      <c r="H82" s="26">
        <f t="shared" si="5"/>
        <v>0</v>
      </c>
      <c r="I82" s="24">
        <f t="shared" si="6"/>
        <v>0</v>
      </c>
      <c r="J82" s="24">
        <f t="shared" si="7"/>
        <v>0</v>
      </c>
      <c r="K82" s="24"/>
      <c r="L82" s="24">
        <f t="shared" si="8"/>
        <v>427.4548582</v>
      </c>
      <c r="M82" s="14">
        <f t="shared" si="9"/>
        <v>425.6040218</v>
      </c>
      <c r="N82" s="27">
        <f t="shared" si="10"/>
        <v>1.850836439</v>
      </c>
      <c r="O82" s="24"/>
      <c r="P82" s="28">
        <f t="shared" si="14"/>
        <v>-173.557969</v>
      </c>
      <c r="Q82" s="27">
        <f t="shared" si="15"/>
        <v>396.2362067</v>
      </c>
      <c r="R82" s="26"/>
      <c r="S82" s="14">
        <f t="shared" si="13"/>
        <v>1.699615944</v>
      </c>
    </row>
    <row r="83">
      <c r="A83" s="11">
        <v>71.0</v>
      </c>
      <c r="B83" s="11">
        <v>1.41970434782608E9</v>
      </c>
      <c r="C83" s="2">
        <v>-102.5436249</v>
      </c>
      <c r="D83" s="24">
        <f t="shared" si="1"/>
        <v>-695652.1739</v>
      </c>
      <c r="E83" s="25">
        <f t="shared" si="2"/>
        <v>146.009085</v>
      </c>
      <c r="F83" s="24">
        <f t="shared" si="3"/>
        <v>0.0002098880597</v>
      </c>
      <c r="G83" s="24">
        <f t="shared" si="4"/>
        <v>0</v>
      </c>
      <c r="H83" s="26">
        <f t="shared" si="5"/>
        <v>0</v>
      </c>
      <c r="I83" s="24">
        <f t="shared" si="6"/>
        <v>0</v>
      </c>
      <c r="J83" s="24">
        <f t="shared" si="7"/>
        <v>0</v>
      </c>
      <c r="K83" s="24"/>
      <c r="L83" s="24">
        <f t="shared" si="8"/>
        <v>423.3930038</v>
      </c>
      <c r="M83" s="14">
        <f t="shared" si="9"/>
        <v>425.5066295</v>
      </c>
      <c r="N83" s="27">
        <f t="shared" si="10"/>
        <v>-2.113625696</v>
      </c>
      <c r="O83" s="24"/>
      <c r="P83" s="28">
        <f t="shared" si="14"/>
        <v>-174.4762651</v>
      </c>
      <c r="Q83" s="27">
        <f t="shared" si="15"/>
        <v>401.234</v>
      </c>
      <c r="R83" s="26"/>
      <c r="S83" s="14">
        <f t="shared" si="13"/>
        <v>-1.940934303</v>
      </c>
    </row>
    <row r="84">
      <c r="A84" s="11">
        <v>72.0</v>
      </c>
      <c r="B84" s="11">
        <v>1.41970869565217E9</v>
      </c>
      <c r="C84" s="2">
        <v>-102.5321198</v>
      </c>
      <c r="D84" s="24">
        <f t="shared" si="1"/>
        <v>-691304.3478</v>
      </c>
      <c r="E84" s="25">
        <f t="shared" si="2"/>
        <v>145.0907889</v>
      </c>
      <c r="F84" s="24">
        <f t="shared" si="3"/>
        <v>0.0002098797575</v>
      </c>
      <c r="G84" s="24">
        <f t="shared" si="4"/>
        <v>0</v>
      </c>
      <c r="H84" s="26">
        <f t="shared" si="5"/>
        <v>0</v>
      </c>
      <c r="I84" s="24">
        <f t="shared" si="6"/>
        <v>0</v>
      </c>
      <c r="J84" s="24">
        <f t="shared" si="7"/>
        <v>0</v>
      </c>
      <c r="K84" s="24"/>
      <c r="L84" s="24">
        <f t="shared" si="8"/>
        <v>424.5161211</v>
      </c>
      <c r="M84" s="14">
        <f t="shared" si="9"/>
        <v>425.4094767</v>
      </c>
      <c r="N84" s="27">
        <f t="shared" si="10"/>
        <v>-0.8933555864</v>
      </c>
      <c r="O84" s="24"/>
      <c r="P84" s="28">
        <f t="shared" si="14"/>
        <v>-175.3945612</v>
      </c>
      <c r="Q84" s="27">
        <f t="shared" si="15"/>
        <v>398.644978</v>
      </c>
      <c r="R84" s="26"/>
      <c r="S84" s="14">
        <f t="shared" si="13"/>
        <v>-0.8203649783</v>
      </c>
    </row>
    <row r="85">
      <c r="A85" s="11">
        <v>73.0</v>
      </c>
      <c r="B85" s="11">
        <v>1.41971304347826E9</v>
      </c>
      <c r="C85" s="2">
        <v>-102.554451</v>
      </c>
      <c r="D85" s="24">
        <f t="shared" si="1"/>
        <v>-686956.5217</v>
      </c>
      <c r="E85" s="25">
        <f t="shared" si="2"/>
        <v>144.1724927</v>
      </c>
      <c r="F85" s="24">
        <f t="shared" si="3"/>
        <v>0.0002098713502</v>
      </c>
      <c r="G85" s="24">
        <f t="shared" si="4"/>
        <v>0</v>
      </c>
      <c r="H85" s="26">
        <f t="shared" si="5"/>
        <v>0</v>
      </c>
      <c r="I85" s="24">
        <f t="shared" si="6"/>
        <v>0</v>
      </c>
      <c r="J85" s="24">
        <f t="shared" si="7"/>
        <v>0</v>
      </c>
      <c r="K85" s="24"/>
      <c r="L85" s="24">
        <f t="shared" si="8"/>
        <v>422.3388834</v>
      </c>
      <c r="M85" s="14">
        <f t="shared" si="9"/>
        <v>425.3125624</v>
      </c>
      <c r="N85" s="27">
        <f t="shared" si="10"/>
        <v>-2.973678959</v>
      </c>
      <c r="O85" s="24"/>
      <c r="P85" s="28">
        <f t="shared" si="14"/>
        <v>-176.3128574</v>
      </c>
      <c r="Q85" s="27">
        <f t="shared" si="15"/>
        <v>399.182485</v>
      </c>
      <c r="R85" s="26"/>
      <c r="S85" s="14">
        <f t="shared" si="13"/>
        <v>-2.730717888</v>
      </c>
    </row>
    <row r="86">
      <c r="A86" s="11">
        <v>74.0</v>
      </c>
      <c r="B86" s="11">
        <v>1.41971739130434E9</v>
      </c>
      <c r="C86" s="2">
        <v>-102.4590988</v>
      </c>
      <c r="D86" s="24">
        <f t="shared" si="1"/>
        <v>-682608.6957</v>
      </c>
      <c r="E86" s="25">
        <f t="shared" si="2"/>
        <v>143.2541966</v>
      </c>
      <c r="F86" s="24">
        <f t="shared" si="3"/>
        <v>0.0002098628358</v>
      </c>
      <c r="G86" s="24">
        <f t="shared" si="4"/>
        <v>0</v>
      </c>
      <c r="H86" s="26">
        <f t="shared" si="5"/>
        <v>0</v>
      </c>
      <c r="I86" s="24">
        <f t="shared" si="6"/>
        <v>0</v>
      </c>
      <c r="J86" s="24">
        <f t="shared" si="7"/>
        <v>0</v>
      </c>
      <c r="K86" s="24"/>
      <c r="L86" s="24">
        <f t="shared" si="8"/>
        <v>431.7141539</v>
      </c>
      <c r="M86" s="14">
        <f t="shared" si="9"/>
        <v>425.2158851</v>
      </c>
      <c r="N86" s="27">
        <f t="shared" si="10"/>
        <v>6.498268749</v>
      </c>
      <c r="O86" s="24"/>
      <c r="P86" s="28">
        <f t="shared" si="14"/>
        <v>-177.2311535</v>
      </c>
      <c r="Q86" s="27">
        <f t="shared" si="15"/>
        <v>396.0177002</v>
      </c>
      <c r="R86" s="26"/>
      <c r="S86" s="14">
        <f t="shared" si="13"/>
        <v>5.967335062</v>
      </c>
    </row>
    <row r="87">
      <c r="A87" s="11">
        <v>75.0</v>
      </c>
      <c r="B87" s="11">
        <v>1.41972173913043E9</v>
      </c>
      <c r="C87" s="2">
        <v>-102.4890518</v>
      </c>
      <c r="D87" s="24">
        <f t="shared" si="1"/>
        <v>-678260.8696</v>
      </c>
      <c r="E87" s="25">
        <f t="shared" si="2"/>
        <v>142.3359005</v>
      </c>
      <c r="F87" s="24">
        <f t="shared" si="3"/>
        <v>0.0002098542122</v>
      </c>
      <c r="G87" s="24">
        <f t="shared" si="4"/>
        <v>0</v>
      </c>
      <c r="H87" s="26">
        <f t="shared" si="5"/>
        <v>0</v>
      </c>
      <c r="I87" s="24">
        <f t="shared" si="6"/>
        <v>0</v>
      </c>
      <c r="J87" s="24">
        <f t="shared" si="7"/>
        <v>0</v>
      </c>
      <c r="K87" s="24"/>
      <c r="L87" s="24">
        <f t="shared" si="8"/>
        <v>428.7468945</v>
      </c>
      <c r="M87" s="14">
        <f t="shared" si="9"/>
        <v>425.1194439</v>
      </c>
      <c r="N87" s="27">
        <f t="shared" si="10"/>
        <v>3.627450605</v>
      </c>
      <c r="O87" s="24"/>
      <c r="P87" s="28">
        <f t="shared" si="14"/>
        <v>-178.1494496</v>
      </c>
      <c r="Q87" s="27">
        <f t="shared" si="15"/>
        <v>397.7132568</v>
      </c>
      <c r="R87" s="26"/>
      <c r="S87" s="14">
        <f t="shared" si="13"/>
        <v>3.331073855</v>
      </c>
    </row>
    <row r="88">
      <c r="A88" s="11">
        <v>76.0</v>
      </c>
      <c r="B88" s="11">
        <v>1.41972608695652E9</v>
      </c>
      <c r="C88" s="2">
        <v>-102.5472946</v>
      </c>
      <c r="D88" s="24">
        <f t="shared" si="1"/>
        <v>-673913.0435</v>
      </c>
      <c r="E88" s="25">
        <f t="shared" si="2"/>
        <v>141.4176044</v>
      </c>
      <c r="F88" s="24">
        <f t="shared" si="3"/>
        <v>0.0002098454774</v>
      </c>
      <c r="G88" s="24">
        <f t="shared" si="4"/>
        <v>0</v>
      </c>
      <c r="H88" s="26">
        <f t="shared" si="5"/>
        <v>0</v>
      </c>
      <c r="I88" s="24">
        <f t="shared" si="6"/>
        <v>0</v>
      </c>
      <c r="J88" s="24">
        <f t="shared" si="7"/>
        <v>0</v>
      </c>
      <c r="K88" s="24"/>
      <c r="L88" s="24">
        <f t="shared" si="8"/>
        <v>423.0353964</v>
      </c>
      <c r="M88" s="14">
        <f t="shared" si="9"/>
        <v>425.0232374</v>
      </c>
      <c r="N88" s="27">
        <f t="shared" si="10"/>
        <v>-1.987841007</v>
      </c>
      <c r="O88" s="24"/>
      <c r="P88" s="28">
        <f t="shared" si="14"/>
        <v>-179.0677458</v>
      </c>
      <c r="Q88" s="27">
        <f t="shared" si="15"/>
        <v>394.2455567</v>
      </c>
      <c r="R88" s="26"/>
      <c r="S88" s="14">
        <f t="shared" si="13"/>
        <v>-1.825426709</v>
      </c>
    </row>
    <row r="89">
      <c r="A89" s="11">
        <v>77.0</v>
      </c>
      <c r="B89" s="11">
        <v>1.4197304347826E9</v>
      </c>
      <c r="C89" s="2">
        <v>-102.45681</v>
      </c>
      <c r="D89" s="24">
        <f t="shared" si="1"/>
        <v>-669565.2174</v>
      </c>
      <c r="E89" s="25">
        <f t="shared" si="2"/>
        <v>140.4993082</v>
      </c>
      <c r="F89" s="24">
        <f t="shared" si="3"/>
        <v>0.0002098366292</v>
      </c>
      <c r="G89" s="24">
        <f t="shared" si="4"/>
        <v>0</v>
      </c>
      <c r="H89" s="26">
        <f t="shared" si="5"/>
        <v>0</v>
      </c>
      <c r="I89" s="24">
        <f t="shared" si="6"/>
        <v>0</v>
      </c>
      <c r="J89" s="24">
        <f t="shared" si="7"/>
        <v>0</v>
      </c>
      <c r="K89" s="24"/>
      <c r="L89" s="24">
        <f t="shared" si="8"/>
        <v>431.941734</v>
      </c>
      <c r="M89" s="14">
        <f t="shared" si="9"/>
        <v>424.9272645</v>
      </c>
      <c r="N89" s="27">
        <f t="shared" si="10"/>
        <v>7.014469473</v>
      </c>
      <c r="O89" s="24"/>
      <c r="P89" s="28">
        <f t="shared" si="14"/>
        <v>-179.9860419</v>
      </c>
      <c r="Q89" s="27">
        <f t="shared" si="15"/>
        <v>395.0005109</v>
      </c>
      <c r="R89" s="26"/>
      <c r="S89" s="14">
        <f t="shared" si="13"/>
        <v>6.44136019</v>
      </c>
    </row>
    <row r="90">
      <c r="A90" s="11">
        <v>78.0</v>
      </c>
      <c r="B90" s="11">
        <v>1.41973478260869E9</v>
      </c>
      <c r="C90" s="2">
        <v>-102.455307</v>
      </c>
      <c r="D90" s="24">
        <f t="shared" si="1"/>
        <v>-665217.3913</v>
      </c>
      <c r="E90" s="25">
        <f t="shared" si="2"/>
        <v>139.5810121</v>
      </c>
      <c r="F90" s="24">
        <f t="shared" si="3"/>
        <v>0.0002098276652</v>
      </c>
      <c r="G90" s="24">
        <f t="shared" si="4"/>
        <v>0</v>
      </c>
      <c r="H90" s="26">
        <f t="shared" si="5"/>
        <v>0</v>
      </c>
      <c r="I90" s="24">
        <f t="shared" si="6"/>
        <v>0</v>
      </c>
      <c r="J90" s="24">
        <f t="shared" si="7"/>
        <v>0</v>
      </c>
      <c r="K90" s="24"/>
      <c r="L90" s="24">
        <f t="shared" si="8"/>
        <v>432.0912456</v>
      </c>
      <c r="M90" s="14">
        <f t="shared" si="9"/>
        <v>424.831524</v>
      </c>
      <c r="N90" s="27">
        <f t="shared" si="10"/>
        <v>7.259721634</v>
      </c>
      <c r="O90" s="24"/>
      <c r="P90" s="28">
        <f t="shared" si="14"/>
        <v>-180.904338</v>
      </c>
      <c r="Q90" s="27">
        <f t="shared" si="15"/>
        <v>398.0096</v>
      </c>
      <c r="R90" s="26"/>
      <c r="S90" s="14">
        <f t="shared" si="13"/>
        <v>6.666574302</v>
      </c>
    </row>
    <row r="91">
      <c r="A91" s="11">
        <v>79.0</v>
      </c>
      <c r="B91" s="11">
        <v>1.41973913043478E9</v>
      </c>
      <c r="C91" s="2">
        <v>-102.4802856</v>
      </c>
      <c r="D91" s="24">
        <f t="shared" si="1"/>
        <v>-660869.5652</v>
      </c>
      <c r="E91" s="25">
        <f t="shared" si="2"/>
        <v>138.662716</v>
      </c>
      <c r="F91" s="24">
        <f t="shared" si="3"/>
        <v>0.0002098185833</v>
      </c>
      <c r="G91" s="24">
        <f t="shared" si="4"/>
        <v>0</v>
      </c>
      <c r="H91" s="26">
        <f t="shared" si="5"/>
        <v>0</v>
      </c>
      <c r="I91" s="24">
        <f t="shared" si="6"/>
        <v>0</v>
      </c>
      <c r="J91" s="24">
        <f t="shared" si="7"/>
        <v>0</v>
      </c>
      <c r="K91" s="24"/>
      <c r="L91" s="24">
        <f t="shared" si="8"/>
        <v>429.6131908</v>
      </c>
      <c r="M91" s="14">
        <f t="shared" si="9"/>
        <v>424.7360146</v>
      </c>
      <c r="N91" s="27">
        <f t="shared" si="10"/>
        <v>4.877176111</v>
      </c>
      <c r="O91" s="24"/>
      <c r="P91" s="28">
        <f t="shared" si="14"/>
        <v>-181.8226342</v>
      </c>
      <c r="Q91" s="27">
        <f t="shared" si="15"/>
        <v>401.0134392</v>
      </c>
      <c r="R91" s="26"/>
      <c r="S91" s="14">
        <f t="shared" si="13"/>
        <v>4.478691951</v>
      </c>
    </row>
    <row r="92">
      <c r="A92" s="11">
        <v>80.0</v>
      </c>
      <c r="B92" s="11">
        <v>1.41974347826087E9</v>
      </c>
      <c r="C92" s="2">
        <v>-102.4845886</v>
      </c>
      <c r="D92" s="24">
        <f t="shared" si="1"/>
        <v>-656521.7391</v>
      </c>
      <c r="E92" s="25">
        <f t="shared" si="2"/>
        <v>137.7444198</v>
      </c>
      <c r="F92" s="24">
        <f t="shared" si="3"/>
        <v>0.0002098093812</v>
      </c>
      <c r="G92" s="24">
        <f t="shared" si="4"/>
        <v>0</v>
      </c>
      <c r="H92" s="26">
        <f t="shared" si="5"/>
        <v>0</v>
      </c>
      <c r="I92" s="24">
        <f t="shared" si="6"/>
        <v>0</v>
      </c>
      <c r="J92" s="24">
        <f t="shared" si="7"/>
        <v>0</v>
      </c>
      <c r="K92" s="24"/>
      <c r="L92" s="24">
        <f t="shared" si="8"/>
        <v>429.1877398</v>
      </c>
      <c r="M92" s="14">
        <f t="shared" si="9"/>
        <v>424.6407353</v>
      </c>
      <c r="N92" s="27">
        <f t="shared" si="10"/>
        <v>4.547004507</v>
      </c>
      <c r="O92" s="24"/>
      <c r="P92" s="28">
        <f t="shared" si="14"/>
        <v>-182.7409303</v>
      </c>
      <c r="Q92" s="27">
        <f t="shared" si="15"/>
        <v>398.6316777</v>
      </c>
      <c r="R92" s="26"/>
      <c r="S92" s="14">
        <f t="shared" si="13"/>
        <v>4.175496654</v>
      </c>
    </row>
    <row r="93">
      <c r="A93" s="11">
        <v>81.0</v>
      </c>
      <c r="B93" s="11">
        <v>1.41974782608695E9</v>
      </c>
      <c r="C93" s="2">
        <v>-102.5238724</v>
      </c>
      <c r="D93" s="24">
        <f t="shared" si="1"/>
        <v>-652173.913</v>
      </c>
      <c r="E93" s="25">
        <f t="shared" si="2"/>
        <v>136.8261237</v>
      </c>
      <c r="F93" s="24">
        <f t="shared" si="3"/>
        <v>0.0002098000563</v>
      </c>
      <c r="G93" s="24">
        <f t="shared" si="4"/>
        <v>0</v>
      </c>
      <c r="H93" s="26">
        <f t="shared" si="5"/>
        <v>0</v>
      </c>
      <c r="I93" s="24">
        <f t="shared" si="6"/>
        <v>0</v>
      </c>
      <c r="J93" s="24">
        <f t="shared" si="7"/>
        <v>0</v>
      </c>
      <c r="K93" s="24"/>
      <c r="L93" s="24">
        <f t="shared" si="8"/>
        <v>425.3230577</v>
      </c>
      <c r="M93" s="14">
        <f t="shared" si="9"/>
        <v>424.5456847</v>
      </c>
      <c r="N93" s="27">
        <f t="shared" si="10"/>
        <v>0.7773729539</v>
      </c>
      <c r="O93" s="24"/>
      <c r="P93" s="28">
        <f t="shared" si="14"/>
        <v>-183.6592264</v>
      </c>
      <c r="Q93" s="27">
        <f t="shared" si="15"/>
        <v>396.7572189</v>
      </c>
      <c r="R93" s="26"/>
      <c r="S93" s="14">
        <f t="shared" si="13"/>
        <v>0.7138585773</v>
      </c>
    </row>
    <row r="94">
      <c r="A94" s="11">
        <v>82.0</v>
      </c>
      <c r="B94" s="11">
        <v>1.41975217391304E9</v>
      </c>
      <c r="C94" s="2">
        <v>-102.4797821</v>
      </c>
      <c r="D94" s="24">
        <f t="shared" si="1"/>
        <v>-647826.087</v>
      </c>
      <c r="E94" s="25">
        <f t="shared" si="2"/>
        <v>135.9078276</v>
      </c>
      <c r="F94" s="24">
        <f t="shared" si="3"/>
        <v>0.0002097906063</v>
      </c>
      <c r="G94" s="24">
        <f t="shared" si="4"/>
        <v>0</v>
      </c>
      <c r="H94" s="26">
        <f t="shared" si="5"/>
        <v>0</v>
      </c>
      <c r="I94" s="24">
        <f t="shared" si="6"/>
        <v>0</v>
      </c>
      <c r="J94" s="24">
        <f t="shared" si="7"/>
        <v>0</v>
      </c>
      <c r="K94" s="24"/>
      <c r="L94" s="24">
        <f t="shared" si="8"/>
        <v>429.6630009</v>
      </c>
      <c r="M94" s="14">
        <f t="shared" si="9"/>
        <v>424.4508617</v>
      </c>
      <c r="N94" s="27">
        <f t="shared" si="10"/>
        <v>5.212139171</v>
      </c>
      <c r="O94" s="24"/>
      <c r="P94" s="28">
        <f t="shared" si="14"/>
        <v>-184.5775226</v>
      </c>
      <c r="Q94" s="27">
        <f t="shared" si="15"/>
        <v>400.7050053</v>
      </c>
      <c r="R94" s="26"/>
      <c r="S94" s="14">
        <f t="shared" si="13"/>
        <v>4.786287233</v>
      </c>
    </row>
    <row r="95">
      <c r="A95" s="11">
        <v>83.0</v>
      </c>
      <c r="B95" s="11">
        <v>1.41975652173913E9</v>
      </c>
      <c r="C95" s="2">
        <v>-102.5494614</v>
      </c>
      <c r="D95" s="24">
        <f t="shared" si="1"/>
        <v>-643478.2609</v>
      </c>
      <c r="E95" s="25">
        <f t="shared" si="2"/>
        <v>134.9895314</v>
      </c>
      <c r="F95" s="24">
        <f t="shared" si="3"/>
        <v>0.0002097810286</v>
      </c>
      <c r="G95" s="24">
        <f t="shared" si="4"/>
        <v>0</v>
      </c>
      <c r="H95" s="26">
        <f t="shared" si="5"/>
        <v>0</v>
      </c>
      <c r="I95" s="24">
        <f t="shared" si="6"/>
        <v>0</v>
      </c>
      <c r="J95" s="24">
        <f t="shared" si="7"/>
        <v>0</v>
      </c>
      <c r="K95" s="24"/>
      <c r="L95" s="24">
        <f t="shared" si="8"/>
        <v>422.8243865</v>
      </c>
      <c r="M95" s="14">
        <f t="shared" si="9"/>
        <v>424.3562652</v>
      </c>
      <c r="N95" s="27">
        <f t="shared" si="10"/>
        <v>-1.531878684</v>
      </c>
      <c r="O95" s="24"/>
      <c r="P95" s="28">
        <f t="shared" si="14"/>
        <v>-185.4958187</v>
      </c>
      <c r="Q95" s="27">
        <f t="shared" si="15"/>
        <v>402.0369387</v>
      </c>
      <c r="R95" s="26"/>
      <c r="S95" s="14">
        <f t="shared" si="13"/>
        <v>-1.406718271</v>
      </c>
    </row>
    <row r="96">
      <c r="A96" s="11">
        <v>84.0</v>
      </c>
      <c r="B96" s="11">
        <v>1.41976086956521E9</v>
      </c>
      <c r="C96" s="2">
        <v>-102.5088959</v>
      </c>
      <c r="D96" s="24">
        <f t="shared" si="1"/>
        <v>-639130.4348</v>
      </c>
      <c r="E96" s="25">
        <f t="shared" si="2"/>
        <v>134.0712353</v>
      </c>
      <c r="F96" s="24">
        <f t="shared" si="3"/>
        <v>0.0002097713205</v>
      </c>
      <c r="G96" s="24">
        <f t="shared" si="4"/>
        <v>0</v>
      </c>
      <c r="H96" s="26">
        <f t="shared" si="5"/>
        <v>0</v>
      </c>
      <c r="I96" s="24">
        <f t="shared" si="6"/>
        <v>0</v>
      </c>
      <c r="J96" s="24">
        <f t="shared" si="7"/>
        <v>0</v>
      </c>
      <c r="K96" s="24"/>
      <c r="L96" s="24">
        <f t="shared" si="8"/>
        <v>426.7923019</v>
      </c>
      <c r="M96" s="14">
        <f t="shared" si="9"/>
        <v>424.2618938</v>
      </c>
      <c r="N96" s="27">
        <f t="shared" si="10"/>
        <v>2.530408081</v>
      </c>
      <c r="O96" s="24"/>
      <c r="P96" s="28">
        <f t="shared" si="14"/>
        <v>-186.4141148</v>
      </c>
      <c r="Q96" s="27">
        <f t="shared" si="15"/>
        <v>398.1235862</v>
      </c>
      <c r="R96" s="26"/>
      <c r="S96" s="14">
        <f t="shared" si="13"/>
        <v>2.323663955</v>
      </c>
    </row>
    <row r="97">
      <c r="A97" s="11">
        <v>85.0</v>
      </c>
      <c r="B97" s="11">
        <v>1.4197652173913E9</v>
      </c>
      <c r="C97" s="2">
        <v>-102.4944077</v>
      </c>
      <c r="D97" s="24">
        <f t="shared" si="1"/>
        <v>-634782.6087</v>
      </c>
      <c r="E97" s="25">
        <f t="shared" si="2"/>
        <v>133.1529392</v>
      </c>
      <c r="F97" s="24">
        <f t="shared" si="3"/>
        <v>0.0002097614795</v>
      </c>
      <c r="G97" s="24">
        <f t="shared" si="4"/>
        <v>0</v>
      </c>
      <c r="H97" s="26">
        <f t="shared" si="5"/>
        <v>0</v>
      </c>
      <c r="I97" s="24">
        <f t="shared" si="6"/>
        <v>0</v>
      </c>
      <c r="J97" s="24">
        <f t="shared" si="7"/>
        <v>0</v>
      </c>
      <c r="K97" s="24"/>
      <c r="L97" s="24">
        <f t="shared" si="8"/>
        <v>428.2184719</v>
      </c>
      <c r="M97" s="14">
        <f t="shared" si="9"/>
        <v>424.1677464</v>
      </c>
      <c r="N97" s="27">
        <f t="shared" si="10"/>
        <v>4.05072549</v>
      </c>
      <c r="O97" s="24"/>
      <c r="P97" s="28">
        <f t="shared" si="14"/>
        <v>-187.332411</v>
      </c>
      <c r="Q97" s="27">
        <f t="shared" si="15"/>
        <v>391.6094356</v>
      </c>
      <c r="R97" s="26"/>
      <c r="S97" s="14">
        <f t="shared" si="13"/>
        <v>3.719765544</v>
      </c>
    </row>
    <row r="98">
      <c r="A98" s="11">
        <v>86.0</v>
      </c>
      <c r="B98" s="11">
        <v>1.41976956521739E9</v>
      </c>
      <c r="C98" s="2">
        <v>-102.4864197</v>
      </c>
      <c r="D98" s="24">
        <f t="shared" si="1"/>
        <v>-630434.7826</v>
      </c>
      <c r="E98" s="25">
        <f t="shared" si="2"/>
        <v>132.234643</v>
      </c>
      <c r="F98" s="24">
        <f t="shared" si="3"/>
        <v>0.0002097515027</v>
      </c>
      <c r="G98" s="24">
        <f t="shared" si="4"/>
        <v>0</v>
      </c>
      <c r="H98" s="26">
        <f t="shared" si="5"/>
        <v>0</v>
      </c>
      <c r="I98" s="24">
        <f t="shared" si="6"/>
        <v>0</v>
      </c>
      <c r="J98" s="24">
        <f t="shared" si="7"/>
        <v>0</v>
      </c>
      <c r="K98" s="24"/>
      <c r="L98" s="24">
        <f t="shared" si="8"/>
        <v>429.0068211</v>
      </c>
      <c r="M98" s="14">
        <f t="shared" si="9"/>
        <v>424.0738219</v>
      </c>
      <c r="N98" s="27">
        <f t="shared" si="10"/>
        <v>4.932999194</v>
      </c>
      <c r="O98" s="24"/>
      <c r="P98" s="28">
        <f t="shared" si="14"/>
        <v>-188.2507071</v>
      </c>
      <c r="Q98" s="27">
        <f t="shared" si="15"/>
        <v>396.9105908</v>
      </c>
      <c r="R98" s="26"/>
      <c r="S98" s="14">
        <f t="shared" si="13"/>
        <v>4.529954083</v>
      </c>
    </row>
    <row r="99">
      <c r="A99" s="11">
        <v>87.0</v>
      </c>
      <c r="B99" s="11">
        <v>1.41977391304347E9</v>
      </c>
      <c r="C99" s="2">
        <v>-102.5021667</v>
      </c>
      <c r="D99" s="24">
        <f t="shared" si="1"/>
        <v>-626086.9565</v>
      </c>
      <c r="E99" s="25">
        <f t="shared" si="2"/>
        <v>131.3163469</v>
      </c>
      <c r="F99" s="24">
        <f t="shared" si="3"/>
        <v>0.0002097413874</v>
      </c>
      <c r="G99" s="24">
        <f t="shared" si="4"/>
        <v>0</v>
      </c>
      <c r="H99" s="26">
        <f t="shared" si="5"/>
        <v>0</v>
      </c>
      <c r="I99" s="24">
        <f t="shared" si="6"/>
        <v>0</v>
      </c>
      <c r="J99" s="24">
        <f t="shared" si="7"/>
        <v>0</v>
      </c>
      <c r="K99" s="24"/>
      <c r="L99" s="24">
        <f t="shared" si="8"/>
        <v>427.4541102</v>
      </c>
      <c r="M99" s="14">
        <f t="shared" si="9"/>
        <v>423.9801189</v>
      </c>
      <c r="N99" s="27">
        <f t="shared" si="10"/>
        <v>3.473991235</v>
      </c>
      <c r="O99" s="24"/>
      <c r="P99" s="28">
        <f t="shared" si="14"/>
        <v>-189.1690032</v>
      </c>
      <c r="Q99" s="27">
        <f t="shared" si="15"/>
        <v>397.8634987</v>
      </c>
      <c r="R99" s="26"/>
      <c r="S99" s="14">
        <f t="shared" si="13"/>
        <v>3.190152716</v>
      </c>
    </row>
    <row r="100">
      <c r="A100" s="11">
        <v>88.0</v>
      </c>
      <c r="B100" s="11">
        <v>1.41977826086956E9</v>
      </c>
      <c r="C100" s="2">
        <v>-102.4888611</v>
      </c>
      <c r="D100" s="24">
        <f t="shared" si="1"/>
        <v>-621739.1304</v>
      </c>
      <c r="E100" s="25">
        <f t="shared" si="2"/>
        <v>130.3980508</v>
      </c>
      <c r="F100" s="24">
        <f t="shared" si="3"/>
        <v>0.0002097311306</v>
      </c>
      <c r="G100" s="24">
        <f t="shared" si="4"/>
        <v>0</v>
      </c>
      <c r="H100" s="26">
        <f t="shared" si="5"/>
        <v>0</v>
      </c>
      <c r="I100" s="24">
        <f t="shared" si="6"/>
        <v>0</v>
      </c>
      <c r="J100" s="24">
        <f t="shared" si="7"/>
        <v>0</v>
      </c>
      <c r="K100" s="24"/>
      <c r="L100" s="24">
        <f t="shared" si="8"/>
        <v>428.7657213</v>
      </c>
      <c r="M100" s="14">
        <f t="shared" si="9"/>
        <v>423.8866364</v>
      </c>
      <c r="N100" s="27">
        <f t="shared" si="10"/>
        <v>4.879084904</v>
      </c>
      <c r="O100" s="24"/>
      <c r="P100" s="28">
        <f t="shared" si="14"/>
        <v>-190.0872994</v>
      </c>
      <c r="Q100" s="27">
        <f t="shared" si="15"/>
        <v>399.8576667</v>
      </c>
      <c r="R100" s="26"/>
      <c r="S100" s="14">
        <f t="shared" si="13"/>
        <v>4.480444788</v>
      </c>
    </row>
    <row r="101">
      <c r="A101" s="11">
        <v>89.0</v>
      </c>
      <c r="B101" s="11">
        <v>1.41978260869565E9</v>
      </c>
      <c r="C101" s="2">
        <v>-102.4941711</v>
      </c>
      <c r="D101" s="24">
        <f t="shared" si="1"/>
        <v>-617391.3043</v>
      </c>
      <c r="E101" s="25">
        <f t="shared" si="2"/>
        <v>129.4797546</v>
      </c>
      <c r="F101" s="24">
        <f t="shared" si="3"/>
        <v>0.0002097207293</v>
      </c>
      <c r="G101" s="24">
        <f t="shared" si="4"/>
        <v>0</v>
      </c>
      <c r="H101" s="26">
        <f t="shared" si="5"/>
        <v>0</v>
      </c>
      <c r="I101" s="24">
        <f t="shared" si="6"/>
        <v>0</v>
      </c>
      <c r="J101" s="24">
        <f t="shared" si="7"/>
        <v>0</v>
      </c>
      <c r="K101" s="24"/>
      <c r="L101" s="24">
        <f t="shared" si="8"/>
        <v>428.2418015</v>
      </c>
      <c r="M101" s="14">
        <f t="shared" si="9"/>
        <v>423.7933731</v>
      </c>
      <c r="N101" s="27">
        <f t="shared" si="10"/>
        <v>4.448428422</v>
      </c>
      <c r="O101" s="24"/>
      <c r="P101" s="28">
        <f t="shared" si="14"/>
        <v>-191.0055955</v>
      </c>
      <c r="Q101" s="27">
        <f t="shared" si="15"/>
        <v>400.8211663</v>
      </c>
      <c r="R101" s="26"/>
      <c r="S101" s="14">
        <f t="shared" si="13"/>
        <v>4.084974617</v>
      </c>
    </row>
    <row r="102">
      <c r="A102" s="11">
        <v>90.0</v>
      </c>
      <c r="B102" s="11">
        <v>1.41978695652173E9</v>
      </c>
      <c r="C102" s="2">
        <v>-102.4771576</v>
      </c>
      <c r="D102" s="24">
        <f t="shared" si="1"/>
        <v>-613043.4783</v>
      </c>
      <c r="E102" s="25">
        <f t="shared" si="2"/>
        <v>128.5614585</v>
      </c>
      <c r="F102" s="24">
        <f t="shared" si="3"/>
        <v>0.0002097101805</v>
      </c>
      <c r="G102" s="24">
        <f t="shared" si="4"/>
        <v>0</v>
      </c>
      <c r="H102" s="26">
        <f t="shared" si="5"/>
        <v>0</v>
      </c>
      <c r="I102" s="24">
        <f t="shared" si="6"/>
        <v>0</v>
      </c>
      <c r="J102" s="24">
        <f t="shared" si="7"/>
        <v>0</v>
      </c>
      <c r="K102" s="24"/>
      <c r="L102" s="24">
        <f t="shared" si="8"/>
        <v>429.9227305</v>
      </c>
      <c r="M102" s="14">
        <f t="shared" si="9"/>
        <v>423.7003278</v>
      </c>
      <c r="N102" s="27">
        <f t="shared" si="10"/>
        <v>6.222402672</v>
      </c>
      <c r="O102" s="24"/>
      <c r="P102" s="28">
        <f t="shared" si="14"/>
        <v>-191.9238916</v>
      </c>
      <c r="Q102" s="27">
        <f t="shared" si="15"/>
        <v>394.7910035</v>
      </c>
      <c r="R102" s="26"/>
      <c r="S102" s="14">
        <f t="shared" si="13"/>
        <v>5.71400831</v>
      </c>
    </row>
    <row r="103">
      <c r="A103" s="11">
        <v>91.0</v>
      </c>
      <c r="B103" s="11">
        <v>1.41979130434782E9</v>
      </c>
      <c r="C103" s="2">
        <v>-102.5249939</v>
      </c>
      <c r="D103" s="24">
        <f t="shared" si="1"/>
        <v>-608695.6522</v>
      </c>
      <c r="E103" s="25">
        <f t="shared" si="2"/>
        <v>127.6431624</v>
      </c>
      <c r="F103" s="24">
        <f t="shared" si="3"/>
        <v>0.000209699481</v>
      </c>
      <c r="G103" s="24">
        <f t="shared" si="4"/>
        <v>0</v>
      </c>
      <c r="H103" s="26">
        <f t="shared" si="5"/>
        <v>0</v>
      </c>
      <c r="I103" s="24">
        <f t="shared" si="6"/>
        <v>0</v>
      </c>
      <c r="J103" s="24">
        <f t="shared" si="7"/>
        <v>0</v>
      </c>
      <c r="K103" s="24"/>
      <c r="L103" s="24">
        <f t="shared" si="8"/>
        <v>425.2132386</v>
      </c>
      <c r="M103" s="14">
        <f t="shared" si="9"/>
        <v>423.6074994</v>
      </c>
      <c r="N103" s="27">
        <f t="shared" si="10"/>
        <v>1.605739178</v>
      </c>
      <c r="O103" s="24"/>
      <c r="P103" s="28">
        <f t="shared" si="14"/>
        <v>-192.8421877</v>
      </c>
      <c r="Q103" s="27">
        <f t="shared" si="15"/>
        <v>397.4471502</v>
      </c>
      <c r="R103" s="26"/>
      <c r="S103" s="14">
        <f t="shared" si="13"/>
        <v>1.474544078</v>
      </c>
    </row>
    <row r="104">
      <c r="A104" s="11">
        <v>92.0</v>
      </c>
      <c r="B104" s="11">
        <v>1.41979565217391E9</v>
      </c>
      <c r="C104" s="2">
        <v>-102.4828415</v>
      </c>
      <c r="D104" s="24">
        <f t="shared" si="1"/>
        <v>-604347.8261</v>
      </c>
      <c r="E104" s="25">
        <f t="shared" si="2"/>
        <v>126.7248662</v>
      </c>
      <c r="F104" s="24">
        <f t="shared" si="3"/>
        <v>0.0002096886276</v>
      </c>
      <c r="G104" s="24">
        <f t="shared" si="4"/>
        <v>0</v>
      </c>
      <c r="H104" s="26">
        <f t="shared" si="5"/>
        <v>0</v>
      </c>
      <c r="I104" s="24">
        <f t="shared" si="6"/>
        <v>0</v>
      </c>
      <c r="J104" s="24">
        <f t="shared" si="7"/>
        <v>0</v>
      </c>
      <c r="K104" s="24"/>
      <c r="L104" s="24">
        <f t="shared" si="8"/>
        <v>429.3604302</v>
      </c>
      <c r="M104" s="14">
        <f t="shared" si="9"/>
        <v>423.5148866</v>
      </c>
      <c r="N104" s="27">
        <f t="shared" si="10"/>
        <v>5.845543558</v>
      </c>
      <c r="O104" s="24"/>
      <c r="P104" s="28">
        <f t="shared" si="14"/>
        <v>-193.7604839</v>
      </c>
      <c r="Q104" s="27">
        <f t="shared" si="15"/>
        <v>396.1408575</v>
      </c>
      <c r="R104" s="26"/>
      <c r="S104" s="14">
        <f t="shared" si="13"/>
        <v>5.367940031</v>
      </c>
    </row>
    <row r="105">
      <c r="A105" s="11">
        <v>93.0</v>
      </c>
      <c r="B105" s="11">
        <v>1.4198E9</v>
      </c>
      <c r="C105" s="2">
        <v>-102.4970169</v>
      </c>
      <c r="D105" s="24">
        <f t="shared" si="1"/>
        <v>-600000</v>
      </c>
      <c r="E105" s="25">
        <f t="shared" si="2"/>
        <v>125.8065701</v>
      </c>
      <c r="F105" s="24">
        <f t="shared" si="3"/>
        <v>0.0002096776168</v>
      </c>
      <c r="G105" s="24">
        <f t="shared" si="4"/>
        <v>0</v>
      </c>
      <c r="H105" s="26">
        <f t="shared" si="5"/>
        <v>0</v>
      </c>
      <c r="I105" s="24">
        <f t="shared" si="6"/>
        <v>0</v>
      </c>
      <c r="J105" s="24">
        <f t="shared" si="7"/>
        <v>0</v>
      </c>
      <c r="K105" s="24"/>
      <c r="L105" s="24">
        <f t="shared" si="8"/>
        <v>427.9612796</v>
      </c>
      <c r="M105" s="14">
        <f t="shared" si="9"/>
        <v>423.4224882</v>
      </c>
      <c r="N105" s="27">
        <f t="shared" si="10"/>
        <v>4.53879136</v>
      </c>
      <c r="O105" s="24"/>
      <c r="P105" s="28">
        <f t="shared" si="14"/>
        <v>-194.67878</v>
      </c>
      <c r="Q105" s="27">
        <f t="shared" si="15"/>
        <v>396.3566484</v>
      </c>
      <c r="R105" s="26"/>
      <c r="S105" s="14">
        <f t="shared" si="13"/>
        <v>4.167954553</v>
      </c>
    </row>
    <row r="106">
      <c r="A106" s="11">
        <v>94.0</v>
      </c>
      <c r="B106" s="11">
        <v>1.41980434782608E9</v>
      </c>
      <c r="C106" s="2">
        <v>-102.5001526</v>
      </c>
      <c r="D106" s="24">
        <f t="shared" si="1"/>
        <v>-595652.1739</v>
      </c>
      <c r="E106" s="25">
        <f t="shared" si="2"/>
        <v>124.888274</v>
      </c>
      <c r="F106" s="24">
        <f t="shared" si="3"/>
        <v>0.0002096664454</v>
      </c>
      <c r="G106" s="24">
        <f t="shared" si="4"/>
        <v>0</v>
      </c>
      <c r="H106" s="26">
        <f t="shared" si="5"/>
        <v>0</v>
      </c>
      <c r="I106" s="24">
        <f t="shared" si="6"/>
        <v>0</v>
      </c>
      <c r="J106" s="24">
        <f t="shared" si="7"/>
        <v>0</v>
      </c>
      <c r="K106" s="24"/>
      <c r="L106" s="24">
        <f t="shared" si="8"/>
        <v>427.6523938</v>
      </c>
      <c r="M106" s="14">
        <f t="shared" si="9"/>
        <v>423.3303031</v>
      </c>
      <c r="N106" s="27">
        <f t="shared" si="10"/>
        <v>4.322090716</v>
      </c>
      <c r="O106" s="24"/>
      <c r="P106" s="28">
        <f t="shared" si="14"/>
        <v>-195.5970761</v>
      </c>
      <c r="Q106" s="27">
        <f t="shared" si="15"/>
        <v>389.5099421</v>
      </c>
      <c r="R106" s="26"/>
      <c r="S106" s="14">
        <f t="shared" si="13"/>
        <v>3.96895919</v>
      </c>
    </row>
    <row r="107">
      <c r="A107" s="11">
        <v>95.0</v>
      </c>
      <c r="B107" s="11">
        <v>1.41980869565217E9</v>
      </c>
      <c r="C107" s="2">
        <v>-102.5181656</v>
      </c>
      <c r="D107" s="24">
        <f t="shared" si="1"/>
        <v>-591304.3478</v>
      </c>
      <c r="E107" s="25">
        <f t="shared" si="2"/>
        <v>123.9699778</v>
      </c>
      <c r="F107" s="24">
        <f t="shared" si="3"/>
        <v>0.0002096551096</v>
      </c>
      <c r="G107" s="24">
        <f t="shared" si="4"/>
        <v>0</v>
      </c>
      <c r="H107" s="26">
        <f t="shared" si="5"/>
        <v>0</v>
      </c>
      <c r="I107" s="24">
        <f t="shared" si="6"/>
        <v>0</v>
      </c>
      <c r="J107" s="24">
        <f t="shared" si="7"/>
        <v>0</v>
      </c>
      <c r="K107" s="24"/>
      <c r="L107" s="24">
        <f t="shared" si="8"/>
        <v>425.8823162</v>
      </c>
      <c r="M107" s="14">
        <f t="shared" si="9"/>
        <v>423.23833</v>
      </c>
      <c r="N107" s="27">
        <f t="shared" si="10"/>
        <v>2.64398619</v>
      </c>
      <c r="O107" s="24"/>
      <c r="P107" s="28">
        <f t="shared" si="14"/>
        <v>-196.5153723</v>
      </c>
      <c r="Q107" s="27">
        <f t="shared" si="15"/>
        <v>394.0489162</v>
      </c>
      <c r="R107" s="26"/>
      <c r="S107" s="14">
        <f t="shared" si="13"/>
        <v>2.427962288</v>
      </c>
    </row>
    <row r="108">
      <c r="A108" s="11">
        <v>96.0</v>
      </c>
      <c r="B108" s="11">
        <v>1.41981304347826E9</v>
      </c>
      <c r="C108" s="2">
        <v>-102.4796448</v>
      </c>
      <c r="D108" s="24">
        <f t="shared" si="1"/>
        <v>-586956.5217</v>
      </c>
      <c r="E108" s="25">
        <f t="shared" si="2"/>
        <v>123.0516817</v>
      </c>
      <c r="F108" s="24">
        <f t="shared" si="3"/>
        <v>0.0002096436059</v>
      </c>
      <c r="G108" s="24">
        <f t="shared" si="4"/>
        <v>0</v>
      </c>
      <c r="H108" s="26">
        <f t="shared" si="5"/>
        <v>0</v>
      </c>
      <c r="I108" s="24">
        <f t="shared" si="6"/>
        <v>0</v>
      </c>
      <c r="J108" s="24">
        <f t="shared" si="7"/>
        <v>0</v>
      </c>
      <c r="K108" s="24"/>
      <c r="L108" s="24">
        <f t="shared" si="8"/>
        <v>429.6765847</v>
      </c>
      <c r="M108" s="14">
        <f t="shared" si="9"/>
        <v>423.1465678</v>
      </c>
      <c r="N108" s="27">
        <f t="shared" si="10"/>
        <v>6.530016891</v>
      </c>
      <c r="O108" s="24"/>
      <c r="P108" s="28">
        <f t="shared" si="14"/>
        <v>-197.4336684</v>
      </c>
      <c r="Q108" s="27">
        <f t="shared" si="15"/>
        <v>392.2986805</v>
      </c>
      <c r="R108" s="26"/>
      <c r="S108" s="14">
        <f t="shared" si="13"/>
        <v>5.996489258</v>
      </c>
    </row>
    <row r="109">
      <c r="A109" s="11">
        <v>97.0</v>
      </c>
      <c r="B109" s="11">
        <v>1.41981739130434E9</v>
      </c>
      <c r="C109" s="2">
        <v>-102.4951859</v>
      </c>
      <c r="D109" s="24">
        <f t="shared" si="1"/>
        <v>-582608.6957</v>
      </c>
      <c r="E109" s="25">
        <f t="shared" si="2"/>
        <v>122.1333856</v>
      </c>
      <c r="F109" s="24">
        <f t="shared" si="3"/>
        <v>0.0002096319305</v>
      </c>
      <c r="G109" s="24">
        <f t="shared" si="4"/>
        <v>0</v>
      </c>
      <c r="H109" s="26">
        <f t="shared" si="5"/>
        <v>0</v>
      </c>
      <c r="I109" s="24">
        <f t="shared" si="6"/>
        <v>0</v>
      </c>
      <c r="J109" s="24">
        <f t="shared" si="7"/>
        <v>0</v>
      </c>
      <c r="K109" s="24"/>
      <c r="L109" s="24">
        <f t="shared" si="8"/>
        <v>428.1417475</v>
      </c>
      <c r="M109" s="14">
        <f t="shared" si="9"/>
        <v>423.0550152</v>
      </c>
      <c r="N109" s="27">
        <f t="shared" si="10"/>
        <v>5.08673229</v>
      </c>
      <c r="O109" s="24"/>
      <c r="P109" s="28">
        <f t="shared" si="14"/>
        <v>-198.3519645</v>
      </c>
      <c r="Q109" s="27">
        <f t="shared" si="15"/>
        <v>398.0368745</v>
      </c>
      <c r="R109" s="26"/>
      <c r="S109" s="14">
        <f t="shared" si="13"/>
        <v>4.671126591</v>
      </c>
    </row>
    <row r="110">
      <c r="A110" s="11">
        <v>98.0</v>
      </c>
      <c r="B110" s="11">
        <v>1.41982173913043E9</v>
      </c>
      <c r="C110" s="2">
        <v>-102.5432816</v>
      </c>
      <c r="D110" s="24">
        <f t="shared" si="1"/>
        <v>-578260.8696</v>
      </c>
      <c r="E110" s="25">
        <f t="shared" si="2"/>
        <v>121.2150894</v>
      </c>
      <c r="F110" s="24">
        <f t="shared" si="3"/>
        <v>0.0002096200795</v>
      </c>
      <c r="G110" s="24">
        <f t="shared" si="4"/>
        <v>0</v>
      </c>
      <c r="H110" s="26">
        <f t="shared" si="5"/>
        <v>0</v>
      </c>
      <c r="I110" s="24">
        <f t="shared" si="6"/>
        <v>0</v>
      </c>
      <c r="J110" s="24">
        <f t="shared" si="7"/>
        <v>0</v>
      </c>
      <c r="K110" s="24"/>
      <c r="L110" s="24">
        <f t="shared" si="8"/>
        <v>423.4264734</v>
      </c>
      <c r="M110" s="14">
        <f t="shared" si="9"/>
        <v>422.9636711</v>
      </c>
      <c r="N110" s="27">
        <f t="shared" si="10"/>
        <v>0.4628022242</v>
      </c>
      <c r="O110" s="24"/>
      <c r="P110" s="28">
        <f t="shared" si="14"/>
        <v>-199.2702607</v>
      </c>
      <c r="Q110" s="27">
        <f t="shared" si="15"/>
        <v>399.5304619</v>
      </c>
      <c r="R110" s="26"/>
      <c r="S110" s="14">
        <f t="shared" si="13"/>
        <v>0.4249894917</v>
      </c>
    </row>
    <row r="111">
      <c r="A111" s="11">
        <v>99.0</v>
      </c>
      <c r="B111" s="11">
        <v>1.41982608695652E9</v>
      </c>
      <c r="C111" s="2">
        <v>-102.5129013</v>
      </c>
      <c r="D111" s="24">
        <f t="shared" si="1"/>
        <v>-573913.0435</v>
      </c>
      <c r="E111" s="25">
        <f t="shared" si="2"/>
        <v>120.2967933</v>
      </c>
      <c r="F111" s="24">
        <f t="shared" si="3"/>
        <v>0.000209608049</v>
      </c>
      <c r="G111" s="24">
        <f t="shared" si="4"/>
        <v>0</v>
      </c>
      <c r="H111" s="26">
        <f t="shared" si="5"/>
        <v>0</v>
      </c>
      <c r="I111" s="24">
        <f t="shared" si="6"/>
        <v>0</v>
      </c>
      <c r="J111" s="24">
        <f t="shared" si="7"/>
        <v>0</v>
      </c>
      <c r="K111" s="24"/>
      <c r="L111" s="24">
        <f t="shared" si="8"/>
        <v>426.3988624</v>
      </c>
      <c r="M111" s="14">
        <f t="shared" si="9"/>
        <v>422.8725343</v>
      </c>
      <c r="N111" s="27">
        <f t="shared" si="10"/>
        <v>3.526328133</v>
      </c>
      <c r="O111" s="24"/>
      <c r="P111" s="28">
        <f t="shared" si="14"/>
        <v>-200.1885568</v>
      </c>
      <c r="Q111" s="27">
        <f t="shared" si="15"/>
        <v>393.0740716</v>
      </c>
      <c r="R111" s="26"/>
      <c r="S111" s="14">
        <f t="shared" si="13"/>
        <v>3.238213487</v>
      </c>
    </row>
    <row r="112">
      <c r="A112" s="11">
        <v>100.0</v>
      </c>
      <c r="B112" s="11">
        <v>1.4198304347826E9</v>
      </c>
      <c r="C112" s="2">
        <v>-102.4686584</v>
      </c>
      <c r="D112" s="24">
        <f t="shared" si="1"/>
        <v>-569565.2174</v>
      </c>
      <c r="E112" s="25">
        <f t="shared" si="2"/>
        <v>119.3784972</v>
      </c>
      <c r="F112" s="24">
        <f t="shared" si="3"/>
        <v>0.0002095958347</v>
      </c>
      <c r="G112" s="24">
        <f t="shared" si="4"/>
        <v>0</v>
      </c>
      <c r="H112" s="26">
        <f t="shared" si="5"/>
        <v>0</v>
      </c>
      <c r="I112" s="24">
        <f t="shared" si="6"/>
        <v>0</v>
      </c>
      <c r="J112" s="24">
        <f t="shared" si="7"/>
        <v>0</v>
      </c>
      <c r="K112" s="24"/>
      <c r="L112" s="24">
        <f t="shared" si="8"/>
        <v>430.7649188</v>
      </c>
      <c r="M112" s="14">
        <f t="shared" si="9"/>
        <v>422.7816035</v>
      </c>
      <c r="N112" s="27">
        <f t="shared" si="10"/>
        <v>7.983315245</v>
      </c>
      <c r="O112" s="24"/>
      <c r="P112" s="28">
        <f t="shared" si="14"/>
        <v>-201.1068529</v>
      </c>
      <c r="Q112" s="27">
        <f t="shared" si="15"/>
        <v>394.4783358</v>
      </c>
      <c r="R112" s="26"/>
      <c r="S112" s="14">
        <f t="shared" si="13"/>
        <v>7.331047516</v>
      </c>
      <c r="U112" s="21"/>
      <c r="V112" s="21"/>
    </row>
    <row r="113">
      <c r="A113" s="11">
        <v>101.0</v>
      </c>
      <c r="B113" s="11">
        <v>1.41983478260869E9</v>
      </c>
      <c r="C113" s="2">
        <v>-102.4721375</v>
      </c>
      <c r="D113" s="24">
        <f t="shared" si="1"/>
        <v>-565217.3913</v>
      </c>
      <c r="E113" s="25">
        <f t="shared" si="2"/>
        <v>118.460201</v>
      </c>
      <c r="F113" s="24">
        <f t="shared" si="3"/>
        <v>0.0002095834326</v>
      </c>
      <c r="G113" s="24">
        <f t="shared" si="4"/>
        <v>0</v>
      </c>
      <c r="H113" s="26">
        <f t="shared" si="5"/>
        <v>0</v>
      </c>
      <c r="I113" s="24">
        <f t="shared" si="6"/>
        <v>0</v>
      </c>
      <c r="J113" s="24">
        <f t="shared" si="7"/>
        <v>0</v>
      </c>
      <c r="K113" s="24"/>
      <c r="L113" s="24">
        <f t="shared" si="8"/>
        <v>430.4199744</v>
      </c>
      <c r="M113" s="14">
        <f t="shared" si="9"/>
        <v>422.6908776</v>
      </c>
      <c r="N113" s="27">
        <f t="shared" si="10"/>
        <v>7.729096842</v>
      </c>
      <c r="O113" s="24"/>
      <c r="P113" s="28">
        <f t="shared" si="14"/>
        <v>-202.0251491</v>
      </c>
      <c r="Q113" s="27">
        <f t="shared" si="15"/>
        <v>389.4723109</v>
      </c>
      <c r="R113" s="26"/>
      <c r="S113" s="14">
        <f t="shared" si="13"/>
        <v>7.09759974</v>
      </c>
      <c r="U113" s="21"/>
      <c r="V113" s="21"/>
    </row>
    <row r="114">
      <c r="A114" s="11">
        <v>102.0</v>
      </c>
      <c r="B114" s="11">
        <v>1.41983913043478E9</v>
      </c>
      <c r="C114" s="2">
        <v>-102.551651</v>
      </c>
      <c r="D114" s="24">
        <f t="shared" si="1"/>
        <v>-560869.5652</v>
      </c>
      <c r="E114" s="25">
        <f t="shared" si="2"/>
        <v>117.5419049</v>
      </c>
      <c r="F114" s="24">
        <f t="shared" si="3"/>
        <v>0.0002095708382</v>
      </c>
      <c r="G114" s="24">
        <f t="shared" si="4"/>
        <v>0</v>
      </c>
      <c r="H114" s="26">
        <f t="shared" si="5"/>
        <v>0</v>
      </c>
      <c r="I114" s="24">
        <f t="shared" si="6"/>
        <v>0</v>
      </c>
      <c r="J114" s="24">
        <f t="shared" si="7"/>
        <v>0</v>
      </c>
      <c r="K114" s="24"/>
      <c r="L114" s="24">
        <f t="shared" si="8"/>
        <v>422.6112631</v>
      </c>
      <c r="M114" s="14">
        <f t="shared" si="9"/>
        <v>422.6003554</v>
      </c>
      <c r="N114" s="27">
        <f t="shared" si="10"/>
        <v>0.01090775821</v>
      </c>
      <c r="O114" s="24"/>
      <c r="P114" s="28">
        <f t="shared" si="14"/>
        <v>-202.9434452</v>
      </c>
      <c r="Q114" s="27">
        <f t="shared" si="15"/>
        <v>397.9438867</v>
      </c>
      <c r="R114" s="26"/>
      <c r="S114" s="14">
        <f t="shared" si="13"/>
        <v>0.01001655216</v>
      </c>
      <c r="U114" s="21"/>
      <c r="V114" s="21"/>
    </row>
    <row r="115">
      <c r="A115" s="11">
        <v>103.0</v>
      </c>
      <c r="B115" s="11">
        <v>1.41984347826087E9</v>
      </c>
      <c r="C115" s="2">
        <v>-102.5217896</v>
      </c>
      <c r="D115" s="24">
        <f t="shared" si="1"/>
        <v>-556521.7391</v>
      </c>
      <c r="E115" s="25">
        <f t="shared" si="2"/>
        <v>116.6236088</v>
      </c>
      <c r="F115" s="24">
        <f t="shared" si="3"/>
        <v>0.000209558047</v>
      </c>
      <c r="G115" s="24">
        <f t="shared" si="4"/>
        <v>0</v>
      </c>
      <c r="H115" s="26">
        <f t="shared" si="5"/>
        <v>0</v>
      </c>
      <c r="I115" s="24">
        <f t="shared" si="6"/>
        <v>0</v>
      </c>
      <c r="J115" s="24">
        <f t="shared" si="7"/>
        <v>0</v>
      </c>
      <c r="K115" s="24"/>
      <c r="L115" s="24">
        <f t="shared" si="8"/>
        <v>425.527084</v>
      </c>
      <c r="M115" s="14">
        <f t="shared" si="9"/>
        <v>422.5100356</v>
      </c>
      <c r="N115" s="27">
        <f t="shared" si="10"/>
        <v>3.017048422</v>
      </c>
      <c r="O115" s="24"/>
      <c r="P115" s="28">
        <f t="shared" si="14"/>
        <v>-203.8617413</v>
      </c>
      <c r="Q115" s="27">
        <f t="shared" si="15"/>
        <v>392.6406567</v>
      </c>
      <c r="R115" s="26"/>
      <c r="S115" s="14">
        <f t="shared" si="13"/>
        <v>2.770543898</v>
      </c>
      <c r="U115" s="21"/>
      <c r="V115" s="21"/>
    </row>
    <row r="116">
      <c r="A116" s="11">
        <v>104.0</v>
      </c>
      <c r="B116" s="11">
        <v>1.41984782608695E9</v>
      </c>
      <c r="C116" s="2">
        <v>-102.4549561</v>
      </c>
      <c r="D116" s="24">
        <f t="shared" si="1"/>
        <v>-552173.913</v>
      </c>
      <c r="E116" s="25">
        <f t="shared" si="2"/>
        <v>115.7053126</v>
      </c>
      <c r="F116" s="24">
        <f t="shared" si="3"/>
        <v>0.0002095450544</v>
      </c>
      <c r="G116" s="24">
        <f t="shared" si="4"/>
        <v>0</v>
      </c>
      <c r="H116" s="26">
        <f t="shared" si="5"/>
        <v>0</v>
      </c>
      <c r="I116" s="24">
        <f t="shared" si="6"/>
        <v>0</v>
      </c>
      <c r="J116" s="24">
        <f t="shared" si="7"/>
        <v>0</v>
      </c>
      <c r="K116" s="24"/>
      <c r="L116" s="24">
        <f t="shared" si="8"/>
        <v>432.126159</v>
      </c>
      <c r="M116" s="14">
        <f t="shared" si="9"/>
        <v>422.4199172</v>
      </c>
      <c r="N116" s="27">
        <f t="shared" si="10"/>
        <v>9.70624185</v>
      </c>
      <c r="O116" s="24"/>
      <c r="P116" s="28">
        <f t="shared" si="14"/>
        <v>-204.7800375</v>
      </c>
      <c r="Q116" s="27">
        <f t="shared" si="15"/>
        <v>402.4715325</v>
      </c>
      <c r="R116" s="26"/>
      <c r="S116" s="14">
        <f t="shared" si="13"/>
        <v>8.913204355</v>
      </c>
      <c r="U116" s="21"/>
      <c r="V116" s="21"/>
    </row>
    <row r="117">
      <c r="A117" s="11">
        <v>105.0</v>
      </c>
      <c r="B117" s="11">
        <v>1.41985217391304E9</v>
      </c>
      <c r="C117" s="2">
        <v>-102.5241318</v>
      </c>
      <c r="D117" s="24">
        <f t="shared" si="1"/>
        <v>-547826.087</v>
      </c>
      <c r="E117" s="25">
        <f t="shared" si="2"/>
        <v>114.7870165</v>
      </c>
      <c r="F117" s="24">
        <f t="shared" si="3"/>
        <v>0.0002095318555</v>
      </c>
      <c r="G117" s="24">
        <f t="shared" si="4"/>
        <v>0</v>
      </c>
      <c r="H117" s="26">
        <f t="shared" si="5"/>
        <v>0</v>
      </c>
      <c r="I117" s="24">
        <f t="shared" si="6"/>
        <v>0</v>
      </c>
      <c r="J117" s="24">
        <f t="shared" si="7"/>
        <v>0</v>
      </c>
      <c r="K117" s="24"/>
      <c r="L117" s="24">
        <f t="shared" si="8"/>
        <v>425.2976543</v>
      </c>
      <c r="M117" s="14">
        <f t="shared" si="9"/>
        <v>422.3299988</v>
      </c>
      <c r="N117" s="27">
        <f t="shared" si="10"/>
        <v>2.967655498</v>
      </c>
      <c r="O117" s="24"/>
      <c r="P117" s="28">
        <f t="shared" si="14"/>
        <v>-205.6983336</v>
      </c>
      <c r="Q117" s="27">
        <f t="shared" si="15"/>
        <v>397.124707</v>
      </c>
      <c r="R117" s="26"/>
      <c r="S117" s="14">
        <f t="shared" si="13"/>
        <v>2.725186561</v>
      </c>
      <c r="U117" s="21"/>
      <c r="V117" s="21"/>
    </row>
    <row r="118">
      <c r="A118" s="11">
        <v>106.0</v>
      </c>
      <c r="B118" s="11">
        <v>1.41985652173913E9</v>
      </c>
      <c r="C118" s="2">
        <v>-102.5326462</v>
      </c>
      <c r="D118" s="24">
        <f t="shared" si="1"/>
        <v>-543478.2609</v>
      </c>
      <c r="E118" s="25">
        <f t="shared" si="2"/>
        <v>113.8687204</v>
      </c>
      <c r="F118" s="24">
        <f t="shared" si="3"/>
        <v>0.0002095184455</v>
      </c>
      <c r="G118" s="24">
        <f t="shared" si="4"/>
        <v>0</v>
      </c>
      <c r="H118" s="26">
        <f t="shared" si="5"/>
        <v>0</v>
      </c>
      <c r="I118" s="24">
        <f t="shared" si="6"/>
        <v>0</v>
      </c>
      <c r="J118" s="24">
        <f t="shared" si="7"/>
        <v>0</v>
      </c>
      <c r="K118" s="24"/>
      <c r="L118" s="24">
        <f t="shared" si="8"/>
        <v>424.4646695</v>
      </c>
      <c r="M118" s="14">
        <f t="shared" si="9"/>
        <v>422.2402793</v>
      </c>
      <c r="N118" s="27">
        <f t="shared" si="10"/>
        <v>2.224390187</v>
      </c>
      <c r="O118" s="24"/>
      <c r="P118" s="28">
        <f t="shared" si="14"/>
        <v>-206.6166297</v>
      </c>
      <c r="Q118" s="27">
        <f t="shared" si="15"/>
        <v>394.2504134</v>
      </c>
      <c r="R118" s="26"/>
      <c r="S118" s="14">
        <f t="shared" si="13"/>
        <v>2.042648907</v>
      </c>
      <c r="U118" s="21"/>
      <c r="V118" s="21"/>
    </row>
    <row r="119">
      <c r="A119" s="11">
        <v>107.0</v>
      </c>
      <c r="B119" s="11">
        <v>1.41986086956521E9</v>
      </c>
      <c r="C119" s="2">
        <v>-102.5162048</v>
      </c>
      <c r="D119" s="24">
        <f t="shared" si="1"/>
        <v>-539130.4348</v>
      </c>
      <c r="E119" s="25">
        <f t="shared" si="2"/>
        <v>112.9504243</v>
      </c>
      <c r="F119" s="24">
        <f t="shared" si="3"/>
        <v>0.0002095048192</v>
      </c>
      <c r="G119" s="24">
        <f t="shared" si="4"/>
        <v>0</v>
      </c>
      <c r="H119" s="26">
        <f t="shared" si="5"/>
        <v>0</v>
      </c>
      <c r="I119" s="24">
        <f t="shared" si="6"/>
        <v>0</v>
      </c>
      <c r="J119" s="24">
        <f t="shared" si="7"/>
        <v>0</v>
      </c>
      <c r="K119" s="24"/>
      <c r="L119" s="24">
        <f t="shared" si="8"/>
        <v>426.0746416</v>
      </c>
      <c r="M119" s="14">
        <f t="shared" si="9"/>
        <v>422.1507575</v>
      </c>
      <c r="N119" s="27">
        <f t="shared" si="10"/>
        <v>3.923884118</v>
      </c>
      <c r="O119" s="24"/>
      <c r="P119" s="28">
        <f t="shared" si="14"/>
        <v>-207.5349259</v>
      </c>
      <c r="Q119" s="27">
        <f t="shared" si="15"/>
        <v>395.6706964</v>
      </c>
      <c r="R119" s="26"/>
      <c r="S119" s="14">
        <f t="shared" si="13"/>
        <v>3.603287611</v>
      </c>
      <c r="U119" s="21"/>
      <c r="V119" s="21"/>
    </row>
    <row r="120">
      <c r="A120" s="11">
        <v>108.0</v>
      </c>
      <c r="B120" s="11">
        <v>1.4198652173913E9</v>
      </c>
      <c r="C120" s="2">
        <v>-102.4119568</v>
      </c>
      <c r="D120" s="24">
        <f t="shared" si="1"/>
        <v>-534782.6087</v>
      </c>
      <c r="E120" s="25">
        <f t="shared" si="2"/>
        <v>112.0321281</v>
      </c>
      <c r="F120" s="24">
        <f t="shared" si="3"/>
        <v>0.0002094909713</v>
      </c>
      <c r="G120" s="24">
        <f t="shared" si="4"/>
        <v>0</v>
      </c>
      <c r="H120" s="26">
        <f t="shared" si="5"/>
        <v>0</v>
      </c>
      <c r="I120" s="24">
        <f t="shared" si="6"/>
        <v>0</v>
      </c>
      <c r="J120" s="24">
        <f t="shared" si="7"/>
        <v>0</v>
      </c>
      <c r="K120" s="24"/>
      <c r="L120" s="24">
        <f t="shared" si="8"/>
        <v>436.425871</v>
      </c>
      <c r="M120" s="14">
        <f t="shared" si="9"/>
        <v>422.0614322</v>
      </c>
      <c r="N120" s="27">
        <f t="shared" si="10"/>
        <v>14.36443883</v>
      </c>
      <c r="O120" s="24"/>
      <c r="P120" s="28">
        <f t="shared" si="14"/>
        <v>-208.453222</v>
      </c>
      <c r="Q120" s="27">
        <f t="shared" si="15"/>
        <v>389.6119128</v>
      </c>
      <c r="R120" s="26"/>
      <c r="S120" s="14">
        <f t="shared" si="13"/>
        <v>13.1908086</v>
      </c>
      <c r="U120" s="21"/>
      <c r="V120" s="21"/>
    </row>
    <row r="121">
      <c r="A121" s="11">
        <v>109.0</v>
      </c>
      <c r="B121" s="11">
        <v>1.41986956521739E9</v>
      </c>
      <c r="C121" s="2">
        <v>-102.5237808</v>
      </c>
      <c r="D121" s="24">
        <f t="shared" si="1"/>
        <v>-530434.7826</v>
      </c>
      <c r="E121" s="25">
        <f t="shared" si="2"/>
        <v>111.113832</v>
      </c>
      <c r="F121" s="24">
        <f t="shared" si="3"/>
        <v>0.0002094768964</v>
      </c>
      <c r="G121" s="24">
        <f t="shared" si="4"/>
        <v>0</v>
      </c>
      <c r="H121" s="26">
        <f t="shared" si="5"/>
        <v>0</v>
      </c>
      <c r="I121" s="24">
        <f t="shared" si="6"/>
        <v>0</v>
      </c>
      <c r="J121" s="24">
        <f t="shared" si="7"/>
        <v>0</v>
      </c>
      <c r="K121" s="24"/>
      <c r="L121" s="24">
        <f t="shared" si="8"/>
        <v>425.3320285</v>
      </c>
      <c r="M121" s="14">
        <f t="shared" si="9"/>
        <v>421.9723022</v>
      </c>
      <c r="N121" s="27">
        <f t="shared" si="10"/>
        <v>3.359726309</v>
      </c>
      <c r="O121" s="24"/>
      <c r="P121" s="28">
        <f t="shared" si="14"/>
        <v>-209.3715181</v>
      </c>
      <c r="Q121" s="27">
        <f t="shared" si="15"/>
        <v>388.1758632</v>
      </c>
      <c r="R121" s="26"/>
      <c r="S121" s="14">
        <f t="shared" si="13"/>
        <v>3.085223677</v>
      </c>
      <c r="U121" s="21"/>
      <c r="V121" s="21"/>
    </row>
    <row r="122">
      <c r="A122" s="11">
        <v>110.0</v>
      </c>
      <c r="B122" s="11">
        <v>1.41987391304347E9</v>
      </c>
      <c r="C122" s="2">
        <v>-102.4865417</v>
      </c>
      <c r="D122" s="24">
        <f t="shared" si="1"/>
        <v>-526086.9565</v>
      </c>
      <c r="E122" s="25">
        <f t="shared" si="2"/>
        <v>110.1955359</v>
      </c>
      <c r="F122" s="24">
        <f t="shared" si="3"/>
        <v>0.0002094625888</v>
      </c>
      <c r="G122" s="24">
        <f t="shared" si="4"/>
        <v>0</v>
      </c>
      <c r="H122" s="26">
        <f t="shared" si="5"/>
        <v>0</v>
      </c>
      <c r="I122" s="24">
        <f t="shared" si="6"/>
        <v>0</v>
      </c>
      <c r="J122" s="24">
        <f t="shared" si="7"/>
        <v>0</v>
      </c>
      <c r="K122" s="24"/>
      <c r="L122" s="24">
        <f t="shared" si="8"/>
        <v>428.9947698</v>
      </c>
      <c r="M122" s="14">
        <f t="shared" si="9"/>
        <v>421.8833664</v>
      </c>
      <c r="N122" s="27">
        <f t="shared" si="10"/>
        <v>7.111403423</v>
      </c>
      <c r="O122" s="24"/>
      <c r="P122" s="28">
        <f t="shared" si="14"/>
        <v>-210.2898143</v>
      </c>
      <c r="Q122" s="27">
        <f t="shared" si="15"/>
        <v>391.5791663</v>
      </c>
      <c r="R122" s="26"/>
      <c r="S122" s="14">
        <f t="shared" si="13"/>
        <v>6.530374262</v>
      </c>
      <c r="U122" s="21"/>
      <c r="V122" s="21"/>
    </row>
    <row r="123">
      <c r="A123" s="11">
        <v>111.0</v>
      </c>
      <c r="B123" s="11">
        <v>1.41987826086956E9</v>
      </c>
      <c r="C123" s="2">
        <v>-102.5750656</v>
      </c>
      <c r="D123" s="24">
        <f t="shared" si="1"/>
        <v>-521739.1304</v>
      </c>
      <c r="E123" s="25">
        <f t="shared" si="2"/>
        <v>109.2772397</v>
      </c>
      <c r="F123" s="24">
        <f t="shared" si="3"/>
        <v>0.0002094480428</v>
      </c>
      <c r="G123" s="24">
        <f t="shared" si="4"/>
        <v>0</v>
      </c>
      <c r="H123" s="26">
        <f t="shared" si="5"/>
        <v>0</v>
      </c>
      <c r="I123" s="24">
        <f t="shared" si="6"/>
        <v>0</v>
      </c>
      <c r="J123" s="24">
        <f t="shared" si="7"/>
        <v>0</v>
      </c>
      <c r="K123" s="24"/>
      <c r="L123" s="24">
        <f t="shared" si="8"/>
        <v>420.3389232</v>
      </c>
      <c r="M123" s="14">
        <f t="shared" si="9"/>
        <v>421.7946234</v>
      </c>
      <c r="N123" s="27">
        <f t="shared" si="10"/>
        <v>-1.455700155</v>
      </c>
      <c r="O123" s="24"/>
      <c r="P123" s="28">
        <f t="shared" si="14"/>
        <v>-211.2081104</v>
      </c>
      <c r="Q123" s="27">
        <f t="shared" si="15"/>
        <v>394.9671965</v>
      </c>
      <c r="R123" s="26"/>
      <c r="S123" s="14">
        <f t="shared" si="13"/>
        <v>-1.33676382</v>
      </c>
      <c r="U123" s="21"/>
      <c r="V123" s="21"/>
    </row>
    <row r="124">
      <c r="A124" s="11">
        <v>112.0</v>
      </c>
      <c r="B124" s="11">
        <v>1.41988260869565E9</v>
      </c>
      <c r="C124" s="2">
        <v>-102.486145</v>
      </c>
      <c r="D124" s="24">
        <f t="shared" si="1"/>
        <v>-517391.3043</v>
      </c>
      <c r="E124" s="25">
        <f t="shared" si="2"/>
        <v>108.3589436</v>
      </c>
      <c r="F124" s="24">
        <f t="shared" si="3"/>
        <v>0.0002094332523</v>
      </c>
      <c r="G124" s="24">
        <f t="shared" si="4"/>
        <v>0</v>
      </c>
      <c r="H124" s="26">
        <f t="shared" si="5"/>
        <v>0</v>
      </c>
      <c r="I124" s="24">
        <f t="shared" si="6"/>
        <v>0</v>
      </c>
      <c r="J124" s="24">
        <f t="shared" si="7"/>
        <v>0</v>
      </c>
      <c r="K124" s="24"/>
      <c r="L124" s="24">
        <f t="shared" si="8"/>
        <v>429.0339575</v>
      </c>
      <c r="M124" s="14">
        <f t="shared" si="9"/>
        <v>421.7060721</v>
      </c>
      <c r="N124" s="27">
        <f t="shared" si="10"/>
        <v>7.327885332</v>
      </c>
      <c r="O124" s="24"/>
      <c r="P124" s="28"/>
      <c r="Q124" s="27"/>
      <c r="R124" s="26"/>
      <c r="S124" s="14">
        <f t="shared" si="13"/>
        <v>6.729168762</v>
      </c>
      <c r="U124" s="21"/>
      <c r="V124" s="21"/>
    </row>
    <row r="125">
      <c r="A125" s="11">
        <v>113.0</v>
      </c>
      <c r="B125" s="11">
        <v>1.41988695652173E9</v>
      </c>
      <c r="C125" s="2">
        <v>-102.5315018</v>
      </c>
      <c r="D125" s="24">
        <f t="shared" si="1"/>
        <v>-513043.4783</v>
      </c>
      <c r="E125" s="25">
        <f t="shared" si="2"/>
        <v>107.4406475</v>
      </c>
      <c r="F125" s="24">
        <f t="shared" si="3"/>
        <v>0.0002094182111</v>
      </c>
      <c r="G125" s="24">
        <f t="shared" si="4"/>
        <v>0</v>
      </c>
      <c r="H125" s="26">
        <f t="shared" si="5"/>
        <v>0</v>
      </c>
      <c r="I125" s="24">
        <f t="shared" si="6"/>
        <v>0</v>
      </c>
      <c r="J125" s="24">
        <f t="shared" si="7"/>
        <v>0</v>
      </c>
      <c r="K125" s="24"/>
      <c r="L125" s="24">
        <f t="shared" si="8"/>
        <v>424.576534</v>
      </c>
      <c r="M125" s="14">
        <f t="shared" si="9"/>
        <v>421.6177114</v>
      </c>
      <c r="N125" s="27">
        <f t="shared" si="10"/>
        <v>2.958822579</v>
      </c>
      <c r="O125" s="24"/>
      <c r="P125" s="24"/>
      <c r="Q125" s="24"/>
      <c r="R125" s="26"/>
      <c r="S125" s="14">
        <f t="shared" si="13"/>
        <v>2.717075332</v>
      </c>
      <c r="U125" s="21"/>
      <c r="V125" s="21"/>
    </row>
    <row r="126">
      <c r="A126" s="11">
        <v>114.0</v>
      </c>
      <c r="B126" s="11">
        <v>1.41989130434782E9</v>
      </c>
      <c r="C126" s="2">
        <v>-102.573494</v>
      </c>
      <c r="D126" s="24">
        <f t="shared" si="1"/>
        <v>-508695.6522</v>
      </c>
      <c r="E126" s="25">
        <f t="shared" si="2"/>
        <v>106.5223513</v>
      </c>
      <c r="F126" s="24">
        <f t="shared" si="3"/>
        <v>0.0002094029129</v>
      </c>
      <c r="G126" s="24">
        <f t="shared" si="4"/>
        <v>0</v>
      </c>
      <c r="H126" s="26">
        <f t="shared" si="5"/>
        <v>0</v>
      </c>
      <c r="I126" s="24">
        <f t="shared" si="6"/>
        <v>0</v>
      </c>
      <c r="J126" s="24">
        <f t="shared" si="7"/>
        <v>0</v>
      </c>
      <c r="K126" s="24"/>
      <c r="L126" s="24">
        <f t="shared" si="8"/>
        <v>420.4910606</v>
      </c>
      <c r="M126" s="14">
        <f t="shared" si="9"/>
        <v>421.52954</v>
      </c>
      <c r="N126" s="27">
        <f t="shared" si="10"/>
        <v>-1.038479406</v>
      </c>
      <c r="O126" s="24"/>
      <c r="P126" s="24"/>
      <c r="Q126" s="24"/>
      <c r="R126" s="26"/>
      <c r="S126" s="14">
        <f t="shared" si="13"/>
        <v>-0.9536316228</v>
      </c>
      <c r="U126" s="21"/>
      <c r="V126" s="21"/>
    </row>
    <row r="127">
      <c r="A127" s="11">
        <v>115.0</v>
      </c>
      <c r="B127" s="11">
        <v>1.41989565217391E9</v>
      </c>
      <c r="C127" s="2">
        <v>-102.5710678</v>
      </c>
      <c r="D127" s="24">
        <f t="shared" si="1"/>
        <v>-504347.8261</v>
      </c>
      <c r="E127" s="25">
        <f t="shared" si="2"/>
        <v>105.6040552</v>
      </c>
      <c r="F127" s="24">
        <f t="shared" si="3"/>
        <v>0.0002093873508</v>
      </c>
      <c r="G127" s="24">
        <f t="shared" si="4"/>
        <v>0</v>
      </c>
      <c r="H127" s="26">
        <f t="shared" si="5"/>
        <v>0</v>
      </c>
      <c r="I127" s="24">
        <f t="shared" si="6"/>
        <v>0</v>
      </c>
      <c r="J127" s="24">
        <f t="shared" si="7"/>
        <v>0</v>
      </c>
      <c r="K127" s="24"/>
      <c r="L127" s="24">
        <f t="shared" si="8"/>
        <v>420.7260349</v>
      </c>
      <c r="M127" s="14">
        <f t="shared" si="9"/>
        <v>421.4415567</v>
      </c>
      <c r="N127" s="27">
        <f t="shared" si="10"/>
        <v>-0.7155218279</v>
      </c>
      <c r="O127" s="24"/>
      <c r="P127" s="24"/>
      <c r="Q127" s="24"/>
      <c r="R127" s="26"/>
      <c r="S127" s="14">
        <f t="shared" si="13"/>
        <v>-0.657060926</v>
      </c>
      <c r="U127" s="21"/>
      <c r="V127" s="21"/>
    </row>
    <row r="128">
      <c r="A128" s="11">
        <v>116.0</v>
      </c>
      <c r="B128" s="11">
        <v>1.4199E9</v>
      </c>
      <c r="C128" s="2">
        <v>-102.4900284</v>
      </c>
      <c r="D128" s="24">
        <f t="shared" si="1"/>
        <v>-500000</v>
      </c>
      <c r="E128" s="25">
        <f t="shared" si="2"/>
        <v>104.6857591</v>
      </c>
      <c r="F128" s="24">
        <f t="shared" si="3"/>
        <v>0.0002093715181</v>
      </c>
      <c r="G128" s="24">
        <f t="shared" si="4"/>
        <v>0</v>
      </c>
      <c r="H128" s="26">
        <f t="shared" si="5"/>
        <v>0</v>
      </c>
      <c r="I128" s="24">
        <f t="shared" si="6"/>
        <v>0</v>
      </c>
      <c r="J128" s="24">
        <f t="shared" si="7"/>
        <v>0</v>
      </c>
      <c r="K128" s="24"/>
      <c r="L128" s="24">
        <f t="shared" si="8"/>
        <v>428.6504928</v>
      </c>
      <c r="M128" s="14">
        <f t="shared" si="9"/>
        <v>421.3537604</v>
      </c>
      <c r="N128" s="27">
        <f t="shared" si="10"/>
        <v>7.296732439</v>
      </c>
      <c r="O128" s="24"/>
      <c r="P128" s="24"/>
      <c r="Q128" s="24"/>
      <c r="R128" s="26"/>
      <c r="S128" s="14">
        <f t="shared" si="13"/>
        <v>6.70056118</v>
      </c>
      <c r="U128" s="21"/>
      <c r="V128" s="21"/>
    </row>
    <row r="129">
      <c r="A129" s="11">
        <v>117.0</v>
      </c>
      <c r="B129" s="11">
        <v>1.41990434782608E9</v>
      </c>
      <c r="C129" s="2">
        <v>-102.4917908</v>
      </c>
      <c r="D129" s="24">
        <f t="shared" si="1"/>
        <v>-495652.1739</v>
      </c>
      <c r="E129" s="25">
        <f t="shared" si="2"/>
        <v>103.7674629</v>
      </c>
      <c r="F129" s="24">
        <f t="shared" si="3"/>
        <v>0.0002093554077</v>
      </c>
      <c r="G129" s="24">
        <f t="shared" si="4"/>
        <v>0</v>
      </c>
      <c r="H129" s="26">
        <f t="shared" si="5"/>
        <v>0</v>
      </c>
      <c r="I129" s="24">
        <f t="shared" si="6"/>
        <v>0</v>
      </c>
      <c r="J129" s="24">
        <f t="shared" si="7"/>
        <v>0</v>
      </c>
      <c r="K129" s="24"/>
      <c r="L129" s="24">
        <f t="shared" si="8"/>
        <v>428.4765785</v>
      </c>
      <c r="M129" s="14">
        <f t="shared" si="9"/>
        <v>421.2661498</v>
      </c>
      <c r="N129" s="27">
        <f t="shared" si="10"/>
        <v>7.210428709</v>
      </c>
      <c r="O129" s="24"/>
      <c r="P129" s="24"/>
      <c r="Q129" s="24"/>
      <c r="R129" s="26"/>
      <c r="S129" s="14">
        <f t="shared" si="13"/>
        <v>6.621308799</v>
      </c>
      <c r="U129" s="21"/>
      <c r="V129" s="21"/>
    </row>
    <row r="130">
      <c r="A130" s="11">
        <v>118.0</v>
      </c>
      <c r="B130" s="11">
        <v>1.41990869565217E9</v>
      </c>
      <c r="C130" s="2">
        <v>-102.5249481</v>
      </c>
      <c r="D130" s="24">
        <f t="shared" si="1"/>
        <v>-491304.3478</v>
      </c>
      <c r="E130" s="25">
        <f t="shared" si="2"/>
        <v>102.8491668</v>
      </c>
      <c r="F130" s="24">
        <f t="shared" si="3"/>
        <v>0.0002093390121</v>
      </c>
      <c r="G130" s="24">
        <f t="shared" si="4"/>
        <v>0</v>
      </c>
      <c r="H130" s="26">
        <f t="shared" si="5"/>
        <v>0</v>
      </c>
      <c r="I130" s="24">
        <f t="shared" si="6"/>
        <v>0</v>
      </c>
      <c r="J130" s="24">
        <f t="shared" si="7"/>
        <v>0</v>
      </c>
      <c r="K130" s="24"/>
      <c r="L130" s="24">
        <f t="shared" si="8"/>
        <v>425.2177228</v>
      </c>
      <c r="M130" s="14">
        <f t="shared" si="9"/>
        <v>421.1787237</v>
      </c>
      <c r="N130" s="27">
        <f t="shared" si="10"/>
        <v>4.038999119</v>
      </c>
      <c r="O130" s="24"/>
      <c r="P130" s="24"/>
      <c r="Q130" s="24"/>
      <c r="R130" s="26"/>
      <c r="S130" s="14">
        <f t="shared" si="13"/>
        <v>3.708997263</v>
      </c>
      <c r="U130" s="21"/>
      <c r="V130" s="21"/>
    </row>
    <row r="131">
      <c r="A131" s="11">
        <v>119.0</v>
      </c>
      <c r="B131" s="11">
        <v>1.41991304347826E9</v>
      </c>
      <c r="C131" s="2">
        <v>-102.5193329</v>
      </c>
      <c r="D131" s="24">
        <f t="shared" si="1"/>
        <v>-486956.5217</v>
      </c>
      <c r="E131" s="25">
        <f t="shared" si="2"/>
        <v>101.9308707</v>
      </c>
      <c r="F131" s="24">
        <f t="shared" si="3"/>
        <v>0.0002093223237</v>
      </c>
      <c r="G131" s="24">
        <f t="shared" si="4"/>
        <v>0</v>
      </c>
      <c r="H131" s="26">
        <f t="shared" si="5"/>
        <v>0</v>
      </c>
      <c r="I131" s="24">
        <f t="shared" si="6"/>
        <v>0</v>
      </c>
      <c r="J131" s="24">
        <f t="shared" si="7"/>
        <v>0</v>
      </c>
      <c r="K131" s="24"/>
      <c r="L131" s="24">
        <f t="shared" si="8"/>
        <v>425.7678626</v>
      </c>
      <c r="M131" s="14">
        <f t="shared" si="9"/>
        <v>421.091481</v>
      </c>
      <c r="N131" s="27">
        <f t="shared" si="10"/>
        <v>4.67638164</v>
      </c>
      <c r="O131" s="24"/>
      <c r="P131" s="24"/>
      <c r="Q131" s="24"/>
      <c r="R131" s="26"/>
      <c r="S131" s="14">
        <f t="shared" si="13"/>
        <v>4.294303176</v>
      </c>
      <c r="U131" s="21"/>
      <c r="V131" s="21"/>
    </row>
    <row r="132">
      <c r="A132" s="11">
        <v>120.0</v>
      </c>
      <c r="B132" s="11">
        <v>1.41991739130434E9</v>
      </c>
      <c r="C132" s="2">
        <v>-102.5308533</v>
      </c>
      <c r="D132" s="24">
        <f t="shared" si="1"/>
        <v>-482608.6957</v>
      </c>
      <c r="E132" s="25">
        <f t="shared" si="2"/>
        <v>101.0125745</v>
      </c>
      <c r="F132" s="24">
        <f t="shared" si="3"/>
        <v>0.0002093053346</v>
      </c>
      <c r="G132" s="24">
        <f t="shared" si="4"/>
        <v>0</v>
      </c>
      <c r="H132" s="26">
        <f t="shared" si="5"/>
        <v>0</v>
      </c>
      <c r="I132" s="24">
        <f t="shared" si="6"/>
        <v>0</v>
      </c>
      <c r="J132" s="24">
        <f t="shared" si="7"/>
        <v>0</v>
      </c>
      <c r="K132" s="24"/>
      <c r="L132" s="24">
        <f t="shared" si="8"/>
        <v>424.6399376</v>
      </c>
      <c r="M132" s="14">
        <f t="shared" si="9"/>
        <v>421.0044204</v>
      </c>
      <c r="N132" s="27">
        <f t="shared" si="10"/>
        <v>3.635517188</v>
      </c>
      <c r="O132" s="24"/>
      <c r="P132" s="24"/>
      <c r="Q132" s="24"/>
      <c r="R132" s="26"/>
      <c r="S132" s="14">
        <f t="shared" si="13"/>
        <v>3.338481374</v>
      </c>
      <c r="U132" s="21"/>
      <c r="V132" s="21"/>
    </row>
    <row r="133">
      <c r="A133" s="11">
        <v>121.0</v>
      </c>
      <c r="B133" s="11">
        <v>1.41992173913043E9</v>
      </c>
      <c r="C133" s="2">
        <v>-102.5622711</v>
      </c>
      <c r="D133" s="24">
        <f t="shared" si="1"/>
        <v>-478260.8696</v>
      </c>
      <c r="E133" s="25">
        <f t="shared" si="2"/>
        <v>100.0942784</v>
      </c>
      <c r="F133" s="24">
        <f t="shared" si="3"/>
        <v>0.0002092880367</v>
      </c>
      <c r="G133" s="24">
        <f t="shared" si="4"/>
        <v>0</v>
      </c>
      <c r="H133" s="26">
        <f t="shared" si="5"/>
        <v>0</v>
      </c>
      <c r="I133" s="24">
        <f t="shared" si="6"/>
        <v>0</v>
      </c>
      <c r="J133" s="24">
        <f t="shared" si="7"/>
        <v>0</v>
      </c>
      <c r="K133" s="24"/>
      <c r="L133" s="24">
        <f t="shared" si="8"/>
        <v>421.5790855</v>
      </c>
      <c r="M133" s="14">
        <f t="shared" si="9"/>
        <v>420.9175408</v>
      </c>
      <c r="N133" s="27">
        <f t="shared" si="10"/>
        <v>0.6615446443</v>
      </c>
      <c r="O133" s="24"/>
      <c r="P133" s="24"/>
      <c r="Q133" s="24"/>
      <c r="R133" s="26"/>
      <c r="S133" s="14">
        <f t="shared" si="13"/>
        <v>0.6074938871</v>
      </c>
      <c r="U133" s="21"/>
      <c r="V133" s="21"/>
    </row>
    <row r="134">
      <c r="A134" s="11">
        <v>122.0</v>
      </c>
      <c r="B134" s="11">
        <v>1.41992608695652E9</v>
      </c>
      <c r="C134" s="2">
        <v>-102.4928894</v>
      </c>
      <c r="D134" s="24">
        <f t="shared" si="1"/>
        <v>-473913.0435</v>
      </c>
      <c r="E134" s="25">
        <f t="shared" si="2"/>
        <v>99.17598227</v>
      </c>
      <c r="F134" s="24">
        <f t="shared" si="3"/>
        <v>0.0002092704213</v>
      </c>
      <c r="G134" s="24">
        <f t="shared" si="4"/>
        <v>0</v>
      </c>
      <c r="H134" s="26">
        <f t="shared" si="5"/>
        <v>0</v>
      </c>
      <c r="I134" s="24">
        <f t="shared" si="6"/>
        <v>0</v>
      </c>
      <c r="J134" s="24">
        <f t="shared" si="7"/>
        <v>0</v>
      </c>
      <c r="K134" s="24"/>
      <c r="L134" s="24">
        <f t="shared" si="8"/>
        <v>428.3682039</v>
      </c>
      <c r="M134" s="14">
        <f t="shared" si="9"/>
        <v>420.8308409</v>
      </c>
      <c r="N134" s="27">
        <f t="shared" si="10"/>
        <v>7.537362962</v>
      </c>
      <c r="O134" s="24"/>
      <c r="P134" s="24"/>
      <c r="Q134" s="24"/>
      <c r="R134" s="26"/>
      <c r="S134" s="14">
        <f t="shared" si="13"/>
        <v>6.921531259</v>
      </c>
      <c r="U134" s="21"/>
      <c r="V134" s="21"/>
    </row>
    <row r="135">
      <c r="A135" s="11">
        <v>123.0</v>
      </c>
      <c r="B135" s="11">
        <v>1.4199304347826E9</v>
      </c>
      <c r="C135" s="2">
        <v>-102.5208588</v>
      </c>
      <c r="D135" s="24">
        <f t="shared" si="1"/>
        <v>-469565.2174</v>
      </c>
      <c r="E135" s="25">
        <f t="shared" si="2"/>
        <v>98.25768614</v>
      </c>
      <c r="F135" s="24">
        <f t="shared" si="3"/>
        <v>0.0002092524797</v>
      </c>
      <c r="G135" s="24">
        <f t="shared" si="4"/>
        <v>0</v>
      </c>
      <c r="H135" s="26">
        <f t="shared" si="5"/>
        <v>0</v>
      </c>
      <c r="I135" s="24">
        <f t="shared" si="6"/>
        <v>0</v>
      </c>
      <c r="J135" s="24">
        <f t="shared" si="7"/>
        <v>0</v>
      </c>
      <c r="K135" s="24"/>
      <c r="L135" s="24">
        <f t="shared" si="8"/>
        <v>425.6182948</v>
      </c>
      <c r="M135" s="14">
        <f t="shared" si="9"/>
        <v>420.7443196</v>
      </c>
      <c r="N135" s="27">
        <f t="shared" si="10"/>
        <v>4.873975109</v>
      </c>
      <c r="O135" s="24"/>
      <c r="P135" s="24"/>
      <c r="Q135" s="24"/>
      <c r="R135" s="26"/>
      <c r="S135" s="14">
        <f t="shared" si="13"/>
        <v>4.475752493</v>
      </c>
      <c r="U135" s="21"/>
      <c r="V135" s="21"/>
    </row>
    <row r="136">
      <c r="A136" s="11">
        <v>124.0</v>
      </c>
      <c r="B136" s="11">
        <v>1.41993478260869E9</v>
      </c>
      <c r="C136" s="2">
        <v>-102.5191116</v>
      </c>
      <c r="D136" s="24">
        <f t="shared" si="1"/>
        <v>-465217.3913</v>
      </c>
      <c r="E136" s="25">
        <f t="shared" si="2"/>
        <v>97.33939001</v>
      </c>
      <c r="F136" s="24">
        <f t="shared" si="3"/>
        <v>0.0002092342028</v>
      </c>
      <c r="G136" s="24">
        <f t="shared" si="4"/>
        <v>0</v>
      </c>
      <c r="H136" s="26">
        <f t="shared" si="5"/>
        <v>0</v>
      </c>
      <c r="I136" s="24">
        <f t="shared" si="6"/>
        <v>0</v>
      </c>
      <c r="J136" s="24">
        <f t="shared" si="7"/>
        <v>0</v>
      </c>
      <c r="K136" s="24"/>
      <c r="L136" s="24">
        <f t="shared" si="8"/>
        <v>425.7895587</v>
      </c>
      <c r="M136" s="14">
        <f t="shared" si="9"/>
        <v>420.6579757</v>
      </c>
      <c r="N136" s="27">
        <f t="shared" si="10"/>
        <v>5.131582995</v>
      </c>
      <c r="O136" s="24"/>
      <c r="P136" s="24"/>
      <c r="Q136" s="24"/>
      <c r="R136" s="26"/>
      <c r="S136" s="14">
        <f t="shared" si="13"/>
        <v>4.71231282</v>
      </c>
      <c r="U136" s="21"/>
      <c r="V136" s="21"/>
    </row>
    <row r="137">
      <c r="A137" s="11">
        <v>125.0</v>
      </c>
      <c r="B137" s="11">
        <v>1.41993913043478E9</v>
      </c>
      <c r="C137" s="2">
        <v>-102.5328751</v>
      </c>
      <c r="D137" s="24">
        <f t="shared" si="1"/>
        <v>-460869.5652</v>
      </c>
      <c r="E137" s="25">
        <f t="shared" si="2"/>
        <v>96.42109387</v>
      </c>
      <c r="F137" s="24">
        <f t="shared" si="3"/>
        <v>0.000209215581</v>
      </c>
      <c r="G137" s="24">
        <f t="shared" si="4"/>
        <v>0</v>
      </c>
      <c r="H137" s="26">
        <f t="shared" si="5"/>
        <v>0</v>
      </c>
      <c r="I137" s="24">
        <f t="shared" si="6"/>
        <v>0</v>
      </c>
      <c r="J137" s="24">
        <f t="shared" si="7"/>
        <v>0</v>
      </c>
      <c r="K137" s="24"/>
      <c r="L137" s="24">
        <f t="shared" si="8"/>
        <v>424.4422982</v>
      </c>
      <c r="M137" s="14">
        <f t="shared" si="9"/>
        <v>420.5718079</v>
      </c>
      <c r="N137" s="27">
        <f t="shared" si="10"/>
        <v>3.870490221</v>
      </c>
      <c r="O137" s="24"/>
      <c r="P137" s="24"/>
      <c r="Q137" s="24"/>
      <c r="R137" s="26"/>
      <c r="S137" s="14">
        <f t="shared" si="13"/>
        <v>3.554256194</v>
      </c>
      <c r="U137" s="21"/>
      <c r="V137" s="21"/>
    </row>
    <row r="138">
      <c r="A138" s="11">
        <v>126.0</v>
      </c>
      <c r="B138" s="11">
        <v>1.41994347826087E9</v>
      </c>
      <c r="C138" s="2">
        <v>-102.4807587</v>
      </c>
      <c r="D138" s="24">
        <f t="shared" si="1"/>
        <v>-456521.7391</v>
      </c>
      <c r="E138" s="25">
        <f t="shared" si="2"/>
        <v>95.50279774</v>
      </c>
      <c r="F138" s="24">
        <f t="shared" si="3"/>
        <v>0.0002091966046</v>
      </c>
      <c r="G138" s="24">
        <f t="shared" si="4"/>
        <v>0</v>
      </c>
      <c r="H138" s="26">
        <f t="shared" si="5"/>
        <v>0</v>
      </c>
      <c r="I138" s="24">
        <f t="shared" si="6"/>
        <v>0</v>
      </c>
      <c r="J138" s="24">
        <f t="shared" si="7"/>
        <v>0</v>
      </c>
      <c r="K138" s="24"/>
      <c r="L138" s="24">
        <f t="shared" si="8"/>
        <v>429.5663933</v>
      </c>
      <c r="M138" s="14">
        <f t="shared" si="9"/>
        <v>420.4858152</v>
      </c>
      <c r="N138" s="27">
        <f t="shared" si="10"/>
        <v>9.080578105</v>
      </c>
      <c r="O138" s="24"/>
      <c r="P138" s="24"/>
      <c r="Q138" s="24"/>
      <c r="R138" s="26"/>
      <c r="S138" s="14">
        <f t="shared" si="13"/>
        <v>8.338659757</v>
      </c>
      <c r="U138" s="21"/>
      <c r="V138" s="21"/>
    </row>
    <row r="139">
      <c r="A139" s="11">
        <v>127.0</v>
      </c>
      <c r="B139" s="11">
        <v>1.41994782608695E9</v>
      </c>
      <c r="C139" s="2">
        <v>-102.5604477</v>
      </c>
      <c r="D139" s="24">
        <f t="shared" si="1"/>
        <v>-452173.913</v>
      </c>
      <c r="E139" s="25">
        <f t="shared" si="2"/>
        <v>94.58450161</v>
      </c>
      <c r="F139" s="24">
        <f t="shared" si="3"/>
        <v>0.0002091772632</v>
      </c>
      <c r="G139" s="24">
        <f t="shared" si="4"/>
        <v>0</v>
      </c>
      <c r="H139" s="26">
        <f t="shared" si="5"/>
        <v>0</v>
      </c>
      <c r="I139" s="24">
        <f t="shared" si="6"/>
        <v>0</v>
      </c>
      <c r="J139" s="24">
        <f t="shared" si="7"/>
        <v>0</v>
      </c>
      <c r="K139" s="24"/>
      <c r="L139" s="24">
        <f t="shared" si="8"/>
        <v>421.756124</v>
      </c>
      <c r="M139" s="14">
        <f t="shared" si="9"/>
        <v>420.3999961</v>
      </c>
      <c r="N139" s="27">
        <f t="shared" si="10"/>
        <v>1.356127875</v>
      </c>
      <c r="O139" s="24"/>
      <c r="P139" s="24"/>
      <c r="Q139" s="24"/>
      <c r="R139" s="26"/>
      <c r="S139" s="14">
        <f t="shared" si="13"/>
        <v>1.245326983</v>
      </c>
      <c r="U139" s="21"/>
      <c r="V139" s="21"/>
    </row>
    <row r="140">
      <c r="A140" s="11">
        <v>128.0</v>
      </c>
      <c r="B140" s="11">
        <v>1.41995217391304E9</v>
      </c>
      <c r="C140" s="2">
        <v>-102.6083145</v>
      </c>
      <c r="D140" s="24">
        <f t="shared" si="1"/>
        <v>-447826.087</v>
      </c>
      <c r="E140" s="25">
        <f t="shared" si="2"/>
        <v>93.66620548</v>
      </c>
      <c r="F140" s="24">
        <f t="shared" si="3"/>
        <v>0.0002091575462</v>
      </c>
      <c r="G140" s="24">
        <f t="shared" si="4"/>
        <v>0</v>
      </c>
      <c r="H140" s="26">
        <f t="shared" si="5"/>
        <v>0</v>
      </c>
      <c r="I140" s="24">
        <f t="shared" si="6"/>
        <v>0</v>
      </c>
      <c r="J140" s="24">
        <f t="shared" si="7"/>
        <v>0</v>
      </c>
      <c r="K140" s="24"/>
      <c r="L140" s="24">
        <f t="shared" si="8"/>
        <v>417.1331618</v>
      </c>
      <c r="M140" s="14">
        <f t="shared" si="9"/>
        <v>420.3143497</v>
      </c>
      <c r="N140" s="27">
        <f t="shared" si="10"/>
        <v>-3.181187857</v>
      </c>
      <c r="O140" s="24"/>
      <c r="P140" s="24"/>
      <c r="Q140" s="24"/>
      <c r="R140" s="26"/>
      <c r="S140" s="14">
        <f t="shared" si="13"/>
        <v>-2.9212725</v>
      </c>
      <c r="U140" s="21"/>
      <c r="V140" s="21"/>
    </row>
    <row r="141">
      <c r="A141" s="11">
        <v>129.0</v>
      </c>
      <c r="B141" s="11">
        <v>1.41995652173913E9</v>
      </c>
      <c r="C141" s="2">
        <v>-102.530365</v>
      </c>
      <c r="D141" s="24">
        <f t="shared" si="1"/>
        <v>-443478.2609</v>
      </c>
      <c r="E141" s="25">
        <f t="shared" si="2"/>
        <v>92.74790935</v>
      </c>
      <c r="F141" s="24">
        <f t="shared" si="3"/>
        <v>0.0002091374426</v>
      </c>
      <c r="G141" s="24">
        <f t="shared" si="4"/>
        <v>0</v>
      </c>
      <c r="H141" s="26">
        <f t="shared" si="5"/>
        <v>0</v>
      </c>
      <c r="I141" s="24">
        <f t="shared" si="6"/>
        <v>0</v>
      </c>
      <c r="J141" s="24">
        <f t="shared" si="7"/>
        <v>0</v>
      </c>
      <c r="K141" s="24"/>
      <c r="L141" s="24">
        <f t="shared" si="8"/>
        <v>424.6876848</v>
      </c>
      <c r="M141" s="14">
        <f t="shared" si="9"/>
        <v>420.2288747</v>
      </c>
      <c r="N141" s="27">
        <f t="shared" si="10"/>
        <v>4.458810132</v>
      </c>
      <c r="O141" s="24"/>
      <c r="P141" s="24"/>
      <c r="Q141" s="24"/>
      <c r="R141" s="26"/>
      <c r="S141" s="14">
        <f t="shared" si="13"/>
        <v>4.094508101</v>
      </c>
      <c r="U141" s="21"/>
      <c r="V141" s="21"/>
    </row>
    <row r="142">
      <c r="A142" s="11">
        <v>130.0</v>
      </c>
      <c r="B142" s="11">
        <v>1.41996086956521E9</v>
      </c>
      <c r="C142" s="2">
        <v>-102.5496902</v>
      </c>
      <c r="D142" s="24">
        <f t="shared" si="1"/>
        <v>-439130.4348</v>
      </c>
      <c r="E142" s="25">
        <f t="shared" si="2"/>
        <v>91.82961321</v>
      </c>
      <c r="F142" s="24">
        <f t="shared" si="3"/>
        <v>0.000209116941</v>
      </c>
      <c r="G142" s="24">
        <f t="shared" si="4"/>
        <v>0</v>
      </c>
      <c r="H142" s="26">
        <f t="shared" si="5"/>
        <v>0</v>
      </c>
      <c r="I142" s="24">
        <f t="shared" si="6"/>
        <v>0</v>
      </c>
      <c r="J142" s="24">
        <f t="shared" si="7"/>
        <v>0</v>
      </c>
      <c r="K142" s="24"/>
      <c r="L142" s="24">
        <f t="shared" si="8"/>
        <v>422.8021113</v>
      </c>
      <c r="M142" s="14">
        <f t="shared" si="9"/>
        <v>420.1435698</v>
      </c>
      <c r="N142" s="27">
        <f t="shared" si="10"/>
        <v>2.658541553</v>
      </c>
      <c r="O142" s="24"/>
      <c r="P142" s="24"/>
      <c r="Q142" s="24"/>
      <c r="R142" s="26"/>
      <c r="S142" s="14">
        <f t="shared" si="13"/>
        <v>2.441328427</v>
      </c>
      <c r="U142" s="21"/>
      <c r="V142" s="21"/>
    </row>
    <row r="143">
      <c r="A143" s="11">
        <v>131.0</v>
      </c>
      <c r="B143" s="11">
        <v>1.4199652173913E9</v>
      </c>
      <c r="C143" s="2">
        <v>-102.5168762</v>
      </c>
      <c r="D143" s="24">
        <f t="shared" si="1"/>
        <v>-434782.6087</v>
      </c>
      <c r="E143" s="25">
        <f t="shared" si="2"/>
        <v>90.91131708</v>
      </c>
      <c r="F143" s="24">
        <f t="shared" si="3"/>
        <v>0.0002090960293</v>
      </c>
      <c r="G143" s="24">
        <f t="shared" si="4"/>
        <v>0</v>
      </c>
      <c r="H143" s="26">
        <f t="shared" si="5"/>
        <v>0</v>
      </c>
      <c r="I143" s="24">
        <f t="shared" si="6"/>
        <v>0</v>
      </c>
      <c r="J143" s="24">
        <f t="shared" si="7"/>
        <v>0</v>
      </c>
      <c r="K143" s="24"/>
      <c r="L143" s="24">
        <f t="shared" si="8"/>
        <v>426.0087775</v>
      </c>
      <c r="M143" s="14">
        <f t="shared" si="9"/>
        <v>420.0584339</v>
      </c>
      <c r="N143" s="27">
        <f t="shared" si="10"/>
        <v>5.950343536</v>
      </c>
      <c r="O143" s="24"/>
      <c r="P143" s="24"/>
      <c r="Q143" s="24"/>
      <c r="R143" s="26"/>
      <c r="S143" s="14">
        <f t="shared" si="13"/>
        <v>5.464177445</v>
      </c>
      <c r="U143" s="21"/>
      <c r="V143" s="21"/>
    </row>
    <row r="144">
      <c r="A144" s="11">
        <v>132.0</v>
      </c>
      <c r="B144" s="11">
        <v>1.41996956521739E9</v>
      </c>
      <c r="C144" s="2">
        <v>-102.4871826</v>
      </c>
      <c r="D144" s="24">
        <f t="shared" si="1"/>
        <v>-430434.7826</v>
      </c>
      <c r="E144" s="25">
        <f t="shared" si="2"/>
        <v>89.99302095</v>
      </c>
      <c r="F144" s="24">
        <f t="shared" si="3"/>
        <v>0.0002090746951</v>
      </c>
      <c r="G144" s="24">
        <f t="shared" si="4"/>
        <v>0</v>
      </c>
      <c r="H144" s="26">
        <f t="shared" si="5"/>
        <v>0</v>
      </c>
      <c r="I144" s="24">
        <f t="shared" si="6"/>
        <v>0</v>
      </c>
      <c r="J144" s="24">
        <f t="shared" si="7"/>
        <v>0</v>
      </c>
      <c r="K144" s="24"/>
      <c r="L144" s="24">
        <f t="shared" si="8"/>
        <v>428.9314665</v>
      </c>
      <c r="M144" s="14">
        <f t="shared" si="9"/>
        <v>419.9734659</v>
      </c>
      <c r="N144" s="27">
        <f t="shared" si="10"/>
        <v>8.958000676</v>
      </c>
      <c r="O144" s="24"/>
      <c r="P144" s="24"/>
      <c r="Q144" s="24"/>
      <c r="R144" s="26"/>
      <c r="S144" s="14">
        <f t="shared" si="13"/>
        <v>8.226097378</v>
      </c>
      <c r="U144" s="21"/>
      <c r="V144" s="21"/>
    </row>
    <row r="145">
      <c r="A145" s="11">
        <v>133.0</v>
      </c>
      <c r="B145" s="11">
        <v>1.41997391304347E9</v>
      </c>
      <c r="C145" s="2">
        <v>-102.4788208</v>
      </c>
      <c r="D145" s="24">
        <f t="shared" si="1"/>
        <v>-426086.9565</v>
      </c>
      <c r="E145" s="25">
        <f t="shared" si="2"/>
        <v>89.07472482</v>
      </c>
      <c r="F145" s="24">
        <f t="shared" si="3"/>
        <v>0.0002090529256</v>
      </c>
      <c r="G145" s="24">
        <f t="shared" si="4"/>
        <v>0</v>
      </c>
      <c r="H145" s="26">
        <f t="shared" si="5"/>
        <v>0</v>
      </c>
      <c r="I145" s="24">
        <f t="shared" si="6"/>
        <v>0</v>
      </c>
      <c r="J145" s="24">
        <f t="shared" si="7"/>
        <v>0</v>
      </c>
      <c r="K145" s="24"/>
      <c r="L145" s="24">
        <f t="shared" si="8"/>
        <v>429.7581163</v>
      </c>
      <c r="M145" s="14">
        <f t="shared" si="9"/>
        <v>419.8886644</v>
      </c>
      <c r="N145" s="27">
        <f t="shared" si="10"/>
        <v>9.869451873</v>
      </c>
      <c r="O145" s="24"/>
      <c r="P145" s="24"/>
      <c r="Q145" s="24"/>
      <c r="R145" s="26"/>
      <c r="S145" s="14">
        <f t="shared" si="13"/>
        <v>9.063079488</v>
      </c>
      <c r="U145" s="21"/>
      <c r="V145" s="21"/>
    </row>
    <row r="146">
      <c r="A146" s="11">
        <v>134.0</v>
      </c>
      <c r="B146" s="11">
        <v>1.41997826086956E9</v>
      </c>
      <c r="C146" s="2">
        <v>-102.4958878</v>
      </c>
      <c r="D146" s="24">
        <f t="shared" si="1"/>
        <v>-421739.1304</v>
      </c>
      <c r="E146" s="25">
        <f t="shared" si="2"/>
        <v>88.15642869</v>
      </c>
      <c r="F146" s="24">
        <f t="shared" si="3"/>
        <v>0.0002090307072</v>
      </c>
      <c r="G146" s="24">
        <f t="shared" si="4"/>
        <v>0</v>
      </c>
      <c r="H146" s="26">
        <f t="shared" si="5"/>
        <v>0</v>
      </c>
      <c r="I146" s="24">
        <f t="shared" si="6"/>
        <v>0</v>
      </c>
      <c r="J146" s="24">
        <f t="shared" si="7"/>
        <v>0</v>
      </c>
      <c r="K146" s="24"/>
      <c r="L146" s="24">
        <f t="shared" si="8"/>
        <v>428.0725575</v>
      </c>
      <c r="M146" s="14">
        <f t="shared" si="9"/>
        <v>419.8040283</v>
      </c>
      <c r="N146" s="27">
        <f t="shared" si="10"/>
        <v>8.268529185</v>
      </c>
      <c r="O146" s="24"/>
      <c r="P146" s="24"/>
      <c r="Q146" s="24"/>
      <c r="R146" s="26"/>
      <c r="S146" s="14">
        <f t="shared" si="13"/>
        <v>7.592958356</v>
      </c>
      <c r="U146" s="21"/>
      <c r="V146" s="21"/>
    </row>
    <row r="147">
      <c r="A147" s="11">
        <v>135.0</v>
      </c>
      <c r="B147" s="11">
        <v>1.41998260869565E9</v>
      </c>
      <c r="C147" s="2">
        <v>-102.4948425</v>
      </c>
      <c r="D147" s="24">
        <f t="shared" si="1"/>
        <v>-417391.3043</v>
      </c>
      <c r="E147" s="25">
        <f t="shared" si="2"/>
        <v>87.23813255</v>
      </c>
      <c r="F147" s="24">
        <f t="shared" si="3"/>
        <v>0.0002090080259</v>
      </c>
      <c r="G147" s="24">
        <f t="shared" si="4"/>
        <v>0</v>
      </c>
      <c r="H147" s="26">
        <f t="shared" si="5"/>
        <v>0</v>
      </c>
      <c r="I147" s="24">
        <f t="shared" si="6"/>
        <v>0</v>
      </c>
      <c r="J147" s="24">
        <f t="shared" si="7"/>
        <v>0</v>
      </c>
      <c r="K147" s="24"/>
      <c r="L147" s="24">
        <f t="shared" si="8"/>
        <v>428.1756024</v>
      </c>
      <c r="M147" s="14">
        <f t="shared" si="9"/>
        <v>419.7195565</v>
      </c>
      <c r="N147" s="27">
        <f t="shared" si="10"/>
        <v>8.456045885</v>
      </c>
      <c r="O147" s="24"/>
      <c r="P147" s="24"/>
      <c r="Q147" s="24"/>
      <c r="R147" s="26"/>
      <c r="S147" s="14">
        <f t="shared" si="13"/>
        <v>7.765154235</v>
      </c>
      <c r="U147" s="21"/>
      <c r="V147" s="21"/>
    </row>
    <row r="148">
      <c r="A148" s="11">
        <v>136.0</v>
      </c>
      <c r="B148" s="11">
        <v>1.41998695652173E9</v>
      </c>
      <c r="C148" s="2">
        <v>-102.4679718</v>
      </c>
      <c r="D148" s="24">
        <f t="shared" si="1"/>
        <v>-413043.4783</v>
      </c>
      <c r="E148" s="25">
        <f t="shared" si="2"/>
        <v>86.31983642</v>
      </c>
      <c r="F148" s="24">
        <f t="shared" si="3"/>
        <v>0.0002089848671</v>
      </c>
      <c r="G148" s="24">
        <f t="shared" si="4"/>
        <v>0</v>
      </c>
      <c r="H148" s="26">
        <f t="shared" si="5"/>
        <v>0</v>
      </c>
      <c r="I148" s="24">
        <f t="shared" si="6"/>
        <v>0</v>
      </c>
      <c r="J148" s="24">
        <f t="shared" si="7"/>
        <v>0</v>
      </c>
      <c r="K148" s="24"/>
      <c r="L148" s="24">
        <f t="shared" si="8"/>
        <v>430.8330261</v>
      </c>
      <c r="M148" s="14">
        <f t="shared" si="9"/>
        <v>419.6352477</v>
      </c>
      <c r="N148" s="27">
        <f t="shared" si="10"/>
        <v>11.19777848</v>
      </c>
      <c r="O148" s="24"/>
      <c r="P148" s="24"/>
      <c r="Q148" s="24"/>
      <c r="R148" s="26"/>
      <c r="S148" s="14">
        <f t="shared" si="13"/>
        <v>10.28287668</v>
      </c>
      <c r="U148" s="21"/>
      <c r="V148" s="21"/>
    </row>
    <row r="149">
      <c r="A149" s="11">
        <v>137.0</v>
      </c>
      <c r="B149" s="11">
        <v>1.41999130434782E9</v>
      </c>
      <c r="C149" s="2">
        <v>-102.5341187</v>
      </c>
      <c r="D149" s="24">
        <f t="shared" si="1"/>
        <v>-408695.6522</v>
      </c>
      <c r="E149" s="25">
        <f t="shared" si="2"/>
        <v>85.40154029</v>
      </c>
      <c r="F149" s="24">
        <f t="shared" si="3"/>
        <v>0.0002089612156</v>
      </c>
      <c r="G149" s="24">
        <f t="shared" si="4"/>
        <v>0</v>
      </c>
      <c r="H149" s="26">
        <f t="shared" si="5"/>
        <v>0</v>
      </c>
      <c r="I149" s="24">
        <f t="shared" si="6"/>
        <v>0</v>
      </c>
      <c r="J149" s="24">
        <f t="shared" si="7"/>
        <v>0</v>
      </c>
      <c r="K149" s="24"/>
      <c r="L149" s="24">
        <f t="shared" si="8"/>
        <v>424.3207767</v>
      </c>
      <c r="M149" s="14">
        <f t="shared" si="9"/>
        <v>419.5511006</v>
      </c>
      <c r="N149" s="27">
        <f t="shared" si="10"/>
        <v>4.7696761</v>
      </c>
      <c r="O149" s="24"/>
      <c r="P149" s="24"/>
      <c r="Q149" s="24"/>
      <c r="R149" s="26"/>
      <c r="S149" s="14">
        <f t="shared" si="13"/>
        <v>4.379975117</v>
      </c>
      <c r="U149" s="21"/>
      <c r="V149" s="21"/>
    </row>
    <row r="150">
      <c r="A150" s="11">
        <v>138.0</v>
      </c>
      <c r="B150" s="11">
        <v>1.41999565217391E9</v>
      </c>
      <c r="C150" s="2">
        <v>-102.473259</v>
      </c>
      <c r="D150" s="24">
        <f t="shared" si="1"/>
        <v>-404347.8261</v>
      </c>
      <c r="E150" s="25">
        <f t="shared" si="2"/>
        <v>84.48324416</v>
      </c>
      <c r="F150" s="24">
        <f t="shared" si="3"/>
        <v>0.0002089370554</v>
      </c>
      <c r="G150" s="24">
        <f t="shared" si="4"/>
        <v>0</v>
      </c>
      <c r="H150" s="26">
        <f t="shared" si="5"/>
        <v>0</v>
      </c>
      <c r="I150" s="24">
        <f t="shared" si="6"/>
        <v>0</v>
      </c>
      <c r="J150" s="24">
        <f t="shared" si="7"/>
        <v>0</v>
      </c>
      <c r="K150" s="24"/>
      <c r="L150" s="24">
        <f t="shared" si="8"/>
        <v>430.3088393</v>
      </c>
      <c r="M150" s="14">
        <f t="shared" si="9"/>
        <v>419.4671142</v>
      </c>
      <c r="N150" s="27">
        <f t="shared" si="10"/>
        <v>10.8417251</v>
      </c>
      <c r="O150" s="24"/>
      <c r="P150" s="24"/>
      <c r="Q150" s="24"/>
      <c r="R150" s="26"/>
      <c r="S150" s="14">
        <f t="shared" si="13"/>
        <v>9.955914206</v>
      </c>
      <c r="U150" s="21"/>
      <c r="V150" s="21"/>
    </row>
    <row r="151">
      <c r="A151" s="11">
        <v>139.0</v>
      </c>
      <c r="B151" s="11">
        <v>1.42E9</v>
      </c>
      <c r="C151" s="2">
        <v>-102.4837723</v>
      </c>
      <c r="D151" s="24">
        <f t="shared" si="1"/>
        <v>-400000</v>
      </c>
      <c r="E151" s="25">
        <f t="shared" si="2"/>
        <v>83.56494803</v>
      </c>
      <c r="F151" s="24">
        <f t="shared" si="3"/>
        <v>0.0002089123701</v>
      </c>
      <c r="G151" s="24">
        <f t="shared" si="4"/>
        <v>0</v>
      </c>
      <c r="H151" s="26">
        <f t="shared" si="5"/>
        <v>0</v>
      </c>
      <c r="I151" s="24">
        <f t="shared" si="6"/>
        <v>0</v>
      </c>
      <c r="J151" s="24">
        <f t="shared" si="7"/>
        <v>0</v>
      </c>
      <c r="K151" s="24"/>
      <c r="L151" s="24">
        <f t="shared" si="8"/>
        <v>429.2684175</v>
      </c>
      <c r="M151" s="14">
        <f t="shared" si="9"/>
        <v>419.3832873</v>
      </c>
      <c r="N151" s="27">
        <f t="shared" si="10"/>
        <v>9.88513024</v>
      </c>
      <c r="O151" s="24"/>
      <c r="P151" s="24"/>
      <c r="Q151" s="24"/>
      <c r="R151" s="26"/>
      <c r="S151" s="14">
        <f t="shared" si="13"/>
        <v>9.077476871</v>
      </c>
      <c r="U151" s="21"/>
      <c r="V151" s="21"/>
    </row>
    <row r="152">
      <c r="A152" s="11">
        <v>140.0</v>
      </c>
      <c r="B152" s="11">
        <v>1.42000434782608E9</v>
      </c>
      <c r="C152" s="2">
        <v>-102.4487076</v>
      </c>
      <c r="D152" s="24">
        <f t="shared" si="1"/>
        <v>-395652.1739</v>
      </c>
      <c r="E152" s="25">
        <f t="shared" si="2"/>
        <v>82.64665189</v>
      </c>
      <c r="F152" s="24">
        <f t="shared" si="3"/>
        <v>0.0002088871421</v>
      </c>
      <c r="G152" s="24">
        <f t="shared" si="4"/>
        <v>0</v>
      </c>
      <c r="H152" s="26">
        <f t="shared" si="5"/>
        <v>0</v>
      </c>
      <c r="I152" s="24">
        <f t="shared" si="6"/>
        <v>0</v>
      </c>
      <c r="J152" s="24">
        <f t="shared" si="7"/>
        <v>0</v>
      </c>
      <c r="K152" s="24"/>
      <c r="L152" s="24">
        <f t="shared" si="8"/>
        <v>432.7483368</v>
      </c>
      <c r="M152" s="14">
        <f t="shared" si="9"/>
        <v>419.2996185</v>
      </c>
      <c r="N152" s="27">
        <f t="shared" si="10"/>
        <v>13.44871824</v>
      </c>
      <c r="O152" s="24"/>
      <c r="P152" s="24"/>
      <c r="Q152" s="24"/>
      <c r="R152" s="26"/>
      <c r="S152" s="14">
        <f t="shared" si="13"/>
        <v>12.34990595</v>
      </c>
      <c r="U152" s="21"/>
      <c r="V152" s="21"/>
    </row>
    <row r="153">
      <c r="A153" s="11">
        <v>141.0</v>
      </c>
      <c r="B153" s="11">
        <v>1.42000869565217E9</v>
      </c>
      <c r="C153" s="2">
        <v>-102.4375458</v>
      </c>
      <c r="D153" s="24">
        <f t="shared" si="1"/>
        <v>-391304.3478</v>
      </c>
      <c r="E153" s="25">
        <f t="shared" si="2"/>
        <v>81.72835576</v>
      </c>
      <c r="F153" s="24">
        <f t="shared" si="3"/>
        <v>0.0002088613536</v>
      </c>
      <c r="G153" s="24">
        <f t="shared" si="4"/>
        <v>0</v>
      </c>
      <c r="H153" s="26">
        <f t="shared" si="5"/>
        <v>0</v>
      </c>
      <c r="I153" s="24">
        <f t="shared" si="6"/>
        <v>0</v>
      </c>
      <c r="J153" s="24">
        <f t="shared" si="7"/>
        <v>0</v>
      </c>
      <c r="K153" s="24"/>
      <c r="L153" s="24">
        <f t="shared" si="8"/>
        <v>433.8619735</v>
      </c>
      <c r="M153" s="14">
        <f t="shared" si="9"/>
        <v>419.2161068</v>
      </c>
      <c r="N153" s="27">
        <f t="shared" si="10"/>
        <v>14.64586667</v>
      </c>
      <c r="O153" s="24"/>
      <c r="P153" s="24"/>
      <c r="Q153" s="24"/>
      <c r="R153" s="26"/>
      <c r="S153" s="14">
        <f t="shared" si="13"/>
        <v>13.44924269</v>
      </c>
      <c r="U153" s="21"/>
      <c r="V153" s="21"/>
    </row>
    <row r="154">
      <c r="A154" s="11">
        <v>142.0</v>
      </c>
      <c r="B154" s="11">
        <v>1.42001304347826E9</v>
      </c>
      <c r="C154" s="2">
        <v>-102.399025</v>
      </c>
      <c r="D154" s="24">
        <f t="shared" si="1"/>
        <v>-386956.5217</v>
      </c>
      <c r="E154" s="25">
        <f t="shared" si="2"/>
        <v>80.81005963</v>
      </c>
      <c r="F154" s="24">
        <f t="shared" si="3"/>
        <v>0.0002088349856</v>
      </c>
      <c r="G154" s="24">
        <f t="shared" si="4"/>
        <v>0</v>
      </c>
      <c r="H154" s="26">
        <f t="shared" si="5"/>
        <v>0</v>
      </c>
      <c r="I154" s="24">
        <f t="shared" si="6"/>
        <v>0</v>
      </c>
      <c r="J154" s="24">
        <f t="shared" si="7"/>
        <v>0</v>
      </c>
      <c r="K154" s="24"/>
      <c r="L154" s="24">
        <f t="shared" si="8"/>
        <v>437.7273343</v>
      </c>
      <c r="M154" s="14">
        <f t="shared" si="9"/>
        <v>419.132751</v>
      </c>
      <c r="N154" s="27">
        <f t="shared" si="10"/>
        <v>18.59458333</v>
      </c>
      <c r="O154" s="24"/>
      <c r="P154" s="24"/>
      <c r="Q154" s="24"/>
      <c r="R154" s="26"/>
      <c r="S154" s="14">
        <f t="shared" si="13"/>
        <v>17.07533397</v>
      </c>
      <c r="U154" s="21"/>
      <c r="V154" s="21"/>
    </row>
    <row r="155">
      <c r="A155" s="11">
        <v>143.0</v>
      </c>
      <c r="B155" s="11">
        <v>1.42001739130434E9</v>
      </c>
      <c r="C155" s="2">
        <v>-102.416832</v>
      </c>
      <c r="D155" s="24">
        <f t="shared" si="1"/>
        <v>-382608.6957</v>
      </c>
      <c r="E155" s="25">
        <f t="shared" si="2"/>
        <v>79.8917635</v>
      </c>
      <c r="F155" s="24">
        <f t="shared" si="3"/>
        <v>0.0002088080182</v>
      </c>
      <c r="G155" s="24">
        <f t="shared" si="4"/>
        <v>0</v>
      </c>
      <c r="H155" s="26">
        <f t="shared" si="5"/>
        <v>0</v>
      </c>
      <c r="I155" s="24">
        <f t="shared" si="6"/>
        <v>0</v>
      </c>
      <c r="J155" s="24">
        <f t="shared" si="7"/>
        <v>0</v>
      </c>
      <c r="K155" s="24"/>
      <c r="L155" s="24">
        <f t="shared" si="8"/>
        <v>435.9362333</v>
      </c>
      <c r="M155" s="14">
        <f t="shared" si="9"/>
        <v>419.0495497</v>
      </c>
      <c r="N155" s="27">
        <f t="shared" si="10"/>
        <v>16.88668359</v>
      </c>
      <c r="O155" s="24"/>
      <c r="P155" s="24"/>
      <c r="Q155" s="24"/>
      <c r="R155" s="26"/>
      <c r="S155" s="14">
        <f t="shared" si="13"/>
        <v>15.50697624</v>
      </c>
      <c r="U155" s="21"/>
      <c r="V155" s="21"/>
    </row>
    <row r="156">
      <c r="A156" s="11">
        <v>144.0</v>
      </c>
      <c r="B156" s="11">
        <v>1.42002173913043E9</v>
      </c>
      <c r="C156" s="2">
        <v>-102.388237</v>
      </c>
      <c r="D156" s="24">
        <f t="shared" si="1"/>
        <v>-378260.8696</v>
      </c>
      <c r="E156" s="25">
        <f t="shared" si="2"/>
        <v>78.97346736</v>
      </c>
      <c r="F156" s="24">
        <f t="shared" si="3"/>
        <v>0.000208780431</v>
      </c>
      <c r="G156" s="24">
        <f t="shared" si="4"/>
        <v>0</v>
      </c>
      <c r="H156" s="26">
        <f t="shared" si="5"/>
        <v>0</v>
      </c>
      <c r="I156" s="24">
        <f t="shared" si="6"/>
        <v>0</v>
      </c>
      <c r="J156" s="24">
        <f t="shared" si="7"/>
        <v>0</v>
      </c>
      <c r="K156" s="24"/>
      <c r="L156" s="24">
        <f t="shared" si="8"/>
        <v>438.8160132</v>
      </c>
      <c r="M156" s="14">
        <f t="shared" si="9"/>
        <v>418.966502</v>
      </c>
      <c r="N156" s="27">
        <f t="shared" si="10"/>
        <v>19.84951124</v>
      </c>
      <c r="O156" s="24"/>
      <c r="P156" s="24"/>
      <c r="Q156" s="24"/>
      <c r="R156" s="26"/>
      <c r="S156" s="14">
        <f t="shared" si="13"/>
        <v>18.22772936</v>
      </c>
      <c r="U156" s="21"/>
      <c r="V156" s="21"/>
    </row>
    <row r="157">
      <c r="A157" s="11">
        <v>145.0</v>
      </c>
      <c r="B157" s="11">
        <v>1.42002608695652E9</v>
      </c>
      <c r="C157" s="2">
        <v>-102.4399414</v>
      </c>
      <c r="D157" s="24">
        <f t="shared" si="1"/>
        <v>-373913.0435</v>
      </c>
      <c r="E157" s="25">
        <f t="shared" si="2"/>
        <v>78.05517123</v>
      </c>
      <c r="F157" s="24">
        <f t="shared" si="3"/>
        <v>0.0002087522021</v>
      </c>
      <c r="G157" s="24">
        <f t="shared" si="4"/>
        <v>0</v>
      </c>
      <c r="H157" s="26">
        <f t="shared" si="5"/>
        <v>0</v>
      </c>
      <c r="I157" s="24">
        <f t="shared" si="6"/>
        <v>0</v>
      </c>
      <c r="J157" s="24">
        <f t="shared" si="7"/>
        <v>0</v>
      </c>
      <c r="K157" s="24"/>
      <c r="L157" s="24">
        <f t="shared" si="8"/>
        <v>433.6227181</v>
      </c>
      <c r="M157" s="14">
        <f t="shared" si="9"/>
        <v>418.8836064</v>
      </c>
      <c r="N157" s="27">
        <f t="shared" si="10"/>
        <v>14.73911164</v>
      </c>
      <c r="O157" s="24"/>
      <c r="P157" s="24"/>
      <c r="Q157" s="24"/>
      <c r="R157" s="26"/>
      <c r="S157" s="14">
        <f t="shared" si="13"/>
        <v>13.53486922</v>
      </c>
      <c r="U157" s="21"/>
      <c r="V157" s="21"/>
    </row>
    <row r="158">
      <c r="A158" s="11">
        <v>146.0</v>
      </c>
      <c r="B158" s="11">
        <v>1.4200304347826E9</v>
      </c>
      <c r="C158" s="2">
        <v>-102.3968964</v>
      </c>
      <c r="D158" s="24">
        <f t="shared" si="1"/>
        <v>-369565.2174</v>
      </c>
      <c r="E158" s="25">
        <f t="shared" si="2"/>
        <v>77.1368751</v>
      </c>
      <c r="F158" s="24">
        <f t="shared" si="3"/>
        <v>0.0002087233091</v>
      </c>
      <c r="G158" s="24">
        <f t="shared" si="4"/>
        <v>0</v>
      </c>
      <c r="H158" s="26">
        <f t="shared" si="5"/>
        <v>0</v>
      </c>
      <c r="I158" s="24">
        <f t="shared" si="6"/>
        <v>0</v>
      </c>
      <c r="J158" s="24">
        <f t="shared" si="7"/>
        <v>0</v>
      </c>
      <c r="K158" s="24"/>
      <c r="L158" s="24">
        <f t="shared" si="8"/>
        <v>437.9419294</v>
      </c>
      <c r="M158" s="14">
        <f t="shared" si="9"/>
        <v>418.8008619</v>
      </c>
      <c r="N158" s="27">
        <f t="shared" si="10"/>
        <v>19.14106746</v>
      </c>
      <c r="O158" s="24"/>
      <c r="P158" s="24"/>
      <c r="Q158" s="24"/>
      <c r="R158" s="26"/>
      <c r="S158" s="14">
        <f t="shared" si="13"/>
        <v>17.57716823</v>
      </c>
      <c r="U158" s="21"/>
      <c r="V158" s="21"/>
    </row>
    <row r="159">
      <c r="A159" s="11">
        <v>147.0</v>
      </c>
      <c r="B159" s="11">
        <v>1.42003478260869E9</v>
      </c>
      <c r="C159" s="2">
        <v>-102.4236832</v>
      </c>
      <c r="D159" s="24">
        <f t="shared" si="1"/>
        <v>-365217.3913</v>
      </c>
      <c r="E159" s="25">
        <f t="shared" si="2"/>
        <v>76.21857897</v>
      </c>
      <c r="F159" s="24">
        <f t="shared" si="3"/>
        <v>0.0002086937281</v>
      </c>
      <c r="G159" s="24">
        <f t="shared" si="4"/>
        <v>0</v>
      </c>
      <c r="H159" s="26">
        <f t="shared" si="5"/>
        <v>0</v>
      </c>
      <c r="I159" s="24">
        <f t="shared" si="6"/>
        <v>0</v>
      </c>
      <c r="J159" s="24">
        <f t="shared" si="7"/>
        <v>0</v>
      </c>
      <c r="K159" s="24"/>
      <c r="L159" s="24">
        <f t="shared" si="8"/>
        <v>435.2490655</v>
      </c>
      <c r="M159" s="14">
        <f t="shared" si="9"/>
        <v>418.7182673</v>
      </c>
      <c r="N159" s="27">
        <f t="shared" si="10"/>
        <v>16.53079821</v>
      </c>
      <c r="O159" s="24"/>
      <c r="P159" s="24"/>
      <c r="Q159" s="24"/>
      <c r="R159" s="26"/>
      <c r="S159" s="14">
        <f t="shared" si="13"/>
        <v>15.18016806</v>
      </c>
      <c r="U159" s="21"/>
      <c r="V159" s="21"/>
    </row>
    <row r="160">
      <c r="A160" s="11">
        <v>148.0</v>
      </c>
      <c r="B160" s="11">
        <v>1.42003913043478E9</v>
      </c>
      <c r="C160" s="2">
        <v>-102.3424072</v>
      </c>
      <c r="D160" s="24">
        <f t="shared" si="1"/>
        <v>-360869.5652</v>
      </c>
      <c r="E160" s="25">
        <f t="shared" si="2"/>
        <v>75.30028284</v>
      </c>
      <c r="F160" s="24">
        <f t="shared" si="3"/>
        <v>0.0002086634344</v>
      </c>
      <c r="G160" s="24">
        <f t="shared" si="4"/>
        <v>0</v>
      </c>
      <c r="H160" s="26">
        <f t="shared" si="5"/>
        <v>0</v>
      </c>
      <c r="I160" s="24">
        <f t="shared" si="6"/>
        <v>0</v>
      </c>
      <c r="J160" s="24">
        <f t="shared" si="7"/>
        <v>0</v>
      </c>
      <c r="K160" s="24"/>
      <c r="L160" s="24">
        <f t="shared" si="8"/>
        <v>443.4712269</v>
      </c>
      <c r="M160" s="14">
        <f t="shared" si="9"/>
        <v>418.6358214</v>
      </c>
      <c r="N160" s="27">
        <f t="shared" si="10"/>
        <v>24.83540551</v>
      </c>
      <c r="O160" s="24"/>
      <c r="P160" s="24"/>
      <c r="Q160" s="24"/>
      <c r="R160" s="26"/>
      <c r="S160" s="14">
        <f t="shared" si="13"/>
        <v>22.80625679</v>
      </c>
      <c r="U160" s="21"/>
      <c r="V160" s="21"/>
    </row>
    <row r="161">
      <c r="A161" s="11">
        <v>149.0</v>
      </c>
      <c r="B161" s="11">
        <v>1.42004347826087E9</v>
      </c>
      <c r="C161" s="2">
        <v>-102.3525238</v>
      </c>
      <c r="D161" s="24">
        <f t="shared" si="1"/>
        <v>-356521.7391</v>
      </c>
      <c r="E161" s="25">
        <f t="shared" si="2"/>
        <v>74.3819867</v>
      </c>
      <c r="F161" s="24">
        <f t="shared" si="3"/>
        <v>0.0002086324017</v>
      </c>
      <c r="G161" s="24">
        <f t="shared" si="4"/>
        <v>0</v>
      </c>
      <c r="H161" s="26">
        <f t="shared" si="5"/>
        <v>0</v>
      </c>
      <c r="I161" s="24">
        <f t="shared" si="6"/>
        <v>0</v>
      </c>
      <c r="J161" s="24">
        <f t="shared" si="7"/>
        <v>0</v>
      </c>
      <c r="K161" s="24"/>
      <c r="L161" s="24">
        <f t="shared" si="8"/>
        <v>442.4393925</v>
      </c>
      <c r="M161" s="14">
        <f t="shared" si="9"/>
        <v>418.5535229</v>
      </c>
      <c r="N161" s="27">
        <f t="shared" si="10"/>
        <v>23.88586965</v>
      </c>
      <c r="O161" s="24"/>
      <c r="P161" s="24"/>
      <c r="Q161" s="24"/>
      <c r="R161" s="26"/>
      <c r="S161" s="14">
        <f t="shared" si="13"/>
        <v>21.93430172</v>
      </c>
      <c r="U161" s="21"/>
      <c r="V161" s="21"/>
    </row>
    <row r="162">
      <c r="A162" s="11">
        <v>150.0</v>
      </c>
      <c r="B162" s="11">
        <v>1.42004782608695E9</v>
      </c>
      <c r="C162" s="2">
        <v>-102.3421402</v>
      </c>
      <c r="D162" s="24">
        <f t="shared" si="1"/>
        <v>-352173.913</v>
      </c>
      <c r="E162" s="25">
        <f t="shared" si="2"/>
        <v>73.46369057</v>
      </c>
      <c r="F162" s="24">
        <f t="shared" si="3"/>
        <v>0.0002086006029</v>
      </c>
      <c r="G162" s="24">
        <f t="shared" si="4"/>
        <v>0</v>
      </c>
      <c r="H162" s="26">
        <f t="shared" si="5"/>
        <v>0</v>
      </c>
      <c r="I162" s="24">
        <f t="shared" si="6"/>
        <v>0</v>
      </c>
      <c r="J162" s="24">
        <f t="shared" si="7"/>
        <v>0</v>
      </c>
      <c r="K162" s="24"/>
      <c r="L162" s="24">
        <f t="shared" si="8"/>
        <v>443.4984919</v>
      </c>
      <c r="M162" s="14">
        <f t="shared" si="9"/>
        <v>418.4713707</v>
      </c>
      <c r="N162" s="27">
        <f t="shared" si="10"/>
        <v>25.02712123</v>
      </c>
      <c r="O162" s="24"/>
      <c r="P162" s="24"/>
      <c r="Q162" s="24"/>
      <c r="R162" s="26"/>
      <c r="S162" s="14">
        <f t="shared" si="13"/>
        <v>22.98230864</v>
      </c>
      <c r="U162" s="21"/>
      <c r="V162" s="21"/>
    </row>
    <row r="163">
      <c r="A163" s="11">
        <v>151.0</v>
      </c>
      <c r="B163" s="11">
        <v>1.42005217391304E9</v>
      </c>
      <c r="C163" s="2">
        <v>-102.367569</v>
      </c>
      <c r="D163" s="24">
        <f t="shared" si="1"/>
        <v>-347826.087</v>
      </c>
      <c r="E163" s="25">
        <f t="shared" si="2"/>
        <v>72.54539444</v>
      </c>
      <c r="F163" s="24">
        <f t="shared" si="3"/>
        <v>0.000208568009</v>
      </c>
      <c r="G163" s="24">
        <f t="shared" si="4"/>
        <v>0</v>
      </c>
      <c r="H163" s="26">
        <f t="shared" si="5"/>
        <v>0</v>
      </c>
      <c r="I163" s="24">
        <f t="shared" si="6"/>
        <v>0</v>
      </c>
      <c r="J163" s="24">
        <f t="shared" si="7"/>
        <v>0</v>
      </c>
      <c r="K163" s="24"/>
      <c r="L163" s="24">
        <f t="shared" si="8"/>
        <v>440.9093081</v>
      </c>
      <c r="M163" s="14">
        <f t="shared" si="9"/>
        <v>418.3893635</v>
      </c>
      <c r="N163" s="27">
        <f t="shared" si="10"/>
        <v>22.51994456</v>
      </c>
      <c r="O163" s="24"/>
      <c r="P163" s="24"/>
      <c r="Q163" s="24"/>
      <c r="R163" s="26"/>
      <c r="S163" s="14">
        <f t="shared" si="13"/>
        <v>20.67997795</v>
      </c>
      <c r="U163" s="21"/>
      <c r="V163" s="21"/>
    </row>
    <row r="164">
      <c r="A164" s="11">
        <v>152.0</v>
      </c>
      <c r="B164" s="11">
        <v>1.42005652173913E9</v>
      </c>
      <c r="C164" s="2">
        <v>-102.2525635</v>
      </c>
      <c r="D164" s="24">
        <f t="shared" si="1"/>
        <v>-343478.2609</v>
      </c>
      <c r="E164" s="25">
        <f t="shared" si="2"/>
        <v>71.62709831</v>
      </c>
      <c r="F164" s="24">
        <f t="shared" si="3"/>
        <v>0.00020853459</v>
      </c>
      <c r="G164" s="24">
        <f t="shared" si="4"/>
        <v>0</v>
      </c>
      <c r="H164" s="26">
        <f t="shared" si="5"/>
        <v>0</v>
      </c>
      <c r="I164" s="24">
        <f t="shared" si="6"/>
        <v>0</v>
      </c>
      <c r="J164" s="24">
        <f t="shared" si="7"/>
        <v>0</v>
      </c>
      <c r="K164" s="24"/>
      <c r="L164" s="24">
        <f t="shared" si="8"/>
        <v>452.7409913</v>
      </c>
      <c r="M164" s="14">
        <f t="shared" si="9"/>
        <v>418.3075003</v>
      </c>
      <c r="N164" s="27">
        <f t="shared" si="10"/>
        <v>34.43349097</v>
      </c>
      <c r="O164" s="24"/>
      <c r="P164" s="24"/>
      <c r="Q164" s="24"/>
      <c r="R164" s="26"/>
      <c r="S164" s="14">
        <f t="shared" si="13"/>
        <v>31.6201416</v>
      </c>
      <c r="U164" s="21"/>
      <c r="V164" s="21"/>
    </row>
    <row r="165">
      <c r="A165" s="11">
        <v>153.0</v>
      </c>
      <c r="B165" s="11">
        <v>1.42006086956521E9</v>
      </c>
      <c r="C165" s="2">
        <v>-102.3534775</v>
      </c>
      <c r="D165" s="24">
        <f t="shared" si="1"/>
        <v>-339130.4348</v>
      </c>
      <c r="E165" s="25">
        <f t="shared" si="2"/>
        <v>70.70880218</v>
      </c>
      <c r="F165" s="24">
        <f t="shared" si="3"/>
        <v>0.0002085003141</v>
      </c>
      <c r="G165" s="24">
        <f t="shared" si="4"/>
        <v>0</v>
      </c>
      <c r="H165" s="26">
        <f t="shared" si="5"/>
        <v>0</v>
      </c>
      <c r="I165" s="24">
        <f t="shared" si="6"/>
        <v>0</v>
      </c>
      <c r="J165" s="24">
        <f t="shared" si="7"/>
        <v>0</v>
      </c>
      <c r="K165" s="24"/>
      <c r="L165" s="24">
        <f t="shared" si="8"/>
        <v>442.3422446</v>
      </c>
      <c r="M165" s="14">
        <f t="shared" si="9"/>
        <v>418.2257797</v>
      </c>
      <c r="N165" s="27">
        <f t="shared" si="10"/>
        <v>24.1164649</v>
      </c>
      <c r="O165" s="24"/>
      <c r="P165" s="24"/>
      <c r="Q165" s="24"/>
      <c r="R165" s="26"/>
      <c r="S165" s="14">
        <f t="shared" si="13"/>
        <v>22.14605646</v>
      </c>
      <c r="U165" s="21"/>
      <c r="V165" s="21"/>
    </row>
    <row r="166">
      <c r="A166" s="11">
        <v>154.0</v>
      </c>
      <c r="B166" s="11">
        <v>1.4200652173913E9</v>
      </c>
      <c r="C166" s="2">
        <v>-102.2713165</v>
      </c>
      <c r="D166" s="24">
        <f t="shared" si="1"/>
        <v>-334782.6087</v>
      </c>
      <c r="E166" s="25">
        <f t="shared" si="2"/>
        <v>69.79050604</v>
      </c>
      <c r="F166" s="24">
        <f t="shared" si="3"/>
        <v>0.0002084651479</v>
      </c>
      <c r="G166" s="24">
        <f t="shared" si="4"/>
        <v>0</v>
      </c>
      <c r="H166" s="26">
        <f t="shared" si="5"/>
        <v>0</v>
      </c>
      <c r="I166" s="24">
        <f t="shared" si="6"/>
        <v>0</v>
      </c>
      <c r="J166" s="24">
        <f t="shared" si="7"/>
        <v>0</v>
      </c>
      <c r="K166" s="24"/>
      <c r="L166" s="24">
        <f t="shared" si="8"/>
        <v>450.7902532</v>
      </c>
      <c r="M166" s="14">
        <f t="shared" si="9"/>
        <v>418.1442006</v>
      </c>
      <c r="N166" s="27">
        <f t="shared" si="10"/>
        <v>32.64605263</v>
      </c>
      <c r="O166" s="24"/>
      <c r="P166" s="24"/>
      <c r="Q166" s="24"/>
      <c r="R166" s="26"/>
      <c r="S166" s="14">
        <f t="shared" si="13"/>
        <v>29.97874381</v>
      </c>
      <c r="U166" s="21"/>
      <c r="V166" s="21"/>
    </row>
    <row r="167">
      <c r="A167" s="11">
        <v>155.0</v>
      </c>
      <c r="B167" s="11">
        <v>1.42006956521739E9</v>
      </c>
      <c r="C167" s="2">
        <v>-102.2468643</v>
      </c>
      <c r="D167" s="24">
        <f t="shared" si="1"/>
        <v>-330434.7826</v>
      </c>
      <c r="E167" s="25">
        <f t="shared" si="2"/>
        <v>68.87220991</v>
      </c>
      <c r="F167" s="24">
        <f t="shared" si="3"/>
        <v>0.0002084290563</v>
      </c>
      <c r="G167" s="24">
        <f t="shared" si="4"/>
        <v>0</v>
      </c>
      <c r="H167" s="26">
        <f t="shared" si="5"/>
        <v>0</v>
      </c>
      <c r="I167" s="24">
        <f t="shared" si="6"/>
        <v>0</v>
      </c>
      <c r="J167" s="24">
        <f t="shared" si="7"/>
        <v>0</v>
      </c>
      <c r="K167" s="24"/>
      <c r="L167" s="24">
        <f t="shared" si="8"/>
        <v>453.3355084</v>
      </c>
      <c r="M167" s="14">
        <f t="shared" si="9"/>
        <v>418.0627618</v>
      </c>
      <c r="N167" s="27">
        <f t="shared" si="10"/>
        <v>35.2727466</v>
      </c>
      <c r="O167" s="24"/>
      <c r="P167" s="24"/>
      <c r="Q167" s="24"/>
      <c r="R167" s="26"/>
      <c r="S167" s="14">
        <f t="shared" si="13"/>
        <v>32.3908268</v>
      </c>
      <c r="U167" s="21"/>
      <c r="V167" s="21"/>
    </row>
    <row r="168">
      <c r="A168" s="11">
        <v>156.0</v>
      </c>
      <c r="B168" s="11">
        <v>1.42007391304347E9</v>
      </c>
      <c r="C168" s="2">
        <v>-102.340744</v>
      </c>
      <c r="D168" s="24">
        <f t="shared" si="1"/>
        <v>-326086.9565</v>
      </c>
      <c r="E168" s="25">
        <f t="shared" si="2"/>
        <v>67.95391378</v>
      </c>
      <c r="F168" s="24">
        <f t="shared" si="3"/>
        <v>0.0002083920023</v>
      </c>
      <c r="G168" s="24">
        <f t="shared" si="4"/>
        <v>0</v>
      </c>
      <c r="H168" s="26">
        <f t="shared" si="5"/>
        <v>0</v>
      </c>
      <c r="I168" s="24">
        <f t="shared" si="6"/>
        <v>0</v>
      </c>
      <c r="J168" s="24">
        <f t="shared" si="7"/>
        <v>0</v>
      </c>
      <c r="K168" s="24"/>
      <c r="L168" s="24">
        <f t="shared" si="8"/>
        <v>443.6410938</v>
      </c>
      <c r="M168" s="14">
        <f t="shared" si="9"/>
        <v>417.9814621</v>
      </c>
      <c r="N168" s="27">
        <f t="shared" si="10"/>
        <v>25.65963169</v>
      </c>
      <c r="O168" s="24"/>
      <c r="P168" s="24"/>
      <c r="Q168" s="24"/>
      <c r="R168" s="26"/>
      <c r="S168" s="14">
        <f t="shared" si="13"/>
        <v>23.56314055</v>
      </c>
      <c r="U168" s="21"/>
      <c r="V168" s="21"/>
    </row>
    <row r="169">
      <c r="A169" s="11">
        <v>157.0</v>
      </c>
      <c r="B169" s="11">
        <v>1.42007826086956E9</v>
      </c>
      <c r="C169" s="2">
        <v>-102.2608032</v>
      </c>
      <c r="D169" s="24">
        <f t="shared" si="1"/>
        <v>-321739.1304</v>
      </c>
      <c r="E169" s="25">
        <f t="shared" si="2"/>
        <v>67.03561765</v>
      </c>
      <c r="F169" s="24">
        <f t="shared" si="3"/>
        <v>0.0002083539467</v>
      </c>
      <c r="G169" s="24">
        <f t="shared" si="4"/>
        <v>0</v>
      </c>
      <c r="H169" s="26">
        <f t="shared" si="5"/>
        <v>0</v>
      </c>
      <c r="I169" s="24">
        <f t="shared" si="6"/>
        <v>0</v>
      </c>
      <c r="J169" s="24">
        <f t="shared" si="7"/>
        <v>0</v>
      </c>
      <c r="K169" s="24"/>
      <c r="L169" s="24">
        <f t="shared" si="8"/>
        <v>451.8828377</v>
      </c>
      <c r="M169" s="14">
        <f t="shared" si="9"/>
        <v>417.9003003</v>
      </c>
      <c r="N169" s="27">
        <f t="shared" si="10"/>
        <v>33.98253743</v>
      </c>
      <c r="O169" s="24"/>
      <c r="P169" s="24"/>
      <c r="Q169" s="24"/>
      <c r="R169" s="26"/>
      <c r="S169" s="14">
        <f t="shared" si="13"/>
        <v>31.20603263</v>
      </c>
      <c r="U169" s="21"/>
      <c r="V169" s="21"/>
    </row>
    <row r="170">
      <c r="A170" s="11">
        <v>158.0</v>
      </c>
      <c r="B170" s="11">
        <v>1.42008260869565E9</v>
      </c>
      <c r="C170" s="2">
        <v>-102.2156906</v>
      </c>
      <c r="D170" s="24">
        <f t="shared" si="1"/>
        <v>-317391.3043</v>
      </c>
      <c r="E170" s="25">
        <f t="shared" si="2"/>
        <v>66.11732152</v>
      </c>
      <c r="F170" s="24">
        <f t="shared" si="3"/>
        <v>0.0002083148486</v>
      </c>
      <c r="G170" s="24">
        <f t="shared" si="4"/>
        <v>0</v>
      </c>
      <c r="H170" s="26">
        <f t="shared" si="5"/>
        <v>0</v>
      </c>
      <c r="I170" s="24">
        <f t="shared" si="6"/>
        <v>0</v>
      </c>
      <c r="J170" s="24">
        <f t="shared" si="7"/>
        <v>0</v>
      </c>
      <c r="K170" s="24"/>
      <c r="L170" s="24">
        <f t="shared" si="8"/>
        <v>456.6012619</v>
      </c>
      <c r="M170" s="14">
        <f t="shared" si="9"/>
        <v>417.8192752</v>
      </c>
      <c r="N170" s="27">
        <f t="shared" si="10"/>
        <v>38.78198667</v>
      </c>
      <c r="O170" s="24"/>
      <c r="P170" s="24"/>
      <c r="Q170" s="24"/>
      <c r="R170" s="26"/>
      <c r="S170" s="14">
        <f t="shared" si="13"/>
        <v>35.61334838</v>
      </c>
      <c r="U170" s="21"/>
      <c r="V170" s="21"/>
    </row>
    <row r="171">
      <c r="A171" s="11">
        <v>159.0</v>
      </c>
      <c r="B171" s="11">
        <v>1.42008695652173E9</v>
      </c>
      <c r="C171" s="2">
        <v>-102.2794647</v>
      </c>
      <c r="D171" s="24">
        <f t="shared" si="1"/>
        <v>-313043.4783</v>
      </c>
      <c r="E171" s="25">
        <f t="shared" si="2"/>
        <v>65.19902538</v>
      </c>
      <c r="F171" s="24">
        <f t="shared" si="3"/>
        <v>0.0002082746644</v>
      </c>
      <c r="G171" s="24">
        <f t="shared" si="4"/>
        <v>0</v>
      </c>
      <c r="H171" s="26">
        <f t="shared" si="5"/>
        <v>0</v>
      </c>
      <c r="I171" s="24">
        <f t="shared" si="6"/>
        <v>0</v>
      </c>
      <c r="J171" s="24">
        <f t="shared" si="7"/>
        <v>0</v>
      </c>
      <c r="K171" s="24"/>
      <c r="L171" s="24">
        <f t="shared" si="8"/>
        <v>449.9452769</v>
      </c>
      <c r="M171" s="14">
        <f t="shared" si="9"/>
        <v>417.7383856</v>
      </c>
      <c r="N171" s="27">
        <f t="shared" si="10"/>
        <v>32.20689131</v>
      </c>
      <c r="O171" s="24"/>
      <c r="P171" s="24"/>
      <c r="Q171" s="24"/>
      <c r="R171" s="26"/>
      <c r="S171" s="14">
        <f t="shared" si="13"/>
        <v>29.57546374</v>
      </c>
      <c r="U171" s="21"/>
      <c r="V171" s="21"/>
    </row>
    <row r="172">
      <c r="A172" s="11">
        <v>160.0</v>
      </c>
      <c r="B172" s="11">
        <v>1.42009130434782E9</v>
      </c>
      <c r="C172" s="2">
        <v>-102.2372665</v>
      </c>
      <c r="D172" s="24">
        <f t="shared" si="1"/>
        <v>-308695.6522</v>
      </c>
      <c r="E172" s="25">
        <f t="shared" si="2"/>
        <v>64.28072925</v>
      </c>
      <c r="F172" s="24">
        <f t="shared" si="3"/>
        <v>0.0002082333483</v>
      </c>
      <c r="G172" s="24">
        <f t="shared" si="4"/>
        <v>0</v>
      </c>
      <c r="H172" s="26">
        <f t="shared" si="5"/>
        <v>0</v>
      </c>
      <c r="I172" s="24">
        <f t="shared" si="6"/>
        <v>0</v>
      </c>
      <c r="J172" s="24">
        <f t="shared" si="7"/>
        <v>0</v>
      </c>
      <c r="K172" s="24"/>
      <c r="L172" s="24">
        <f t="shared" si="8"/>
        <v>454.3384765</v>
      </c>
      <c r="M172" s="14">
        <f t="shared" si="9"/>
        <v>417.6576303</v>
      </c>
      <c r="N172" s="27">
        <f t="shared" si="10"/>
        <v>36.68084614</v>
      </c>
      <c r="O172" s="24"/>
      <c r="P172" s="24"/>
      <c r="Q172" s="24"/>
      <c r="R172" s="26"/>
      <c r="S172" s="14">
        <f t="shared" si="13"/>
        <v>33.68387916</v>
      </c>
      <c r="U172" s="21"/>
      <c r="V172" s="21"/>
    </row>
    <row r="173">
      <c r="A173" s="11">
        <v>161.0</v>
      </c>
      <c r="B173" s="11">
        <v>1.42009565217391E9</v>
      </c>
      <c r="C173" s="2">
        <v>-102.2570953</v>
      </c>
      <c r="D173" s="24">
        <f t="shared" si="1"/>
        <v>-304347.8261</v>
      </c>
      <c r="E173" s="25">
        <f t="shared" si="2"/>
        <v>63.36243312</v>
      </c>
      <c r="F173" s="24">
        <f t="shared" si="3"/>
        <v>0.0002081908517</v>
      </c>
      <c r="G173" s="24">
        <f t="shared" si="4"/>
        <v>0</v>
      </c>
      <c r="H173" s="26">
        <f t="shared" si="5"/>
        <v>0</v>
      </c>
      <c r="I173" s="24">
        <f t="shared" si="6"/>
        <v>0</v>
      </c>
      <c r="J173" s="24">
        <f t="shared" si="7"/>
        <v>0</v>
      </c>
      <c r="K173" s="24"/>
      <c r="L173" s="24">
        <f t="shared" si="8"/>
        <v>452.268809</v>
      </c>
      <c r="M173" s="14">
        <f t="shared" si="9"/>
        <v>417.5770082</v>
      </c>
      <c r="N173" s="27">
        <f t="shared" si="10"/>
        <v>34.69180083</v>
      </c>
      <c r="O173" s="24"/>
      <c r="P173" s="24"/>
      <c r="Q173" s="24"/>
      <c r="R173" s="26"/>
      <c r="S173" s="14">
        <f t="shared" si="13"/>
        <v>31.85734647</v>
      </c>
      <c r="U173" s="21"/>
      <c r="V173" s="21"/>
    </row>
    <row r="174">
      <c r="A174" s="11">
        <v>162.0</v>
      </c>
      <c r="B174" s="11">
        <v>1.4201E9</v>
      </c>
      <c r="C174" s="2">
        <v>-102.2413483</v>
      </c>
      <c r="D174" s="24">
        <f t="shared" si="1"/>
        <v>-300000</v>
      </c>
      <c r="E174" s="25">
        <f t="shared" si="2"/>
        <v>62.44413699</v>
      </c>
      <c r="F174" s="24">
        <f t="shared" si="3"/>
        <v>0.0002081471233</v>
      </c>
      <c r="G174" s="24">
        <f t="shared" si="4"/>
        <v>0</v>
      </c>
      <c r="H174" s="26">
        <f t="shared" si="5"/>
        <v>0</v>
      </c>
      <c r="I174" s="24">
        <f t="shared" si="6"/>
        <v>0</v>
      </c>
      <c r="J174" s="24">
        <f t="shared" si="7"/>
        <v>0</v>
      </c>
      <c r="K174" s="24"/>
      <c r="L174" s="24">
        <f t="shared" si="8"/>
        <v>453.9116583</v>
      </c>
      <c r="M174" s="14">
        <f t="shared" si="9"/>
        <v>417.4965179</v>
      </c>
      <c r="N174" s="27">
        <f t="shared" si="10"/>
        <v>36.41514043</v>
      </c>
      <c r="O174" s="24"/>
      <c r="P174" s="24"/>
      <c r="Q174" s="24"/>
      <c r="R174" s="26"/>
      <c r="S174" s="14">
        <f t="shared" si="13"/>
        <v>33.43988263</v>
      </c>
      <c r="U174" s="21"/>
      <c r="V174" s="21"/>
    </row>
    <row r="175">
      <c r="A175" s="11">
        <v>163.0</v>
      </c>
      <c r="B175" s="11">
        <v>1.42010434782608E9</v>
      </c>
      <c r="C175" s="2">
        <v>-102.2415695</v>
      </c>
      <c r="D175" s="24">
        <f t="shared" si="1"/>
        <v>-295652.1739</v>
      </c>
      <c r="E175" s="25">
        <f t="shared" si="2"/>
        <v>61.52584085</v>
      </c>
      <c r="F175" s="24">
        <f t="shared" si="3"/>
        <v>0.0002081021088</v>
      </c>
      <c r="G175" s="24">
        <f t="shared" si="4"/>
        <v>0</v>
      </c>
      <c r="H175" s="26">
        <f t="shared" si="5"/>
        <v>0</v>
      </c>
      <c r="I175" s="24">
        <f t="shared" si="6"/>
        <v>0</v>
      </c>
      <c r="J175" s="24">
        <f t="shared" si="7"/>
        <v>0</v>
      </c>
      <c r="K175" s="24"/>
      <c r="L175" s="24">
        <f t="shared" si="8"/>
        <v>453.8885398</v>
      </c>
      <c r="M175" s="14">
        <f t="shared" si="9"/>
        <v>417.4161584</v>
      </c>
      <c r="N175" s="27">
        <f t="shared" si="10"/>
        <v>36.47238138</v>
      </c>
      <c r="O175" s="24"/>
      <c r="P175" s="24"/>
      <c r="Q175" s="24"/>
      <c r="R175" s="26"/>
      <c r="S175" s="14">
        <f t="shared" si="13"/>
        <v>33.49244678</v>
      </c>
      <c r="U175" s="21"/>
      <c r="V175" s="21"/>
    </row>
    <row r="176">
      <c r="A176" s="11">
        <v>164.0</v>
      </c>
      <c r="B176" s="11">
        <v>1.42010869565217E9</v>
      </c>
      <c r="C176" s="2">
        <v>-102.2845001</v>
      </c>
      <c r="D176" s="24">
        <f t="shared" si="1"/>
        <v>-291304.3478</v>
      </c>
      <c r="E176" s="25">
        <f t="shared" si="2"/>
        <v>60.60754472</v>
      </c>
      <c r="F176" s="24">
        <f t="shared" si="3"/>
        <v>0.0002080557505</v>
      </c>
      <c r="G176" s="24">
        <f t="shared" si="4"/>
        <v>0</v>
      </c>
      <c r="H176" s="26">
        <f t="shared" si="5"/>
        <v>0</v>
      </c>
      <c r="I176" s="24">
        <f t="shared" si="6"/>
        <v>0</v>
      </c>
      <c r="J176" s="24">
        <f t="shared" si="7"/>
        <v>0</v>
      </c>
      <c r="K176" s="24"/>
      <c r="L176" s="24">
        <f t="shared" si="8"/>
        <v>449.423893</v>
      </c>
      <c r="M176" s="14">
        <f t="shared" si="9"/>
        <v>417.3359284</v>
      </c>
      <c r="N176" s="27">
        <f t="shared" si="10"/>
        <v>32.08796463</v>
      </c>
      <c r="O176" s="24"/>
      <c r="P176" s="24"/>
      <c r="Q176" s="24"/>
      <c r="R176" s="26"/>
      <c r="S176" s="14">
        <f t="shared" si="13"/>
        <v>29.46625376</v>
      </c>
      <c r="U176" s="21"/>
      <c r="V176" s="21"/>
    </row>
    <row r="177">
      <c r="A177" s="11">
        <v>165.0</v>
      </c>
      <c r="B177" s="11">
        <v>1.42011304347826E9</v>
      </c>
      <c r="C177" s="2">
        <v>-102.2397766</v>
      </c>
      <c r="D177" s="24">
        <f t="shared" si="1"/>
        <v>-286956.5217</v>
      </c>
      <c r="E177" s="25">
        <f t="shared" si="2"/>
        <v>59.68924859</v>
      </c>
      <c r="F177" s="24">
        <f t="shared" si="3"/>
        <v>0.0002080079875</v>
      </c>
      <c r="G177" s="24">
        <f t="shared" si="4"/>
        <v>0</v>
      </c>
      <c r="H177" s="26">
        <f t="shared" si="5"/>
        <v>0</v>
      </c>
      <c r="I177" s="24">
        <f t="shared" si="6"/>
        <v>0</v>
      </c>
      <c r="J177" s="24">
        <f t="shared" si="7"/>
        <v>0</v>
      </c>
      <c r="K177" s="24"/>
      <c r="L177" s="24">
        <f t="shared" si="8"/>
        <v>454.0759575</v>
      </c>
      <c r="M177" s="14">
        <f t="shared" si="9"/>
        <v>417.2558267</v>
      </c>
      <c r="N177" s="27">
        <f t="shared" si="10"/>
        <v>36.82013075</v>
      </c>
      <c r="O177" s="24"/>
      <c r="P177" s="24"/>
      <c r="Q177" s="24"/>
      <c r="R177" s="26"/>
      <c r="S177" s="14">
        <f t="shared" si="13"/>
        <v>33.81178368</v>
      </c>
      <c r="U177" s="21"/>
      <c r="V177" s="21"/>
    </row>
    <row r="178">
      <c r="A178" s="11">
        <v>166.0</v>
      </c>
      <c r="B178" s="11">
        <v>1.42011739130434E9</v>
      </c>
      <c r="C178" s="2">
        <v>-102.2281799</v>
      </c>
      <c r="D178" s="24">
        <f t="shared" si="1"/>
        <v>-282608.6957</v>
      </c>
      <c r="E178" s="25">
        <f t="shared" si="2"/>
        <v>58.77095246</v>
      </c>
      <c r="F178" s="24">
        <f t="shared" si="3"/>
        <v>0.0002079587548</v>
      </c>
      <c r="G178" s="24">
        <f t="shared" si="4"/>
        <v>0</v>
      </c>
      <c r="H178" s="26">
        <f t="shared" si="5"/>
        <v>0</v>
      </c>
      <c r="I178" s="24">
        <f t="shared" si="6"/>
        <v>0</v>
      </c>
      <c r="J178" s="24">
        <f t="shared" si="7"/>
        <v>0</v>
      </c>
      <c r="K178" s="24"/>
      <c r="L178" s="24">
        <f t="shared" si="8"/>
        <v>455.290069</v>
      </c>
      <c r="M178" s="14">
        <f t="shared" si="9"/>
        <v>417.1758522</v>
      </c>
      <c r="N178" s="27">
        <f t="shared" si="10"/>
        <v>38.11421681</v>
      </c>
      <c r="O178" s="24"/>
      <c r="P178" s="24"/>
      <c r="Q178" s="24"/>
      <c r="R178" s="26"/>
      <c r="S178" s="14">
        <f t="shared" si="13"/>
        <v>35.0001379</v>
      </c>
      <c r="U178" s="21"/>
      <c r="V178" s="21"/>
    </row>
    <row r="179">
      <c r="A179" s="11">
        <v>167.0</v>
      </c>
      <c r="B179" s="11">
        <v>1.42012173913043E9</v>
      </c>
      <c r="C179" s="2">
        <v>-102.3039017</v>
      </c>
      <c r="D179" s="24">
        <f t="shared" si="1"/>
        <v>-278260.8696</v>
      </c>
      <c r="E179" s="25">
        <f t="shared" si="2"/>
        <v>57.85265632</v>
      </c>
      <c r="F179" s="24">
        <f t="shared" si="3"/>
        <v>0.0002079079837</v>
      </c>
      <c r="G179" s="24">
        <f t="shared" si="4"/>
        <v>0</v>
      </c>
      <c r="H179" s="26">
        <f t="shared" si="5"/>
        <v>0</v>
      </c>
      <c r="I179" s="24">
        <f t="shared" si="6"/>
        <v>0</v>
      </c>
      <c r="J179" s="24">
        <f t="shared" si="7"/>
        <v>0</v>
      </c>
      <c r="K179" s="24"/>
      <c r="L179" s="24">
        <f t="shared" si="8"/>
        <v>447.4206222</v>
      </c>
      <c r="M179" s="14">
        <f t="shared" si="9"/>
        <v>417.0960036</v>
      </c>
      <c r="N179" s="27">
        <f t="shared" si="10"/>
        <v>30.32461855</v>
      </c>
      <c r="O179" s="24"/>
      <c r="P179" s="24"/>
      <c r="Q179" s="24"/>
      <c r="R179" s="26"/>
      <c r="S179" s="14">
        <f t="shared" si="13"/>
        <v>27.84697988</v>
      </c>
      <c r="U179" s="21"/>
      <c r="V179" s="21"/>
    </row>
    <row r="180">
      <c r="A180" s="11">
        <v>168.0</v>
      </c>
      <c r="B180" s="11">
        <v>1.42012608695652E9</v>
      </c>
      <c r="C180" s="2">
        <v>-102.2331314</v>
      </c>
      <c r="D180" s="24">
        <f t="shared" si="1"/>
        <v>-273913.0435</v>
      </c>
      <c r="E180" s="25">
        <f t="shared" si="2"/>
        <v>56.93436019</v>
      </c>
      <c r="F180" s="24">
        <f t="shared" si="3"/>
        <v>0.0002078556007</v>
      </c>
      <c r="G180" s="24">
        <f t="shared" si="4"/>
        <v>0</v>
      </c>
      <c r="H180" s="26">
        <f t="shared" si="5"/>
        <v>0</v>
      </c>
      <c r="I180" s="24">
        <f t="shared" si="6"/>
        <v>0</v>
      </c>
      <c r="J180" s="24">
        <f t="shared" si="7"/>
        <v>0</v>
      </c>
      <c r="K180" s="24"/>
      <c r="L180" s="24">
        <f t="shared" si="8"/>
        <v>454.7712772</v>
      </c>
      <c r="M180" s="14">
        <f t="shared" si="9"/>
        <v>417.0162798</v>
      </c>
      <c r="N180" s="27">
        <f t="shared" si="10"/>
        <v>37.75499744</v>
      </c>
      <c r="O180" s="24"/>
      <c r="P180" s="24"/>
      <c r="Q180" s="24"/>
      <c r="R180" s="26"/>
      <c r="S180" s="14">
        <f t="shared" si="13"/>
        <v>34.67026815</v>
      </c>
      <c r="U180" s="21"/>
      <c r="V180" s="21"/>
    </row>
    <row r="181">
      <c r="A181" s="11">
        <v>169.0</v>
      </c>
      <c r="B181" s="11">
        <v>1.4201304347826E9</v>
      </c>
      <c r="C181" s="2">
        <v>-102.2080078</v>
      </c>
      <c r="D181" s="24">
        <f t="shared" si="1"/>
        <v>-269565.2174</v>
      </c>
      <c r="E181" s="25">
        <f t="shared" si="2"/>
        <v>56.01606406</v>
      </c>
      <c r="F181" s="24">
        <f t="shared" si="3"/>
        <v>0.000207801528</v>
      </c>
      <c r="G181" s="24">
        <f t="shared" si="4"/>
        <v>0</v>
      </c>
      <c r="H181" s="26">
        <f t="shared" si="5"/>
        <v>0</v>
      </c>
      <c r="I181" s="24">
        <f t="shared" si="6"/>
        <v>0</v>
      </c>
      <c r="J181" s="24">
        <f t="shared" si="7"/>
        <v>0</v>
      </c>
      <c r="K181" s="24"/>
      <c r="L181" s="24">
        <f t="shared" si="8"/>
        <v>457.4097181</v>
      </c>
      <c r="M181" s="14">
        <f t="shared" si="9"/>
        <v>416.9366795</v>
      </c>
      <c r="N181" s="27">
        <f t="shared" si="10"/>
        <v>40.47303865</v>
      </c>
      <c r="O181" s="24"/>
      <c r="P181" s="24"/>
      <c r="Q181" s="24"/>
      <c r="R181" s="26"/>
      <c r="S181" s="14">
        <f t="shared" si="13"/>
        <v>37.16623487</v>
      </c>
      <c r="U181" s="21"/>
      <c r="V181" s="21"/>
    </row>
    <row r="182">
      <c r="A182" s="11">
        <v>170.0</v>
      </c>
      <c r="B182" s="11">
        <v>1.42013478260869E9</v>
      </c>
      <c r="C182" s="2">
        <v>-102.215126</v>
      </c>
      <c r="D182" s="24">
        <f t="shared" si="1"/>
        <v>-265217.3913</v>
      </c>
      <c r="E182" s="25">
        <f t="shared" si="2"/>
        <v>55.09776793</v>
      </c>
      <c r="F182" s="24">
        <f t="shared" si="3"/>
        <v>0.0002077456823</v>
      </c>
      <c r="G182" s="24">
        <f t="shared" si="4"/>
        <v>0</v>
      </c>
      <c r="H182" s="26">
        <f t="shared" si="5"/>
        <v>0</v>
      </c>
      <c r="I182" s="24">
        <f t="shared" si="6"/>
        <v>0</v>
      </c>
      <c r="J182" s="24">
        <f t="shared" si="7"/>
        <v>0</v>
      </c>
      <c r="K182" s="24"/>
      <c r="L182" s="24">
        <f t="shared" si="8"/>
        <v>456.6606257</v>
      </c>
      <c r="M182" s="14">
        <f t="shared" si="9"/>
        <v>416.8572015</v>
      </c>
      <c r="N182" s="27">
        <f t="shared" si="10"/>
        <v>39.80342418</v>
      </c>
      <c r="O182" s="24"/>
      <c r="P182" s="24"/>
      <c r="Q182" s="24"/>
      <c r="R182" s="26"/>
      <c r="S182" s="14">
        <f t="shared" si="13"/>
        <v>36.55133049</v>
      </c>
      <c r="U182" s="21"/>
      <c r="V182" s="21"/>
    </row>
    <row r="183">
      <c r="A183" s="11">
        <v>171.0</v>
      </c>
      <c r="B183" s="11">
        <v>1.42013913043478E9</v>
      </c>
      <c r="C183" s="2">
        <v>-102.1847153</v>
      </c>
      <c r="D183" s="24">
        <f t="shared" si="1"/>
        <v>-260869.5652</v>
      </c>
      <c r="E183" s="25">
        <f t="shared" si="2"/>
        <v>54.1794718</v>
      </c>
      <c r="F183" s="24">
        <f t="shared" si="3"/>
        <v>0.0002076879752</v>
      </c>
      <c r="G183" s="24">
        <f t="shared" si="4"/>
        <v>0</v>
      </c>
      <c r="H183" s="26">
        <f t="shared" si="5"/>
        <v>0</v>
      </c>
      <c r="I183" s="24">
        <f t="shared" si="6"/>
        <v>0</v>
      </c>
      <c r="J183" s="24">
        <f t="shared" si="7"/>
        <v>0</v>
      </c>
      <c r="K183" s="24"/>
      <c r="L183" s="24">
        <f t="shared" si="8"/>
        <v>459.8695324</v>
      </c>
      <c r="M183" s="14">
        <f t="shared" si="9"/>
        <v>416.7778447</v>
      </c>
      <c r="N183" s="27">
        <f t="shared" si="10"/>
        <v>43.0916877</v>
      </c>
      <c r="O183" s="24"/>
      <c r="P183" s="24"/>
      <c r="Q183" s="24"/>
      <c r="R183" s="26"/>
      <c r="S183" s="14">
        <f t="shared" si="13"/>
        <v>39.57093008</v>
      </c>
      <c r="U183" s="21"/>
      <c r="V183" s="21"/>
    </row>
    <row r="184">
      <c r="A184" s="11">
        <v>172.0</v>
      </c>
      <c r="B184" s="11">
        <v>1.42014347826087E9</v>
      </c>
      <c r="C184" s="2">
        <v>-102.1932144</v>
      </c>
      <c r="D184" s="24">
        <f t="shared" si="1"/>
        <v>-256521.7391</v>
      </c>
      <c r="E184" s="25">
        <f t="shared" si="2"/>
        <v>53.26117567</v>
      </c>
      <c r="F184" s="24">
        <f t="shared" si="3"/>
        <v>0.0002076283119</v>
      </c>
      <c r="G184" s="24">
        <f t="shared" si="4"/>
        <v>0</v>
      </c>
      <c r="H184" s="26">
        <f t="shared" si="5"/>
        <v>0</v>
      </c>
      <c r="I184" s="24">
        <f t="shared" si="6"/>
        <v>0</v>
      </c>
      <c r="J184" s="24">
        <f t="shared" si="7"/>
        <v>0</v>
      </c>
      <c r="K184" s="24"/>
      <c r="L184" s="24">
        <f t="shared" si="8"/>
        <v>458.9704524</v>
      </c>
      <c r="M184" s="14">
        <f t="shared" si="9"/>
        <v>416.6986079</v>
      </c>
      <c r="N184" s="27">
        <f t="shared" si="10"/>
        <v>42.27184445</v>
      </c>
      <c r="O184" s="24"/>
      <c r="P184" s="24"/>
      <c r="Q184" s="24"/>
      <c r="R184" s="26"/>
      <c r="S184" s="14">
        <f t="shared" si="13"/>
        <v>38.81807128</v>
      </c>
      <c r="U184" s="21"/>
      <c r="V184" s="21"/>
    </row>
    <row r="185">
      <c r="A185" s="11">
        <v>173.0</v>
      </c>
      <c r="B185" s="11">
        <v>1.42014782608695E9</v>
      </c>
      <c r="C185" s="2">
        <v>-102.2089691</v>
      </c>
      <c r="D185" s="24">
        <f t="shared" si="1"/>
        <v>-252173.913</v>
      </c>
      <c r="E185" s="25">
        <f t="shared" si="2"/>
        <v>52.34287953</v>
      </c>
      <c r="F185" s="24">
        <f t="shared" si="3"/>
        <v>0.0002075665912</v>
      </c>
      <c r="G185" s="24">
        <f t="shared" si="4"/>
        <v>0</v>
      </c>
      <c r="H185" s="26">
        <f t="shared" si="5"/>
        <v>0</v>
      </c>
      <c r="I185" s="24">
        <f t="shared" si="6"/>
        <v>0</v>
      </c>
      <c r="J185" s="24">
        <f t="shared" si="7"/>
        <v>0</v>
      </c>
      <c r="K185" s="24"/>
      <c r="L185" s="24">
        <f t="shared" si="8"/>
        <v>457.3084828</v>
      </c>
      <c r="M185" s="14">
        <f t="shared" si="9"/>
        <v>416.6194898</v>
      </c>
      <c r="N185" s="27">
        <f t="shared" si="10"/>
        <v>40.68899298</v>
      </c>
      <c r="O185" s="24"/>
      <c r="P185" s="24"/>
      <c r="Q185" s="24"/>
      <c r="R185" s="26"/>
      <c r="S185" s="14">
        <f t="shared" si="13"/>
        <v>37.3645449</v>
      </c>
      <c r="U185" s="21"/>
      <c r="V185" s="21"/>
    </row>
    <row r="186">
      <c r="A186" s="11">
        <v>174.0</v>
      </c>
      <c r="B186" s="11">
        <v>1.42015217391304E9</v>
      </c>
      <c r="C186" s="2">
        <v>-102.2650452</v>
      </c>
      <c r="D186" s="24">
        <f t="shared" si="1"/>
        <v>-247826.087</v>
      </c>
      <c r="E186" s="25">
        <f t="shared" si="2"/>
        <v>51.4245834</v>
      </c>
      <c r="F186" s="24">
        <f t="shared" si="3"/>
        <v>0.0002075027049</v>
      </c>
      <c r="G186" s="24">
        <f t="shared" si="4"/>
        <v>0</v>
      </c>
      <c r="H186" s="26">
        <f t="shared" si="5"/>
        <v>0</v>
      </c>
      <c r="I186" s="24">
        <f t="shared" si="6"/>
        <v>0</v>
      </c>
      <c r="J186" s="24">
        <f t="shared" si="7"/>
        <v>0</v>
      </c>
      <c r="K186" s="24"/>
      <c r="L186" s="24">
        <f t="shared" si="8"/>
        <v>451.4416737</v>
      </c>
      <c r="M186" s="14">
        <f t="shared" si="9"/>
        <v>416.5404893</v>
      </c>
      <c r="N186" s="27">
        <f t="shared" si="10"/>
        <v>34.90118434</v>
      </c>
      <c r="O186" s="24"/>
      <c r="P186" s="24"/>
      <c r="Q186" s="24"/>
      <c r="R186" s="26"/>
      <c r="S186" s="14">
        <f t="shared" si="13"/>
        <v>32.04962254</v>
      </c>
      <c r="U186" s="21"/>
      <c r="V186" s="21"/>
    </row>
    <row r="187">
      <c r="A187" s="11">
        <v>175.0</v>
      </c>
      <c r="B187" s="11">
        <v>1.42015652173913E9</v>
      </c>
      <c r="C187" s="2">
        <v>-102.1892319</v>
      </c>
      <c r="D187" s="24">
        <f t="shared" si="1"/>
        <v>-243478.2609</v>
      </c>
      <c r="E187" s="25">
        <f t="shared" si="2"/>
        <v>50.50628727</v>
      </c>
      <c r="F187" s="24">
        <f t="shared" si="3"/>
        <v>0.000207436537</v>
      </c>
      <c r="G187" s="24">
        <f t="shared" si="4"/>
        <v>0</v>
      </c>
      <c r="H187" s="26">
        <f t="shared" si="5"/>
        <v>0</v>
      </c>
      <c r="I187" s="24">
        <f t="shared" si="6"/>
        <v>0</v>
      </c>
      <c r="J187" s="24">
        <f t="shared" si="7"/>
        <v>0</v>
      </c>
      <c r="K187" s="24"/>
      <c r="L187" s="24">
        <f t="shared" si="8"/>
        <v>459.3915234</v>
      </c>
      <c r="M187" s="14">
        <f t="shared" si="9"/>
        <v>416.4616052</v>
      </c>
      <c r="N187" s="27">
        <f t="shared" si="10"/>
        <v>42.92991814</v>
      </c>
      <c r="O187" s="24"/>
      <c r="P187" s="24"/>
      <c r="Q187" s="24"/>
      <c r="R187" s="26"/>
      <c r="S187" s="14">
        <f t="shared" si="13"/>
        <v>39.4223778</v>
      </c>
      <c r="U187" s="21"/>
      <c r="V187" s="21"/>
    </row>
    <row r="188">
      <c r="A188" s="11">
        <v>176.0</v>
      </c>
      <c r="B188" s="11">
        <v>1.42016086956521E9</v>
      </c>
      <c r="C188" s="2">
        <v>-102.2319641</v>
      </c>
      <c r="D188" s="24">
        <f t="shared" si="1"/>
        <v>-239130.4348</v>
      </c>
      <c r="E188" s="25">
        <f t="shared" si="2"/>
        <v>49.58799114</v>
      </c>
      <c r="F188" s="24">
        <f t="shared" si="3"/>
        <v>0.0002073679629</v>
      </c>
      <c r="G188" s="24">
        <f t="shared" si="4"/>
        <v>0</v>
      </c>
      <c r="H188" s="26">
        <f t="shared" si="5"/>
        <v>0</v>
      </c>
      <c r="I188" s="24">
        <f t="shared" si="6"/>
        <v>0</v>
      </c>
      <c r="J188" s="24">
        <f t="shared" si="7"/>
        <v>0</v>
      </c>
      <c r="K188" s="24"/>
      <c r="L188" s="24">
        <f t="shared" si="8"/>
        <v>454.8935274</v>
      </c>
      <c r="M188" s="14">
        <f t="shared" si="9"/>
        <v>416.3828363</v>
      </c>
      <c r="N188" s="27">
        <f t="shared" si="10"/>
        <v>38.51069113</v>
      </c>
      <c r="O188" s="24"/>
      <c r="P188" s="24"/>
      <c r="Q188" s="24"/>
      <c r="R188" s="26"/>
      <c r="S188" s="14">
        <f t="shared" si="13"/>
        <v>35.36421874</v>
      </c>
      <c r="U188" s="21"/>
      <c r="V188" s="21"/>
    </row>
    <row r="189">
      <c r="A189" s="11">
        <v>177.0</v>
      </c>
      <c r="B189" s="11">
        <v>1.4201652173913E9</v>
      </c>
      <c r="C189" s="2">
        <v>-102.2085266</v>
      </c>
      <c r="D189" s="24">
        <f t="shared" si="1"/>
        <v>-234782.6087</v>
      </c>
      <c r="E189" s="25">
        <f t="shared" si="2"/>
        <v>48.669695</v>
      </c>
      <c r="F189" s="24">
        <f t="shared" si="3"/>
        <v>0.0002072968491</v>
      </c>
      <c r="G189" s="24">
        <f t="shared" si="4"/>
        <v>0</v>
      </c>
      <c r="H189" s="26">
        <f t="shared" si="5"/>
        <v>0</v>
      </c>
      <c r="I189" s="24">
        <f t="shared" si="6"/>
        <v>0</v>
      </c>
      <c r="J189" s="24">
        <f t="shared" si="7"/>
        <v>0</v>
      </c>
      <c r="K189" s="24"/>
      <c r="L189" s="24">
        <f t="shared" si="8"/>
        <v>457.3550801</v>
      </c>
      <c r="M189" s="14">
        <f t="shared" si="9"/>
        <v>416.3041813</v>
      </c>
      <c r="N189" s="27">
        <f t="shared" si="10"/>
        <v>41.05089877</v>
      </c>
      <c r="O189" s="24"/>
      <c r="P189" s="24"/>
      <c r="Q189" s="24"/>
      <c r="R189" s="26"/>
      <c r="S189" s="14">
        <f t="shared" si="13"/>
        <v>37.6968815</v>
      </c>
      <c r="U189" s="21"/>
      <c r="V189" s="21"/>
    </row>
    <row r="190">
      <c r="A190" s="11">
        <v>178.0</v>
      </c>
      <c r="B190" s="11">
        <v>1.42016956521739E9</v>
      </c>
      <c r="C190" s="2">
        <v>-102.1939316</v>
      </c>
      <c r="D190" s="24">
        <f t="shared" si="1"/>
        <v>-230434.7826</v>
      </c>
      <c r="E190" s="25">
        <f t="shared" si="2"/>
        <v>47.75139887</v>
      </c>
      <c r="F190" s="24">
        <f t="shared" si="3"/>
        <v>0.0002072230517</v>
      </c>
      <c r="G190" s="24">
        <f t="shared" si="4"/>
        <v>0</v>
      </c>
      <c r="H190" s="26">
        <f t="shared" si="5"/>
        <v>0</v>
      </c>
      <c r="I190" s="24">
        <f t="shared" si="6"/>
        <v>0</v>
      </c>
      <c r="J190" s="24">
        <f t="shared" si="7"/>
        <v>0</v>
      </c>
      <c r="K190" s="24"/>
      <c r="L190" s="24">
        <f t="shared" si="8"/>
        <v>458.8946636</v>
      </c>
      <c r="M190" s="14">
        <f t="shared" si="9"/>
        <v>416.2256391</v>
      </c>
      <c r="N190" s="27">
        <f t="shared" si="10"/>
        <v>42.66902446</v>
      </c>
      <c r="O190" s="24"/>
      <c r="P190" s="24"/>
      <c r="Q190" s="24"/>
      <c r="R190" s="26"/>
      <c r="S190" s="14">
        <f t="shared" si="13"/>
        <v>39.18280015</v>
      </c>
      <c r="U190" s="21"/>
      <c r="V190" s="21"/>
    </row>
    <row r="191">
      <c r="A191" s="11">
        <v>179.0</v>
      </c>
      <c r="B191" s="11">
        <v>1.42017391304347E9</v>
      </c>
      <c r="C191" s="2">
        <v>-102.2098465</v>
      </c>
      <c r="D191" s="24">
        <f t="shared" si="1"/>
        <v>-226086.9565</v>
      </c>
      <c r="E191" s="25">
        <f t="shared" si="2"/>
        <v>46.83310274</v>
      </c>
      <c r="F191" s="24">
        <f t="shared" si="3"/>
        <v>0.000207146416</v>
      </c>
      <c r="G191" s="24">
        <f t="shared" si="4"/>
        <v>0</v>
      </c>
      <c r="H191" s="26">
        <f t="shared" si="5"/>
        <v>0</v>
      </c>
      <c r="I191" s="24">
        <f t="shared" si="6"/>
        <v>0</v>
      </c>
      <c r="J191" s="24">
        <f t="shared" si="7"/>
        <v>0</v>
      </c>
      <c r="K191" s="24"/>
      <c r="L191" s="24">
        <f t="shared" si="8"/>
        <v>457.2161027</v>
      </c>
      <c r="M191" s="14">
        <f t="shared" si="9"/>
        <v>416.1472085</v>
      </c>
      <c r="N191" s="27">
        <f t="shared" si="10"/>
        <v>41.06889413</v>
      </c>
      <c r="O191" s="24"/>
      <c r="P191" s="24"/>
      <c r="Q191" s="24"/>
      <c r="R191" s="26"/>
      <c r="S191" s="14">
        <f t="shared" si="13"/>
        <v>37.71340666</v>
      </c>
      <c r="U191" s="21"/>
      <c r="V191" s="21"/>
    </row>
    <row r="192">
      <c r="A192" s="11">
        <v>180.0</v>
      </c>
      <c r="B192" s="11">
        <v>1.42017826086956E9</v>
      </c>
      <c r="C192" s="2">
        <v>-102.173233</v>
      </c>
      <c r="D192" s="24">
        <f t="shared" si="1"/>
        <v>-221739.1304</v>
      </c>
      <c r="E192" s="25">
        <f t="shared" si="2"/>
        <v>45.91480661</v>
      </c>
      <c r="F192" s="24">
        <f t="shared" si="3"/>
        <v>0.0002070667749</v>
      </c>
      <c r="G192" s="24">
        <f t="shared" si="4"/>
        <v>0</v>
      </c>
      <c r="H192" s="26">
        <f t="shared" si="5"/>
        <v>0</v>
      </c>
      <c r="I192" s="24">
        <f t="shared" si="6"/>
        <v>0</v>
      </c>
      <c r="J192" s="24">
        <f t="shared" si="7"/>
        <v>0</v>
      </c>
      <c r="K192" s="24"/>
      <c r="L192" s="24">
        <f t="shared" si="8"/>
        <v>461.086989</v>
      </c>
      <c r="M192" s="14">
        <f t="shared" si="9"/>
        <v>416.0688883</v>
      </c>
      <c r="N192" s="27">
        <f t="shared" si="10"/>
        <v>45.01810062</v>
      </c>
      <c r="O192" s="24"/>
      <c r="P192" s="24"/>
      <c r="Q192" s="24"/>
      <c r="R192" s="26"/>
      <c r="S192" s="14">
        <f t="shared" si="13"/>
        <v>41.33994761</v>
      </c>
      <c r="U192" s="21"/>
      <c r="V192" s="21"/>
    </row>
    <row r="193">
      <c r="A193" s="11">
        <v>181.0</v>
      </c>
      <c r="B193" s="11">
        <v>1.42018260869565E9</v>
      </c>
      <c r="C193" s="2">
        <v>-102.2754517</v>
      </c>
      <c r="D193" s="24">
        <f t="shared" si="1"/>
        <v>-217391.3043</v>
      </c>
      <c r="E193" s="25">
        <f t="shared" si="2"/>
        <v>44.99651048</v>
      </c>
      <c r="F193" s="24">
        <f t="shared" si="3"/>
        <v>0.0002069839482</v>
      </c>
      <c r="G193" s="24">
        <f t="shared" si="4"/>
        <v>0</v>
      </c>
      <c r="H193" s="26">
        <f t="shared" si="5"/>
        <v>0</v>
      </c>
      <c r="I193" s="24">
        <f t="shared" si="6"/>
        <v>0</v>
      </c>
      <c r="J193" s="24">
        <f t="shared" si="7"/>
        <v>0</v>
      </c>
      <c r="K193" s="24"/>
      <c r="L193" s="24">
        <f t="shared" si="8"/>
        <v>450.3612308</v>
      </c>
      <c r="M193" s="14">
        <f t="shared" si="9"/>
        <v>415.9906773</v>
      </c>
      <c r="N193" s="27">
        <f t="shared" si="10"/>
        <v>34.3705535</v>
      </c>
      <c r="O193" s="24"/>
      <c r="P193" s="24"/>
      <c r="Q193" s="24"/>
      <c r="R193" s="26"/>
      <c r="S193" s="14">
        <f t="shared" si="13"/>
        <v>31.56234636</v>
      </c>
      <c r="U193" s="21"/>
      <c r="V193" s="21"/>
    </row>
    <row r="194">
      <c r="A194" s="11">
        <v>182.0</v>
      </c>
      <c r="B194" s="11">
        <v>1.42018695652173E9</v>
      </c>
      <c r="C194" s="2">
        <v>-102.2110596</v>
      </c>
      <c r="D194" s="24">
        <f t="shared" si="1"/>
        <v>-213043.4783</v>
      </c>
      <c r="E194" s="25">
        <f t="shared" si="2"/>
        <v>44.07821434</v>
      </c>
      <c r="F194" s="24">
        <f t="shared" si="3"/>
        <v>0.0002068977408</v>
      </c>
      <c r="G194" s="24">
        <f t="shared" si="4"/>
        <v>0</v>
      </c>
      <c r="H194" s="26">
        <f t="shared" si="5"/>
        <v>0</v>
      </c>
      <c r="I194" s="24">
        <f t="shared" si="6"/>
        <v>0</v>
      </c>
      <c r="J194" s="24">
        <f t="shared" si="7"/>
        <v>0</v>
      </c>
      <c r="K194" s="24"/>
      <c r="L194" s="24">
        <f t="shared" si="8"/>
        <v>457.0884079</v>
      </c>
      <c r="M194" s="14">
        <f t="shared" si="9"/>
        <v>415.9125743</v>
      </c>
      <c r="N194" s="27">
        <f t="shared" si="10"/>
        <v>41.17583355</v>
      </c>
      <c r="O194" s="24"/>
      <c r="P194" s="24"/>
      <c r="Q194" s="24"/>
      <c r="R194" s="26"/>
      <c r="S194" s="14">
        <f t="shared" si="13"/>
        <v>37.81160871</v>
      </c>
      <c r="U194" s="21"/>
      <c r="V194" s="21"/>
    </row>
    <row r="195">
      <c r="A195" s="11">
        <v>183.0</v>
      </c>
      <c r="B195" s="11">
        <v>1.42019130434782E9</v>
      </c>
      <c r="C195" s="2">
        <v>-102.1939087</v>
      </c>
      <c r="D195" s="24">
        <f t="shared" si="1"/>
        <v>-208695.6522</v>
      </c>
      <c r="E195" s="25">
        <f t="shared" si="2"/>
        <v>43.15991821</v>
      </c>
      <c r="F195" s="24">
        <f t="shared" si="3"/>
        <v>0.0002068079414</v>
      </c>
      <c r="G195" s="24">
        <f t="shared" si="4"/>
        <v>0</v>
      </c>
      <c r="H195" s="26">
        <f t="shared" si="5"/>
        <v>0</v>
      </c>
      <c r="I195" s="24">
        <f t="shared" si="6"/>
        <v>0</v>
      </c>
      <c r="J195" s="24">
        <f t="shared" si="7"/>
        <v>0</v>
      </c>
      <c r="K195" s="24"/>
      <c r="L195" s="24">
        <f t="shared" si="8"/>
        <v>458.8970833</v>
      </c>
      <c r="M195" s="14">
        <f t="shared" si="9"/>
        <v>415.8345781</v>
      </c>
      <c r="N195" s="27">
        <f t="shared" si="10"/>
        <v>43.06250518</v>
      </c>
      <c r="O195" s="24"/>
      <c r="P195" s="24"/>
      <c r="Q195" s="24"/>
      <c r="R195" s="26"/>
      <c r="S195" s="14">
        <f t="shared" si="13"/>
        <v>39.54413197</v>
      </c>
      <c r="U195" s="21"/>
      <c r="V195" s="21"/>
    </row>
    <row r="196">
      <c r="A196" s="11">
        <v>184.0</v>
      </c>
      <c r="B196" s="11">
        <v>1.42019565217391E9</v>
      </c>
      <c r="C196" s="2">
        <v>-102.2302704</v>
      </c>
      <c r="D196" s="24">
        <f t="shared" si="1"/>
        <v>-204347.8261</v>
      </c>
      <c r="E196" s="25">
        <f t="shared" si="2"/>
        <v>42.24162208</v>
      </c>
      <c r="F196" s="24">
        <f t="shared" si="3"/>
        <v>0.0002067143208</v>
      </c>
      <c r="G196" s="24">
        <f t="shared" si="4"/>
        <v>0</v>
      </c>
      <c r="H196" s="26">
        <f t="shared" si="5"/>
        <v>0</v>
      </c>
      <c r="I196" s="24">
        <f t="shared" si="6"/>
        <v>0</v>
      </c>
      <c r="J196" s="24">
        <f t="shared" si="7"/>
        <v>0</v>
      </c>
      <c r="K196" s="24"/>
      <c r="L196" s="24">
        <f t="shared" si="8"/>
        <v>455.0709654</v>
      </c>
      <c r="M196" s="14">
        <f t="shared" si="9"/>
        <v>415.7566875</v>
      </c>
      <c r="N196" s="27">
        <f t="shared" si="10"/>
        <v>39.31427786</v>
      </c>
      <c r="O196" s="24"/>
      <c r="P196" s="24"/>
      <c r="Q196" s="24"/>
      <c r="R196" s="26"/>
      <c r="S196" s="14">
        <f t="shared" si="13"/>
        <v>36.10214924</v>
      </c>
      <c r="U196" s="21"/>
      <c r="V196" s="21"/>
    </row>
    <row r="197">
      <c r="A197" s="11">
        <v>185.0</v>
      </c>
      <c r="B197" s="11">
        <v>1.4202E9</v>
      </c>
      <c r="C197" s="2">
        <v>-102.1720352</v>
      </c>
      <c r="D197" s="24">
        <f t="shared" si="1"/>
        <v>-200000</v>
      </c>
      <c r="E197" s="25">
        <f t="shared" si="2"/>
        <v>41.32332595</v>
      </c>
      <c r="F197" s="24">
        <f t="shared" si="3"/>
        <v>0.0002066166297</v>
      </c>
      <c r="G197" s="24">
        <f t="shared" si="4"/>
        <v>0</v>
      </c>
      <c r="H197" s="26">
        <f t="shared" si="5"/>
        <v>0</v>
      </c>
      <c r="I197" s="24">
        <f t="shared" si="6"/>
        <v>0</v>
      </c>
      <c r="J197" s="24">
        <f t="shared" si="7"/>
        <v>0</v>
      </c>
      <c r="K197" s="24"/>
      <c r="L197" s="24">
        <f t="shared" si="8"/>
        <v>461.214176</v>
      </c>
      <c r="M197" s="14">
        <f t="shared" si="9"/>
        <v>415.6789014</v>
      </c>
      <c r="N197" s="27">
        <f t="shared" si="10"/>
        <v>45.5352746</v>
      </c>
      <c r="O197" s="24"/>
      <c r="P197" s="24"/>
      <c r="Q197" s="24"/>
      <c r="R197" s="26"/>
      <c r="S197" s="14">
        <f t="shared" si="13"/>
        <v>41.81486656</v>
      </c>
      <c r="U197" s="21"/>
      <c r="V197" s="21"/>
    </row>
    <row r="198">
      <c r="A198" s="11">
        <v>186.0</v>
      </c>
      <c r="B198" s="11">
        <v>1.42020434782608E9</v>
      </c>
      <c r="C198" s="2">
        <v>-102.2265778</v>
      </c>
      <c r="D198" s="24">
        <f t="shared" si="1"/>
        <v>-195652.1739</v>
      </c>
      <c r="E198" s="25">
        <f t="shared" si="2"/>
        <v>40.40502981</v>
      </c>
      <c r="F198" s="24">
        <f t="shared" si="3"/>
        <v>0.0002065145968</v>
      </c>
      <c r="G198" s="24">
        <f t="shared" si="4"/>
        <v>0</v>
      </c>
      <c r="H198" s="26">
        <f t="shared" si="5"/>
        <v>0</v>
      </c>
      <c r="I198" s="24">
        <f t="shared" si="6"/>
        <v>0</v>
      </c>
      <c r="J198" s="24">
        <f t="shared" si="7"/>
        <v>0</v>
      </c>
      <c r="K198" s="24"/>
      <c r="L198" s="24">
        <f t="shared" si="8"/>
        <v>455.4580552</v>
      </c>
      <c r="M198" s="14">
        <f t="shared" si="9"/>
        <v>415.6012184</v>
      </c>
      <c r="N198" s="27">
        <f t="shared" si="10"/>
        <v>39.85683679</v>
      </c>
      <c r="O198" s="24"/>
      <c r="P198" s="24"/>
      <c r="Q198" s="24"/>
      <c r="R198" s="26"/>
      <c r="S198" s="14">
        <f t="shared" si="13"/>
        <v>36.60037909</v>
      </c>
      <c r="U198" s="21"/>
      <c r="V198" s="21"/>
    </row>
    <row r="199">
      <c r="A199" s="11">
        <v>187.0</v>
      </c>
      <c r="B199" s="11">
        <v>1.42020869565217E9</v>
      </c>
      <c r="C199" s="2">
        <v>-102.2119217</v>
      </c>
      <c r="D199" s="24">
        <f t="shared" si="1"/>
        <v>-191304.3478</v>
      </c>
      <c r="E199" s="25">
        <f t="shared" si="2"/>
        <v>39.48673368</v>
      </c>
      <c r="F199" s="24">
        <f t="shared" si="3"/>
        <v>0.0002064079261</v>
      </c>
      <c r="G199" s="24">
        <f t="shared" si="4"/>
        <v>0</v>
      </c>
      <c r="H199" s="26">
        <f t="shared" si="5"/>
        <v>0</v>
      </c>
      <c r="I199" s="24">
        <f t="shared" si="6"/>
        <v>0</v>
      </c>
      <c r="J199" s="24">
        <f t="shared" si="7"/>
        <v>0</v>
      </c>
      <c r="K199" s="24"/>
      <c r="L199" s="24">
        <f t="shared" si="8"/>
        <v>456.9976822</v>
      </c>
      <c r="M199" s="14">
        <f t="shared" si="9"/>
        <v>415.5236375</v>
      </c>
      <c r="N199" s="27">
        <f t="shared" si="10"/>
        <v>41.47404469</v>
      </c>
      <c r="O199" s="24"/>
      <c r="P199" s="24"/>
      <c r="Q199" s="24"/>
      <c r="R199" s="26"/>
      <c r="S199" s="14">
        <f t="shared" si="13"/>
        <v>38.08545476</v>
      </c>
      <c r="U199" s="21"/>
      <c r="V199" s="21"/>
    </row>
    <row r="200">
      <c r="A200" s="11">
        <v>188.0</v>
      </c>
      <c r="B200" s="11">
        <v>1.42021304347826E9</v>
      </c>
      <c r="C200" s="2">
        <v>-102.1817398</v>
      </c>
      <c r="D200" s="24">
        <f t="shared" si="1"/>
        <v>-186956.5217</v>
      </c>
      <c r="E200" s="25">
        <f t="shared" si="2"/>
        <v>38.56843755</v>
      </c>
      <c r="F200" s="24">
        <f t="shared" si="3"/>
        <v>0.0002062962939</v>
      </c>
      <c r="G200" s="24">
        <f t="shared" si="4"/>
        <v>0</v>
      </c>
      <c r="H200" s="26">
        <f t="shared" si="5"/>
        <v>0</v>
      </c>
      <c r="I200" s="24">
        <f t="shared" si="6"/>
        <v>0</v>
      </c>
      <c r="J200" s="24">
        <f t="shared" si="7"/>
        <v>0</v>
      </c>
      <c r="K200" s="24"/>
      <c r="L200" s="24">
        <f t="shared" si="8"/>
        <v>460.1847127</v>
      </c>
      <c r="M200" s="14">
        <f t="shared" si="9"/>
        <v>415.4461574</v>
      </c>
      <c r="N200" s="27">
        <f t="shared" si="10"/>
        <v>44.73855538</v>
      </c>
      <c r="O200" s="24"/>
      <c r="P200" s="24"/>
      <c r="Q200" s="24"/>
      <c r="R200" s="26"/>
      <c r="S200" s="14">
        <f t="shared" si="13"/>
        <v>41.08324239</v>
      </c>
      <c r="U200" s="21"/>
      <c r="V200" s="21"/>
    </row>
    <row r="201">
      <c r="A201" s="11">
        <v>189.0</v>
      </c>
      <c r="B201" s="11">
        <v>1.42021739130434E9</v>
      </c>
      <c r="C201" s="2">
        <v>-102.1858749</v>
      </c>
      <c r="D201" s="24">
        <f t="shared" si="1"/>
        <v>-182608.6957</v>
      </c>
      <c r="E201" s="25">
        <f t="shared" si="2"/>
        <v>37.65014142</v>
      </c>
      <c r="F201" s="24">
        <f t="shared" si="3"/>
        <v>0.0002061793459</v>
      </c>
      <c r="G201" s="24">
        <f t="shared" si="4"/>
        <v>0</v>
      </c>
      <c r="H201" s="26">
        <f t="shared" si="5"/>
        <v>0</v>
      </c>
      <c r="I201" s="24">
        <f t="shared" si="6"/>
        <v>0</v>
      </c>
      <c r="J201" s="24">
        <f t="shared" si="7"/>
        <v>0</v>
      </c>
      <c r="K201" s="24"/>
      <c r="L201" s="24">
        <f t="shared" si="8"/>
        <v>459.7467601</v>
      </c>
      <c r="M201" s="14">
        <f t="shared" si="9"/>
        <v>415.3687769</v>
      </c>
      <c r="N201" s="27">
        <f t="shared" si="10"/>
        <v>44.37798322</v>
      </c>
      <c r="O201" s="24"/>
      <c r="P201" s="24"/>
      <c r="Q201" s="24"/>
      <c r="R201" s="26"/>
      <c r="S201" s="14">
        <f t="shared" si="13"/>
        <v>40.75213037</v>
      </c>
      <c r="U201" s="21"/>
      <c r="V201" s="21"/>
    </row>
    <row r="202">
      <c r="A202" s="11">
        <v>190.0</v>
      </c>
      <c r="B202" s="11">
        <v>1.42022173913043E9</v>
      </c>
      <c r="C202" s="2">
        <v>-102.2179718</v>
      </c>
      <c r="D202" s="24">
        <f t="shared" si="1"/>
        <v>-178260.8696</v>
      </c>
      <c r="E202" s="25">
        <f t="shared" si="2"/>
        <v>36.73184529</v>
      </c>
      <c r="F202" s="24">
        <f t="shared" si="3"/>
        <v>0.0002060566931</v>
      </c>
      <c r="G202" s="24">
        <f t="shared" si="4"/>
        <v>0</v>
      </c>
      <c r="H202" s="26">
        <f t="shared" si="5"/>
        <v>0</v>
      </c>
      <c r="I202" s="24">
        <f t="shared" si="6"/>
        <v>0</v>
      </c>
      <c r="J202" s="24">
        <f t="shared" si="7"/>
        <v>0</v>
      </c>
      <c r="K202" s="24"/>
      <c r="L202" s="24">
        <f t="shared" si="8"/>
        <v>456.3614879</v>
      </c>
      <c r="M202" s="14">
        <f t="shared" si="9"/>
        <v>415.2914948</v>
      </c>
      <c r="N202" s="27">
        <f t="shared" si="10"/>
        <v>41.06999304</v>
      </c>
      <c r="O202" s="24"/>
      <c r="P202" s="24"/>
      <c r="Q202" s="24"/>
      <c r="R202" s="26"/>
      <c r="S202" s="14">
        <f t="shared" si="13"/>
        <v>37.71441569</v>
      </c>
      <c r="U202" s="21"/>
      <c r="V202" s="21"/>
    </row>
    <row r="203">
      <c r="A203" s="11">
        <v>191.0</v>
      </c>
      <c r="B203" s="11">
        <v>1.42022608695652E9</v>
      </c>
      <c r="C203" s="2">
        <v>-102.1935043</v>
      </c>
      <c r="D203" s="24">
        <f t="shared" si="1"/>
        <v>-173913.0435</v>
      </c>
      <c r="E203" s="25">
        <f t="shared" si="2"/>
        <v>35.81354916</v>
      </c>
      <c r="F203" s="24">
        <f t="shared" si="3"/>
        <v>0.0002059279076</v>
      </c>
      <c r="G203" s="24">
        <f t="shared" si="4"/>
        <v>0</v>
      </c>
      <c r="H203" s="26">
        <f t="shared" si="5"/>
        <v>0</v>
      </c>
      <c r="I203" s="24">
        <f t="shared" si="6"/>
        <v>0</v>
      </c>
      <c r="J203" s="24">
        <f t="shared" si="7"/>
        <v>0</v>
      </c>
      <c r="K203" s="24"/>
      <c r="L203" s="24">
        <f t="shared" si="8"/>
        <v>458.9398162</v>
      </c>
      <c r="M203" s="14">
        <f t="shared" si="9"/>
        <v>415.21431</v>
      </c>
      <c r="N203" s="27">
        <f t="shared" si="10"/>
        <v>43.72550619</v>
      </c>
      <c r="O203" s="24"/>
      <c r="P203" s="24"/>
      <c r="Q203" s="24"/>
      <c r="R203" s="26"/>
      <c r="S203" s="14">
        <f t="shared" si="13"/>
        <v>40.15296324</v>
      </c>
      <c r="U203" s="21"/>
      <c r="V203" s="21"/>
    </row>
    <row r="204">
      <c r="A204" s="11">
        <v>192.0</v>
      </c>
      <c r="B204" s="11">
        <v>1.4202304347826E9</v>
      </c>
      <c r="C204" s="2">
        <v>-102.2314606</v>
      </c>
      <c r="D204" s="24">
        <f t="shared" si="1"/>
        <v>-169565.2174</v>
      </c>
      <c r="E204" s="25">
        <f t="shared" si="2"/>
        <v>34.89525302</v>
      </c>
      <c r="F204" s="24">
        <f t="shared" si="3"/>
        <v>0.0002057925178</v>
      </c>
      <c r="G204" s="24">
        <f t="shared" si="4"/>
        <v>0</v>
      </c>
      <c r="H204" s="26">
        <f t="shared" si="5"/>
        <v>0</v>
      </c>
      <c r="I204" s="24">
        <f t="shared" si="6"/>
        <v>0</v>
      </c>
      <c r="J204" s="24">
        <f t="shared" si="7"/>
        <v>0</v>
      </c>
      <c r="K204" s="24"/>
      <c r="L204" s="24">
        <f t="shared" si="8"/>
        <v>454.9462686</v>
      </c>
      <c r="M204" s="14">
        <f t="shared" si="9"/>
        <v>415.1372212</v>
      </c>
      <c r="N204" s="27">
        <f t="shared" si="10"/>
        <v>39.80904738</v>
      </c>
      <c r="O204" s="24"/>
      <c r="P204" s="24"/>
      <c r="Q204" s="24"/>
      <c r="R204" s="26"/>
      <c r="S204" s="14">
        <f t="shared" si="13"/>
        <v>36.55649425</v>
      </c>
      <c r="U204" s="21"/>
      <c r="V204" s="21"/>
    </row>
    <row r="205">
      <c r="A205" s="11">
        <v>193.0</v>
      </c>
      <c r="B205" s="11">
        <v>1.42023478260869E9</v>
      </c>
      <c r="C205" s="2">
        <v>-102.1682358</v>
      </c>
      <c r="D205" s="24">
        <f t="shared" si="1"/>
        <v>-165217.3913</v>
      </c>
      <c r="E205" s="25">
        <f t="shared" si="2"/>
        <v>33.97695689</v>
      </c>
      <c r="F205" s="24">
        <f t="shared" si="3"/>
        <v>0.0002056500022</v>
      </c>
      <c r="G205" s="24">
        <f t="shared" si="4"/>
        <v>0</v>
      </c>
      <c r="H205" s="26">
        <f t="shared" si="5"/>
        <v>0</v>
      </c>
      <c r="I205" s="24">
        <f t="shared" si="6"/>
        <v>0</v>
      </c>
      <c r="J205" s="24">
        <f t="shared" si="7"/>
        <v>0</v>
      </c>
      <c r="K205" s="24"/>
      <c r="L205" s="24">
        <f t="shared" si="8"/>
        <v>461.617843</v>
      </c>
      <c r="M205" s="14">
        <f t="shared" si="9"/>
        <v>415.0602273</v>
      </c>
      <c r="N205" s="27">
        <f t="shared" si="10"/>
        <v>46.55761573</v>
      </c>
      <c r="O205" s="24"/>
      <c r="P205" s="24"/>
      <c r="Q205" s="24"/>
      <c r="R205" s="26"/>
      <c r="S205" s="14">
        <f t="shared" si="13"/>
        <v>42.75367848</v>
      </c>
      <c r="U205" s="21"/>
      <c r="V205" s="21"/>
    </row>
    <row r="206">
      <c r="A206" s="11">
        <v>194.0</v>
      </c>
      <c r="B206" s="11">
        <v>1.42023913043478E9</v>
      </c>
      <c r="C206" s="2">
        <v>-102.1942749</v>
      </c>
      <c r="D206" s="24">
        <f t="shared" si="1"/>
        <v>-160869.5652</v>
      </c>
      <c r="E206" s="25">
        <f t="shared" si="2"/>
        <v>33.05866076</v>
      </c>
      <c r="F206" s="24">
        <f t="shared" si="3"/>
        <v>0.0002054997831</v>
      </c>
      <c r="G206" s="24">
        <f t="shared" si="4"/>
        <v>0</v>
      </c>
      <c r="H206" s="26">
        <f t="shared" si="5"/>
        <v>0</v>
      </c>
      <c r="I206" s="24">
        <f t="shared" si="6"/>
        <v>0</v>
      </c>
      <c r="J206" s="24">
        <f t="shared" si="7"/>
        <v>0</v>
      </c>
      <c r="K206" s="24"/>
      <c r="L206" s="24">
        <f t="shared" si="8"/>
        <v>458.8583904</v>
      </c>
      <c r="M206" s="14">
        <f t="shared" si="9"/>
        <v>414.983327</v>
      </c>
      <c r="N206" s="27">
        <f t="shared" si="10"/>
        <v>43.87506339</v>
      </c>
      <c r="O206" s="24"/>
      <c r="P206" s="24"/>
      <c r="Q206" s="24"/>
      <c r="R206" s="26"/>
      <c r="S206" s="14">
        <f t="shared" si="13"/>
        <v>40.29030094</v>
      </c>
      <c r="U206" s="21"/>
      <c r="V206" s="21"/>
    </row>
    <row r="207">
      <c r="A207" s="11">
        <v>195.0</v>
      </c>
      <c r="B207" s="11">
        <v>1.42024347826087E9</v>
      </c>
      <c r="C207" s="2">
        <v>-102.0806427</v>
      </c>
      <c r="D207" s="24">
        <f t="shared" si="1"/>
        <v>-156521.7391</v>
      </c>
      <c r="E207" s="25">
        <f t="shared" si="2"/>
        <v>32.14036463</v>
      </c>
      <c r="F207" s="24">
        <f t="shared" si="3"/>
        <v>0.0002053412184</v>
      </c>
      <c r="G207" s="24">
        <f t="shared" si="4"/>
        <v>0</v>
      </c>
      <c r="H207" s="26">
        <f t="shared" si="5"/>
        <v>0</v>
      </c>
      <c r="I207" s="24">
        <f t="shared" si="6"/>
        <v>0</v>
      </c>
      <c r="J207" s="24">
        <f t="shared" si="7"/>
        <v>0</v>
      </c>
      <c r="K207" s="24"/>
      <c r="L207" s="24">
        <f t="shared" si="8"/>
        <v>471.0227648</v>
      </c>
      <c r="M207" s="14">
        <f t="shared" si="9"/>
        <v>414.9065192</v>
      </c>
      <c r="N207" s="27">
        <f t="shared" si="10"/>
        <v>56.11624563</v>
      </c>
      <c r="O207" s="24"/>
      <c r="P207" s="24"/>
      <c r="Q207" s="24"/>
      <c r="R207" s="26"/>
      <c r="S207" s="14">
        <f t="shared" si="13"/>
        <v>51.53133134</v>
      </c>
      <c r="U207" s="21"/>
      <c r="V207" s="21"/>
    </row>
    <row r="208">
      <c r="A208" s="11">
        <v>196.0</v>
      </c>
      <c r="B208" s="11">
        <v>1.42024782608695E9</v>
      </c>
      <c r="C208" s="2">
        <v>-102.1757126</v>
      </c>
      <c r="D208" s="24">
        <f t="shared" si="1"/>
        <v>-152173.913</v>
      </c>
      <c r="E208" s="25">
        <f t="shared" si="2"/>
        <v>31.22206849</v>
      </c>
      <c r="F208" s="24">
        <f t="shared" si="3"/>
        <v>0.0002051735929</v>
      </c>
      <c r="G208" s="24">
        <f t="shared" si="4"/>
        <v>0</v>
      </c>
      <c r="H208" s="26">
        <f t="shared" si="5"/>
        <v>0</v>
      </c>
      <c r="I208" s="24">
        <f t="shared" si="6"/>
        <v>0</v>
      </c>
      <c r="J208" s="24">
        <f t="shared" si="7"/>
        <v>0</v>
      </c>
      <c r="K208" s="24"/>
      <c r="L208" s="24">
        <f t="shared" si="8"/>
        <v>460.8238069</v>
      </c>
      <c r="M208" s="14">
        <f t="shared" si="9"/>
        <v>414.8298027</v>
      </c>
      <c r="N208" s="27">
        <f t="shared" si="10"/>
        <v>45.99400428</v>
      </c>
      <c r="O208" s="24"/>
      <c r="P208" s="24"/>
      <c r="Q208" s="24"/>
      <c r="R208" s="26"/>
      <c r="S208" s="14">
        <f t="shared" si="13"/>
        <v>42.23611626</v>
      </c>
      <c r="U208" s="21"/>
      <c r="V208" s="21"/>
    </row>
    <row r="209">
      <c r="A209" s="11">
        <v>197.0</v>
      </c>
      <c r="B209" s="11">
        <v>1.42025217391304E9</v>
      </c>
      <c r="C209" s="2">
        <v>-102.0686722</v>
      </c>
      <c r="D209" s="24">
        <f t="shared" si="1"/>
        <v>-147826.087</v>
      </c>
      <c r="E209" s="25">
        <f t="shared" si="2"/>
        <v>30.30377236</v>
      </c>
      <c r="F209" s="24">
        <f t="shared" si="3"/>
        <v>0.0002049961071</v>
      </c>
      <c r="G209" s="24">
        <f t="shared" si="4"/>
        <v>0</v>
      </c>
      <c r="H209" s="26">
        <f t="shared" si="5"/>
        <v>0</v>
      </c>
      <c r="I209" s="24">
        <f t="shared" si="6"/>
        <v>0</v>
      </c>
      <c r="J209" s="24">
        <f t="shared" si="7"/>
        <v>0</v>
      </c>
      <c r="K209" s="24"/>
      <c r="L209" s="24">
        <f t="shared" si="8"/>
        <v>472.3228402</v>
      </c>
      <c r="M209" s="14">
        <f t="shared" si="9"/>
        <v>414.7531762</v>
      </c>
      <c r="N209" s="27">
        <f t="shared" si="10"/>
        <v>57.56966409</v>
      </c>
      <c r="O209" s="24"/>
      <c r="P209" s="24"/>
      <c r="Q209" s="24"/>
      <c r="R209" s="26"/>
      <c r="S209" s="14">
        <f t="shared" si="13"/>
        <v>52.86599978</v>
      </c>
      <c r="U209" s="21"/>
      <c r="V209" s="21"/>
    </row>
    <row r="210">
      <c r="A210" s="11">
        <v>198.0</v>
      </c>
      <c r="B210" s="11">
        <v>1.42025652173913E9</v>
      </c>
      <c r="C210" s="2">
        <v>-102.1204376</v>
      </c>
      <c r="D210" s="24">
        <f t="shared" si="1"/>
        <v>-143478.2609</v>
      </c>
      <c r="E210" s="25">
        <f t="shared" si="2"/>
        <v>29.38547623</v>
      </c>
      <c r="F210" s="24">
        <f t="shared" si="3"/>
        <v>0.0002048078646</v>
      </c>
      <c r="G210" s="24">
        <f t="shared" si="4"/>
        <v>0</v>
      </c>
      <c r="H210" s="26">
        <f t="shared" si="5"/>
        <v>0</v>
      </c>
      <c r="I210" s="24">
        <f t="shared" si="6"/>
        <v>0</v>
      </c>
      <c r="J210" s="24">
        <f t="shared" si="7"/>
        <v>0</v>
      </c>
      <c r="K210" s="24"/>
      <c r="L210" s="24">
        <f t="shared" si="8"/>
        <v>466.7264433</v>
      </c>
      <c r="M210" s="14">
        <f t="shared" si="9"/>
        <v>414.6766385</v>
      </c>
      <c r="N210" s="27">
        <f t="shared" si="10"/>
        <v>52.04980478</v>
      </c>
      <c r="O210" s="24"/>
      <c r="P210" s="24"/>
      <c r="Q210" s="24"/>
      <c r="R210" s="26"/>
      <c r="S210" s="14">
        <f t="shared" si="13"/>
        <v>47.79713444</v>
      </c>
      <c r="U210" s="21"/>
      <c r="V210" s="21"/>
    </row>
    <row r="211">
      <c r="A211" s="11">
        <v>199.0</v>
      </c>
      <c r="B211" s="11">
        <v>1.42026086956521E9</v>
      </c>
      <c r="C211" s="2">
        <v>-102.1418381</v>
      </c>
      <c r="D211" s="24">
        <f t="shared" si="1"/>
        <v>-139130.4348</v>
      </c>
      <c r="E211" s="25">
        <f t="shared" si="2"/>
        <v>28.4671801</v>
      </c>
      <c r="F211" s="24">
        <f t="shared" si="3"/>
        <v>0.0002046078569</v>
      </c>
      <c r="G211" s="24">
        <f t="shared" si="4"/>
        <v>0</v>
      </c>
      <c r="H211" s="26">
        <f t="shared" si="5"/>
        <v>0</v>
      </c>
      <c r="I211" s="24">
        <f t="shared" si="6"/>
        <v>0</v>
      </c>
      <c r="J211" s="24">
        <f t="shared" si="7"/>
        <v>0</v>
      </c>
      <c r="K211" s="24"/>
      <c r="L211" s="24">
        <f t="shared" si="8"/>
        <v>464.4322372</v>
      </c>
      <c r="M211" s="14">
        <f t="shared" si="9"/>
        <v>414.6001885</v>
      </c>
      <c r="N211" s="27">
        <f t="shared" si="10"/>
        <v>49.83204864</v>
      </c>
      <c r="O211" s="24"/>
      <c r="P211" s="24"/>
      <c r="Q211" s="24"/>
      <c r="R211" s="26"/>
      <c r="S211" s="14">
        <f t="shared" si="13"/>
        <v>45.76057756</v>
      </c>
      <c r="U211" s="21"/>
      <c r="V211" s="21"/>
    </row>
    <row r="212">
      <c r="A212" s="11">
        <v>200.0</v>
      </c>
      <c r="B212" s="11">
        <v>1.4202652173913E9</v>
      </c>
      <c r="C212" s="2">
        <v>-102.0598984</v>
      </c>
      <c r="D212" s="24">
        <f t="shared" si="1"/>
        <v>-134782.6087</v>
      </c>
      <c r="E212" s="25">
        <f t="shared" si="2"/>
        <v>27.54888396</v>
      </c>
      <c r="F212" s="24">
        <f t="shared" si="3"/>
        <v>0.0002043949455</v>
      </c>
      <c r="G212" s="24">
        <f t="shared" si="4"/>
        <v>0</v>
      </c>
      <c r="H212" s="26">
        <f t="shared" si="5"/>
        <v>0</v>
      </c>
      <c r="I212" s="24">
        <f t="shared" si="6"/>
        <v>0</v>
      </c>
      <c r="J212" s="24">
        <f t="shared" si="7"/>
        <v>0</v>
      </c>
      <c r="K212" s="24"/>
      <c r="L212" s="24">
        <f t="shared" si="8"/>
        <v>473.2780112</v>
      </c>
      <c r="M212" s="14">
        <f t="shared" si="9"/>
        <v>414.5238251</v>
      </c>
      <c r="N212" s="27">
        <f t="shared" si="10"/>
        <v>58.75418619</v>
      </c>
      <c r="O212" s="24"/>
      <c r="P212" s="24"/>
      <c r="Q212" s="24"/>
      <c r="R212" s="26"/>
      <c r="S212" s="14">
        <f t="shared" si="13"/>
        <v>53.95374184</v>
      </c>
      <c r="U212" s="21"/>
      <c r="V212" s="21"/>
    </row>
    <row r="213">
      <c r="A213" s="11">
        <v>201.0</v>
      </c>
      <c r="B213" s="11">
        <v>1.42026956521739E9</v>
      </c>
      <c r="C213" s="2">
        <v>-102.0966721</v>
      </c>
      <c r="D213" s="24">
        <f t="shared" si="1"/>
        <v>-130434.7826</v>
      </c>
      <c r="E213" s="25">
        <f t="shared" si="2"/>
        <v>26.63058783</v>
      </c>
      <c r="F213" s="24">
        <f t="shared" si="3"/>
        <v>0.0002041678401</v>
      </c>
      <c r="G213" s="24">
        <f t="shared" si="4"/>
        <v>0</v>
      </c>
      <c r="H213" s="26">
        <f t="shared" si="5"/>
        <v>0</v>
      </c>
      <c r="I213" s="24">
        <f t="shared" si="6"/>
        <v>0</v>
      </c>
      <c r="J213" s="24">
        <f t="shared" si="7"/>
        <v>0</v>
      </c>
      <c r="K213" s="24"/>
      <c r="L213" s="24">
        <f t="shared" si="8"/>
        <v>469.2874686</v>
      </c>
      <c r="M213" s="14">
        <f t="shared" si="9"/>
        <v>414.4475468</v>
      </c>
      <c r="N213" s="27">
        <f t="shared" si="10"/>
        <v>54.83992175</v>
      </c>
      <c r="O213" s="24"/>
      <c r="P213" s="24"/>
      <c r="Q213" s="24"/>
      <c r="R213" s="26"/>
      <c r="S213" s="14">
        <f t="shared" si="13"/>
        <v>50.35928807</v>
      </c>
      <c r="U213" s="21"/>
      <c r="V213" s="21"/>
    </row>
    <row r="214">
      <c r="A214" s="11">
        <v>202.0</v>
      </c>
      <c r="B214" s="11">
        <v>1.42027391304347E9</v>
      </c>
      <c r="C214" s="2">
        <v>-102.1103363</v>
      </c>
      <c r="D214" s="24">
        <f t="shared" si="1"/>
        <v>-126086.9565</v>
      </c>
      <c r="E214" s="25">
        <f t="shared" si="2"/>
        <v>25.7122917</v>
      </c>
      <c r="F214" s="24">
        <f t="shared" si="3"/>
        <v>0.0002039250721</v>
      </c>
      <c r="G214" s="24">
        <f t="shared" si="4"/>
        <v>0</v>
      </c>
      <c r="H214" s="26">
        <f t="shared" si="5"/>
        <v>0</v>
      </c>
      <c r="I214" s="24">
        <f t="shared" si="6"/>
        <v>0</v>
      </c>
      <c r="J214" s="24">
        <f t="shared" si="7"/>
        <v>0</v>
      </c>
      <c r="K214" s="24"/>
      <c r="L214" s="24">
        <f t="shared" si="8"/>
        <v>467.8132706</v>
      </c>
      <c r="M214" s="14">
        <f t="shared" si="9"/>
        <v>414.3713527</v>
      </c>
      <c r="N214" s="27">
        <f t="shared" si="10"/>
        <v>53.44191786</v>
      </c>
      <c r="O214" s="24"/>
      <c r="P214" s="24"/>
      <c r="Q214" s="24"/>
      <c r="R214" s="26"/>
      <c r="S214" s="14">
        <f t="shared" si="13"/>
        <v>49.0755065</v>
      </c>
      <c r="U214" s="21"/>
      <c r="V214" s="21"/>
    </row>
    <row r="215">
      <c r="A215" s="11">
        <v>203.0</v>
      </c>
      <c r="B215" s="11">
        <v>1.42027826086956E9</v>
      </c>
      <c r="C215" s="2">
        <v>-102.0434875</v>
      </c>
      <c r="D215" s="24">
        <f t="shared" si="1"/>
        <v>-121739.1304</v>
      </c>
      <c r="E215" s="25">
        <f t="shared" si="2"/>
        <v>24.79399557</v>
      </c>
      <c r="F215" s="24">
        <f t="shared" si="3"/>
        <v>0.0002036649636</v>
      </c>
      <c r="G215" s="24">
        <f t="shared" si="4"/>
        <v>0</v>
      </c>
      <c r="H215" s="26">
        <f t="shared" si="5"/>
        <v>0</v>
      </c>
      <c r="I215" s="24">
        <f t="shared" si="6"/>
        <v>0</v>
      </c>
      <c r="J215" s="24">
        <f t="shared" si="7"/>
        <v>0</v>
      </c>
      <c r="K215" s="24"/>
      <c r="L215" s="24">
        <f t="shared" si="8"/>
        <v>475.0697934</v>
      </c>
      <c r="M215" s="14">
        <f t="shared" si="9"/>
        <v>414.2952415</v>
      </c>
      <c r="N215" s="27">
        <f t="shared" si="10"/>
        <v>60.77455199</v>
      </c>
      <c r="O215" s="24"/>
      <c r="P215" s="24"/>
      <c r="Q215" s="24"/>
      <c r="R215" s="26"/>
      <c r="S215" s="14">
        <f t="shared" si="13"/>
        <v>55.80903593</v>
      </c>
      <c r="U215" s="21"/>
      <c r="V215" s="21"/>
    </row>
    <row r="216">
      <c r="A216" s="11">
        <v>204.0</v>
      </c>
      <c r="B216" s="11">
        <v>1.42028260869565E9</v>
      </c>
      <c r="C216" s="2">
        <v>-102.0790176</v>
      </c>
      <c r="D216" s="24">
        <f t="shared" si="1"/>
        <v>-117391.3043</v>
      </c>
      <c r="E216" s="25">
        <f t="shared" si="2"/>
        <v>23.87569944</v>
      </c>
      <c r="F216" s="24">
        <f t="shared" si="3"/>
        <v>0.0002033855878</v>
      </c>
      <c r="G216" s="24">
        <f t="shared" si="4"/>
        <v>0</v>
      </c>
      <c r="H216" s="26">
        <f t="shared" si="5"/>
        <v>0</v>
      </c>
      <c r="I216" s="24">
        <f t="shared" si="6"/>
        <v>0</v>
      </c>
      <c r="J216" s="24">
        <f t="shared" si="7"/>
        <v>0</v>
      </c>
      <c r="K216" s="24"/>
      <c r="L216" s="24">
        <f t="shared" si="8"/>
        <v>471.1990513</v>
      </c>
      <c r="M216" s="14">
        <f t="shared" si="9"/>
        <v>414.2192119</v>
      </c>
      <c r="N216" s="27">
        <f t="shared" si="10"/>
        <v>56.97983939</v>
      </c>
      <c r="O216" s="24"/>
      <c r="P216" s="24"/>
      <c r="Q216" s="24"/>
      <c r="R216" s="26"/>
      <c r="S216" s="14">
        <f t="shared" si="13"/>
        <v>52.32436616</v>
      </c>
      <c r="U216" s="21"/>
      <c r="V216" s="21"/>
    </row>
    <row r="217">
      <c r="A217" s="11">
        <v>205.0</v>
      </c>
      <c r="B217" s="11">
        <v>1.42028695652173E9</v>
      </c>
      <c r="C217" s="2">
        <v>-102.0120468</v>
      </c>
      <c r="D217" s="24">
        <f t="shared" si="1"/>
        <v>-113043.4783</v>
      </c>
      <c r="E217" s="25">
        <f t="shared" si="2"/>
        <v>22.9574033</v>
      </c>
      <c r="F217" s="24">
        <f t="shared" si="3"/>
        <v>0.0002030847215</v>
      </c>
      <c r="G217" s="24">
        <f t="shared" si="4"/>
        <v>0</v>
      </c>
      <c r="H217" s="26">
        <f t="shared" si="5"/>
        <v>0</v>
      </c>
      <c r="I217" s="24">
        <f t="shared" si="6"/>
        <v>0</v>
      </c>
      <c r="J217" s="24">
        <f t="shared" si="7"/>
        <v>0</v>
      </c>
      <c r="K217" s="24"/>
      <c r="L217" s="24">
        <f t="shared" si="8"/>
        <v>478.5215352</v>
      </c>
      <c r="M217" s="14">
        <f t="shared" si="9"/>
        <v>414.1432628</v>
      </c>
      <c r="N217" s="27">
        <f t="shared" si="10"/>
        <v>64.37827236</v>
      </c>
      <c r="O217" s="24"/>
      <c r="P217" s="24"/>
      <c r="Q217" s="24"/>
      <c r="R217" s="26"/>
      <c r="S217" s="14">
        <f t="shared" si="13"/>
        <v>59.11831854</v>
      </c>
      <c r="U217" s="21"/>
      <c r="V217" s="21"/>
    </row>
    <row r="218">
      <c r="A218" s="11">
        <v>206.0</v>
      </c>
      <c r="B218" s="11">
        <v>1.42029130434782E9</v>
      </c>
      <c r="C218" s="2">
        <v>-102.0291672</v>
      </c>
      <c r="D218" s="24">
        <f t="shared" si="1"/>
        <v>-108695.6522</v>
      </c>
      <c r="E218" s="25">
        <f t="shared" si="2"/>
        <v>22.03910717</v>
      </c>
      <c r="F218" s="24">
        <f t="shared" si="3"/>
        <v>0.000202759786</v>
      </c>
      <c r="G218" s="24">
        <f t="shared" si="4"/>
        <v>0</v>
      </c>
      <c r="H218" s="26">
        <f t="shared" si="5"/>
        <v>0</v>
      </c>
      <c r="I218" s="24">
        <f t="shared" si="6"/>
        <v>0</v>
      </c>
      <c r="J218" s="24">
        <f t="shared" si="7"/>
        <v>0</v>
      </c>
      <c r="K218" s="24"/>
      <c r="L218" s="24">
        <f t="shared" si="8"/>
        <v>476.6388603</v>
      </c>
      <c r="M218" s="14">
        <f t="shared" si="9"/>
        <v>414.0673931</v>
      </c>
      <c r="N218" s="27">
        <f t="shared" si="10"/>
        <v>62.57146717</v>
      </c>
      <c r="O218" s="24"/>
      <c r="P218" s="24"/>
      <c r="Q218" s="24"/>
      <c r="R218" s="26"/>
      <c r="S218" s="14">
        <f t="shared" si="13"/>
        <v>57.45913632</v>
      </c>
      <c r="U218" s="21"/>
      <c r="V218" s="21"/>
    </row>
    <row r="219">
      <c r="A219" s="11">
        <v>207.0</v>
      </c>
      <c r="B219" s="11">
        <v>1.42029565217391E9</v>
      </c>
      <c r="C219" s="2">
        <v>-102.0416183</v>
      </c>
      <c r="D219" s="24">
        <f t="shared" si="1"/>
        <v>-104347.8261</v>
      </c>
      <c r="E219" s="25">
        <f t="shared" si="2"/>
        <v>21.12081104</v>
      </c>
      <c r="F219" s="24">
        <f t="shared" si="3"/>
        <v>0.0002024077725</v>
      </c>
      <c r="G219" s="24">
        <f t="shared" si="4"/>
        <v>0</v>
      </c>
      <c r="H219" s="26">
        <f t="shared" si="5"/>
        <v>0</v>
      </c>
      <c r="I219" s="24">
        <f t="shared" si="6"/>
        <v>0</v>
      </c>
      <c r="J219" s="24">
        <f t="shared" si="7"/>
        <v>0</v>
      </c>
      <c r="K219" s="24"/>
      <c r="L219" s="24">
        <f t="shared" si="8"/>
        <v>475.2743071</v>
      </c>
      <c r="M219" s="14">
        <f t="shared" si="9"/>
        <v>413.9916014</v>
      </c>
      <c r="N219" s="27">
        <f t="shared" si="10"/>
        <v>61.2827057</v>
      </c>
      <c r="O219" s="24"/>
      <c r="P219" s="24"/>
      <c r="Q219" s="24"/>
      <c r="R219" s="26"/>
      <c r="S219" s="14">
        <f t="shared" si="13"/>
        <v>56.27567152</v>
      </c>
      <c r="U219" s="21"/>
      <c r="V219" s="21"/>
    </row>
    <row r="220">
      <c r="A220" s="11">
        <v>208.0</v>
      </c>
      <c r="B220" s="11">
        <v>1.4203E9</v>
      </c>
      <c r="C220" s="2">
        <v>-102.0412064</v>
      </c>
      <c r="D220" s="24">
        <f t="shared" si="1"/>
        <v>-100000</v>
      </c>
      <c r="E220" s="25">
        <f t="shared" si="2"/>
        <v>20.20251491</v>
      </c>
      <c r="F220" s="24">
        <f t="shared" si="3"/>
        <v>0.0002020251491</v>
      </c>
      <c r="G220" s="24">
        <f t="shared" si="4"/>
        <v>0</v>
      </c>
      <c r="H220" s="26">
        <f t="shared" si="5"/>
        <v>0</v>
      </c>
      <c r="I220" s="24">
        <f t="shared" si="6"/>
        <v>0</v>
      </c>
      <c r="J220" s="24">
        <f t="shared" si="7"/>
        <v>0</v>
      </c>
      <c r="K220" s="24"/>
      <c r="L220" s="24">
        <f t="shared" si="8"/>
        <v>475.3193859</v>
      </c>
      <c r="M220" s="14">
        <f t="shared" si="9"/>
        <v>413.9158867</v>
      </c>
      <c r="N220" s="27">
        <f t="shared" si="10"/>
        <v>61.40349926</v>
      </c>
      <c r="O220" s="24"/>
      <c r="P220" s="24"/>
      <c r="Q220" s="24"/>
      <c r="R220" s="26"/>
      <c r="S220" s="14">
        <f t="shared" si="13"/>
        <v>56.3865959</v>
      </c>
      <c r="U220" s="21"/>
      <c r="V220" s="21"/>
    </row>
    <row r="221">
      <c r="A221" s="11">
        <v>209.0</v>
      </c>
      <c r="B221" s="11">
        <v>1.42030434782608E9</v>
      </c>
      <c r="C221" s="2">
        <v>-102.0229416</v>
      </c>
      <c r="D221" s="24">
        <f t="shared" si="1"/>
        <v>-95652.17392</v>
      </c>
      <c r="E221" s="25">
        <f t="shared" si="2"/>
        <v>19.28421878</v>
      </c>
      <c r="F221" s="24">
        <f t="shared" si="3"/>
        <v>0.0002016077417</v>
      </c>
      <c r="G221" s="24">
        <f t="shared" si="4"/>
        <v>0</v>
      </c>
      <c r="H221" s="26">
        <f t="shared" si="5"/>
        <v>0</v>
      </c>
      <c r="I221" s="24">
        <f t="shared" si="6"/>
        <v>0</v>
      </c>
      <c r="J221" s="24">
        <f t="shared" si="7"/>
        <v>0</v>
      </c>
      <c r="K221" s="24"/>
      <c r="L221" s="24">
        <f t="shared" si="8"/>
        <v>477.3226108</v>
      </c>
      <c r="M221" s="14">
        <f t="shared" si="9"/>
        <v>413.8402476</v>
      </c>
      <c r="N221" s="27">
        <f t="shared" si="10"/>
        <v>63.48236314</v>
      </c>
      <c r="O221" s="24"/>
      <c r="P221" s="24"/>
      <c r="Q221" s="24"/>
      <c r="R221" s="26"/>
      <c r="S221" s="14">
        <f t="shared" si="13"/>
        <v>58.29560857</v>
      </c>
      <c r="U221" s="21"/>
      <c r="V221" s="21"/>
    </row>
    <row r="222">
      <c r="A222" s="11">
        <v>210.0</v>
      </c>
      <c r="B222" s="11">
        <v>1.42030869565217E9</v>
      </c>
      <c r="C222" s="2">
        <v>-102.0280075</v>
      </c>
      <c r="D222" s="24">
        <f t="shared" si="1"/>
        <v>-91304.34783</v>
      </c>
      <c r="E222" s="25">
        <f t="shared" si="2"/>
        <v>18.36592264</v>
      </c>
      <c r="F222" s="24">
        <f t="shared" si="3"/>
        <v>0.0002011505813</v>
      </c>
      <c r="G222" s="24">
        <f t="shared" si="4"/>
        <v>0</v>
      </c>
      <c r="H222" s="26">
        <f t="shared" si="5"/>
        <v>0</v>
      </c>
      <c r="I222" s="24">
        <f t="shared" si="6"/>
        <v>0</v>
      </c>
      <c r="J222" s="24">
        <f t="shared" si="7"/>
        <v>0</v>
      </c>
      <c r="K222" s="24"/>
      <c r="L222" s="24">
        <f t="shared" si="8"/>
        <v>476.7661545</v>
      </c>
      <c r="M222" s="14">
        <f t="shared" si="9"/>
        <v>413.7646831</v>
      </c>
      <c r="N222" s="27">
        <f t="shared" si="10"/>
        <v>63.0014714</v>
      </c>
      <c r="O222" s="24"/>
      <c r="P222" s="24"/>
      <c r="Q222" s="24"/>
      <c r="R222" s="26"/>
      <c r="S222" s="14">
        <f t="shared" si="13"/>
        <v>57.85400741</v>
      </c>
      <c r="U222" s="21"/>
      <c r="V222" s="21"/>
    </row>
    <row r="223">
      <c r="A223" s="11">
        <v>211.0</v>
      </c>
      <c r="B223" s="11">
        <v>1.42031304347826E9</v>
      </c>
      <c r="C223" s="2">
        <v>-101.98983</v>
      </c>
      <c r="D223" s="24">
        <f t="shared" si="1"/>
        <v>-86956.52174</v>
      </c>
      <c r="E223" s="25">
        <f t="shared" si="2"/>
        <v>17.44762651</v>
      </c>
      <c r="F223" s="24">
        <f t="shared" si="3"/>
        <v>0.0002006477049</v>
      </c>
      <c r="G223" s="24">
        <f t="shared" si="4"/>
        <v>0</v>
      </c>
      <c r="H223" s="26">
        <f t="shared" si="5"/>
        <v>0</v>
      </c>
      <c r="I223" s="24">
        <f t="shared" si="6"/>
        <v>0</v>
      </c>
      <c r="J223" s="24">
        <f t="shared" si="7"/>
        <v>0</v>
      </c>
      <c r="K223" s="24"/>
      <c r="L223" s="24">
        <f t="shared" si="8"/>
        <v>480.9757354</v>
      </c>
      <c r="M223" s="14">
        <f t="shared" si="9"/>
        <v>413.6891919</v>
      </c>
      <c r="N223" s="27">
        <f t="shared" si="10"/>
        <v>67.28654356</v>
      </c>
      <c r="O223" s="24"/>
      <c r="P223" s="24"/>
      <c r="Q223" s="24"/>
      <c r="R223" s="26"/>
      <c r="S223" s="14">
        <f t="shared" si="13"/>
        <v>61.78897274</v>
      </c>
      <c r="U223" s="21"/>
      <c r="V223" s="21"/>
    </row>
    <row r="224">
      <c r="A224" s="11">
        <v>212.0</v>
      </c>
      <c r="B224" s="11">
        <v>1.42031739130434E9</v>
      </c>
      <c r="C224" s="2">
        <v>-102.0088577</v>
      </c>
      <c r="D224" s="24">
        <f t="shared" si="1"/>
        <v>-82608.69566</v>
      </c>
      <c r="E224" s="25">
        <f t="shared" si="2"/>
        <v>16.52933038</v>
      </c>
      <c r="F224" s="24">
        <f t="shared" si="3"/>
        <v>0.000200091894</v>
      </c>
      <c r="G224" s="24">
        <f t="shared" si="4"/>
        <v>0</v>
      </c>
      <c r="H224" s="26">
        <f t="shared" si="5"/>
        <v>0</v>
      </c>
      <c r="I224" s="24">
        <f t="shared" si="6"/>
        <v>0</v>
      </c>
      <c r="J224" s="24">
        <f t="shared" si="7"/>
        <v>0</v>
      </c>
      <c r="K224" s="24"/>
      <c r="L224" s="24">
        <f t="shared" si="8"/>
        <v>478.8730509</v>
      </c>
      <c r="M224" s="14">
        <f t="shared" si="9"/>
        <v>413.6137728</v>
      </c>
      <c r="N224" s="27">
        <f t="shared" si="10"/>
        <v>65.25927815</v>
      </c>
      <c r="O224" s="24"/>
      <c r="P224" s="24"/>
      <c r="Q224" s="24"/>
      <c r="R224" s="26"/>
      <c r="S224" s="14">
        <f t="shared" si="13"/>
        <v>59.92734275</v>
      </c>
      <c r="U224" s="21"/>
      <c r="V224" s="21"/>
    </row>
    <row r="225">
      <c r="A225" s="11">
        <v>213.0</v>
      </c>
      <c r="B225" s="11">
        <v>1.42032173913043E9</v>
      </c>
      <c r="C225" s="2">
        <v>-102.0940933</v>
      </c>
      <c r="D225" s="24">
        <f t="shared" si="1"/>
        <v>-78260.86957</v>
      </c>
      <c r="E225" s="25">
        <f t="shared" si="2"/>
        <v>15.61103425</v>
      </c>
      <c r="F225" s="24">
        <f t="shared" si="3"/>
        <v>0.0001994743265</v>
      </c>
      <c r="G225" s="24">
        <f t="shared" si="4"/>
        <v>0</v>
      </c>
      <c r="H225" s="26">
        <f t="shared" si="5"/>
        <v>0</v>
      </c>
      <c r="I225" s="24">
        <f t="shared" si="6"/>
        <v>0</v>
      </c>
      <c r="J225" s="24">
        <f t="shared" si="7"/>
        <v>0</v>
      </c>
      <c r="K225" s="24"/>
      <c r="L225" s="24">
        <f t="shared" si="8"/>
        <v>469.5662098</v>
      </c>
      <c r="M225" s="14">
        <f t="shared" si="9"/>
        <v>413.5384246</v>
      </c>
      <c r="N225" s="27">
        <f t="shared" si="10"/>
        <v>56.02778521</v>
      </c>
      <c r="O225" s="24"/>
      <c r="P225" s="24"/>
      <c r="Q225" s="24"/>
      <c r="R225" s="26"/>
      <c r="S225" s="14">
        <f t="shared" si="13"/>
        <v>51.45009837</v>
      </c>
      <c r="U225" s="21"/>
      <c r="V225" s="21"/>
    </row>
    <row r="226">
      <c r="A226" s="11">
        <v>214.0</v>
      </c>
      <c r="B226" s="11">
        <v>1.42032608695652E9</v>
      </c>
      <c r="C226" s="2">
        <v>-101.9974518</v>
      </c>
      <c r="D226" s="24">
        <f t="shared" si="1"/>
        <v>-73913.04348</v>
      </c>
      <c r="E226" s="25">
        <f t="shared" si="2"/>
        <v>14.69273812</v>
      </c>
      <c r="F226" s="24">
        <f t="shared" si="3"/>
        <v>0.0001987841039</v>
      </c>
      <c r="G226" s="24">
        <f t="shared" si="4"/>
        <v>0</v>
      </c>
      <c r="H226" s="26">
        <f t="shared" si="5"/>
        <v>0</v>
      </c>
      <c r="I226" s="24">
        <f t="shared" si="6"/>
        <v>0</v>
      </c>
      <c r="J226" s="24">
        <f t="shared" si="7"/>
        <v>0</v>
      </c>
      <c r="K226" s="24"/>
      <c r="L226" s="24">
        <f t="shared" si="8"/>
        <v>480.1323708</v>
      </c>
      <c r="M226" s="14">
        <f t="shared" si="9"/>
        <v>413.4631462</v>
      </c>
      <c r="N226" s="27">
        <f t="shared" si="10"/>
        <v>66.66922463</v>
      </c>
      <c r="O226" s="24"/>
      <c r="P226" s="24"/>
      <c r="Q226" s="24"/>
      <c r="R226" s="26"/>
      <c r="S226" s="14">
        <f t="shared" si="13"/>
        <v>61.22209116</v>
      </c>
      <c r="U226" s="21"/>
      <c r="V226" s="21"/>
    </row>
    <row r="227">
      <c r="A227" s="11">
        <v>215.0</v>
      </c>
      <c r="B227" s="11">
        <v>1.4203304347826E9</v>
      </c>
      <c r="C227" s="2">
        <v>-102.09272</v>
      </c>
      <c r="D227" s="24">
        <f t="shared" si="1"/>
        <v>-69565.2174</v>
      </c>
      <c r="E227" s="25">
        <f t="shared" si="2"/>
        <v>13.77444198</v>
      </c>
      <c r="F227" s="24">
        <f t="shared" si="3"/>
        <v>0.0001980076035</v>
      </c>
      <c r="G227" s="24">
        <f t="shared" si="4"/>
        <v>0</v>
      </c>
      <c r="H227" s="26">
        <f t="shared" si="5"/>
        <v>0</v>
      </c>
      <c r="I227" s="24">
        <f t="shared" si="6"/>
        <v>0</v>
      </c>
      <c r="J227" s="24">
        <f t="shared" si="7"/>
        <v>0</v>
      </c>
      <c r="K227" s="24"/>
      <c r="L227" s="24">
        <f t="shared" si="8"/>
        <v>469.7147167</v>
      </c>
      <c r="M227" s="14">
        <f t="shared" si="9"/>
        <v>413.3879363</v>
      </c>
      <c r="N227" s="27">
        <f t="shared" si="10"/>
        <v>56.32678043</v>
      </c>
      <c r="O227" s="24"/>
      <c r="P227" s="24"/>
      <c r="Q227" s="24"/>
      <c r="R227" s="26"/>
      <c r="S227" s="14">
        <f t="shared" si="13"/>
        <v>51.72466464</v>
      </c>
      <c r="U227" s="21"/>
      <c r="V227" s="21"/>
    </row>
    <row r="228">
      <c r="A228" s="11">
        <v>216.0</v>
      </c>
      <c r="B228" s="11">
        <v>1.42033478260869E9</v>
      </c>
      <c r="C228" s="2">
        <v>-102.0128784</v>
      </c>
      <c r="D228" s="24">
        <f t="shared" si="1"/>
        <v>-65217.39131</v>
      </c>
      <c r="E228" s="25">
        <f t="shared" si="2"/>
        <v>12.85614585</v>
      </c>
      <c r="F228" s="24">
        <f t="shared" si="3"/>
        <v>0.0001971275697</v>
      </c>
      <c r="G228" s="24">
        <f t="shared" si="4"/>
        <v>0</v>
      </c>
      <c r="H228" s="26">
        <f t="shared" si="5"/>
        <v>0</v>
      </c>
      <c r="I228" s="24">
        <f t="shared" si="6"/>
        <v>0</v>
      </c>
      <c r="J228" s="24">
        <f t="shared" si="7"/>
        <v>0</v>
      </c>
      <c r="K228" s="24"/>
      <c r="L228" s="24">
        <f t="shared" si="8"/>
        <v>478.4299152</v>
      </c>
      <c r="M228" s="14">
        <f t="shared" si="9"/>
        <v>413.3127938</v>
      </c>
      <c r="N228" s="27">
        <f t="shared" si="10"/>
        <v>65.11712149</v>
      </c>
      <c r="O228" s="24"/>
      <c r="P228" s="24"/>
      <c r="Q228" s="24"/>
      <c r="R228" s="26"/>
      <c r="S228" s="14">
        <f t="shared" si="13"/>
        <v>59.79680084</v>
      </c>
      <c r="U228" s="21"/>
      <c r="V228" s="21"/>
    </row>
    <row r="229">
      <c r="A229" s="11">
        <v>217.0</v>
      </c>
      <c r="B229" s="11">
        <v>1.42033913043478E9</v>
      </c>
      <c r="C229" s="2">
        <v>-102.031868</v>
      </c>
      <c r="D229" s="24">
        <f t="shared" si="1"/>
        <v>-60869.56522</v>
      </c>
      <c r="E229" s="25">
        <f t="shared" si="2"/>
        <v>11.93784972</v>
      </c>
      <c r="F229" s="24">
        <f t="shared" si="3"/>
        <v>0.0001961218168</v>
      </c>
      <c r="G229" s="24">
        <f t="shared" si="4"/>
        <v>0</v>
      </c>
      <c r="H229" s="26">
        <f t="shared" si="5"/>
        <v>0</v>
      </c>
      <c r="I229" s="24">
        <f t="shared" si="6"/>
        <v>0</v>
      </c>
      <c r="J229" s="24">
        <f t="shared" si="7"/>
        <v>0</v>
      </c>
      <c r="K229" s="24"/>
      <c r="L229" s="24">
        <f t="shared" si="8"/>
        <v>476.3425392</v>
      </c>
      <c r="M229" s="14">
        <f t="shared" si="9"/>
        <v>413.2377173</v>
      </c>
      <c r="N229" s="27">
        <f t="shared" si="10"/>
        <v>63.10482184</v>
      </c>
      <c r="O229" s="24"/>
      <c r="P229" s="24"/>
      <c r="Q229" s="24"/>
      <c r="R229" s="26"/>
      <c r="S229" s="14">
        <f t="shared" si="13"/>
        <v>57.94891372</v>
      </c>
      <c r="U229" s="21"/>
      <c r="V229" s="21"/>
    </row>
    <row r="230">
      <c r="A230" s="11">
        <v>218.0</v>
      </c>
      <c r="B230" s="11">
        <v>1.42034347826087E9</v>
      </c>
      <c r="C230" s="2">
        <v>-102.0561447</v>
      </c>
      <c r="D230" s="24">
        <f t="shared" si="1"/>
        <v>-56521.73913</v>
      </c>
      <c r="E230" s="25">
        <f t="shared" si="2"/>
        <v>11.01955359</v>
      </c>
      <c r="F230" s="24">
        <f t="shared" si="3"/>
        <v>0.0001949613327</v>
      </c>
      <c r="G230" s="24">
        <f t="shared" si="4"/>
        <v>0</v>
      </c>
      <c r="H230" s="26">
        <f t="shared" si="5"/>
        <v>0</v>
      </c>
      <c r="I230" s="24">
        <f t="shared" si="6"/>
        <v>0</v>
      </c>
      <c r="J230" s="24">
        <f t="shared" si="7"/>
        <v>0</v>
      </c>
      <c r="K230" s="24"/>
      <c r="L230" s="24">
        <f t="shared" si="8"/>
        <v>473.6872524</v>
      </c>
      <c r="M230" s="14">
        <f t="shared" si="9"/>
        <v>413.1627059</v>
      </c>
      <c r="N230" s="27">
        <f t="shared" si="10"/>
        <v>60.5245465</v>
      </c>
      <c r="O230" s="24"/>
      <c r="P230" s="24"/>
      <c r="Q230" s="24"/>
      <c r="R230" s="26"/>
      <c r="S230" s="14">
        <f t="shared" si="13"/>
        <v>55.57945698</v>
      </c>
      <c r="U230" s="21"/>
      <c r="V230" s="21"/>
    </row>
    <row r="231">
      <c r="A231" s="11">
        <v>219.0</v>
      </c>
      <c r="B231" s="11">
        <v>1.42034782608695E9</v>
      </c>
      <c r="C231" s="2">
        <v>-101.9953003</v>
      </c>
      <c r="D231" s="24">
        <f t="shared" si="1"/>
        <v>-52173.91305</v>
      </c>
      <c r="E231" s="25">
        <f t="shared" si="2"/>
        <v>10.10125745</v>
      </c>
      <c r="F231" s="24">
        <f t="shared" si="3"/>
        <v>0.0001936074345</v>
      </c>
      <c r="G231" s="24">
        <f t="shared" si="4"/>
        <v>0</v>
      </c>
      <c r="H231" s="26">
        <f t="shared" si="5"/>
        <v>0</v>
      </c>
      <c r="I231" s="24">
        <f t="shared" si="6"/>
        <v>0</v>
      </c>
      <c r="J231" s="24">
        <f t="shared" si="7"/>
        <v>0</v>
      </c>
      <c r="K231" s="24"/>
      <c r="L231" s="24">
        <f t="shared" si="8"/>
        <v>480.3702879</v>
      </c>
      <c r="M231" s="14">
        <f t="shared" si="9"/>
        <v>413.0877582</v>
      </c>
      <c r="N231" s="27">
        <f t="shared" si="10"/>
        <v>67.28252975</v>
      </c>
      <c r="O231" s="24"/>
      <c r="P231" s="24"/>
      <c r="Q231" s="24"/>
      <c r="R231" s="26"/>
      <c r="S231" s="14">
        <f t="shared" si="13"/>
        <v>61.78528687</v>
      </c>
      <c r="U231" s="21"/>
      <c r="V231" s="21"/>
    </row>
    <row r="232">
      <c r="A232" s="11">
        <v>220.0</v>
      </c>
      <c r="B232" s="11">
        <v>1.42035217391304E9</v>
      </c>
      <c r="C232" s="2">
        <v>-102.0188293</v>
      </c>
      <c r="D232" s="24">
        <f t="shared" si="1"/>
        <v>-47826.08696</v>
      </c>
      <c r="E232" s="25">
        <f t="shared" si="2"/>
        <v>9.182961321</v>
      </c>
      <c r="F232" s="24">
        <f t="shared" si="3"/>
        <v>0.0001920073731</v>
      </c>
      <c r="G232" s="24">
        <f t="shared" si="4"/>
        <v>0</v>
      </c>
      <c r="H232" s="26">
        <f t="shared" si="5"/>
        <v>0</v>
      </c>
      <c r="I232" s="24">
        <f t="shared" si="6"/>
        <v>0</v>
      </c>
      <c r="J232" s="24">
        <f t="shared" si="7"/>
        <v>0</v>
      </c>
      <c r="K232" s="24"/>
      <c r="L232" s="24">
        <f t="shared" si="8"/>
        <v>477.7747978</v>
      </c>
      <c r="M232" s="14">
        <f t="shared" si="9"/>
        <v>413.012873</v>
      </c>
      <c r="N232" s="27">
        <f t="shared" si="10"/>
        <v>64.76192481</v>
      </c>
      <c r="O232" s="24"/>
      <c r="P232" s="24"/>
      <c r="Q232" s="24"/>
      <c r="R232" s="26"/>
      <c r="S232" s="14">
        <f t="shared" si="13"/>
        <v>59.47062497</v>
      </c>
      <c r="U232" s="21"/>
      <c r="V232" s="21"/>
    </row>
    <row r="233">
      <c r="A233" s="11">
        <v>221.0</v>
      </c>
      <c r="B233" s="11">
        <v>1.42035652173913E9</v>
      </c>
      <c r="C233" s="2">
        <v>-102.0177841</v>
      </c>
      <c r="D233" s="24">
        <f t="shared" si="1"/>
        <v>-43478.26087</v>
      </c>
      <c r="E233" s="25">
        <f t="shared" si="2"/>
        <v>8.264665191</v>
      </c>
      <c r="F233" s="24">
        <f t="shared" si="3"/>
        <v>0.0001900872994</v>
      </c>
      <c r="G233" s="24">
        <f t="shared" si="4"/>
        <v>0</v>
      </c>
      <c r="H233" s="26">
        <f t="shared" si="5"/>
        <v>0</v>
      </c>
      <c r="I233" s="24">
        <f t="shared" si="6"/>
        <v>0</v>
      </c>
      <c r="J233" s="24">
        <f t="shared" si="7"/>
        <v>0</v>
      </c>
      <c r="K233" s="24"/>
      <c r="L233" s="24">
        <f t="shared" si="8"/>
        <v>477.8897959</v>
      </c>
      <c r="M233" s="14">
        <f t="shared" si="9"/>
        <v>412.9380492</v>
      </c>
      <c r="N233" s="27">
        <f t="shared" si="10"/>
        <v>64.95174669</v>
      </c>
      <c r="O233" s="24"/>
      <c r="P233" s="24"/>
      <c r="Q233" s="24"/>
      <c r="R233" s="26"/>
      <c r="S233" s="14">
        <f t="shared" si="13"/>
        <v>59.6449378</v>
      </c>
      <c r="U233" s="21"/>
      <c r="V233" s="21"/>
    </row>
    <row r="234">
      <c r="A234" s="11">
        <v>222.0</v>
      </c>
      <c r="B234" s="11">
        <v>1.42036086956521E9</v>
      </c>
      <c r="C234" s="2">
        <v>-102.0327148</v>
      </c>
      <c r="D234" s="24">
        <f t="shared" si="1"/>
        <v>-39130.43479</v>
      </c>
      <c r="E234" s="25">
        <f t="shared" si="2"/>
        <v>7.346369058</v>
      </c>
      <c r="F234" s="24">
        <f t="shared" si="3"/>
        <v>0.0001877405426</v>
      </c>
      <c r="G234" s="24">
        <f t="shared" si="4"/>
        <v>0</v>
      </c>
      <c r="H234" s="26">
        <f t="shared" si="5"/>
        <v>0</v>
      </c>
      <c r="I234" s="24">
        <f t="shared" si="6"/>
        <v>0</v>
      </c>
      <c r="J234" s="24">
        <f t="shared" si="7"/>
        <v>0</v>
      </c>
      <c r="K234" s="24"/>
      <c r="L234" s="24">
        <f t="shared" si="8"/>
        <v>476.2496696</v>
      </c>
      <c r="M234" s="14">
        <f t="shared" si="9"/>
        <v>412.8632856</v>
      </c>
      <c r="N234" s="27">
        <f t="shared" si="10"/>
        <v>63.38638402</v>
      </c>
      <c r="O234" s="24"/>
      <c r="P234" s="24"/>
      <c r="Q234" s="24"/>
      <c r="R234" s="26"/>
      <c r="S234" s="14">
        <f t="shared" si="13"/>
        <v>58.20747131</v>
      </c>
      <c r="U234" s="21"/>
      <c r="V234" s="21"/>
    </row>
    <row r="235">
      <c r="A235" s="11">
        <v>223.0</v>
      </c>
      <c r="B235" s="11">
        <v>1.4203652173913E9</v>
      </c>
      <c r="C235" s="2">
        <v>-102.0317001</v>
      </c>
      <c r="D235" s="24">
        <f t="shared" si="1"/>
        <v>-34782.6087</v>
      </c>
      <c r="E235" s="25">
        <f t="shared" si="2"/>
        <v>6.428072925</v>
      </c>
      <c r="F235" s="24">
        <f t="shared" si="3"/>
        <v>0.0001848070966</v>
      </c>
      <c r="G235" s="24">
        <f t="shared" si="4"/>
        <v>0</v>
      </c>
      <c r="H235" s="26">
        <f t="shared" si="5"/>
        <v>0</v>
      </c>
      <c r="I235" s="24">
        <f t="shared" si="6"/>
        <v>0</v>
      </c>
      <c r="J235" s="24">
        <f t="shared" si="7"/>
        <v>0</v>
      </c>
      <c r="K235" s="24"/>
      <c r="L235" s="24">
        <f t="shared" si="8"/>
        <v>476.3609551</v>
      </c>
      <c r="M235" s="14">
        <f t="shared" si="9"/>
        <v>412.7885809</v>
      </c>
      <c r="N235" s="27">
        <f t="shared" si="10"/>
        <v>63.57237423</v>
      </c>
      <c r="O235" s="24"/>
      <c r="P235" s="24"/>
      <c r="Q235" s="24"/>
      <c r="R235" s="26"/>
      <c r="S235" s="14">
        <f t="shared" si="13"/>
        <v>58.37826527</v>
      </c>
      <c r="U235" s="21"/>
      <c r="V235" s="21"/>
    </row>
    <row r="236">
      <c r="A236" s="11">
        <v>224.0</v>
      </c>
      <c r="B236" s="11">
        <v>1.42036956521739E9</v>
      </c>
      <c r="C236" s="2">
        <v>-102.0081787</v>
      </c>
      <c r="D236" s="24">
        <f t="shared" si="1"/>
        <v>-30434.78261</v>
      </c>
      <c r="E236" s="25">
        <f t="shared" si="2"/>
        <v>5.509776795</v>
      </c>
      <c r="F236" s="24">
        <f t="shared" si="3"/>
        <v>0.0001810355232</v>
      </c>
      <c r="G236" s="24">
        <f t="shared" si="4"/>
        <v>0</v>
      </c>
      <c r="H236" s="26">
        <f t="shared" si="5"/>
        <v>0</v>
      </c>
      <c r="I236" s="24">
        <f t="shared" si="6"/>
        <v>0</v>
      </c>
      <c r="J236" s="24">
        <f t="shared" si="7"/>
        <v>0</v>
      </c>
      <c r="K236" s="24"/>
      <c r="L236" s="24">
        <f t="shared" si="8"/>
        <v>478.9479265</v>
      </c>
      <c r="M236" s="14">
        <f t="shared" si="9"/>
        <v>412.713934</v>
      </c>
      <c r="N236" s="27">
        <f t="shared" si="10"/>
        <v>66.23399245</v>
      </c>
      <c r="O236" s="24"/>
      <c r="P236" s="24"/>
      <c r="Q236" s="24"/>
      <c r="R236" s="26"/>
      <c r="S236" s="14">
        <f t="shared" si="13"/>
        <v>60.82241913</v>
      </c>
      <c r="U236" s="21"/>
      <c r="V236" s="21"/>
    </row>
    <row r="237">
      <c r="A237" s="11">
        <v>225.0</v>
      </c>
      <c r="B237" s="11">
        <v>1.42037391304347E9</v>
      </c>
      <c r="C237" s="2">
        <v>-102.0212326</v>
      </c>
      <c r="D237" s="24">
        <f t="shared" si="1"/>
        <v>-26086.95653</v>
      </c>
      <c r="E237" s="25">
        <f t="shared" si="2"/>
        <v>4.591480662</v>
      </c>
      <c r="F237" s="24">
        <f t="shared" si="3"/>
        <v>0.0001760067586</v>
      </c>
      <c r="G237" s="24">
        <f t="shared" si="4"/>
        <v>0</v>
      </c>
      <c r="H237" s="26">
        <f t="shared" si="5"/>
        <v>0</v>
      </c>
      <c r="I237" s="24">
        <f t="shared" si="6"/>
        <v>0</v>
      </c>
      <c r="J237" s="24">
        <f t="shared" si="7"/>
        <v>0</v>
      </c>
      <c r="K237" s="24"/>
      <c r="L237" s="24">
        <f t="shared" si="8"/>
        <v>477.5104798</v>
      </c>
      <c r="M237" s="14">
        <f t="shared" si="9"/>
        <v>412.6393437</v>
      </c>
      <c r="N237" s="27">
        <f t="shared" si="10"/>
        <v>64.87113612</v>
      </c>
      <c r="O237" s="24"/>
      <c r="P237" s="24"/>
      <c r="Q237" s="24"/>
      <c r="R237" s="26"/>
      <c r="S237" s="14">
        <f t="shared" si="13"/>
        <v>59.57091343</v>
      </c>
      <c r="U237" s="21"/>
      <c r="V237" s="21"/>
    </row>
    <row r="238">
      <c r="A238" s="11">
        <v>226.0</v>
      </c>
      <c r="B238" s="11">
        <v>1.42037826086956E9</v>
      </c>
      <c r="C238" s="2">
        <v>-101.9836578</v>
      </c>
      <c r="D238" s="24">
        <f t="shared" si="1"/>
        <v>-21739.13044</v>
      </c>
      <c r="E238" s="25">
        <f t="shared" si="2"/>
        <v>3.673184529</v>
      </c>
      <c r="F238" s="24">
        <f t="shared" si="3"/>
        <v>0.0001689664883</v>
      </c>
      <c r="G238" s="24">
        <f t="shared" si="4"/>
        <v>0</v>
      </c>
      <c r="H238" s="26">
        <f t="shared" si="5"/>
        <v>0</v>
      </c>
      <c r="I238" s="24">
        <f t="shared" si="6"/>
        <v>0</v>
      </c>
      <c r="J238" s="24">
        <f t="shared" si="7"/>
        <v>0</v>
      </c>
      <c r="K238" s="24"/>
      <c r="L238" s="24">
        <f t="shared" si="8"/>
        <v>481.6597849</v>
      </c>
      <c r="M238" s="14">
        <f t="shared" si="9"/>
        <v>412.5648087</v>
      </c>
      <c r="N238" s="27">
        <f t="shared" si="10"/>
        <v>69.09497615</v>
      </c>
      <c r="O238" s="24"/>
      <c r="P238" s="24"/>
      <c r="Q238" s="24"/>
      <c r="R238" s="26"/>
      <c r="S238" s="14">
        <f t="shared" si="13"/>
        <v>63.44964924</v>
      </c>
      <c r="U238" s="21"/>
      <c r="V238" s="21"/>
    </row>
    <row r="239">
      <c r="A239" s="11">
        <v>227.0</v>
      </c>
      <c r="B239" s="11">
        <v>1.42038260869565E9</v>
      </c>
      <c r="C239" s="2">
        <v>-101.9031296</v>
      </c>
      <c r="D239" s="24">
        <f t="shared" si="1"/>
        <v>-17391.30435</v>
      </c>
      <c r="E239" s="25">
        <f t="shared" si="2"/>
        <v>2.754888398</v>
      </c>
      <c r="F239" s="24">
        <f t="shared" si="3"/>
        <v>0.0001584060829</v>
      </c>
      <c r="G239" s="24">
        <f t="shared" si="4"/>
        <v>0</v>
      </c>
      <c r="H239" s="26">
        <f t="shared" si="5"/>
        <v>0</v>
      </c>
      <c r="I239" s="24">
        <f t="shared" si="6"/>
        <v>0</v>
      </c>
      <c r="J239" s="24">
        <f t="shared" si="7"/>
        <v>0</v>
      </c>
      <c r="K239" s="24"/>
      <c r="L239" s="24">
        <f t="shared" si="8"/>
        <v>490.6741823</v>
      </c>
      <c r="M239" s="14">
        <f t="shared" si="9"/>
        <v>412.490328</v>
      </c>
      <c r="N239" s="27">
        <f t="shared" si="10"/>
        <v>78.18385429</v>
      </c>
      <c r="O239" s="24"/>
      <c r="P239" s="24"/>
      <c r="Q239" s="24"/>
      <c r="R239" s="26"/>
      <c r="S239" s="14">
        <f t="shared" si="13"/>
        <v>71.79593104</v>
      </c>
      <c r="U239" s="21"/>
      <c r="V239" s="21"/>
    </row>
    <row r="240">
      <c r="A240" s="11">
        <v>228.0</v>
      </c>
      <c r="B240" s="11">
        <v>1.42038695652173E9</v>
      </c>
      <c r="C240" s="2">
        <v>-101.8159485</v>
      </c>
      <c r="D240" s="24">
        <f t="shared" si="1"/>
        <v>-13043.47827</v>
      </c>
      <c r="E240" s="25">
        <f t="shared" si="2"/>
        <v>1.836592266</v>
      </c>
      <c r="F240" s="24">
        <f t="shared" si="3"/>
        <v>0.0001408054069</v>
      </c>
      <c r="G240" s="24">
        <f t="shared" si="4"/>
        <v>0</v>
      </c>
      <c r="H240" s="26">
        <f t="shared" si="5"/>
        <v>0</v>
      </c>
      <c r="I240" s="24">
        <f t="shared" si="6"/>
        <v>0</v>
      </c>
      <c r="J240" s="24">
        <f t="shared" si="7"/>
        <v>0</v>
      </c>
      <c r="K240" s="24"/>
      <c r="L240" s="24">
        <f t="shared" si="8"/>
        <v>500.6235982</v>
      </c>
      <c r="M240" s="14">
        <f t="shared" si="9"/>
        <v>412.4159002</v>
      </c>
      <c r="N240" s="27">
        <f t="shared" si="10"/>
        <v>88.20769801</v>
      </c>
      <c r="O240" s="24"/>
      <c r="P240" s="24"/>
      <c r="Q240" s="24"/>
      <c r="R240" s="26"/>
      <c r="S240" s="14">
        <f t="shared" si="13"/>
        <v>81.00078796</v>
      </c>
      <c r="U240" s="21"/>
      <c r="V240" s="21"/>
    </row>
    <row r="241">
      <c r="A241" s="11">
        <v>229.0</v>
      </c>
      <c r="B241" s="11">
        <v>1.42039130434782E9</v>
      </c>
      <c r="C241" s="2">
        <v>-101.8454895</v>
      </c>
      <c r="D241" s="24">
        <f t="shared" si="1"/>
        <v>-8695.65218</v>
      </c>
      <c r="E241" s="25">
        <f t="shared" si="2"/>
        <v>0.9182961328</v>
      </c>
      <c r="F241" s="24">
        <f t="shared" si="3"/>
        <v>0.0001056040552</v>
      </c>
      <c r="G241" s="24">
        <f t="shared" si="4"/>
        <v>0</v>
      </c>
      <c r="H241" s="26">
        <f t="shared" si="5"/>
        <v>0</v>
      </c>
      <c r="I241" s="24">
        <f t="shared" si="6"/>
        <v>0</v>
      </c>
      <c r="J241" s="24">
        <f t="shared" si="7"/>
        <v>0</v>
      </c>
      <c r="K241" s="24"/>
      <c r="L241" s="24">
        <f t="shared" si="8"/>
        <v>497.2298784</v>
      </c>
      <c r="M241" s="14">
        <f t="shared" si="9"/>
        <v>412.3415242</v>
      </c>
      <c r="N241" s="27">
        <f t="shared" si="10"/>
        <v>84.88835416</v>
      </c>
      <c r="O241" s="24"/>
      <c r="P241" s="24"/>
      <c r="Q241" s="24"/>
      <c r="R241" s="26"/>
      <c r="S241" s="14">
        <f t="shared" si="13"/>
        <v>77.95264735</v>
      </c>
      <c r="U241" s="21"/>
      <c r="V241" s="21"/>
    </row>
    <row r="242">
      <c r="A242" s="11">
        <v>230.0</v>
      </c>
      <c r="B242" s="11">
        <v>1.42039565217391E9</v>
      </c>
      <c r="C242" s="2">
        <v>-101.8628082</v>
      </c>
      <c r="D242" s="24">
        <f t="shared" si="1"/>
        <v>-4347.82609</v>
      </c>
      <c r="E242" s="25">
        <f t="shared" si="2"/>
        <v>0</v>
      </c>
      <c r="F242" s="24">
        <f t="shared" si="3"/>
        <v>0</v>
      </c>
      <c r="G242" s="24">
        <f t="shared" si="4"/>
        <v>0</v>
      </c>
      <c r="H242" s="26">
        <f t="shared" si="5"/>
        <v>0</v>
      </c>
      <c r="I242" s="24">
        <f t="shared" si="6"/>
        <v>0</v>
      </c>
      <c r="J242" s="24" t="str">
        <f t="shared" si="7"/>
        <v>#DIV/0!</v>
      </c>
      <c r="K242" s="24"/>
      <c r="L242" s="24">
        <f t="shared" si="8"/>
        <v>495.2509843</v>
      </c>
      <c r="M242" s="14">
        <f t="shared" si="9"/>
        <v>412.2671989</v>
      </c>
      <c r="N242" s="27">
        <f t="shared" si="10"/>
        <v>82.98378547</v>
      </c>
      <c r="O242" s="24"/>
      <c r="P242" s="24"/>
      <c r="Q242" s="24"/>
      <c r="R242" s="26"/>
      <c r="S242" s="14">
        <f t="shared" si="13"/>
        <v>76.20368911</v>
      </c>
      <c r="U242" s="21"/>
      <c r="V242" s="21"/>
    </row>
    <row r="243">
      <c r="A243" s="11">
        <v>231.0</v>
      </c>
      <c r="B243" s="11">
        <v>1.4204E9</v>
      </c>
      <c r="C243" s="2">
        <v>-101.7956696</v>
      </c>
      <c r="D243" s="24">
        <f t="shared" si="1"/>
        <v>0</v>
      </c>
      <c r="E243" s="25">
        <f t="shared" si="2"/>
        <v>-0.9182961307</v>
      </c>
      <c r="F243" s="24" t="str">
        <f t="shared" si="3"/>
        <v>#DIV/0!</v>
      </c>
      <c r="G243" s="24">
        <f t="shared" si="4"/>
        <v>0</v>
      </c>
      <c r="H243" s="26">
        <f t="shared" si="5"/>
        <v>0</v>
      </c>
      <c r="I243" s="24">
        <f t="shared" si="6"/>
        <v>0</v>
      </c>
      <c r="J243" s="24" t="str">
        <f t="shared" si="7"/>
        <v>#DIV/0!</v>
      </c>
      <c r="K243" s="24"/>
      <c r="L243" s="24">
        <f t="shared" si="8"/>
        <v>502.9666708</v>
      </c>
      <c r="M243" s="14">
        <f t="shared" si="9"/>
        <v>412.1929229</v>
      </c>
      <c r="N243" s="27">
        <f t="shared" si="10"/>
        <v>90.77374792</v>
      </c>
      <c r="O243" s="24"/>
      <c r="P243" s="24"/>
      <c r="Q243" s="24"/>
      <c r="R243" s="26"/>
      <c r="S243" s="14">
        <f t="shared" si="13"/>
        <v>83.35718167</v>
      </c>
      <c r="U243" s="21"/>
      <c r="V243" s="21"/>
    </row>
    <row r="244">
      <c r="A244" s="11">
        <v>232.0</v>
      </c>
      <c r="B244" s="11">
        <v>1.42040434782608E9</v>
      </c>
      <c r="C244" s="2">
        <v>-101.7643204</v>
      </c>
      <c r="D244" s="24">
        <f t="shared" si="1"/>
        <v>4347.82608</v>
      </c>
      <c r="E244" s="25">
        <f t="shared" si="2"/>
        <v>-1.836592263</v>
      </c>
      <c r="F244" s="24">
        <f t="shared" si="3"/>
        <v>0.0004224162213</v>
      </c>
      <c r="G244" s="24">
        <f t="shared" si="4"/>
        <v>0</v>
      </c>
      <c r="H244" s="26">
        <f t="shared" si="5"/>
        <v>0</v>
      </c>
      <c r="I244" s="24">
        <f t="shared" si="6"/>
        <v>0</v>
      </c>
      <c r="J244" s="24">
        <f t="shared" si="7"/>
        <v>0</v>
      </c>
      <c r="K244" s="24"/>
      <c r="L244" s="24">
        <f t="shared" si="8"/>
        <v>506.6104308</v>
      </c>
      <c r="M244" s="14">
        <f t="shared" si="9"/>
        <v>412.1186951</v>
      </c>
      <c r="N244" s="27">
        <f t="shared" si="10"/>
        <v>94.49173568</v>
      </c>
      <c r="O244" s="24"/>
      <c r="P244" s="24"/>
      <c r="Q244" s="24"/>
      <c r="R244" s="26"/>
      <c r="S244" s="14">
        <f t="shared" si="13"/>
        <v>86.77139546</v>
      </c>
      <c r="U244" s="21"/>
      <c r="V244" s="21"/>
    </row>
    <row r="245">
      <c r="A245" s="11">
        <v>233.0</v>
      </c>
      <c r="B245" s="11">
        <v>1.42040869565217E9</v>
      </c>
      <c r="C245" s="2">
        <v>-101.6908875</v>
      </c>
      <c r="D245" s="24">
        <f t="shared" si="1"/>
        <v>8695.65217</v>
      </c>
      <c r="E245" s="25">
        <f t="shared" si="2"/>
        <v>-2.754888396</v>
      </c>
      <c r="F245" s="24">
        <f t="shared" si="3"/>
        <v>0.0003168121657</v>
      </c>
      <c r="G245" s="24">
        <f t="shared" si="4"/>
        <v>0</v>
      </c>
      <c r="H245" s="26">
        <f t="shared" si="5"/>
        <v>0</v>
      </c>
      <c r="I245" s="24">
        <f t="shared" si="6"/>
        <v>0</v>
      </c>
      <c r="J245" s="24">
        <f t="shared" si="7"/>
        <v>0</v>
      </c>
      <c r="K245" s="24"/>
      <c r="L245" s="24">
        <f t="shared" si="8"/>
        <v>515.2493082</v>
      </c>
      <c r="M245" s="14">
        <f t="shared" si="9"/>
        <v>412.0445143</v>
      </c>
      <c r="N245" s="27">
        <f t="shared" si="10"/>
        <v>103.2047939</v>
      </c>
      <c r="O245" s="24"/>
      <c r="P245" s="24"/>
      <c r="Q245" s="24"/>
      <c r="R245" s="26"/>
      <c r="S245" s="14">
        <f t="shared" si="13"/>
        <v>94.77256292</v>
      </c>
      <c r="U245" s="21"/>
      <c r="V245" s="21"/>
    </row>
    <row r="246">
      <c r="A246" s="11">
        <v>234.0</v>
      </c>
      <c r="B246" s="11">
        <v>1.42041304347826E9</v>
      </c>
      <c r="C246" s="2">
        <v>-101.6141281</v>
      </c>
      <c r="D246" s="24">
        <f t="shared" si="1"/>
        <v>13043.47826</v>
      </c>
      <c r="E246" s="25">
        <f t="shared" si="2"/>
        <v>-3.673184527</v>
      </c>
      <c r="F246" s="24">
        <f t="shared" si="3"/>
        <v>0.0002816108137</v>
      </c>
      <c r="G246" s="24">
        <f t="shared" si="4"/>
        <v>0</v>
      </c>
      <c r="H246" s="26">
        <f t="shared" si="5"/>
        <v>0</v>
      </c>
      <c r="I246" s="24">
        <f t="shared" si="6"/>
        <v>0</v>
      </c>
      <c r="J246" s="24">
        <f t="shared" si="7"/>
        <v>0</v>
      </c>
      <c r="K246" s="24"/>
      <c r="L246" s="24">
        <f t="shared" si="8"/>
        <v>524.4370399</v>
      </c>
      <c r="M246" s="14">
        <f t="shared" si="9"/>
        <v>411.9703794</v>
      </c>
      <c r="N246" s="27">
        <f t="shared" si="10"/>
        <v>112.4666605</v>
      </c>
      <c r="O246" s="24"/>
      <c r="P246" s="24"/>
      <c r="Q246" s="24"/>
      <c r="R246" s="26"/>
      <c r="S246" s="14">
        <f t="shared" si="13"/>
        <v>103.2776994</v>
      </c>
      <c r="U246" s="21"/>
      <c r="V246" s="21"/>
    </row>
    <row r="247">
      <c r="A247" s="11">
        <v>235.0</v>
      </c>
      <c r="B247" s="11">
        <v>1.42041739130434E9</v>
      </c>
      <c r="C247" s="2">
        <v>-101.6169434</v>
      </c>
      <c r="D247" s="24">
        <f t="shared" si="1"/>
        <v>17391.30434</v>
      </c>
      <c r="E247" s="25">
        <f t="shared" si="2"/>
        <v>-4.59148066</v>
      </c>
      <c r="F247" s="24">
        <f t="shared" si="3"/>
        <v>0.0002640101381</v>
      </c>
      <c r="G247" s="24">
        <f t="shared" si="4"/>
        <v>0</v>
      </c>
      <c r="H247" s="26">
        <f t="shared" si="5"/>
        <v>0</v>
      </c>
      <c r="I247" s="24">
        <f t="shared" si="6"/>
        <v>0</v>
      </c>
      <c r="J247" s="24">
        <f t="shared" si="7"/>
        <v>0</v>
      </c>
      <c r="K247" s="24"/>
      <c r="L247" s="24">
        <f t="shared" si="8"/>
        <v>524.0971854</v>
      </c>
      <c r="M247" s="14">
        <f t="shared" si="9"/>
        <v>411.896289</v>
      </c>
      <c r="N247" s="27">
        <f t="shared" si="10"/>
        <v>112.2008964</v>
      </c>
      <c r="O247" s="24"/>
      <c r="P247" s="24"/>
      <c r="Q247" s="24"/>
      <c r="R247" s="26"/>
      <c r="S247" s="14">
        <f t="shared" si="13"/>
        <v>103.0336492</v>
      </c>
      <c r="U247" s="21"/>
      <c r="V247" s="21"/>
    </row>
    <row r="248">
      <c r="A248" s="11">
        <v>236.0</v>
      </c>
      <c r="B248" s="11">
        <v>1.42042173913043E9</v>
      </c>
      <c r="C248" s="2">
        <v>-101.5304489</v>
      </c>
      <c r="D248" s="24">
        <f t="shared" si="1"/>
        <v>21739.13043</v>
      </c>
      <c r="E248" s="25">
        <f t="shared" si="2"/>
        <v>-5.509776792</v>
      </c>
      <c r="F248" s="24">
        <f t="shared" si="3"/>
        <v>0.0002534497325</v>
      </c>
      <c r="G248" s="24">
        <f t="shared" si="4"/>
        <v>0</v>
      </c>
      <c r="H248" s="26">
        <f t="shared" si="5"/>
        <v>0</v>
      </c>
      <c r="I248" s="24">
        <f t="shared" si="6"/>
        <v>0</v>
      </c>
      <c r="J248" s="24">
        <f t="shared" si="7"/>
        <v>0</v>
      </c>
      <c r="K248" s="24"/>
      <c r="L248" s="24">
        <f t="shared" si="8"/>
        <v>534.6397898</v>
      </c>
      <c r="M248" s="14">
        <f t="shared" si="9"/>
        <v>411.8222421</v>
      </c>
      <c r="N248" s="27">
        <f t="shared" si="10"/>
        <v>122.8175477</v>
      </c>
      <c r="O248" s="24"/>
      <c r="P248" s="24"/>
      <c r="Q248" s="24"/>
      <c r="R248" s="26"/>
      <c r="S248" s="14">
        <f t="shared" si="13"/>
        <v>112.7828788</v>
      </c>
      <c r="U248" s="21"/>
      <c r="V248" s="21"/>
    </row>
    <row r="249">
      <c r="A249" s="11">
        <v>237.0</v>
      </c>
      <c r="B249" s="11">
        <v>1.42042608695652E9</v>
      </c>
      <c r="C249" s="2">
        <v>-101.4353561</v>
      </c>
      <c r="D249" s="24">
        <f t="shared" si="1"/>
        <v>26086.95652</v>
      </c>
      <c r="E249" s="25">
        <f t="shared" si="2"/>
        <v>-6.428072923</v>
      </c>
      <c r="F249" s="24">
        <f t="shared" si="3"/>
        <v>0.0002464094621</v>
      </c>
      <c r="G249" s="24">
        <f t="shared" si="4"/>
        <v>0</v>
      </c>
      <c r="H249" s="26">
        <f t="shared" si="5"/>
        <v>0</v>
      </c>
      <c r="I249" s="24">
        <f t="shared" si="6"/>
        <v>0</v>
      </c>
      <c r="J249" s="24">
        <f t="shared" si="7"/>
        <v>0</v>
      </c>
      <c r="K249" s="24"/>
      <c r="L249" s="24">
        <f t="shared" si="8"/>
        <v>546.4753254</v>
      </c>
      <c r="M249" s="14">
        <f t="shared" si="9"/>
        <v>411.7482374</v>
      </c>
      <c r="N249" s="27">
        <f t="shared" si="10"/>
        <v>134.727088</v>
      </c>
      <c r="O249" s="24"/>
      <c r="P249" s="24"/>
      <c r="Q249" s="24"/>
      <c r="R249" s="26"/>
      <c r="S249" s="14">
        <f t="shared" si="13"/>
        <v>123.7193639</v>
      </c>
      <c r="U249" s="21"/>
      <c r="V249" s="21"/>
    </row>
    <row r="250">
      <c r="A250" s="11">
        <v>238.0</v>
      </c>
      <c r="B250" s="11">
        <v>1.4204304347826E9</v>
      </c>
      <c r="C250" s="2">
        <v>-101.4168472</v>
      </c>
      <c r="D250" s="24">
        <f t="shared" si="1"/>
        <v>30434.7826</v>
      </c>
      <c r="E250" s="25">
        <f t="shared" si="2"/>
        <v>-7.346369056</v>
      </c>
      <c r="F250" s="24">
        <f t="shared" si="3"/>
        <v>0.0002413806976</v>
      </c>
      <c r="G250" s="24">
        <f t="shared" si="4"/>
        <v>0</v>
      </c>
      <c r="H250" s="26">
        <f t="shared" si="5"/>
        <v>0</v>
      </c>
      <c r="I250" s="24">
        <f t="shared" si="6"/>
        <v>0</v>
      </c>
      <c r="J250" s="24">
        <f t="shared" si="7"/>
        <v>0</v>
      </c>
      <c r="K250" s="24"/>
      <c r="L250" s="24">
        <f t="shared" si="8"/>
        <v>548.8092812</v>
      </c>
      <c r="M250" s="14">
        <f t="shared" si="9"/>
        <v>411.6742737</v>
      </c>
      <c r="N250" s="27">
        <f t="shared" si="10"/>
        <v>137.1350075</v>
      </c>
      <c r="O250" s="24"/>
      <c r="P250" s="24"/>
      <c r="Q250" s="24"/>
      <c r="R250" s="26"/>
      <c r="S250" s="14">
        <f t="shared" si="13"/>
        <v>125.9305471</v>
      </c>
      <c r="U250" s="21"/>
      <c r="V250" s="21"/>
    </row>
    <row r="251">
      <c r="A251" s="11">
        <v>239.0</v>
      </c>
      <c r="B251" s="11">
        <v>1.42043478260869E9</v>
      </c>
      <c r="C251" s="2">
        <v>-101.3270035</v>
      </c>
      <c r="D251" s="24">
        <f t="shared" si="1"/>
        <v>34782.60869</v>
      </c>
      <c r="E251" s="25">
        <f t="shared" si="2"/>
        <v>-8.264665189</v>
      </c>
      <c r="F251" s="24">
        <f t="shared" si="3"/>
        <v>0.0002376091242</v>
      </c>
      <c r="G251" s="24">
        <f t="shared" si="4"/>
        <v>0</v>
      </c>
      <c r="H251" s="26">
        <f t="shared" si="5"/>
        <v>0</v>
      </c>
      <c r="I251" s="24">
        <f t="shared" si="6"/>
        <v>0</v>
      </c>
      <c r="J251" s="24">
        <f t="shared" si="7"/>
        <v>0</v>
      </c>
      <c r="K251" s="24"/>
      <c r="L251" s="24">
        <f t="shared" si="8"/>
        <v>560.2808997</v>
      </c>
      <c r="M251" s="14">
        <f t="shared" si="9"/>
        <v>411.6003499</v>
      </c>
      <c r="N251" s="27">
        <f t="shared" si="10"/>
        <v>148.6805498</v>
      </c>
      <c r="O251" s="24"/>
      <c r="P251" s="24"/>
      <c r="Q251" s="24"/>
      <c r="R251" s="26"/>
      <c r="S251" s="14">
        <f t="shared" si="13"/>
        <v>136.5327739</v>
      </c>
      <c r="U251" s="21"/>
      <c r="V251" s="21"/>
    </row>
    <row r="252">
      <c r="A252" s="11">
        <v>240.0</v>
      </c>
      <c r="B252" s="11">
        <v>1.42043913043478E9</v>
      </c>
      <c r="C252" s="2">
        <v>-101.3454819</v>
      </c>
      <c r="D252" s="24">
        <f t="shared" si="1"/>
        <v>39130.43478</v>
      </c>
      <c r="E252" s="25">
        <f t="shared" si="2"/>
        <v>-9.182961321</v>
      </c>
      <c r="F252" s="24">
        <f t="shared" si="3"/>
        <v>0.0002346756782</v>
      </c>
      <c r="G252" s="24">
        <f t="shared" si="4"/>
        <v>0</v>
      </c>
      <c r="H252" s="26">
        <f t="shared" si="5"/>
        <v>0</v>
      </c>
      <c r="I252" s="24">
        <f t="shared" si="6"/>
        <v>0</v>
      </c>
      <c r="J252" s="24">
        <f t="shared" si="7"/>
        <v>0</v>
      </c>
      <c r="K252" s="24"/>
      <c r="L252" s="24">
        <f t="shared" si="8"/>
        <v>557.9020759</v>
      </c>
      <c r="M252" s="14">
        <f t="shared" si="9"/>
        <v>411.5264647</v>
      </c>
      <c r="N252" s="27">
        <f t="shared" si="10"/>
        <v>146.3756112</v>
      </c>
      <c r="O252" s="24"/>
      <c r="P252" s="24"/>
      <c r="Q252" s="24"/>
      <c r="R252" s="26"/>
      <c r="S252" s="14">
        <f t="shared" si="13"/>
        <v>134.4161574</v>
      </c>
      <c r="U252" s="21"/>
      <c r="V252" s="21"/>
    </row>
    <row r="253">
      <c r="A253" s="11">
        <v>241.0</v>
      </c>
      <c r="B253" s="11">
        <v>1.42044347826087E9</v>
      </c>
      <c r="C253" s="2">
        <v>-101.2276077</v>
      </c>
      <c r="D253" s="24">
        <f t="shared" si="1"/>
        <v>43478.26087</v>
      </c>
      <c r="E253" s="25">
        <f t="shared" si="2"/>
        <v>-10.10125745</v>
      </c>
      <c r="F253" s="24">
        <f t="shared" si="3"/>
        <v>0.0002323289214</v>
      </c>
      <c r="G253" s="24">
        <f t="shared" si="4"/>
        <v>0</v>
      </c>
      <c r="H253" s="26">
        <f t="shared" si="5"/>
        <v>0</v>
      </c>
      <c r="I253" s="24">
        <f t="shared" si="6"/>
        <v>0</v>
      </c>
      <c r="J253" s="24">
        <f t="shared" si="7"/>
        <v>0</v>
      </c>
      <c r="K253" s="24"/>
      <c r="L253" s="24">
        <f t="shared" si="8"/>
        <v>573.2517608</v>
      </c>
      <c r="M253" s="14">
        <f t="shared" si="9"/>
        <v>411.4526169</v>
      </c>
      <c r="N253" s="27">
        <f t="shared" si="10"/>
        <v>161.7991439</v>
      </c>
      <c r="O253" s="24"/>
      <c r="P253" s="24"/>
      <c r="Q253" s="24"/>
      <c r="R253" s="26"/>
      <c r="S253" s="14">
        <f t="shared" si="13"/>
        <v>148.5795281</v>
      </c>
      <c r="U253" s="21"/>
      <c r="V253" s="21"/>
    </row>
    <row r="254">
      <c r="A254" s="11">
        <v>242.0</v>
      </c>
      <c r="B254" s="11">
        <v>1.42044782608695E9</v>
      </c>
      <c r="C254" s="2">
        <v>-101.1793594</v>
      </c>
      <c r="D254" s="24">
        <f t="shared" si="1"/>
        <v>47826.08695</v>
      </c>
      <c r="E254" s="25">
        <f t="shared" si="2"/>
        <v>-11.01955358</v>
      </c>
      <c r="F254" s="24">
        <f t="shared" si="3"/>
        <v>0.0002304088477</v>
      </c>
      <c r="G254" s="24">
        <f t="shared" si="4"/>
        <v>0</v>
      </c>
      <c r="H254" s="26">
        <f t="shared" si="5"/>
        <v>0</v>
      </c>
      <c r="I254" s="24">
        <f t="shared" si="6"/>
        <v>0</v>
      </c>
      <c r="J254" s="24">
        <f t="shared" si="7"/>
        <v>0</v>
      </c>
      <c r="K254" s="24"/>
      <c r="L254" s="24">
        <f t="shared" si="8"/>
        <v>579.6558556</v>
      </c>
      <c r="M254" s="14">
        <f t="shared" si="9"/>
        <v>411.3788054</v>
      </c>
      <c r="N254" s="27">
        <f t="shared" si="10"/>
        <v>168.2770501</v>
      </c>
      <c r="O254" s="24"/>
      <c r="P254" s="24"/>
      <c r="Q254" s="24"/>
      <c r="R254" s="26"/>
      <c r="S254" s="14">
        <f t="shared" si="13"/>
        <v>154.5281644</v>
      </c>
      <c r="U254" s="21"/>
      <c r="V254" s="21"/>
    </row>
    <row r="255">
      <c r="A255" s="11">
        <v>243.0</v>
      </c>
      <c r="B255" s="11">
        <v>1.42045217391304E9</v>
      </c>
      <c r="C255" s="2">
        <v>-101.1485062</v>
      </c>
      <c r="D255" s="24">
        <f t="shared" si="1"/>
        <v>52173.91304</v>
      </c>
      <c r="E255" s="25">
        <f t="shared" si="2"/>
        <v>-11.93784972</v>
      </c>
      <c r="F255" s="24">
        <f t="shared" si="3"/>
        <v>0.0002288087863</v>
      </c>
      <c r="G255" s="24">
        <f t="shared" si="4"/>
        <v>0</v>
      </c>
      <c r="H255" s="26">
        <f t="shared" si="5"/>
        <v>0</v>
      </c>
      <c r="I255" s="24">
        <f t="shared" si="6"/>
        <v>0</v>
      </c>
      <c r="J255" s="24">
        <f t="shared" si="7"/>
        <v>0</v>
      </c>
      <c r="K255" s="24"/>
      <c r="L255" s="24">
        <f t="shared" si="8"/>
        <v>583.7885158</v>
      </c>
      <c r="M255" s="14">
        <f t="shared" si="9"/>
        <v>411.305029</v>
      </c>
      <c r="N255" s="27">
        <f t="shared" si="10"/>
        <v>172.4834869</v>
      </c>
      <c r="O255" s="24"/>
      <c r="P255" s="24"/>
      <c r="Q255" s="24"/>
      <c r="R255" s="26"/>
      <c r="S255" s="14">
        <f t="shared" si="13"/>
        <v>158.3909186</v>
      </c>
      <c r="U255" s="21"/>
      <c r="V255" s="21"/>
    </row>
    <row r="256">
      <c r="A256" s="11">
        <v>244.0</v>
      </c>
      <c r="B256" s="11">
        <v>1.42045652173913E9</v>
      </c>
      <c r="C256" s="2">
        <v>-101.1298676</v>
      </c>
      <c r="D256" s="24">
        <f t="shared" si="1"/>
        <v>56521.73913</v>
      </c>
      <c r="E256" s="25">
        <f t="shared" si="2"/>
        <v>-12.85614585</v>
      </c>
      <c r="F256" s="24">
        <f t="shared" si="3"/>
        <v>0.0002274548881</v>
      </c>
      <c r="G256" s="24">
        <f t="shared" si="4"/>
        <v>0</v>
      </c>
      <c r="H256" s="26">
        <f t="shared" si="5"/>
        <v>0</v>
      </c>
      <c r="I256" s="24">
        <f t="shared" si="6"/>
        <v>0</v>
      </c>
      <c r="J256" s="24">
        <f t="shared" si="7"/>
        <v>0</v>
      </c>
      <c r="K256" s="24"/>
      <c r="L256" s="24">
        <f t="shared" si="8"/>
        <v>586.2993428</v>
      </c>
      <c r="M256" s="14">
        <f t="shared" si="9"/>
        <v>411.2312863</v>
      </c>
      <c r="N256" s="27">
        <f t="shared" si="10"/>
        <v>175.0680565</v>
      </c>
      <c r="O256" s="24"/>
      <c r="P256" s="24"/>
      <c r="Q256" s="24"/>
      <c r="R256" s="26"/>
      <c r="S256" s="14">
        <f t="shared" si="13"/>
        <v>160.7643192</v>
      </c>
      <c r="U256" s="21"/>
      <c r="V256" s="21"/>
    </row>
    <row r="257">
      <c r="A257" s="11">
        <v>245.0</v>
      </c>
      <c r="B257" s="11">
        <v>1.42046086956521E9</v>
      </c>
      <c r="C257" s="2">
        <v>-101.1941757</v>
      </c>
      <c r="D257" s="24">
        <f t="shared" si="1"/>
        <v>60869.56521</v>
      </c>
      <c r="E257" s="25">
        <f t="shared" si="2"/>
        <v>-13.77444198</v>
      </c>
      <c r="F257" s="24">
        <f t="shared" si="3"/>
        <v>0.000226294404</v>
      </c>
      <c r="G257" s="24">
        <f t="shared" si="4"/>
        <v>0</v>
      </c>
      <c r="H257" s="26">
        <f t="shared" si="5"/>
        <v>0</v>
      </c>
      <c r="I257" s="24">
        <f t="shared" si="6"/>
        <v>0</v>
      </c>
      <c r="J257" s="24">
        <f t="shared" si="7"/>
        <v>0</v>
      </c>
      <c r="K257" s="24"/>
      <c r="L257" s="24">
        <f t="shared" si="8"/>
        <v>577.6816832</v>
      </c>
      <c r="M257" s="14">
        <f t="shared" si="9"/>
        <v>411.1575764</v>
      </c>
      <c r="N257" s="27">
        <f t="shared" si="10"/>
        <v>166.5241068</v>
      </c>
      <c r="O257" s="24"/>
      <c r="P257" s="24"/>
      <c r="Q257" s="24"/>
      <c r="R257" s="26"/>
      <c r="S257" s="14">
        <f t="shared" si="13"/>
        <v>152.9184433</v>
      </c>
      <c r="U257" s="21"/>
      <c r="V257" s="21"/>
    </row>
    <row r="258">
      <c r="A258" s="11">
        <v>246.0</v>
      </c>
      <c r="B258" s="11">
        <v>1.4204652173913E9</v>
      </c>
      <c r="C258" s="2">
        <v>-101.1354599</v>
      </c>
      <c r="D258" s="24">
        <f t="shared" si="1"/>
        <v>65217.3913</v>
      </c>
      <c r="E258" s="25">
        <f t="shared" si="2"/>
        <v>-14.69273811</v>
      </c>
      <c r="F258" s="24">
        <f t="shared" si="3"/>
        <v>0.0002252886511</v>
      </c>
      <c r="G258" s="24">
        <f t="shared" si="4"/>
        <v>0</v>
      </c>
      <c r="H258" s="26">
        <f t="shared" si="5"/>
        <v>0</v>
      </c>
      <c r="I258" s="24">
        <f t="shared" si="6"/>
        <v>0</v>
      </c>
      <c r="J258" s="24">
        <f t="shared" si="7"/>
        <v>0</v>
      </c>
      <c r="K258" s="24"/>
      <c r="L258" s="24">
        <f t="shared" si="8"/>
        <v>585.5448659</v>
      </c>
      <c r="M258" s="14">
        <f t="shared" si="9"/>
        <v>411.0838979</v>
      </c>
      <c r="N258" s="27">
        <f t="shared" si="10"/>
        <v>174.460968</v>
      </c>
      <c r="O258" s="24"/>
      <c r="P258" s="24"/>
      <c r="Q258" s="24"/>
      <c r="R258" s="26"/>
      <c r="S258" s="14">
        <f t="shared" si="13"/>
        <v>160.2068318</v>
      </c>
      <c r="U258" s="21"/>
      <c r="V258" s="21"/>
    </row>
    <row r="259">
      <c r="A259" s="11">
        <v>247.0</v>
      </c>
      <c r="B259" s="11">
        <v>1.42046956521739E9</v>
      </c>
      <c r="C259" s="2">
        <v>-101.1496735</v>
      </c>
      <c r="D259" s="24">
        <f t="shared" si="1"/>
        <v>69565.21739</v>
      </c>
      <c r="E259" s="25">
        <f t="shared" si="2"/>
        <v>-15.61103424</v>
      </c>
      <c r="F259" s="24">
        <f t="shared" si="3"/>
        <v>0.0002244086173</v>
      </c>
      <c r="G259" s="24">
        <f t="shared" si="4"/>
        <v>0</v>
      </c>
      <c r="H259" s="26">
        <f t="shared" si="5"/>
        <v>0</v>
      </c>
      <c r="I259" s="24">
        <f t="shared" si="6"/>
        <v>0</v>
      </c>
      <c r="J259" s="24">
        <f t="shared" si="7"/>
        <v>0</v>
      </c>
      <c r="K259" s="24"/>
      <c r="L259" s="24">
        <f t="shared" si="8"/>
        <v>583.6316258</v>
      </c>
      <c r="M259" s="14">
        <f t="shared" si="9"/>
        <v>411.0102497</v>
      </c>
      <c r="N259" s="27">
        <f t="shared" si="10"/>
        <v>172.6213761</v>
      </c>
      <c r="O259" s="24"/>
      <c r="P259" s="24"/>
      <c r="Q259" s="24"/>
      <c r="R259" s="26"/>
      <c r="S259" s="14">
        <f t="shared" si="13"/>
        <v>158.5175421</v>
      </c>
      <c r="U259" s="21"/>
      <c r="V259" s="21"/>
    </row>
    <row r="260">
      <c r="A260" s="11">
        <v>248.0</v>
      </c>
      <c r="B260" s="11">
        <v>1.42047391304347E9</v>
      </c>
      <c r="C260" s="2">
        <v>-101.2245789</v>
      </c>
      <c r="D260" s="24">
        <f t="shared" si="1"/>
        <v>73913.04347</v>
      </c>
      <c r="E260" s="25">
        <f t="shared" si="2"/>
        <v>-16.52933038</v>
      </c>
      <c r="F260" s="24">
        <f t="shared" si="3"/>
        <v>0.0002236321169</v>
      </c>
      <c r="G260" s="24">
        <f t="shared" si="4"/>
        <v>0</v>
      </c>
      <c r="H260" s="26">
        <f t="shared" si="5"/>
        <v>0</v>
      </c>
      <c r="I260" s="24">
        <f t="shared" si="6"/>
        <v>0</v>
      </c>
      <c r="J260" s="24">
        <f t="shared" si="7"/>
        <v>0</v>
      </c>
      <c r="K260" s="24"/>
      <c r="L260" s="24">
        <f t="shared" si="8"/>
        <v>573.65169</v>
      </c>
      <c r="M260" s="14">
        <f t="shared" si="9"/>
        <v>410.9366305</v>
      </c>
      <c r="N260" s="27">
        <f t="shared" si="10"/>
        <v>162.7150595</v>
      </c>
      <c r="O260" s="24"/>
      <c r="P260" s="24"/>
      <c r="Q260" s="24"/>
      <c r="R260" s="26"/>
      <c r="S260" s="14">
        <f t="shared" si="13"/>
        <v>149.4206099</v>
      </c>
      <c r="U260" s="21"/>
      <c r="V260" s="21"/>
    </row>
    <row r="261">
      <c r="A261" s="11">
        <v>249.0</v>
      </c>
      <c r="B261" s="11">
        <v>1.42047826086956E9</v>
      </c>
      <c r="C261" s="2">
        <v>-101.2041702</v>
      </c>
      <c r="D261" s="24">
        <f t="shared" si="1"/>
        <v>78260.86956</v>
      </c>
      <c r="E261" s="25">
        <f t="shared" si="2"/>
        <v>-17.44762651</v>
      </c>
      <c r="F261" s="24">
        <f t="shared" si="3"/>
        <v>0.0002229418943</v>
      </c>
      <c r="G261" s="24">
        <f t="shared" si="4"/>
        <v>0</v>
      </c>
      <c r="H261" s="26">
        <f t="shared" si="5"/>
        <v>0</v>
      </c>
      <c r="I261" s="24">
        <f t="shared" si="6"/>
        <v>0</v>
      </c>
      <c r="J261" s="24">
        <f t="shared" si="7"/>
        <v>0</v>
      </c>
      <c r="K261" s="24"/>
      <c r="L261" s="24">
        <f t="shared" si="8"/>
        <v>576.3537821</v>
      </c>
      <c r="M261" s="14">
        <f t="shared" si="9"/>
        <v>410.8630392</v>
      </c>
      <c r="N261" s="27">
        <f t="shared" si="10"/>
        <v>165.4907429</v>
      </c>
      <c r="O261" s="24"/>
      <c r="P261" s="24"/>
      <c r="Q261" s="24"/>
      <c r="R261" s="26"/>
      <c r="S261" s="14">
        <f t="shared" si="13"/>
        <v>151.9695088</v>
      </c>
      <c r="U261" s="21"/>
      <c r="V261" s="21"/>
    </row>
    <row r="262">
      <c r="A262" s="11">
        <v>250.0</v>
      </c>
      <c r="B262" s="11">
        <v>1.42048260869565E9</v>
      </c>
      <c r="C262" s="2">
        <v>-101.2332001</v>
      </c>
      <c r="D262" s="24">
        <f t="shared" si="1"/>
        <v>82608.69565</v>
      </c>
      <c r="E262" s="25">
        <f t="shared" si="2"/>
        <v>-18.36592264</v>
      </c>
      <c r="F262" s="24">
        <f t="shared" si="3"/>
        <v>0.0002223243267</v>
      </c>
      <c r="G262" s="24">
        <f t="shared" si="4"/>
        <v>0</v>
      </c>
      <c r="H262" s="26">
        <f t="shared" si="5"/>
        <v>0</v>
      </c>
      <c r="I262" s="24">
        <f t="shared" si="6"/>
        <v>0</v>
      </c>
      <c r="J262" s="24">
        <f t="shared" si="7"/>
        <v>0</v>
      </c>
      <c r="K262" s="24"/>
      <c r="L262" s="24">
        <f t="shared" si="8"/>
        <v>572.5140609</v>
      </c>
      <c r="M262" s="14">
        <f t="shared" si="9"/>
        <v>410.7894746</v>
      </c>
      <c r="N262" s="27">
        <f t="shared" si="10"/>
        <v>161.7245863</v>
      </c>
      <c r="O262" s="24"/>
      <c r="P262" s="24"/>
      <c r="Q262" s="24"/>
      <c r="R262" s="26"/>
      <c r="S262" s="14">
        <f t="shared" si="13"/>
        <v>148.5110622</v>
      </c>
      <c r="U262" s="21"/>
      <c r="V262" s="21"/>
    </row>
    <row r="263">
      <c r="A263" s="11">
        <v>251.0</v>
      </c>
      <c r="B263" s="11">
        <v>1.42048695652173E9</v>
      </c>
      <c r="C263" s="2">
        <v>-101.202095</v>
      </c>
      <c r="D263" s="24">
        <f t="shared" si="1"/>
        <v>86956.52173</v>
      </c>
      <c r="E263" s="25">
        <f t="shared" si="2"/>
        <v>-19.28421877</v>
      </c>
      <c r="F263" s="24">
        <f t="shared" si="3"/>
        <v>0.0002217685159</v>
      </c>
      <c r="G263" s="24">
        <f t="shared" si="4"/>
        <v>0</v>
      </c>
      <c r="H263" s="26">
        <f t="shared" si="5"/>
        <v>0</v>
      </c>
      <c r="I263" s="24">
        <f t="shared" si="6"/>
        <v>0</v>
      </c>
      <c r="J263" s="24">
        <f t="shared" si="7"/>
        <v>0</v>
      </c>
      <c r="K263" s="24"/>
      <c r="L263" s="24">
        <f t="shared" si="8"/>
        <v>576.6292484</v>
      </c>
      <c r="M263" s="14">
        <f t="shared" si="9"/>
        <v>410.7159355</v>
      </c>
      <c r="N263" s="27">
        <f t="shared" si="10"/>
        <v>165.913313</v>
      </c>
      <c r="O263" s="24"/>
      <c r="P263" s="24"/>
      <c r="Q263" s="24"/>
      <c r="R263" s="26"/>
      <c r="S263" s="14">
        <f t="shared" si="13"/>
        <v>152.3575537</v>
      </c>
      <c r="U263" s="21"/>
      <c r="V263" s="21"/>
    </row>
    <row r="264">
      <c r="A264" s="11">
        <v>252.0</v>
      </c>
      <c r="B264" s="11">
        <v>1.42049130434782E9</v>
      </c>
      <c r="C264" s="2">
        <v>-101.287796</v>
      </c>
      <c r="D264" s="24">
        <f t="shared" si="1"/>
        <v>91304.34782</v>
      </c>
      <c r="E264" s="25">
        <f t="shared" si="2"/>
        <v>-20.20251491</v>
      </c>
      <c r="F264" s="24">
        <f t="shared" si="3"/>
        <v>0.0002212656395</v>
      </c>
      <c r="G264" s="24">
        <f t="shared" si="4"/>
        <v>0</v>
      </c>
      <c r="H264" s="26">
        <f t="shared" si="5"/>
        <v>0</v>
      </c>
      <c r="I264" s="24">
        <f t="shared" si="6"/>
        <v>0</v>
      </c>
      <c r="J264" s="24">
        <f t="shared" si="7"/>
        <v>0</v>
      </c>
      <c r="K264" s="24"/>
      <c r="L264" s="24">
        <f t="shared" si="8"/>
        <v>565.3619385</v>
      </c>
      <c r="M264" s="14">
        <f t="shared" si="9"/>
        <v>410.6424206</v>
      </c>
      <c r="N264" s="27">
        <f t="shared" si="10"/>
        <v>154.7195178</v>
      </c>
      <c r="O264" s="24"/>
      <c r="P264" s="24"/>
      <c r="Q264" s="24"/>
      <c r="R264" s="26"/>
      <c r="S264" s="14">
        <f t="shared" si="13"/>
        <v>142.0783349</v>
      </c>
      <c r="U264" s="21"/>
      <c r="V264" s="21"/>
    </row>
    <row r="265">
      <c r="A265" s="11">
        <v>253.0</v>
      </c>
      <c r="B265" s="11">
        <v>1.42049565217391E9</v>
      </c>
      <c r="C265" s="2">
        <v>-101.4005508</v>
      </c>
      <c r="D265" s="24">
        <f t="shared" si="1"/>
        <v>95652.17391</v>
      </c>
      <c r="E265" s="25">
        <f t="shared" si="2"/>
        <v>-21.12081104</v>
      </c>
      <c r="F265" s="24">
        <f t="shared" si="3"/>
        <v>0.0002208084791</v>
      </c>
      <c r="G265" s="24">
        <f t="shared" si="4"/>
        <v>0</v>
      </c>
      <c r="H265" s="26">
        <f t="shared" si="5"/>
        <v>0</v>
      </c>
      <c r="I265" s="24">
        <f t="shared" si="6"/>
        <v>0</v>
      </c>
      <c r="J265" s="24">
        <f t="shared" si="7"/>
        <v>0</v>
      </c>
      <c r="K265" s="24"/>
      <c r="L265" s="24">
        <f t="shared" si="8"/>
        <v>550.8724934</v>
      </c>
      <c r="M265" s="14">
        <f t="shared" si="9"/>
        <v>410.5689289</v>
      </c>
      <c r="N265" s="27">
        <f t="shared" si="10"/>
        <v>140.3035645</v>
      </c>
      <c r="O265" s="24"/>
      <c r="P265" s="24"/>
      <c r="Q265" s="24"/>
      <c r="R265" s="26"/>
      <c r="S265" s="14">
        <f t="shared" si="13"/>
        <v>128.8402204</v>
      </c>
      <c r="U265" s="21"/>
      <c r="V265" s="21"/>
    </row>
    <row r="266">
      <c r="A266" s="11">
        <v>254.0</v>
      </c>
      <c r="B266" s="11">
        <v>1.4205E9</v>
      </c>
      <c r="C266" s="2">
        <v>-101.4132309</v>
      </c>
      <c r="D266" s="24">
        <f t="shared" si="1"/>
        <v>100000</v>
      </c>
      <c r="E266" s="25">
        <f t="shared" si="2"/>
        <v>-22.03910717</v>
      </c>
      <c r="F266" s="24">
        <f t="shared" si="3"/>
        <v>0.0002203910717</v>
      </c>
      <c r="G266" s="24">
        <f t="shared" si="4"/>
        <v>0</v>
      </c>
      <c r="H266" s="26">
        <f t="shared" si="5"/>
        <v>0</v>
      </c>
      <c r="I266" s="24">
        <f t="shared" si="6"/>
        <v>0</v>
      </c>
      <c r="J266" s="24">
        <f t="shared" si="7"/>
        <v>0</v>
      </c>
      <c r="K266" s="24"/>
      <c r="L266" s="24">
        <f t="shared" si="8"/>
        <v>549.2664562</v>
      </c>
      <c r="M266" s="14">
        <f t="shared" si="9"/>
        <v>410.495459</v>
      </c>
      <c r="N266" s="27">
        <f t="shared" si="10"/>
        <v>138.7709972</v>
      </c>
      <c r="O266" s="24"/>
      <c r="P266" s="24"/>
      <c r="Q266" s="24"/>
      <c r="R266" s="26"/>
      <c r="S266" s="14">
        <f t="shared" si="13"/>
        <v>127.43287</v>
      </c>
      <c r="U266" s="21"/>
      <c r="V266" s="21"/>
    </row>
    <row r="267">
      <c r="A267" s="11">
        <v>255.0</v>
      </c>
      <c r="B267" s="11">
        <v>1.42050434782608E9</v>
      </c>
      <c r="C267" s="2">
        <v>-101.4929199</v>
      </c>
      <c r="D267" s="24">
        <f t="shared" si="1"/>
        <v>104347.8261</v>
      </c>
      <c r="E267" s="25">
        <f t="shared" si="2"/>
        <v>-22.9574033</v>
      </c>
      <c r="F267" s="24">
        <f t="shared" si="3"/>
        <v>0.0002200084483</v>
      </c>
      <c r="G267" s="24">
        <f t="shared" si="4"/>
        <v>0</v>
      </c>
      <c r="H267" s="26">
        <f t="shared" si="5"/>
        <v>0</v>
      </c>
      <c r="I267" s="24">
        <f t="shared" si="6"/>
        <v>0</v>
      </c>
      <c r="J267" s="24">
        <f t="shared" si="7"/>
        <v>0</v>
      </c>
      <c r="K267" s="24"/>
      <c r="L267" s="24">
        <f t="shared" si="8"/>
        <v>539.2798302</v>
      </c>
      <c r="M267" s="14">
        <f t="shared" si="9"/>
        <v>410.4220098</v>
      </c>
      <c r="N267" s="27">
        <f t="shared" si="10"/>
        <v>128.8578203</v>
      </c>
      <c r="O267" s="24"/>
      <c r="P267" s="24"/>
      <c r="Q267" s="24"/>
      <c r="R267" s="26"/>
      <c r="S267" s="14">
        <f t="shared" si="13"/>
        <v>118.3296381</v>
      </c>
      <c r="U267" s="21"/>
      <c r="V267" s="21"/>
    </row>
    <row r="268">
      <c r="A268" s="11">
        <v>256.0</v>
      </c>
      <c r="B268" s="11">
        <v>1.42050869565217E9</v>
      </c>
      <c r="C268" s="2">
        <v>-101.5916443</v>
      </c>
      <c r="D268" s="24">
        <f t="shared" si="1"/>
        <v>108695.6522</v>
      </c>
      <c r="E268" s="25">
        <f t="shared" si="2"/>
        <v>-23.87569944</v>
      </c>
      <c r="F268" s="24">
        <f t="shared" si="3"/>
        <v>0.0002196564348</v>
      </c>
      <c r="G268" s="24">
        <f t="shared" si="4"/>
        <v>0</v>
      </c>
      <c r="H268" s="26">
        <f t="shared" si="5"/>
        <v>0</v>
      </c>
      <c r="I268" s="24">
        <f t="shared" si="6"/>
        <v>0</v>
      </c>
      <c r="J268" s="24">
        <f t="shared" si="7"/>
        <v>0</v>
      </c>
      <c r="K268" s="24"/>
      <c r="L268" s="24">
        <f t="shared" si="8"/>
        <v>527.1591358</v>
      </c>
      <c r="M268" s="14">
        <f t="shared" si="9"/>
        <v>410.3485802</v>
      </c>
      <c r="N268" s="27">
        <f t="shared" si="10"/>
        <v>116.8105557</v>
      </c>
      <c r="O268" s="24"/>
      <c r="P268" s="24"/>
      <c r="Q268" s="24"/>
      <c r="R268" s="26"/>
      <c r="S268" s="14">
        <f t="shared" si="13"/>
        <v>107.2666813</v>
      </c>
      <c r="U268" s="21"/>
      <c r="V268" s="21"/>
    </row>
    <row r="269">
      <c r="A269" s="11">
        <v>257.0</v>
      </c>
      <c r="B269" s="11">
        <v>1.42051304347826E9</v>
      </c>
      <c r="C269" s="2">
        <v>-101.7154388</v>
      </c>
      <c r="D269" s="24">
        <f t="shared" si="1"/>
        <v>113043.4783</v>
      </c>
      <c r="E269" s="25">
        <f t="shared" si="2"/>
        <v>-24.79399557</v>
      </c>
      <c r="F269" s="24">
        <f t="shared" si="3"/>
        <v>0.0002193314992</v>
      </c>
      <c r="G269" s="24">
        <f t="shared" si="4"/>
        <v>0</v>
      </c>
      <c r="H269" s="26">
        <f t="shared" si="5"/>
        <v>0</v>
      </c>
      <c r="I269" s="24">
        <f t="shared" si="6"/>
        <v>0</v>
      </c>
      <c r="J269" s="24">
        <f t="shared" si="7"/>
        <v>0</v>
      </c>
      <c r="K269" s="24"/>
      <c r="L269" s="24">
        <f t="shared" si="8"/>
        <v>512.3447465</v>
      </c>
      <c r="M269" s="14">
        <f t="shared" si="9"/>
        <v>410.2751688</v>
      </c>
      <c r="N269" s="27">
        <f t="shared" si="10"/>
        <v>102.0695777</v>
      </c>
      <c r="O269" s="24"/>
      <c r="P269" s="24"/>
      <c r="Q269" s="24"/>
      <c r="R269" s="26"/>
      <c r="S269" s="14">
        <f t="shared" si="13"/>
        <v>93.73009846</v>
      </c>
      <c r="U269" s="21"/>
      <c r="V269" s="21"/>
    </row>
    <row r="270">
      <c r="A270" s="11">
        <v>258.0</v>
      </c>
      <c r="B270" s="11">
        <v>1.42051739130434E9</v>
      </c>
      <c r="C270" s="2">
        <v>-101.8315735</v>
      </c>
      <c r="D270" s="24">
        <f t="shared" si="1"/>
        <v>117391.3043</v>
      </c>
      <c r="E270" s="25">
        <f t="shared" si="2"/>
        <v>-25.7122917</v>
      </c>
      <c r="F270" s="24">
        <f t="shared" si="3"/>
        <v>0.000219030633</v>
      </c>
      <c r="G270" s="24">
        <f t="shared" si="4"/>
        <v>0</v>
      </c>
      <c r="H270" s="26">
        <f t="shared" si="5"/>
        <v>0</v>
      </c>
      <c r="I270" s="24">
        <f t="shared" si="6"/>
        <v>0</v>
      </c>
      <c r="J270" s="24">
        <f t="shared" si="7"/>
        <v>0</v>
      </c>
      <c r="K270" s="24"/>
      <c r="L270" s="24">
        <f t="shared" si="8"/>
        <v>498.8256962</v>
      </c>
      <c r="M270" s="14">
        <f t="shared" si="9"/>
        <v>410.2017746</v>
      </c>
      <c r="N270" s="27">
        <f t="shared" si="10"/>
        <v>88.62392165</v>
      </c>
      <c r="O270" s="24"/>
      <c r="P270" s="24"/>
      <c r="Q270" s="24"/>
      <c r="R270" s="26"/>
      <c r="S270" s="14">
        <f t="shared" si="13"/>
        <v>81.38300452</v>
      </c>
      <c r="U270" s="21"/>
      <c r="V270" s="21"/>
    </row>
    <row r="271">
      <c r="A271" s="11">
        <v>259.0</v>
      </c>
      <c r="B271" s="11">
        <v>1.42052173913043E9</v>
      </c>
      <c r="C271" s="2">
        <v>-102.0290298</v>
      </c>
      <c r="D271" s="24">
        <f t="shared" si="1"/>
        <v>121739.1304</v>
      </c>
      <c r="E271" s="25">
        <f t="shared" si="2"/>
        <v>-26.63058783</v>
      </c>
      <c r="F271" s="24">
        <f t="shared" si="3"/>
        <v>0.0002187512572</v>
      </c>
      <c r="G271" s="24">
        <f t="shared" si="4"/>
        <v>0</v>
      </c>
      <c r="H271" s="26">
        <f t="shared" si="5"/>
        <v>0</v>
      </c>
      <c r="I271" s="24">
        <f t="shared" si="6"/>
        <v>0</v>
      </c>
      <c r="J271" s="24">
        <f t="shared" si="7"/>
        <v>0</v>
      </c>
      <c r="K271" s="24"/>
      <c r="L271" s="24">
        <f t="shared" si="8"/>
        <v>476.6539402</v>
      </c>
      <c r="M271" s="14">
        <f t="shared" si="9"/>
        <v>410.1283962</v>
      </c>
      <c r="N271" s="27">
        <f t="shared" si="10"/>
        <v>66.52554392</v>
      </c>
      <c r="O271" s="24"/>
      <c r="P271" s="24"/>
      <c r="Q271" s="24"/>
      <c r="R271" s="26"/>
      <c r="S271" s="14">
        <f t="shared" si="13"/>
        <v>61.09014957</v>
      </c>
      <c r="U271" s="21"/>
      <c r="V271" s="21"/>
    </row>
    <row r="272">
      <c r="A272" s="11">
        <v>260.0</v>
      </c>
      <c r="B272" s="11">
        <v>1.42052608695652E9</v>
      </c>
      <c r="C272" s="2">
        <v>-102.0817337</v>
      </c>
      <c r="D272" s="24">
        <f t="shared" si="1"/>
        <v>126086.9565</v>
      </c>
      <c r="E272" s="25">
        <f t="shared" si="2"/>
        <v>-27.54888396</v>
      </c>
      <c r="F272" s="24">
        <f t="shared" si="3"/>
        <v>0.0002184911487</v>
      </c>
      <c r="G272" s="24">
        <f t="shared" si="4"/>
        <v>0</v>
      </c>
      <c r="H272" s="26">
        <f t="shared" si="5"/>
        <v>0</v>
      </c>
      <c r="I272" s="24">
        <f t="shared" si="6"/>
        <v>0</v>
      </c>
      <c r="J272" s="24">
        <f t="shared" si="7"/>
        <v>0</v>
      </c>
      <c r="K272" s="24"/>
      <c r="L272" s="24">
        <f t="shared" si="8"/>
        <v>470.9044531</v>
      </c>
      <c r="M272" s="14">
        <f t="shared" si="9"/>
        <v>410.0550326</v>
      </c>
      <c r="N272" s="27">
        <f t="shared" si="10"/>
        <v>60.8494205</v>
      </c>
      <c r="O272" s="24"/>
      <c r="P272" s="24"/>
      <c r="Q272" s="24"/>
      <c r="R272" s="26"/>
      <c r="S272" s="14">
        <f t="shared" si="13"/>
        <v>55.87778752</v>
      </c>
      <c r="U272" s="21"/>
      <c r="V272" s="21"/>
    </row>
    <row r="273">
      <c r="A273" s="11">
        <v>261.0</v>
      </c>
      <c r="B273" s="11">
        <v>1.4205304347826E9</v>
      </c>
      <c r="C273" s="2">
        <v>-102.1299286</v>
      </c>
      <c r="D273" s="24">
        <f t="shared" si="1"/>
        <v>130434.7826</v>
      </c>
      <c r="E273" s="25">
        <f t="shared" si="2"/>
        <v>-28.4671801</v>
      </c>
      <c r="F273" s="24">
        <f t="shared" si="3"/>
        <v>0.0002182483807</v>
      </c>
      <c r="G273" s="24">
        <f t="shared" si="4"/>
        <v>0</v>
      </c>
      <c r="H273" s="26">
        <f t="shared" si="5"/>
        <v>0</v>
      </c>
      <c r="I273" s="24">
        <f t="shared" si="6"/>
        <v>0</v>
      </c>
      <c r="J273" s="24">
        <f t="shared" si="7"/>
        <v>0</v>
      </c>
      <c r="K273" s="24"/>
      <c r="L273" s="24">
        <f t="shared" si="8"/>
        <v>465.7075807</v>
      </c>
      <c r="M273" s="14">
        <f t="shared" si="9"/>
        <v>409.9816825</v>
      </c>
      <c r="N273" s="27">
        <f t="shared" si="10"/>
        <v>55.7258982</v>
      </c>
      <c r="O273" s="24"/>
      <c r="P273" s="24"/>
      <c r="Q273" s="24"/>
      <c r="R273" s="26"/>
      <c r="S273" s="14">
        <f t="shared" si="13"/>
        <v>51.17287681</v>
      </c>
      <c r="U273" s="21"/>
      <c r="V273" s="21"/>
    </row>
    <row r="274">
      <c r="A274" s="11">
        <v>262.0</v>
      </c>
      <c r="B274" s="11">
        <v>1.42053478260869E9</v>
      </c>
      <c r="C274" s="2">
        <v>-102.1827393</v>
      </c>
      <c r="D274" s="24">
        <f t="shared" si="1"/>
        <v>134782.6087</v>
      </c>
      <c r="E274" s="25">
        <f t="shared" si="2"/>
        <v>-29.38547623</v>
      </c>
      <c r="F274" s="24">
        <f t="shared" si="3"/>
        <v>0.0002180212752</v>
      </c>
      <c r="G274" s="24">
        <f t="shared" si="4"/>
        <v>0</v>
      </c>
      <c r="H274" s="26">
        <f t="shared" si="5"/>
        <v>0</v>
      </c>
      <c r="I274" s="24">
        <f t="shared" si="6"/>
        <v>0</v>
      </c>
      <c r="J274" s="24">
        <f t="shared" si="7"/>
        <v>0</v>
      </c>
      <c r="K274" s="24"/>
      <c r="L274" s="24">
        <f t="shared" si="8"/>
        <v>460.0788165</v>
      </c>
      <c r="M274" s="14">
        <f t="shared" si="9"/>
        <v>409.9083448</v>
      </c>
      <c r="N274" s="27">
        <f t="shared" si="10"/>
        <v>50.1704717</v>
      </c>
      <c r="O274" s="24"/>
      <c r="P274" s="24"/>
      <c r="Q274" s="24"/>
      <c r="R274" s="26"/>
      <c r="S274" s="14">
        <f t="shared" si="13"/>
        <v>46.07135014</v>
      </c>
      <c r="U274" s="21"/>
      <c r="V274" s="21"/>
    </row>
    <row r="275">
      <c r="A275" s="11">
        <v>263.0</v>
      </c>
      <c r="B275" s="11">
        <v>1.42053913043478E9</v>
      </c>
      <c r="C275" s="2">
        <v>-102.268074</v>
      </c>
      <c r="D275" s="24">
        <f t="shared" si="1"/>
        <v>139130.4348</v>
      </c>
      <c r="E275" s="25">
        <f t="shared" si="2"/>
        <v>-30.30377236</v>
      </c>
      <c r="F275" s="24">
        <f t="shared" si="3"/>
        <v>0.0002178083638</v>
      </c>
      <c r="G275" s="24">
        <f t="shared" si="4"/>
        <v>0</v>
      </c>
      <c r="H275" s="26">
        <f t="shared" si="5"/>
        <v>0</v>
      </c>
      <c r="I275" s="24">
        <f t="shared" si="6"/>
        <v>0</v>
      </c>
      <c r="J275" s="24">
        <f t="shared" si="7"/>
        <v>0</v>
      </c>
      <c r="K275" s="24"/>
      <c r="L275" s="24">
        <f t="shared" si="8"/>
        <v>451.1269449</v>
      </c>
      <c r="M275" s="14">
        <f t="shared" si="9"/>
        <v>409.8350181</v>
      </c>
      <c r="N275" s="27">
        <f t="shared" si="10"/>
        <v>41.29192675</v>
      </c>
      <c r="O275" s="24"/>
      <c r="P275" s="24"/>
      <c r="Q275" s="24"/>
      <c r="R275" s="26"/>
      <c r="S275" s="14">
        <f t="shared" si="13"/>
        <v>37.91821656</v>
      </c>
      <c r="U275" s="21"/>
      <c r="V275" s="21"/>
    </row>
    <row r="276">
      <c r="A276" s="11">
        <v>264.0</v>
      </c>
      <c r="B276" s="11">
        <v>1.42054347826087E9</v>
      </c>
      <c r="C276" s="2">
        <v>-102.2941589</v>
      </c>
      <c r="D276" s="24">
        <f t="shared" si="1"/>
        <v>143478.2609</v>
      </c>
      <c r="E276" s="25">
        <f t="shared" si="2"/>
        <v>-31.22206849</v>
      </c>
      <c r="F276" s="24">
        <f t="shared" si="3"/>
        <v>0.0002176083562</v>
      </c>
      <c r="G276" s="24">
        <f t="shared" si="4"/>
        <v>0</v>
      </c>
      <c r="H276" s="26">
        <f t="shared" si="5"/>
        <v>0</v>
      </c>
      <c r="I276" s="24">
        <f t="shared" si="6"/>
        <v>0</v>
      </c>
      <c r="J276" s="24">
        <f t="shared" si="7"/>
        <v>0</v>
      </c>
      <c r="K276" s="24"/>
      <c r="L276" s="24">
        <f t="shared" si="8"/>
        <v>448.4254756</v>
      </c>
      <c r="M276" s="14">
        <f t="shared" si="9"/>
        <v>409.7617014</v>
      </c>
      <c r="N276" s="27">
        <f t="shared" si="10"/>
        <v>38.66377413</v>
      </c>
      <c r="O276" s="24"/>
      <c r="P276" s="24"/>
      <c r="Q276" s="24"/>
      <c r="R276" s="26"/>
      <c r="S276" s="14">
        <f t="shared" si="13"/>
        <v>35.50479426</v>
      </c>
      <c r="U276" s="21"/>
      <c r="V276" s="21"/>
    </row>
    <row r="277">
      <c r="A277" s="11">
        <v>265.0</v>
      </c>
      <c r="B277" s="11">
        <v>1.42054782608695E9</v>
      </c>
      <c r="C277" s="2">
        <v>-102.3403015</v>
      </c>
      <c r="D277" s="24">
        <f t="shared" si="1"/>
        <v>147826.087</v>
      </c>
      <c r="E277" s="25">
        <f t="shared" si="2"/>
        <v>-32.14036462</v>
      </c>
      <c r="F277" s="24">
        <f t="shared" si="3"/>
        <v>0.0002174201136</v>
      </c>
      <c r="G277" s="24">
        <f t="shared" si="4"/>
        <v>0</v>
      </c>
      <c r="H277" s="26">
        <f t="shared" si="5"/>
        <v>0</v>
      </c>
      <c r="I277" s="24">
        <f t="shared" si="6"/>
        <v>0</v>
      </c>
      <c r="J277" s="24">
        <f t="shared" si="7"/>
        <v>0</v>
      </c>
      <c r="K277" s="24"/>
      <c r="L277" s="24">
        <f t="shared" si="8"/>
        <v>443.6862984</v>
      </c>
      <c r="M277" s="14">
        <f t="shared" si="9"/>
        <v>409.6883935</v>
      </c>
      <c r="N277" s="27">
        <f t="shared" si="10"/>
        <v>33.99790497</v>
      </c>
      <c r="O277" s="24"/>
      <c r="P277" s="24"/>
      <c r="Q277" s="24"/>
      <c r="R277" s="26"/>
      <c r="S277" s="14">
        <f t="shared" si="13"/>
        <v>31.22014466</v>
      </c>
      <c r="U277" s="21"/>
      <c r="V277" s="21"/>
    </row>
    <row r="278">
      <c r="A278" s="11">
        <v>266.0</v>
      </c>
      <c r="B278" s="11">
        <v>1.42055217391304E9</v>
      </c>
      <c r="C278" s="2">
        <v>-102.2826614</v>
      </c>
      <c r="D278" s="24">
        <f t="shared" si="1"/>
        <v>152173.913</v>
      </c>
      <c r="E278" s="25">
        <f t="shared" si="2"/>
        <v>-33.05866076</v>
      </c>
      <c r="F278" s="24">
        <f t="shared" si="3"/>
        <v>0.0002172426278</v>
      </c>
      <c r="G278" s="24">
        <f t="shared" si="4"/>
        <v>0</v>
      </c>
      <c r="H278" s="26">
        <f t="shared" si="5"/>
        <v>0</v>
      </c>
      <c r="I278" s="24">
        <f t="shared" si="6"/>
        <v>0</v>
      </c>
      <c r="J278" s="24">
        <f t="shared" si="7"/>
        <v>0</v>
      </c>
      <c r="K278" s="24"/>
      <c r="L278" s="24">
        <f t="shared" si="8"/>
        <v>449.6142087</v>
      </c>
      <c r="M278" s="14">
        <f t="shared" si="9"/>
        <v>409.615093</v>
      </c>
      <c r="N278" s="27">
        <f t="shared" si="10"/>
        <v>39.9991157</v>
      </c>
      <c r="O278" s="24"/>
      <c r="P278" s="24"/>
      <c r="Q278" s="24"/>
      <c r="R278" s="26"/>
      <c r="S278" s="14">
        <f t="shared" si="13"/>
        <v>36.73103318</v>
      </c>
      <c r="U278" s="21"/>
      <c r="V278" s="21"/>
    </row>
    <row r="279">
      <c r="A279" s="11">
        <v>267.0</v>
      </c>
      <c r="B279" s="11">
        <v>1.42055652173913E9</v>
      </c>
      <c r="C279" s="2">
        <v>-102.3471985</v>
      </c>
      <c r="D279" s="24">
        <f t="shared" si="1"/>
        <v>156521.7391</v>
      </c>
      <c r="E279" s="25">
        <f t="shared" si="2"/>
        <v>-33.97695689</v>
      </c>
      <c r="F279" s="24">
        <f t="shared" si="3"/>
        <v>0.0002170750023</v>
      </c>
      <c r="G279" s="24">
        <f t="shared" si="4"/>
        <v>0</v>
      </c>
      <c r="H279" s="26">
        <f t="shared" si="5"/>
        <v>0</v>
      </c>
      <c r="I279" s="24">
        <f t="shared" si="6"/>
        <v>0</v>
      </c>
      <c r="J279" s="24">
        <f t="shared" si="7"/>
        <v>0</v>
      </c>
      <c r="K279" s="24"/>
      <c r="L279" s="24">
        <f t="shared" si="8"/>
        <v>442.9822425</v>
      </c>
      <c r="M279" s="14">
        <f t="shared" si="9"/>
        <v>409.541799</v>
      </c>
      <c r="N279" s="27">
        <f t="shared" si="10"/>
        <v>33.44044359</v>
      </c>
      <c r="O279" s="24"/>
      <c r="P279" s="24"/>
      <c r="Q279" s="24"/>
      <c r="R279" s="26"/>
      <c r="S279" s="14">
        <f t="shared" si="13"/>
        <v>30.70823003</v>
      </c>
      <c r="U279" s="21"/>
      <c r="V279" s="21"/>
    </row>
    <row r="280">
      <c r="A280" s="11">
        <v>268.0</v>
      </c>
      <c r="B280" s="11">
        <v>1.42056086956521E9</v>
      </c>
      <c r="C280" s="2">
        <v>-102.3558731</v>
      </c>
      <c r="D280" s="24">
        <f t="shared" si="1"/>
        <v>160869.5652</v>
      </c>
      <c r="E280" s="25">
        <f t="shared" si="2"/>
        <v>-34.89525302</v>
      </c>
      <c r="F280" s="24">
        <f t="shared" si="3"/>
        <v>0.0002169164377</v>
      </c>
      <c r="G280" s="24">
        <f t="shared" si="4"/>
        <v>0</v>
      </c>
      <c r="H280" s="26">
        <f t="shared" si="5"/>
        <v>0</v>
      </c>
      <c r="I280" s="24">
        <f t="shared" si="6"/>
        <v>0</v>
      </c>
      <c r="J280" s="24">
        <f t="shared" si="7"/>
        <v>0</v>
      </c>
      <c r="K280" s="24"/>
      <c r="L280" s="24">
        <f t="shared" si="8"/>
        <v>442.0983127</v>
      </c>
      <c r="M280" s="14">
        <f t="shared" si="9"/>
        <v>409.46851</v>
      </c>
      <c r="N280" s="27">
        <f t="shared" si="10"/>
        <v>32.62980266</v>
      </c>
      <c r="O280" s="24"/>
      <c r="P280" s="24"/>
      <c r="Q280" s="24"/>
      <c r="R280" s="26"/>
      <c r="S280" s="14">
        <f t="shared" si="13"/>
        <v>29.9638216</v>
      </c>
      <c r="U280" s="21"/>
      <c r="V280" s="21"/>
    </row>
    <row r="281">
      <c r="A281" s="11">
        <v>269.0</v>
      </c>
      <c r="B281" s="11">
        <v>1.4205652173913E9</v>
      </c>
      <c r="C281" s="2">
        <v>-102.394928</v>
      </c>
      <c r="D281" s="24">
        <f t="shared" si="1"/>
        <v>165217.3913</v>
      </c>
      <c r="E281" s="25">
        <f t="shared" si="2"/>
        <v>-35.81354915</v>
      </c>
      <c r="F281" s="24">
        <f t="shared" si="3"/>
        <v>0.0002167662186</v>
      </c>
      <c r="G281" s="24">
        <f t="shared" si="4"/>
        <v>0</v>
      </c>
      <c r="H281" s="26">
        <f t="shared" si="5"/>
        <v>0</v>
      </c>
      <c r="I281" s="24">
        <f t="shared" si="6"/>
        <v>0</v>
      </c>
      <c r="J281" s="24">
        <f t="shared" si="7"/>
        <v>0</v>
      </c>
      <c r="K281" s="24"/>
      <c r="L281" s="24">
        <f t="shared" si="8"/>
        <v>438.1404676</v>
      </c>
      <c r="M281" s="14">
        <f t="shared" si="9"/>
        <v>409.3952251</v>
      </c>
      <c r="N281" s="27">
        <f t="shared" si="10"/>
        <v>28.74524252</v>
      </c>
      <c r="O281" s="24"/>
      <c r="P281" s="24"/>
      <c r="Q281" s="24"/>
      <c r="R281" s="26"/>
      <c r="S281" s="14">
        <f t="shared" si="13"/>
        <v>26.39664498</v>
      </c>
      <c r="U281" s="21"/>
      <c r="V281" s="21"/>
    </row>
    <row r="282">
      <c r="A282" s="11">
        <v>270.0</v>
      </c>
      <c r="B282" s="11">
        <v>1.42056956521739E9</v>
      </c>
      <c r="C282" s="2">
        <v>-102.3446045</v>
      </c>
      <c r="D282" s="24">
        <f t="shared" si="1"/>
        <v>169565.2174</v>
      </c>
      <c r="E282" s="25">
        <f t="shared" si="2"/>
        <v>-36.73184528</v>
      </c>
      <c r="F282" s="24">
        <f t="shared" si="3"/>
        <v>0.000216623703</v>
      </c>
      <c r="G282" s="24">
        <f t="shared" si="4"/>
        <v>0</v>
      </c>
      <c r="H282" s="26">
        <f t="shared" si="5"/>
        <v>0</v>
      </c>
      <c r="I282" s="24">
        <f t="shared" si="6"/>
        <v>0</v>
      </c>
      <c r="J282" s="24">
        <f t="shared" si="7"/>
        <v>0</v>
      </c>
      <c r="K282" s="24"/>
      <c r="L282" s="24">
        <f t="shared" si="8"/>
        <v>443.2469107</v>
      </c>
      <c r="M282" s="14">
        <f t="shared" si="9"/>
        <v>409.3219428</v>
      </c>
      <c r="N282" s="27">
        <f t="shared" si="10"/>
        <v>33.92496786</v>
      </c>
      <c r="O282" s="24"/>
      <c r="P282" s="24"/>
      <c r="Q282" s="24"/>
      <c r="R282" s="26"/>
      <c r="S282" s="14">
        <f t="shared" si="13"/>
        <v>31.15316679</v>
      </c>
      <c r="U282" s="21"/>
      <c r="V282" s="21"/>
    </row>
    <row r="283">
      <c r="A283" s="11">
        <v>271.0</v>
      </c>
      <c r="B283" s="11">
        <v>1.42057391304347E9</v>
      </c>
      <c r="C283" s="2">
        <v>-102.4383392</v>
      </c>
      <c r="D283" s="24">
        <f t="shared" si="1"/>
        <v>173913.0435</v>
      </c>
      <c r="E283" s="25">
        <f t="shared" si="2"/>
        <v>-37.65014142</v>
      </c>
      <c r="F283" s="24">
        <f t="shared" si="3"/>
        <v>0.0002164883132</v>
      </c>
      <c r="G283" s="24">
        <f t="shared" si="4"/>
        <v>0</v>
      </c>
      <c r="H283" s="26">
        <f t="shared" si="5"/>
        <v>0</v>
      </c>
      <c r="I283" s="24">
        <f t="shared" si="6"/>
        <v>0</v>
      </c>
      <c r="J283" s="24">
        <f t="shared" si="7"/>
        <v>0</v>
      </c>
      <c r="K283" s="24"/>
      <c r="L283" s="24">
        <f t="shared" si="8"/>
        <v>433.7827197</v>
      </c>
      <c r="M283" s="14">
        <f t="shared" si="9"/>
        <v>409.2486622</v>
      </c>
      <c r="N283" s="27">
        <f t="shared" si="10"/>
        <v>24.53405755</v>
      </c>
      <c r="O283" s="24"/>
      <c r="P283" s="24"/>
      <c r="Q283" s="24"/>
      <c r="R283" s="26"/>
      <c r="S283" s="14">
        <f t="shared" si="13"/>
        <v>22.52953017</v>
      </c>
      <c r="U283" s="21"/>
      <c r="V283" s="21"/>
    </row>
    <row r="284">
      <c r="A284" s="11">
        <v>272.0</v>
      </c>
      <c r="B284" s="11">
        <v>1.42057826086956E9</v>
      </c>
      <c r="C284" s="2">
        <v>-102.3776093</v>
      </c>
      <c r="D284" s="24">
        <f t="shared" si="1"/>
        <v>178260.8696</v>
      </c>
      <c r="E284" s="25">
        <f t="shared" si="2"/>
        <v>-38.56843755</v>
      </c>
      <c r="F284" s="24">
        <f t="shared" si="3"/>
        <v>0.0002163595277</v>
      </c>
      <c r="G284" s="24">
        <f t="shared" si="4"/>
        <v>0</v>
      </c>
      <c r="H284" s="26">
        <f t="shared" si="5"/>
        <v>0</v>
      </c>
      <c r="I284" s="24">
        <f t="shared" si="6"/>
        <v>0</v>
      </c>
      <c r="J284" s="24">
        <f t="shared" si="7"/>
        <v>0</v>
      </c>
      <c r="K284" s="24"/>
      <c r="L284" s="24">
        <f t="shared" si="8"/>
        <v>439.8911629</v>
      </c>
      <c r="M284" s="14">
        <f t="shared" si="9"/>
        <v>409.1753819</v>
      </c>
      <c r="N284" s="27">
        <f t="shared" si="10"/>
        <v>30.71578098</v>
      </c>
      <c r="O284" s="24"/>
      <c r="P284" s="24"/>
      <c r="Q284" s="24"/>
      <c r="R284" s="26"/>
      <c r="S284" s="14">
        <f t="shared" si="13"/>
        <v>28.20618282</v>
      </c>
      <c r="U284" s="21"/>
      <c r="V284" s="21"/>
    </row>
    <row r="285">
      <c r="A285" s="11">
        <v>273.0</v>
      </c>
      <c r="B285" s="11">
        <v>1.42058260869565E9</v>
      </c>
      <c r="C285" s="2">
        <v>-102.3980026</v>
      </c>
      <c r="D285" s="24">
        <f t="shared" si="1"/>
        <v>182608.6957</v>
      </c>
      <c r="E285" s="25">
        <f t="shared" si="2"/>
        <v>-39.48673368</v>
      </c>
      <c r="F285" s="24">
        <f t="shared" si="3"/>
        <v>0.0002162368749</v>
      </c>
      <c r="G285" s="24">
        <f t="shared" si="4"/>
        <v>0</v>
      </c>
      <c r="H285" s="26">
        <f t="shared" si="5"/>
        <v>0</v>
      </c>
      <c r="I285" s="24">
        <f t="shared" si="6"/>
        <v>0</v>
      </c>
      <c r="J285" s="24">
        <f t="shared" si="7"/>
        <v>0</v>
      </c>
      <c r="K285" s="24"/>
      <c r="L285" s="24">
        <f t="shared" si="8"/>
        <v>437.8303946</v>
      </c>
      <c r="M285" s="14">
        <f t="shared" si="9"/>
        <v>409.1021008</v>
      </c>
      <c r="N285" s="27">
        <f t="shared" si="10"/>
        <v>28.72829378</v>
      </c>
      <c r="O285" s="24"/>
      <c r="P285" s="24"/>
      <c r="Q285" s="24"/>
      <c r="R285" s="26"/>
      <c r="S285" s="14">
        <f t="shared" si="13"/>
        <v>26.38108108</v>
      </c>
      <c r="U285" s="21"/>
      <c r="V285" s="21"/>
    </row>
    <row r="286">
      <c r="A286" s="11">
        <v>274.0</v>
      </c>
      <c r="B286" s="11">
        <v>1.42058695652173E9</v>
      </c>
      <c r="C286" s="2">
        <v>-102.4072647</v>
      </c>
      <c r="D286" s="24">
        <f t="shared" si="1"/>
        <v>186956.5217</v>
      </c>
      <c r="E286" s="25">
        <f t="shared" si="2"/>
        <v>-40.40502981</v>
      </c>
      <c r="F286" s="24">
        <f t="shared" si="3"/>
        <v>0.0002161199269</v>
      </c>
      <c r="G286" s="24">
        <f t="shared" si="4"/>
        <v>0</v>
      </c>
      <c r="H286" s="26">
        <f t="shared" si="5"/>
        <v>0</v>
      </c>
      <c r="I286" s="24">
        <f t="shared" si="6"/>
        <v>0</v>
      </c>
      <c r="J286" s="24">
        <f t="shared" si="7"/>
        <v>0</v>
      </c>
      <c r="K286" s="24"/>
      <c r="L286" s="24">
        <f t="shared" si="8"/>
        <v>436.8976386</v>
      </c>
      <c r="M286" s="14">
        <f t="shared" si="9"/>
        <v>409.0288177</v>
      </c>
      <c r="N286" s="27">
        <f t="shared" si="10"/>
        <v>27.86882094</v>
      </c>
      <c r="O286" s="24"/>
      <c r="P286" s="24"/>
      <c r="Q286" s="24"/>
      <c r="R286" s="26"/>
      <c r="S286" s="14">
        <f t="shared" si="13"/>
        <v>25.5918305</v>
      </c>
      <c r="U286" s="21"/>
      <c r="V286" s="21"/>
    </row>
    <row r="287">
      <c r="A287" s="11">
        <v>275.0</v>
      </c>
      <c r="B287" s="11">
        <v>1.42059130434782E9</v>
      </c>
      <c r="C287" s="2">
        <v>-102.4126205</v>
      </c>
      <c r="D287" s="24">
        <f t="shared" si="1"/>
        <v>191304.3478</v>
      </c>
      <c r="E287" s="25">
        <f t="shared" si="2"/>
        <v>-41.32332595</v>
      </c>
      <c r="F287" s="24">
        <f t="shared" si="3"/>
        <v>0.0002160082947</v>
      </c>
      <c r="G287" s="24">
        <f t="shared" si="4"/>
        <v>0</v>
      </c>
      <c r="H287" s="26">
        <f t="shared" si="5"/>
        <v>0</v>
      </c>
      <c r="I287" s="24">
        <f t="shared" si="6"/>
        <v>0</v>
      </c>
      <c r="J287" s="24">
        <f t="shared" si="7"/>
        <v>0</v>
      </c>
      <c r="K287" s="24"/>
      <c r="L287" s="24">
        <f t="shared" si="8"/>
        <v>436.3591804</v>
      </c>
      <c r="M287" s="14">
        <f t="shared" si="9"/>
        <v>408.9555313</v>
      </c>
      <c r="N287" s="27">
        <f t="shared" si="10"/>
        <v>27.40364913</v>
      </c>
      <c r="O287" s="24"/>
      <c r="P287" s="24"/>
      <c r="Q287" s="24"/>
      <c r="R287" s="26"/>
      <c r="S287" s="14">
        <f t="shared" si="13"/>
        <v>25.16466502</v>
      </c>
      <c r="U287" s="21"/>
      <c r="V287" s="21"/>
    </row>
    <row r="288">
      <c r="A288" s="11">
        <v>276.0</v>
      </c>
      <c r="B288" s="11">
        <v>1.42059565217391E9</v>
      </c>
      <c r="C288" s="2">
        <v>-102.3663712</v>
      </c>
      <c r="D288" s="24">
        <f t="shared" si="1"/>
        <v>195652.1739</v>
      </c>
      <c r="E288" s="25">
        <f t="shared" si="2"/>
        <v>-42.24162208</v>
      </c>
      <c r="F288" s="24">
        <f t="shared" si="3"/>
        <v>0.000215901624</v>
      </c>
      <c r="G288" s="24">
        <f t="shared" si="4"/>
        <v>0</v>
      </c>
      <c r="H288" s="26">
        <f t="shared" si="5"/>
        <v>0</v>
      </c>
      <c r="I288" s="24">
        <f t="shared" si="6"/>
        <v>0</v>
      </c>
      <c r="J288" s="24">
        <f t="shared" si="7"/>
        <v>0</v>
      </c>
      <c r="K288" s="24"/>
      <c r="L288" s="24">
        <f t="shared" si="8"/>
        <v>441.0309293</v>
      </c>
      <c r="M288" s="14">
        <f t="shared" si="9"/>
        <v>408.8822405</v>
      </c>
      <c r="N288" s="27">
        <f t="shared" si="10"/>
        <v>32.14868875</v>
      </c>
      <c r="O288" s="24"/>
      <c r="P288" s="24"/>
      <c r="Q288" s="24"/>
      <c r="R288" s="26"/>
      <c r="S288" s="14">
        <f t="shared" si="13"/>
        <v>29.52201649</v>
      </c>
      <c r="U288" s="21"/>
      <c r="V288" s="21"/>
    </row>
    <row r="289">
      <c r="A289" s="11">
        <v>277.0</v>
      </c>
      <c r="B289" s="11">
        <v>1.4206E9</v>
      </c>
      <c r="C289" s="2">
        <v>-102.4507751</v>
      </c>
      <c r="D289" s="24">
        <f t="shared" si="1"/>
        <v>200000</v>
      </c>
      <c r="E289" s="25">
        <f t="shared" si="2"/>
        <v>-43.15991821</v>
      </c>
      <c r="F289" s="24">
        <f t="shared" si="3"/>
        <v>0.000215799591</v>
      </c>
      <c r="G289" s="24">
        <f t="shared" si="4"/>
        <v>0</v>
      </c>
      <c r="H289" s="26">
        <f t="shared" si="5"/>
        <v>0</v>
      </c>
      <c r="I289" s="24">
        <f t="shared" si="6"/>
        <v>0</v>
      </c>
      <c r="J289" s="24">
        <f t="shared" si="7"/>
        <v>0</v>
      </c>
      <c r="K289" s="24"/>
      <c r="L289" s="24">
        <f t="shared" si="8"/>
        <v>432.5423719</v>
      </c>
      <c r="M289" s="14">
        <f t="shared" si="9"/>
        <v>408.8089441</v>
      </c>
      <c r="N289" s="27">
        <f t="shared" si="10"/>
        <v>23.73342774</v>
      </c>
      <c r="O289" s="24"/>
      <c r="P289" s="24"/>
      <c r="Q289" s="24"/>
      <c r="R289" s="26"/>
      <c r="S289" s="14">
        <f t="shared" si="13"/>
        <v>21.79431491</v>
      </c>
      <c r="U289" s="21"/>
      <c r="V289" s="21"/>
    </row>
    <row r="290">
      <c r="A290" s="11">
        <v>278.0</v>
      </c>
      <c r="B290" s="11">
        <v>1.42060434782608E9</v>
      </c>
      <c r="C290" s="2">
        <v>-102.5020905</v>
      </c>
      <c r="D290" s="24">
        <f t="shared" si="1"/>
        <v>204347.8261</v>
      </c>
      <c r="E290" s="25">
        <f t="shared" si="2"/>
        <v>-44.07821434</v>
      </c>
      <c r="F290" s="24">
        <f t="shared" si="3"/>
        <v>0.0002157019</v>
      </c>
      <c r="G290" s="24">
        <f t="shared" si="4"/>
        <v>0</v>
      </c>
      <c r="H290" s="26">
        <f t="shared" si="5"/>
        <v>0</v>
      </c>
      <c r="I290" s="24">
        <f t="shared" si="6"/>
        <v>0</v>
      </c>
      <c r="J290" s="24">
        <f t="shared" si="7"/>
        <v>0</v>
      </c>
      <c r="K290" s="24"/>
      <c r="L290" s="24">
        <f t="shared" si="8"/>
        <v>427.4616102</v>
      </c>
      <c r="M290" s="14">
        <f t="shared" si="9"/>
        <v>408.7356409</v>
      </c>
      <c r="N290" s="27">
        <f t="shared" si="10"/>
        <v>18.72596929</v>
      </c>
      <c r="O290" s="24"/>
      <c r="P290" s="24"/>
      <c r="Q290" s="24"/>
      <c r="R290" s="26"/>
      <c r="S290" s="14">
        <f t="shared" si="13"/>
        <v>17.19598519</v>
      </c>
      <c r="U290" s="21"/>
      <c r="V290" s="21"/>
    </row>
    <row r="291">
      <c r="A291" s="11">
        <v>279.0</v>
      </c>
      <c r="B291" s="11">
        <v>1.42060869565217E9</v>
      </c>
      <c r="C291" s="2">
        <v>-102.4494324</v>
      </c>
      <c r="D291" s="24">
        <f t="shared" si="1"/>
        <v>208695.6522</v>
      </c>
      <c r="E291" s="25">
        <f t="shared" si="2"/>
        <v>-44.99651047</v>
      </c>
      <c r="F291" s="24">
        <f t="shared" si="3"/>
        <v>0.0002156082794</v>
      </c>
      <c r="G291" s="24">
        <f t="shared" si="4"/>
        <v>0</v>
      </c>
      <c r="H291" s="26">
        <f t="shared" si="5"/>
        <v>0</v>
      </c>
      <c r="I291" s="24">
        <f t="shared" si="6"/>
        <v>0</v>
      </c>
      <c r="J291" s="24">
        <f t="shared" si="7"/>
        <v>0</v>
      </c>
      <c r="K291" s="24"/>
      <c r="L291" s="24">
        <f t="shared" si="8"/>
        <v>432.6761208</v>
      </c>
      <c r="M291" s="14">
        <f t="shared" si="9"/>
        <v>408.6623297</v>
      </c>
      <c r="N291" s="27">
        <f t="shared" si="10"/>
        <v>24.01379112</v>
      </c>
      <c r="O291" s="24"/>
      <c r="P291" s="24"/>
      <c r="Q291" s="24"/>
      <c r="R291" s="26"/>
      <c r="S291" s="14">
        <f t="shared" si="13"/>
        <v>22.05177147</v>
      </c>
      <c r="U291" s="21"/>
      <c r="V291" s="21"/>
    </row>
    <row r="292">
      <c r="A292" s="11">
        <v>280.0</v>
      </c>
      <c r="B292" s="11">
        <v>1.42061304347826E9</v>
      </c>
      <c r="C292" s="2">
        <v>-102.4076004</v>
      </c>
      <c r="D292" s="24">
        <f t="shared" si="1"/>
        <v>213043.4783</v>
      </c>
      <c r="E292" s="25">
        <f t="shared" si="2"/>
        <v>-45.91480661</v>
      </c>
      <c r="F292" s="24">
        <f t="shared" si="3"/>
        <v>0.00021551848</v>
      </c>
      <c r="G292" s="24">
        <f t="shared" si="4"/>
        <v>0</v>
      </c>
      <c r="H292" s="26">
        <f t="shared" si="5"/>
        <v>0</v>
      </c>
      <c r="I292" s="24">
        <f t="shared" si="6"/>
        <v>0</v>
      </c>
      <c r="J292" s="24">
        <f t="shared" si="7"/>
        <v>0</v>
      </c>
      <c r="K292" s="24"/>
      <c r="L292" s="24">
        <f t="shared" si="8"/>
        <v>436.8638687</v>
      </c>
      <c r="M292" s="14">
        <f t="shared" si="9"/>
        <v>408.5890093</v>
      </c>
      <c r="N292" s="27">
        <f t="shared" si="10"/>
        <v>28.27485937</v>
      </c>
      <c r="O292" s="24"/>
      <c r="P292" s="24"/>
      <c r="Q292" s="24"/>
      <c r="R292" s="26"/>
      <c r="S292" s="14">
        <f t="shared" si="13"/>
        <v>25.96469401</v>
      </c>
      <c r="U292" s="21"/>
      <c r="V292" s="21"/>
    </row>
    <row r="293">
      <c r="A293" s="11">
        <v>281.0</v>
      </c>
      <c r="B293" s="11">
        <v>1.42061739130434E9</v>
      </c>
      <c r="C293" s="2">
        <v>-102.429985</v>
      </c>
      <c r="D293" s="24">
        <f t="shared" si="1"/>
        <v>217391.3043</v>
      </c>
      <c r="E293" s="25">
        <f t="shared" si="2"/>
        <v>-46.83310274</v>
      </c>
      <c r="F293" s="24">
        <f t="shared" si="3"/>
        <v>0.0002154322726</v>
      </c>
      <c r="G293" s="24">
        <f t="shared" si="4"/>
        <v>0</v>
      </c>
      <c r="H293" s="26">
        <f t="shared" si="5"/>
        <v>0</v>
      </c>
      <c r="I293" s="24">
        <f t="shared" si="6"/>
        <v>0</v>
      </c>
      <c r="J293" s="24">
        <f t="shared" si="7"/>
        <v>0</v>
      </c>
      <c r="K293" s="24"/>
      <c r="L293" s="24">
        <f t="shared" si="8"/>
        <v>434.6179584</v>
      </c>
      <c r="M293" s="14">
        <f t="shared" si="9"/>
        <v>408.5156785</v>
      </c>
      <c r="N293" s="27">
        <f t="shared" si="10"/>
        <v>26.10227988</v>
      </c>
      <c r="O293" s="24"/>
      <c r="P293" s="24"/>
      <c r="Q293" s="24"/>
      <c r="R293" s="26"/>
      <c r="S293" s="14">
        <f t="shared" si="13"/>
        <v>23.96962267</v>
      </c>
      <c r="U293" s="21"/>
      <c r="V293" s="21"/>
    </row>
    <row r="294">
      <c r="A294" s="11">
        <v>282.0</v>
      </c>
      <c r="B294" s="11">
        <v>1.42062173913043E9</v>
      </c>
      <c r="C294" s="2">
        <v>-102.4844589</v>
      </c>
      <c r="D294" s="24">
        <f t="shared" si="1"/>
        <v>221739.1304</v>
      </c>
      <c r="E294" s="25">
        <f t="shared" si="2"/>
        <v>-47.75139887</v>
      </c>
      <c r="F294" s="24">
        <f t="shared" si="3"/>
        <v>0.0002153494459</v>
      </c>
      <c r="G294" s="24">
        <f t="shared" si="4"/>
        <v>0</v>
      </c>
      <c r="H294" s="26">
        <f t="shared" si="5"/>
        <v>0</v>
      </c>
      <c r="I294" s="24">
        <f t="shared" si="6"/>
        <v>0</v>
      </c>
      <c r="J294" s="24">
        <f t="shared" si="7"/>
        <v>0</v>
      </c>
      <c r="K294" s="24"/>
      <c r="L294" s="24">
        <f t="shared" si="8"/>
        <v>429.2005575</v>
      </c>
      <c r="M294" s="14">
        <f t="shared" si="9"/>
        <v>408.4423361</v>
      </c>
      <c r="N294" s="27">
        <f t="shared" si="10"/>
        <v>20.75822136</v>
      </c>
      <c r="O294" s="24"/>
      <c r="P294" s="24"/>
      <c r="Q294" s="24"/>
      <c r="R294" s="26"/>
      <c r="S294" s="14">
        <f t="shared" si="13"/>
        <v>19.06219435</v>
      </c>
      <c r="U294" s="21"/>
      <c r="V294" s="21"/>
    </row>
    <row r="295">
      <c r="A295" s="11">
        <v>283.0</v>
      </c>
      <c r="B295" s="11">
        <v>1.42062608695652E9</v>
      </c>
      <c r="C295" s="2">
        <v>-102.4704666</v>
      </c>
      <c r="D295" s="24">
        <f t="shared" si="1"/>
        <v>226086.9565</v>
      </c>
      <c r="E295" s="25">
        <f t="shared" si="2"/>
        <v>-48.669695</v>
      </c>
      <c r="F295" s="24">
        <f t="shared" si="3"/>
        <v>0.0002152698048</v>
      </c>
      <c r="G295" s="24">
        <f t="shared" si="4"/>
        <v>0</v>
      </c>
      <c r="H295" s="26">
        <f t="shared" si="5"/>
        <v>0</v>
      </c>
      <c r="I295" s="24">
        <f t="shared" si="6"/>
        <v>0</v>
      </c>
      <c r="J295" s="24">
        <f t="shared" si="7"/>
        <v>0</v>
      </c>
      <c r="K295" s="24"/>
      <c r="L295" s="24">
        <f t="shared" si="8"/>
        <v>430.5856056</v>
      </c>
      <c r="M295" s="14">
        <f t="shared" si="9"/>
        <v>408.3689809</v>
      </c>
      <c r="N295" s="27">
        <f t="shared" si="10"/>
        <v>22.21662471</v>
      </c>
      <c r="O295" s="24"/>
      <c r="P295" s="24"/>
      <c r="Q295" s="24"/>
      <c r="R295" s="26"/>
      <c r="S295" s="14">
        <f t="shared" si="13"/>
        <v>20.40144055</v>
      </c>
      <c r="U295" s="21"/>
      <c r="V295" s="21"/>
    </row>
    <row r="296">
      <c r="A296" s="11">
        <v>284.0</v>
      </c>
      <c r="B296" s="11">
        <v>1.4206304347826E9</v>
      </c>
      <c r="C296" s="2">
        <v>-102.4864502</v>
      </c>
      <c r="D296" s="24">
        <f t="shared" si="1"/>
        <v>230434.7826</v>
      </c>
      <c r="E296" s="25">
        <f t="shared" si="2"/>
        <v>-49.58799113</v>
      </c>
      <c r="F296" s="24">
        <f t="shared" si="3"/>
        <v>0.0002151931691</v>
      </c>
      <c r="G296" s="24">
        <f t="shared" si="4"/>
        <v>0</v>
      </c>
      <c r="H296" s="26">
        <f t="shared" si="5"/>
        <v>0</v>
      </c>
      <c r="I296" s="24">
        <f t="shared" si="6"/>
        <v>0</v>
      </c>
      <c r="J296" s="24">
        <f t="shared" si="7"/>
        <v>0</v>
      </c>
      <c r="K296" s="24"/>
      <c r="L296" s="24">
        <f t="shared" si="8"/>
        <v>429.0038082</v>
      </c>
      <c r="M296" s="14">
        <f t="shared" si="9"/>
        <v>408.2956118</v>
      </c>
      <c r="N296" s="27">
        <f t="shared" si="10"/>
        <v>20.70819645</v>
      </c>
      <c r="O296" s="24"/>
      <c r="P296" s="24"/>
      <c r="Q296" s="24"/>
      <c r="R296" s="26"/>
      <c r="S296" s="14">
        <f t="shared" si="13"/>
        <v>19.01625672</v>
      </c>
      <c r="U296" s="21"/>
      <c r="V296" s="21"/>
    </row>
    <row r="297">
      <c r="A297" s="11">
        <v>285.0</v>
      </c>
      <c r="B297" s="11">
        <v>1.42063478260869E9</v>
      </c>
      <c r="C297" s="2">
        <v>-102.4913559</v>
      </c>
      <c r="D297" s="24">
        <f t="shared" si="1"/>
        <v>234782.6087</v>
      </c>
      <c r="E297" s="25">
        <f t="shared" si="2"/>
        <v>-50.50628727</v>
      </c>
      <c r="F297" s="24">
        <f t="shared" si="3"/>
        <v>0.0002151193717</v>
      </c>
      <c r="G297" s="24">
        <f t="shared" si="4"/>
        <v>0</v>
      </c>
      <c r="H297" s="26">
        <f t="shared" si="5"/>
        <v>0</v>
      </c>
      <c r="I297" s="24">
        <f t="shared" si="6"/>
        <v>0</v>
      </c>
      <c r="J297" s="24">
        <f t="shared" si="7"/>
        <v>0</v>
      </c>
      <c r="K297" s="24"/>
      <c r="L297" s="24">
        <f t="shared" si="8"/>
        <v>428.519488</v>
      </c>
      <c r="M297" s="14">
        <f t="shared" si="9"/>
        <v>408.2222274</v>
      </c>
      <c r="N297" s="27">
        <f t="shared" si="10"/>
        <v>20.29726063</v>
      </c>
      <c r="O297" s="24"/>
      <c r="P297" s="24"/>
      <c r="Q297" s="24"/>
      <c r="R297" s="26"/>
      <c r="S297" s="14">
        <f t="shared" si="13"/>
        <v>18.63889594</v>
      </c>
      <c r="U297" s="21"/>
      <c r="V297" s="21"/>
    </row>
    <row r="298">
      <c r="A298" s="11">
        <v>286.0</v>
      </c>
      <c r="B298" s="11">
        <v>1.42063913043478E9</v>
      </c>
      <c r="C298" s="2">
        <v>-102.4911423</v>
      </c>
      <c r="D298" s="24">
        <f t="shared" si="1"/>
        <v>239130.4348</v>
      </c>
      <c r="E298" s="25">
        <f t="shared" si="2"/>
        <v>-51.4245834</v>
      </c>
      <c r="F298" s="24">
        <f t="shared" si="3"/>
        <v>0.0002150482579</v>
      </c>
      <c r="G298" s="24">
        <f t="shared" si="4"/>
        <v>0</v>
      </c>
      <c r="H298" s="26">
        <f t="shared" si="5"/>
        <v>0</v>
      </c>
      <c r="I298" s="24">
        <f t="shared" si="6"/>
        <v>0</v>
      </c>
      <c r="J298" s="24">
        <f t="shared" si="7"/>
        <v>0</v>
      </c>
      <c r="K298" s="24"/>
      <c r="L298" s="24">
        <f t="shared" si="8"/>
        <v>428.5405645</v>
      </c>
      <c r="M298" s="14">
        <f t="shared" si="9"/>
        <v>408.1488267</v>
      </c>
      <c r="N298" s="27">
        <f t="shared" si="10"/>
        <v>20.39173784</v>
      </c>
      <c r="O298" s="24"/>
      <c r="P298" s="24"/>
      <c r="Q298" s="24"/>
      <c r="R298" s="26"/>
      <c r="S298" s="14">
        <f t="shared" si="13"/>
        <v>18.72565396</v>
      </c>
      <c r="U298" s="21"/>
      <c r="V298" s="21"/>
    </row>
    <row r="299">
      <c r="A299" s="11">
        <v>287.0</v>
      </c>
      <c r="B299" s="11">
        <v>1.42064347826087E9</v>
      </c>
      <c r="C299" s="2">
        <v>-102.4729996</v>
      </c>
      <c r="D299" s="24">
        <f t="shared" si="1"/>
        <v>243478.2609</v>
      </c>
      <c r="E299" s="25">
        <f t="shared" si="2"/>
        <v>-52.34287953</v>
      </c>
      <c r="F299" s="24">
        <f t="shared" si="3"/>
        <v>0.0002149796838</v>
      </c>
      <c r="G299" s="24">
        <f t="shared" si="4"/>
        <v>0</v>
      </c>
      <c r="H299" s="26">
        <f t="shared" si="5"/>
        <v>0</v>
      </c>
      <c r="I299" s="24">
        <f t="shared" si="6"/>
        <v>0</v>
      </c>
      <c r="J299" s="24">
        <f t="shared" si="7"/>
        <v>0</v>
      </c>
      <c r="K299" s="24"/>
      <c r="L299" s="24">
        <f t="shared" si="8"/>
        <v>430.334542</v>
      </c>
      <c r="M299" s="14">
        <f t="shared" si="9"/>
        <v>408.0754084</v>
      </c>
      <c r="N299" s="27">
        <f t="shared" si="10"/>
        <v>22.25913366</v>
      </c>
      <c r="O299" s="24"/>
      <c r="P299" s="24"/>
      <c r="Q299" s="24"/>
      <c r="R299" s="26"/>
      <c r="S299" s="14">
        <f t="shared" si="13"/>
        <v>20.44047636</v>
      </c>
      <c r="U299" s="21"/>
      <c r="V299" s="21"/>
    </row>
    <row r="300">
      <c r="A300" s="11">
        <v>288.0</v>
      </c>
      <c r="B300" s="11">
        <v>1.42064782608695E9</v>
      </c>
      <c r="C300" s="2">
        <v>-102.4702911</v>
      </c>
      <c r="D300" s="24">
        <f t="shared" si="1"/>
        <v>247826.087</v>
      </c>
      <c r="E300" s="25">
        <f t="shared" si="2"/>
        <v>-53.26117566</v>
      </c>
      <c r="F300" s="24">
        <f t="shared" si="3"/>
        <v>0.0002149135158</v>
      </c>
      <c r="G300" s="24">
        <f t="shared" si="4"/>
        <v>0</v>
      </c>
      <c r="H300" s="26">
        <f t="shared" si="5"/>
        <v>0</v>
      </c>
      <c r="I300" s="24">
        <f t="shared" si="6"/>
        <v>0</v>
      </c>
      <c r="J300" s="24">
        <f t="shared" si="7"/>
        <v>0</v>
      </c>
      <c r="K300" s="24"/>
      <c r="L300" s="24">
        <f t="shared" si="8"/>
        <v>430.6030061</v>
      </c>
      <c r="M300" s="14">
        <f t="shared" si="9"/>
        <v>408.0019713</v>
      </c>
      <c r="N300" s="27">
        <f t="shared" si="10"/>
        <v>22.60103479</v>
      </c>
      <c r="O300" s="24"/>
      <c r="P300" s="24"/>
      <c r="Q300" s="24"/>
      <c r="R300" s="26"/>
      <c r="S300" s="14">
        <f t="shared" si="13"/>
        <v>20.75444285</v>
      </c>
      <c r="U300" s="21"/>
      <c r="V300" s="21"/>
    </row>
    <row r="301">
      <c r="A301" s="11">
        <v>289.0</v>
      </c>
      <c r="B301" s="11">
        <v>1.42065217391304E9</v>
      </c>
      <c r="C301" s="2">
        <v>-102.4713058</v>
      </c>
      <c r="D301" s="24">
        <f t="shared" si="1"/>
        <v>252173.913</v>
      </c>
      <c r="E301" s="25">
        <f t="shared" si="2"/>
        <v>-54.1794718</v>
      </c>
      <c r="F301" s="24">
        <f t="shared" si="3"/>
        <v>0.0002148496295</v>
      </c>
      <c r="G301" s="24">
        <f t="shared" si="4"/>
        <v>0</v>
      </c>
      <c r="H301" s="26">
        <f t="shared" si="5"/>
        <v>0</v>
      </c>
      <c r="I301" s="24">
        <f t="shared" si="6"/>
        <v>0</v>
      </c>
      <c r="J301" s="24">
        <f t="shared" si="7"/>
        <v>0</v>
      </c>
      <c r="K301" s="24"/>
      <c r="L301" s="24">
        <f t="shared" si="8"/>
        <v>430.5024104</v>
      </c>
      <c r="M301" s="14">
        <f t="shared" si="9"/>
        <v>407.9285143</v>
      </c>
      <c r="N301" s="27">
        <f t="shared" si="10"/>
        <v>22.57389606</v>
      </c>
      <c r="O301" s="24"/>
      <c r="P301" s="24"/>
      <c r="Q301" s="24"/>
      <c r="R301" s="26"/>
      <c r="S301" s="14">
        <f t="shared" si="13"/>
        <v>20.72952141</v>
      </c>
      <c r="U301" s="21"/>
      <c r="V301" s="21"/>
    </row>
    <row r="302">
      <c r="A302" s="11">
        <v>290.0</v>
      </c>
      <c r="B302" s="11">
        <v>1.42065652173913E9</v>
      </c>
      <c r="C302" s="2">
        <v>-102.4727325</v>
      </c>
      <c r="D302" s="24">
        <f t="shared" si="1"/>
        <v>256521.7391</v>
      </c>
      <c r="E302" s="25">
        <f t="shared" si="2"/>
        <v>-55.09776793</v>
      </c>
      <c r="F302" s="24">
        <f t="shared" si="3"/>
        <v>0.0002147879089</v>
      </c>
      <c r="G302" s="24">
        <f t="shared" si="4"/>
        <v>0</v>
      </c>
      <c r="H302" s="26">
        <f t="shared" si="5"/>
        <v>0</v>
      </c>
      <c r="I302" s="24">
        <f t="shared" si="6"/>
        <v>0</v>
      </c>
      <c r="J302" s="24">
        <f t="shared" si="7"/>
        <v>0</v>
      </c>
      <c r="K302" s="24"/>
      <c r="L302" s="24">
        <f t="shared" si="8"/>
        <v>430.3610093</v>
      </c>
      <c r="M302" s="14">
        <f t="shared" si="9"/>
        <v>407.8550361</v>
      </c>
      <c r="N302" s="27">
        <f t="shared" si="10"/>
        <v>22.50597322</v>
      </c>
      <c r="O302" s="24"/>
      <c r="P302" s="24"/>
      <c r="Q302" s="24"/>
      <c r="R302" s="26"/>
      <c r="S302" s="14">
        <f t="shared" si="13"/>
        <v>20.66714817</v>
      </c>
      <c r="U302" s="21"/>
      <c r="V302" s="21"/>
    </row>
    <row r="303">
      <c r="A303" s="11">
        <v>291.0</v>
      </c>
      <c r="B303" s="11">
        <v>1.42066086956521E9</v>
      </c>
      <c r="C303" s="2">
        <v>-102.5150604</v>
      </c>
      <c r="D303" s="24">
        <f t="shared" si="1"/>
        <v>260869.5652</v>
      </c>
      <c r="E303" s="25">
        <f t="shared" si="2"/>
        <v>-56.01606406</v>
      </c>
      <c r="F303" s="24">
        <f t="shared" si="3"/>
        <v>0.0002147282456</v>
      </c>
      <c r="G303" s="24">
        <f t="shared" si="4"/>
        <v>0</v>
      </c>
      <c r="H303" s="26">
        <f t="shared" si="5"/>
        <v>0</v>
      </c>
      <c r="I303" s="24">
        <f t="shared" si="6"/>
        <v>0</v>
      </c>
      <c r="J303" s="24">
        <f t="shared" si="7"/>
        <v>0</v>
      </c>
      <c r="K303" s="24"/>
      <c r="L303" s="24">
        <f t="shared" si="8"/>
        <v>426.1869304</v>
      </c>
      <c r="M303" s="14">
        <f t="shared" si="9"/>
        <v>407.7815355</v>
      </c>
      <c r="N303" s="27">
        <f t="shared" si="10"/>
        <v>18.40539488</v>
      </c>
      <c r="O303" s="24"/>
      <c r="P303" s="24"/>
      <c r="Q303" s="24"/>
      <c r="R303" s="26"/>
      <c r="S303" s="14">
        <f t="shared" si="13"/>
        <v>16.90160294</v>
      </c>
      <c r="U303" s="21"/>
      <c r="V303" s="21"/>
    </row>
    <row r="304">
      <c r="A304" s="11">
        <v>292.0</v>
      </c>
      <c r="B304" s="11">
        <v>1.4206652173913E9</v>
      </c>
      <c r="C304" s="2">
        <v>-102.4947357</v>
      </c>
      <c r="D304" s="24">
        <f t="shared" si="1"/>
        <v>265217.3913</v>
      </c>
      <c r="E304" s="25">
        <f t="shared" si="2"/>
        <v>-56.93436019</v>
      </c>
      <c r="F304" s="24">
        <f t="shared" si="3"/>
        <v>0.0002146705384</v>
      </c>
      <c r="G304" s="24">
        <f t="shared" si="4"/>
        <v>0</v>
      </c>
      <c r="H304" s="26">
        <f t="shared" si="5"/>
        <v>0</v>
      </c>
      <c r="I304" s="24">
        <f t="shared" si="6"/>
        <v>0</v>
      </c>
      <c r="J304" s="24">
        <f t="shared" si="7"/>
        <v>0</v>
      </c>
      <c r="K304" s="24"/>
      <c r="L304" s="24">
        <f t="shared" si="8"/>
        <v>428.186132</v>
      </c>
      <c r="M304" s="14">
        <f t="shared" si="9"/>
        <v>407.7080114</v>
      </c>
      <c r="N304" s="27">
        <f t="shared" si="10"/>
        <v>20.47812058</v>
      </c>
      <c r="O304" s="24"/>
      <c r="P304" s="24"/>
      <c r="Q304" s="24"/>
      <c r="R304" s="26"/>
      <c r="S304" s="14">
        <f t="shared" si="13"/>
        <v>18.80497889</v>
      </c>
      <c r="U304" s="21"/>
      <c r="V304" s="21"/>
    </row>
    <row r="305">
      <c r="A305" s="11">
        <v>293.0</v>
      </c>
      <c r="B305" s="11">
        <v>1.42066956521739E9</v>
      </c>
      <c r="C305" s="2">
        <v>-102.5625153</v>
      </c>
      <c r="D305" s="24">
        <f t="shared" si="1"/>
        <v>269565.2174</v>
      </c>
      <c r="E305" s="25">
        <f t="shared" si="2"/>
        <v>-57.85265632</v>
      </c>
      <c r="F305" s="24">
        <f t="shared" si="3"/>
        <v>0.0002146146928</v>
      </c>
      <c r="G305" s="24">
        <f t="shared" si="4"/>
        <v>0</v>
      </c>
      <c r="H305" s="26">
        <f t="shared" si="5"/>
        <v>0</v>
      </c>
      <c r="I305" s="24">
        <f t="shared" si="6"/>
        <v>0</v>
      </c>
      <c r="J305" s="24">
        <f t="shared" si="7"/>
        <v>0</v>
      </c>
      <c r="K305" s="24"/>
      <c r="L305" s="24">
        <f t="shared" si="8"/>
        <v>421.5553811</v>
      </c>
      <c r="M305" s="14">
        <f t="shared" si="9"/>
        <v>407.6344626</v>
      </c>
      <c r="N305" s="27">
        <f t="shared" si="10"/>
        <v>13.92091849</v>
      </c>
      <c r="O305" s="24"/>
      <c r="P305" s="24"/>
      <c r="Q305" s="24"/>
      <c r="R305" s="26"/>
      <c r="S305" s="14">
        <f t="shared" si="13"/>
        <v>12.78352562</v>
      </c>
      <c r="U305" s="21"/>
      <c r="V305" s="21"/>
    </row>
    <row r="306">
      <c r="A306" s="11">
        <v>294.0</v>
      </c>
      <c r="B306" s="11">
        <v>1.42067391304347E9</v>
      </c>
      <c r="C306" s="2">
        <v>-102.5323257</v>
      </c>
      <c r="D306" s="24">
        <f t="shared" si="1"/>
        <v>273913.0435</v>
      </c>
      <c r="E306" s="25">
        <f t="shared" si="2"/>
        <v>-58.77095246</v>
      </c>
      <c r="F306" s="24">
        <f t="shared" si="3"/>
        <v>0.0002145606201</v>
      </c>
      <c r="G306" s="24">
        <f t="shared" si="4"/>
        <v>0</v>
      </c>
      <c r="H306" s="26">
        <f t="shared" si="5"/>
        <v>0</v>
      </c>
      <c r="I306" s="24">
        <f t="shared" si="6"/>
        <v>0</v>
      </c>
      <c r="J306" s="24">
        <f t="shared" si="7"/>
        <v>0</v>
      </c>
      <c r="K306" s="24"/>
      <c r="L306" s="24">
        <f t="shared" si="8"/>
        <v>424.4959952</v>
      </c>
      <c r="M306" s="14">
        <f t="shared" si="9"/>
        <v>407.5608878</v>
      </c>
      <c r="N306" s="27">
        <f t="shared" si="10"/>
        <v>16.93510741</v>
      </c>
      <c r="O306" s="24"/>
      <c r="P306" s="24"/>
      <c r="Q306" s="24"/>
      <c r="R306" s="26"/>
      <c r="S306" s="14">
        <f t="shared" si="13"/>
        <v>15.55144365</v>
      </c>
      <c r="U306" s="21"/>
      <c r="V306" s="21"/>
    </row>
    <row r="307">
      <c r="A307" s="11">
        <v>295.0</v>
      </c>
      <c r="B307" s="11">
        <v>1.42067826086956E9</v>
      </c>
      <c r="C307" s="2">
        <v>-102.5039825</v>
      </c>
      <c r="D307" s="24">
        <f t="shared" si="1"/>
        <v>278260.8696</v>
      </c>
      <c r="E307" s="25">
        <f t="shared" si="2"/>
        <v>-59.68924859</v>
      </c>
      <c r="F307" s="24">
        <f t="shared" si="3"/>
        <v>0.0002145082371</v>
      </c>
      <c r="G307" s="24">
        <f t="shared" si="4"/>
        <v>0</v>
      </c>
      <c r="H307" s="26">
        <f t="shared" si="5"/>
        <v>0</v>
      </c>
      <c r="I307" s="24">
        <f t="shared" si="6"/>
        <v>0</v>
      </c>
      <c r="J307" s="24">
        <f t="shared" si="7"/>
        <v>0</v>
      </c>
      <c r="K307" s="24"/>
      <c r="L307" s="24">
        <f t="shared" si="8"/>
        <v>427.2754275</v>
      </c>
      <c r="M307" s="14">
        <f t="shared" si="9"/>
        <v>407.4872859</v>
      </c>
      <c r="N307" s="27">
        <f t="shared" si="10"/>
        <v>19.78814163</v>
      </c>
      <c r="O307" s="24"/>
      <c r="P307" s="24"/>
      <c r="Q307" s="24"/>
      <c r="R307" s="26"/>
      <c r="S307" s="14">
        <f t="shared" si="13"/>
        <v>18.17137389</v>
      </c>
      <c r="U307" s="21"/>
      <c r="V307" s="21"/>
    </row>
    <row r="308">
      <c r="A308" s="11">
        <v>296.0</v>
      </c>
      <c r="B308" s="11">
        <v>1.42068260869565E9</v>
      </c>
      <c r="C308" s="2">
        <v>-102.525856</v>
      </c>
      <c r="D308" s="24">
        <f t="shared" si="1"/>
        <v>282608.6957</v>
      </c>
      <c r="E308" s="25">
        <f t="shared" si="2"/>
        <v>-60.60754472</v>
      </c>
      <c r="F308" s="24">
        <f t="shared" si="3"/>
        <v>0.0002144574659</v>
      </c>
      <c r="G308" s="24">
        <f t="shared" si="4"/>
        <v>0</v>
      </c>
      <c r="H308" s="26">
        <f t="shared" si="5"/>
        <v>0</v>
      </c>
      <c r="I308" s="24">
        <f t="shared" si="6"/>
        <v>0</v>
      </c>
      <c r="J308" s="24">
        <f t="shared" si="7"/>
        <v>0</v>
      </c>
      <c r="K308" s="24"/>
      <c r="L308" s="24">
        <f t="shared" si="8"/>
        <v>425.1288396</v>
      </c>
      <c r="M308" s="14">
        <f t="shared" si="9"/>
        <v>407.4136556</v>
      </c>
      <c r="N308" s="27">
        <f t="shared" si="10"/>
        <v>17.71518403</v>
      </c>
      <c r="O308" s="24"/>
      <c r="P308" s="24"/>
      <c r="Q308" s="24"/>
      <c r="R308" s="26"/>
      <c r="S308" s="14">
        <f t="shared" si="13"/>
        <v>16.26778499</v>
      </c>
      <c r="U308" s="21"/>
      <c r="V308" s="21"/>
    </row>
    <row r="309">
      <c r="A309" s="11">
        <v>297.0</v>
      </c>
      <c r="B309" s="11">
        <v>1.42068695652173E9</v>
      </c>
      <c r="C309" s="2">
        <v>-102.4758987</v>
      </c>
      <c r="D309" s="24">
        <f t="shared" si="1"/>
        <v>286956.5217</v>
      </c>
      <c r="E309" s="25">
        <f t="shared" si="2"/>
        <v>-61.52584085</v>
      </c>
      <c r="F309" s="24">
        <f t="shared" si="3"/>
        <v>0.0002144082333</v>
      </c>
      <c r="G309" s="24">
        <f t="shared" si="4"/>
        <v>0</v>
      </c>
      <c r="H309" s="26">
        <f t="shared" si="5"/>
        <v>0</v>
      </c>
      <c r="I309" s="24">
        <f t="shared" si="6"/>
        <v>0</v>
      </c>
      <c r="J309" s="24">
        <f t="shared" si="7"/>
        <v>0</v>
      </c>
      <c r="K309" s="24"/>
      <c r="L309" s="24">
        <f t="shared" si="8"/>
        <v>430.0473713</v>
      </c>
      <c r="M309" s="14">
        <f t="shared" si="9"/>
        <v>407.3399958</v>
      </c>
      <c r="N309" s="27">
        <f t="shared" si="10"/>
        <v>22.70737552</v>
      </c>
      <c r="O309" s="24"/>
      <c r="P309" s="24"/>
      <c r="Q309" s="24"/>
      <c r="R309" s="26"/>
      <c r="S309" s="14">
        <f t="shared" si="13"/>
        <v>20.85209513</v>
      </c>
      <c r="U309" s="21"/>
      <c r="V309" s="21"/>
    </row>
    <row r="310">
      <c r="A310" s="11">
        <v>298.0</v>
      </c>
      <c r="B310" s="11">
        <v>1.42069130434782E9</v>
      </c>
      <c r="C310" s="2">
        <v>-102.4631958</v>
      </c>
      <c r="D310" s="24">
        <f t="shared" si="1"/>
        <v>291304.3478</v>
      </c>
      <c r="E310" s="25">
        <f t="shared" si="2"/>
        <v>-62.44413698</v>
      </c>
      <c r="F310" s="24">
        <f t="shared" si="3"/>
        <v>0.0002143604703</v>
      </c>
      <c r="G310" s="24">
        <f t="shared" si="4"/>
        <v>0</v>
      </c>
      <c r="H310" s="26">
        <f t="shared" si="5"/>
        <v>0</v>
      </c>
      <c r="I310" s="24">
        <f t="shared" si="6"/>
        <v>0</v>
      </c>
      <c r="J310" s="24">
        <f t="shared" si="7"/>
        <v>0</v>
      </c>
      <c r="K310" s="24"/>
      <c r="L310" s="24">
        <f t="shared" si="8"/>
        <v>431.3070801</v>
      </c>
      <c r="M310" s="14">
        <f t="shared" si="9"/>
        <v>407.2663053</v>
      </c>
      <c r="N310" s="27">
        <f t="shared" si="10"/>
        <v>24.04077485</v>
      </c>
      <c r="O310" s="24"/>
      <c r="P310" s="24"/>
      <c r="Q310" s="24"/>
      <c r="R310" s="26"/>
      <c r="S310" s="14">
        <f t="shared" si="13"/>
        <v>22.07655058</v>
      </c>
      <c r="U310" s="21"/>
      <c r="V310" s="21"/>
    </row>
    <row r="311">
      <c r="A311" s="11">
        <v>299.0</v>
      </c>
      <c r="B311" s="11">
        <v>1.42069565217391E9</v>
      </c>
      <c r="C311" s="2">
        <v>-102.4585953</v>
      </c>
      <c r="D311" s="24">
        <f t="shared" si="1"/>
        <v>295652.1739</v>
      </c>
      <c r="E311" s="25">
        <f t="shared" si="2"/>
        <v>-63.36243312</v>
      </c>
      <c r="F311" s="24">
        <f t="shared" si="3"/>
        <v>0.000214314112</v>
      </c>
      <c r="G311" s="24">
        <f t="shared" si="4"/>
        <v>0</v>
      </c>
      <c r="H311" s="26">
        <f t="shared" si="5"/>
        <v>0</v>
      </c>
      <c r="I311" s="24">
        <f t="shared" si="6"/>
        <v>0</v>
      </c>
      <c r="J311" s="24">
        <f t="shared" si="7"/>
        <v>0</v>
      </c>
      <c r="K311" s="24"/>
      <c r="L311" s="24">
        <f t="shared" si="8"/>
        <v>431.7642076</v>
      </c>
      <c r="M311" s="14">
        <f t="shared" si="9"/>
        <v>407.1925828</v>
      </c>
      <c r="N311" s="27">
        <f t="shared" si="10"/>
        <v>24.57162481</v>
      </c>
      <c r="O311" s="24"/>
      <c r="P311" s="24"/>
      <c r="Q311" s="24"/>
      <c r="R311" s="26"/>
      <c r="S311" s="14">
        <f t="shared" si="13"/>
        <v>22.56402799</v>
      </c>
      <c r="U311" s="21"/>
      <c r="V311" s="21"/>
    </row>
    <row r="312">
      <c r="A312" s="11">
        <v>300.0</v>
      </c>
      <c r="B312" s="11">
        <v>1.4207E9</v>
      </c>
      <c r="C312" s="2">
        <v>-102.5773621</v>
      </c>
      <c r="D312" s="24">
        <f t="shared" si="1"/>
        <v>300000</v>
      </c>
      <c r="E312" s="25">
        <f t="shared" si="2"/>
        <v>-64.28072925</v>
      </c>
      <c r="F312" s="24">
        <f t="shared" si="3"/>
        <v>0.0002142690975</v>
      </c>
      <c r="G312" s="24">
        <f t="shared" si="4"/>
        <v>0</v>
      </c>
      <c r="H312" s="26">
        <f t="shared" si="5"/>
        <v>0</v>
      </c>
      <c r="I312" s="24">
        <f t="shared" si="6"/>
        <v>0</v>
      </c>
      <c r="J312" s="24">
        <f t="shared" si="7"/>
        <v>0</v>
      </c>
      <c r="K312" s="24"/>
      <c r="L312" s="24">
        <f t="shared" si="8"/>
        <v>420.1167115</v>
      </c>
      <c r="M312" s="14">
        <f t="shared" si="9"/>
        <v>407.1188273</v>
      </c>
      <c r="N312" s="27">
        <f t="shared" si="10"/>
        <v>12.99788427</v>
      </c>
      <c r="O312" s="24"/>
      <c r="P312" s="24"/>
      <c r="Q312" s="24"/>
      <c r="R312" s="26"/>
      <c r="S312" s="14">
        <f t="shared" si="13"/>
        <v>11.93590686</v>
      </c>
      <c r="U312" s="21"/>
      <c r="V312" s="21"/>
    </row>
    <row r="313">
      <c r="A313" s="11">
        <v>301.0</v>
      </c>
      <c r="B313" s="11">
        <v>1.42070434782608E9</v>
      </c>
      <c r="C313" s="2">
        <v>-102.5127792</v>
      </c>
      <c r="D313" s="24">
        <f t="shared" si="1"/>
        <v>304347.8261</v>
      </c>
      <c r="E313" s="25">
        <f t="shared" si="2"/>
        <v>-65.19902538</v>
      </c>
      <c r="F313" s="24">
        <f t="shared" si="3"/>
        <v>0.0002142253691</v>
      </c>
      <c r="G313" s="24">
        <f t="shared" si="4"/>
        <v>0</v>
      </c>
      <c r="H313" s="26">
        <f t="shared" si="5"/>
        <v>0</v>
      </c>
      <c r="I313" s="24">
        <f t="shared" si="6"/>
        <v>0</v>
      </c>
      <c r="J313" s="24">
        <f t="shared" si="7"/>
        <v>0</v>
      </c>
      <c r="K313" s="24"/>
      <c r="L313" s="24">
        <f t="shared" si="8"/>
        <v>426.4108506</v>
      </c>
      <c r="M313" s="14">
        <f t="shared" si="9"/>
        <v>407.0450374</v>
      </c>
      <c r="N313" s="27">
        <f t="shared" si="10"/>
        <v>19.36581324</v>
      </c>
      <c r="O313" s="24"/>
      <c r="P313" s="24"/>
      <c r="Q313" s="24"/>
      <c r="R313" s="26"/>
      <c r="S313" s="14">
        <f t="shared" si="13"/>
        <v>17.7835514</v>
      </c>
      <c r="U313" s="21"/>
      <c r="V313" s="21"/>
    </row>
    <row r="314">
      <c r="A314" s="11">
        <v>302.0</v>
      </c>
      <c r="B314" s="11">
        <v>1.42070869565217E9</v>
      </c>
      <c r="C314" s="2">
        <v>-102.4830246</v>
      </c>
      <c r="D314" s="24">
        <f t="shared" si="1"/>
        <v>308695.6522</v>
      </c>
      <c r="E314" s="25">
        <f t="shared" si="2"/>
        <v>-66.11732151</v>
      </c>
      <c r="F314" s="24">
        <f t="shared" si="3"/>
        <v>0.0002141828725</v>
      </c>
      <c r="G314" s="24">
        <f t="shared" si="4"/>
        <v>0</v>
      </c>
      <c r="H314" s="26">
        <f t="shared" si="5"/>
        <v>0</v>
      </c>
      <c r="I314" s="24">
        <f t="shared" si="6"/>
        <v>0</v>
      </c>
      <c r="J314" s="24">
        <f t="shared" si="7"/>
        <v>0</v>
      </c>
      <c r="K314" s="24"/>
      <c r="L314" s="24">
        <f t="shared" si="8"/>
        <v>429.3423286</v>
      </c>
      <c r="M314" s="14">
        <f t="shared" si="9"/>
        <v>406.971212</v>
      </c>
      <c r="N314" s="27">
        <f t="shared" si="10"/>
        <v>22.37111658</v>
      </c>
      <c r="O314" s="24"/>
      <c r="P314" s="24"/>
      <c r="Q314" s="24"/>
      <c r="R314" s="26"/>
      <c r="S314" s="14">
        <f t="shared" si="13"/>
        <v>20.5433098</v>
      </c>
      <c r="U314" s="21"/>
      <c r="V314" s="21"/>
    </row>
    <row r="315">
      <c r="A315" s="11">
        <v>303.0</v>
      </c>
      <c r="B315" s="11">
        <v>1.42071304347826E9</v>
      </c>
      <c r="C315" s="2">
        <v>-102.5421524</v>
      </c>
      <c r="D315" s="24">
        <f t="shared" si="1"/>
        <v>313043.4783</v>
      </c>
      <c r="E315" s="25">
        <f t="shared" si="2"/>
        <v>-67.03561764</v>
      </c>
      <c r="F315" s="24">
        <f t="shared" si="3"/>
        <v>0.0002141415564</v>
      </c>
      <c r="G315" s="24">
        <f t="shared" si="4"/>
        <v>0</v>
      </c>
      <c r="H315" s="26">
        <f t="shared" si="5"/>
        <v>0</v>
      </c>
      <c r="I315" s="24">
        <f t="shared" si="6"/>
        <v>0</v>
      </c>
      <c r="J315" s="24">
        <f t="shared" si="7"/>
        <v>0</v>
      </c>
      <c r="K315" s="24"/>
      <c r="L315" s="24">
        <f t="shared" si="8"/>
        <v>423.5365819</v>
      </c>
      <c r="M315" s="14">
        <f t="shared" si="9"/>
        <v>406.8973499</v>
      </c>
      <c r="N315" s="27">
        <f t="shared" si="10"/>
        <v>16.63923203</v>
      </c>
      <c r="O315" s="24"/>
      <c r="P315" s="24"/>
      <c r="Q315" s="24"/>
      <c r="R315" s="26"/>
      <c r="S315" s="14">
        <f t="shared" si="13"/>
        <v>15.27974243</v>
      </c>
      <c r="U315" s="21"/>
      <c r="V315" s="21"/>
    </row>
    <row r="316">
      <c r="A316" s="11">
        <v>304.0</v>
      </c>
      <c r="B316" s="11">
        <v>1.42071739130434E9</v>
      </c>
      <c r="C316" s="2">
        <v>-102.4980164</v>
      </c>
      <c r="D316" s="24">
        <f t="shared" si="1"/>
        <v>317391.3043</v>
      </c>
      <c r="E316" s="25">
        <f t="shared" si="2"/>
        <v>-67.95391378</v>
      </c>
      <c r="F316" s="24">
        <f t="shared" si="3"/>
        <v>0.0002141013722</v>
      </c>
      <c r="G316" s="24">
        <f t="shared" si="4"/>
        <v>0</v>
      </c>
      <c r="H316" s="26">
        <f t="shared" si="5"/>
        <v>0</v>
      </c>
      <c r="I316" s="24">
        <f t="shared" si="6"/>
        <v>0</v>
      </c>
      <c r="J316" s="24">
        <f t="shared" si="7"/>
        <v>0</v>
      </c>
      <c r="K316" s="24"/>
      <c r="L316" s="24">
        <f t="shared" si="8"/>
        <v>427.8627985</v>
      </c>
      <c r="M316" s="14">
        <f t="shared" si="9"/>
        <v>406.8234499</v>
      </c>
      <c r="N316" s="27">
        <f t="shared" si="10"/>
        <v>21.03934861</v>
      </c>
      <c r="O316" s="24"/>
      <c r="P316" s="24"/>
      <c r="Q316" s="24"/>
      <c r="R316" s="26"/>
      <c r="S316" s="14">
        <f t="shared" si="13"/>
        <v>19.32035246</v>
      </c>
      <c r="U316" s="21"/>
      <c r="V316" s="21"/>
    </row>
    <row r="317">
      <c r="A317" s="11">
        <v>305.0</v>
      </c>
      <c r="B317" s="11">
        <v>1.42072173913043E9</v>
      </c>
      <c r="C317" s="2">
        <v>-102.5018387</v>
      </c>
      <c r="D317" s="24">
        <f t="shared" si="1"/>
        <v>321739.1304</v>
      </c>
      <c r="E317" s="25">
        <f t="shared" si="2"/>
        <v>-68.87220991</v>
      </c>
      <c r="F317" s="24">
        <f t="shared" si="3"/>
        <v>0.000214062274</v>
      </c>
      <c r="G317" s="24">
        <f t="shared" si="4"/>
        <v>0</v>
      </c>
      <c r="H317" s="26">
        <f t="shared" si="5"/>
        <v>0</v>
      </c>
      <c r="I317" s="24">
        <f t="shared" si="6"/>
        <v>0</v>
      </c>
      <c r="J317" s="24">
        <f t="shared" si="7"/>
        <v>0</v>
      </c>
      <c r="K317" s="24"/>
      <c r="L317" s="24">
        <f t="shared" si="8"/>
        <v>427.4863948</v>
      </c>
      <c r="M317" s="14">
        <f t="shared" si="9"/>
        <v>406.7495108</v>
      </c>
      <c r="N317" s="27">
        <f t="shared" si="10"/>
        <v>20.73688402</v>
      </c>
      <c r="O317" s="24"/>
      <c r="P317" s="24"/>
      <c r="Q317" s="24"/>
      <c r="R317" s="26"/>
      <c r="S317" s="14">
        <f t="shared" si="13"/>
        <v>19.04260035</v>
      </c>
      <c r="U317" s="21"/>
      <c r="V317" s="21"/>
    </row>
    <row r="318">
      <c r="A318" s="11">
        <v>306.0</v>
      </c>
      <c r="B318" s="11">
        <v>1.42072608695652E9</v>
      </c>
      <c r="C318" s="2">
        <v>-102.5567474</v>
      </c>
      <c r="D318" s="24">
        <f t="shared" si="1"/>
        <v>326086.9565</v>
      </c>
      <c r="E318" s="25">
        <f t="shared" si="2"/>
        <v>-69.79050604</v>
      </c>
      <c r="F318" s="24">
        <f t="shared" si="3"/>
        <v>0.0002140242185</v>
      </c>
      <c r="G318" s="24">
        <f t="shared" si="4"/>
        <v>0</v>
      </c>
      <c r="H318" s="26">
        <f t="shared" si="5"/>
        <v>0</v>
      </c>
      <c r="I318" s="24">
        <f t="shared" si="6"/>
        <v>0</v>
      </c>
      <c r="J318" s="24">
        <f t="shared" si="7"/>
        <v>0</v>
      </c>
      <c r="K318" s="24"/>
      <c r="L318" s="24">
        <f t="shared" si="8"/>
        <v>422.1156241</v>
      </c>
      <c r="M318" s="14">
        <f t="shared" si="9"/>
        <v>406.6755314</v>
      </c>
      <c r="N318" s="27">
        <f t="shared" si="10"/>
        <v>15.44009279</v>
      </c>
      <c r="O318" s="24"/>
      <c r="P318" s="24"/>
      <c r="Q318" s="24"/>
      <c r="R318" s="26"/>
      <c r="S318" s="14">
        <f t="shared" si="13"/>
        <v>14.1785775</v>
      </c>
      <c r="U318" s="21"/>
      <c r="V318" s="21"/>
    </row>
    <row r="319">
      <c r="A319" s="11">
        <v>307.0</v>
      </c>
      <c r="B319" s="11">
        <v>1.4207304347826E9</v>
      </c>
      <c r="C319" s="2">
        <v>-102.5583801</v>
      </c>
      <c r="D319" s="24">
        <f t="shared" si="1"/>
        <v>330434.7826</v>
      </c>
      <c r="E319" s="25">
        <f t="shared" si="2"/>
        <v>-70.70880217</v>
      </c>
      <c r="F319" s="24">
        <f t="shared" si="3"/>
        <v>0.0002139871645</v>
      </c>
      <c r="G319" s="24">
        <f t="shared" si="4"/>
        <v>0</v>
      </c>
      <c r="H319" s="26">
        <f t="shared" si="5"/>
        <v>0</v>
      </c>
      <c r="I319" s="24">
        <f t="shared" si="6"/>
        <v>0</v>
      </c>
      <c r="J319" s="24">
        <f t="shared" si="7"/>
        <v>0</v>
      </c>
      <c r="K319" s="24"/>
      <c r="L319" s="24">
        <f t="shared" si="8"/>
        <v>421.9569625</v>
      </c>
      <c r="M319" s="14">
        <f t="shared" si="9"/>
        <v>406.6015105</v>
      </c>
      <c r="N319" s="27">
        <f t="shared" si="10"/>
        <v>15.35545207</v>
      </c>
      <c r="O319" s="24"/>
      <c r="P319" s="24"/>
      <c r="Q319" s="24"/>
      <c r="R319" s="26"/>
      <c r="S319" s="14">
        <f t="shared" si="13"/>
        <v>14.10085225</v>
      </c>
      <c r="U319" s="21"/>
      <c r="V319" s="21"/>
    </row>
    <row r="320">
      <c r="A320" s="11">
        <v>308.0</v>
      </c>
      <c r="B320" s="11">
        <v>1.42073478260869E9</v>
      </c>
      <c r="C320" s="2">
        <v>-102.5566635</v>
      </c>
      <c r="D320" s="24">
        <f t="shared" si="1"/>
        <v>334782.6087</v>
      </c>
      <c r="E320" s="25">
        <f t="shared" si="2"/>
        <v>-71.62709831</v>
      </c>
      <c r="F320" s="24">
        <f t="shared" si="3"/>
        <v>0.0002139510729</v>
      </c>
      <c r="G320" s="24">
        <f t="shared" si="4"/>
        <v>0</v>
      </c>
      <c r="H320" s="26">
        <f t="shared" si="5"/>
        <v>0</v>
      </c>
      <c r="I320" s="24">
        <f t="shared" si="6"/>
        <v>0</v>
      </c>
      <c r="J320" s="24">
        <f t="shared" si="7"/>
        <v>0</v>
      </c>
      <c r="K320" s="24"/>
      <c r="L320" s="24">
        <f t="shared" si="8"/>
        <v>422.1237789</v>
      </c>
      <c r="M320" s="14">
        <f t="shared" si="9"/>
        <v>406.5274469</v>
      </c>
      <c r="N320" s="27">
        <f t="shared" si="10"/>
        <v>15.59633206</v>
      </c>
      <c r="O320" s="24"/>
      <c r="P320" s="24"/>
      <c r="Q320" s="24"/>
      <c r="R320" s="26"/>
      <c r="S320" s="14">
        <f t="shared" si="13"/>
        <v>14.32205142</v>
      </c>
      <c r="U320" s="21"/>
      <c r="V320" s="21"/>
    </row>
    <row r="321">
      <c r="A321" s="11">
        <v>309.0</v>
      </c>
      <c r="B321" s="11">
        <v>1.42073913043478E9</v>
      </c>
      <c r="C321" s="2">
        <v>-102.6158524</v>
      </c>
      <c r="D321" s="24">
        <f t="shared" si="1"/>
        <v>339130.4348</v>
      </c>
      <c r="E321" s="25">
        <f t="shared" si="2"/>
        <v>-72.54539444</v>
      </c>
      <c r="F321" s="24">
        <f t="shared" si="3"/>
        <v>0.0002139159067</v>
      </c>
      <c r="G321" s="24">
        <f t="shared" si="4"/>
        <v>0</v>
      </c>
      <c r="H321" s="26">
        <f t="shared" si="5"/>
        <v>0</v>
      </c>
      <c r="I321" s="24">
        <f t="shared" si="6"/>
        <v>0</v>
      </c>
      <c r="J321" s="24">
        <f t="shared" si="7"/>
        <v>0</v>
      </c>
      <c r="K321" s="24"/>
      <c r="L321" s="24">
        <f t="shared" si="8"/>
        <v>416.4097861</v>
      </c>
      <c r="M321" s="14">
        <f t="shared" si="9"/>
        <v>406.4533394</v>
      </c>
      <c r="N321" s="27">
        <f t="shared" si="10"/>
        <v>9.956446698</v>
      </c>
      <c r="O321" s="24"/>
      <c r="P321" s="24"/>
      <c r="Q321" s="24"/>
      <c r="R321" s="26"/>
      <c r="S321" s="14">
        <f t="shared" si="13"/>
        <v>9.142966478</v>
      </c>
      <c r="U321" s="21"/>
      <c r="V321" s="21"/>
    </row>
    <row r="322">
      <c r="A322" s="11">
        <v>310.0</v>
      </c>
      <c r="B322" s="11">
        <v>1.42074347826087E9</v>
      </c>
      <c r="C322" s="2">
        <v>-102.5786133</v>
      </c>
      <c r="D322" s="24">
        <f t="shared" si="1"/>
        <v>343478.2609</v>
      </c>
      <c r="E322" s="25">
        <f t="shared" si="2"/>
        <v>-73.46369057</v>
      </c>
      <c r="F322" s="24">
        <f t="shared" si="3"/>
        <v>0.0002138816308</v>
      </c>
      <c r="G322" s="24">
        <f t="shared" si="4"/>
        <v>0</v>
      </c>
      <c r="H322" s="26">
        <f t="shared" si="5"/>
        <v>0</v>
      </c>
      <c r="I322" s="24">
        <f t="shared" si="6"/>
        <v>0</v>
      </c>
      <c r="J322" s="24">
        <f t="shared" si="7"/>
        <v>0</v>
      </c>
      <c r="K322" s="24"/>
      <c r="L322" s="24">
        <f t="shared" si="8"/>
        <v>419.9956936</v>
      </c>
      <c r="M322" s="14">
        <f t="shared" si="9"/>
        <v>406.3791869</v>
      </c>
      <c r="N322" s="27">
        <f t="shared" si="10"/>
        <v>13.6165067</v>
      </c>
      <c r="O322" s="24"/>
      <c r="P322" s="24"/>
      <c r="Q322" s="24"/>
      <c r="R322" s="26"/>
      <c r="S322" s="14">
        <f t="shared" si="13"/>
        <v>12.50398545</v>
      </c>
      <c r="U322" s="21"/>
      <c r="V322" s="21"/>
    </row>
    <row r="323">
      <c r="A323" s="11">
        <v>311.0</v>
      </c>
      <c r="B323" s="11">
        <v>1.42074782608695E9</v>
      </c>
      <c r="C323" s="2">
        <v>-102.6048889</v>
      </c>
      <c r="D323" s="24">
        <f t="shared" si="1"/>
        <v>347826.087</v>
      </c>
      <c r="E323" s="25">
        <f t="shared" si="2"/>
        <v>-74.3819867</v>
      </c>
      <c r="F323" s="24">
        <f t="shared" si="3"/>
        <v>0.0002138482118</v>
      </c>
      <c r="G323" s="24">
        <f t="shared" si="4"/>
        <v>0</v>
      </c>
      <c r="H323" s="26">
        <f t="shared" si="5"/>
        <v>0</v>
      </c>
      <c r="I323" s="24">
        <f t="shared" si="6"/>
        <v>0</v>
      </c>
      <c r="J323" s="24">
        <f t="shared" si="7"/>
        <v>0</v>
      </c>
      <c r="K323" s="24"/>
      <c r="L323" s="24">
        <f t="shared" si="8"/>
        <v>417.4623152</v>
      </c>
      <c r="M323" s="14">
        <f t="shared" si="9"/>
        <v>406.3049881</v>
      </c>
      <c r="N323" s="27">
        <f t="shared" si="10"/>
        <v>11.1573272</v>
      </c>
      <c r="O323" s="24"/>
      <c r="P323" s="24"/>
      <c r="Q323" s="24"/>
      <c r="R323" s="26"/>
      <c r="S323" s="14">
        <f t="shared" si="13"/>
        <v>10.24573042</v>
      </c>
      <c r="U323" s="21"/>
      <c r="V323" s="21"/>
    </row>
    <row r="324">
      <c r="A324" s="11">
        <v>312.0</v>
      </c>
      <c r="B324" s="11">
        <v>1.42075217391304E9</v>
      </c>
      <c r="C324" s="2">
        <v>-102.6009903</v>
      </c>
      <c r="D324" s="24">
        <f t="shared" si="1"/>
        <v>352173.913</v>
      </c>
      <c r="E324" s="25">
        <f t="shared" si="2"/>
        <v>-75.30028284</v>
      </c>
      <c r="F324" s="24">
        <f t="shared" si="3"/>
        <v>0.0002138156179</v>
      </c>
      <c r="G324" s="24">
        <f t="shared" si="4"/>
        <v>0</v>
      </c>
      <c r="H324" s="26">
        <f t="shared" si="5"/>
        <v>0</v>
      </c>
      <c r="I324" s="24">
        <f t="shared" si="6"/>
        <v>0</v>
      </c>
      <c r="J324" s="24">
        <f t="shared" si="7"/>
        <v>0</v>
      </c>
      <c r="K324" s="24"/>
      <c r="L324" s="24">
        <f t="shared" si="8"/>
        <v>417.8372335</v>
      </c>
      <c r="M324" s="14">
        <f t="shared" si="9"/>
        <v>406.2307418</v>
      </c>
      <c r="N324" s="27">
        <f t="shared" si="10"/>
        <v>11.60649174</v>
      </c>
      <c r="O324" s="24"/>
      <c r="P324" s="24"/>
      <c r="Q324" s="24"/>
      <c r="R324" s="26"/>
      <c r="S324" s="14">
        <f t="shared" si="13"/>
        <v>10.65819646</v>
      </c>
      <c r="U324" s="21"/>
      <c r="V324" s="21"/>
    </row>
    <row r="325">
      <c r="A325" s="11">
        <v>313.0</v>
      </c>
      <c r="B325" s="11">
        <v>1.42075652173913E9</v>
      </c>
      <c r="C325" s="2">
        <v>-102.5973358</v>
      </c>
      <c r="D325" s="24">
        <f t="shared" si="1"/>
        <v>356521.7391</v>
      </c>
      <c r="E325" s="25">
        <f t="shared" si="2"/>
        <v>-76.21857897</v>
      </c>
      <c r="F325" s="24">
        <f t="shared" si="3"/>
        <v>0.0002137838191</v>
      </c>
      <c r="G325" s="24">
        <f t="shared" si="4"/>
        <v>0</v>
      </c>
      <c r="H325" s="26">
        <f t="shared" si="5"/>
        <v>0</v>
      </c>
      <c r="I325" s="24">
        <f t="shared" si="6"/>
        <v>0</v>
      </c>
      <c r="J325" s="24">
        <f t="shared" si="7"/>
        <v>0</v>
      </c>
      <c r="K325" s="24"/>
      <c r="L325" s="24">
        <f t="shared" si="8"/>
        <v>418.188983</v>
      </c>
      <c r="M325" s="14">
        <f t="shared" si="9"/>
        <v>406.1564468</v>
      </c>
      <c r="N325" s="27">
        <f t="shared" si="10"/>
        <v>12.03253623</v>
      </c>
      <c r="O325" s="24"/>
      <c r="P325" s="24"/>
      <c r="Q325" s="24"/>
      <c r="R325" s="26"/>
      <c r="S325" s="14">
        <f t="shared" si="13"/>
        <v>11.04943149</v>
      </c>
      <c r="U325" s="21"/>
      <c r="V325" s="21"/>
    </row>
    <row r="326">
      <c r="A326" s="11">
        <v>314.0</v>
      </c>
      <c r="B326" s="11">
        <v>1.42076086956521E9</v>
      </c>
      <c r="C326" s="2">
        <v>-102.6008301</v>
      </c>
      <c r="D326" s="24">
        <f t="shared" si="1"/>
        <v>360869.5652</v>
      </c>
      <c r="E326" s="25">
        <f t="shared" si="2"/>
        <v>-77.1368751</v>
      </c>
      <c r="F326" s="24">
        <f t="shared" si="3"/>
        <v>0.0002137527864</v>
      </c>
      <c r="G326" s="24">
        <f t="shared" si="4"/>
        <v>0</v>
      </c>
      <c r="H326" s="26">
        <f t="shared" si="5"/>
        <v>0</v>
      </c>
      <c r="I326" s="24">
        <f t="shared" si="6"/>
        <v>0</v>
      </c>
      <c r="J326" s="24">
        <f t="shared" si="7"/>
        <v>0</v>
      </c>
      <c r="K326" s="24"/>
      <c r="L326" s="24">
        <f t="shared" si="8"/>
        <v>417.8526467</v>
      </c>
      <c r="M326" s="14">
        <f t="shared" si="9"/>
        <v>406.082102</v>
      </c>
      <c r="N326" s="27">
        <f t="shared" si="10"/>
        <v>11.77054474</v>
      </c>
      <c r="O326" s="24"/>
      <c r="P326" s="24"/>
      <c r="Q326" s="24"/>
      <c r="R326" s="26"/>
      <c r="S326" s="14">
        <f t="shared" si="13"/>
        <v>10.80884571</v>
      </c>
      <c r="U326" s="21"/>
      <c r="V326" s="21"/>
    </row>
    <row r="327">
      <c r="A327" s="11">
        <v>315.0</v>
      </c>
      <c r="B327" s="11">
        <v>1.4207652173913E9</v>
      </c>
      <c r="C327" s="2">
        <v>-102.6721191</v>
      </c>
      <c r="D327" s="24">
        <f t="shared" si="1"/>
        <v>365217.3913</v>
      </c>
      <c r="E327" s="25">
        <f t="shared" si="2"/>
        <v>-78.05517123</v>
      </c>
      <c r="F327" s="24">
        <f t="shared" si="3"/>
        <v>0.0002137224927</v>
      </c>
      <c r="G327" s="24">
        <f t="shared" si="4"/>
        <v>0</v>
      </c>
      <c r="H327" s="26">
        <f t="shared" si="5"/>
        <v>0</v>
      </c>
      <c r="I327" s="24">
        <f t="shared" si="6"/>
        <v>0</v>
      </c>
      <c r="J327" s="24">
        <f t="shared" si="7"/>
        <v>0</v>
      </c>
      <c r="K327" s="24"/>
      <c r="L327" s="24">
        <f t="shared" si="8"/>
        <v>411.049626</v>
      </c>
      <c r="M327" s="14">
        <f t="shared" si="9"/>
        <v>406.0077061</v>
      </c>
      <c r="N327" s="27">
        <f t="shared" si="10"/>
        <v>5.04191988</v>
      </c>
      <c r="O327" s="24"/>
      <c r="P327" s="24"/>
      <c r="Q327" s="24"/>
      <c r="R327" s="26"/>
      <c r="S327" s="14">
        <f t="shared" si="13"/>
        <v>4.629975517</v>
      </c>
      <c r="U327" s="21"/>
      <c r="V327" s="21"/>
    </row>
    <row r="328">
      <c r="A328" s="11">
        <v>316.0</v>
      </c>
      <c r="B328" s="11">
        <v>1.42076956521739E9</v>
      </c>
      <c r="C328" s="2">
        <v>-102.6102753</v>
      </c>
      <c r="D328" s="24">
        <f t="shared" si="1"/>
        <v>369565.2174</v>
      </c>
      <c r="E328" s="25">
        <f t="shared" si="2"/>
        <v>-78.97346736</v>
      </c>
      <c r="F328" s="24">
        <f t="shared" si="3"/>
        <v>0.0002136929117</v>
      </c>
      <c r="G328" s="24">
        <f t="shared" si="4"/>
        <v>0</v>
      </c>
      <c r="H328" s="26">
        <f t="shared" si="5"/>
        <v>0</v>
      </c>
      <c r="I328" s="24">
        <f t="shared" si="6"/>
        <v>0</v>
      </c>
      <c r="J328" s="24">
        <f t="shared" si="7"/>
        <v>0</v>
      </c>
      <c r="K328" s="24"/>
      <c r="L328" s="24">
        <f t="shared" si="8"/>
        <v>416.9448725</v>
      </c>
      <c r="M328" s="14">
        <f t="shared" si="9"/>
        <v>405.933258</v>
      </c>
      <c r="N328" s="27">
        <f t="shared" si="10"/>
        <v>11.01161456</v>
      </c>
      <c r="O328" s="24"/>
      <c r="P328" s="24"/>
      <c r="Q328" s="24"/>
      <c r="R328" s="26"/>
      <c r="S328" s="14">
        <f t="shared" si="13"/>
        <v>10.11192306</v>
      </c>
      <c r="U328" s="21"/>
      <c r="V328" s="21"/>
    </row>
    <row r="329">
      <c r="A329" s="11">
        <v>317.0</v>
      </c>
      <c r="B329" s="11">
        <v>1.42077391304347E9</v>
      </c>
      <c r="C329" s="2">
        <v>-102.6648865</v>
      </c>
      <c r="D329" s="24">
        <f t="shared" si="1"/>
        <v>373913.0435</v>
      </c>
      <c r="E329" s="25">
        <f t="shared" si="2"/>
        <v>-79.89176349</v>
      </c>
      <c r="F329" s="24">
        <f t="shared" si="3"/>
        <v>0.0002136640187</v>
      </c>
      <c r="G329" s="24">
        <f t="shared" si="4"/>
        <v>0</v>
      </c>
      <c r="H329" s="26">
        <f t="shared" si="5"/>
        <v>0</v>
      </c>
      <c r="I329" s="24">
        <f t="shared" si="6"/>
        <v>0</v>
      </c>
      <c r="J329" s="24">
        <f t="shared" si="7"/>
        <v>0</v>
      </c>
      <c r="K329" s="24"/>
      <c r="L329" s="24">
        <f t="shared" si="8"/>
        <v>411.7347451</v>
      </c>
      <c r="M329" s="14">
        <f t="shared" si="9"/>
        <v>405.8587564</v>
      </c>
      <c r="N329" s="27">
        <f t="shared" si="10"/>
        <v>5.875988692</v>
      </c>
      <c r="O329" s="24"/>
      <c r="P329" s="24"/>
      <c r="Q329" s="24"/>
      <c r="R329" s="26"/>
      <c r="S329" s="14">
        <f t="shared" si="13"/>
        <v>5.395897692</v>
      </c>
      <c r="U329" s="21"/>
      <c r="V329" s="21"/>
    </row>
    <row r="330">
      <c r="A330" s="11">
        <v>318.0</v>
      </c>
      <c r="B330" s="11">
        <v>1.42077826086956E9</v>
      </c>
      <c r="C330" s="2">
        <v>-102.6483536</v>
      </c>
      <c r="D330" s="24">
        <f t="shared" si="1"/>
        <v>378260.8696</v>
      </c>
      <c r="E330" s="25">
        <f t="shared" si="2"/>
        <v>-80.81005963</v>
      </c>
      <c r="F330" s="24">
        <f t="shared" si="3"/>
        <v>0.0002136357898</v>
      </c>
      <c r="G330" s="24">
        <f t="shared" si="4"/>
        <v>0</v>
      </c>
      <c r="H330" s="26">
        <f t="shared" si="5"/>
        <v>0</v>
      </c>
      <c r="I330" s="24">
        <f t="shared" si="6"/>
        <v>0</v>
      </c>
      <c r="J330" s="24">
        <f t="shared" si="7"/>
        <v>0</v>
      </c>
      <c r="K330" s="24"/>
      <c r="L330" s="24">
        <f t="shared" si="8"/>
        <v>413.305141</v>
      </c>
      <c r="M330" s="14">
        <f t="shared" si="9"/>
        <v>405.7842002</v>
      </c>
      <c r="N330" s="27">
        <f t="shared" si="10"/>
        <v>7.520940819</v>
      </c>
      <c r="O330" s="24"/>
      <c r="P330" s="24"/>
      <c r="Q330" s="24"/>
      <c r="R330" s="26"/>
      <c r="S330" s="14">
        <f t="shared" si="13"/>
        <v>6.906450853</v>
      </c>
      <c r="U330" s="21"/>
      <c r="V330" s="21"/>
    </row>
    <row r="331">
      <c r="A331" s="11">
        <v>319.0</v>
      </c>
      <c r="B331" s="11">
        <v>1.42078260869565E9</v>
      </c>
      <c r="C331" s="2">
        <v>-102.619812</v>
      </c>
      <c r="D331" s="24">
        <f t="shared" si="1"/>
        <v>382608.6957</v>
      </c>
      <c r="E331" s="25">
        <f t="shared" si="2"/>
        <v>-81.72835576</v>
      </c>
      <c r="F331" s="24">
        <f t="shared" si="3"/>
        <v>0.0002136082026</v>
      </c>
      <c r="G331" s="24">
        <f t="shared" si="4"/>
        <v>0</v>
      </c>
      <c r="H331" s="26">
        <f t="shared" si="5"/>
        <v>0</v>
      </c>
      <c r="I331" s="24">
        <f t="shared" si="6"/>
        <v>0</v>
      </c>
      <c r="J331" s="24">
        <f t="shared" si="7"/>
        <v>0</v>
      </c>
      <c r="K331" s="24"/>
      <c r="L331" s="24">
        <f t="shared" si="8"/>
        <v>416.0303052</v>
      </c>
      <c r="M331" s="14">
        <f t="shared" si="9"/>
        <v>405.7095881</v>
      </c>
      <c r="N331" s="27">
        <f t="shared" si="10"/>
        <v>10.32071708</v>
      </c>
      <c r="O331" s="24"/>
      <c r="P331" s="24"/>
      <c r="Q331" s="24"/>
      <c r="R331" s="26"/>
      <c r="S331" s="14">
        <f t="shared" si="13"/>
        <v>9.47747458</v>
      </c>
      <c r="U331" s="21"/>
      <c r="V331" s="21"/>
    </row>
    <row r="332">
      <c r="A332" s="11">
        <v>320.0</v>
      </c>
      <c r="B332" s="11">
        <v>1.42078695652173E9</v>
      </c>
      <c r="C332" s="2">
        <v>-102.6492615</v>
      </c>
      <c r="D332" s="24">
        <f t="shared" si="1"/>
        <v>386956.5217</v>
      </c>
      <c r="E332" s="25">
        <f t="shared" si="2"/>
        <v>-82.64665189</v>
      </c>
      <c r="F332" s="24">
        <f t="shared" si="3"/>
        <v>0.0002135812352</v>
      </c>
      <c r="G332" s="24">
        <f t="shared" si="4"/>
        <v>0</v>
      </c>
      <c r="H332" s="26">
        <f t="shared" si="5"/>
        <v>0</v>
      </c>
      <c r="I332" s="24">
        <f t="shared" si="6"/>
        <v>0</v>
      </c>
      <c r="J332" s="24">
        <f t="shared" si="7"/>
        <v>0</v>
      </c>
      <c r="K332" s="24"/>
      <c r="L332" s="24">
        <f t="shared" si="8"/>
        <v>413.2187479</v>
      </c>
      <c r="M332" s="14">
        <f t="shared" si="9"/>
        <v>405.634919</v>
      </c>
      <c r="N332" s="27">
        <f t="shared" si="10"/>
        <v>7.583828888</v>
      </c>
      <c r="O332" s="24"/>
      <c r="P332" s="24"/>
      <c r="Q332" s="24"/>
      <c r="R332" s="26"/>
      <c r="S332" s="14">
        <f t="shared" si="13"/>
        <v>6.96420074</v>
      </c>
      <c r="U332" s="21"/>
      <c r="V332" s="21"/>
    </row>
    <row r="333">
      <c r="A333" s="11">
        <v>321.0</v>
      </c>
      <c r="B333" s="11">
        <v>1.42079130434782E9</v>
      </c>
      <c r="C333" s="2">
        <v>-102.6405563</v>
      </c>
      <c r="D333" s="24">
        <f t="shared" si="1"/>
        <v>391304.3478</v>
      </c>
      <c r="E333" s="25">
        <f t="shared" si="2"/>
        <v>-83.56494802</v>
      </c>
      <c r="F333" s="24">
        <f t="shared" si="3"/>
        <v>0.0002135548672</v>
      </c>
      <c r="G333" s="24">
        <f t="shared" si="4"/>
        <v>0</v>
      </c>
      <c r="H333" s="26">
        <f t="shared" si="5"/>
        <v>0</v>
      </c>
      <c r="I333" s="24">
        <f t="shared" si="6"/>
        <v>0</v>
      </c>
      <c r="J333" s="24">
        <f t="shared" si="7"/>
        <v>0</v>
      </c>
      <c r="K333" s="24"/>
      <c r="L333" s="24">
        <f t="shared" si="8"/>
        <v>414.0478534</v>
      </c>
      <c r="M333" s="14">
        <f t="shared" si="9"/>
        <v>405.5601916</v>
      </c>
      <c r="N333" s="27">
        <f t="shared" si="10"/>
        <v>8.487661725</v>
      </c>
      <c r="O333" s="24"/>
      <c r="P333" s="24"/>
      <c r="Q333" s="24"/>
      <c r="R333" s="26"/>
      <c r="S333" s="14">
        <f t="shared" si="13"/>
        <v>7.794186939</v>
      </c>
      <c r="U333" s="21"/>
      <c r="V333" s="21"/>
    </row>
    <row r="334">
      <c r="A334" s="11">
        <v>322.0</v>
      </c>
      <c r="B334" s="11">
        <v>1.42079565217391E9</v>
      </c>
      <c r="C334" s="2">
        <v>-102.5974426</v>
      </c>
      <c r="D334" s="24">
        <f t="shared" si="1"/>
        <v>395652.1739</v>
      </c>
      <c r="E334" s="25">
        <f t="shared" si="2"/>
        <v>-84.48324416</v>
      </c>
      <c r="F334" s="24">
        <f t="shared" si="3"/>
        <v>0.0002135290786</v>
      </c>
      <c r="G334" s="24">
        <f t="shared" si="4"/>
        <v>0</v>
      </c>
      <c r="H334" s="26">
        <f t="shared" si="5"/>
        <v>0</v>
      </c>
      <c r="I334" s="24">
        <f t="shared" si="6"/>
        <v>0</v>
      </c>
      <c r="J334" s="24">
        <f t="shared" si="7"/>
        <v>0</v>
      </c>
      <c r="K334" s="24"/>
      <c r="L334" s="24">
        <f t="shared" si="8"/>
        <v>418.1786992</v>
      </c>
      <c r="M334" s="14">
        <f t="shared" si="9"/>
        <v>405.4854049</v>
      </c>
      <c r="N334" s="27">
        <f t="shared" si="10"/>
        <v>12.69329436</v>
      </c>
      <c r="O334" s="24"/>
      <c r="P334" s="24"/>
      <c r="Q334" s="24"/>
      <c r="R334" s="26"/>
      <c r="S334" s="14">
        <f t="shared" si="13"/>
        <v>11.6562031</v>
      </c>
      <c r="U334" s="21"/>
      <c r="V334" s="21"/>
    </row>
    <row r="335">
      <c r="A335" s="11">
        <v>323.0</v>
      </c>
      <c r="B335" s="11">
        <v>1.4208E9</v>
      </c>
      <c r="C335" s="2">
        <v>-102.6455765</v>
      </c>
      <c r="D335" s="24">
        <f t="shared" si="1"/>
        <v>400000</v>
      </c>
      <c r="E335" s="25">
        <f t="shared" si="2"/>
        <v>-85.40154029</v>
      </c>
      <c r="F335" s="24">
        <f t="shared" si="3"/>
        <v>0.0002135038507</v>
      </c>
      <c r="G335" s="24">
        <f t="shared" si="4"/>
        <v>0</v>
      </c>
      <c r="H335" s="26">
        <f t="shared" si="5"/>
        <v>0</v>
      </c>
      <c r="I335" s="24">
        <f t="shared" si="6"/>
        <v>0</v>
      </c>
      <c r="J335" s="24">
        <f t="shared" si="7"/>
        <v>0</v>
      </c>
      <c r="K335" s="24"/>
      <c r="L335" s="24">
        <f t="shared" si="8"/>
        <v>413.5695138</v>
      </c>
      <c r="M335" s="14">
        <f t="shared" si="9"/>
        <v>405.4105575</v>
      </c>
      <c r="N335" s="27">
        <f t="shared" si="10"/>
        <v>8.158956384</v>
      </c>
      <c r="O335" s="24"/>
      <c r="P335" s="24"/>
      <c r="Q335" s="24"/>
      <c r="R335" s="26"/>
      <c r="S335" s="14">
        <f t="shared" si="13"/>
        <v>7.492338095</v>
      </c>
      <c r="U335" s="21"/>
      <c r="V335" s="21"/>
    </row>
    <row r="336">
      <c r="A336" s="11">
        <v>324.0</v>
      </c>
      <c r="B336" s="11">
        <v>1.42080434782608E9</v>
      </c>
      <c r="C336" s="2">
        <v>-102.6964493</v>
      </c>
      <c r="D336" s="24">
        <f t="shared" si="1"/>
        <v>404347.8261</v>
      </c>
      <c r="E336" s="25">
        <f t="shared" si="2"/>
        <v>-86.31983642</v>
      </c>
      <c r="F336" s="24">
        <f t="shared" si="3"/>
        <v>0.0002134791653</v>
      </c>
      <c r="G336" s="24">
        <f t="shared" si="4"/>
        <v>0</v>
      </c>
      <c r="H336" s="26">
        <f t="shared" si="5"/>
        <v>0</v>
      </c>
      <c r="I336" s="24">
        <f t="shared" si="6"/>
        <v>0</v>
      </c>
      <c r="J336" s="24">
        <f t="shared" si="7"/>
        <v>0</v>
      </c>
      <c r="K336" s="24"/>
      <c r="L336" s="24">
        <f t="shared" si="8"/>
        <v>408.7532675</v>
      </c>
      <c r="M336" s="14">
        <f t="shared" si="9"/>
        <v>405.3356482</v>
      </c>
      <c r="N336" s="27">
        <f t="shared" si="10"/>
        <v>3.417619282</v>
      </c>
      <c r="O336" s="24"/>
      <c r="P336" s="24"/>
      <c r="Q336" s="24"/>
      <c r="R336" s="26"/>
      <c r="S336" s="14">
        <f t="shared" si="13"/>
        <v>3.13838657</v>
      </c>
      <c r="U336" s="21"/>
      <c r="V336" s="21"/>
    </row>
    <row r="337">
      <c r="A337" s="11">
        <v>325.0</v>
      </c>
      <c r="B337" s="11">
        <v>1.42080869565217E9</v>
      </c>
      <c r="C337" s="2">
        <v>-102.6637497</v>
      </c>
      <c r="D337" s="24">
        <f t="shared" si="1"/>
        <v>408695.6522</v>
      </c>
      <c r="E337" s="25">
        <f t="shared" si="2"/>
        <v>-87.23813255</v>
      </c>
      <c r="F337" s="24">
        <f t="shared" si="3"/>
        <v>0.0002134550052</v>
      </c>
      <c r="G337" s="24">
        <f t="shared" si="4"/>
        <v>0</v>
      </c>
      <c r="H337" s="26">
        <f t="shared" si="5"/>
        <v>0</v>
      </c>
      <c r="I337" s="24">
        <f t="shared" si="6"/>
        <v>0</v>
      </c>
      <c r="J337" s="24">
        <f t="shared" si="7"/>
        <v>0</v>
      </c>
      <c r="K337" s="24"/>
      <c r="L337" s="24">
        <f t="shared" si="8"/>
        <v>411.842534</v>
      </c>
      <c r="M337" s="14">
        <f t="shared" si="9"/>
        <v>405.260676</v>
      </c>
      <c r="N337" s="27">
        <f t="shared" si="10"/>
        <v>6.581858003</v>
      </c>
      <c r="O337" s="24"/>
      <c r="P337" s="24"/>
      <c r="Q337" s="24"/>
      <c r="R337" s="26"/>
      <c r="S337" s="14">
        <f t="shared" si="13"/>
        <v>6.044094736</v>
      </c>
      <c r="U337" s="21"/>
      <c r="V337" s="21"/>
    </row>
    <row r="338">
      <c r="A338" s="11">
        <v>326.0</v>
      </c>
      <c r="B338" s="11">
        <v>1.42081304347826E9</v>
      </c>
      <c r="C338" s="2">
        <v>-102.6520767</v>
      </c>
      <c r="D338" s="24">
        <f t="shared" si="1"/>
        <v>413043.4783</v>
      </c>
      <c r="E338" s="25">
        <f t="shared" si="2"/>
        <v>-88.15642868</v>
      </c>
      <c r="F338" s="24">
        <f t="shared" si="3"/>
        <v>0.0002134313537</v>
      </c>
      <c r="G338" s="24">
        <f t="shared" si="4"/>
        <v>0</v>
      </c>
      <c r="H338" s="26">
        <f t="shared" si="5"/>
        <v>0</v>
      </c>
      <c r="I338" s="24">
        <f t="shared" si="6"/>
        <v>0</v>
      </c>
      <c r="J338" s="24">
        <f t="shared" si="7"/>
        <v>0</v>
      </c>
      <c r="K338" s="24"/>
      <c r="L338" s="24">
        <f t="shared" si="8"/>
        <v>412.9509765</v>
      </c>
      <c r="M338" s="14">
        <f t="shared" si="9"/>
        <v>405.1856395</v>
      </c>
      <c r="N338" s="27">
        <f t="shared" si="10"/>
        <v>7.765336914</v>
      </c>
      <c r="O338" s="24"/>
      <c r="P338" s="24"/>
      <c r="Q338" s="24"/>
      <c r="R338" s="26"/>
      <c r="S338" s="14">
        <f t="shared" si="13"/>
        <v>7.130878858</v>
      </c>
      <c r="U338" s="21"/>
      <c r="V338" s="21"/>
    </row>
    <row r="339">
      <c r="A339" s="11">
        <v>327.0</v>
      </c>
      <c r="B339" s="11">
        <v>1.42081739130434E9</v>
      </c>
      <c r="C339" s="2">
        <v>-102.6553802</v>
      </c>
      <c r="D339" s="24">
        <f t="shared" si="1"/>
        <v>417391.3043</v>
      </c>
      <c r="E339" s="25">
        <f t="shared" si="2"/>
        <v>-89.07472482</v>
      </c>
      <c r="F339" s="24">
        <f t="shared" si="3"/>
        <v>0.0002134081949</v>
      </c>
      <c r="G339" s="24">
        <f t="shared" si="4"/>
        <v>0</v>
      </c>
      <c r="H339" s="26">
        <f t="shared" si="5"/>
        <v>0</v>
      </c>
      <c r="I339" s="24">
        <f t="shared" si="6"/>
        <v>0</v>
      </c>
      <c r="J339" s="24">
        <f t="shared" si="7"/>
        <v>0</v>
      </c>
      <c r="K339" s="24"/>
      <c r="L339" s="24">
        <f t="shared" si="8"/>
        <v>412.636981</v>
      </c>
      <c r="M339" s="14">
        <f t="shared" si="9"/>
        <v>405.1105377</v>
      </c>
      <c r="N339" s="27">
        <f t="shared" si="10"/>
        <v>7.526443345</v>
      </c>
      <c r="O339" s="24"/>
      <c r="P339" s="24"/>
      <c r="Q339" s="24"/>
      <c r="R339" s="26"/>
      <c r="S339" s="14">
        <f t="shared" si="13"/>
        <v>6.911503817</v>
      </c>
      <c r="U339" s="21"/>
      <c r="V339" s="21"/>
    </row>
    <row r="340">
      <c r="A340" s="11">
        <v>328.0</v>
      </c>
      <c r="B340" s="11">
        <v>1.42082173913043E9</v>
      </c>
      <c r="C340" s="2">
        <v>-102.6804199</v>
      </c>
      <c r="D340" s="24">
        <f t="shared" si="1"/>
        <v>421739.1304</v>
      </c>
      <c r="E340" s="25">
        <f t="shared" si="2"/>
        <v>-89.99302095</v>
      </c>
      <c r="F340" s="24">
        <f t="shared" si="3"/>
        <v>0.0002133855136</v>
      </c>
      <c r="G340" s="24">
        <f t="shared" si="4"/>
        <v>0</v>
      </c>
      <c r="H340" s="26">
        <f t="shared" si="5"/>
        <v>0</v>
      </c>
      <c r="I340" s="24">
        <f t="shared" si="6"/>
        <v>0</v>
      </c>
      <c r="J340" s="24">
        <f t="shared" si="7"/>
        <v>0</v>
      </c>
      <c r="K340" s="24"/>
      <c r="L340" s="24">
        <f t="shared" si="8"/>
        <v>410.2647249</v>
      </c>
      <c r="M340" s="14">
        <f t="shared" si="9"/>
        <v>405.0353692</v>
      </c>
      <c r="N340" s="27">
        <f t="shared" si="10"/>
        <v>5.229355705</v>
      </c>
      <c r="O340" s="24"/>
      <c r="P340" s="24"/>
      <c r="Q340" s="24"/>
      <c r="R340" s="26"/>
      <c r="S340" s="14">
        <f t="shared" si="13"/>
        <v>4.80209711</v>
      </c>
      <c r="U340" s="21"/>
      <c r="V340" s="21"/>
    </row>
    <row r="341">
      <c r="A341" s="11">
        <v>329.0</v>
      </c>
      <c r="B341" s="11">
        <v>1.42082608695652E9</v>
      </c>
      <c r="C341" s="2">
        <v>-102.7028732</v>
      </c>
      <c r="D341" s="24">
        <f t="shared" si="1"/>
        <v>426086.9565</v>
      </c>
      <c r="E341" s="25">
        <f t="shared" si="2"/>
        <v>-90.91131708</v>
      </c>
      <c r="F341" s="24">
        <f t="shared" si="3"/>
        <v>0.0002133632952</v>
      </c>
      <c r="G341" s="24">
        <f t="shared" si="4"/>
        <v>0</v>
      </c>
      <c r="H341" s="26">
        <f t="shared" si="5"/>
        <v>0</v>
      </c>
      <c r="I341" s="24">
        <f t="shared" si="6"/>
        <v>0</v>
      </c>
      <c r="J341" s="24">
        <f t="shared" si="7"/>
        <v>0</v>
      </c>
      <c r="K341" s="24"/>
      <c r="L341" s="24">
        <f t="shared" si="8"/>
        <v>408.1491039</v>
      </c>
      <c r="M341" s="14">
        <f t="shared" si="9"/>
        <v>404.9601329</v>
      </c>
      <c r="N341" s="27">
        <f t="shared" si="10"/>
        <v>3.188971004</v>
      </c>
      <c r="O341" s="24"/>
      <c r="P341" s="24"/>
      <c r="Q341" s="24"/>
      <c r="R341" s="26"/>
      <c r="S341" s="14">
        <f t="shared" si="13"/>
        <v>2.92841974</v>
      </c>
      <c r="U341" s="21"/>
      <c r="V341" s="21"/>
    </row>
    <row r="342">
      <c r="A342" s="11">
        <v>330.0</v>
      </c>
      <c r="B342" s="11">
        <v>1.4208304347826E9</v>
      </c>
      <c r="C342" s="2">
        <v>-102.6110229</v>
      </c>
      <c r="D342" s="24">
        <f t="shared" si="1"/>
        <v>430434.7826</v>
      </c>
      <c r="E342" s="25">
        <f t="shared" si="2"/>
        <v>-91.82961321</v>
      </c>
      <c r="F342" s="24">
        <f t="shared" si="3"/>
        <v>0.0002133415256</v>
      </c>
      <c r="G342" s="24">
        <f t="shared" si="4"/>
        <v>0</v>
      </c>
      <c r="H342" s="26">
        <f t="shared" si="5"/>
        <v>0</v>
      </c>
      <c r="I342" s="24">
        <f t="shared" si="6"/>
        <v>0</v>
      </c>
      <c r="J342" s="24">
        <f t="shared" si="7"/>
        <v>0</v>
      </c>
      <c r="K342" s="24"/>
      <c r="L342" s="24">
        <f t="shared" si="8"/>
        <v>416.8731053</v>
      </c>
      <c r="M342" s="14">
        <f t="shared" si="9"/>
        <v>404.8848277</v>
      </c>
      <c r="N342" s="27">
        <f t="shared" si="10"/>
        <v>11.98827763</v>
      </c>
      <c r="O342" s="24"/>
      <c r="P342" s="24"/>
      <c r="Q342" s="24"/>
      <c r="R342" s="26"/>
      <c r="S342" s="14">
        <f t="shared" si="13"/>
        <v>11.00878898</v>
      </c>
      <c r="U342" s="21"/>
      <c r="V342" s="21"/>
    </row>
    <row r="343">
      <c r="A343" s="11">
        <v>331.0</v>
      </c>
      <c r="B343" s="11">
        <v>1.42083478260869E9</v>
      </c>
      <c r="C343" s="2">
        <v>-102.6328735</v>
      </c>
      <c r="D343" s="24">
        <f t="shared" si="1"/>
        <v>434782.6087</v>
      </c>
      <c r="E343" s="25">
        <f t="shared" si="2"/>
        <v>-92.74790935</v>
      </c>
      <c r="F343" s="24">
        <f t="shared" si="3"/>
        <v>0.0002133201915</v>
      </c>
      <c r="G343" s="24">
        <f t="shared" si="4"/>
        <v>0</v>
      </c>
      <c r="H343" s="26">
        <f t="shared" si="5"/>
        <v>0</v>
      </c>
      <c r="I343" s="24">
        <f t="shared" si="6"/>
        <v>0</v>
      </c>
      <c r="J343" s="24">
        <f t="shared" si="7"/>
        <v>0</v>
      </c>
      <c r="K343" s="24"/>
      <c r="L343" s="24">
        <f t="shared" si="8"/>
        <v>414.7809647</v>
      </c>
      <c r="M343" s="14">
        <f t="shared" si="9"/>
        <v>404.8094522</v>
      </c>
      <c r="N343" s="27">
        <f t="shared" si="10"/>
        <v>9.971512521</v>
      </c>
      <c r="O343" s="24"/>
      <c r="P343" s="24"/>
      <c r="Q343" s="24"/>
      <c r="R343" s="26"/>
      <c r="S343" s="14">
        <f t="shared" si="13"/>
        <v>9.156801386</v>
      </c>
      <c r="U343" s="21"/>
      <c r="V343" s="21"/>
    </row>
    <row r="344">
      <c r="A344" s="11">
        <v>332.0</v>
      </c>
      <c r="B344" s="11">
        <v>1.42083913043478E9</v>
      </c>
      <c r="C344" s="2">
        <v>-102.7079086</v>
      </c>
      <c r="D344" s="24">
        <f t="shared" si="1"/>
        <v>439130.4348</v>
      </c>
      <c r="E344" s="25">
        <f t="shared" si="2"/>
        <v>-93.66620548</v>
      </c>
      <c r="F344" s="24">
        <f t="shared" si="3"/>
        <v>0.0002132992798</v>
      </c>
      <c r="G344" s="24">
        <f t="shared" si="4"/>
        <v>0</v>
      </c>
      <c r="H344" s="26">
        <f t="shared" si="5"/>
        <v>0</v>
      </c>
      <c r="I344" s="24">
        <f t="shared" si="6"/>
        <v>0</v>
      </c>
      <c r="J344" s="24">
        <f t="shared" si="7"/>
        <v>0</v>
      </c>
      <c r="K344" s="24"/>
      <c r="L344" s="24">
        <f t="shared" si="8"/>
        <v>407.6761523</v>
      </c>
      <c r="M344" s="14">
        <f t="shared" si="9"/>
        <v>404.7340054</v>
      </c>
      <c r="N344" s="27">
        <f t="shared" si="10"/>
        <v>2.942146918</v>
      </c>
      <c r="O344" s="24"/>
      <c r="P344" s="24"/>
      <c r="Q344" s="24"/>
      <c r="R344" s="26"/>
      <c r="S344" s="14">
        <f t="shared" si="13"/>
        <v>2.701762131</v>
      </c>
      <c r="U344" s="21"/>
      <c r="V344" s="21"/>
    </row>
    <row r="345">
      <c r="A345" s="11">
        <v>333.0</v>
      </c>
      <c r="B345" s="11">
        <v>1.42084347826087E9</v>
      </c>
      <c r="C345" s="2">
        <v>-102.6591949</v>
      </c>
      <c r="D345" s="24">
        <f t="shared" si="1"/>
        <v>443478.2609</v>
      </c>
      <c r="E345" s="25">
        <f t="shared" si="2"/>
        <v>-94.58450161</v>
      </c>
      <c r="F345" s="24">
        <f t="shared" si="3"/>
        <v>0.0002132787781</v>
      </c>
      <c r="G345" s="24">
        <f t="shared" si="4"/>
        <v>0</v>
      </c>
      <c r="H345" s="26">
        <f t="shared" si="5"/>
        <v>0</v>
      </c>
      <c r="I345" s="24">
        <f t="shared" si="6"/>
        <v>0</v>
      </c>
      <c r="J345" s="24">
        <f t="shared" si="7"/>
        <v>0</v>
      </c>
      <c r="K345" s="24"/>
      <c r="L345" s="24">
        <f t="shared" si="8"/>
        <v>412.2746934</v>
      </c>
      <c r="M345" s="14">
        <f t="shared" si="9"/>
        <v>404.6584859</v>
      </c>
      <c r="N345" s="27">
        <f t="shared" si="10"/>
        <v>7.616207484</v>
      </c>
      <c r="O345" s="24"/>
      <c r="P345" s="24"/>
      <c r="Q345" s="24"/>
      <c r="R345" s="26"/>
      <c r="S345" s="14">
        <f t="shared" si="13"/>
        <v>6.993933879</v>
      </c>
      <c r="U345" s="21"/>
      <c r="V345" s="21"/>
    </row>
    <row r="346">
      <c r="A346" s="11">
        <v>334.0</v>
      </c>
      <c r="B346" s="11">
        <v>1.42084782608695E9</v>
      </c>
      <c r="C346" s="2">
        <v>-102.6828384</v>
      </c>
      <c r="D346" s="24">
        <f t="shared" si="1"/>
        <v>447826.087</v>
      </c>
      <c r="E346" s="25">
        <f t="shared" si="2"/>
        <v>-95.50279774</v>
      </c>
      <c r="F346" s="24">
        <f t="shared" si="3"/>
        <v>0.0002132586746</v>
      </c>
      <c r="G346" s="24">
        <f t="shared" si="4"/>
        <v>0</v>
      </c>
      <c r="H346" s="26">
        <f t="shared" si="5"/>
        <v>0</v>
      </c>
      <c r="I346" s="24">
        <f t="shared" si="6"/>
        <v>0</v>
      </c>
      <c r="J346" s="24">
        <f t="shared" si="7"/>
        <v>0</v>
      </c>
      <c r="K346" s="24"/>
      <c r="L346" s="24">
        <f t="shared" si="8"/>
        <v>410.0363202</v>
      </c>
      <c r="M346" s="14">
        <f t="shared" si="9"/>
        <v>404.5828927</v>
      </c>
      <c r="N346" s="27">
        <f t="shared" si="10"/>
        <v>5.453427522</v>
      </c>
      <c r="O346" s="24"/>
      <c r="P346" s="24"/>
      <c r="Q346" s="24"/>
      <c r="R346" s="26"/>
      <c r="S346" s="14">
        <f t="shared" si="13"/>
        <v>5.007861404</v>
      </c>
      <c r="U346" s="21"/>
      <c r="V346" s="21"/>
    </row>
    <row r="347">
      <c r="A347" s="11">
        <v>335.0</v>
      </c>
      <c r="B347" s="11">
        <v>1.42085217391304E9</v>
      </c>
      <c r="C347" s="2">
        <v>-102.6444855</v>
      </c>
      <c r="D347" s="24">
        <f t="shared" si="1"/>
        <v>452173.913</v>
      </c>
      <c r="E347" s="25">
        <f t="shared" si="2"/>
        <v>-96.42109387</v>
      </c>
      <c r="F347" s="24">
        <f t="shared" si="3"/>
        <v>0.0002132389576</v>
      </c>
      <c r="G347" s="24">
        <f t="shared" si="4"/>
        <v>0</v>
      </c>
      <c r="H347" s="26">
        <f t="shared" si="5"/>
        <v>0</v>
      </c>
      <c r="I347" s="24">
        <f t="shared" si="6"/>
        <v>0</v>
      </c>
      <c r="J347" s="24">
        <f t="shared" si="7"/>
        <v>0</v>
      </c>
      <c r="K347" s="24"/>
      <c r="L347" s="24">
        <f t="shared" si="8"/>
        <v>413.6734205</v>
      </c>
      <c r="M347" s="14">
        <f t="shared" si="9"/>
        <v>404.5072245</v>
      </c>
      <c r="N347" s="27">
        <f t="shared" si="10"/>
        <v>9.166196042</v>
      </c>
      <c r="O347" s="24"/>
      <c r="P347" s="24"/>
      <c r="Q347" s="24"/>
      <c r="R347" s="26"/>
      <c r="S347" s="14">
        <f t="shared" si="13"/>
        <v>8.417282359</v>
      </c>
      <c r="U347" s="21"/>
      <c r="V347" s="21"/>
    </row>
    <row r="348">
      <c r="A348" s="11">
        <v>336.0</v>
      </c>
      <c r="B348" s="11">
        <v>1.42085652173913E9</v>
      </c>
      <c r="C348" s="2">
        <v>-102.6923752</v>
      </c>
      <c r="D348" s="24">
        <f t="shared" si="1"/>
        <v>456521.7391</v>
      </c>
      <c r="E348" s="25">
        <f t="shared" si="2"/>
        <v>-97.33939</v>
      </c>
      <c r="F348" s="24">
        <f t="shared" si="3"/>
        <v>0.0002132196162</v>
      </c>
      <c r="G348" s="24">
        <f t="shared" si="4"/>
        <v>0</v>
      </c>
      <c r="H348" s="26">
        <f t="shared" si="5"/>
        <v>0</v>
      </c>
      <c r="I348" s="24">
        <f t="shared" si="6"/>
        <v>0</v>
      </c>
      <c r="J348" s="24">
        <f t="shared" si="7"/>
        <v>0</v>
      </c>
      <c r="K348" s="24"/>
      <c r="L348" s="24">
        <f t="shared" si="8"/>
        <v>409.1368973</v>
      </c>
      <c r="M348" s="14">
        <f t="shared" si="9"/>
        <v>404.4314801</v>
      </c>
      <c r="N348" s="27">
        <f t="shared" si="10"/>
        <v>4.705417196</v>
      </c>
      <c r="O348" s="24"/>
      <c r="P348" s="24"/>
      <c r="Q348" s="24"/>
      <c r="R348" s="26"/>
      <c r="S348" s="14">
        <f t="shared" si="13"/>
        <v>4.320966414</v>
      </c>
      <c r="U348" s="21"/>
      <c r="V348" s="21"/>
    </row>
    <row r="349">
      <c r="A349" s="11">
        <v>337.0</v>
      </c>
      <c r="B349" s="11">
        <v>1.42086086956521E9</v>
      </c>
      <c r="C349" s="2">
        <v>-102.7095337</v>
      </c>
      <c r="D349" s="24">
        <f t="shared" si="1"/>
        <v>460869.5652</v>
      </c>
      <c r="E349" s="25">
        <f t="shared" si="2"/>
        <v>-98.25768614</v>
      </c>
      <c r="F349" s="24">
        <f t="shared" si="3"/>
        <v>0.0002132006397</v>
      </c>
      <c r="G349" s="24">
        <f t="shared" si="4"/>
        <v>0</v>
      </c>
      <c r="H349" s="26">
        <f t="shared" si="5"/>
        <v>0</v>
      </c>
      <c r="I349" s="24">
        <f t="shared" si="6"/>
        <v>0</v>
      </c>
      <c r="J349" s="24">
        <f t="shared" si="7"/>
        <v>0</v>
      </c>
      <c r="K349" s="24"/>
      <c r="L349" s="24">
        <f t="shared" si="8"/>
        <v>407.5236312</v>
      </c>
      <c r="M349" s="14">
        <f t="shared" si="9"/>
        <v>404.3556584</v>
      </c>
      <c r="N349" s="27">
        <f t="shared" si="10"/>
        <v>3.167972819</v>
      </c>
      <c r="O349" s="24"/>
      <c r="P349" s="24"/>
      <c r="Q349" s="24"/>
      <c r="R349" s="26"/>
      <c r="S349" s="14">
        <f t="shared" si="13"/>
        <v>2.909137188</v>
      </c>
      <c r="U349" s="21"/>
      <c r="V349" s="21"/>
    </row>
    <row r="350">
      <c r="A350" s="11">
        <v>338.0</v>
      </c>
      <c r="B350" s="11">
        <v>1.4208652173913E9</v>
      </c>
      <c r="C350" s="2">
        <v>-102.7129669</v>
      </c>
      <c r="D350" s="24">
        <f t="shared" si="1"/>
        <v>465217.3913</v>
      </c>
      <c r="E350" s="25">
        <f t="shared" si="2"/>
        <v>-99.17598227</v>
      </c>
      <c r="F350" s="24">
        <f t="shared" si="3"/>
        <v>0.000213182018</v>
      </c>
      <c r="G350" s="24">
        <f t="shared" si="4"/>
        <v>0</v>
      </c>
      <c r="H350" s="26">
        <f t="shared" si="5"/>
        <v>0</v>
      </c>
      <c r="I350" s="24">
        <f t="shared" si="6"/>
        <v>0</v>
      </c>
      <c r="J350" s="24">
        <f t="shared" si="7"/>
        <v>0</v>
      </c>
      <c r="K350" s="24"/>
      <c r="L350" s="24">
        <f t="shared" si="8"/>
        <v>407.2016015</v>
      </c>
      <c r="M350" s="14">
        <f t="shared" si="9"/>
        <v>404.2797581</v>
      </c>
      <c r="N350" s="27">
        <f t="shared" si="10"/>
        <v>2.921843414</v>
      </c>
      <c r="O350" s="24"/>
      <c r="P350" s="24"/>
      <c r="Q350" s="24"/>
      <c r="R350" s="26"/>
      <c r="S350" s="14">
        <f t="shared" si="13"/>
        <v>2.683117501</v>
      </c>
      <c r="U350" s="21"/>
      <c r="V350" s="21"/>
    </row>
    <row r="351">
      <c r="A351" s="11">
        <v>339.0</v>
      </c>
      <c r="B351" s="11">
        <v>1.42086956521739E9</v>
      </c>
      <c r="C351" s="2">
        <v>-102.6991501</v>
      </c>
      <c r="D351" s="24">
        <f t="shared" si="1"/>
        <v>469565.2174</v>
      </c>
      <c r="E351" s="25">
        <f t="shared" si="2"/>
        <v>-100.0942784</v>
      </c>
      <c r="F351" s="24">
        <f t="shared" si="3"/>
        <v>0.000213163741</v>
      </c>
      <c r="G351" s="24">
        <f t="shared" si="4"/>
        <v>0</v>
      </c>
      <c r="H351" s="26">
        <f t="shared" si="5"/>
        <v>0</v>
      </c>
      <c r="I351" s="24">
        <f t="shared" si="6"/>
        <v>0</v>
      </c>
      <c r="J351" s="24">
        <f t="shared" si="7"/>
        <v>0</v>
      </c>
      <c r="K351" s="24"/>
      <c r="L351" s="24">
        <f t="shared" si="8"/>
        <v>408.4991502</v>
      </c>
      <c r="M351" s="14">
        <f t="shared" si="9"/>
        <v>404.203778</v>
      </c>
      <c r="N351" s="27">
        <f t="shared" si="10"/>
        <v>4.295372161</v>
      </c>
      <c r="O351" s="24"/>
      <c r="P351" s="24"/>
      <c r="Q351" s="24"/>
      <c r="R351" s="26"/>
      <c r="S351" s="14">
        <f t="shared" si="13"/>
        <v>3.944423644</v>
      </c>
      <c r="U351" s="21"/>
      <c r="V351" s="21"/>
    </row>
    <row r="352">
      <c r="A352" s="11">
        <v>340.0</v>
      </c>
      <c r="B352" s="11">
        <v>1.42087391304347E9</v>
      </c>
      <c r="C352" s="2">
        <v>-102.6896744</v>
      </c>
      <c r="D352" s="24">
        <f t="shared" si="1"/>
        <v>473913.0435</v>
      </c>
      <c r="E352" s="25">
        <f t="shared" si="2"/>
        <v>-101.0125745</v>
      </c>
      <c r="F352" s="24">
        <f t="shared" si="3"/>
        <v>0.0002131457995</v>
      </c>
      <c r="G352" s="24">
        <f t="shared" si="4"/>
        <v>0</v>
      </c>
      <c r="H352" s="26">
        <f t="shared" si="5"/>
        <v>0</v>
      </c>
      <c r="I352" s="24">
        <f t="shared" si="6"/>
        <v>0</v>
      </c>
      <c r="J352" s="24">
        <f t="shared" si="7"/>
        <v>0</v>
      </c>
      <c r="K352" s="24"/>
      <c r="L352" s="24">
        <f t="shared" si="8"/>
        <v>409.3914114</v>
      </c>
      <c r="M352" s="14">
        <f t="shared" si="9"/>
        <v>404.127717</v>
      </c>
      <c r="N352" s="27">
        <f t="shared" si="10"/>
        <v>5.263694409</v>
      </c>
      <c r="O352" s="24"/>
      <c r="P352" s="24"/>
      <c r="Q352" s="24"/>
      <c r="R352" s="26"/>
      <c r="S352" s="14">
        <f t="shared" si="13"/>
        <v>4.83363022</v>
      </c>
      <c r="U352" s="21"/>
      <c r="V352" s="21"/>
    </row>
    <row r="353">
      <c r="A353" s="11">
        <v>341.0</v>
      </c>
      <c r="B353" s="11">
        <v>1.42087826086956E9</v>
      </c>
      <c r="C353" s="2">
        <v>-102.6837769</v>
      </c>
      <c r="D353" s="24">
        <f t="shared" si="1"/>
        <v>478260.8696</v>
      </c>
      <c r="E353" s="25">
        <f t="shared" si="2"/>
        <v>-101.9308707</v>
      </c>
      <c r="F353" s="24">
        <f t="shared" si="3"/>
        <v>0.0002131281841</v>
      </c>
      <c r="G353" s="24">
        <f t="shared" si="4"/>
        <v>0</v>
      </c>
      <c r="H353" s="26">
        <f t="shared" si="5"/>
        <v>0</v>
      </c>
      <c r="I353" s="24">
        <f t="shared" si="6"/>
        <v>0</v>
      </c>
      <c r="J353" s="24">
        <f t="shared" si="7"/>
        <v>0</v>
      </c>
      <c r="K353" s="24"/>
      <c r="L353" s="24">
        <f t="shared" si="8"/>
        <v>409.9477219</v>
      </c>
      <c r="M353" s="14">
        <f t="shared" si="9"/>
        <v>404.0515738</v>
      </c>
      <c r="N353" s="27">
        <f t="shared" si="10"/>
        <v>5.896148107</v>
      </c>
      <c r="O353" s="24"/>
      <c r="P353" s="24"/>
      <c r="Q353" s="24"/>
      <c r="R353" s="26"/>
      <c r="S353" s="14">
        <f t="shared" si="13"/>
        <v>5.414409992</v>
      </c>
      <c r="U353" s="21"/>
      <c r="V353" s="21"/>
    </row>
    <row r="354">
      <c r="A354" s="11">
        <v>342.0</v>
      </c>
      <c r="B354" s="11">
        <v>1.42088260869565E9</v>
      </c>
      <c r="C354" s="2">
        <v>-102.7146225</v>
      </c>
      <c r="D354" s="24">
        <f t="shared" si="1"/>
        <v>482608.6957</v>
      </c>
      <c r="E354" s="25">
        <f t="shared" si="2"/>
        <v>-102.8491668</v>
      </c>
      <c r="F354" s="24">
        <f t="shared" si="3"/>
        <v>0.0002131108862</v>
      </c>
      <c r="G354" s="24">
        <f t="shared" si="4"/>
        <v>0</v>
      </c>
      <c r="H354" s="26">
        <f t="shared" si="5"/>
        <v>0</v>
      </c>
      <c r="I354" s="24">
        <f t="shared" si="6"/>
        <v>0</v>
      </c>
      <c r="J354" s="24">
        <f t="shared" si="7"/>
        <v>0</v>
      </c>
      <c r="K354" s="24"/>
      <c r="L354" s="24">
        <f t="shared" si="8"/>
        <v>407.0463993</v>
      </c>
      <c r="M354" s="14">
        <f t="shared" si="9"/>
        <v>403.9753473</v>
      </c>
      <c r="N354" s="27">
        <f t="shared" si="10"/>
        <v>3.07105203</v>
      </c>
      <c r="O354" s="24"/>
      <c r="P354" s="24"/>
      <c r="Q354" s="24"/>
      <c r="R354" s="26"/>
      <c r="S354" s="14">
        <f t="shared" si="13"/>
        <v>2.820135203</v>
      </c>
      <c r="U354" s="21"/>
      <c r="V354" s="21"/>
    </row>
    <row r="355">
      <c r="A355" s="11">
        <v>343.0</v>
      </c>
      <c r="B355" s="11">
        <v>1.42088695652173E9</v>
      </c>
      <c r="C355" s="2">
        <v>-102.7637787</v>
      </c>
      <c r="D355" s="24">
        <f t="shared" si="1"/>
        <v>486956.5217</v>
      </c>
      <c r="E355" s="25">
        <f t="shared" si="2"/>
        <v>-103.7674629</v>
      </c>
      <c r="F355" s="24">
        <f t="shared" si="3"/>
        <v>0.0002130938971</v>
      </c>
      <c r="G355" s="24">
        <f t="shared" si="4"/>
        <v>0</v>
      </c>
      <c r="H355" s="26">
        <f t="shared" si="5"/>
        <v>0</v>
      </c>
      <c r="I355" s="24">
        <f t="shared" si="6"/>
        <v>0</v>
      </c>
      <c r="J355" s="24">
        <f t="shared" si="7"/>
        <v>0</v>
      </c>
      <c r="K355" s="24"/>
      <c r="L355" s="24">
        <f t="shared" si="8"/>
        <v>402.4651659</v>
      </c>
      <c r="M355" s="14">
        <f t="shared" si="9"/>
        <v>403.8990362</v>
      </c>
      <c r="N355" s="27">
        <f t="shared" si="10"/>
        <v>-1.433870284</v>
      </c>
      <c r="O355" s="24"/>
      <c r="P355" s="24"/>
      <c r="Q355" s="24"/>
      <c r="R355" s="26"/>
      <c r="S355" s="14">
        <f t="shared" si="13"/>
        <v>-1.316717537</v>
      </c>
      <c r="U355" s="21"/>
      <c r="V355" s="21"/>
    </row>
    <row r="356">
      <c r="A356" s="11">
        <v>344.0</v>
      </c>
      <c r="B356" s="11">
        <v>1.42089130434782E9</v>
      </c>
      <c r="C356" s="2">
        <v>-102.7036591</v>
      </c>
      <c r="D356" s="24">
        <f t="shared" si="1"/>
        <v>491304.3478</v>
      </c>
      <c r="E356" s="25">
        <f t="shared" si="2"/>
        <v>-104.6857591</v>
      </c>
      <c r="F356" s="24">
        <f t="shared" si="3"/>
        <v>0.0002130772087</v>
      </c>
      <c r="G356" s="24">
        <f t="shared" si="4"/>
        <v>0</v>
      </c>
      <c r="H356" s="26">
        <f t="shared" si="5"/>
        <v>0</v>
      </c>
      <c r="I356" s="24">
        <f t="shared" si="6"/>
        <v>0</v>
      </c>
      <c r="J356" s="24">
        <f t="shared" si="7"/>
        <v>0</v>
      </c>
      <c r="K356" s="24"/>
      <c r="L356" s="24">
        <f t="shared" si="8"/>
        <v>408.0752519</v>
      </c>
      <c r="M356" s="14">
        <f t="shared" si="9"/>
        <v>403.8226394</v>
      </c>
      <c r="N356" s="27">
        <f t="shared" si="10"/>
        <v>4.252612492</v>
      </c>
      <c r="O356" s="24"/>
      <c r="P356" s="24"/>
      <c r="Q356" s="24"/>
      <c r="R356" s="26"/>
      <c r="S356" s="14">
        <f t="shared" si="13"/>
        <v>3.905157606</v>
      </c>
      <c r="U356" s="21"/>
      <c r="V356" s="21"/>
    </row>
    <row r="357">
      <c r="A357" s="11">
        <v>345.0</v>
      </c>
      <c r="B357" s="11">
        <v>1.42089565217391E9</v>
      </c>
      <c r="C357" s="2">
        <v>-102.744194</v>
      </c>
      <c r="D357" s="24">
        <f t="shared" si="1"/>
        <v>495652.1739</v>
      </c>
      <c r="E357" s="25">
        <f t="shared" si="2"/>
        <v>-105.6040552</v>
      </c>
      <c r="F357" s="24">
        <f t="shared" si="3"/>
        <v>0.0002130608131</v>
      </c>
      <c r="G357" s="24">
        <f t="shared" si="4"/>
        <v>0</v>
      </c>
      <c r="H357" s="26">
        <f t="shared" si="5"/>
        <v>0</v>
      </c>
      <c r="I357" s="24">
        <f t="shared" si="6"/>
        <v>0</v>
      </c>
      <c r="J357" s="24">
        <f t="shared" si="7"/>
        <v>0</v>
      </c>
      <c r="K357" s="24"/>
      <c r="L357" s="24">
        <f t="shared" si="8"/>
        <v>404.2841987</v>
      </c>
      <c r="M357" s="14">
        <f t="shared" si="9"/>
        <v>403.7461557</v>
      </c>
      <c r="N357" s="27">
        <f t="shared" si="10"/>
        <v>0.5380430013</v>
      </c>
      <c r="O357" s="24"/>
      <c r="P357" s="24"/>
      <c r="Q357" s="24"/>
      <c r="R357" s="26"/>
      <c r="S357" s="14">
        <f t="shared" si="13"/>
        <v>0.4940828063</v>
      </c>
      <c r="U357" s="21"/>
      <c r="V357" s="21"/>
    </row>
    <row r="358">
      <c r="A358" s="11">
        <v>346.0</v>
      </c>
      <c r="B358" s="11">
        <v>1.4209E9</v>
      </c>
      <c r="C358" s="2">
        <v>-102.7381897</v>
      </c>
      <c r="D358" s="24">
        <f t="shared" si="1"/>
        <v>500000</v>
      </c>
      <c r="E358" s="25">
        <f t="shared" si="2"/>
        <v>-106.5223513</v>
      </c>
      <c r="F358" s="24">
        <f t="shared" si="3"/>
        <v>0.0002130447027</v>
      </c>
      <c r="G358" s="24">
        <f t="shared" si="4"/>
        <v>0</v>
      </c>
      <c r="H358" s="26">
        <f t="shared" si="5"/>
        <v>0</v>
      </c>
      <c r="I358" s="24">
        <f t="shared" si="6"/>
        <v>0</v>
      </c>
      <c r="J358" s="24">
        <f t="shared" si="7"/>
        <v>0</v>
      </c>
      <c r="K358" s="24"/>
      <c r="L358" s="24">
        <f t="shared" si="8"/>
        <v>404.8435248</v>
      </c>
      <c r="M358" s="14">
        <f t="shared" si="9"/>
        <v>403.6695838</v>
      </c>
      <c r="N358" s="27">
        <f t="shared" si="10"/>
        <v>1.173940987</v>
      </c>
      <c r="O358" s="24"/>
      <c r="P358" s="24"/>
      <c r="Q358" s="24"/>
      <c r="R358" s="26"/>
      <c r="S358" s="14">
        <f t="shared" si="13"/>
        <v>1.078025468</v>
      </c>
      <c r="U358" s="21"/>
      <c r="V358" s="21"/>
    </row>
    <row r="359">
      <c r="A359" s="11">
        <v>347.0</v>
      </c>
      <c r="B359" s="11">
        <v>1.42090434782608E9</v>
      </c>
      <c r="C359" s="2">
        <v>-102.7503128</v>
      </c>
      <c r="D359" s="24">
        <f t="shared" si="1"/>
        <v>504347.8261</v>
      </c>
      <c r="E359" s="25">
        <f t="shared" si="2"/>
        <v>-107.4406475</v>
      </c>
      <c r="F359" s="24">
        <f t="shared" si="3"/>
        <v>0.00021302887</v>
      </c>
      <c r="G359" s="24">
        <f t="shared" si="4"/>
        <v>0</v>
      </c>
      <c r="H359" s="26">
        <f t="shared" si="5"/>
        <v>0</v>
      </c>
      <c r="I359" s="24">
        <f t="shared" si="6"/>
        <v>0</v>
      </c>
      <c r="J359" s="24">
        <f t="shared" si="7"/>
        <v>0</v>
      </c>
      <c r="K359" s="24"/>
      <c r="L359" s="24">
        <f t="shared" si="8"/>
        <v>403.7150014</v>
      </c>
      <c r="M359" s="14">
        <f t="shared" si="9"/>
        <v>403.5929226</v>
      </c>
      <c r="N359" s="27">
        <f t="shared" si="10"/>
        <v>0.1220788195</v>
      </c>
      <c r="O359" s="24"/>
      <c r="P359" s="24"/>
      <c r="Q359" s="24"/>
      <c r="R359" s="26"/>
      <c r="S359" s="14">
        <f t="shared" si="13"/>
        <v>0.1121045078</v>
      </c>
      <c r="U359" s="21"/>
      <c r="V359" s="21"/>
    </row>
    <row r="360">
      <c r="A360" s="11">
        <v>348.0</v>
      </c>
      <c r="B360" s="11">
        <v>1.42090869565217E9</v>
      </c>
      <c r="C360" s="2">
        <v>-102.7186279</v>
      </c>
      <c r="D360" s="24">
        <f t="shared" si="1"/>
        <v>508695.6522</v>
      </c>
      <c r="E360" s="25">
        <f t="shared" si="2"/>
        <v>-108.3589436</v>
      </c>
      <c r="F360" s="24">
        <f t="shared" si="3"/>
        <v>0.0002130133079</v>
      </c>
      <c r="G360" s="24">
        <f t="shared" si="4"/>
        <v>0</v>
      </c>
      <c r="H360" s="26">
        <f t="shared" si="5"/>
        <v>0</v>
      </c>
      <c r="I360" s="24">
        <f t="shared" si="6"/>
        <v>0</v>
      </c>
      <c r="J360" s="24">
        <f t="shared" si="7"/>
        <v>0</v>
      </c>
      <c r="K360" s="24"/>
      <c r="L360" s="24">
        <f t="shared" si="8"/>
        <v>406.6711627</v>
      </c>
      <c r="M360" s="14">
        <f t="shared" si="9"/>
        <v>403.5161708</v>
      </c>
      <c r="N360" s="27">
        <f t="shared" si="10"/>
        <v>3.154991839</v>
      </c>
      <c r="O360" s="24"/>
      <c r="P360" s="24"/>
      <c r="Q360" s="24"/>
      <c r="R360" s="26"/>
      <c r="S360" s="14">
        <f t="shared" si="13"/>
        <v>2.897216798</v>
      </c>
      <c r="U360" s="21"/>
      <c r="V360" s="21"/>
    </row>
    <row r="361">
      <c r="A361" s="11">
        <v>349.0</v>
      </c>
      <c r="B361" s="11">
        <v>1.42091304347826E9</v>
      </c>
      <c r="C361" s="2">
        <v>-102.6857224</v>
      </c>
      <c r="D361" s="24">
        <f t="shared" si="1"/>
        <v>513043.4783</v>
      </c>
      <c r="E361" s="25">
        <f t="shared" si="2"/>
        <v>-109.2772397</v>
      </c>
      <c r="F361" s="24">
        <f t="shared" si="3"/>
        <v>0.0002129980096</v>
      </c>
      <c r="G361" s="24">
        <f t="shared" si="4"/>
        <v>0</v>
      </c>
      <c r="H361" s="26">
        <f t="shared" si="5"/>
        <v>0</v>
      </c>
      <c r="I361" s="24">
        <f t="shared" si="6"/>
        <v>0</v>
      </c>
      <c r="J361" s="24">
        <f t="shared" si="7"/>
        <v>0</v>
      </c>
      <c r="K361" s="24"/>
      <c r="L361" s="24">
        <f t="shared" si="8"/>
        <v>409.7641196</v>
      </c>
      <c r="M361" s="14">
        <f t="shared" si="9"/>
        <v>403.4393274</v>
      </c>
      <c r="N361" s="27">
        <f t="shared" si="10"/>
        <v>6.324792236</v>
      </c>
      <c r="O361" s="24"/>
      <c r="P361" s="24"/>
      <c r="Q361" s="24"/>
      <c r="R361" s="26"/>
      <c r="S361" s="14">
        <f t="shared" si="13"/>
        <v>5.808032251</v>
      </c>
      <c r="U361" s="21"/>
      <c r="V361" s="21"/>
    </row>
    <row r="362">
      <c r="A362" s="11">
        <v>350.0</v>
      </c>
      <c r="B362" s="11">
        <v>1.42091739130434E9</v>
      </c>
      <c r="C362" s="2">
        <v>-102.7014999</v>
      </c>
      <c r="D362" s="24">
        <f t="shared" si="1"/>
        <v>517391.3043</v>
      </c>
      <c r="E362" s="25">
        <f t="shared" si="2"/>
        <v>-110.1955359</v>
      </c>
      <c r="F362" s="24">
        <f t="shared" si="3"/>
        <v>0.0002129829685</v>
      </c>
      <c r="G362" s="24">
        <f t="shared" si="4"/>
        <v>0</v>
      </c>
      <c r="H362" s="26">
        <f t="shared" si="5"/>
        <v>0</v>
      </c>
      <c r="I362" s="24">
        <f t="shared" si="6"/>
        <v>0</v>
      </c>
      <c r="J362" s="24">
        <f t="shared" si="7"/>
        <v>0</v>
      </c>
      <c r="K362" s="24"/>
      <c r="L362" s="24">
        <f t="shared" si="8"/>
        <v>408.2781868</v>
      </c>
      <c r="M362" s="14">
        <f t="shared" si="9"/>
        <v>403.362391</v>
      </c>
      <c r="N362" s="27">
        <f t="shared" si="10"/>
        <v>4.915795809</v>
      </c>
      <c r="O362" s="24"/>
      <c r="P362" s="24"/>
      <c r="Q362" s="24"/>
      <c r="R362" s="26"/>
      <c r="S362" s="14">
        <f t="shared" si="13"/>
        <v>4.514156281</v>
      </c>
      <c r="U362" s="21"/>
      <c r="V362" s="21"/>
    </row>
    <row r="363">
      <c r="A363" s="11">
        <v>351.0</v>
      </c>
      <c r="B363" s="11">
        <v>1.42092173913043E9</v>
      </c>
      <c r="C363" s="2">
        <v>-102.7295837</v>
      </c>
      <c r="D363" s="24">
        <f t="shared" si="1"/>
        <v>521739.1304</v>
      </c>
      <c r="E363" s="25">
        <f t="shared" si="2"/>
        <v>-111.113832</v>
      </c>
      <c r="F363" s="24">
        <f t="shared" si="3"/>
        <v>0.000212968178</v>
      </c>
      <c r="G363" s="24">
        <f t="shared" si="4"/>
        <v>0</v>
      </c>
      <c r="H363" s="26">
        <f t="shared" si="5"/>
        <v>0</v>
      </c>
      <c r="I363" s="24">
        <f t="shared" si="6"/>
        <v>0</v>
      </c>
      <c r="J363" s="24">
        <f t="shared" si="7"/>
        <v>0</v>
      </c>
      <c r="K363" s="24"/>
      <c r="L363" s="24">
        <f t="shared" si="8"/>
        <v>405.64656</v>
      </c>
      <c r="M363" s="14">
        <f t="shared" si="9"/>
        <v>403.2853605</v>
      </c>
      <c r="N363" s="27">
        <f t="shared" si="10"/>
        <v>2.361199469</v>
      </c>
      <c r="O363" s="24"/>
      <c r="P363" s="24"/>
      <c r="Q363" s="24"/>
      <c r="R363" s="26"/>
      <c r="S363" s="14">
        <f t="shared" si="13"/>
        <v>2.168280336</v>
      </c>
      <c r="U363" s="21"/>
      <c r="V363" s="21"/>
    </row>
    <row r="364">
      <c r="A364" s="11">
        <v>352.0</v>
      </c>
      <c r="B364" s="11">
        <v>1.42092608695652E9</v>
      </c>
      <c r="C364" s="2">
        <v>-102.7022552</v>
      </c>
      <c r="D364" s="24">
        <f t="shared" si="1"/>
        <v>526086.9565</v>
      </c>
      <c r="E364" s="25">
        <f t="shared" si="2"/>
        <v>-112.0321281</v>
      </c>
      <c r="F364" s="24">
        <f t="shared" si="3"/>
        <v>0.000212953632</v>
      </c>
      <c r="G364" s="24">
        <f t="shared" si="4"/>
        <v>0</v>
      </c>
      <c r="H364" s="26">
        <f t="shared" si="5"/>
        <v>0</v>
      </c>
      <c r="I364" s="24">
        <f t="shared" si="6"/>
        <v>0</v>
      </c>
      <c r="J364" s="24">
        <f t="shared" si="7"/>
        <v>0</v>
      </c>
      <c r="K364" s="24"/>
      <c r="L364" s="24">
        <f t="shared" si="8"/>
        <v>408.2071876</v>
      </c>
      <c r="M364" s="14">
        <f t="shared" si="9"/>
        <v>403.2082347</v>
      </c>
      <c r="N364" s="27">
        <f t="shared" si="10"/>
        <v>4.998952862</v>
      </c>
      <c r="O364" s="24"/>
      <c r="P364" s="24"/>
      <c r="Q364" s="24"/>
      <c r="R364" s="26"/>
      <c r="S364" s="14">
        <f t="shared" si="13"/>
        <v>4.590519082</v>
      </c>
      <c r="U364" s="21"/>
      <c r="V364" s="21"/>
    </row>
    <row r="365">
      <c r="A365" s="11">
        <v>353.0</v>
      </c>
      <c r="B365" s="11">
        <v>1.4209304347826E9</v>
      </c>
      <c r="C365" s="2">
        <v>-102.7279205</v>
      </c>
      <c r="D365" s="24">
        <f t="shared" si="1"/>
        <v>530434.7826</v>
      </c>
      <c r="E365" s="25">
        <f t="shared" si="2"/>
        <v>-112.9504243</v>
      </c>
      <c r="F365" s="24">
        <f t="shared" si="3"/>
        <v>0.0002129393244</v>
      </c>
      <c r="G365" s="24">
        <f t="shared" si="4"/>
        <v>0</v>
      </c>
      <c r="H365" s="26">
        <f t="shared" si="5"/>
        <v>0</v>
      </c>
      <c r="I365" s="24">
        <f t="shared" si="6"/>
        <v>0</v>
      </c>
      <c r="J365" s="24">
        <f t="shared" si="7"/>
        <v>0</v>
      </c>
      <c r="K365" s="24"/>
      <c r="L365" s="24">
        <f t="shared" si="8"/>
        <v>405.8019386</v>
      </c>
      <c r="M365" s="14">
        <f t="shared" si="9"/>
        <v>403.1310124</v>
      </c>
      <c r="N365" s="27">
        <f t="shared" si="10"/>
        <v>2.670926129</v>
      </c>
      <c r="O365" s="24"/>
      <c r="P365" s="24"/>
      <c r="Q365" s="24"/>
      <c r="R365" s="26"/>
      <c r="S365" s="14">
        <f t="shared" si="13"/>
        <v>2.452701135</v>
      </c>
      <c r="U365" s="21"/>
      <c r="V365" s="21"/>
    </row>
    <row r="366">
      <c r="A366" s="11">
        <v>354.0</v>
      </c>
      <c r="B366" s="11">
        <v>1.42093478260869E9</v>
      </c>
      <c r="C366" s="2">
        <v>-102.7709274</v>
      </c>
      <c r="D366" s="24">
        <f t="shared" si="1"/>
        <v>534782.6087</v>
      </c>
      <c r="E366" s="25">
        <f t="shared" si="2"/>
        <v>-113.8687204</v>
      </c>
      <c r="F366" s="24">
        <f t="shared" si="3"/>
        <v>0.0002129252495</v>
      </c>
      <c r="G366" s="24">
        <f t="shared" si="4"/>
        <v>0</v>
      </c>
      <c r="H366" s="26">
        <f t="shared" si="5"/>
        <v>0</v>
      </c>
      <c r="I366" s="24">
        <f t="shared" si="6"/>
        <v>0</v>
      </c>
      <c r="J366" s="24">
        <f t="shared" si="7"/>
        <v>0</v>
      </c>
      <c r="K366" s="24"/>
      <c r="L366" s="24">
        <f t="shared" si="8"/>
        <v>401.8032335</v>
      </c>
      <c r="M366" s="14">
        <f t="shared" si="9"/>
        <v>403.0536924</v>
      </c>
      <c r="N366" s="27">
        <f t="shared" si="10"/>
        <v>-1.250458958</v>
      </c>
      <c r="O366" s="24"/>
      <c r="P366" s="24"/>
      <c r="Q366" s="24"/>
      <c r="R366" s="26"/>
      <c r="S366" s="14">
        <f t="shared" si="13"/>
        <v>-1.148291625</v>
      </c>
      <c r="U366" s="21"/>
      <c r="V366" s="21"/>
    </row>
    <row r="367">
      <c r="A367" s="11">
        <v>355.0</v>
      </c>
      <c r="B367" s="11">
        <v>1.42093913043478E9</v>
      </c>
      <c r="C367" s="2">
        <v>-102.7317505</v>
      </c>
      <c r="D367" s="24">
        <f t="shared" si="1"/>
        <v>539130.4348</v>
      </c>
      <c r="E367" s="25">
        <f t="shared" si="2"/>
        <v>-114.7870165</v>
      </c>
      <c r="F367" s="24">
        <f t="shared" si="3"/>
        <v>0.0002129114016</v>
      </c>
      <c r="G367" s="24">
        <f t="shared" si="4"/>
        <v>0</v>
      </c>
      <c r="H367" s="26">
        <f t="shared" si="5"/>
        <v>0</v>
      </c>
      <c r="I367" s="24">
        <f t="shared" si="6"/>
        <v>0</v>
      </c>
      <c r="J367" s="24">
        <f t="shared" si="7"/>
        <v>0</v>
      </c>
      <c r="K367" s="24"/>
      <c r="L367" s="24">
        <f t="shared" si="8"/>
        <v>405.4442236</v>
      </c>
      <c r="M367" s="14">
        <f t="shared" si="9"/>
        <v>402.9762735</v>
      </c>
      <c r="N367" s="27">
        <f t="shared" si="10"/>
        <v>2.467950065</v>
      </c>
      <c r="O367" s="24"/>
      <c r="P367" s="24"/>
      <c r="Q367" s="24"/>
      <c r="R367" s="26"/>
      <c r="S367" s="14">
        <f t="shared" si="13"/>
        <v>2.266308995</v>
      </c>
      <c r="U367" s="21"/>
      <c r="V367" s="21"/>
    </row>
    <row r="368">
      <c r="A368" s="11">
        <v>356.0</v>
      </c>
      <c r="B368" s="11">
        <v>1.42094347826087E9</v>
      </c>
      <c r="C368" s="2">
        <v>-102.7693329</v>
      </c>
      <c r="D368" s="24">
        <f t="shared" si="1"/>
        <v>543478.2609</v>
      </c>
      <c r="E368" s="25">
        <f t="shared" si="2"/>
        <v>-115.7053126</v>
      </c>
      <c r="F368" s="24">
        <f t="shared" si="3"/>
        <v>0.0002128977753</v>
      </c>
      <c r="G368" s="24">
        <f t="shared" si="4"/>
        <v>0</v>
      </c>
      <c r="H368" s="26">
        <f t="shared" si="5"/>
        <v>0</v>
      </c>
      <c r="I368" s="24">
        <f t="shared" si="6"/>
        <v>0</v>
      </c>
      <c r="J368" s="24">
        <f t="shared" si="7"/>
        <v>0</v>
      </c>
      <c r="K368" s="24"/>
      <c r="L368" s="24">
        <f t="shared" si="8"/>
        <v>401.9507815</v>
      </c>
      <c r="M368" s="14">
        <f t="shared" si="9"/>
        <v>402.8987546</v>
      </c>
      <c r="N368" s="27">
        <f t="shared" si="10"/>
        <v>-0.9479730677</v>
      </c>
      <c r="O368" s="24"/>
      <c r="P368" s="24"/>
      <c r="Q368" s="24"/>
      <c r="R368" s="26"/>
      <c r="S368" s="14">
        <f t="shared" si="13"/>
        <v>-0.870520002</v>
      </c>
      <c r="U368" s="21"/>
      <c r="V368" s="21"/>
    </row>
    <row r="369">
      <c r="A369" s="11">
        <v>357.0</v>
      </c>
      <c r="B369" s="11">
        <v>1.42094782608695E9</v>
      </c>
      <c r="C369" s="2">
        <v>-102.7054749</v>
      </c>
      <c r="D369" s="24">
        <f t="shared" si="1"/>
        <v>547826.087</v>
      </c>
      <c r="E369" s="25">
        <f t="shared" si="2"/>
        <v>-116.6236088</v>
      </c>
      <c r="F369" s="24">
        <f t="shared" si="3"/>
        <v>0.0002128843652</v>
      </c>
      <c r="G369" s="24">
        <f t="shared" si="4"/>
        <v>0</v>
      </c>
      <c r="H369" s="26">
        <f t="shared" si="5"/>
        <v>0</v>
      </c>
      <c r="I369" s="24">
        <f t="shared" si="6"/>
        <v>0</v>
      </c>
      <c r="J369" s="24">
        <f t="shared" si="7"/>
        <v>0</v>
      </c>
      <c r="K369" s="24"/>
      <c r="L369" s="24">
        <f t="shared" si="8"/>
        <v>407.9046699</v>
      </c>
      <c r="M369" s="14">
        <f t="shared" si="9"/>
        <v>402.8211343</v>
      </c>
      <c r="N369" s="27">
        <f t="shared" si="10"/>
        <v>5.083535618</v>
      </c>
      <c r="O369" s="24"/>
      <c r="P369" s="24"/>
      <c r="Q369" s="24"/>
      <c r="R369" s="26"/>
      <c r="S369" s="14">
        <f t="shared" si="13"/>
        <v>4.668191099</v>
      </c>
      <c r="U369" s="21"/>
      <c r="V369" s="21"/>
    </row>
    <row r="370">
      <c r="A370" s="11">
        <v>358.0</v>
      </c>
      <c r="B370" s="11">
        <v>1.42095217391304E9</v>
      </c>
      <c r="C370" s="2">
        <v>-102.7526855</v>
      </c>
      <c r="D370" s="24">
        <f t="shared" si="1"/>
        <v>552173.913</v>
      </c>
      <c r="E370" s="25">
        <f t="shared" si="2"/>
        <v>-117.5419049</v>
      </c>
      <c r="F370" s="24">
        <f t="shared" si="3"/>
        <v>0.0002128711664</v>
      </c>
      <c r="G370" s="24">
        <f t="shared" si="4"/>
        <v>0</v>
      </c>
      <c r="H370" s="26">
        <f t="shared" si="5"/>
        <v>0</v>
      </c>
      <c r="I370" s="24">
        <f t="shared" si="6"/>
        <v>0</v>
      </c>
      <c r="J370" s="24">
        <f t="shared" si="7"/>
        <v>0</v>
      </c>
      <c r="K370" s="24"/>
      <c r="L370" s="24">
        <f t="shared" si="8"/>
        <v>403.4944982</v>
      </c>
      <c r="M370" s="14">
        <f t="shared" si="9"/>
        <v>402.7434115</v>
      </c>
      <c r="N370" s="27">
        <f t="shared" si="10"/>
        <v>0.7510867121</v>
      </c>
      <c r="O370" s="24"/>
      <c r="P370" s="24"/>
      <c r="Q370" s="24"/>
      <c r="R370" s="26"/>
      <c r="S370" s="14">
        <f t="shared" si="13"/>
        <v>0.6897200215</v>
      </c>
      <c r="U370" s="21"/>
      <c r="V370" s="21"/>
    </row>
    <row r="371">
      <c r="A371" s="11">
        <v>359.0</v>
      </c>
      <c r="B371" s="11">
        <v>1.42095652173913E9</v>
      </c>
      <c r="C371" s="2">
        <v>-102.7622375</v>
      </c>
      <c r="D371" s="24">
        <f t="shared" si="1"/>
        <v>556521.7391</v>
      </c>
      <c r="E371" s="25">
        <f t="shared" si="2"/>
        <v>-118.460201</v>
      </c>
      <c r="F371" s="24">
        <f t="shared" si="3"/>
        <v>0.0002128581738</v>
      </c>
      <c r="G371" s="24">
        <f t="shared" si="4"/>
        <v>0</v>
      </c>
      <c r="H371" s="26">
        <f t="shared" si="5"/>
        <v>0</v>
      </c>
      <c r="I371" s="24">
        <f t="shared" si="6"/>
        <v>0</v>
      </c>
      <c r="J371" s="24">
        <f t="shared" si="7"/>
        <v>0</v>
      </c>
      <c r="K371" s="24"/>
      <c r="L371" s="24">
        <f t="shared" si="8"/>
        <v>402.6080159</v>
      </c>
      <c r="M371" s="14">
        <f t="shared" si="9"/>
        <v>402.6655851</v>
      </c>
      <c r="N371" s="27">
        <f t="shared" si="10"/>
        <v>-0.05756923102</v>
      </c>
      <c r="O371" s="24"/>
      <c r="P371" s="24"/>
      <c r="Q371" s="24"/>
      <c r="R371" s="26"/>
      <c r="S371" s="14">
        <f t="shared" si="13"/>
        <v>-0.05286560222</v>
      </c>
      <c r="U371" s="21"/>
      <c r="V371" s="21"/>
    </row>
    <row r="372">
      <c r="A372" s="11">
        <v>360.0</v>
      </c>
      <c r="B372" s="11">
        <v>1.42096086956521E9</v>
      </c>
      <c r="C372" s="2">
        <v>-102.7260971</v>
      </c>
      <c r="D372" s="24">
        <f t="shared" si="1"/>
        <v>560869.5652</v>
      </c>
      <c r="E372" s="25">
        <f t="shared" si="2"/>
        <v>-119.3784972</v>
      </c>
      <c r="F372" s="24">
        <f t="shared" si="3"/>
        <v>0.0002128453826</v>
      </c>
      <c r="G372" s="24">
        <f t="shared" si="4"/>
        <v>0</v>
      </c>
      <c r="H372" s="26">
        <f t="shared" si="5"/>
        <v>0</v>
      </c>
      <c r="I372" s="24">
        <f t="shared" si="6"/>
        <v>0</v>
      </c>
      <c r="J372" s="24">
        <f t="shared" si="7"/>
        <v>0</v>
      </c>
      <c r="K372" s="24"/>
      <c r="L372" s="24">
        <f t="shared" si="8"/>
        <v>405.9723516</v>
      </c>
      <c r="M372" s="14">
        <f t="shared" si="9"/>
        <v>402.5876538</v>
      </c>
      <c r="N372" s="27">
        <f t="shared" si="10"/>
        <v>3.38469786</v>
      </c>
      <c r="O372" s="24"/>
      <c r="P372" s="24"/>
      <c r="Q372" s="24"/>
      <c r="R372" s="26"/>
      <c r="S372" s="14">
        <f t="shared" si="13"/>
        <v>3.108154955</v>
      </c>
      <c r="U372" s="21"/>
      <c r="V372" s="21"/>
    </row>
    <row r="373">
      <c r="A373" s="11">
        <v>361.0</v>
      </c>
      <c r="B373" s="11">
        <v>1.4209652173913E9</v>
      </c>
      <c r="C373" s="2">
        <v>-102.7350616</v>
      </c>
      <c r="D373" s="24">
        <f t="shared" si="1"/>
        <v>565217.3913</v>
      </c>
      <c r="E373" s="25">
        <f t="shared" si="2"/>
        <v>-120.2967933</v>
      </c>
      <c r="F373" s="24">
        <f t="shared" si="3"/>
        <v>0.0002128327882</v>
      </c>
      <c r="G373" s="24">
        <f t="shared" si="4"/>
        <v>0</v>
      </c>
      <c r="H373" s="26">
        <f t="shared" si="5"/>
        <v>0</v>
      </c>
      <c r="I373" s="24">
        <f t="shared" si="6"/>
        <v>0</v>
      </c>
      <c r="J373" s="24">
        <f t="shared" si="7"/>
        <v>0</v>
      </c>
      <c r="K373" s="24"/>
      <c r="L373" s="24">
        <f t="shared" si="8"/>
        <v>405.1352271</v>
      </c>
      <c r="M373" s="14">
        <f t="shared" si="9"/>
        <v>402.5096164</v>
      </c>
      <c r="N373" s="27">
        <f t="shared" si="10"/>
        <v>2.62561071</v>
      </c>
      <c r="O373" s="24"/>
      <c r="P373" s="24"/>
      <c r="Q373" s="24"/>
      <c r="R373" s="26"/>
      <c r="S373" s="14">
        <f t="shared" si="13"/>
        <v>2.411088156</v>
      </c>
      <c r="U373" s="21"/>
      <c r="V373" s="21"/>
    </row>
    <row r="374">
      <c r="A374" s="11">
        <v>362.0</v>
      </c>
      <c r="B374" s="11">
        <v>1.42096956521739E9</v>
      </c>
      <c r="C374" s="2">
        <v>-102.7535782</v>
      </c>
      <c r="D374" s="24">
        <f t="shared" si="1"/>
        <v>569565.2174</v>
      </c>
      <c r="E374" s="25">
        <f t="shared" si="2"/>
        <v>-121.2150894</v>
      </c>
      <c r="F374" s="24">
        <f t="shared" si="3"/>
        <v>0.000212820386</v>
      </c>
      <c r="G374" s="24">
        <f t="shared" si="4"/>
        <v>0</v>
      </c>
      <c r="H374" s="26">
        <f t="shared" si="5"/>
        <v>0</v>
      </c>
      <c r="I374" s="24">
        <f t="shared" si="6"/>
        <v>0</v>
      </c>
      <c r="J374" s="24">
        <f t="shared" si="7"/>
        <v>0</v>
      </c>
      <c r="K374" s="24"/>
      <c r="L374" s="24">
        <f t="shared" si="8"/>
        <v>403.4115678</v>
      </c>
      <c r="M374" s="14">
        <f t="shared" si="9"/>
        <v>402.4314718</v>
      </c>
      <c r="N374" s="27">
        <f t="shared" si="10"/>
        <v>0.9800960098</v>
      </c>
      <c r="O374" s="24"/>
      <c r="P374" s="24"/>
      <c r="Q374" s="24"/>
      <c r="R374" s="26"/>
      <c r="S374" s="14">
        <f t="shared" si="13"/>
        <v>0.9000183756</v>
      </c>
    </row>
    <row r="375">
      <c r="A375" s="11">
        <v>363.0</v>
      </c>
      <c r="B375" s="11">
        <v>1.42097391304347E9</v>
      </c>
      <c r="C375" s="2">
        <v>-102.7318268</v>
      </c>
      <c r="D375" s="24">
        <f t="shared" si="1"/>
        <v>573913.0435</v>
      </c>
      <c r="E375" s="25">
        <f t="shared" si="2"/>
        <v>-122.1333856</v>
      </c>
      <c r="F375" s="24">
        <f t="shared" si="3"/>
        <v>0.0002128081718</v>
      </c>
      <c r="G375" s="24">
        <f t="shared" si="4"/>
        <v>0</v>
      </c>
      <c r="H375" s="26">
        <f t="shared" si="5"/>
        <v>0</v>
      </c>
      <c r="I375" s="24">
        <f t="shared" si="6"/>
        <v>0</v>
      </c>
      <c r="J375" s="24">
        <f t="shared" si="7"/>
        <v>0</v>
      </c>
      <c r="K375" s="24"/>
      <c r="L375" s="24">
        <f t="shared" si="8"/>
        <v>405.4371005</v>
      </c>
      <c r="M375" s="14">
        <f t="shared" si="9"/>
        <v>402.3532186</v>
      </c>
      <c r="N375" s="27">
        <f t="shared" si="10"/>
        <v>3.0838819</v>
      </c>
      <c r="O375" s="24"/>
      <c r="P375" s="24"/>
      <c r="Q375" s="24"/>
      <c r="R375" s="26"/>
      <c r="S375" s="14">
        <f t="shared" si="13"/>
        <v>2.831916823</v>
      </c>
    </row>
    <row r="376">
      <c r="A376" s="11">
        <v>364.0</v>
      </c>
      <c r="B376" s="11">
        <v>1.42097826086956E9</v>
      </c>
      <c r="C376" s="2">
        <v>-102.771965</v>
      </c>
      <c r="D376" s="24">
        <f t="shared" si="1"/>
        <v>578260.8696</v>
      </c>
      <c r="E376" s="25">
        <f t="shared" si="2"/>
        <v>-123.0516817</v>
      </c>
      <c r="F376" s="24">
        <f t="shared" si="3"/>
        <v>0.0002127961413</v>
      </c>
      <c r="G376" s="24">
        <f t="shared" si="4"/>
        <v>0</v>
      </c>
      <c r="H376" s="26">
        <f t="shared" si="5"/>
        <v>0</v>
      </c>
      <c r="I376" s="24">
        <f t="shared" si="6"/>
        <v>0</v>
      </c>
      <c r="J376" s="24">
        <f t="shared" si="7"/>
        <v>0</v>
      </c>
      <c r="K376" s="24"/>
      <c r="L376" s="24">
        <f t="shared" si="8"/>
        <v>401.7072476</v>
      </c>
      <c r="M376" s="14">
        <f t="shared" si="9"/>
        <v>402.2748559</v>
      </c>
      <c r="N376" s="27">
        <f t="shared" si="10"/>
        <v>-0.5676082266</v>
      </c>
      <c r="O376" s="24"/>
      <c r="P376" s="24"/>
      <c r="Q376" s="24"/>
      <c r="R376" s="26"/>
      <c r="S376" s="14">
        <f t="shared" si="13"/>
        <v>-0.5212324382</v>
      </c>
    </row>
    <row r="377">
      <c r="A377" s="11">
        <v>365.0</v>
      </c>
      <c r="B377" s="11">
        <v>1.42098260869565E9</v>
      </c>
      <c r="C377" s="2">
        <v>-102.7409592</v>
      </c>
      <c r="D377" s="24">
        <f t="shared" si="1"/>
        <v>582608.6957</v>
      </c>
      <c r="E377" s="25">
        <f t="shared" si="2"/>
        <v>-123.9699778</v>
      </c>
      <c r="F377" s="24">
        <f t="shared" si="3"/>
        <v>0.0002127842903</v>
      </c>
      <c r="G377" s="24">
        <f t="shared" si="4"/>
        <v>0</v>
      </c>
      <c r="H377" s="26">
        <f t="shared" si="5"/>
        <v>0</v>
      </c>
      <c r="I377" s="24">
        <f t="shared" si="6"/>
        <v>0</v>
      </c>
      <c r="J377" s="24">
        <f t="shared" si="7"/>
        <v>0</v>
      </c>
      <c r="K377" s="24"/>
      <c r="L377" s="24">
        <f t="shared" si="8"/>
        <v>404.585438</v>
      </c>
      <c r="M377" s="14">
        <f t="shared" si="9"/>
        <v>402.1963822</v>
      </c>
      <c r="N377" s="27">
        <f t="shared" si="10"/>
        <v>2.389055733</v>
      </c>
      <c r="O377" s="24"/>
      <c r="P377" s="24"/>
      <c r="Q377" s="24"/>
      <c r="R377" s="26"/>
      <c r="S377" s="14">
        <f t="shared" si="13"/>
        <v>2.193860641</v>
      </c>
    </row>
    <row r="378">
      <c r="A378" s="11">
        <v>366.0</v>
      </c>
      <c r="B378" s="11">
        <v>1.42098695652173E9</v>
      </c>
      <c r="C378" s="2">
        <v>-102.728447</v>
      </c>
      <c r="D378" s="24">
        <f t="shared" si="1"/>
        <v>586956.5217</v>
      </c>
      <c r="E378" s="25">
        <f t="shared" si="2"/>
        <v>-124.888274</v>
      </c>
      <c r="F378" s="24">
        <f t="shared" si="3"/>
        <v>0.0002127726149</v>
      </c>
      <c r="G378" s="24">
        <f t="shared" si="4"/>
        <v>0</v>
      </c>
      <c r="H378" s="26">
        <f t="shared" si="5"/>
        <v>0</v>
      </c>
      <c r="I378" s="24">
        <f t="shared" si="6"/>
        <v>0</v>
      </c>
      <c r="J378" s="24">
        <f t="shared" si="7"/>
        <v>0</v>
      </c>
      <c r="K378" s="24"/>
      <c r="L378" s="24">
        <f t="shared" si="8"/>
        <v>405.7527457</v>
      </c>
      <c r="M378" s="14">
        <f t="shared" si="9"/>
        <v>402.1177966</v>
      </c>
      <c r="N378" s="27">
        <f t="shared" si="10"/>
        <v>3.634949179</v>
      </c>
      <c r="O378" s="24"/>
      <c r="P378" s="24"/>
      <c r="Q378" s="24"/>
      <c r="R378" s="26"/>
      <c r="S378" s="14">
        <f t="shared" si="13"/>
        <v>3.337959773</v>
      </c>
    </row>
    <row r="379">
      <c r="A379" s="11">
        <v>367.0</v>
      </c>
      <c r="B379" s="11">
        <v>1.42099130434782E9</v>
      </c>
      <c r="C379" s="2">
        <v>-102.7413406</v>
      </c>
      <c r="D379" s="24">
        <f t="shared" si="1"/>
        <v>591304.3478</v>
      </c>
      <c r="E379" s="25">
        <f t="shared" si="2"/>
        <v>-125.8065701</v>
      </c>
      <c r="F379" s="24">
        <f t="shared" si="3"/>
        <v>0.0002127611112</v>
      </c>
      <c r="G379" s="24">
        <f t="shared" si="4"/>
        <v>0</v>
      </c>
      <c r="H379" s="26">
        <f t="shared" si="5"/>
        <v>0</v>
      </c>
      <c r="I379" s="24">
        <f t="shared" si="6"/>
        <v>0</v>
      </c>
      <c r="J379" s="24">
        <f t="shared" si="7"/>
        <v>0</v>
      </c>
      <c r="K379" s="24"/>
      <c r="L379" s="24">
        <f t="shared" si="8"/>
        <v>404.5499086</v>
      </c>
      <c r="M379" s="14">
        <f t="shared" si="9"/>
        <v>402.0390976</v>
      </c>
      <c r="N379" s="27">
        <f t="shared" si="10"/>
        <v>2.51081097</v>
      </c>
      <c r="O379" s="24"/>
      <c r="P379" s="24"/>
      <c r="Q379" s="24"/>
      <c r="R379" s="26"/>
      <c r="S379" s="14">
        <f t="shared" si="13"/>
        <v>2.305668004</v>
      </c>
    </row>
    <row r="380">
      <c r="A380" s="11">
        <v>368.0</v>
      </c>
      <c r="B380" s="11">
        <v>1.42099565217391E9</v>
      </c>
      <c r="C380" s="2">
        <v>-102.723259</v>
      </c>
      <c r="D380" s="24">
        <f t="shared" si="1"/>
        <v>595652.1739</v>
      </c>
      <c r="E380" s="25">
        <f t="shared" si="2"/>
        <v>-126.7248662</v>
      </c>
      <c r="F380" s="24">
        <f t="shared" si="3"/>
        <v>0.0002127497754</v>
      </c>
      <c r="G380" s="24">
        <f t="shared" si="4"/>
        <v>0</v>
      </c>
      <c r="H380" s="26">
        <f t="shared" si="5"/>
        <v>0</v>
      </c>
      <c r="I380" s="24">
        <f t="shared" si="6"/>
        <v>0</v>
      </c>
      <c r="J380" s="24">
        <f t="shared" si="7"/>
        <v>0</v>
      </c>
      <c r="K380" s="24"/>
      <c r="L380" s="24">
        <f t="shared" si="8"/>
        <v>406.2377399</v>
      </c>
      <c r="M380" s="14">
        <f t="shared" si="9"/>
        <v>401.9602842</v>
      </c>
      <c r="N380" s="27">
        <f t="shared" si="10"/>
        <v>4.277455684</v>
      </c>
      <c r="O380" s="24"/>
      <c r="P380" s="24"/>
      <c r="Q380" s="24"/>
      <c r="R380" s="26"/>
      <c r="S380" s="14">
        <f t="shared" si="13"/>
        <v>3.927971004</v>
      </c>
    </row>
    <row r="381">
      <c r="A381" s="11">
        <v>369.0</v>
      </c>
      <c r="B381" s="11">
        <v>1.421E9</v>
      </c>
      <c r="C381" s="2">
        <v>-102.7258606</v>
      </c>
      <c r="D381" s="24">
        <f t="shared" si="1"/>
        <v>600000</v>
      </c>
      <c r="E381" s="25">
        <f t="shared" si="2"/>
        <v>-127.6431624</v>
      </c>
      <c r="F381" s="24">
        <f t="shared" si="3"/>
        <v>0.0002127386039</v>
      </c>
      <c r="G381" s="24">
        <f t="shared" si="4"/>
        <v>0</v>
      </c>
      <c r="H381" s="26">
        <f t="shared" si="5"/>
        <v>0</v>
      </c>
      <c r="I381" s="24">
        <f t="shared" si="6"/>
        <v>0</v>
      </c>
      <c r="J381" s="24">
        <f t="shared" si="7"/>
        <v>0</v>
      </c>
      <c r="K381" s="24"/>
      <c r="L381" s="24">
        <f t="shared" si="8"/>
        <v>405.9944599</v>
      </c>
      <c r="M381" s="14">
        <f t="shared" si="9"/>
        <v>401.8813552</v>
      </c>
      <c r="N381" s="27">
        <f t="shared" si="10"/>
        <v>4.113104696</v>
      </c>
      <c r="O381" s="24"/>
      <c r="P381" s="24"/>
      <c r="Q381" s="24"/>
      <c r="R381" s="26"/>
      <c r="S381" s="14">
        <f t="shared" si="13"/>
        <v>3.777048136</v>
      </c>
    </row>
    <row r="382">
      <c r="A382" s="11">
        <v>370.0</v>
      </c>
      <c r="B382" s="11">
        <v>1.42100434782608E9</v>
      </c>
      <c r="C382" s="2">
        <v>-102.7496719</v>
      </c>
      <c r="D382" s="24">
        <f t="shared" si="1"/>
        <v>604347.8261</v>
      </c>
      <c r="E382" s="25">
        <f t="shared" si="2"/>
        <v>-128.5614585</v>
      </c>
      <c r="F382" s="24">
        <f t="shared" si="3"/>
        <v>0.0002127275932</v>
      </c>
      <c r="G382" s="24">
        <f t="shared" si="4"/>
        <v>0</v>
      </c>
      <c r="H382" s="26">
        <f t="shared" si="5"/>
        <v>0</v>
      </c>
      <c r="I382" s="24">
        <f t="shared" si="6"/>
        <v>0</v>
      </c>
      <c r="J382" s="24">
        <f t="shared" si="7"/>
        <v>0</v>
      </c>
      <c r="K382" s="24"/>
      <c r="L382" s="24">
        <f t="shared" si="8"/>
        <v>403.7745831</v>
      </c>
      <c r="M382" s="14">
        <f t="shared" si="9"/>
        <v>401.8023094</v>
      </c>
      <c r="N382" s="27">
        <f t="shared" si="10"/>
        <v>1.972273695</v>
      </c>
      <c r="O382" s="24"/>
      <c r="P382" s="24"/>
      <c r="Q382" s="24"/>
      <c r="R382" s="26"/>
      <c r="S382" s="14">
        <f t="shared" si="13"/>
        <v>1.811131307</v>
      </c>
    </row>
    <row r="383">
      <c r="A383" s="11">
        <v>371.0</v>
      </c>
      <c r="B383" s="11">
        <v>1.42100869565217E9</v>
      </c>
      <c r="C383" s="2">
        <v>-102.7361069</v>
      </c>
      <c r="D383" s="24">
        <f t="shared" si="1"/>
        <v>608695.6522</v>
      </c>
      <c r="E383" s="25">
        <f t="shared" si="2"/>
        <v>-129.4797546</v>
      </c>
      <c r="F383" s="24">
        <f t="shared" si="3"/>
        <v>0.0002127167398</v>
      </c>
      <c r="G383" s="24">
        <f t="shared" si="4"/>
        <v>0</v>
      </c>
      <c r="H383" s="26">
        <f t="shared" si="5"/>
        <v>0</v>
      </c>
      <c r="I383" s="24">
        <f t="shared" si="6"/>
        <v>0</v>
      </c>
      <c r="J383" s="24">
        <f t="shared" si="7"/>
        <v>0</v>
      </c>
      <c r="K383" s="24"/>
      <c r="L383" s="24">
        <f t="shared" si="8"/>
        <v>405.0377272</v>
      </c>
      <c r="M383" s="14">
        <f t="shared" si="9"/>
        <v>401.7231455</v>
      </c>
      <c r="N383" s="27">
        <f t="shared" si="10"/>
        <v>3.314581651</v>
      </c>
      <c r="O383" s="24"/>
      <c r="P383" s="24"/>
      <c r="Q383" s="24"/>
      <c r="R383" s="26"/>
      <c r="S383" s="14">
        <f t="shared" si="13"/>
        <v>3.043767505</v>
      </c>
    </row>
    <row r="384">
      <c r="A384" s="11">
        <v>372.0</v>
      </c>
      <c r="B384" s="11">
        <v>1.42101304347826E9</v>
      </c>
      <c r="C384" s="2">
        <v>-102.6945724</v>
      </c>
      <c r="D384" s="24">
        <f t="shared" si="1"/>
        <v>613043.4783</v>
      </c>
      <c r="E384" s="25">
        <f t="shared" si="2"/>
        <v>-130.3980508</v>
      </c>
      <c r="F384" s="24">
        <f t="shared" si="3"/>
        <v>0.0002127060402</v>
      </c>
      <c r="G384" s="24">
        <f t="shared" si="4"/>
        <v>0</v>
      </c>
      <c r="H384" s="26">
        <f t="shared" si="5"/>
        <v>0</v>
      </c>
      <c r="I384" s="24">
        <f t="shared" si="6"/>
        <v>0</v>
      </c>
      <c r="J384" s="24">
        <f t="shared" si="7"/>
        <v>0</v>
      </c>
      <c r="K384" s="24"/>
      <c r="L384" s="24">
        <f t="shared" si="8"/>
        <v>408.9299575</v>
      </c>
      <c r="M384" s="14">
        <f t="shared" si="9"/>
        <v>401.6438624</v>
      </c>
      <c r="N384" s="27">
        <f t="shared" si="10"/>
        <v>7.286095089</v>
      </c>
      <c r="O384" s="24"/>
      <c r="P384" s="24"/>
      <c r="Q384" s="24"/>
      <c r="R384" s="26"/>
      <c r="S384" s="14">
        <f t="shared" si="13"/>
        <v>6.690792944</v>
      </c>
    </row>
    <row r="385">
      <c r="A385" s="11">
        <v>373.0</v>
      </c>
      <c r="B385" s="11">
        <v>1.42101739130434E9</v>
      </c>
      <c r="C385" s="2">
        <v>-102.7784348</v>
      </c>
      <c r="D385" s="24">
        <f t="shared" si="1"/>
        <v>617391.3043</v>
      </c>
      <c r="E385" s="25">
        <f t="shared" si="2"/>
        <v>-131.3163469</v>
      </c>
      <c r="F385" s="24">
        <f t="shared" si="3"/>
        <v>0.0002126954915</v>
      </c>
      <c r="G385" s="24">
        <f t="shared" si="4"/>
        <v>0</v>
      </c>
      <c r="H385" s="26">
        <f t="shared" si="5"/>
        <v>0</v>
      </c>
      <c r="I385" s="24">
        <f t="shared" si="6"/>
        <v>0</v>
      </c>
      <c r="J385" s="24">
        <f t="shared" si="7"/>
        <v>0</v>
      </c>
      <c r="K385" s="24"/>
      <c r="L385" s="24">
        <f t="shared" si="8"/>
        <v>401.1092592</v>
      </c>
      <c r="M385" s="14">
        <f t="shared" si="9"/>
        <v>401.5644589</v>
      </c>
      <c r="N385" s="27">
        <f t="shared" si="10"/>
        <v>-0.4551996496</v>
      </c>
      <c r="O385" s="24"/>
      <c r="P385" s="24"/>
      <c r="Q385" s="24"/>
      <c r="R385" s="26"/>
      <c r="S385" s="14">
        <f t="shared" si="13"/>
        <v>-0.4180080779</v>
      </c>
    </row>
    <row r="386">
      <c r="A386" s="11">
        <v>374.0</v>
      </c>
      <c r="B386" s="11">
        <v>1.42102173913043E9</v>
      </c>
      <c r="C386" s="2">
        <v>-102.783432</v>
      </c>
      <c r="D386" s="24">
        <f t="shared" si="1"/>
        <v>621739.1304</v>
      </c>
      <c r="E386" s="25">
        <f t="shared" si="2"/>
        <v>-132.234643</v>
      </c>
      <c r="F386" s="24">
        <f t="shared" si="3"/>
        <v>0.0002126850902</v>
      </c>
      <c r="G386" s="24">
        <f t="shared" si="4"/>
        <v>0</v>
      </c>
      <c r="H386" s="26">
        <f t="shared" si="5"/>
        <v>0</v>
      </c>
      <c r="I386" s="24">
        <f t="shared" si="6"/>
        <v>0</v>
      </c>
      <c r="J386" s="24">
        <f t="shared" si="7"/>
        <v>0</v>
      </c>
      <c r="K386" s="24"/>
      <c r="L386" s="24">
        <f t="shared" si="8"/>
        <v>400.6479892</v>
      </c>
      <c r="M386" s="14">
        <f t="shared" si="9"/>
        <v>401.4849337</v>
      </c>
      <c r="N386" s="27">
        <f t="shared" si="10"/>
        <v>-0.8369445681</v>
      </c>
      <c r="O386" s="24"/>
      <c r="P386" s="24"/>
      <c r="Q386" s="24"/>
      <c r="R386" s="26"/>
      <c r="S386" s="14">
        <f t="shared" si="13"/>
        <v>-0.7685629585</v>
      </c>
    </row>
    <row r="387">
      <c r="A387" s="11">
        <v>375.0</v>
      </c>
      <c r="B387" s="11">
        <v>1.42102608695652E9</v>
      </c>
      <c r="C387" s="2">
        <v>-102.7756271</v>
      </c>
      <c r="D387" s="24">
        <f t="shared" si="1"/>
        <v>626086.9565</v>
      </c>
      <c r="E387" s="25">
        <f t="shared" si="2"/>
        <v>-133.1529392</v>
      </c>
      <c r="F387" s="24">
        <f t="shared" si="3"/>
        <v>0.0002126748334</v>
      </c>
      <c r="G387" s="24">
        <f t="shared" si="4"/>
        <v>0</v>
      </c>
      <c r="H387" s="26">
        <f t="shared" si="5"/>
        <v>0</v>
      </c>
      <c r="I387" s="24">
        <f t="shared" si="6"/>
        <v>0</v>
      </c>
      <c r="J387" s="24">
        <f t="shared" si="7"/>
        <v>0</v>
      </c>
      <c r="K387" s="24"/>
      <c r="L387" s="24">
        <f t="shared" si="8"/>
        <v>401.3686589</v>
      </c>
      <c r="M387" s="14">
        <f t="shared" si="9"/>
        <v>401.4052858</v>
      </c>
      <c r="N387" s="27">
        <f t="shared" si="10"/>
        <v>-0.0366268409</v>
      </c>
      <c r="O387" s="24"/>
      <c r="P387" s="24"/>
      <c r="Q387" s="24"/>
      <c r="R387" s="26"/>
      <c r="S387" s="14">
        <f t="shared" si="13"/>
        <v>-0.03363428636</v>
      </c>
    </row>
    <row r="388">
      <c r="A388" s="11">
        <v>376.0</v>
      </c>
      <c r="B388" s="11">
        <v>1.4210304347826E9</v>
      </c>
      <c r="C388" s="2">
        <v>-102.7466812</v>
      </c>
      <c r="D388" s="24">
        <f t="shared" si="1"/>
        <v>630434.7826</v>
      </c>
      <c r="E388" s="25">
        <f t="shared" si="2"/>
        <v>-134.0712353</v>
      </c>
      <c r="F388" s="24">
        <f t="shared" si="3"/>
        <v>0.0002126647181</v>
      </c>
      <c r="G388" s="24">
        <f t="shared" si="4"/>
        <v>0</v>
      </c>
      <c r="H388" s="26">
        <f t="shared" si="5"/>
        <v>0</v>
      </c>
      <c r="I388" s="24">
        <f t="shared" si="6"/>
        <v>0</v>
      </c>
      <c r="J388" s="24">
        <f t="shared" si="7"/>
        <v>0</v>
      </c>
      <c r="K388" s="24"/>
      <c r="L388" s="24">
        <f t="shared" si="8"/>
        <v>404.0527318</v>
      </c>
      <c r="M388" s="14">
        <f t="shared" si="9"/>
        <v>401.3255138</v>
      </c>
      <c r="N388" s="27">
        <f t="shared" si="10"/>
        <v>2.727218001</v>
      </c>
      <c r="O388" s="24"/>
      <c r="P388" s="24"/>
      <c r="Q388" s="24"/>
      <c r="R388" s="26"/>
      <c r="S388" s="14">
        <f t="shared" si="13"/>
        <v>2.504393744</v>
      </c>
    </row>
    <row r="389">
      <c r="A389" s="11">
        <v>377.0</v>
      </c>
      <c r="B389" s="11">
        <v>1.42103478260869E9</v>
      </c>
      <c r="C389" s="2">
        <v>-102.7518158</v>
      </c>
      <c r="D389" s="24">
        <f t="shared" si="1"/>
        <v>634782.6087</v>
      </c>
      <c r="E389" s="25">
        <f t="shared" si="2"/>
        <v>-134.9895314</v>
      </c>
      <c r="F389" s="24">
        <f t="shared" si="3"/>
        <v>0.0002126547413</v>
      </c>
      <c r="G389" s="24">
        <f t="shared" si="4"/>
        <v>0</v>
      </c>
      <c r="H389" s="26">
        <f t="shared" si="5"/>
        <v>0</v>
      </c>
      <c r="I389" s="24">
        <f t="shared" si="6"/>
        <v>0</v>
      </c>
      <c r="J389" s="24">
        <f t="shared" si="7"/>
        <v>0</v>
      </c>
      <c r="K389" s="24"/>
      <c r="L389" s="24">
        <f t="shared" si="8"/>
        <v>403.5753085</v>
      </c>
      <c r="M389" s="14">
        <f t="shared" si="9"/>
        <v>401.2456166</v>
      </c>
      <c r="N389" s="27">
        <f t="shared" si="10"/>
        <v>2.329691839</v>
      </c>
      <c r="O389" s="24"/>
      <c r="P389" s="24"/>
      <c r="Q389" s="24"/>
      <c r="R389" s="26"/>
      <c r="S389" s="14">
        <f t="shared" si="13"/>
        <v>2.139347007</v>
      </c>
    </row>
    <row r="390">
      <c r="A390" s="11">
        <v>378.0</v>
      </c>
      <c r="B390" s="11">
        <v>1.42103913043478E9</v>
      </c>
      <c r="C390" s="2">
        <v>-102.818161</v>
      </c>
      <c r="D390" s="24">
        <f t="shared" si="1"/>
        <v>639130.4348</v>
      </c>
      <c r="E390" s="25">
        <f t="shared" si="2"/>
        <v>-135.9078276</v>
      </c>
      <c r="F390" s="24">
        <f t="shared" si="3"/>
        <v>0.0002126449003</v>
      </c>
      <c r="G390" s="24">
        <f t="shared" si="4"/>
        <v>0</v>
      </c>
      <c r="H390" s="26">
        <f t="shared" si="5"/>
        <v>0</v>
      </c>
      <c r="I390" s="24">
        <f t="shared" si="6"/>
        <v>0</v>
      </c>
      <c r="J390" s="24">
        <f t="shared" si="7"/>
        <v>0</v>
      </c>
      <c r="K390" s="24"/>
      <c r="L390" s="24">
        <f t="shared" si="8"/>
        <v>397.4569242</v>
      </c>
      <c r="M390" s="14">
        <f t="shared" si="9"/>
        <v>401.165593</v>
      </c>
      <c r="N390" s="27">
        <f t="shared" si="10"/>
        <v>-3.708668807</v>
      </c>
      <c r="O390" s="24"/>
      <c r="P390" s="24"/>
      <c r="Q390" s="24"/>
      <c r="R390" s="26"/>
      <c r="S390" s="14">
        <f t="shared" si="13"/>
        <v>-3.405656215</v>
      </c>
    </row>
    <row r="391">
      <c r="A391" s="11">
        <v>379.0</v>
      </c>
      <c r="B391" s="11">
        <v>1.42104347826087E9</v>
      </c>
      <c r="C391" s="2">
        <v>-102.8022614</v>
      </c>
      <c r="D391" s="24">
        <f t="shared" si="1"/>
        <v>643478.2609</v>
      </c>
      <c r="E391" s="25">
        <f t="shared" si="2"/>
        <v>-136.8261237</v>
      </c>
      <c r="F391" s="24">
        <f t="shared" si="3"/>
        <v>0.0002126351922</v>
      </c>
      <c r="G391" s="24">
        <f t="shared" si="4"/>
        <v>0</v>
      </c>
      <c r="H391" s="26">
        <f t="shared" si="5"/>
        <v>0</v>
      </c>
      <c r="I391" s="24">
        <f t="shared" si="6"/>
        <v>0</v>
      </c>
      <c r="J391" s="24">
        <f t="shared" si="7"/>
        <v>0</v>
      </c>
      <c r="K391" s="24"/>
      <c r="L391" s="24">
        <f t="shared" si="8"/>
        <v>398.9146881</v>
      </c>
      <c r="M391" s="14">
        <f t="shared" si="9"/>
        <v>401.0854419</v>
      </c>
      <c r="N391" s="27">
        <f t="shared" si="10"/>
        <v>-2.170753774</v>
      </c>
      <c r="O391" s="24"/>
      <c r="P391" s="24"/>
      <c r="Q391" s="24"/>
      <c r="R391" s="26"/>
      <c r="S391" s="14">
        <f t="shared" si="13"/>
        <v>-1.993394796</v>
      </c>
    </row>
    <row r="392">
      <c r="A392" s="11">
        <v>380.0</v>
      </c>
      <c r="B392" s="11">
        <v>1.42104782608695E9</v>
      </c>
      <c r="C392" s="2">
        <v>-102.7713928</v>
      </c>
      <c r="D392" s="24">
        <f t="shared" si="1"/>
        <v>647826.087</v>
      </c>
      <c r="E392" s="25">
        <f t="shared" si="2"/>
        <v>-137.7444198</v>
      </c>
      <c r="F392" s="24">
        <f t="shared" si="3"/>
        <v>0.0002126256145</v>
      </c>
      <c r="G392" s="24">
        <f t="shared" si="4"/>
        <v>0</v>
      </c>
      <c r="H392" s="26">
        <f t="shared" si="5"/>
        <v>0</v>
      </c>
      <c r="I392" s="24">
        <f t="shared" si="6"/>
        <v>0</v>
      </c>
      <c r="J392" s="24">
        <f t="shared" si="7"/>
        <v>0</v>
      </c>
      <c r="K392" s="24"/>
      <c r="L392" s="24">
        <f t="shared" si="8"/>
        <v>401.7601776</v>
      </c>
      <c r="M392" s="14">
        <f t="shared" si="9"/>
        <v>401.0051619</v>
      </c>
      <c r="N392" s="27">
        <f t="shared" si="10"/>
        <v>0.7550157406</v>
      </c>
      <c r="O392" s="24"/>
      <c r="P392" s="24"/>
      <c r="Q392" s="24"/>
      <c r="R392" s="26"/>
      <c r="S392" s="14">
        <f t="shared" si="13"/>
        <v>0.6933280348</v>
      </c>
    </row>
    <row r="393">
      <c r="A393" s="11">
        <v>381.0</v>
      </c>
      <c r="B393" s="11">
        <v>1.42105217391304E9</v>
      </c>
      <c r="C393" s="2">
        <v>-102.8143387</v>
      </c>
      <c r="D393" s="24">
        <f t="shared" si="1"/>
        <v>652173.913</v>
      </c>
      <c r="E393" s="25">
        <f t="shared" si="2"/>
        <v>-138.662716</v>
      </c>
      <c r="F393" s="24">
        <f t="shared" si="3"/>
        <v>0.0002126161645</v>
      </c>
      <c r="G393" s="24">
        <f t="shared" si="4"/>
        <v>0</v>
      </c>
      <c r="H393" s="26">
        <f t="shared" si="5"/>
        <v>0</v>
      </c>
      <c r="I393" s="24">
        <f t="shared" si="6"/>
        <v>0</v>
      </c>
      <c r="J393" s="24">
        <f t="shared" si="7"/>
        <v>0</v>
      </c>
      <c r="K393" s="24"/>
      <c r="L393" s="24">
        <f t="shared" si="8"/>
        <v>397.8068869</v>
      </c>
      <c r="M393" s="14">
        <f t="shared" si="9"/>
        <v>400.9247519</v>
      </c>
      <c r="N393" s="27">
        <f t="shared" si="10"/>
        <v>-3.11786507</v>
      </c>
      <c r="O393" s="24"/>
      <c r="P393" s="24"/>
      <c r="Q393" s="24"/>
      <c r="R393" s="26"/>
      <c r="S393" s="14">
        <f t="shared" si="13"/>
        <v>-2.863123429</v>
      </c>
    </row>
    <row r="394">
      <c r="A394" s="11">
        <v>382.0</v>
      </c>
      <c r="B394" s="11">
        <v>1.42105652173913E9</v>
      </c>
      <c r="C394" s="2">
        <v>-102.7657318</v>
      </c>
      <c r="D394" s="24">
        <f t="shared" si="1"/>
        <v>656521.7391</v>
      </c>
      <c r="E394" s="25">
        <f t="shared" si="2"/>
        <v>-139.5810121</v>
      </c>
      <c r="F394" s="24">
        <f t="shared" si="3"/>
        <v>0.0002126068396</v>
      </c>
      <c r="G394" s="24">
        <f t="shared" si="4"/>
        <v>0</v>
      </c>
      <c r="H394" s="26">
        <f t="shared" si="5"/>
        <v>0</v>
      </c>
      <c r="I394" s="24">
        <f t="shared" si="6"/>
        <v>0</v>
      </c>
      <c r="J394" s="24">
        <f t="shared" si="7"/>
        <v>0</v>
      </c>
      <c r="K394" s="24"/>
      <c r="L394" s="24">
        <f t="shared" si="8"/>
        <v>402.2842108</v>
      </c>
      <c r="M394" s="14">
        <f t="shared" si="9"/>
        <v>400.8442108</v>
      </c>
      <c r="N394" s="27">
        <f t="shared" si="10"/>
        <v>1.440000069</v>
      </c>
      <c r="O394" s="24"/>
      <c r="P394" s="24"/>
      <c r="Q394" s="24"/>
      <c r="R394" s="26"/>
      <c r="S394" s="14">
        <f t="shared" si="13"/>
        <v>1.322346494</v>
      </c>
    </row>
    <row r="395">
      <c r="A395" s="11">
        <v>383.0</v>
      </c>
      <c r="B395" s="11">
        <v>1.42106086956521E9</v>
      </c>
      <c r="C395" s="2">
        <v>-102.7198715</v>
      </c>
      <c r="D395" s="24">
        <f t="shared" si="1"/>
        <v>660869.5652</v>
      </c>
      <c r="E395" s="25">
        <f t="shared" si="2"/>
        <v>-140.4993082</v>
      </c>
      <c r="F395" s="24">
        <f t="shared" si="3"/>
        <v>0.0002125976374</v>
      </c>
      <c r="G395" s="24">
        <f t="shared" si="4"/>
        <v>0</v>
      </c>
      <c r="H395" s="26">
        <f t="shared" si="5"/>
        <v>0</v>
      </c>
      <c r="I395" s="24">
        <f t="shared" si="6"/>
        <v>0</v>
      </c>
      <c r="J395" s="24">
        <f t="shared" si="7"/>
        <v>0</v>
      </c>
      <c r="K395" s="24"/>
      <c r="L395" s="24">
        <f t="shared" si="8"/>
        <v>406.5547293</v>
      </c>
      <c r="M395" s="14">
        <f t="shared" si="9"/>
        <v>400.7635372</v>
      </c>
      <c r="N395" s="27">
        <f t="shared" si="10"/>
        <v>5.791192031</v>
      </c>
      <c r="O395" s="24"/>
      <c r="P395" s="24"/>
      <c r="Q395" s="24"/>
      <c r="R395" s="26"/>
      <c r="S395" s="14">
        <f t="shared" si="13"/>
        <v>5.318029246</v>
      </c>
    </row>
    <row r="396">
      <c r="A396" s="11">
        <v>384.0</v>
      </c>
      <c r="B396" s="11">
        <v>1.4210652173913E9</v>
      </c>
      <c r="C396" s="2">
        <v>-102.7479324</v>
      </c>
      <c r="D396" s="24">
        <f t="shared" si="1"/>
        <v>665217.3913</v>
      </c>
      <c r="E396" s="25">
        <f t="shared" si="2"/>
        <v>-141.4176043</v>
      </c>
      <c r="F396" s="24">
        <f t="shared" si="3"/>
        <v>0.0002125885556</v>
      </c>
      <c r="G396" s="24">
        <f t="shared" si="4"/>
        <v>0</v>
      </c>
      <c r="H396" s="26">
        <f t="shared" si="5"/>
        <v>0</v>
      </c>
      <c r="I396" s="24">
        <f t="shared" si="6"/>
        <v>0</v>
      </c>
      <c r="J396" s="24">
        <f t="shared" si="7"/>
        <v>0</v>
      </c>
      <c r="K396" s="24"/>
      <c r="L396" s="24">
        <f t="shared" si="8"/>
        <v>403.9363412</v>
      </c>
      <c r="M396" s="14">
        <f t="shared" si="9"/>
        <v>400.6827301</v>
      </c>
      <c r="N396" s="27">
        <f t="shared" si="10"/>
        <v>3.253611079</v>
      </c>
      <c r="O396" s="24"/>
      <c r="P396" s="24"/>
      <c r="Q396" s="24"/>
      <c r="R396" s="26"/>
      <c r="S396" s="14">
        <f t="shared" si="13"/>
        <v>2.987778464</v>
      </c>
    </row>
    <row r="397">
      <c r="A397" s="11">
        <v>385.0</v>
      </c>
      <c r="B397" s="11">
        <v>1.42106956521739E9</v>
      </c>
      <c r="C397" s="2">
        <v>-102.778717</v>
      </c>
      <c r="D397" s="24">
        <f t="shared" si="1"/>
        <v>669565.2174</v>
      </c>
      <c r="E397" s="25">
        <f t="shared" si="2"/>
        <v>-142.3359005</v>
      </c>
      <c r="F397" s="24">
        <f t="shared" si="3"/>
        <v>0.0002125795916</v>
      </c>
      <c r="G397" s="24">
        <f t="shared" si="4"/>
        <v>0</v>
      </c>
      <c r="H397" s="26">
        <f t="shared" si="5"/>
        <v>0</v>
      </c>
      <c r="I397" s="24">
        <f t="shared" si="6"/>
        <v>0</v>
      </c>
      <c r="J397" s="24">
        <f t="shared" si="7"/>
        <v>0</v>
      </c>
      <c r="K397" s="24"/>
      <c r="L397" s="24">
        <f t="shared" si="8"/>
        <v>401.0831964</v>
      </c>
      <c r="M397" s="14">
        <f t="shared" si="9"/>
        <v>400.6017882</v>
      </c>
      <c r="N397" s="27">
        <f t="shared" si="10"/>
        <v>0.4814081837</v>
      </c>
      <c r="O397" s="24"/>
      <c r="P397" s="24"/>
      <c r="Q397" s="24"/>
      <c r="R397" s="26"/>
      <c r="S397" s="14">
        <f t="shared" si="13"/>
        <v>0.4420752734</v>
      </c>
    </row>
    <row r="398">
      <c r="A398" s="11">
        <v>386.0</v>
      </c>
      <c r="B398" s="11">
        <v>1.42107391304347E9</v>
      </c>
      <c r="C398" s="2">
        <v>-102.7772293</v>
      </c>
      <c r="D398" s="24">
        <f t="shared" si="1"/>
        <v>673913.0435</v>
      </c>
      <c r="E398" s="25">
        <f t="shared" si="2"/>
        <v>-143.2541966</v>
      </c>
      <c r="F398" s="24">
        <f t="shared" si="3"/>
        <v>0.0002125707434</v>
      </c>
      <c r="G398" s="24">
        <f t="shared" si="4"/>
        <v>0</v>
      </c>
      <c r="H398" s="26">
        <f t="shared" si="5"/>
        <v>0</v>
      </c>
      <c r="I398" s="24">
        <f t="shared" si="6"/>
        <v>0</v>
      </c>
      <c r="J398" s="24">
        <f t="shared" si="7"/>
        <v>0</v>
      </c>
      <c r="K398" s="24"/>
      <c r="L398" s="24">
        <f t="shared" si="8"/>
        <v>401.2206132</v>
      </c>
      <c r="M398" s="14">
        <f t="shared" si="9"/>
        <v>400.5207104</v>
      </c>
      <c r="N398" s="27">
        <f t="shared" si="10"/>
        <v>0.6999028642</v>
      </c>
      <c r="O398" s="24"/>
      <c r="P398" s="24"/>
      <c r="Q398" s="24"/>
      <c r="R398" s="26"/>
      <c r="S398" s="14">
        <f t="shared" si="13"/>
        <v>0.6427180935</v>
      </c>
    </row>
    <row r="399">
      <c r="A399" s="11">
        <v>387.0</v>
      </c>
      <c r="B399" s="11">
        <v>1.42107826086956E9</v>
      </c>
      <c r="C399" s="2">
        <v>-102.7535477</v>
      </c>
      <c r="D399" s="24">
        <f t="shared" si="1"/>
        <v>678260.8696</v>
      </c>
      <c r="E399" s="25">
        <f t="shared" si="2"/>
        <v>-144.1724927</v>
      </c>
      <c r="F399" s="24">
        <f t="shared" si="3"/>
        <v>0.0002125620085</v>
      </c>
      <c r="G399" s="24">
        <f t="shared" si="4"/>
        <v>0</v>
      </c>
      <c r="H399" s="26">
        <f t="shared" si="5"/>
        <v>0</v>
      </c>
      <c r="I399" s="24">
        <f t="shared" si="6"/>
        <v>0</v>
      </c>
      <c r="J399" s="24">
        <f t="shared" si="7"/>
        <v>0</v>
      </c>
      <c r="K399" s="24"/>
      <c r="L399" s="24">
        <f t="shared" si="8"/>
        <v>403.4144009</v>
      </c>
      <c r="M399" s="14">
        <f t="shared" si="9"/>
        <v>400.4394954</v>
      </c>
      <c r="N399" s="27">
        <f t="shared" si="10"/>
        <v>2.974905528</v>
      </c>
      <c r="O399" s="24"/>
      <c r="P399" s="24"/>
      <c r="Q399" s="24"/>
      <c r="R399" s="26"/>
      <c r="S399" s="14">
        <f t="shared" si="13"/>
        <v>2.731844235</v>
      </c>
    </row>
    <row r="400">
      <c r="A400" s="11">
        <v>388.0</v>
      </c>
      <c r="B400" s="11">
        <v>1.42108260869565E9</v>
      </c>
      <c r="C400" s="2">
        <v>-102.745079</v>
      </c>
      <c r="D400" s="24">
        <f t="shared" si="1"/>
        <v>682608.6957</v>
      </c>
      <c r="E400" s="25">
        <f t="shared" si="2"/>
        <v>-145.0907889</v>
      </c>
      <c r="F400" s="24">
        <f t="shared" si="3"/>
        <v>0.000212553385</v>
      </c>
      <c r="G400" s="24">
        <f t="shared" si="4"/>
        <v>0</v>
      </c>
      <c r="H400" s="26">
        <f t="shared" si="5"/>
        <v>0</v>
      </c>
      <c r="I400" s="24">
        <f t="shared" si="6"/>
        <v>0</v>
      </c>
      <c r="J400" s="24">
        <f t="shared" si="7"/>
        <v>0</v>
      </c>
      <c r="K400" s="24"/>
      <c r="L400" s="24">
        <f t="shared" si="8"/>
        <v>404.2018225</v>
      </c>
      <c r="M400" s="14">
        <f t="shared" si="9"/>
        <v>400.358142</v>
      </c>
      <c r="N400" s="27">
        <f t="shared" si="10"/>
        <v>3.843680538</v>
      </c>
      <c r="O400" s="24"/>
      <c r="P400" s="24"/>
      <c r="Q400" s="24"/>
      <c r="R400" s="26"/>
      <c r="S400" s="14">
        <f t="shared" si="13"/>
        <v>3.529636974</v>
      </c>
    </row>
    <row r="401">
      <c r="A401" s="11">
        <v>389.0</v>
      </c>
      <c r="B401" s="11">
        <v>1.42108695652173E9</v>
      </c>
      <c r="C401" s="2">
        <v>-102.7535019</v>
      </c>
      <c r="D401" s="24">
        <f t="shared" si="1"/>
        <v>686956.5217</v>
      </c>
      <c r="E401" s="25">
        <f t="shared" si="2"/>
        <v>-146.009085</v>
      </c>
      <c r="F401" s="24">
        <f t="shared" si="3"/>
        <v>0.0002125448706</v>
      </c>
      <c r="G401" s="24">
        <f t="shared" si="4"/>
        <v>0</v>
      </c>
      <c r="H401" s="26">
        <f t="shared" si="5"/>
        <v>0</v>
      </c>
      <c r="I401" s="24">
        <f t="shared" si="6"/>
        <v>0</v>
      </c>
      <c r="J401" s="24">
        <f t="shared" si="7"/>
        <v>0</v>
      </c>
      <c r="K401" s="24"/>
      <c r="L401" s="24">
        <f t="shared" si="8"/>
        <v>403.4186553</v>
      </c>
      <c r="M401" s="14">
        <f t="shared" si="9"/>
        <v>400.276649</v>
      </c>
      <c r="N401" s="27">
        <f t="shared" si="10"/>
        <v>3.142006221</v>
      </c>
      <c r="O401" s="24"/>
      <c r="P401" s="24"/>
      <c r="Q401" s="24"/>
      <c r="R401" s="26"/>
      <c r="S401" s="14">
        <f t="shared" si="13"/>
        <v>2.885292162</v>
      </c>
    </row>
    <row r="402">
      <c r="A402" s="11">
        <v>390.0</v>
      </c>
      <c r="B402" s="11">
        <v>1.42109130434782E9</v>
      </c>
      <c r="C402" s="2">
        <v>-102.8377304</v>
      </c>
      <c r="D402" s="24">
        <f t="shared" si="1"/>
        <v>691304.3478</v>
      </c>
      <c r="E402" s="25">
        <f t="shared" si="2"/>
        <v>-146.9273811</v>
      </c>
      <c r="F402" s="24">
        <f t="shared" si="3"/>
        <v>0.0002125364633</v>
      </c>
      <c r="G402" s="24">
        <f t="shared" si="4"/>
        <v>0</v>
      </c>
      <c r="H402" s="26">
        <f t="shared" si="5"/>
        <v>0</v>
      </c>
      <c r="I402" s="24">
        <f t="shared" si="6"/>
        <v>0</v>
      </c>
      <c r="J402" s="24">
        <f t="shared" si="7"/>
        <v>0</v>
      </c>
      <c r="K402" s="24"/>
      <c r="L402" s="24">
        <f t="shared" si="8"/>
        <v>395.670004</v>
      </c>
      <c r="M402" s="14">
        <f t="shared" si="9"/>
        <v>400.1950153</v>
      </c>
      <c r="N402" s="27">
        <f t="shared" si="10"/>
        <v>-4.525011322</v>
      </c>
      <c r="O402" s="24"/>
      <c r="P402" s="24"/>
      <c r="Q402" s="24"/>
      <c r="R402" s="26"/>
      <c r="S402" s="14">
        <f t="shared" si="13"/>
        <v>-4.155300397</v>
      </c>
    </row>
    <row r="403">
      <c r="A403" s="11">
        <v>391.0</v>
      </c>
      <c r="B403" s="11">
        <v>1.42109565217391E9</v>
      </c>
      <c r="C403" s="2">
        <v>-102.7659683</v>
      </c>
      <c r="D403" s="24">
        <f t="shared" si="1"/>
        <v>695652.1739</v>
      </c>
      <c r="E403" s="25">
        <f t="shared" si="2"/>
        <v>-147.8456773</v>
      </c>
      <c r="F403" s="24">
        <f t="shared" si="3"/>
        <v>0.0002125281611</v>
      </c>
      <c r="G403" s="24">
        <f t="shared" si="4"/>
        <v>0</v>
      </c>
      <c r="H403" s="26">
        <f t="shared" si="5"/>
        <v>0</v>
      </c>
      <c r="I403" s="24">
        <f t="shared" si="6"/>
        <v>0</v>
      </c>
      <c r="J403" s="24">
        <f t="shared" si="7"/>
        <v>0</v>
      </c>
      <c r="K403" s="24"/>
      <c r="L403" s="24">
        <f t="shared" si="8"/>
        <v>402.2623046</v>
      </c>
      <c r="M403" s="14">
        <f t="shared" si="9"/>
        <v>400.1132397</v>
      </c>
      <c r="N403" s="27">
        <f t="shared" si="10"/>
        <v>2.149064904</v>
      </c>
      <c r="O403" s="24"/>
      <c r="P403" s="24"/>
      <c r="Q403" s="24"/>
      <c r="R403" s="26"/>
      <c r="S403" s="14">
        <f t="shared" si="13"/>
        <v>1.973477986</v>
      </c>
    </row>
    <row r="404">
      <c r="A404" s="11">
        <v>392.0</v>
      </c>
      <c r="B404" s="11">
        <v>1.4211E9</v>
      </c>
      <c r="C404" s="2">
        <v>-102.7593842</v>
      </c>
      <c r="D404" s="24">
        <f t="shared" si="1"/>
        <v>700000</v>
      </c>
      <c r="E404" s="25">
        <f t="shared" si="2"/>
        <v>-148.7639734</v>
      </c>
      <c r="F404" s="24">
        <f t="shared" si="3"/>
        <v>0.000212519962</v>
      </c>
      <c r="G404" s="24">
        <f t="shared" si="4"/>
        <v>0</v>
      </c>
      <c r="H404" s="26">
        <f t="shared" si="5"/>
        <v>0</v>
      </c>
      <c r="I404" s="24">
        <f t="shared" si="6"/>
        <v>0</v>
      </c>
      <c r="J404" s="24">
        <f t="shared" si="7"/>
        <v>0</v>
      </c>
      <c r="K404" s="24"/>
      <c r="L404" s="24">
        <f t="shared" si="8"/>
        <v>402.8726149</v>
      </c>
      <c r="M404" s="14">
        <f t="shared" si="9"/>
        <v>400.0313209</v>
      </c>
      <c r="N404" s="27">
        <f t="shared" si="10"/>
        <v>2.841293984</v>
      </c>
      <c r="O404" s="24"/>
      <c r="P404" s="24"/>
      <c r="Q404" s="24"/>
      <c r="R404" s="26"/>
      <c r="S404" s="14">
        <f t="shared" si="13"/>
        <v>2.609149277</v>
      </c>
    </row>
    <row r="405">
      <c r="A405" s="11">
        <v>393.0</v>
      </c>
      <c r="B405" s="11">
        <v>1.42110434782608E9</v>
      </c>
      <c r="C405" s="2">
        <v>-102.7441177</v>
      </c>
      <c r="D405" s="24">
        <f t="shared" si="1"/>
        <v>704347.8261</v>
      </c>
      <c r="E405" s="25">
        <f t="shared" si="2"/>
        <v>-149.6822695</v>
      </c>
      <c r="F405" s="24">
        <f t="shared" si="3"/>
        <v>0.0002125118642</v>
      </c>
      <c r="G405" s="24">
        <f t="shared" si="4"/>
        <v>0</v>
      </c>
      <c r="H405" s="26">
        <f t="shared" si="5"/>
        <v>0</v>
      </c>
      <c r="I405" s="24">
        <f t="shared" si="6"/>
        <v>0</v>
      </c>
      <c r="J405" s="24">
        <f t="shared" si="7"/>
        <v>0</v>
      </c>
      <c r="K405" s="24"/>
      <c r="L405" s="24">
        <f t="shared" si="8"/>
        <v>404.2913015</v>
      </c>
      <c r="M405" s="14">
        <f t="shared" si="9"/>
        <v>399.9492578</v>
      </c>
      <c r="N405" s="27">
        <f t="shared" si="10"/>
        <v>4.342043718</v>
      </c>
      <c r="O405" s="24"/>
      <c r="P405" s="24"/>
      <c r="Q405" s="24"/>
      <c r="R405" s="26"/>
      <c r="S405" s="14">
        <f t="shared" si="13"/>
        <v>3.987281955</v>
      </c>
    </row>
    <row r="406">
      <c r="A406" s="11">
        <v>394.0</v>
      </c>
      <c r="B406" s="11">
        <v>1.42110869565217E9</v>
      </c>
      <c r="C406" s="2">
        <v>-102.77771</v>
      </c>
      <c r="D406" s="24">
        <f t="shared" si="1"/>
        <v>708695.6522</v>
      </c>
      <c r="E406" s="25">
        <f t="shared" si="2"/>
        <v>-150.6005657</v>
      </c>
      <c r="F406" s="24">
        <f t="shared" si="3"/>
        <v>0.0002125038657</v>
      </c>
      <c r="G406" s="24">
        <f t="shared" si="4"/>
        <v>0</v>
      </c>
      <c r="H406" s="26">
        <f t="shared" si="5"/>
        <v>0</v>
      </c>
      <c r="I406" s="24">
        <f t="shared" si="6"/>
        <v>0</v>
      </c>
      <c r="J406" s="24">
        <f t="shared" si="7"/>
        <v>0</v>
      </c>
      <c r="K406" s="24"/>
      <c r="L406" s="24">
        <f t="shared" si="8"/>
        <v>401.1762065</v>
      </c>
      <c r="M406" s="14">
        <f t="shared" si="9"/>
        <v>399.8670491</v>
      </c>
      <c r="N406" s="27">
        <f t="shared" si="10"/>
        <v>1.309157403</v>
      </c>
      <c r="O406" s="24"/>
      <c r="P406" s="24"/>
      <c r="Q406" s="24"/>
      <c r="R406" s="26"/>
      <c r="S406" s="14">
        <f t="shared" si="13"/>
        <v>1.202194178</v>
      </c>
    </row>
    <row r="407">
      <c r="A407" s="11">
        <v>395.0</v>
      </c>
      <c r="B407" s="11">
        <v>1.42111304347826E9</v>
      </c>
      <c r="C407" s="2">
        <v>-102.8183517</v>
      </c>
      <c r="D407" s="24">
        <f t="shared" si="1"/>
        <v>713043.4783</v>
      </c>
      <c r="E407" s="25">
        <f t="shared" si="2"/>
        <v>-151.5188618</v>
      </c>
      <c r="F407" s="24">
        <f t="shared" si="3"/>
        <v>0.0002124959647</v>
      </c>
      <c r="G407" s="24">
        <f t="shared" si="4"/>
        <v>0</v>
      </c>
      <c r="H407" s="26">
        <f t="shared" si="5"/>
        <v>0</v>
      </c>
      <c r="I407" s="24">
        <f t="shared" si="6"/>
        <v>0</v>
      </c>
      <c r="J407" s="24">
        <f t="shared" si="7"/>
        <v>0</v>
      </c>
      <c r="K407" s="24"/>
      <c r="L407" s="24">
        <f t="shared" si="8"/>
        <v>397.4394722</v>
      </c>
      <c r="M407" s="14">
        <f t="shared" si="9"/>
        <v>399.7846937</v>
      </c>
      <c r="N407" s="27">
        <f t="shared" si="10"/>
        <v>-2.345221518</v>
      </c>
      <c r="O407" s="24"/>
      <c r="P407" s="24"/>
      <c r="Q407" s="24"/>
      <c r="R407" s="26"/>
      <c r="S407" s="14">
        <f t="shared" si="13"/>
        <v>-2.153607851</v>
      </c>
    </row>
    <row r="408">
      <c r="A408" s="11">
        <v>396.0</v>
      </c>
      <c r="B408" s="11">
        <v>1.42111739130434E9</v>
      </c>
      <c r="C408" s="2">
        <v>-102.727951</v>
      </c>
      <c r="D408" s="24">
        <f t="shared" si="1"/>
        <v>717391.3043</v>
      </c>
      <c r="E408" s="25">
        <f t="shared" si="2"/>
        <v>-152.4371579</v>
      </c>
      <c r="F408" s="24">
        <f t="shared" si="3"/>
        <v>0.0002124881595</v>
      </c>
      <c r="G408" s="24">
        <f t="shared" si="4"/>
        <v>0</v>
      </c>
      <c r="H408" s="26">
        <f t="shared" si="5"/>
        <v>0</v>
      </c>
      <c r="I408" s="24">
        <f t="shared" si="6"/>
        <v>0</v>
      </c>
      <c r="J408" s="24">
        <f t="shared" si="7"/>
        <v>0</v>
      </c>
      <c r="K408" s="24"/>
      <c r="L408" s="24">
        <f t="shared" si="8"/>
        <v>405.7990887</v>
      </c>
      <c r="M408" s="14">
        <f t="shared" si="9"/>
        <v>399.7021903</v>
      </c>
      <c r="N408" s="27">
        <f t="shared" si="10"/>
        <v>6.096898326</v>
      </c>
      <c r="O408" s="24"/>
      <c r="P408" s="24"/>
      <c r="Q408" s="24"/>
      <c r="R408" s="26"/>
      <c r="S408" s="14">
        <f t="shared" si="13"/>
        <v>5.598758155</v>
      </c>
    </row>
    <row r="409">
      <c r="A409" s="11">
        <v>397.0</v>
      </c>
      <c r="B409" s="11">
        <v>1.42112173913043E9</v>
      </c>
      <c r="C409" s="2">
        <v>-102.7519608</v>
      </c>
      <c r="D409" s="24">
        <f t="shared" si="1"/>
        <v>721739.1304</v>
      </c>
      <c r="E409" s="25">
        <f t="shared" si="2"/>
        <v>-153.3554541</v>
      </c>
      <c r="F409" s="24">
        <f t="shared" si="3"/>
        <v>0.0002124804484</v>
      </c>
      <c r="G409" s="24">
        <f t="shared" si="4"/>
        <v>0</v>
      </c>
      <c r="H409" s="26">
        <f t="shared" si="5"/>
        <v>0</v>
      </c>
      <c r="I409" s="24">
        <f t="shared" si="6"/>
        <v>0</v>
      </c>
      <c r="J409" s="24">
        <f t="shared" si="7"/>
        <v>0</v>
      </c>
      <c r="K409" s="24"/>
      <c r="L409" s="24">
        <f t="shared" si="8"/>
        <v>403.5618343</v>
      </c>
      <c r="M409" s="14">
        <f t="shared" si="9"/>
        <v>399.6195379</v>
      </c>
      <c r="N409" s="27">
        <f t="shared" si="10"/>
        <v>3.942296434</v>
      </c>
      <c r="O409" s="24"/>
      <c r="P409" s="24"/>
      <c r="Q409" s="24"/>
      <c r="R409" s="26"/>
      <c r="S409" s="14">
        <f t="shared" si="13"/>
        <v>3.620195561</v>
      </c>
    </row>
    <row r="410">
      <c r="A410" s="11">
        <v>398.0</v>
      </c>
      <c r="B410" s="11">
        <v>1.42112608695652E9</v>
      </c>
      <c r="C410" s="2">
        <v>-102.7795868</v>
      </c>
      <c r="D410" s="24">
        <f t="shared" si="1"/>
        <v>726086.9565</v>
      </c>
      <c r="E410" s="25">
        <f t="shared" si="2"/>
        <v>-154.2737502</v>
      </c>
      <c r="F410" s="24">
        <f t="shared" si="3"/>
        <v>0.0002124728296</v>
      </c>
      <c r="G410" s="24">
        <f t="shared" si="4"/>
        <v>0</v>
      </c>
      <c r="H410" s="26">
        <f t="shared" si="5"/>
        <v>0</v>
      </c>
      <c r="I410" s="24">
        <f t="shared" si="6"/>
        <v>0</v>
      </c>
      <c r="J410" s="24">
        <f t="shared" si="7"/>
        <v>0</v>
      </c>
      <c r="K410" s="24"/>
      <c r="L410" s="24">
        <f t="shared" si="8"/>
        <v>401.002876</v>
      </c>
      <c r="M410" s="14">
        <f t="shared" si="9"/>
        <v>399.5367351</v>
      </c>
      <c r="N410" s="27">
        <f t="shared" si="10"/>
        <v>1.466140875</v>
      </c>
      <c r="O410" s="24"/>
      <c r="P410" s="24"/>
      <c r="Q410" s="24"/>
      <c r="R410" s="26"/>
      <c r="S410" s="14">
        <f t="shared" si="13"/>
        <v>1.346351495</v>
      </c>
    </row>
    <row r="411">
      <c r="A411" s="11">
        <v>399.0</v>
      </c>
      <c r="B411" s="11">
        <v>1.4211304347826E9</v>
      </c>
      <c r="C411" s="2">
        <v>-102.7906799</v>
      </c>
      <c r="D411" s="24">
        <f t="shared" si="1"/>
        <v>730434.7826</v>
      </c>
      <c r="E411" s="25">
        <f t="shared" si="2"/>
        <v>-155.1920463</v>
      </c>
      <c r="F411" s="24">
        <f t="shared" si="3"/>
        <v>0.0002124653015</v>
      </c>
      <c r="G411" s="24">
        <f t="shared" si="4"/>
        <v>0</v>
      </c>
      <c r="H411" s="26">
        <f t="shared" si="5"/>
        <v>0</v>
      </c>
      <c r="I411" s="24">
        <f t="shared" si="6"/>
        <v>0</v>
      </c>
      <c r="J411" s="24">
        <f t="shared" si="7"/>
        <v>0</v>
      </c>
      <c r="K411" s="24"/>
      <c r="L411" s="24">
        <f t="shared" si="8"/>
        <v>399.9799091</v>
      </c>
      <c r="M411" s="14">
        <f t="shared" si="9"/>
        <v>399.4537808</v>
      </c>
      <c r="N411" s="27">
        <f t="shared" si="10"/>
        <v>0.5261283075</v>
      </c>
      <c r="O411" s="24"/>
      <c r="P411" s="24"/>
      <c r="Q411" s="24"/>
      <c r="R411" s="26"/>
      <c r="S411" s="14">
        <f t="shared" si="13"/>
        <v>0.4831415901</v>
      </c>
    </row>
    <row r="412">
      <c r="A412" s="11">
        <v>400.0</v>
      </c>
      <c r="B412" s="11">
        <v>1.42113478260869E9</v>
      </c>
      <c r="C412" s="2">
        <v>-102.7472458</v>
      </c>
      <c r="D412" s="24">
        <f t="shared" si="1"/>
        <v>734782.6087</v>
      </c>
      <c r="E412" s="25">
        <f t="shared" si="2"/>
        <v>-156.1103425</v>
      </c>
      <c r="F412" s="24">
        <f t="shared" si="3"/>
        <v>0.0002124578625</v>
      </c>
      <c r="G412" s="24">
        <f t="shared" si="4"/>
        <v>0</v>
      </c>
      <c r="H412" s="26">
        <f t="shared" si="5"/>
        <v>0</v>
      </c>
      <c r="I412" s="24">
        <f t="shared" si="6"/>
        <v>0</v>
      </c>
      <c r="J412" s="24">
        <f t="shared" si="7"/>
        <v>0</v>
      </c>
      <c r="K412" s="24"/>
      <c r="L412" s="24">
        <f t="shared" si="8"/>
        <v>404.0002068</v>
      </c>
      <c r="M412" s="14">
        <f t="shared" si="9"/>
        <v>399.3706738</v>
      </c>
      <c r="N412" s="27">
        <f t="shared" si="10"/>
        <v>4.629532969</v>
      </c>
      <c r="O412" s="24"/>
      <c r="P412" s="24"/>
      <c r="Q412" s="24"/>
      <c r="R412" s="26"/>
      <c r="S412" s="14">
        <f t="shared" si="13"/>
        <v>4.251282222</v>
      </c>
    </row>
    <row r="413">
      <c r="A413" s="11">
        <v>401.0</v>
      </c>
      <c r="B413" s="11">
        <v>1.42113913043478E9</v>
      </c>
      <c r="C413" s="2">
        <v>-102.7496796</v>
      </c>
      <c r="D413" s="24">
        <f t="shared" si="1"/>
        <v>739130.4348</v>
      </c>
      <c r="E413" s="25">
        <f t="shared" si="2"/>
        <v>-157.0286386</v>
      </c>
      <c r="F413" s="24">
        <f t="shared" si="3"/>
        <v>0.000212450511</v>
      </c>
      <c r="G413" s="24">
        <f t="shared" si="4"/>
        <v>0</v>
      </c>
      <c r="H413" s="26">
        <f t="shared" si="5"/>
        <v>0</v>
      </c>
      <c r="I413" s="24">
        <f t="shared" si="6"/>
        <v>0</v>
      </c>
      <c r="J413" s="24">
        <f t="shared" si="7"/>
        <v>0</v>
      </c>
      <c r="K413" s="24"/>
      <c r="L413" s="24">
        <f t="shared" si="8"/>
        <v>403.7738672</v>
      </c>
      <c r="M413" s="14">
        <f t="shared" si="9"/>
        <v>399.2874129</v>
      </c>
      <c r="N413" s="27">
        <f t="shared" si="10"/>
        <v>4.486454324</v>
      </c>
      <c r="O413" s="24"/>
      <c r="P413" s="24"/>
      <c r="Q413" s="24"/>
      <c r="R413" s="26"/>
      <c r="S413" s="14">
        <f t="shared" si="13"/>
        <v>4.119893646</v>
      </c>
    </row>
    <row r="414">
      <c r="A414" s="11">
        <v>402.0</v>
      </c>
      <c r="B414" s="11">
        <v>1.42114347826087E9</v>
      </c>
      <c r="C414" s="2">
        <v>-102.8146286</v>
      </c>
      <c r="D414" s="24">
        <f t="shared" si="1"/>
        <v>743478.2609</v>
      </c>
      <c r="E414" s="25">
        <f t="shared" si="2"/>
        <v>-157.9469347</v>
      </c>
      <c r="F414" s="24">
        <f t="shared" si="3"/>
        <v>0.0002124432455</v>
      </c>
      <c r="G414" s="24">
        <f t="shared" si="4"/>
        <v>0</v>
      </c>
      <c r="H414" s="26">
        <f t="shared" si="5"/>
        <v>0</v>
      </c>
      <c r="I414" s="24">
        <f t="shared" si="6"/>
        <v>0</v>
      </c>
      <c r="J414" s="24">
        <f t="shared" si="7"/>
        <v>0</v>
      </c>
      <c r="K414" s="24"/>
      <c r="L414" s="24">
        <f t="shared" si="8"/>
        <v>397.7803334</v>
      </c>
      <c r="M414" s="14">
        <f t="shared" si="9"/>
        <v>399.2039968</v>
      </c>
      <c r="N414" s="27">
        <f t="shared" si="10"/>
        <v>-1.423663493</v>
      </c>
      <c r="O414" s="24"/>
      <c r="P414" s="24"/>
      <c r="Q414" s="24"/>
      <c r="R414" s="26"/>
      <c r="S414" s="14">
        <f t="shared" si="13"/>
        <v>-1.30734468</v>
      </c>
    </row>
    <row r="415">
      <c r="A415" s="11">
        <v>403.0</v>
      </c>
      <c r="B415" s="11">
        <v>1.42114782608695E9</v>
      </c>
      <c r="C415" s="2">
        <v>-102.8324966</v>
      </c>
      <c r="D415" s="24">
        <f t="shared" si="1"/>
        <v>747826.087</v>
      </c>
      <c r="E415" s="25">
        <f t="shared" si="2"/>
        <v>-158.8652309</v>
      </c>
      <c r="F415" s="24">
        <f t="shared" si="3"/>
        <v>0.0002124360645</v>
      </c>
      <c r="G415" s="24">
        <f t="shared" si="4"/>
        <v>0</v>
      </c>
      <c r="H415" s="26">
        <f t="shared" si="5"/>
        <v>0</v>
      </c>
      <c r="I415" s="24">
        <f t="shared" si="6"/>
        <v>0</v>
      </c>
      <c r="J415" s="24">
        <f t="shared" si="7"/>
        <v>0</v>
      </c>
      <c r="K415" s="24"/>
      <c r="L415" s="24">
        <f t="shared" si="8"/>
        <v>396.147124</v>
      </c>
      <c r="M415" s="14">
        <f t="shared" si="9"/>
        <v>399.1204245</v>
      </c>
      <c r="N415" s="27">
        <f t="shared" si="10"/>
        <v>-2.973300473</v>
      </c>
      <c r="O415" s="24"/>
      <c r="P415" s="24"/>
      <c r="Q415" s="24"/>
      <c r="R415" s="26"/>
      <c r="S415" s="14">
        <f t="shared" si="13"/>
        <v>-2.730370326</v>
      </c>
    </row>
    <row r="416">
      <c r="A416" s="11">
        <v>404.0</v>
      </c>
      <c r="B416" s="11">
        <v>1.42115217391304E9</v>
      </c>
      <c r="C416" s="2">
        <v>-102.8591614</v>
      </c>
      <c r="D416" s="24">
        <f t="shared" si="1"/>
        <v>752173.913</v>
      </c>
      <c r="E416" s="25">
        <f t="shared" si="2"/>
        <v>-159.783527</v>
      </c>
      <c r="F416" s="24">
        <f t="shared" si="3"/>
        <v>0.0002124289665</v>
      </c>
      <c r="G416" s="24">
        <f t="shared" si="4"/>
        <v>0</v>
      </c>
      <c r="H416" s="26">
        <f t="shared" si="5"/>
        <v>0</v>
      </c>
      <c r="I416" s="24">
        <f t="shared" si="6"/>
        <v>0</v>
      </c>
      <c r="J416" s="24">
        <f t="shared" si="7"/>
        <v>0</v>
      </c>
      <c r="K416" s="24"/>
      <c r="L416" s="24">
        <f t="shared" si="8"/>
        <v>393.7223126</v>
      </c>
      <c r="M416" s="14">
        <f t="shared" si="9"/>
        <v>399.0366947</v>
      </c>
      <c r="N416" s="27">
        <f t="shared" si="10"/>
        <v>-5.314382068</v>
      </c>
      <c r="O416" s="24"/>
      <c r="P416" s="24"/>
      <c r="Q416" s="24"/>
      <c r="R416" s="26"/>
      <c r="S416" s="14">
        <f t="shared" si="13"/>
        <v>-4.88017649</v>
      </c>
    </row>
    <row r="417">
      <c r="A417" s="11">
        <v>405.0</v>
      </c>
      <c r="B417" s="11">
        <v>1.42115652173913E9</v>
      </c>
      <c r="C417" s="2">
        <v>-102.8399506</v>
      </c>
      <c r="D417" s="3">
        <f t="shared" si="1"/>
        <v>756521.7391</v>
      </c>
      <c r="E417" s="4">
        <f t="shared" si="2"/>
        <v>-160.7018231</v>
      </c>
      <c r="F417" s="3">
        <f t="shared" si="3"/>
        <v>0.0002124219501</v>
      </c>
      <c r="G417" s="3">
        <f t="shared" si="4"/>
        <v>0</v>
      </c>
      <c r="H417" s="2">
        <f t="shared" si="5"/>
        <v>0</v>
      </c>
      <c r="I417" s="3">
        <f t="shared" si="6"/>
        <v>0</v>
      </c>
      <c r="J417" s="3">
        <f t="shared" si="7"/>
        <v>0</v>
      </c>
      <c r="K417" s="3"/>
      <c r="L417" s="3">
        <f t="shared" si="8"/>
        <v>395.4677813</v>
      </c>
      <c r="M417" s="14">
        <f t="shared" si="9"/>
        <v>398.9528062</v>
      </c>
      <c r="N417" s="14">
        <f t="shared" si="10"/>
        <v>-3.485024869</v>
      </c>
      <c r="O417" s="3"/>
      <c r="P417" s="3"/>
      <c r="Q417" s="3"/>
      <c r="R417" s="2"/>
      <c r="S417" s="14">
        <f t="shared" si="13"/>
        <v>-3.20028486</v>
      </c>
    </row>
    <row r="418">
      <c r="A418" s="11">
        <v>406.0</v>
      </c>
      <c r="B418" s="11">
        <v>1.42116086956521E9</v>
      </c>
      <c r="C418" s="2">
        <v>-102.7902985</v>
      </c>
      <c r="D418" s="3">
        <f t="shared" si="1"/>
        <v>760869.5652</v>
      </c>
      <c r="E418" s="4">
        <f t="shared" si="2"/>
        <v>-161.6201193</v>
      </c>
      <c r="F418" s="3">
        <f t="shared" si="3"/>
        <v>0.0002124150139</v>
      </c>
      <c r="G418" s="3">
        <f t="shared" si="4"/>
        <v>0</v>
      </c>
      <c r="H418" s="2">
        <f t="shared" si="5"/>
        <v>0</v>
      </c>
      <c r="I418" s="3">
        <f t="shared" si="6"/>
        <v>0</v>
      </c>
      <c r="J418" s="3">
        <f t="shared" si="7"/>
        <v>0</v>
      </c>
      <c r="K418" s="3"/>
      <c r="L418" s="3">
        <f t="shared" si="8"/>
        <v>400.0150371</v>
      </c>
      <c r="M418" s="14">
        <f t="shared" si="9"/>
        <v>398.8687578</v>
      </c>
      <c r="N418" s="14">
        <f t="shared" si="10"/>
        <v>1.14627936</v>
      </c>
      <c r="O418" s="3"/>
      <c r="P418" s="3"/>
      <c r="Q418" s="3"/>
      <c r="R418" s="2"/>
      <c r="S418" s="14">
        <f t="shared" si="13"/>
        <v>1.052623903</v>
      </c>
    </row>
    <row r="419">
      <c r="A419" s="11">
        <v>407.0</v>
      </c>
      <c r="B419" s="11">
        <v>1.4211652173913E9</v>
      </c>
      <c r="C419" s="2">
        <v>-102.8084869</v>
      </c>
      <c r="D419" s="3">
        <f t="shared" si="1"/>
        <v>765217.3913</v>
      </c>
      <c r="E419" s="4">
        <f t="shared" si="2"/>
        <v>-162.5384154</v>
      </c>
      <c r="F419" s="3">
        <f t="shared" si="3"/>
        <v>0.0002124081565</v>
      </c>
      <c r="G419" s="3">
        <f t="shared" si="4"/>
        <v>0</v>
      </c>
      <c r="H419" s="2">
        <f t="shared" si="5"/>
        <v>0</v>
      </c>
      <c r="I419" s="3">
        <f t="shared" si="6"/>
        <v>0</v>
      </c>
      <c r="J419" s="3">
        <f t="shared" si="7"/>
        <v>0</v>
      </c>
      <c r="K419" s="3"/>
      <c r="L419" s="3">
        <f t="shared" si="8"/>
        <v>398.3432638</v>
      </c>
      <c r="M419" s="14">
        <f t="shared" si="9"/>
        <v>398.7845483</v>
      </c>
      <c r="N419" s="14">
        <f t="shared" si="10"/>
        <v>-0.4412845081</v>
      </c>
      <c r="O419" s="3"/>
      <c r="P419" s="3"/>
      <c r="Q419" s="3"/>
      <c r="R419" s="2"/>
      <c r="S419" s="14">
        <f t="shared" si="13"/>
        <v>-0.4052298563</v>
      </c>
    </row>
    <row r="420">
      <c r="A420" s="11">
        <v>408.0</v>
      </c>
      <c r="B420" s="11">
        <v>1.42116956521739E9</v>
      </c>
      <c r="C420" s="2">
        <v>-102.8061752</v>
      </c>
      <c r="D420" s="3">
        <f t="shared" si="1"/>
        <v>769565.2174</v>
      </c>
      <c r="E420" s="4">
        <f t="shared" si="2"/>
        <v>-163.4567115</v>
      </c>
      <c r="F420" s="3">
        <f t="shared" si="3"/>
        <v>0.0002124013765</v>
      </c>
      <c r="G420" s="3">
        <f t="shared" si="4"/>
        <v>0</v>
      </c>
      <c r="H420" s="2">
        <f t="shared" si="5"/>
        <v>0</v>
      </c>
      <c r="I420" s="3">
        <f t="shared" si="6"/>
        <v>0</v>
      </c>
      <c r="J420" s="3">
        <f t="shared" si="7"/>
        <v>0</v>
      </c>
      <c r="K420" s="3"/>
      <c r="L420" s="3">
        <f t="shared" si="8"/>
        <v>398.5553538</v>
      </c>
      <c r="M420" s="14">
        <f t="shared" si="9"/>
        <v>398.7001765</v>
      </c>
      <c r="N420" s="14">
        <f t="shared" si="10"/>
        <v>-0.1448227181</v>
      </c>
      <c r="O420" s="3"/>
      <c r="P420" s="3"/>
      <c r="Q420" s="3"/>
      <c r="R420" s="2"/>
      <c r="S420" s="14">
        <f t="shared" si="13"/>
        <v>-0.132990142</v>
      </c>
    </row>
    <row r="421">
      <c r="A421" s="11">
        <v>409.0</v>
      </c>
      <c r="B421" s="11">
        <v>1.42117391304347E9</v>
      </c>
      <c r="C421" s="2">
        <v>-102.8211136</v>
      </c>
      <c r="D421" s="3">
        <f t="shared" si="1"/>
        <v>773913.0435</v>
      </c>
      <c r="E421" s="4">
        <f t="shared" si="2"/>
        <v>-164.3750077</v>
      </c>
      <c r="F421" s="3">
        <f t="shared" si="3"/>
        <v>0.0002123946728</v>
      </c>
      <c r="G421" s="3">
        <f t="shared" si="4"/>
        <v>0</v>
      </c>
      <c r="H421" s="2">
        <f t="shared" si="5"/>
        <v>0</v>
      </c>
      <c r="I421" s="3">
        <f t="shared" si="6"/>
        <v>0</v>
      </c>
      <c r="J421" s="3">
        <f t="shared" si="7"/>
        <v>0</v>
      </c>
      <c r="K421" s="3"/>
      <c r="L421" s="3">
        <f t="shared" si="8"/>
        <v>397.1868005</v>
      </c>
      <c r="M421" s="14">
        <f t="shared" si="9"/>
        <v>398.6156413</v>
      </c>
      <c r="N421" s="14">
        <f t="shared" si="10"/>
        <v>-1.428840764</v>
      </c>
      <c r="O421" s="3"/>
      <c r="P421" s="3"/>
      <c r="Q421" s="3"/>
      <c r="R421" s="2"/>
      <c r="S421" s="14">
        <f t="shared" si="13"/>
        <v>-1.312098948</v>
      </c>
    </row>
    <row r="422">
      <c r="A422" s="11">
        <v>410.0</v>
      </c>
      <c r="B422" s="11">
        <v>1.42117826086956E9</v>
      </c>
      <c r="C422" s="2">
        <v>-102.7911835</v>
      </c>
      <c r="D422" s="3">
        <f t="shared" si="1"/>
        <v>778260.8696</v>
      </c>
      <c r="E422" s="4">
        <f t="shared" si="2"/>
        <v>-165.2933038</v>
      </c>
      <c r="F422" s="3">
        <f t="shared" si="3"/>
        <v>0.000212388044</v>
      </c>
      <c r="G422" s="3">
        <f t="shared" si="4"/>
        <v>0</v>
      </c>
      <c r="H422" s="2">
        <f t="shared" si="5"/>
        <v>0</v>
      </c>
      <c r="I422" s="3">
        <f t="shared" si="6"/>
        <v>0</v>
      </c>
      <c r="J422" s="3">
        <f t="shared" si="7"/>
        <v>0</v>
      </c>
      <c r="K422" s="3"/>
      <c r="L422" s="3">
        <f t="shared" si="8"/>
        <v>399.9335309</v>
      </c>
      <c r="M422" s="14">
        <f t="shared" si="9"/>
        <v>398.5309413</v>
      </c>
      <c r="N422" s="14">
        <f t="shared" si="10"/>
        <v>1.402589521</v>
      </c>
      <c r="O422" s="3"/>
      <c r="P422" s="3"/>
      <c r="Q422" s="3"/>
      <c r="R422" s="2"/>
      <c r="S422" s="14">
        <f t="shared" si="13"/>
        <v>1.28799253</v>
      </c>
    </row>
    <row r="423">
      <c r="A423" s="11">
        <v>411.0</v>
      </c>
      <c r="B423" s="11">
        <v>1.42118260869565E9</v>
      </c>
      <c r="C423" s="2">
        <v>-102.8074188</v>
      </c>
      <c r="D423" s="3">
        <f t="shared" si="1"/>
        <v>782608.6957</v>
      </c>
      <c r="E423" s="4">
        <f t="shared" si="2"/>
        <v>-166.2115999</v>
      </c>
      <c r="F423" s="3">
        <f t="shared" si="3"/>
        <v>0.0002123814888</v>
      </c>
      <c r="G423" s="3">
        <f t="shared" si="4"/>
        <v>0</v>
      </c>
      <c r="H423" s="2">
        <f t="shared" si="5"/>
        <v>0</v>
      </c>
      <c r="I423" s="3">
        <f t="shared" si="6"/>
        <v>0</v>
      </c>
      <c r="J423" s="3">
        <f t="shared" si="7"/>
        <v>0</v>
      </c>
      <c r="K423" s="3"/>
      <c r="L423" s="3">
        <f t="shared" si="8"/>
        <v>398.441244</v>
      </c>
      <c r="M423" s="14">
        <f t="shared" si="9"/>
        <v>398.4460755</v>
      </c>
      <c r="N423" s="14">
        <f t="shared" si="10"/>
        <v>-0.004831539178</v>
      </c>
      <c r="O423" s="3"/>
      <c r="P423" s="3"/>
      <c r="Q423" s="3"/>
      <c r="R423" s="2"/>
      <c r="S423" s="14">
        <f t="shared" si="13"/>
        <v>-0.004436783742</v>
      </c>
    </row>
    <row r="424">
      <c r="A424" s="11">
        <v>412.0</v>
      </c>
      <c r="B424" s="11">
        <v>1.42118695652173E9</v>
      </c>
      <c r="C424" s="2">
        <v>-102.834259</v>
      </c>
      <c r="D424" s="3">
        <f t="shared" si="1"/>
        <v>786956.5217</v>
      </c>
      <c r="E424" s="4">
        <f t="shared" si="2"/>
        <v>-167.129896</v>
      </c>
      <c r="F424" s="3">
        <f t="shared" si="3"/>
        <v>0.000212375006</v>
      </c>
      <c r="G424" s="3">
        <f t="shared" si="4"/>
        <v>0</v>
      </c>
      <c r="H424" s="2">
        <f t="shared" si="5"/>
        <v>0</v>
      </c>
      <c r="I424" s="3">
        <f t="shared" si="6"/>
        <v>0</v>
      </c>
      <c r="J424" s="3">
        <f t="shared" si="7"/>
        <v>0</v>
      </c>
      <c r="K424" s="3"/>
      <c r="L424" s="3">
        <f t="shared" si="8"/>
        <v>395.9863972</v>
      </c>
      <c r="M424" s="14">
        <f t="shared" si="9"/>
        <v>398.3610427</v>
      </c>
      <c r="N424" s="14">
        <f t="shared" si="10"/>
        <v>-2.374645545</v>
      </c>
      <c r="O424" s="3"/>
      <c r="P424" s="3"/>
      <c r="Q424" s="3"/>
      <c r="R424" s="2"/>
      <c r="S424" s="14">
        <f t="shared" si="13"/>
        <v>-2.180627821</v>
      </c>
    </row>
    <row r="425">
      <c r="A425" s="11">
        <v>413.0</v>
      </c>
      <c r="B425" s="11">
        <v>1.42119130434782E9</v>
      </c>
      <c r="C425" s="2">
        <v>-102.8406982</v>
      </c>
      <c r="D425" s="3">
        <f t="shared" si="1"/>
        <v>791304.3478</v>
      </c>
      <c r="E425" s="4">
        <f t="shared" si="2"/>
        <v>-168.0481922</v>
      </c>
      <c r="F425" s="3">
        <f t="shared" si="3"/>
        <v>0.0002123685945</v>
      </c>
      <c r="G425" s="3">
        <f t="shared" si="4"/>
        <v>0</v>
      </c>
      <c r="H425" s="2">
        <f t="shared" si="5"/>
        <v>0</v>
      </c>
      <c r="I425" s="3">
        <f t="shared" si="6"/>
        <v>0</v>
      </c>
      <c r="J425" s="3">
        <f t="shared" si="7"/>
        <v>0</v>
      </c>
      <c r="K425" s="3"/>
      <c r="L425" s="3">
        <f t="shared" si="8"/>
        <v>395.3997108</v>
      </c>
      <c r="M425" s="14">
        <f t="shared" si="9"/>
        <v>398.2758416</v>
      </c>
      <c r="N425" s="14">
        <f t="shared" si="10"/>
        <v>-2.876130735</v>
      </c>
      <c r="O425" s="3"/>
      <c r="P425" s="3"/>
      <c r="Q425" s="3"/>
      <c r="R425" s="2"/>
      <c r="S425" s="14">
        <f t="shared" si="13"/>
        <v>-2.641139731</v>
      </c>
    </row>
    <row r="426">
      <c r="A426" s="11">
        <v>414.0</v>
      </c>
      <c r="B426" s="11">
        <v>1.42119565217391E9</v>
      </c>
      <c r="C426" s="2">
        <v>-102.7767181</v>
      </c>
      <c r="D426" s="3">
        <f t="shared" si="1"/>
        <v>795652.1739</v>
      </c>
      <c r="E426" s="4">
        <f t="shared" si="2"/>
        <v>-168.9664883</v>
      </c>
      <c r="F426" s="3">
        <f t="shared" si="3"/>
        <v>0.0002123622531</v>
      </c>
      <c r="G426" s="3">
        <f t="shared" si="4"/>
        <v>0</v>
      </c>
      <c r="H426" s="2">
        <f t="shared" si="5"/>
        <v>0</v>
      </c>
      <c r="I426" s="3">
        <f t="shared" si="6"/>
        <v>0</v>
      </c>
      <c r="J426" s="3">
        <f t="shared" si="7"/>
        <v>0</v>
      </c>
      <c r="K426" s="3"/>
      <c r="L426" s="3">
        <f t="shared" si="8"/>
        <v>401.267843</v>
      </c>
      <c r="M426" s="14">
        <f t="shared" si="9"/>
        <v>398.190471</v>
      </c>
      <c r="N426" s="14">
        <f t="shared" si="10"/>
        <v>3.077371951</v>
      </c>
      <c r="O426" s="3"/>
      <c r="P426" s="3"/>
      <c r="Q426" s="3"/>
      <c r="R426" s="2"/>
      <c r="S426" s="14">
        <f t="shared" si="13"/>
        <v>2.825938755</v>
      </c>
    </row>
    <row r="427">
      <c r="A427" s="11">
        <v>415.0</v>
      </c>
      <c r="B427" s="11">
        <v>1.4212E9</v>
      </c>
      <c r="C427" s="2">
        <v>-102.8145218</v>
      </c>
      <c r="D427" s="3">
        <f t="shared" si="1"/>
        <v>800000</v>
      </c>
      <c r="E427" s="4">
        <f t="shared" si="2"/>
        <v>-169.8847844</v>
      </c>
      <c r="F427" s="3">
        <f t="shared" si="3"/>
        <v>0.0002123559806</v>
      </c>
      <c r="G427" s="3">
        <f t="shared" si="4"/>
        <v>0</v>
      </c>
      <c r="H427" s="2">
        <f t="shared" si="5"/>
        <v>0</v>
      </c>
      <c r="I427" s="3">
        <f t="shared" si="6"/>
        <v>0</v>
      </c>
      <c r="J427" s="3">
        <f t="shared" si="7"/>
        <v>0</v>
      </c>
      <c r="K427" s="3"/>
      <c r="L427" s="3">
        <f t="shared" si="8"/>
        <v>397.7901155</v>
      </c>
      <c r="M427" s="14">
        <f t="shared" si="9"/>
        <v>398.1049298</v>
      </c>
      <c r="N427" s="14">
        <f t="shared" si="10"/>
        <v>-0.3148142519</v>
      </c>
      <c r="O427" s="3"/>
      <c r="P427" s="3"/>
      <c r="Q427" s="3"/>
      <c r="R427" s="2"/>
      <c r="S427" s="14">
        <f t="shared" si="13"/>
        <v>-0.28909271</v>
      </c>
    </row>
    <row r="428">
      <c r="A428" s="11">
        <v>416.0</v>
      </c>
      <c r="B428" s="11">
        <v>1.42120434782608E9</v>
      </c>
      <c r="C428" s="2">
        <v>-102.8258362</v>
      </c>
      <c r="D428" s="3">
        <f t="shared" si="1"/>
        <v>804347.8261</v>
      </c>
      <c r="E428" s="4">
        <f t="shared" si="2"/>
        <v>-170.8030806</v>
      </c>
      <c r="F428" s="3">
        <f t="shared" si="3"/>
        <v>0.0002123497759</v>
      </c>
      <c r="G428" s="3">
        <f t="shared" si="4"/>
        <v>0</v>
      </c>
      <c r="H428" s="2">
        <f t="shared" si="5"/>
        <v>0</v>
      </c>
      <c r="I428" s="3">
        <f t="shared" si="6"/>
        <v>0</v>
      </c>
      <c r="J428" s="3">
        <f t="shared" si="7"/>
        <v>0</v>
      </c>
      <c r="K428" s="3"/>
      <c r="L428" s="3">
        <f t="shared" si="8"/>
        <v>396.7551268</v>
      </c>
      <c r="M428" s="14">
        <f t="shared" si="9"/>
        <v>398.0192167</v>
      </c>
      <c r="N428" s="14">
        <f t="shared" si="10"/>
        <v>-1.264089878</v>
      </c>
      <c r="O428" s="3"/>
      <c r="P428" s="3"/>
      <c r="Q428" s="3"/>
      <c r="R428" s="2"/>
      <c r="S428" s="14">
        <f t="shared" si="13"/>
        <v>-1.160808846</v>
      </c>
    </row>
    <row r="429">
      <c r="A429" s="11">
        <v>417.0</v>
      </c>
      <c r="B429" s="11">
        <v>1.42120869565217E9</v>
      </c>
      <c r="C429" s="2">
        <v>-102.8064651</v>
      </c>
      <c r="D429" s="3">
        <f t="shared" si="1"/>
        <v>808695.6522</v>
      </c>
      <c r="E429" s="4">
        <f t="shared" si="2"/>
        <v>-171.7213767</v>
      </c>
      <c r="F429" s="3">
        <f t="shared" si="3"/>
        <v>0.0002123436379</v>
      </c>
      <c r="G429" s="3">
        <f t="shared" si="4"/>
        <v>0</v>
      </c>
      <c r="H429" s="2">
        <f t="shared" si="5"/>
        <v>0</v>
      </c>
      <c r="I429" s="3">
        <f t="shared" si="6"/>
        <v>0</v>
      </c>
      <c r="J429" s="3">
        <f t="shared" si="7"/>
        <v>0</v>
      </c>
      <c r="K429" s="3"/>
      <c r="L429" s="3">
        <f t="shared" si="8"/>
        <v>398.5287503</v>
      </c>
      <c r="M429" s="14">
        <f t="shared" si="9"/>
        <v>397.9333306</v>
      </c>
      <c r="N429" s="14">
        <f t="shared" si="10"/>
        <v>0.5954197371</v>
      </c>
      <c r="O429" s="3"/>
      <c r="P429" s="3"/>
      <c r="Q429" s="3"/>
      <c r="R429" s="2"/>
      <c r="S429" s="14">
        <f t="shared" si="13"/>
        <v>0.5467716407</v>
      </c>
    </row>
    <row r="430">
      <c r="A430" s="11">
        <v>418.0</v>
      </c>
      <c r="B430" s="11">
        <v>1.42121304347826E9</v>
      </c>
      <c r="C430" s="2">
        <v>-102.8644028</v>
      </c>
      <c r="D430" s="3">
        <f t="shared" si="1"/>
        <v>813043.4783</v>
      </c>
      <c r="E430" s="4">
        <f t="shared" si="2"/>
        <v>-172.6396728</v>
      </c>
      <c r="F430" s="3">
        <f t="shared" si="3"/>
        <v>0.0002123375655</v>
      </c>
      <c r="G430" s="3">
        <f t="shared" si="4"/>
        <v>0</v>
      </c>
      <c r="H430" s="2">
        <f t="shared" si="5"/>
        <v>0</v>
      </c>
      <c r="I430" s="3">
        <f t="shared" si="6"/>
        <v>0</v>
      </c>
      <c r="J430" s="3">
        <f t="shared" si="7"/>
        <v>0</v>
      </c>
      <c r="K430" s="3"/>
      <c r="L430" s="3">
        <f t="shared" si="8"/>
        <v>393.2474249</v>
      </c>
      <c r="M430" s="14">
        <f t="shared" si="9"/>
        <v>397.8472702</v>
      </c>
      <c r="N430" s="14">
        <f t="shared" si="10"/>
        <v>-4.599845376</v>
      </c>
      <c r="O430" s="3"/>
      <c r="P430" s="3"/>
      <c r="Q430" s="3"/>
      <c r="R430" s="2"/>
      <c r="S430" s="14">
        <f t="shared" si="13"/>
        <v>-4.22402022</v>
      </c>
    </row>
    <row r="431">
      <c r="A431" s="11">
        <v>419.0</v>
      </c>
      <c r="B431" s="11">
        <v>1.42121739130434E9</v>
      </c>
      <c r="C431" s="2">
        <v>-102.8315201</v>
      </c>
      <c r="D431" s="3">
        <f t="shared" si="1"/>
        <v>817391.3043</v>
      </c>
      <c r="E431" s="4">
        <f t="shared" si="2"/>
        <v>-173.557969</v>
      </c>
      <c r="F431" s="3">
        <f t="shared" si="3"/>
        <v>0.0002123315578</v>
      </c>
      <c r="G431" s="3">
        <f t="shared" si="4"/>
        <v>0</v>
      </c>
      <c r="H431" s="2">
        <f t="shared" si="5"/>
        <v>0</v>
      </c>
      <c r="I431" s="3">
        <f t="shared" si="6"/>
        <v>0</v>
      </c>
      <c r="J431" s="3">
        <f t="shared" si="7"/>
        <v>0</v>
      </c>
      <c r="K431" s="3"/>
      <c r="L431" s="3">
        <f t="shared" si="8"/>
        <v>396.2362067</v>
      </c>
      <c r="M431" s="14">
        <f t="shared" si="9"/>
        <v>397.7610345</v>
      </c>
      <c r="N431" s="14">
        <f t="shared" si="10"/>
        <v>-1.524827723</v>
      </c>
      <c r="O431" s="3"/>
      <c r="P431" s="3"/>
      <c r="Q431" s="3"/>
      <c r="R431" s="2"/>
      <c r="S431" s="14">
        <f t="shared" si="13"/>
        <v>-1.400243401</v>
      </c>
    </row>
    <row r="432">
      <c r="A432" s="11">
        <v>420.0</v>
      </c>
      <c r="B432" s="11">
        <v>1.42122173913043E9</v>
      </c>
      <c r="C432" s="2">
        <v>-102.7770844</v>
      </c>
      <c r="D432" s="3">
        <f t="shared" si="1"/>
        <v>821739.1304</v>
      </c>
      <c r="E432" s="4">
        <f t="shared" si="2"/>
        <v>-174.4762651</v>
      </c>
      <c r="F432" s="3">
        <f t="shared" si="3"/>
        <v>0.0002123256136</v>
      </c>
      <c r="G432" s="3">
        <f t="shared" si="4"/>
        <v>0</v>
      </c>
      <c r="H432" s="2">
        <f t="shared" si="5"/>
        <v>0</v>
      </c>
      <c r="I432" s="3">
        <f t="shared" si="6"/>
        <v>0</v>
      </c>
      <c r="J432" s="3">
        <f t="shared" si="7"/>
        <v>0</v>
      </c>
      <c r="K432" s="3"/>
      <c r="L432" s="3">
        <f t="shared" si="8"/>
        <v>401.234</v>
      </c>
      <c r="M432" s="14">
        <f t="shared" si="9"/>
        <v>397.674622</v>
      </c>
      <c r="N432" s="14">
        <f t="shared" si="10"/>
        <v>3.55937795</v>
      </c>
      <c r="O432" s="3"/>
      <c r="P432" s="3"/>
      <c r="Q432" s="3"/>
      <c r="R432" s="2"/>
      <c r="S432" s="14">
        <f t="shared" si="13"/>
        <v>3.268562999</v>
      </c>
    </row>
    <row r="433">
      <c r="A433" s="11">
        <v>421.0</v>
      </c>
      <c r="B433" s="11">
        <v>1.42122608695652E9</v>
      </c>
      <c r="C433" s="2">
        <v>-102.8051987</v>
      </c>
      <c r="D433" s="3">
        <f t="shared" si="1"/>
        <v>826086.9565</v>
      </c>
      <c r="E433" s="4">
        <f t="shared" si="2"/>
        <v>-175.3945612</v>
      </c>
      <c r="F433" s="3">
        <f t="shared" si="3"/>
        <v>0.000212319732</v>
      </c>
      <c r="G433" s="3">
        <f t="shared" si="4"/>
        <v>0</v>
      </c>
      <c r="H433" s="2">
        <f t="shared" si="5"/>
        <v>0</v>
      </c>
      <c r="I433" s="3">
        <f t="shared" si="6"/>
        <v>0</v>
      </c>
      <c r="J433" s="3">
        <f t="shared" si="7"/>
        <v>0</v>
      </c>
      <c r="K433" s="3"/>
      <c r="L433" s="3">
        <f t="shared" si="8"/>
        <v>398.644978</v>
      </c>
      <c r="M433" s="14">
        <f t="shared" si="9"/>
        <v>397.5880318</v>
      </c>
      <c r="N433" s="14">
        <f t="shared" si="10"/>
        <v>1.056946241</v>
      </c>
      <c r="O433" s="3"/>
      <c r="P433" s="3"/>
      <c r="Q433" s="3"/>
      <c r="R433" s="2"/>
      <c r="S433" s="14">
        <f t="shared" si="13"/>
        <v>0.9705896457</v>
      </c>
    </row>
    <row r="434">
      <c r="A434" s="11">
        <v>422.0</v>
      </c>
      <c r="B434" s="11">
        <v>1.4212304347826E9</v>
      </c>
      <c r="C434" s="2">
        <v>-102.7993469</v>
      </c>
      <c r="D434" s="3">
        <f t="shared" si="1"/>
        <v>830434.7826</v>
      </c>
      <c r="E434" s="4">
        <f t="shared" si="2"/>
        <v>-176.3128574</v>
      </c>
      <c r="F434" s="3">
        <f t="shared" si="3"/>
        <v>0.000212313912</v>
      </c>
      <c r="G434" s="3">
        <f t="shared" si="4"/>
        <v>0</v>
      </c>
      <c r="H434" s="2">
        <f t="shared" si="5"/>
        <v>0</v>
      </c>
      <c r="I434" s="3">
        <f t="shared" si="6"/>
        <v>0</v>
      </c>
      <c r="J434" s="3">
        <f t="shared" si="7"/>
        <v>0</v>
      </c>
      <c r="K434" s="3"/>
      <c r="L434" s="3">
        <f t="shared" si="8"/>
        <v>399.182485</v>
      </c>
      <c r="M434" s="14">
        <f t="shared" si="9"/>
        <v>397.5012625</v>
      </c>
      <c r="N434" s="14">
        <f t="shared" si="10"/>
        <v>1.681222466</v>
      </c>
      <c r="O434" s="3"/>
      <c r="P434" s="3"/>
      <c r="Q434" s="3"/>
      <c r="R434" s="2"/>
      <c r="S434" s="14">
        <f t="shared" si="13"/>
        <v>1.543860089</v>
      </c>
    </row>
    <row r="435">
      <c r="A435" s="11">
        <v>423.0</v>
      </c>
      <c r="B435" s="11">
        <v>1.42123478260869E9</v>
      </c>
      <c r="C435" s="2">
        <v>-102.8339157</v>
      </c>
      <c r="D435" s="3">
        <f t="shared" si="1"/>
        <v>834782.6087</v>
      </c>
      <c r="E435" s="4">
        <f t="shared" si="2"/>
        <v>-177.2311535</v>
      </c>
      <c r="F435" s="3">
        <f t="shared" si="3"/>
        <v>0.0002123081526</v>
      </c>
      <c r="G435" s="3">
        <f t="shared" si="4"/>
        <v>0</v>
      </c>
      <c r="H435" s="2">
        <f t="shared" si="5"/>
        <v>0</v>
      </c>
      <c r="I435" s="3">
        <f t="shared" si="6"/>
        <v>0</v>
      </c>
      <c r="J435" s="3">
        <f t="shared" si="7"/>
        <v>0</v>
      </c>
      <c r="K435" s="3"/>
      <c r="L435" s="3">
        <f t="shared" si="8"/>
        <v>396.0177002</v>
      </c>
      <c r="M435" s="14">
        <f t="shared" si="9"/>
        <v>397.414313</v>
      </c>
      <c r="N435" s="14">
        <f t="shared" si="10"/>
        <v>-1.396612783</v>
      </c>
      <c r="O435" s="3"/>
      <c r="P435" s="3"/>
      <c r="Q435" s="3"/>
      <c r="R435" s="2"/>
      <c r="S435" s="14">
        <f t="shared" si="13"/>
        <v>-1.282504118</v>
      </c>
    </row>
    <row r="436">
      <c r="A436" s="11">
        <v>424.0</v>
      </c>
      <c r="B436" s="11">
        <v>1.42123913043478E9</v>
      </c>
      <c r="C436" s="2">
        <v>-102.815361</v>
      </c>
      <c r="D436" s="3">
        <f t="shared" si="1"/>
        <v>839130.4348</v>
      </c>
      <c r="E436" s="4">
        <f t="shared" si="2"/>
        <v>-178.1494496</v>
      </c>
      <c r="F436" s="3">
        <f t="shared" si="3"/>
        <v>0.0002123024529</v>
      </c>
      <c r="G436" s="3">
        <f t="shared" si="4"/>
        <v>0</v>
      </c>
      <c r="H436" s="2">
        <f t="shared" si="5"/>
        <v>0</v>
      </c>
      <c r="I436" s="3">
        <f t="shared" si="6"/>
        <v>0</v>
      </c>
      <c r="J436" s="3">
        <f t="shared" si="7"/>
        <v>0</v>
      </c>
      <c r="K436" s="3"/>
      <c r="L436" s="3">
        <f t="shared" si="8"/>
        <v>397.7132568</v>
      </c>
      <c r="M436" s="14">
        <f t="shared" si="9"/>
        <v>397.3271821</v>
      </c>
      <c r="N436" s="14">
        <f t="shared" si="10"/>
        <v>0.3860747147</v>
      </c>
      <c r="O436" s="3"/>
      <c r="P436" s="3"/>
      <c r="Q436" s="3"/>
      <c r="R436" s="2"/>
      <c r="S436" s="14">
        <f t="shared" si="13"/>
        <v>0.3545309167</v>
      </c>
    </row>
    <row r="437">
      <c r="A437" s="11">
        <v>425.0</v>
      </c>
      <c r="B437" s="11">
        <v>1.42124347826087E9</v>
      </c>
      <c r="C437" s="2">
        <v>-102.8533936</v>
      </c>
      <c r="D437" s="3">
        <f t="shared" si="1"/>
        <v>843478.2609</v>
      </c>
      <c r="E437" s="4">
        <f t="shared" si="2"/>
        <v>-179.0677458</v>
      </c>
      <c r="F437" s="3">
        <f t="shared" si="3"/>
        <v>0.000212296812</v>
      </c>
      <c r="G437" s="3">
        <f t="shared" si="4"/>
        <v>0</v>
      </c>
      <c r="H437" s="2">
        <f t="shared" si="5"/>
        <v>0</v>
      </c>
      <c r="I437" s="3">
        <f t="shared" si="6"/>
        <v>0</v>
      </c>
      <c r="J437" s="3">
        <f t="shared" si="7"/>
        <v>0</v>
      </c>
      <c r="K437" s="3"/>
      <c r="L437" s="3">
        <f t="shared" si="8"/>
        <v>394.2455567</v>
      </c>
      <c r="M437" s="14">
        <f t="shared" si="9"/>
        <v>397.2398686</v>
      </c>
      <c r="N437" s="14">
        <f t="shared" si="10"/>
        <v>-2.994311852</v>
      </c>
      <c r="O437" s="3"/>
      <c r="P437" s="3"/>
      <c r="Q437" s="3"/>
      <c r="R437" s="2"/>
      <c r="S437" s="14">
        <f t="shared" si="13"/>
        <v>-2.749664994</v>
      </c>
    </row>
    <row r="438">
      <c r="A438" s="11">
        <v>426.0</v>
      </c>
      <c r="B438" s="11">
        <v>1.42124782608695E9</v>
      </c>
      <c r="C438" s="2">
        <v>-102.8450851</v>
      </c>
      <c r="D438" s="3">
        <f t="shared" si="1"/>
        <v>847826.087</v>
      </c>
      <c r="E438" s="4">
        <f t="shared" si="2"/>
        <v>-179.9860419</v>
      </c>
      <c r="F438" s="3">
        <f t="shared" si="3"/>
        <v>0.0002122912289</v>
      </c>
      <c r="G438" s="3">
        <f t="shared" si="4"/>
        <v>0</v>
      </c>
      <c r="H438" s="2">
        <f t="shared" si="5"/>
        <v>0</v>
      </c>
      <c r="I438" s="3">
        <f t="shared" si="6"/>
        <v>0</v>
      </c>
      <c r="J438" s="3">
        <f t="shared" si="7"/>
        <v>0</v>
      </c>
      <c r="K438" s="3"/>
      <c r="L438" s="3">
        <f t="shared" si="8"/>
        <v>395.0005109</v>
      </c>
      <c r="M438" s="14">
        <f t="shared" si="9"/>
        <v>397.1523712</v>
      </c>
      <c r="N438" s="14">
        <f t="shared" si="10"/>
        <v>-2.151860311</v>
      </c>
      <c r="O438" s="3"/>
      <c r="P438" s="3"/>
      <c r="Q438" s="3"/>
      <c r="R438" s="2"/>
      <c r="S438" s="14">
        <f t="shared" si="13"/>
        <v>-1.976045002</v>
      </c>
    </row>
    <row r="439">
      <c r="A439" s="11">
        <v>427.0</v>
      </c>
      <c r="B439" s="11">
        <v>1.42125217391304E9</v>
      </c>
      <c r="C439" s="2">
        <v>-102.8121262</v>
      </c>
      <c r="D439" s="3">
        <f t="shared" si="1"/>
        <v>852173.913</v>
      </c>
      <c r="E439" s="4">
        <f t="shared" si="2"/>
        <v>-180.904338</v>
      </c>
      <c r="F439" s="3">
        <f t="shared" si="3"/>
        <v>0.0002122857028</v>
      </c>
      <c r="G439" s="3">
        <f t="shared" si="4"/>
        <v>0</v>
      </c>
      <c r="H439" s="2">
        <f t="shared" si="5"/>
        <v>0</v>
      </c>
      <c r="I439" s="3">
        <f t="shared" si="6"/>
        <v>0</v>
      </c>
      <c r="J439" s="3">
        <f t="shared" si="7"/>
        <v>0</v>
      </c>
      <c r="K439" s="3"/>
      <c r="L439" s="3">
        <f t="shared" si="8"/>
        <v>398.0096</v>
      </c>
      <c r="M439" s="14">
        <f t="shared" si="9"/>
        <v>397.0646889</v>
      </c>
      <c r="N439" s="14">
        <f t="shared" si="10"/>
        <v>0.944911085</v>
      </c>
      <c r="O439" s="3"/>
      <c r="P439" s="3"/>
      <c r="Q439" s="3"/>
      <c r="R439" s="2"/>
      <c r="S439" s="14">
        <f t="shared" si="13"/>
        <v>0.8677081932</v>
      </c>
    </row>
    <row r="440">
      <c r="A440" s="11">
        <v>428.0</v>
      </c>
      <c r="B440" s="11">
        <v>1.42125652173913E9</v>
      </c>
      <c r="C440" s="2">
        <v>-102.7794724</v>
      </c>
      <c r="D440" s="3">
        <f t="shared" si="1"/>
        <v>856521.7391</v>
      </c>
      <c r="E440" s="4">
        <f t="shared" si="2"/>
        <v>-181.8226342</v>
      </c>
      <c r="F440" s="3">
        <f t="shared" si="3"/>
        <v>0.0002122802328</v>
      </c>
      <c r="G440" s="3">
        <f t="shared" si="4"/>
        <v>0</v>
      </c>
      <c r="H440" s="2">
        <f t="shared" si="5"/>
        <v>0</v>
      </c>
      <c r="I440" s="3">
        <f t="shared" si="6"/>
        <v>0</v>
      </c>
      <c r="J440" s="3">
        <f t="shared" si="7"/>
        <v>0</v>
      </c>
      <c r="K440" s="3"/>
      <c r="L440" s="3">
        <f t="shared" si="8"/>
        <v>401.0134392</v>
      </c>
      <c r="M440" s="14">
        <f t="shared" si="9"/>
        <v>396.9768204</v>
      </c>
      <c r="N440" s="14">
        <f t="shared" si="10"/>
        <v>4.036618798</v>
      </c>
      <c r="O440" s="3"/>
      <c r="P440" s="3"/>
      <c r="Q440" s="3"/>
      <c r="R440" s="2"/>
      <c r="S440" s="14">
        <f t="shared" si="13"/>
        <v>3.706811431</v>
      </c>
    </row>
    <row r="441">
      <c r="A441" s="11">
        <v>429.0</v>
      </c>
      <c r="B441" s="11">
        <v>1.42126086956521E9</v>
      </c>
      <c r="C441" s="2">
        <v>-102.8053436</v>
      </c>
      <c r="D441" s="3">
        <f t="shared" si="1"/>
        <v>860869.5652</v>
      </c>
      <c r="E441" s="4">
        <f t="shared" si="2"/>
        <v>-182.7409303</v>
      </c>
      <c r="F441" s="3">
        <f t="shared" si="3"/>
        <v>0.000212274818</v>
      </c>
      <c r="G441" s="3">
        <f t="shared" si="4"/>
        <v>0</v>
      </c>
      <c r="H441" s="2">
        <f t="shared" si="5"/>
        <v>0</v>
      </c>
      <c r="I441" s="3">
        <f t="shared" si="6"/>
        <v>0</v>
      </c>
      <c r="J441" s="3">
        <f t="shared" si="7"/>
        <v>0</v>
      </c>
      <c r="K441" s="3"/>
      <c r="L441" s="3">
        <f t="shared" si="8"/>
        <v>398.6316777</v>
      </c>
      <c r="M441" s="14">
        <f t="shared" si="9"/>
        <v>396.8887644</v>
      </c>
      <c r="N441" s="14">
        <f t="shared" si="10"/>
        <v>1.742913223</v>
      </c>
      <c r="O441" s="3"/>
      <c r="P441" s="3"/>
      <c r="Q441" s="3"/>
      <c r="R441" s="2"/>
      <c r="S441" s="14">
        <f t="shared" si="13"/>
        <v>1.600510472</v>
      </c>
    </row>
    <row r="442">
      <c r="A442" s="11">
        <v>430.0</v>
      </c>
      <c r="B442" s="11">
        <v>1.4212652173913E9</v>
      </c>
      <c r="C442" s="2">
        <v>-102.8258133</v>
      </c>
      <c r="D442" s="3">
        <f t="shared" si="1"/>
        <v>865217.3913</v>
      </c>
      <c r="E442" s="4">
        <f t="shared" si="2"/>
        <v>-183.6592264</v>
      </c>
      <c r="F442" s="3">
        <f t="shared" si="3"/>
        <v>0.0002122694577</v>
      </c>
      <c r="G442" s="3">
        <f t="shared" si="4"/>
        <v>0</v>
      </c>
      <c r="H442" s="2">
        <f t="shared" si="5"/>
        <v>0</v>
      </c>
      <c r="I442" s="3">
        <f t="shared" si="6"/>
        <v>0</v>
      </c>
      <c r="J442" s="3">
        <f t="shared" si="7"/>
        <v>0</v>
      </c>
      <c r="K442" s="3"/>
      <c r="L442" s="3">
        <f t="shared" si="8"/>
        <v>396.7572189</v>
      </c>
      <c r="M442" s="14">
        <f t="shared" si="9"/>
        <v>396.8005199</v>
      </c>
      <c r="N442" s="14">
        <f t="shared" si="10"/>
        <v>-0.04330102074</v>
      </c>
      <c r="O442" s="3"/>
      <c r="P442" s="3"/>
      <c r="Q442" s="3"/>
      <c r="R442" s="2"/>
      <c r="S442" s="14">
        <f t="shared" si="13"/>
        <v>-0.0397631598</v>
      </c>
    </row>
    <row r="443">
      <c r="A443" s="11">
        <v>431.0</v>
      </c>
      <c r="B443" s="11">
        <v>1.42126956521739E9</v>
      </c>
      <c r="C443" s="2">
        <v>-102.782814</v>
      </c>
      <c r="D443" s="3">
        <f t="shared" si="1"/>
        <v>869565.2174</v>
      </c>
      <c r="E443" s="4">
        <f t="shared" si="2"/>
        <v>-184.5775226</v>
      </c>
      <c r="F443" s="3">
        <f t="shared" si="3"/>
        <v>0.0002122641509</v>
      </c>
      <c r="G443" s="3">
        <f t="shared" si="4"/>
        <v>0</v>
      </c>
      <c r="H443" s="2">
        <f t="shared" si="5"/>
        <v>0</v>
      </c>
      <c r="I443" s="3">
        <f t="shared" si="6"/>
        <v>0</v>
      </c>
      <c r="J443" s="3">
        <f t="shared" si="7"/>
        <v>0</v>
      </c>
      <c r="K443" s="3"/>
      <c r="L443" s="3">
        <f t="shared" si="8"/>
        <v>400.7050053</v>
      </c>
      <c r="M443" s="14">
        <f t="shared" si="9"/>
        <v>396.7120856</v>
      </c>
      <c r="N443" s="14">
        <f t="shared" si="10"/>
        <v>3.992919723</v>
      </c>
      <c r="O443" s="3"/>
      <c r="P443" s="3"/>
      <c r="Q443" s="3"/>
      <c r="R443" s="2"/>
      <c r="S443" s="14">
        <f t="shared" si="13"/>
        <v>3.66668274</v>
      </c>
    </row>
    <row r="444">
      <c r="A444" s="11">
        <v>432.0</v>
      </c>
      <c r="B444" s="11">
        <v>1.42127391304347E9</v>
      </c>
      <c r="C444" s="2">
        <v>-102.7684021</v>
      </c>
      <c r="D444" s="3">
        <f t="shared" si="1"/>
        <v>873913.0435</v>
      </c>
      <c r="E444" s="4">
        <f t="shared" si="2"/>
        <v>-185.4958187</v>
      </c>
      <c r="F444" s="3">
        <f t="shared" si="3"/>
        <v>0.000212258897</v>
      </c>
      <c r="G444" s="3">
        <f t="shared" si="4"/>
        <v>0</v>
      </c>
      <c r="H444" s="2">
        <f t="shared" si="5"/>
        <v>0</v>
      </c>
      <c r="I444" s="3">
        <f t="shared" si="6"/>
        <v>0</v>
      </c>
      <c r="J444" s="3">
        <f t="shared" si="7"/>
        <v>0</v>
      </c>
      <c r="K444" s="3"/>
      <c r="L444" s="3">
        <f t="shared" si="8"/>
        <v>402.0369387</v>
      </c>
      <c r="M444" s="14">
        <f t="shared" si="9"/>
        <v>396.6234603</v>
      </c>
      <c r="N444" s="14">
        <f t="shared" si="10"/>
        <v>5.413478355</v>
      </c>
      <c r="O444" s="3"/>
      <c r="P444" s="3"/>
      <c r="Q444" s="3"/>
      <c r="R444" s="2"/>
      <c r="S444" s="14">
        <f t="shared" si="13"/>
        <v>4.971176239</v>
      </c>
    </row>
    <row r="445">
      <c r="A445" s="11">
        <v>433.0</v>
      </c>
      <c r="B445" s="11">
        <v>1.42127826086956E9</v>
      </c>
      <c r="C445" s="2">
        <v>-102.8108826</v>
      </c>
      <c r="D445" s="3">
        <f t="shared" si="1"/>
        <v>878260.8696</v>
      </c>
      <c r="E445" s="4">
        <f t="shared" si="2"/>
        <v>-186.4141148</v>
      </c>
      <c r="F445" s="3">
        <f t="shared" si="3"/>
        <v>0.0002122536951</v>
      </c>
      <c r="G445" s="3">
        <f t="shared" si="4"/>
        <v>0</v>
      </c>
      <c r="H445" s="2">
        <f t="shared" si="5"/>
        <v>0</v>
      </c>
      <c r="I445" s="3">
        <f t="shared" si="6"/>
        <v>0</v>
      </c>
      <c r="J445" s="3">
        <f t="shared" si="7"/>
        <v>0</v>
      </c>
      <c r="K445" s="3"/>
      <c r="L445" s="3">
        <f t="shared" si="8"/>
        <v>398.1235862</v>
      </c>
      <c r="M445" s="14">
        <f t="shared" si="9"/>
        <v>396.5346429</v>
      </c>
      <c r="N445" s="14">
        <f t="shared" si="10"/>
        <v>1.588943299</v>
      </c>
      <c r="O445" s="3"/>
      <c r="P445" s="3"/>
      <c r="Q445" s="3"/>
      <c r="R445" s="2"/>
      <c r="S445" s="14">
        <f t="shared" si="13"/>
        <v>1.459120483</v>
      </c>
    </row>
    <row r="446">
      <c r="A446" s="11">
        <v>434.0</v>
      </c>
      <c r="B446" s="11">
        <v>1.42128260869565E9</v>
      </c>
      <c r="C446" s="2">
        <v>-102.8825302</v>
      </c>
      <c r="D446" s="3">
        <f t="shared" si="1"/>
        <v>882608.6957</v>
      </c>
      <c r="E446" s="4">
        <f t="shared" si="2"/>
        <v>-187.332411</v>
      </c>
      <c r="F446" s="3">
        <f t="shared" si="3"/>
        <v>0.0002122485444</v>
      </c>
      <c r="G446" s="3">
        <f t="shared" si="4"/>
        <v>0</v>
      </c>
      <c r="H446" s="2">
        <f t="shared" si="5"/>
        <v>0</v>
      </c>
      <c r="I446" s="3">
        <f t="shared" si="6"/>
        <v>0</v>
      </c>
      <c r="J446" s="3">
        <f t="shared" si="7"/>
        <v>0</v>
      </c>
      <c r="K446" s="3"/>
      <c r="L446" s="3">
        <f t="shared" si="8"/>
        <v>391.6094356</v>
      </c>
      <c r="M446" s="14">
        <f t="shared" si="9"/>
        <v>396.445632</v>
      </c>
      <c r="N446" s="14">
        <f t="shared" si="10"/>
        <v>-4.83619636</v>
      </c>
      <c r="O446" s="3"/>
      <c r="P446" s="3"/>
      <c r="Q446" s="3"/>
      <c r="R446" s="2"/>
      <c r="S446" s="14">
        <f t="shared" si="13"/>
        <v>-4.441060415</v>
      </c>
    </row>
    <row r="447">
      <c r="A447" s="11">
        <v>435.0</v>
      </c>
      <c r="B447" s="11">
        <v>1.42128695652173E9</v>
      </c>
      <c r="C447" s="2">
        <v>-102.8241348</v>
      </c>
      <c r="D447" s="3">
        <f t="shared" si="1"/>
        <v>886956.5217</v>
      </c>
      <c r="E447" s="4">
        <f t="shared" si="2"/>
        <v>-188.2507071</v>
      </c>
      <c r="F447" s="3">
        <f t="shared" si="3"/>
        <v>0.0002122434443</v>
      </c>
      <c r="G447" s="3">
        <f t="shared" si="4"/>
        <v>0</v>
      </c>
      <c r="H447" s="2">
        <f t="shared" si="5"/>
        <v>0</v>
      </c>
      <c r="I447" s="3">
        <f t="shared" si="6"/>
        <v>0</v>
      </c>
      <c r="J447" s="3">
        <f t="shared" si="7"/>
        <v>0</v>
      </c>
      <c r="K447" s="3"/>
      <c r="L447" s="3">
        <f t="shared" si="8"/>
        <v>396.9105908</v>
      </c>
      <c r="M447" s="14">
        <f t="shared" si="9"/>
        <v>396.3564266</v>
      </c>
      <c r="N447" s="14">
        <f t="shared" si="10"/>
        <v>0.5541642099</v>
      </c>
      <c r="O447" s="3"/>
      <c r="P447" s="3"/>
      <c r="Q447" s="3"/>
      <c r="R447" s="2"/>
      <c r="S447" s="14">
        <f t="shared" si="13"/>
        <v>0.5088868509</v>
      </c>
    </row>
    <row r="448">
      <c r="A448" s="11">
        <v>436.0</v>
      </c>
      <c r="B448" s="11">
        <v>1.42129130434782E9</v>
      </c>
      <c r="C448" s="2">
        <v>-102.8137207</v>
      </c>
      <c r="D448" s="3">
        <f t="shared" si="1"/>
        <v>891304.3478</v>
      </c>
      <c r="E448" s="4">
        <f t="shared" si="2"/>
        <v>-189.1690032</v>
      </c>
      <c r="F448" s="3">
        <f t="shared" si="3"/>
        <v>0.0002122383939</v>
      </c>
      <c r="G448" s="3">
        <f t="shared" si="4"/>
        <v>0</v>
      </c>
      <c r="H448" s="2">
        <f t="shared" si="5"/>
        <v>0</v>
      </c>
      <c r="I448" s="3">
        <f t="shared" si="6"/>
        <v>0</v>
      </c>
      <c r="J448" s="3">
        <f t="shared" si="7"/>
        <v>0</v>
      </c>
      <c r="K448" s="3"/>
      <c r="L448" s="3">
        <f t="shared" si="8"/>
        <v>397.8634987</v>
      </c>
      <c r="M448" s="14">
        <f t="shared" si="9"/>
        <v>396.2670254</v>
      </c>
      <c r="N448" s="14">
        <f t="shared" si="10"/>
        <v>1.596473296</v>
      </c>
      <c r="O448" s="3"/>
      <c r="P448" s="3"/>
      <c r="Q448" s="3"/>
      <c r="R448" s="2"/>
      <c r="S448" s="14">
        <f t="shared" si="13"/>
        <v>1.466035254</v>
      </c>
    </row>
    <row r="449">
      <c r="A449" s="11">
        <v>437.0</v>
      </c>
      <c r="B449" s="11">
        <v>1.42129565217391E9</v>
      </c>
      <c r="C449" s="2">
        <v>-102.7920074</v>
      </c>
      <c r="D449" s="3">
        <f t="shared" si="1"/>
        <v>895652.1739</v>
      </c>
      <c r="E449" s="4">
        <f t="shared" si="2"/>
        <v>-190.0872994</v>
      </c>
      <c r="F449" s="3">
        <f t="shared" si="3"/>
        <v>0.0002122333925</v>
      </c>
      <c r="G449" s="3">
        <f t="shared" si="4"/>
        <v>0</v>
      </c>
      <c r="H449" s="2">
        <f t="shared" si="5"/>
        <v>0</v>
      </c>
      <c r="I449" s="3">
        <f t="shared" si="6"/>
        <v>0</v>
      </c>
      <c r="J449" s="3">
        <f t="shared" si="7"/>
        <v>0</v>
      </c>
      <c r="K449" s="3"/>
      <c r="L449" s="3">
        <f t="shared" si="8"/>
        <v>399.8576667</v>
      </c>
      <c r="M449" s="14">
        <f t="shared" si="9"/>
        <v>396.1774273</v>
      </c>
      <c r="N449" s="14">
        <f t="shared" si="10"/>
        <v>3.680239411</v>
      </c>
      <c r="O449" s="3"/>
      <c r="P449" s="3"/>
      <c r="Q449" s="3"/>
      <c r="R449" s="2"/>
      <c r="S449" s="14">
        <f t="shared" si="13"/>
        <v>3.379549611</v>
      </c>
    </row>
    <row r="450">
      <c r="A450" s="11">
        <v>438.0</v>
      </c>
      <c r="B450" s="11">
        <v>1.4213E9</v>
      </c>
      <c r="C450" s="2">
        <v>-102.7815552</v>
      </c>
      <c r="D450" s="3">
        <f t="shared" si="1"/>
        <v>900000</v>
      </c>
      <c r="E450" s="4">
        <f t="shared" si="2"/>
        <v>-191.0055955</v>
      </c>
      <c r="F450" s="3">
        <f t="shared" si="3"/>
        <v>0.0002122284394</v>
      </c>
      <c r="G450" s="3">
        <f t="shared" si="4"/>
        <v>0</v>
      </c>
      <c r="H450" s="2">
        <f t="shared" si="5"/>
        <v>0</v>
      </c>
      <c r="I450" s="3">
        <f t="shared" si="6"/>
        <v>0</v>
      </c>
      <c r="J450" s="3">
        <f t="shared" si="7"/>
        <v>0</v>
      </c>
      <c r="K450" s="3"/>
      <c r="L450" s="3">
        <f t="shared" si="8"/>
        <v>400.8211663</v>
      </c>
      <c r="M450" s="14">
        <f t="shared" si="9"/>
        <v>396.087631</v>
      </c>
      <c r="N450" s="14">
        <f t="shared" si="10"/>
        <v>4.733535324</v>
      </c>
      <c r="O450" s="3"/>
      <c r="P450" s="3"/>
      <c r="Q450" s="3"/>
      <c r="R450" s="2"/>
      <c r="S450" s="14">
        <f t="shared" si="13"/>
        <v>4.346787182</v>
      </c>
    </row>
    <row r="451">
      <c r="A451" s="11">
        <v>439.0</v>
      </c>
      <c r="B451" s="11">
        <v>1.42130434782608E9</v>
      </c>
      <c r="C451" s="2">
        <v>-102.8473892</v>
      </c>
      <c r="D451" s="3">
        <f t="shared" si="1"/>
        <v>904347.8261</v>
      </c>
      <c r="E451" s="4">
        <f t="shared" si="2"/>
        <v>-191.9238916</v>
      </c>
      <c r="F451" s="3">
        <f t="shared" si="3"/>
        <v>0.000212223534</v>
      </c>
      <c r="G451" s="3">
        <f t="shared" si="4"/>
        <v>0</v>
      </c>
      <c r="H451" s="2">
        <f t="shared" si="5"/>
        <v>0</v>
      </c>
      <c r="I451" s="3">
        <f t="shared" si="6"/>
        <v>0</v>
      </c>
      <c r="J451" s="3">
        <f t="shared" si="7"/>
        <v>0</v>
      </c>
      <c r="K451" s="3"/>
      <c r="L451" s="3">
        <f t="shared" si="8"/>
        <v>394.7910035</v>
      </c>
      <c r="M451" s="14">
        <f t="shared" si="9"/>
        <v>395.9976353</v>
      </c>
      <c r="N451" s="14">
        <f t="shared" si="10"/>
        <v>-1.206631819</v>
      </c>
      <c r="O451" s="3"/>
      <c r="P451" s="3"/>
      <c r="Q451" s="3"/>
      <c r="R451" s="2"/>
      <c r="S451" s="14">
        <f t="shared" si="13"/>
        <v>-1.108045333</v>
      </c>
    </row>
    <row r="452">
      <c r="A452" s="11">
        <v>440.0</v>
      </c>
      <c r="B452" s="11">
        <v>1.42130869565217E9</v>
      </c>
      <c r="C452" s="2">
        <v>-102.8182678</v>
      </c>
      <c r="D452" s="3">
        <f t="shared" si="1"/>
        <v>908695.6522</v>
      </c>
      <c r="E452" s="4">
        <f t="shared" si="2"/>
        <v>-192.8421877</v>
      </c>
      <c r="F452" s="3">
        <f t="shared" si="3"/>
        <v>0.0002122186755</v>
      </c>
      <c r="G452" s="3">
        <f t="shared" si="4"/>
        <v>0</v>
      </c>
      <c r="H452" s="2">
        <f t="shared" si="5"/>
        <v>0</v>
      </c>
      <c r="I452" s="3">
        <f t="shared" si="6"/>
        <v>0</v>
      </c>
      <c r="J452" s="3">
        <f t="shared" si="7"/>
        <v>0</v>
      </c>
      <c r="K452" s="3"/>
      <c r="L452" s="3">
        <f t="shared" si="8"/>
        <v>397.4471502</v>
      </c>
      <c r="M452" s="14">
        <f t="shared" si="9"/>
        <v>395.9074391</v>
      </c>
      <c r="N452" s="14">
        <f t="shared" si="10"/>
        <v>1.539711163</v>
      </c>
      <c r="O452" s="3"/>
      <c r="P452" s="3"/>
      <c r="Q452" s="3"/>
      <c r="R452" s="2"/>
      <c r="S452" s="14">
        <f t="shared" si="13"/>
        <v>1.413910804</v>
      </c>
    </row>
    <row r="453">
      <c r="A453" s="11">
        <v>441.0</v>
      </c>
      <c r="B453" s="11">
        <v>1.42131304347826E9</v>
      </c>
      <c r="C453" s="2">
        <v>-102.8325653</v>
      </c>
      <c r="D453" s="3">
        <f t="shared" si="1"/>
        <v>913043.4783</v>
      </c>
      <c r="E453" s="4">
        <f t="shared" si="2"/>
        <v>-193.7604839</v>
      </c>
      <c r="F453" s="3">
        <f t="shared" si="3"/>
        <v>0.0002122138633</v>
      </c>
      <c r="G453" s="3">
        <f t="shared" si="4"/>
        <v>0</v>
      </c>
      <c r="H453" s="2">
        <f t="shared" si="5"/>
        <v>0</v>
      </c>
      <c r="I453" s="3">
        <f t="shared" si="6"/>
        <v>0</v>
      </c>
      <c r="J453" s="3">
        <f t="shared" si="7"/>
        <v>0</v>
      </c>
      <c r="K453" s="3"/>
      <c r="L453" s="3">
        <f t="shared" si="8"/>
        <v>396.1408575</v>
      </c>
      <c r="M453" s="14">
        <f t="shared" si="9"/>
        <v>395.8170411</v>
      </c>
      <c r="N453" s="14">
        <f t="shared" si="10"/>
        <v>0.3238164127</v>
      </c>
      <c r="O453" s="3"/>
      <c r="P453" s="3"/>
      <c r="Q453" s="3"/>
      <c r="R453" s="2"/>
      <c r="S453" s="14">
        <f t="shared" si="13"/>
        <v>0.2973593596</v>
      </c>
    </row>
    <row r="454">
      <c r="A454" s="11">
        <v>442.0</v>
      </c>
      <c r="B454" s="11">
        <v>1.42131739130434E9</v>
      </c>
      <c r="C454" s="2">
        <v>-102.8302002</v>
      </c>
      <c r="D454" s="3">
        <f t="shared" si="1"/>
        <v>917391.3043</v>
      </c>
      <c r="E454" s="4">
        <f t="shared" si="2"/>
        <v>-194.67878</v>
      </c>
      <c r="F454" s="3">
        <f t="shared" si="3"/>
        <v>0.0002122090967</v>
      </c>
      <c r="G454" s="3">
        <f t="shared" si="4"/>
        <v>0</v>
      </c>
      <c r="H454" s="2">
        <f t="shared" si="5"/>
        <v>0</v>
      </c>
      <c r="I454" s="3">
        <f t="shared" si="6"/>
        <v>0</v>
      </c>
      <c r="J454" s="3">
        <f t="shared" si="7"/>
        <v>0</v>
      </c>
      <c r="K454" s="3"/>
      <c r="L454" s="3">
        <f t="shared" si="8"/>
        <v>396.3566484</v>
      </c>
      <c r="M454" s="14">
        <f t="shared" si="9"/>
        <v>395.7264402</v>
      </c>
      <c r="N454" s="14">
        <f t="shared" si="10"/>
        <v>0.6302081967</v>
      </c>
      <c r="O454" s="3"/>
      <c r="P454" s="3"/>
      <c r="Q454" s="3"/>
      <c r="R454" s="2"/>
      <c r="S454" s="14">
        <f t="shared" si="13"/>
        <v>0.5787177499</v>
      </c>
    </row>
    <row r="455">
      <c r="A455" s="11">
        <v>443.0</v>
      </c>
      <c r="B455" s="11">
        <v>1.42132173913043E9</v>
      </c>
      <c r="C455" s="2">
        <v>-102.9058762</v>
      </c>
      <c r="D455" s="3">
        <f t="shared" si="1"/>
        <v>921739.1304</v>
      </c>
      <c r="E455" s="4">
        <f t="shared" si="2"/>
        <v>-195.5970761</v>
      </c>
      <c r="F455" s="3">
        <f t="shared" si="3"/>
        <v>0.0002122043751</v>
      </c>
      <c r="G455" s="3">
        <f t="shared" si="4"/>
        <v>0</v>
      </c>
      <c r="H455" s="2">
        <f t="shared" si="5"/>
        <v>0</v>
      </c>
      <c r="I455" s="3">
        <f t="shared" si="6"/>
        <v>0</v>
      </c>
      <c r="J455" s="3">
        <f t="shared" si="7"/>
        <v>0</v>
      </c>
      <c r="K455" s="3"/>
      <c r="L455" s="3">
        <f t="shared" si="8"/>
        <v>389.5099421</v>
      </c>
      <c r="M455" s="14">
        <f t="shared" si="9"/>
        <v>395.6356352</v>
      </c>
      <c r="N455" s="14">
        <f t="shared" si="10"/>
        <v>-6.125693072</v>
      </c>
      <c r="O455" s="3"/>
      <c r="P455" s="3"/>
      <c r="Q455" s="3"/>
      <c r="R455" s="2"/>
      <c r="S455" s="14">
        <f t="shared" si="13"/>
        <v>-5.625200246</v>
      </c>
    </row>
    <row r="456">
      <c r="A456" s="11">
        <v>444.0</v>
      </c>
      <c r="B456" s="11">
        <v>1.42132608695652E9</v>
      </c>
      <c r="C456" s="2">
        <v>-102.8555603</v>
      </c>
      <c r="D456" s="3">
        <f t="shared" si="1"/>
        <v>926086.9565</v>
      </c>
      <c r="E456" s="4">
        <f t="shared" si="2"/>
        <v>-196.5153723</v>
      </c>
      <c r="F456" s="3">
        <f t="shared" si="3"/>
        <v>0.0002121996978</v>
      </c>
      <c r="G456" s="3">
        <f t="shared" si="4"/>
        <v>0</v>
      </c>
      <c r="H456" s="2">
        <f t="shared" si="5"/>
        <v>0</v>
      </c>
      <c r="I456" s="3">
        <f t="shared" si="6"/>
        <v>0</v>
      </c>
      <c r="J456" s="3">
        <f t="shared" si="7"/>
        <v>0</v>
      </c>
      <c r="K456" s="3"/>
      <c r="L456" s="3">
        <f t="shared" si="8"/>
        <v>394.0489162</v>
      </c>
      <c r="M456" s="14">
        <f t="shared" si="9"/>
        <v>395.5446248</v>
      </c>
      <c r="N456" s="14">
        <f t="shared" si="10"/>
        <v>-1.495708592</v>
      </c>
      <c r="O456" s="3"/>
      <c r="P456" s="3"/>
      <c r="Q456" s="3"/>
      <c r="R456" s="2"/>
      <c r="S456" s="14">
        <f t="shared" si="13"/>
        <v>-1.373503416</v>
      </c>
    </row>
    <row r="457">
      <c r="A457" s="11">
        <v>445.0</v>
      </c>
      <c r="B457" s="11">
        <v>1.4213304347826E9</v>
      </c>
      <c r="C457" s="2">
        <v>-102.8748932</v>
      </c>
      <c r="D457" s="3">
        <f t="shared" si="1"/>
        <v>930434.7826</v>
      </c>
      <c r="E457" s="4">
        <f t="shared" si="2"/>
        <v>-197.4336684</v>
      </c>
      <c r="F457" s="3">
        <f t="shared" si="3"/>
        <v>0.0002121950642</v>
      </c>
      <c r="G457" s="3">
        <f t="shared" si="4"/>
        <v>0</v>
      </c>
      <c r="H457" s="2">
        <f t="shared" si="5"/>
        <v>0</v>
      </c>
      <c r="I457" s="3">
        <f t="shared" si="6"/>
        <v>0</v>
      </c>
      <c r="J457" s="3">
        <f t="shared" si="7"/>
        <v>0</v>
      </c>
      <c r="K457" s="3"/>
      <c r="L457" s="3">
        <f t="shared" si="8"/>
        <v>392.2986805</v>
      </c>
      <c r="M457" s="14">
        <f t="shared" si="9"/>
        <v>395.4534079</v>
      </c>
      <c r="N457" s="14">
        <f t="shared" si="10"/>
        <v>-3.154727414</v>
      </c>
      <c r="O457" s="3"/>
      <c r="P457" s="3"/>
      <c r="Q457" s="3"/>
      <c r="R457" s="2"/>
      <c r="S457" s="14">
        <f t="shared" si="13"/>
        <v>-2.896973984</v>
      </c>
    </row>
    <row r="458">
      <c r="A458" s="11">
        <v>446.0</v>
      </c>
      <c r="B458" s="11">
        <v>1.42133478260869E9</v>
      </c>
      <c r="C458" s="2">
        <v>-102.8118286</v>
      </c>
      <c r="D458" s="3">
        <f t="shared" si="1"/>
        <v>934782.6087</v>
      </c>
      <c r="E458" s="4">
        <f t="shared" si="2"/>
        <v>-198.3519645</v>
      </c>
      <c r="F458" s="3">
        <f t="shared" si="3"/>
        <v>0.0002121904737</v>
      </c>
      <c r="G458" s="3">
        <f t="shared" si="4"/>
        <v>0</v>
      </c>
      <c r="H458" s="2">
        <f t="shared" si="5"/>
        <v>0</v>
      </c>
      <c r="I458" s="3">
        <f t="shared" si="6"/>
        <v>0</v>
      </c>
      <c r="J458" s="3">
        <f t="shared" si="7"/>
        <v>0</v>
      </c>
      <c r="K458" s="3"/>
      <c r="L458" s="3">
        <f t="shared" si="8"/>
        <v>398.0368745</v>
      </c>
      <c r="M458" s="14">
        <f t="shared" si="9"/>
        <v>395.3619833</v>
      </c>
      <c r="N458" s="14">
        <f t="shared" si="10"/>
        <v>2.674891218</v>
      </c>
      <c r="O458" s="3"/>
      <c r="P458" s="3"/>
      <c r="Q458" s="3"/>
      <c r="R458" s="2"/>
      <c r="S458" s="14">
        <f t="shared" si="13"/>
        <v>2.456342261</v>
      </c>
    </row>
    <row r="459">
      <c r="A459" s="11">
        <v>447.0</v>
      </c>
      <c r="B459" s="11">
        <v>1.42133913043478E9</v>
      </c>
      <c r="C459" s="2">
        <v>-102.7955627</v>
      </c>
      <c r="D459" s="3">
        <f t="shared" si="1"/>
        <v>939130.4348</v>
      </c>
      <c r="E459" s="4">
        <f t="shared" si="2"/>
        <v>-199.2702607</v>
      </c>
      <c r="F459" s="3">
        <f t="shared" si="3"/>
        <v>0.0002121859257</v>
      </c>
      <c r="G459" s="3">
        <f t="shared" si="4"/>
        <v>0</v>
      </c>
      <c r="H459" s="2">
        <f t="shared" si="5"/>
        <v>0</v>
      </c>
      <c r="I459" s="3">
        <f t="shared" si="6"/>
        <v>0</v>
      </c>
      <c r="J459" s="3">
        <f t="shared" si="7"/>
        <v>0</v>
      </c>
      <c r="K459" s="3"/>
      <c r="L459" s="3">
        <f t="shared" si="8"/>
        <v>399.5304619</v>
      </c>
      <c r="M459" s="14">
        <f t="shared" si="9"/>
        <v>395.2703497</v>
      </c>
      <c r="N459" s="14">
        <f t="shared" si="10"/>
        <v>4.260112176</v>
      </c>
      <c r="O459" s="3"/>
      <c r="P459" s="3"/>
      <c r="Q459" s="3"/>
      <c r="R459" s="2"/>
      <c r="S459" s="14">
        <f t="shared" si="13"/>
        <v>3.912044527</v>
      </c>
    </row>
    <row r="460">
      <c r="A460" s="11">
        <v>448.0</v>
      </c>
      <c r="B460" s="11">
        <v>1.42134347826087E9</v>
      </c>
      <c r="C460" s="2">
        <v>-102.8663177</v>
      </c>
      <c r="D460" s="3">
        <f t="shared" si="1"/>
        <v>943478.2609</v>
      </c>
      <c r="E460" s="4">
        <f t="shared" si="2"/>
        <v>-200.1885568</v>
      </c>
      <c r="F460" s="3">
        <f t="shared" si="3"/>
        <v>0.0002121814197</v>
      </c>
      <c r="G460" s="3">
        <f t="shared" si="4"/>
        <v>0</v>
      </c>
      <c r="H460" s="2">
        <f t="shared" si="5"/>
        <v>0</v>
      </c>
      <c r="I460" s="3">
        <f t="shared" si="6"/>
        <v>0</v>
      </c>
      <c r="J460" s="3">
        <f t="shared" si="7"/>
        <v>0</v>
      </c>
      <c r="K460" s="3"/>
      <c r="L460" s="3">
        <f t="shared" si="8"/>
        <v>393.0740716</v>
      </c>
      <c r="M460" s="14">
        <f t="shared" si="9"/>
        <v>395.1785061</v>
      </c>
      <c r="N460" s="14">
        <f t="shared" si="10"/>
        <v>-2.104434426</v>
      </c>
      <c r="O460" s="3"/>
      <c r="P460" s="3"/>
      <c r="Q460" s="3"/>
      <c r="R460" s="2"/>
      <c r="S460" s="14">
        <f t="shared" si="13"/>
        <v>-1.932493995</v>
      </c>
    </row>
    <row r="461">
      <c r="A461" s="11">
        <v>449.0</v>
      </c>
      <c r="B461" s="11">
        <v>1.42134782608695E9</v>
      </c>
      <c r="C461" s="2">
        <v>-102.8508301</v>
      </c>
      <c r="D461" s="3">
        <f t="shared" si="1"/>
        <v>947826.087</v>
      </c>
      <c r="E461" s="4">
        <f t="shared" si="2"/>
        <v>-201.1068529</v>
      </c>
      <c r="F461" s="3">
        <f t="shared" si="3"/>
        <v>0.0002121769549</v>
      </c>
      <c r="G461" s="3">
        <f t="shared" si="4"/>
        <v>0</v>
      </c>
      <c r="H461" s="2">
        <f t="shared" si="5"/>
        <v>0</v>
      </c>
      <c r="I461" s="3">
        <f t="shared" si="6"/>
        <v>0</v>
      </c>
      <c r="J461" s="3">
        <f t="shared" si="7"/>
        <v>0</v>
      </c>
      <c r="K461" s="3"/>
      <c r="L461" s="3">
        <f t="shared" si="8"/>
        <v>394.4783358</v>
      </c>
      <c r="M461" s="14">
        <f t="shared" si="9"/>
        <v>395.0864511</v>
      </c>
      <c r="N461" s="14">
        <f t="shared" si="10"/>
        <v>-0.6081152559</v>
      </c>
      <c r="O461" s="3"/>
      <c r="P461" s="3"/>
      <c r="Q461" s="3"/>
      <c r="R461" s="2"/>
      <c r="S461" s="14">
        <f t="shared" si="13"/>
        <v>-0.5584298878</v>
      </c>
    </row>
    <row r="462">
      <c r="A462" s="11">
        <v>450.0</v>
      </c>
      <c r="B462" s="11">
        <v>1.42135217391304E9</v>
      </c>
      <c r="C462" s="2">
        <v>-102.9062958</v>
      </c>
      <c r="D462" s="3">
        <f t="shared" si="1"/>
        <v>952173.913</v>
      </c>
      <c r="E462" s="4">
        <f t="shared" si="2"/>
        <v>-202.0251491</v>
      </c>
      <c r="F462" s="3">
        <f t="shared" si="3"/>
        <v>0.000212172531</v>
      </c>
      <c r="G462" s="3">
        <f t="shared" si="4"/>
        <v>0</v>
      </c>
      <c r="H462" s="2">
        <f t="shared" si="5"/>
        <v>0</v>
      </c>
      <c r="I462" s="3">
        <f t="shared" si="6"/>
        <v>0</v>
      </c>
      <c r="J462" s="3">
        <f t="shared" si="7"/>
        <v>0</v>
      </c>
      <c r="K462" s="3"/>
      <c r="L462" s="3">
        <f t="shared" si="8"/>
        <v>389.4723109</v>
      </c>
      <c r="M462" s="14">
        <f t="shared" si="9"/>
        <v>394.9941836</v>
      </c>
      <c r="N462" s="14">
        <f t="shared" si="10"/>
        <v>-5.521872725</v>
      </c>
      <c r="O462" s="3"/>
      <c r="P462" s="3"/>
      <c r="Q462" s="3"/>
      <c r="R462" s="2"/>
      <c r="S462" s="14">
        <f t="shared" si="13"/>
        <v>-5.070714358</v>
      </c>
    </row>
    <row r="463">
      <c r="A463" s="11">
        <v>451.0</v>
      </c>
      <c r="B463" s="11">
        <v>1.42135652173913E9</v>
      </c>
      <c r="C463" s="2">
        <v>-102.8128433</v>
      </c>
      <c r="D463" s="3">
        <f t="shared" si="1"/>
        <v>956521.7391</v>
      </c>
      <c r="E463" s="4">
        <f t="shared" si="2"/>
        <v>-202.9434452</v>
      </c>
      <c r="F463" s="3">
        <f t="shared" si="3"/>
        <v>0.0002121681473</v>
      </c>
      <c r="G463" s="3">
        <f t="shared" si="4"/>
        <v>0</v>
      </c>
      <c r="H463" s="2">
        <f t="shared" si="5"/>
        <v>0</v>
      </c>
      <c r="I463" s="3">
        <f t="shared" si="6"/>
        <v>0</v>
      </c>
      <c r="J463" s="3">
        <f t="shared" si="7"/>
        <v>0</v>
      </c>
      <c r="K463" s="3"/>
      <c r="L463" s="3">
        <f t="shared" si="8"/>
        <v>397.9438867</v>
      </c>
      <c r="M463" s="14">
        <f t="shared" si="9"/>
        <v>394.9017024</v>
      </c>
      <c r="N463" s="14">
        <f t="shared" si="10"/>
        <v>3.042184329</v>
      </c>
      <c r="O463" s="3"/>
      <c r="P463" s="3"/>
      <c r="Q463" s="3"/>
      <c r="R463" s="2"/>
      <c r="S463" s="14">
        <f t="shared" si="13"/>
        <v>2.793626104</v>
      </c>
    </row>
    <row r="464">
      <c r="A464" s="11">
        <v>452.0</v>
      </c>
      <c r="B464" s="11">
        <v>1.42136086956521E9</v>
      </c>
      <c r="C464" s="2">
        <v>-102.871109</v>
      </c>
      <c r="D464" s="3">
        <f t="shared" si="1"/>
        <v>960869.5652</v>
      </c>
      <c r="E464" s="4">
        <f t="shared" si="2"/>
        <v>-203.8617413</v>
      </c>
      <c r="F464" s="3">
        <f t="shared" si="3"/>
        <v>0.0002121638032</v>
      </c>
      <c r="G464" s="3">
        <f t="shared" si="4"/>
        <v>0</v>
      </c>
      <c r="H464" s="2">
        <f t="shared" si="5"/>
        <v>0</v>
      </c>
      <c r="I464" s="3">
        <f t="shared" si="6"/>
        <v>0</v>
      </c>
      <c r="J464" s="3">
        <f t="shared" si="7"/>
        <v>0</v>
      </c>
      <c r="K464" s="3"/>
      <c r="L464" s="3">
        <f t="shared" si="8"/>
        <v>392.6406567</v>
      </c>
      <c r="M464" s="14">
        <f t="shared" si="9"/>
        <v>394.8090063</v>
      </c>
      <c r="N464" s="14">
        <f t="shared" si="10"/>
        <v>-2.168349615</v>
      </c>
      <c r="O464" s="3"/>
      <c r="P464" s="3"/>
      <c r="Q464" s="3"/>
      <c r="R464" s="2"/>
      <c r="S464" s="14">
        <f t="shared" si="13"/>
        <v>-1.991187066</v>
      </c>
    </row>
    <row r="465">
      <c r="A465" s="11">
        <v>453.0</v>
      </c>
      <c r="B465" s="11">
        <v>1.4213652173913E9</v>
      </c>
      <c r="C465" s="2">
        <v>-102.76371</v>
      </c>
      <c r="D465" s="3">
        <f t="shared" si="1"/>
        <v>965217.3913</v>
      </c>
      <c r="E465" s="4">
        <f t="shared" si="2"/>
        <v>-204.7800375</v>
      </c>
      <c r="F465" s="3">
        <f t="shared" si="3"/>
        <v>0.0002121594983</v>
      </c>
      <c r="G465" s="3">
        <f t="shared" si="4"/>
        <v>0</v>
      </c>
      <c r="H465" s="2">
        <f t="shared" si="5"/>
        <v>0</v>
      </c>
      <c r="I465" s="3">
        <f t="shared" si="6"/>
        <v>0</v>
      </c>
      <c r="J465" s="3">
        <f t="shared" si="7"/>
        <v>0</v>
      </c>
      <c r="K465" s="3"/>
      <c r="L465" s="3">
        <f t="shared" si="8"/>
        <v>402.4715325</v>
      </c>
      <c r="M465" s="14">
        <f t="shared" si="9"/>
        <v>394.7160941</v>
      </c>
      <c r="N465" s="14">
        <f t="shared" si="10"/>
        <v>7.755438399</v>
      </c>
      <c r="O465" s="3"/>
      <c r="P465" s="3"/>
      <c r="Q465" s="3"/>
      <c r="R465" s="2"/>
      <c r="S465" s="14">
        <f t="shared" si="13"/>
        <v>7.121789073</v>
      </c>
    </row>
    <row r="466">
      <c r="A466" s="11">
        <v>454.0</v>
      </c>
      <c r="B466" s="11">
        <v>1.42136956521739E9</v>
      </c>
      <c r="C466" s="2">
        <v>-102.8217926</v>
      </c>
      <c r="D466" s="3">
        <f t="shared" si="1"/>
        <v>969565.2174</v>
      </c>
      <c r="E466" s="4">
        <f t="shared" si="2"/>
        <v>-205.6983336</v>
      </c>
      <c r="F466" s="3">
        <f t="shared" si="3"/>
        <v>0.000212155232</v>
      </c>
      <c r="G466" s="3">
        <f t="shared" si="4"/>
        <v>0</v>
      </c>
      <c r="H466" s="2">
        <f t="shared" si="5"/>
        <v>0</v>
      </c>
      <c r="I466" s="3">
        <f t="shared" si="6"/>
        <v>0</v>
      </c>
      <c r="J466" s="3">
        <f t="shared" si="7"/>
        <v>0</v>
      </c>
      <c r="K466" s="3"/>
      <c r="L466" s="3">
        <f t="shared" si="8"/>
        <v>397.124707</v>
      </c>
      <c r="M466" s="14">
        <f t="shared" si="9"/>
        <v>394.6229646</v>
      </c>
      <c r="N466" s="14">
        <f t="shared" si="10"/>
        <v>2.501742381</v>
      </c>
      <c r="O466" s="3"/>
      <c r="P466" s="3"/>
      <c r="Q466" s="3"/>
      <c r="R466" s="2"/>
      <c r="S466" s="14">
        <f t="shared" si="13"/>
        <v>2.297340354</v>
      </c>
    </row>
    <row r="467">
      <c r="A467" s="11">
        <v>455.0</v>
      </c>
      <c r="B467" s="11">
        <v>1.42137391304347E9</v>
      </c>
      <c r="C467" s="2">
        <v>-102.8533401</v>
      </c>
      <c r="D467" s="3">
        <f t="shared" si="1"/>
        <v>973913.0435</v>
      </c>
      <c r="E467" s="4">
        <f t="shared" si="2"/>
        <v>-206.6166297</v>
      </c>
      <c r="F467" s="3">
        <f t="shared" si="3"/>
        <v>0.0002121510037</v>
      </c>
      <c r="G467" s="3">
        <f t="shared" si="4"/>
        <v>0</v>
      </c>
      <c r="H467" s="2">
        <f t="shared" si="5"/>
        <v>0</v>
      </c>
      <c r="I467" s="3">
        <f t="shared" si="6"/>
        <v>0</v>
      </c>
      <c r="J467" s="3">
        <f t="shared" si="7"/>
        <v>0</v>
      </c>
      <c r="K467" s="3"/>
      <c r="L467" s="3">
        <f t="shared" si="8"/>
        <v>394.2504134</v>
      </c>
      <c r="M467" s="14">
        <f t="shared" si="9"/>
        <v>394.5296166</v>
      </c>
      <c r="N467" s="14">
        <f t="shared" si="10"/>
        <v>-0.2792032161</v>
      </c>
      <c r="O467" s="3"/>
      <c r="P467" s="3"/>
      <c r="Q467" s="3"/>
      <c r="R467" s="2"/>
      <c r="S467" s="14">
        <f t="shared" si="13"/>
        <v>-0.2563912336</v>
      </c>
    </row>
    <row r="468">
      <c r="A468" s="11">
        <v>456.0</v>
      </c>
      <c r="B468" s="11">
        <v>1.42137826086956E9</v>
      </c>
      <c r="C468" s="2">
        <v>-102.8377228</v>
      </c>
      <c r="D468" s="3">
        <f t="shared" si="1"/>
        <v>978260.8696</v>
      </c>
      <c r="E468" s="4">
        <f t="shared" si="2"/>
        <v>-207.5349259</v>
      </c>
      <c r="F468" s="3">
        <f t="shared" si="3"/>
        <v>0.0002121468131</v>
      </c>
      <c r="G468" s="3">
        <f t="shared" si="4"/>
        <v>0</v>
      </c>
      <c r="H468" s="2">
        <f t="shared" si="5"/>
        <v>0</v>
      </c>
      <c r="I468" s="3">
        <f t="shared" si="6"/>
        <v>0</v>
      </c>
      <c r="J468" s="3">
        <f t="shared" si="7"/>
        <v>0</v>
      </c>
      <c r="K468" s="3"/>
      <c r="L468" s="3">
        <f t="shared" si="8"/>
        <v>395.6706964</v>
      </c>
      <c r="M468" s="14">
        <f t="shared" si="9"/>
        <v>394.4360489</v>
      </c>
      <c r="N468" s="14">
        <f t="shared" si="10"/>
        <v>1.234647483</v>
      </c>
      <c r="O468" s="3"/>
      <c r="P468" s="3"/>
      <c r="Q468" s="3"/>
      <c r="R468" s="2"/>
      <c r="S468" s="14">
        <f t="shared" si="13"/>
        <v>1.133772007</v>
      </c>
    </row>
    <row r="469">
      <c r="A469" s="11">
        <v>457.0</v>
      </c>
      <c r="B469" s="11">
        <v>1.42138260869565E9</v>
      </c>
      <c r="C469" s="2">
        <v>-102.9047394</v>
      </c>
      <c r="D469" s="3">
        <f t="shared" si="1"/>
        <v>982608.6957</v>
      </c>
      <c r="E469" s="4">
        <f t="shared" si="2"/>
        <v>-208.453222</v>
      </c>
      <c r="F469" s="3">
        <f t="shared" si="3"/>
        <v>0.0002121426596</v>
      </c>
      <c r="G469" s="3">
        <f t="shared" si="4"/>
        <v>0</v>
      </c>
      <c r="H469" s="2">
        <f t="shared" si="5"/>
        <v>0</v>
      </c>
      <c r="I469" s="3">
        <f t="shared" si="6"/>
        <v>0</v>
      </c>
      <c r="J469" s="3">
        <f t="shared" si="7"/>
        <v>0</v>
      </c>
      <c r="K469" s="3"/>
      <c r="L469" s="3">
        <f t="shared" si="8"/>
        <v>389.6119128</v>
      </c>
      <c r="M469" s="14">
        <f t="shared" si="9"/>
        <v>394.3422604</v>
      </c>
      <c r="N469" s="14">
        <f t="shared" si="10"/>
        <v>-4.730347629</v>
      </c>
      <c r="O469" s="3"/>
      <c r="P469" s="3"/>
      <c r="Q469" s="3"/>
      <c r="R469" s="2"/>
      <c r="S469" s="14">
        <f t="shared" si="13"/>
        <v>-4.343859934</v>
      </c>
    </row>
    <row r="470">
      <c r="A470" s="11">
        <v>458.0</v>
      </c>
      <c r="B470" s="11">
        <v>1.42138695652173E9</v>
      </c>
      <c r="C470" s="2">
        <v>-102.9207764</v>
      </c>
      <c r="D470" s="3">
        <f t="shared" si="1"/>
        <v>986956.5217</v>
      </c>
      <c r="E470" s="4">
        <f t="shared" si="2"/>
        <v>-209.3715181</v>
      </c>
      <c r="F470" s="3">
        <f t="shared" si="3"/>
        <v>0.0002121385426</v>
      </c>
      <c r="G470" s="3">
        <f t="shared" si="4"/>
        <v>0</v>
      </c>
      <c r="H470" s="2">
        <f t="shared" si="5"/>
        <v>0</v>
      </c>
      <c r="I470" s="3">
        <f t="shared" si="6"/>
        <v>0</v>
      </c>
      <c r="J470" s="3">
        <f t="shared" si="7"/>
        <v>0</v>
      </c>
      <c r="K470" s="3"/>
      <c r="L470" s="3">
        <f t="shared" si="8"/>
        <v>388.1758632</v>
      </c>
      <c r="M470" s="14">
        <f t="shared" si="9"/>
        <v>394.2482498</v>
      </c>
      <c r="N470" s="14">
        <f t="shared" si="10"/>
        <v>-6.072386606</v>
      </c>
      <c r="O470" s="3"/>
      <c r="P470" s="3"/>
      <c r="Q470" s="3"/>
      <c r="R470" s="2"/>
      <c r="S470" s="14">
        <f t="shared" si="13"/>
        <v>-5.576249137</v>
      </c>
    </row>
    <row r="471">
      <c r="A471" s="11">
        <v>459.0</v>
      </c>
      <c r="B471" s="11">
        <v>1.42139130434782E9</v>
      </c>
      <c r="C471" s="2">
        <v>-102.8828659</v>
      </c>
      <c r="D471" s="3">
        <f t="shared" si="1"/>
        <v>991304.3478</v>
      </c>
      <c r="E471" s="4">
        <f t="shared" si="2"/>
        <v>-210.2898143</v>
      </c>
      <c r="F471" s="3">
        <f t="shared" si="3"/>
        <v>0.0002121344618</v>
      </c>
      <c r="G471" s="3">
        <f t="shared" si="4"/>
        <v>0</v>
      </c>
      <c r="H471" s="2">
        <f t="shared" si="5"/>
        <v>0</v>
      </c>
      <c r="I471" s="3">
        <f t="shared" si="6"/>
        <v>0</v>
      </c>
      <c r="J471" s="3">
        <f t="shared" si="7"/>
        <v>0</v>
      </c>
      <c r="K471" s="3"/>
      <c r="L471" s="3">
        <f t="shared" si="8"/>
        <v>391.5791663</v>
      </c>
      <c r="M471" s="14">
        <f t="shared" si="9"/>
        <v>394.1540159</v>
      </c>
      <c r="N471" s="14">
        <f t="shared" si="10"/>
        <v>-2.57484958</v>
      </c>
      <c r="O471" s="3"/>
      <c r="P471" s="3"/>
      <c r="Q471" s="3"/>
      <c r="R471" s="2"/>
      <c r="S471" s="14">
        <f t="shared" si="13"/>
        <v>-2.364474412</v>
      </c>
    </row>
    <row r="472">
      <c r="A472" s="11">
        <v>460.0</v>
      </c>
      <c r="B472" s="11">
        <v>1.42139565217391E9</v>
      </c>
      <c r="C472" s="2">
        <v>-102.8454514</v>
      </c>
      <c r="D472" s="3">
        <f t="shared" si="1"/>
        <v>995652.1739</v>
      </c>
      <c r="E472" s="4">
        <f t="shared" si="2"/>
        <v>-211.2081104</v>
      </c>
      <c r="F472" s="3">
        <f t="shared" si="3"/>
        <v>0.0002121304166</v>
      </c>
      <c r="G472" s="3">
        <f t="shared" si="4"/>
        <v>0</v>
      </c>
      <c r="H472" s="2">
        <f t="shared" si="5"/>
        <v>0</v>
      </c>
      <c r="I472" s="3">
        <f t="shared" si="6"/>
        <v>0</v>
      </c>
      <c r="J472" s="3">
        <f t="shared" si="7"/>
        <v>0</v>
      </c>
      <c r="K472" s="3"/>
      <c r="L472" s="3">
        <f t="shared" si="8"/>
        <v>394.9671965</v>
      </c>
      <c r="M472" s="14">
        <f t="shared" si="9"/>
        <v>394.0595575</v>
      </c>
      <c r="N472" s="14">
        <f t="shared" si="10"/>
        <v>0.9076390459</v>
      </c>
      <c r="O472" s="3"/>
      <c r="P472" s="3"/>
      <c r="Q472" s="3"/>
      <c r="R472" s="2"/>
      <c r="S472" s="14">
        <f t="shared" si="13"/>
        <v>0.7187499288</v>
      </c>
    </row>
    <row r="473">
      <c r="A473" s="11">
        <v>461.0</v>
      </c>
      <c r="B473" s="11">
        <v>1.4214E9</v>
      </c>
      <c r="C473" s="2">
        <v>-102.8442764</v>
      </c>
      <c r="D473" s="3">
        <f t="shared" si="1"/>
        <v>1000000</v>
      </c>
      <c r="E473" s="29">
        <f>-0.000212*D473</f>
        <v>-212</v>
      </c>
      <c r="F473" s="3">
        <f t="shared" si="3"/>
        <v>0.000212</v>
      </c>
      <c r="G473" s="3">
        <f t="shared" si="4"/>
        <v>0</v>
      </c>
      <c r="H473" s="2">
        <f t="shared" si="5"/>
        <v>0</v>
      </c>
      <c r="I473" s="3">
        <f t="shared" si="6"/>
        <v>0</v>
      </c>
      <c r="J473" s="3">
        <f t="shared" si="7"/>
        <v>0</v>
      </c>
      <c r="K473" s="3"/>
      <c r="L473" s="3">
        <f t="shared" si="8"/>
        <v>395.0740708</v>
      </c>
      <c r="M473" s="14">
        <f t="shared" si="9"/>
        <v>393.9779205</v>
      </c>
      <c r="N473" s="14">
        <f t="shared" si="10"/>
        <v>1.096150384</v>
      </c>
      <c r="O473" s="3"/>
      <c r="P473" s="3"/>
      <c r="Q473" s="3"/>
      <c r="R473" s="2"/>
      <c r="S473" s="14"/>
    </row>
    <row r="474">
      <c r="D474" s="3"/>
      <c r="E474" s="4"/>
      <c r="F474" s="3"/>
      <c r="G474" s="3"/>
      <c r="H474" s="3"/>
      <c r="I474" s="3"/>
      <c r="J474" s="3"/>
      <c r="K474" s="3"/>
      <c r="L474" s="3"/>
      <c r="M474" s="5"/>
      <c r="N474" s="3"/>
      <c r="O474" s="3"/>
      <c r="P474" s="3"/>
      <c r="Q474" s="3"/>
      <c r="R474" s="3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0</v>
      </c>
      <c r="B1" s="11" t="s">
        <v>1</v>
      </c>
    </row>
    <row r="2">
      <c r="A2" s="11" t="s">
        <v>2</v>
      </c>
      <c r="B2" s="11" t="s">
        <v>3</v>
      </c>
    </row>
    <row r="3">
      <c r="A3" s="11" t="s">
        <v>5</v>
      </c>
      <c r="B3" s="11" t="s">
        <v>6</v>
      </c>
    </row>
    <row r="4">
      <c r="A4" s="11" t="s">
        <v>7</v>
      </c>
      <c r="B4" s="11">
        <v>1.4204E9</v>
      </c>
      <c r="C4" s="11" t="s">
        <v>8</v>
      </c>
    </row>
    <row r="5">
      <c r="A5" s="11" t="s">
        <v>9</v>
      </c>
      <c r="B5" s="11">
        <v>2000000.0</v>
      </c>
      <c r="C5" s="11" t="s">
        <v>8</v>
      </c>
    </row>
    <row r="6">
      <c r="A6" s="11" t="s">
        <v>10</v>
      </c>
      <c r="B6" s="11">
        <v>30000.0</v>
      </c>
      <c r="C6" s="11" t="s">
        <v>8</v>
      </c>
    </row>
    <row r="7">
      <c r="A7" s="11" t="s">
        <v>11</v>
      </c>
      <c r="B7" s="11">
        <v>30000.0</v>
      </c>
      <c r="C7" s="11" t="s">
        <v>8</v>
      </c>
    </row>
    <row r="8">
      <c r="A8" s="11" t="s">
        <v>12</v>
      </c>
      <c r="B8" s="11">
        <v>-97.0</v>
      </c>
      <c r="C8" s="11" t="s">
        <v>13</v>
      </c>
    </row>
    <row r="9">
      <c r="A9" s="11" t="s">
        <v>14</v>
      </c>
      <c r="B9" s="11">
        <v>1.0</v>
      </c>
      <c r="C9" s="11" t="s">
        <v>15</v>
      </c>
    </row>
    <row r="10">
      <c r="A10" s="11" t="s">
        <v>16</v>
      </c>
      <c r="B10" s="11">
        <v>461.0</v>
      </c>
    </row>
    <row r="11">
      <c r="A11" s="11" t="s">
        <v>17</v>
      </c>
      <c r="B11" s="11" t="s">
        <v>8</v>
      </c>
      <c r="C11" s="11" t="s">
        <v>13</v>
      </c>
      <c r="D11" s="2" t="s">
        <v>18</v>
      </c>
      <c r="E11" s="1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26</v>
      </c>
      <c r="M11" s="6" t="s">
        <v>27</v>
      </c>
      <c r="N11" s="2" t="s">
        <v>28</v>
      </c>
      <c r="O11" s="3"/>
      <c r="P11" s="2" t="s">
        <v>29</v>
      </c>
      <c r="Q11" s="2" t="s">
        <v>30</v>
      </c>
      <c r="R11" s="2"/>
      <c r="S11" s="2" t="s">
        <v>31</v>
      </c>
      <c r="V11" s="13" t="s">
        <v>32</v>
      </c>
    </row>
    <row r="12">
      <c r="A12" s="11" t="s">
        <v>33</v>
      </c>
      <c r="B12" s="11" t="s">
        <v>34</v>
      </c>
      <c r="C12" s="11" t="s">
        <v>35</v>
      </c>
      <c r="D12" s="3"/>
      <c r="E12" s="4"/>
      <c r="F12" s="3"/>
      <c r="G12" s="2" t="s">
        <v>36</v>
      </c>
      <c r="H12" s="2" t="s">
        <v>37</v>
      </c>
      <c r="I12" s="3"/>
      <c r="J12" s="3"/>
      <c r="K12" s="3"/>
      <c r="L12" s="3"/>
      <c r="M12" s="5"/>
      <c r="N12" s="3"/>
      <c r="O12" s="3"/>
      <c r="P12" s="3"/>
      <c r="Q12" s="3"/>
      <c r="R12" s="3"/>
      <c r="S12" s="3"/>
    </row>
    <row r="13">
      <c r="A13" s="11">
        <v>1.0</v>
      </c>
      <c r="B13" s="11">
        <v>1.4194E9</v>
      </c>
      <c r="C13" s="2">
        <v>-102.3999481</v>
      </c>
      <c r="D13" s="3">
        <f t="shared" ref="D13:D473" si="1">B13-$B$4</f>
        <v>-1000000</v>
      </c>
      <c r="E13" s="4">
        <f t="shared" ref="E13:E472" si="2">-((B14-$B$4)/$B$4)*(3*10^5)</f>
        <v>210.2898143</v>
      </c>
      <c r="F13" s="3">
        <f t="shared" ref="F13:F473" si="3">-E13/D13</f>
        <v>0.0002102898143</v>
      </c>
      <c r="G13" s="3">
        <f t="shared" ref="G13:G473" si="4">(10^(C13/10))/1000</f>
        <v>0</v>
      </c>
      <c r="H13" s="2">
        <f t="shared" ref="H13:H473" si="5">G13/30000</f>
        <v>0</v>
      </c>
      <c r="I13" s="3">
        <f t="shared" ref="I13:I473" si="6">0.0063*H13</f>
        <v>0</v>
      </c>
      <c r="J13" s="3">
        <f t="shared" ref="J13:J473" si="7">(1/F13^2)*I13</f>
        <v>0</v>
      </c>
      <c r="K13" s="22">
        <f>1.38064852E-23</f>
        <v>0</v>
      </c>
      <c r="L13" s="3">
        <f t="shared" ref="L13:L473" si="8">(1/(2*$K$13))*(I13)</f>
        <v>437.6343045</v>
      </c>
      <c r="M13" s="14">
        <f t="shared" ref="M13:M473" si="9"> 0.0000000041*E13^3 + 0.0000404818*E13^2 + 0.0929475437*E13 + 412.2585200957
</f>
        <v>433.6327476</v>
      </c>
      <c r="N13" s="14">
        <f t="shared" ref="N13:N473" si="10">L13-(M13)</f>
        <v>4.001556893</v>
      </c>
      <c r="O13" s="3"/>
      <c r="P13" s="23">
        <f t="shared" ref="P13:P67" si="11">-((B14-$B$4)/$B$4)*(3*10^5)</f>
        <v>210.2898143</v>
      </c>
      <c r="Q13" s="14">
        <f t="shared" ref="Q13:Q67" si="12">(1/(2*$K$13))*(I13)</f>
        <v>437.6343045</v>
      </c>
      <c r="R13" s="2"/>
      <c r="S13" s="14">
        <f t="shared" ref="S13:S472" si="13">(N13 * ABS(E14-E13))</f>
        <v>3.67461422</v>
      </c>
      <c r="V13" s="3">
        <f>1822400000000000000 * SUM(S13:S473)</f>
        <v>1.31063E+22</v>
      </c>
    </row>
    <row r="14">
      <c r="A14" s="11">
        <v>2.0</v>
      </c>
      <c r="B14" s="11">
        <v>1.41940434782608E9</v>
      </c>
      <c r="C14" s="2">
        <v>-102.4209518</v>
      </c>
      <c r="D14" s="3">
        <f t="shared" si="1"/>
        <v>-995652.1739</v>
      </c>
      <c r="E14" s="4">
        <f t="shared" si="2"/>
        <v>209.3715181</v>
      </c>
      <c r="F14" s="3">
        <f t="shared" si="3"/>
        <v>0.0002102858042</v>
      </c>
      <c r="G14" s="3">
        <f t="shared" si="4"/>
        <v>0</v>
      </c>
      <c r="H14" s="2">
        <f t="shared" si="5"/>
        <v>0</v>
      </c>
      <c r="I14" s="3">
        <f t="shared" si="6"/>
        <v>0</v>
      </c>
      <c r="J14" s="3">
        <f t="shared" si="7"/>
        <v>0</v>
      </c>
      <c r="K14" s="3"/>
      <c r="L14" s="3">
        <f t="shared" si="8"/>
        <v>435.522892</v>
      </c>
      <c r="M14" s="14">
        <f t="shared" si="9"/>
        <v>433.5312963</v>
      </c>
      <c r="N14" s="14">
        <f t="shared" si="10"/>
        <v>1.991595668</v>
      </c>
      <c r="O14" s="3"/>
      <c r="P14" s="23">
        <f t="shared" si="11"/>
        <v>209.3715181</v>
      </c>
      <c r="Q14" s="14">
        <f t="shared" si="12"/>
        <v>435.522892</v>
      </c>
      <c r="R14" s="2"/>
      <c r="S14" s="14">
        <f t="shared" si="13"/>
        <v>1.8288746</v>
      </c>
    </row>
    <row r="15">
      <c r="A15" s="11">
        <v>3.0</v>
      </c>
      <c r="B15" s="11">
        <v>1.41940869565217E9</v>
      </c>
      <c r="C15" s="2">
        <v>-102.4278107</v>
      </c>
      <c r="D15" s="3">
        <f t="shared" si="1"/>
        <v>-991304.3478</v>
      </c>
      <c r="E15" s="4">
        <f t="shared" si="2"/>
        <v>208.453222</v>
      </c>
      <c r="F15" s="3">
        <f t="shared" si="3"/>
        <v>0.000210281759</v>
      </c>
      <c r="G15" s="3">
        <f t="shared" si="4"/>
        <v>0</v>
      </c>
      <c r="H15" s="2">
        <f t="shared" si="5"/>
        <v>0</v>
      </c>
      <c r="I15" s="3">
        <f t="shared" si="6"/>
        <v>0</v>
      </c>
      <c r="J15" s="3">
        <f t="shared" si="7"/>
        <v>0</v>
      </c>
      <c r="K15" s="3"/>
      <c r="L15" s="3">
        <f t="shared" si="8"/>
        <v>434.8356048</v>
      </c>
      <c r="M15" s="14">
        <f t="shared" si="9"/>
        <v>433.4299177</v>
      </c>
      <c r="N15" s="14">
        <f t="shared" si="10"/>
        <v>1.405687151</v>
      </c>
      <c r="O15" s="3"/>
      <c r="P15" s="23">
        <f t="shared" si="11"/>
        <v>208.453222</v>
      </c>
      <c r="Q15" s="14">
        <f t="shared" si="12"/>
        <v>434.8356048</v>
      </c>
      <c r="R15" s="2"/>
      <c r="S15" s="14">
        <f t="shared" si="13"/>
        <v>1.290837072</v>
      </c>
    </row>
    <row r="16">
      <c r="A16" s="11">
        <v>4.0</v>
      </c>
      <c r="B16" s="11">
        <v>1.41941304347826E9</v>
      </c>
      <c r="C16" s="2">
        <v>-102.4698639</v>
      </c>
      <c r="D16" s="3">
        <f t="shared" si="1"/>
        <v>-986956.5217</v>
      </c>
      <c r="E16" s="4">
        <f t="shared" si="2"/>
        <v>207.5349259</v>
      </c>
      <c r="F16" s="3">
        <f t="shared" si="3"/>
        <v>0.0002102776782</v>
      </c>
      <c r="G16" s="3">
        <f t="shared" si="4"/>
        <v>0</v>
      </c>
      <c r="H16" s="2">
        <f t="shared" si="5"/>
        <v>0</v>
      </c>
      <c r="I16" s="3">
        <f t="shared" si="6"/>
        <v>0</v>
      </c>
      <c r="J16" s="3">
        <f t="shared" si="7"/>
        <v>0</v>
      </c>
      <c r="K16" s="3"/>
      <c r="L16" s="3">
        <f t="shared" si="8"/>
        <v>430.6453651</v>
      </c>
      <c r="M16" s="14">
        <f t="shared" si="9"/>
        <v>433.3286116</v>
      </c>
      <c r="N16" s="14">
        <f t="shared" si="10"/>
        <v>-2.683246518</v>
      </c>
      <c r="O16" s="3"/>
      <c r="P16" s="23">
        <f t="shared" si="11"/>
        <v>207.5349259</v>
      </c>
      <c r="Q16" s="14">
        <f t="shared" si="12"/>
        <v>430.6453651</v>
      </c>
      <c r="R16" s="2"/>
      <c r="S16" s="14">
        <f t="shared" si="13"/>
        <v>-2.4640149</v>
      </c>
    </row>
    <row r="17">
      <c r="A17" s="11">
        <v>5.0</v>
      </c>
      <c r="B17" s="11">
        <v>1.41941739130434E9</v>
      </c>
      <c r="C17" s="2">
        <v>-102.4034882</v>
      </c>
      <c r="D17" s="3">
        <f t="shared" si="1"/>
        <v>-982608.6957</v>
      </c>
      <c r="E17" s="4">
        <f t="shared" si="2"/>
        <v>206.6166297</v>
      </c>
      <c r="F17" s="3">
        <f t="shared" si="3"/>
        <v>0.0002102735612</v>
      </c>
      <c r="G17" s="3">
        <f t="shared" si="4"/>
        <v>0</v>
      </c>
      <c r="H17" s="2">
        <f t="shared" si="5"/>
        <v>0</v>
      </c>
      <c r="I17" s="3">
        <f t="shared" si="6"/>
        <v>0</v>
      </c>
      <c r="J17" s="3">
        <f t="shared" si="7"/>
        <v>0</v>
      </c>
      <c r="K17" s="3"/>
      <c r="L17" s="3">
        <f t="shared" si="8"/>
        <v>437.2777175</v>
      </c>
      <c r="M17" s="14">
        <f t="shared" si="9"/>
        <v>433.2273781</v>
      </c>
      <c r="N17" s="14">
        <f t="shared" si="10"/>
        <v>4.050339351</v>
      </c>
      <c r="O17" s="3"/>
      <c r="P17" s="23">
        <f t="shared" si="11"/>
        <v>206.6166297</v>
      </c>
      <c r="Q17" s="14">
        <f t="shared" si="12"/>
        <v>437.2777175</v>
      </c>
      <c r="R17" s="2"/>
      <c r="S17" s="14">
        <f t="shared" si="13"/>
        <v>3.719410963</v>
      </c>
    </row>
    <row r="18">
      <c r="A18" s="11">
        <v>6.0</v>
      </c>
      <c r="B18" s="11">
        <v>1.41942173913043E9</v>
      </c>
      <c r="C18" s="2">
        <v>-102.4075165</v>
      </c>
      <c r="D18" s="3">
        <f t="shared" si="1"/>
        <v>-978260.8696</v>
      </c>
      <c r="E18" s="4">
        <f t="shared" si="2"/>
        <v>205.6983336</v>
      </c>
      <c r="F18" s="3">
        <f t="shared" si="3"/>
        <v>0.0002102694077</v>
      </c>
      <c r="G18" s="3">
        <f t="shared" si="4"/>
        <v>0</v>
      </c>
      <c r="H18" s="2">
        <f t="shared" si="5"/>
        <v>0</v>
      </c>
      <c r="I18" s="3">
        <f t="shared" si="6"/>
        <v>0</v>
      </c>
      <c r="J18" s="3">
        <f t="shared" si="7"/>
        <v>0</v>
      </c>
      <c r="K18" s="3"/>
      <c r="L18" s="3">
        <f t="shared" si="8"/>
        <v>436.8723084</v>
      </c>
      <c r="M18" s="14">
        <f t="shared" si="9"/>
        <v>433.1262172</v>
      </c>
      <c r="N18" s="14">
        <f t="shared" si="10"/>
        <v>3.74609123</v>
      </c>
      <c r="O18" s="3"/>
      <c r="P18" s="23">
        <f t="shared" si="11"/>
        <v>205.6983336</v>
      </c>
      <c r="Q18" s="14">
        <f t="shared" si="12"/>
        <v>436.8723084</v>
      </c>
      <c r="R18" s="14"/>
      <c r="S18" s="14">
        <f t="shared" si="13"/>
        <v>3.440021081</v>
      </c>
    </row>
    <row r="19">
      <c r="A19" s="11">
        <v>7.0</v>
      </c>
      <c r="B19" s="11">
        <v>1.41942608695652E9</v>
      </c>
      <c r="C19" s="2">
        <v>-102.5200806</v>
      </c>
      <c r="D19" s="3">
        <f t="shared" si="1"/>
        <v>-973913.0435</v>
      </c>
      <c r="E19" s="4">
        <f t="shared" si="2"/>
        <v>204.7800375</v>
      </c>
      <c r="F19" s="3">
        <f t="shared" si="3"/>
        <v>0.000210265217</v>
      </c>
      <c r="G19" s="3">
        <f t="shared" si="4"/>
        <v>0</v>
      </c>
      <c r="H19" s="2">
        <f t="shared" si="5"/>
        <v>0</v>
      </c>
      <c r="I19" s="3">
        <f t="shared" si="6"/>
        <v>0</v>
      </c>
      <c r="J19" s="3">
        <f t="shared" si="7"/>
        <v>0</v>
      </c>
      <c r="K19" s="3"/>
      <c r="L19" s="3">
        <f t="shared" si="8"/>
        <v>425.6945669</v>
      </c>
      <c r="M19" s="14">
        <f t="shared" si="9"/>
        <v>433.0251288</v>
      </c>
      <c r="N19" s="14">
        <f t="shared" si="10"/>
        <v>-7.330561852</v>
      </c>
      <c r="O19" s="3"/>
      <c r="P19" s="23">
        <f t="shared" si="11"/>
        <v>204.7800375</v>
      </c>
      <c r="Q19" s="14">
        <f t="shared" si="12"/>
        <v>425.6945669</v>
      </c>
      <c r="R19" s="2"/>
      <c r="S19" s="14">
        <f t="shared" si="13"/>
        <v>-6.7316266</v>
      </c>
    </row>
    <row r="20">
      <c r="A20" s="11">
        <v>8.0</v>
      </c>
      <c r="B20" s="11">
        <v>1.4194304347826E9</v>
      </c>
      <c r="C20" s="2">
        <v>-102.484314</v>
      </c>
      <c r="D20" s="3">
        <f t="shared" si="1"/>
        <v>-969565.2174</v>
      </c>
      <c r="E20" s="4">
        <f t="shared" si="2"/>
        <v>203.8617413</v>
      </c>
      <c r="F20" s="3">
        <f t="shared" si="3"/>
        <v>0.0002102609888</v>
      </c>
      <c r="G20" s="3">
        <f t="shared" si="4"/>
        <v>0</v>
      </c>
      <c r="H20" s="2">
        <f t="shared" si="5"/>
        <v>0</v>
      </c>
      <c r="I20" s="3">
        <f t="shared" si="6"/>
        <v>0</v>
      </c>
      <c r="J20" s="3">
        <f t="shared" si="7"/>
        <v>0</v>
      </c>
      <c r="K20" s="3"/>
      <c r="L20" s="3">
        <f t="shared" si="8"/>
        <v>429.2148778</v>
      </c>
      <c r="M20" s="14">
        <f t="shared" si="9"/>
        <v>432.9241129</v>
      </c>
      <c r="N20" s="14">
        <f t="shared" si="10"/>
        <v>-3.709235157</v>
      </c>
      <c r="O20" s="3"/>
      <c r="P20" s="23">
        <f t="shared" si="11"/>
        <v>203.8617413</v>
      </c>
      <c r="Q20" s="14">
        <f t="shared" si="12"/>
        <v>429.2148778</v>
      </c>
      <c r="R20" s="2"/>
      <c r="S20" s="14">
        <f t="shared" si="13"/>
        <v>-3.4061763</v>
      </c>
    </row>
    <row r="21">
      <c r="A21" s="11">
        <v>9.0</v>
      </c>
      <c r="B21" s="11">
        <v>1.41943478260869E9</v>
      </c>
      <c r="C21" s="2">
        <v>-102.4720535</v>
      </c>
      <c r="D21" s="3">
        <f t="shared" si="1"/>
        <v>-965217.3913</v>
      </c>
      <c r="E21" s="4">
        <f t="shared" si="2"/>
        <v>202.9434452</v>
      </c>
      <c r="F21" s="3">
        <f t="shared" si="3"/>
        <v>0.0002102567225</v>
      </c>
      <c r="G21" s="3">
        <f t="shared" si="4"/>
        <v>0</v>
      </c>
      <c r="H21" s="2">
        <f t="shared" si="5"/>
        <v>0</v>
      </c>
      <c r="I21" s="3">
        <f t="shared" si="6"/>
        <v>0</v>
      </c>
      <c r="J21" s="3">
        <f t="shared" si="7"/>
        <v>0</v>
      </c>
      <c r="K21" s="3"/>
      <c r="L21" s="3">
        <f t="shared" si="8"/>
        <v>430.4282996</v>
      </c>
      <c r="M21" s="14">
        <f t="shared" si="9"/>
        <v>432.8231695</v>
      </c>
      <c r="N21" s="14">
        <f t="shared" si="10"/>
        <v>-2.394869952</v>
      </c>
      <c r="O21" s="3"/>
      <c r="P21" s="23">
        <f t="shared" si="11"/>
        <v>202.9434452</v>
      </c>
      <c r="Q21" s="14">
        <f t="shared" si="12"/>
        <v>430.4282996</v>
      </c>
      <c r="R21" s="2"/>
      <c r="S21" s="14">
        <f t="shared" si="13"/>
        <v>-2.199199816</v>
      </c>
    </row>
    <row r="22">
      <c r="A22" s="11">
        <v>10.0</v>
      </c>
      <c r="B22" s="11">
        <v>1.41943913043478E9</v>
      </c>
      <c r="C22" s="2">
        <v>-102.4129868</v>
      </c>
      <c r="D22" s="3">
        <f t="shared" si="1"/>
        <v>-960869.5652</v>
      </c>
      <c r="E22" s="4">
        <f t="shared" si="2"/>
        <v>202.0251491</v>
      </c>
      <c r="F22" s="3">
        <f t="shared" si="3"/>
        <v>0.0002102524176</v>
      </c>
      <c r="G22" s="3">
        <f t="shared" si="4"/>
        <v>0</v>
      </c>
      <c r="H22" s="2">
        <f t="shared" si="5"/>
        <v>0</v>
      </c>
      <c r="I22" s="3">
        <f t="shared" si="6"/>
        <v>0</v>
      </c>
      <c r="J22" s="3">
        <f t="shared" si="7"/>
        <v>0</v>
      </c>
      <c r="K22" s="3"/>
      <c r="L22" s="3">
        <f t="shared" si="8"/>
        <v>436.3223778</v>
      </c>
      <c r="M22" s="14">
        <f t="shared" si="9"/>
        <v>432.7222987</v>
      </c>
      <c r="N22" s="14">
        <f t="shared" si="10"/>
        <v>3.600079166</v>
      </c>
      <c r="O22" s="3"/>
      <c r="P22" s="23">
        <f t="shared" si="11"/>
        <v>202.0251491</v>
      </c>
      <c r="Q22" s="14">
        <f t="shared" si="12"/>
        <v>436.3223778</v>
      </c>
      <c r="R22" s="2"/>
      <c r="S22" s="14">
        <f t="shared" si="13"/>
        <v>3.305938769</v>
      </c>
      <c r="U22" s="11">
        <v>1.0</v>
      </c>
    </row>
    <row r="23">
      <c r="A23" s="11">
        <v>11.0</v>
      </c>
      <c r="B23" s="11">
        <v>1.41944347826087E9</v>
      </c>
      <c r="C23" s="2">
        <v>-102.4445038</v>
      </c>
      <c r="D23" s="3">
        <f t="shared" si="1"/>
        <v>-956521.7391</v>
      </c>
      <c r="E23" s="4">
        <f t="shared" si="2"/>
        <v>201.1068529</v>
      </c>
      <c r="F23" s="3">
        <f t="shared" si="3"/>
        <v>0.0002102480735</v>
      </c>
      <c r="G23" s="3">
        <f t="shared" si="4"/>
        <v>0</v>
      </c>
      <c r="H23" s="2">
        <f t="shared" si="5"/>
        <v>0</v>
      </c>
      <c r="I23" s="3">
        <f t="shared" si="6"/>
        <v>0</v>
      </c>
      <c r="J23" s="3">
        <f t="shared" si="7"/>
        <v>0</v>
      </c>
      <c r="K23" s="3"/>
      <c r="L23" s="3">
        <f t="shared" si="8"/>
        <v>433.167423</v>
      </c>
      <c r="M23" s="14">
        <f t="shared" si="9"/>
        <v>432.6215002</v>
      </c>
      <c r="N23" s="14">
        <f t="shared" si="10"/>
        <v>0.5459227169</v>
      </c>
      <c r="O23" s="3"/>
      <c r="P23" s="23">
        <f t="shared" si="11"/>
        <v>201.1068529</v>
      </c>
      <c r="Q23" s="14">
        <f t="shared" si="12"/>
        <v>433.167423</v>
      </c>
      <c r="R23" s="2"/>
      <c r="S23" s="14">
        <f t="shared" si="13"/>
        <v>0.5013187197</v>
      </c>
    </row>
    <row r="24">
      <c r="A24" s="11">
        <v>12.0</v>
      </c>
      <c r="B24" s="11">
        <v>1.41944782608695E9</v>
      </c>
      <c r="C24" s="2">
        <v>-102.4251022</v>
      </c>
      <c r="D24" s="3">
        <f t="shared" si="1"/>
        <v>-952173.913</v>
      </c>
      <c r="E24" s="4">
        <f t="shared" si="2"/>
        <v>200.1885568</v>
      </c>
      <c r="F24" s="3">
        <f t="shared" si="3"/>
        <v>0.0002102436898</v>
      </c>
      <c r="G24" s="3">
        <f t="shared" si="4"/>
        <v>0</v>
      </c>
      <c r="H24" s="2">
        <f t="shared" si="5"/>
        <v>0</v>
      </c>
      <c r="I24" s="3">
        <f t="shared" si="6"/>
        <v>0</v>
      </c>
      <c r="J24" s="3">
        <f t="shared" si="7"/>
        <v>0</v>
      </c>
      <c r="K24" s="3"/>
      <c r="L24" s="3">
        <f t="shared" si="8"/>
        <v>435.1068769</v>
      </c>
      <c r="M24" s="14">
        <f t="shared" si="9"/>
        <v>432.5207743</v>
      </c>
      <c r="N24" s="14">
        <f t="shared" si="10"/>
        <v>2.586102601</v>
      </c>
      <c r="O24" s="3"/>
      <c r="P24" s="23">
        <f t="shared" si="11"/>
        <v>200.1885568</v>
      </c>
      <c r="Q24" s="14">
        <f t="shared" si="12"/>
        <v>435.1068769</v>
      </c>
      <c r="R24" s="2"/>
      <c r="S24" s="14">
        <f t="shared" si="13"/>
        <v>2.374808017</v>
      </c>
    </row>
    <row r="25">
      <c r="A25" s="11">
        <v>13.0</v>
      </c>
      <c r="B25" s="11">
        <v>1.41945217391304E9</v>
      </c>
      <c r="C25" s="2">
        <v>-102.4917908</v>
      </c>
      <c r="D25" s="3">
        <f t="shared" si="1"/>
        <v>-947826.087</v>
      </c>
      <c r="E25" s="4">
        <f t="shared" si="2"/>
        <v>199.2702607</v>
      </c>
      <c r="F25" s="3">
        <f t="shared" si="3"/>
        <v>0.0002102392658</v>
      </c>
      <c r="G25" s="3">
        <f t="shared" si="4"/>
        <v>0</v>
      </c>
      <c r="H25" s="2">
        <f t="shared" si="5"/>
        <v>0</v>
      </c>
      <c r="I25" s="3">
        <f t="shared" si="6"/>
        <v>0</v>
      </c>
      <c r="J25" s="3">
        <f t="shared" si="7"/>
        <v>0</v>
      </c>
      <c r="K25" s="3"/>
      <c r="L25" s="3">
        <f t="shared" si="8"/>
        <v>428.4765785</v>
      </c>
      <c r="M25" s="14">
        <f t="shared" si="9"/>
        <v>432.4201207</v>
      </c>
      <c r="N25" s="14">
        <f t="shared" si="10"/>
        <v>-3.943542236</v>
      </c>
      <c r="O25" s="3"/>
      <c r="P25" s="23">
        <f t="shared" si="11"/>
        <v>199.2702607</v>
      </c>
      <c r="Q25" s="14">
        <f t="shared" si="12"/>
        <v>428.4765785</v>
      </c>
      <c r="R25" s="2"/>
      <c r="S25" s="14">
        <f t="shared" si="13"/>
        <v>-3.621339576</v>
      </c>
    </row>
    <row r="26">
      <c r="A26" s="11">
        <v>14.0</v>
      </c>
      <c r="B26" s="11">
        <v>1.41945652173913E9</v>
      </c>
      <c r="C26" s="2">
        <v>-102.441391</v>
      </c>
      <c r="D26" s="3">
        <f t="shared" si="1"/>
        <v>-943478.2609</v>
      </c>
      <c r="E26" s="4">
        <f t="shared" si="2"/>
        <v>198.3519645</v>
      </c>
      <c r="F26" s="3">
        <f t="shared" si="3"/>
        <v>0.0002102348011</v>
      </c>
      <c r="G26" s="3">
        <f t="shared" si="4"/>
        <v>0</v>
      </c>
      <c r="H26" s="2">
        <f t="shared" si="5"/>
        <v>0</v>
      </c>
      <c r="I26" s="3">
        <f t="shared" si="6"/>
        <v>0</v>
      </c>
      <c r="J26" s="3">
        <f t="shared" si="7"/>
        <v>0</v>
      </c>
      <c r="K26" s="3"/>
      <c r="L26" s="3">
        <f t="shared" si="8"/>
        <v>433.4780064</v>
      </c>
      <c r="M26" s="14">
        <f t="shared" si="9"/>
        <v>432.3195396</v>
      </c>
      <c r="N26" s="14">
        <f t="shared" si="10"/>
        <v>1.158466844</v>
      </c>
      <c r="O26" s="3"/>
      <c r="P26" s="23">
        <f t="shared" si="11"/>
        <v>198.3519645</v>
      </c>
      <c r="Q26" s="14">
        <f t="shared" si="12"/>
        <v>433.4780064</v>
      </c>
      <c r="R26" s="2"/>
      <c r="S26" s="14">
        <f t="shared" si="13"/>
        <v>1.063815623</v>
      </c>
    </row>
    <row r="27">
      <c r="A27" s="11">
        <v>15.0</v>
      </c>
      <c r="B27" s="11">
        <v>1.41946086956521E9</v>
      </c>
      <c r="C27" s="2">
        <v>-102.4323044</v>
      </c>
      <c r="D27" s="3">
        <f t="shared" si="1"/>
        <v>-939130.4348</v>
      </c>
      <c r="E27" s="4">
        <f t="shared" si="2"/>
        <v>197.4336684</v>
      </c>
      <c r="F27" s="3">
        <f t="shared" si="3"/>
        <v>0.0002102302951</v>
      </c>
      <c r="G27" s="3">
        <f t="shared" si="4"/>
        <v>0</v>
      </c>
      <c r="H27" s="2">
        <f t="shared" si="5"/>
        <v>0</v>
      </c>
      <c r="I27" s="3">
        <f t="shared" si="6"/>
        <v>0</v>
      </c>
      <c r="J27" s="3">
        <f t="shared" si="7"/>
        <v>0</v>
      </c>
      <c r="K27" s="3"/>
      <c r="L27" s="3">
        <f t="shared" si="8"/>
        <v>434.3859076</v>
      </c>
      <c r="M27" s="14">
        <f t="shared" si="9"/>
        <v>432.2190308</v>
      </c>
      <c r="N27" s="14">
        <f t="shared" si="10"/>
        <v>2.166876762</v>
      </c>
      <c r="O27" s="3"/>
      <c r="P27" s="23">
        <f t="shared" si="11"/>
        <v>197.4336684</v>
      </c>
      <c r="Q27" s="14">
        <f t="shared" si="12"/>
        <v>434.3859076</v>
      </c>
      <c r="R27" s="2"/>
      <c r="S27" s="14">
        <f t="shared" si="13"/>
        <v>1.989834551</v>
      </c>
    </row>
    <row r="28">
      <c r="A28" s="11">
        <v>16.0</v>
      </c>
      <c r="B28" s="11">
        <v>1.4194652173913E9</v>
      </c>
      <c r="C28" s="2">
        <v>-102.4800797</v>
      </c>
      <c r="D28" s="3">
        <f t="shared" si="1"/>
        <v>-934782.6087</v>
      </c>
      <c r="E28" s="4">
        <f t="shared" si="2"/>
        <v>196.5153723</v>
      </c>
      <c r="F28" s="3">
        <f t="shared" si="3"/>
        <v>0.0002102257471</v>
      </c>
      <c r="G28" s="3">
        <f t="shared" si="4"/>
        <v>0</v>
      </c>
      <c r="H28" s="2">
        <f t="shared" si="5"/>
        <v>0</v>
      </c>
      <c r="I28" s="3">
        <f t="shared" si="6"/>
        <v>0</v>
      </c>
      <c r="J28" s="3">
        <f t="shared" si="7"/>
        <v>0</v>
      </c>
      <c r="K28" s="3"/>
      <c r="L28" s="3">
        <f t="shared" si="8"/>
        <v>429.6335593</v>
      </c>
      <c r="M28" s="14">
        <f t="shared" si="9"/>
        <v>432.1185945</v>
      </c>
      <c r="N28" s="14">
        <f t="shared" si="10"/>
        <v>-2.485035171</v>
      </c>
      <c r="O28" s="3"/>
      <c r="P28" s="23">
        <f t="shared" si="11"/>
        <v>196.5153723</v>
      </c>
      <c r="Q28" s="14">
        <f t="shared" si="12"/>
        <v>429.6335593</v>
      </c>
      <c r="R28" s="2"/>
      <c r="S28" s="14">
        <f t="shared" si="13"/>
        <v>-2.281998182</v>
      </c>
    </row>
    <row r="29">
      <c r="A29" s="11">
        <v>17.0</v>
      </c>
      <c r="B29" s="11">
        <v>1.41946956521739E9</v>
      </c>
      <c r="C29" s="2">
        <v>-102.4724731</v>
      </c>
      <c r="D29" s="3">
        <f t="shared" si="1"/>
        <v>-930434.7826</v>
      </c>
      <c r="E29" s="4">
        <f t="shared" si="2"/>
        <v>195.5970761</v>
      </c>
      <c r="F29" s="3">
        <f t="shared" si="3"/>
        <v>0.0002102211566</v>
      </c>
      <c r="G29" s="3">
        <f t="shared" si="4"/>
        <v>0</v>
      </c>
      <c r="H29" s="2">
        <f t="shared" si="5"/>
        <v>0</v>
      </c>
      <c r="I29" s="3">
        <f t="shared" si="6"/>
        <v>0</v>
      </c>
      <c r="J29" s="3">
        <f t="shared" si="7"/>
        <v>0</v>
      </c>
      <c r="K29" s="3"/>
      <c r="L29" s="3">
        <f t="shared" si="8"/>
        <v>430.3867151</v>
      </c>
      <c r="M29" s="14">
        <f t="shared" si="9"/>
        <v>432.0182304</v>
      </c>
      <c r="N29" s="14">
        <f t="shared" si="10"/>
        <v>-1.631515299</v>
      </c>
      <c r="O29" s="3"/>
      <c r="P29" s="23">
        <f t="shared" si="11"/>
        <v>195.5970761</v>
      </c>
      <c r="Q29" s="14">
        <f t="shared" si="12"/>
        <v>430.3867151</v>
      </c>
      <c r="R29" s="2"/>
      <c r="S29" s="14">
        <f t="shared" si="13"/>
        <v>-1.498214189</v>
      </c>
    </row>
    <row r="30">
      <c r="A30" s="11">
        <v>18.0</v>
      </c>
      <c r="B30" s="11">
        <v>1.41947391304347E9</v>
      </c>
      <c r="C30" s="2">
        <v>-102.4999924</v>
      </c>
      <c r="D30" s="3">
        <f t="shared" si="1"/>
        <v>-926086.9565</v>
      </c>
      <c r="E30" s="4">
        <f t="shared" si="2"/>
        <v>194.67878</v>
      </c>
      <c r="F30" s="3">
        <f t="shared" si="3"/>
        <v>0.000210216523</v>
      </c>
      <c r="G30" s="3">
        <f t="shared" si="4"/>
        <v>0</v>
      </c>
      <c r="H30" s="2">
        <f t="shared" si="5"/>
        <v>0</v>
      </c>
      <c r="I30" s="3">
        <f t="shared" si="6"/>
        <v>0</v>
      </c>
      <c r="J30" s="3">
        <f t="shared" si="7"/>
        <v>0</v>
      </c>
      <c r="K30" s="3"/>
      <c r="L30" s="3">
        <f t="shared" si="8"/>
        <v>427.6681691</v>
      </c>
      <c r="M30" s="14">
        <f t="shared" si="9"/>
        <v>431.9179387</v>
      </c>
      <c r="N30" s="14">
        <f t="shared" si="10"/>
        <v>-4.249769629</v>
      </c>
      <c r="O30" s="3"/>
      <c r="P30" s="23">
        <f t="shared" si="11"/>
        <v>194.67878</v>
      </c>
      <c r="Q30" s="14">
        <f t="shared" si="12"/>
        <v>427.6681691</v>
      </c>
      <c r="R30" s="2"/>
      <c r="S30" s="14">
        <f t="shared" si="13"/>
        <v>-3.902547016</v>
      </c>
    </row>
    <row r="31">
      <c r="A31" s="11">
        <v>19.0</v>
      </c>
      <c r="B31" s="11">
        <v>1.41947826086956E9</v>
      </c>
      <c r="C31" s="2">
        <v>-102.4518127</v>
      </c>
      <c r="D31" s="3">
        <f t="shared" si="1"/>
        <v>-921739.1304</v>
      </c>
      <c r="E31" s="4">
        <f t="shared" si="2"/>
        <v>193.7604839</v>
      </c>
      <c r="F31" s="3">
        <f t="shared" si="3"/>
        <v>0.0002102118457</v>
      </c>
      <c r="G31" s="3">
        <f t="shared" si="4"/>
        <v>0</v>
      </c>
      <c r="H31" s="2">
        <f t="shared" si="5"/>
        <v>0</v>
      </c>
      <c r="I31" s="3">
        <f t="shared" si="6"/>
        <v>0</v>
      </c>
      <c r="J31" s="3">
        <f t="shared" si="7"/>
        <v>0</v>
      </c>
      <c r="K31" s="3"/>
      <c r="L31" s="3">
        <f t="shared" si="8"/>
        <v>432.4390428</v>
      </c>
      <c r="M31" s="14">
        <f t="shared" si="9"/>
        <v>431.8177194</v>
      </c>
      <c r="N31" s="14">
        <f t="shared" si="10"/>
        <v>0.6213234551</v>
      </c>
      <c r="O31" s="3"/>
      <c r="P31" s="23">
        <f t="shared" si="11"/>
        <v>193.7604839</v>
      </c>
      <c r="Q31" s="14">
        <f t="shared" si="12"/>
        <v>432.4390428</v>
      </c>
      <c r="R31" s="2"/>
      <c r="S31" s="14">
        <f t="shared" si="13"/>
        <v>0.5705589247</v>
      </c>
    </row>
    <row r="32">
      <c r="A32" s="11">
        <v>20.0</v>
      </c>
      <c r="B32" s="11">
        <v>1.41948260869565E9</v>
      </c>
      <c r="C32" s="2">
        <v>-102.4695969</v>
      </c>
      <c r="D32" s="3">
        <f t="shared" si="1"/>
        <v>-917391.3043</v>
      </c>
      <c r="E32" s="4">
        <f t="shared" si="2"/>
        <v>192.8421878</v>
      </c>
      <c r="F32" s="3">
        <f t="shared" si="3"/>
        <v>0.0002102071241</v>
      </c>
      <c r="G32" s="3">
        <f t="shared" si="4"/>
        <v>0</v>
      </c>
      <c r="H32" s="2">
        <f t="shared" si="5"/>
        <v>0</v>
      </c>
      <c r="I32" s="3">
        <f t="shared" si="6"/>
        <v>0</v>
      </c>
      <c r="J32" s="3">
        <f t="shared" si="7"/>
        <v>0</v>
      </c>
      <c r="K32" s="3"/>
      <c r="L32" s="3">
        <f t="shared" si="8"/>
        <v>430.6718415</v>
      </c>
      <c r="M32" s="14">
        <f t="shared" si="9"/>
        <v>431.7175723</v>
      </c>
      <c r="N32" s="14">
        <f t="shared" si="10"/>
        <v>-1.045730718</v>
      </c>
      <c r="O32" s="3"/>
      <c r="P32" s="23">
        <f t="shared" si="11"/>
        <v>192.8421878</v>
      </c>
      <c r="Q32" s="14">
        <f t="shared" si="12"/>
        <v>430.6718415</v>
      </c>
      <c r="R32" s="2"/>
      <c r="S32" s="14">
        <f t="shared" si="13"/>
        <v>-0.9602904739</v>
      </c>
    </row>
    <row r="33">
      <c r="A33" s="11">
        <v>21.0</v>
      </c>
      <c r="B33" s="11">
        <v>1.41948695652173E9</v>
      </c>
      <c r="C33" s="2">
        <v>-102.5022278</v>
      </c>
      <c r="D33" s="3">
        <f t="shared" si="1"/>
        <v>-913043.4783</v>
      </c>
      <c r="E33" s="4">
        <f t="shared" si="2"/>
        <v>191.9238916</v>
      </c>
      <c r="F33" s="3">
        <f t="shared" si="3"/>
        <v>0.0002102023575</v>
      </c>
      <c r="G33" s="3">
        <f t="shared" si="4"/>
        <v>0</v>
      </c>
      <c r="H33" s="2">
        <f t="shared" si="5"/>
        <v>0</v>
      </c>
      <c r="I33" s="3">
        <f t="shared" si="6"/>
        <v>0</v>
      </c>
      <c r="J33" s="3">
        <f t="shared" si="7"/>
        <v>0</v>
      </c>
      <c r="K33" s="3"/>
      <c r="L33" s="3">
        <f t="shared" si="8"/>
        <v>427.4480964</v>
      </c>
      <c r="M33" s="14">
        <f t="shared" si="9"/>
        <v>431.6174974</v>
      </c>
      <c r="N33" s="14">
        <f t="shared" si="10"/>
        <v>-4.169401001</v>
      </c>
      <c r="O33" s="3"/>
      <c r="P33" s="23">
        <f t="shared" si="11"/>
        <v>191.9238916</v>
      </c>
      <c r="Q33" s="14">
        <f t="shared" si="12"/>
        <v>427.4480964</v>
      </c>
      <c r="R33" s="2"/>
      <c r="S33" s="14">
        <f t="shared" si="13"/>
        <v>-3.828744815</v>
      </c>
    </row>
    <row r="34">
      <c r="A34" s="11">
        <v>22.0</v>
      </c>
      <c r="B34" s="11">
        <v>1.41949130434782E9</v>
      </c>
      <c r="C34" s="2">
        <v>-102.4527512</v>
      </c>
      <c r="D34" s="3">
        <f t="shared" si="1"/>
        <v>-908695.6522</v>
      </c>
      <c r="E34" s="4">
        <f t="shared" si="2"/>
        <v>191.0055955</v>
      </c>
      <c r="F34" s="3">
        <f t="shared" si="3"/>
        <v>0.0002101975453</v>
      </c>
      <c r="G34" s="3">
        <f t="shared" si="4"/>
        <v>0</v>
      </c>
      <c r="H34" s="2">
        <f t="shared" si="5"/>
        <v>0</v>
      </c>
      <c r="I34" s="3">
        <f t="shared" si="6"/>
        <v>0</v>
      </c>
      <c r="J34" s="3">
        <f t="shared" si="7"/>
        <v>0</v>
      </c>
      <c r="K34" s="3"/>
      <c r="L34" s="3">
        <f t="shared" si="8"/>
        <v>432.3456039</v>
      </c>
      <c r="M34" s="14">
        <f t="shared" si="9"/>
        <v>431.5174949</v>
      </c>
      <c r="N34" s="14">
        <f t="shared" si="10"/>
        <v>0.8281089751</v>
      </c>
      <c r="O34" s="3"/>
      <c r="P34" s="23">
        <f t="shared" si="11"/>
        <v>191.0055955</v>
      </c>
      <c r="Q34" s="14">
        <f t="shared" si="12"/>
        <v>432.3456039</v>
      </c>
      <c r="R34" s="2"/>
      <c r="S34" s="14">
        <f t="shared" si="13"/>
        <v>0.7604492694</v>
      </c>
    </row>
    <row r="35">
      <c r="A35" s="11">
        <v>23.0</v>
      </c>
      <c r="B35" s="11">
        <v>1.41949565217391E9</v>
      </c>
      <c r="C35" s="2">
        <v>-102.4623413</v>
      </c>
      <c r="D35" s="3">
        <f t="shared" si="1"/>
        <v>-904347.8261</v>
      </c>
      <c r="E35" s="4">
        <f t="shared" si="2"/>
        <v>190.0872994</v>
      </c>
      <c r="F35" s="3">
        <f t="shared" si="3"/>
        <v>0.0002101926868</v>
      </c>
      <c r="G35" s="3">
        <f t="shared" si="4"/>
        <v>0</v>
      </c>
      <c r="H35" s="2">
        <f t="shared" si="5"/>
        <v>0</v>
      </c>
      <c r="I35" s="3">
        <f t="shared" si="6"/>
        <v>0</v>
      </c>
      <c r="J35" s="3">
        <f t="shared" si="7"/>
        <v>0</v>
      </c>
      <c r="K35" s="3"/>
      <c r="L35" s="3">
        <f t="shared" si="8"/>
        <v>431.3919507</v>
      </c>
      <c r="M35" s="14">
        <f t="shared" si="9"/>
        <v>431.4175646</v>
      </c>
      <c r="N35" s="14">
        <f t="shared" si="10"/>
        <v>-0.02561386658</v>
      </c>
      <c r="O35" s="3"/>
      <c r="P35" s="23">
        <f t="shared" si="11"/>
        <v>190.0872994</v>
      </c>
      <c r="Q35" s="14">
        <f t="shared" si="12"/>
        <v>431.3919507</v>
      </c>
      <c r="R35" s="2"/>
      <c r="S35" s="14">
        <f t="shared" si="13"/>
        <v>-0.02352111457</v>
      </c>
    </row>
    <row r="36">
      <c r="A36" s="11">
        <v>24.0</v>
      </c>
      <c r="B36" s="11">
        <v>1.4195E9</v>
      </c>
      <c r="C36" s="2">
        <v>-102.4240646</v>
      </c>
      <c r="D36" s="3">
        <f t="shared" si="1"/>
        <v>-900000</v>
      </c>
      <c r="E36" s="4">
        <f t="shared" si="2"/>
        <v>189.1690032</v>
      </c>
      <c r="F36" s="3">
        <f t="shared" si="3"/>
        <v>0.0002101877814</v>
      </c>
      <c r="G36" s="3">
        <f t="shared" si="4"/>
        <v>0</v>
      </c>
      <c r="H36" s="2">
        <f t="shared" si="5"/>
        <v>0</v>
      </c>
      <c r="I36" s="3">
        <f t="shared" si="6"/>
        <v>0</v>
      </c>
      <c r="J36" s="3">
        <f t="shared" si="7"/>
        <v>0</v>
      </c>
      <c r="K36" s="3"/>
      <c r="L36" s="3">
        <f t="shared" si="8"/>
        <v>435.2108434</v>
      </c>
      <c r="M36" s="14">
        <f t="shared" si="9"/>
        <v>431.3177065</v>
      </c>
      <c r="N36" s="14">
        <f t="shared" si="10"/>
        <v>3.893136931</v>
      </c>
      <c r="O36" s="3"/>
      <c r="P36" s="23">
        <f t="shared" si="11"/>
        <v>189.1690032</v>
      </c>
      <c r="Q36" s="14">
        <f t="shared" si="12"/>
        <v>435.2108434</v>
      </c>
      <c r="R36" s="2"/>
      <c r="S36" s="14">
        <f t="shared" si="13"/>
        <v>3.575052588</v>
      </c>
    </row>
    <row r="37">
      <c r="A37" s="11">
        <v>25.0</v>
      </c>
      <c r="B37" s="11">
        <v>1.41950434782608E9</v>
      </c>
      <c r="C37" s="2">
        <v>-102.4804611</v>
      </c>
      <c r="D37" s="3">
        <f t="shared" si="1"/>
        <v>-895652.1739</v>
      </c>
      <c r="E37" s="4">
        <f t="shared" si="2"/>
        <v>188.2507071</v>
      </c>
      <c r="F37" s="3">
        <f t="shared" si="3"/>
        <v>0.0002101828283</v>
      </c>
      <c r="G37" s="3">
        <f t="shared" si="4"/>
        <v>0</v>
      </c>
      <c r="H37" s="2">
        <f t="shared" si="5"/>
        <v>0</v>
      </c>
      <c r="I37" s="3">
        <f t="shared" si="6"/>
        <v>0</v>
      </c>
      <c r="J37" s="3">
        <f t="shared" si="7"/>
        <v>0</v>
      </c>
      <c r="K37" s="3"/>
      <c r="L37" s="3">
        <f t="shared" si="8"/>
        <v>429.5958303</v>
      </c>
      <c r="M37" s="14">
        <f t="shared" si="9"/>
        <v>431.2179205</v>
      </c>
      <c r="N37" s="14">
        <f t="shared" si="10"/>
        <v>-1.622090272</v>
      </c>
      <c r="O37" s="3"/>
      <c r="P37" s="23">
        <f t="shared" si="11"/>
        <v>188.2507071</v>
      </c>
      <c r="Q37" s="14">
        <f t="shared" si="12"/>
        <v>429.5958303</v>
      </c>
      <c r="R37" s="2"/>
      <c r="S37" s="14">
        <f t="shared" si="13"/>
        <v>-1.489559224</v>
      </c>
    </row>
    <row r="38">
      <c r="A38" s="11">
        <v>26.0</v>
      </c>
      <c r="B38" s="11">
        <v>1.41950869565217E9</v>
      </c>
      <c r="C38" s="2">
        <v>-102.4429245</v>
      </c>
      <c r="D38" s="3">
        <f t="shared" si="1"/>
        <v>-891304.3478</v>
      </c>
      <c r="E38" s="4">
        <f t="shared" si="2"/>
        <v>187.332411</v>
      </c>
      <c r="F38" s="3">
        <f t="shared" si="3"/>
        <v>0.0002101778269</v>
      </c>
      <c r="G38" s="3">
        <f t="shared" si="4"/>
        <v>0</v>
      </c>
      <c r="H38" s="2">
        <f t="shared" si="5"/>
        <v>0</v>
      </c>
      <c r="I38" s="3">
        <f t="shared" si="6"/>
        <v>0</v>
      </c>
      <c r="J38" s="3">
        <f t="shared" si="7"/>
        <v>0</v>
      </c>
      <c r="K38" s="3"/>
      <c r="L38" s="3">
        <f t="shared" si="8"/>
        <v>433.3249718</v>
      </c>
      <c r="M38" s="14">
        <f t="shared" si="9"/>
        <v>431.1182068</v>
      </c>
      <c r="N38" s="14">
        <f t="shared" si="10"/>
        <v>2.206764937</v>
      </c>
      <c r="O38" s="3"/>
      <c r="P38" s="23">
        <f t="shared" si="11"/>
        <v>187.332411</v>
      </c>
      <c r="Q38" s="14">
        <f t="shared" si="12"/>
        <v>433.3249718</v>
      </c>
      <c r="R38" s="2"/>
      <c r="S38" s="14">
        <f t="shared" si="13"/>
        <v>2.026463703</v>
      </c>
    </row>
    <row r="39">
      <c r="A39" s="11">
        <v>27.0</v>
      </c>
      <c r="B39" s="11">
        <v>1.41951304347826E9</v>
      </c>
      <c r="C39" s="2">
        <v>-102.4624557</v>
      </c>
      <c r="D39" s="3">
        <f t="shared" si="1"/>
        <v>-886956.5217</v>
      </c>
      <c r="E39" s="4">
        <f t="shared" si="2"/>
        <v>186.4141148</v>
      </c>
      <c r="F39" s="3">
        <f t="shared" si="3"/>
        <v>0.0002101727765</v>
      </c>
      <c r="G39" s="3">
        <f t="shared" si="4"/>
        <v>0</v>
      </c>
      <c r="H39" s="2">
        <f t="shared" si="5"/>
        <v>0</v>
      </c>
      <c r="I39" s="3">
        <f t="shared" si="6"/>
        <v>0</v>
      </c>
      <c r="J39" s="3">
        <f t="shared" si="7"/>
        <v>0</v>
      </c>
      <c r="K39" s="3"/>
      <c r="L39" s="3">
        <f t="shared" si="8"/>
        <v>431.3805873</v>
      </c>
      <c r="M39" s="14">
        <f t="shared" si="9"/>
        <v>431.0185652</v>
      </c>
      <c r="N39" s="14">
        <f t="shared" si="10"/>
        <v>0.3620220566</v>
      </c>
      <c r="O39" s="3"/>
      <c r="P39" s="23">
        <f t="shared" si="11"/>
        <v>186.4141148</v>
      </c>
      <c r="Q39" s="14">
        <f t="shared" si="12"/>
        <v>431.3805873</v>
      </c>
      <c r="R39" s="2"/>
      <c r="S39" s="14">
        <f t="shared" si="13"/>
        <v>0.3324434546</v>
      </c>
    </row>
    <row r="40">
      <c r="A40" s="11">
        <v>28.0</v>
      </c>
      <c r="B40" s="11">
        <v>1.41951739130434E9</v>
      </c>
      <c r="C40" s="2">
        <v>-102.4544449</v>
      </c>
      <c r="D40" s="3">
        <f t="shared" si="1"/>
        <v>-882608.6957</v>
      </c>
      <c r="E40" s="4">
        <f t="shared" si="2"/>
        <v>185.4958187</v>
      </c>
      <c r="F40" s="3">
        <f t="shared" si="3"/>
        <v>0.0002101676763</v>
      </c>
      <c r="G40" s="3">
        <f t="shared" si="4"/>
        <v>0</v>
      </c>
      <c r="H40" s="2">
        <f t="shared" si="5"/>
        <v>0</v>
      </c>
      <c r="I40" s="3">
        <f t="shared" si="6"/>
        <v>0</v>
      </c>
      <c r="J40" s="3">
        <f t="shared" si="7"/>
        <v>0</v>
      </c>
      <c r="K40" s="3"/>
      <c r="L40" s="3">
        <f t="shared" si="8"/>
        <v>432.1770268</v>
      </c>
      <c r="M40" s="14">
        <f t="shared" si="9"/>
        <v>430.9189958</v>
      </c>
      <c r="N40" s="14">
        <f t="shared" si="10"/>
        <v>1.258030959</v>
      </c>
      <c r="O40" s="3"/>
      <c r="P40" s="23">
        <f t="shared" si="11"/>
        <v>185.4958187</v>
      </c>
      <c r="Q40" s="14">
        <f t="shared" si="12"/>
        <v>432.1770268</v>
      </c>
      <c r="R40" s="2"/>
      <c r="S40" s="14">
        <f t="shared" si="13"/>
        <v>1.155244965</v>
      </c>
    </row>
    <row r="41">
      <c r="A41" s="11">
        <v>29.0</v>
      </c>
      <c r="B41" s="11">
        <v>1.41952173913043E9</v>
      </c>
      <c r="C41" s="2">
        <v>-102.4810715</v>
      </c>
      <c r="D41" s="3">
        <f t="shared" si="1"/>
        <v>-878260.8696</v>
      </c>
      <c r="E41" s="4">
        <f t="shared" si="2"/>
        <v>184.5775226</v>
      </c>
      <c r="F41" s="3">
        <f t="shared" si="3"/>
        <v>0.0002101625257</v>
      </c>
      <c r="G41" s="3">
        <f t="shared" si="4"/>
        <v>0</v>
      </c>
      <c r="H41" s="2">
        <f t="shared" si="5"/>
        <v>0</v>
      </c>
      <c r="I41" s="3">
        <f t="shared" si="6"/>
        <v>0</v>
      </c>
      <c r="J41" s="3">
        <f t="shared" si="7"/>
        <v>0</v>
      </c>
      <c r="K41" s="3"/>
      <c r="L41" s="3">
        <f t="shared" si="8"/>
        <v>429.5354549</v>
      </c>
      <c r="M41" s="14">
        <f t="shared" si="9"/>
        <v>430.8194985</v>
      </c>
      <c r="N41" s="14">
        <f t="shared" si="10"/>
        <v>-1.284043599</v>
      </c>
      <c r="O41" s="3"/>
      <c r="P41" s="23">
        <f t="shared" si="11"/>
        <v>184.5775226</v>
      </c>
      <c r="Q41" s="14">
        <f t="shared" si="12"/>
        <v>429.5354549</v>
      </c>
      <c r="R41" s="2"/>
      <c r="S41" s="14">
        <f t="shared" si="13"/>
        <v>-1.179132268</v>
      </c>
    </row>
    <row r="42">
      <c r="A42" s="11">
        <v>30.0</v>
      </c>
      <c r="B42" s="11">
        <v>1.41952608695652E9</v>
      </c>
      <c r="C42" s="2">
        <v>-102.4707184</v>
      </c>
      <c r="D42" s="3">
        <f t="shared" si="1"/>
        <v>-873913.0435</v>
      </c>
      <c r="E42" s="4">
        <f t="shared" si="2"/>
        <v>183.6592264</v>
      </c>
      <c r="F42" s="3">
        <f t="shared" si="3"/>
        <v>0.0002101573238</v>
      </c>
      <c r="G42" s="3">
        <f t="shared" si="4"/>
        <v>0</v>
      </c>
      <c r="H42" s="2">
        <f t="shared" si="5"/>
        <v>0</v>
      </c>
      <c r="I42" s="3">
        <f t="shared" si="6"/>
        <v>0</v>
      </c>
      <c r="J42" s="3">
        <f t="shared" si="7"/>
        <v>0</v>
      </c>
      <c r="K42" s="3"/>
      <c r="L42" s="3">
        <f t="shared" si="8"/>
        <v>430.5606414</v>
      </c>
      <c r="M42" s="14">
        <f t="shared" si="9"/>
        <v>430.7200733</v>
      </c>
      <c r="N42" s="14">
        <f t="shared" si="10"/>
        <v>-0.1594319089</v>
      </c>
      <c r="O42" s="3"/>
      <c r="P42" s="23">
        <f t="shared" si="11"/>
        <v>183.6592264</v>
      </c>
      <c r="Q42" s="14">
        <f t="shared" si="12"/>
        <v>430.5606414</v>
      </c>
      <c r="R42" s="2"/>
      <c r="S42" s="14">
        <f t="shared" si="13"/>
        <v>-0.1464057053</v>
      </c>
    </row>
    <row r="43">
      <c r="A43" s="11">
        <v>31.0</v>
      </c>
      <c r="B43" s="11">
        <v>1.4195304347826E9</v>
      </c>
      <c r="C43" s="2">
        <v>-102.4988251</v>
      </c>
      <c r="D43" s="3">
        <f t="shared" si="1"/>
        <v>-869565.2174</v>
      </c>
      <c r="E43" s="4">
        <f t="shared" si="2"/>
        <v>182.7409303</v>
      </c>
      <c r="F43" s="3">
        <f t="shared" si="3"/>
        <v>0.0002101520698</v>
      </c>
      <c r="G43" s="3">
        <f t="shared" si="4"/>
        <v>0</v>
      </c>
      <c r="H43" s="2">
        <f t="shared" si="5"/>
        <v>0</v>
      </c>
      <c r="I43" s="3">
        <f t="shared" si="6"/>
        <v>0</v>
      </c>
      <c r="J43" s="3">
        <f t="shared" si="7"/>
        <v>0</v>
      </c>
      <c r="K43" s="3"/>
      <c r="L43" s="3">
        <f t="shared" si="8"/>
        <v>427.7831335</v>
      </c>
      <c r="M43" s="14">
        <f t="shared" si="9"/>
        <v>430.6207202</v>
      </c>
      <c r="N43" s="14">
        <f t="shared" si="10"/>
        <v>-2.837586652</v>
      </c>
      <c r="O43" s="3"/>
      <c r="P43" s="23">
        <f t="shared" si="11"/>
        <v>182.7409303</v>
      </c>
      <c r="Q43" s="14">
        <f t="shared" si="12"/>
        <v>427.7831335</v>
      </c>
      <c r="R43" s="2"/>
      <c r="S43" s="14">
        <f t="shared" si="13"/>
        <v>-2.605744849</v>
      </c>
    </row>
    <row r="44">
      <c r="A44" s="11">
        <v>32.0</v>
      </c>
      <c r="B44" s="11">
        <v>1.41953478260869E9</v>
      </c>
      <c r="C44" s="2">
        <v>-102.4603806</v>
      </c>
      <c r="D44" s="3">
        <f t="shared" si="1"/>
        <v>-865217.3913</v>
      </c>
      <c r="E44" s="4">
        <f t="shared" si="2"/>
        <v>181.8226342</v>
      </c>
      <c r="F44" s="3">
        <f t="shared" si="3"/>
        <v>0.0002101467631</v>
      </c>
      <c r="G44" s="3">
        <f t="shared" si="4"/>
        <v>0</v>
      </c>
      <c r="H44" s="2">
        <f t="shared" si="5"/>
        <v>0</v>
      </c>
      <c r="I44" s="3">
        <f t="shared" si="6"/>
        <v>0</v>
      </c>
      <c r="J44" s="3">
        <f t="shared" si="7"/>
        <v>0</v>
      </c>
      <c r="K44" s="3"/>
      <c r="L44" s="3">
        <f t="shared" si="8"/>
        <v>431.5867543</v>
      </c>
      <c r="M44" s="14">
        <f t="shared" si="9"/>
        <v>430.5214391</v>
      </c>
      <c r="N44" s="14">
        <f t="shared" si="10"/>
        <v>1.065315136</v>
      </c>
      <c r="O44" s="3"/>
      <c r="P44" s="23">
        <f t="shared" si="11"/>
        <v>181.8226342</v>
      </c>
      <c r="Q44" s="14">
        <f t="shared" si="12"/>
        <v>431.5867543</v>
      </c>
      <c r="R44" s="2"/>
      <c r="S44" s="14">
        <f t="shared" si="13"/>
        <v>0.9782747694</v>
      </c>
    </row>
    <row r="45">
      <c r="A45" s="11">
        <v>33.0</v>
      </c>
      <c r="B45" s="11">
        <v>1.41953913043478E9</v>
      </c>
      <c r="C45" s="2">
        <v>-102.4633865</v>
      </c>
      <c r="D45" s="3">
        <f t="shared" si="1"/>
        <v>-860869.5652</v>
      </c>
      <c r="E45" s="4">
        <f t="shared" si="2"/>
        <v>180.904338</v>
      </c>
      <c r="F45" s="3">
        <f t="shared" si="3"/>
        <v>0.0002101414028</v>
      </c>
      <c r="G45" s="3">
        <f t="shared" si="4"/>
        <v>0</v>
      </c>
      <c r="H45" s="2">
        <f t="shared" si="5"/>
        <v>0</v>
      </c>
      <c r="I45" s="3">
        <f t="shared" si="6"/>
        <v>0</v>
      </c>
      <c r="J45" s="3">
        <f t="shared" si="7"/>
        <v>0</v>
      </c>
      <c r="K45" s="3"/>
      <c r="L45" s="3">
        <f t="shared" si="8"/>
        <v>431.2881417</v>
      </c>
      <c r="M45" s="14">
        <f t="shared" si="9"/>
        <v>430.4222301</v>
      </c>
      <c r="N45" s="14">
        <f t="shared" si="10"/>
        <v>0.8659116077</v>
      </c>
      <c r="O45" s="3"/>
      <c r="P45" s="23">
        <f t="shared" si="11"/>
        <v>180.904338</v>
      </c>
      <c r="Q45" s="14">
        <f t="shared" si="12"/>
        <v>431.2881417</v>
      </c>
      <c r="R45" s="2"/>
      <c r="S45" s="14">
        <f t="shared" si="13"/>
        <v>0.7951632789</v>
      </c>
    </row>
    <row r="46">
      <c r="A46" s="11">
        <v>34.0</v>
      </c>
      <c r="B46" s="11">
        <v>1.41954347826087E9</v>
      </c>
      <c r="C46" s="2">
        <v>-102.5052719</v>
      </c>
      <c r="D46" s="3">
        <f t="shared" si="1"/>
        <v>-856521.7391</v>
      </c>
      <c r="E46" s="4">
        <f t="shared" si="2"/>
        <v>179.9860419</v>
      </c>
      <c r="F46" s="3">
        <f t="shared" si="3"/>
        <v>0.000210135988</v>
      </c>
      <c r="G46" s="3">
        <f t="shared" si="4"/>
        <v>0</v>
      </c>
      <c r="H46" s="2">
        <f t="shared" si="5"/>
        <v>0</v>
      </c>
      <c r="I46" s="3">
        <f t="shared" si="6"/>
        <v>0</v>
      </c>
      <c r="J46" s="3">
        <f t="shared" si="7"/>
        <v>0</v>
      </c>
      <c r="K46" s="3"/>
      <c r="L46" s="3">
        <f t="shared" si="8"/>
        <v>427.1485903</v>
      </c>
      <c r="M46" s="14">
        <f t="shared" si="9"/>
        <v>430.3230931</v>
      </c>
      <c r="N46" s="14">
        <f t="shared" si="10"/>
        <v>-3.174502876</v>
      </c>
      <c r="O46" s="3"/>
      <c r="P46" s="23">
        <f t="shared" si="11"/>
        <v>179.9860419</v>
      </c>
      <c r="Q46" s="14">
        <f t="shared" si="12"/>
        <v>427.1485903</v>
      </c>
      <c r="R46" s="2"/>
      <c r="S46" s="14">
        <f t="shared" si="13"/>
        <v>-2.915133715</v>
      </c>
    </row>
    <row r="47">
      <c r="A47" s="11">
        <v>35.0</v>
      </c>
      <c r="B47" s="11">
        <v>1.41954782608695E9</v>
      </c>
      <c r="C47" s="2">
        <v>-102.4592896</v>
      </c>
      <c r="D47" s="3">
        <f t="shared" si="1"/>
        <v>-852173.913</v>
      </c>
      <c r="E47" s="4">
        <f t="shared" si="2"/>
        <v>179.0677458</v>
      </c>
      <c r="F47" s="3">
        <f t="shared" si="3"/>
        <v>0.000210130518</v>
      </c>
      <c r="G47" s="3">
        <f t="shared" si="4"/>
        <v>0</v>
      </c>
      <c r="H47" s="2">
        <f t="shared" si="5"/>
        <v>0</v>
      </c>
      <c r="I47" s="3">
        <f t="shared" si="6"/>
        <v>0</v>
      </c>
      <c r="J47" s="3">
        <f t="shared" si="7"/>
        <v>0</v>
      </c>
      <c r="K47" s="3"/>
      <c r="L47" s="3">
        <f t="shared" si="8"/>
        <v>431.6951877</v>
      </c>
      <c r="M47" s="14">
        <f t="shared" si="9"/>
        <v>430.2240282</v>
      </c>
      <c r="N47" s="14">
        <f t="shared" si="10"/>
        <v>1.471159508</v>
      </c>
      <c r="O47" s="3"/>
      <c r="P47" s="23">
        <f t="shared" si="11"/>
        <v>179.0677458</v>
      </c>
      <c r="Q47" s="14">
        <f t="shared" si="12"/>
        <v>431.6951877</v>
      </c>
      <c r="R47" s="2"/>
      <c r="S47" s="14">
        <f t="shared" si="13"/>
        <v>1.350960087</v>
      </c>
    </row>
    <row r="48">
      <c r="A48" s="11">
        <v>36.0</v>
      </c>
      <c r="B48" s="11">
        <v>1.41955217391304E9</v>
      </c>
      <c r="C48" s="2">
        <v>-102.407402</v>
      </c>
      <c r="D48" s="3">
        <f t="shared" si="1"/>
        <v>-847826.087</v>
      </c>
      <c r="E48" s="4">
        <f t="shared" si="2"/>
        <v>178.1494496</v>
      </c>
      <c r="F48" s="3">
        <f t="shared" si="3"/>
        <v>0.0002101249919</v>
      </c>
      <c r="G48" s="3">
        <f t="shared" si="4"/>
        <v>0</v>
      </c>
      <c r="H48" s="2">
        <f t="shared" si="5"/>
        <v>0</v>
      </c>
      <c r="I48" s="3">
        <f t="shared" si="6"/>
        <v>0</v>
      </c>
      <c r="J48" s="3">
        <f t="shared" si="7"/>
        <v>0</v>
      </c>
      <c r="K48" s="3"/>
      <c r="L48" s="3">
        <f t="shared" si="8"/>
        <v>436.8838265</v>
      </c>
      <c r="M48" s="14">
        <f t="shared" si="9"/>
        <v>430.1250352</v>
      </c>
      <c r="N48" s="14">
        <f t="shared" si="10"/>
        <v>6.758791337</v>
      </c>
      <c r="O48" s="3"/>
      <c r="P48" s="23">
        <f t="shared" si="11"/>
        <v>178.1494496</v>
      </c>
      <c r="Q48" s="14">
        <f t="shared" si="12"/>
        <v>436.8838265</v>
      </c>
      <c r="R48" s="2"/>
      <c r="S48" s="14">
        <f t="shared" si="13"/>
        <v>6.206571933</v>
      </c>
    </row>
    <row r="49">
      <c r="A49" s="11">
        <v>37.0</v>
      </c>
      <c r="B49" s="11">
        <v>1.41955652173913E9</v>
      </c>
      <c r="C49" s="2">
        <v>-102.430191</v>
      </c>
      <c r="D49" s="3">
        <f t="shared" si="1"/>
        <v>-843478.2609</v>
      </c>
      <c r="E49" s="4">
        <f t="shared" si="2"/>
        <v>177.2311535</v>
      </c>
      <c r="F49" s="3">
        <f t="shared" si="3"/>
        <v>0.0002101194088</v>
      </c>
      <c r="G49" s="3">
        <f t="shared" si="4"/>
        <v>0</v>
      </c>
      <c r="H49" s="2">
        <f t="shared" si="5"/>
        <v>0</v>
      </c>
      <c r="I49" s="3">
        <f t="shared" si="6"/>
        <v>0</v>
      </c>
      <c r="J49" s="3">
        <f t="shared" si="7"/>
        <v>0</v>
      </c>
      <c r="K49" s="3"/>
      <c r="L49" s="3">
        <f t="shared" si="8"/>
        <v>434.5973435</v>
      </c>
      <c r="M49" s="14">
        <f t="shared" si="9"/>
        <v>430.0261142</v>
      </c>
      <c r="N49" s="14">
        <f t="shared" si="10"/>
        <v>4.571229375</v>
      </c>
      <c r="O49" s="3"/>
      <c r="P49" s="23">
        <f t="shared" si="11"/>
        <v>177.2311535</v>
      </c>
      <c r="Q49" s="14">
        <f t="shared" si="12"/>
        <v>434.5973435</v>
      </c>
      <c r="R49" s="2"/>
      <c r="S49" s="14">
        <f t="shared" si="13"/>
        <v>4.197742257</v>
      </c>
    </row>
    <row r="50">
      <c r="A50" s="11">
        <v>38.0</v>
      </c>
      <c r="B50" s="11">
        <v>1.41956086956521E9</v>
      </c>
      <c r="C50" s="2">
        <v>-102.5175781</v>
      </c>
      <c r="D50" s="3">
        <f t="shared" si="1"/>
        <v>-839130.4348</v>
      </c>
      <c r="E50" s="4">
        <f t="shared" si="2"/>
        <v>176.3128574</v>
      </c>
      <c r="F50" s="3">
        <f t="shared" si="3"/>
        <v>0.0002101137678</v>
      </c>
      <c r="G50" s="3">
        <f t="shared" si="4"/>
        <v>0</v>
      </c>
      <c r="H50" s="2">
        <f t="shared" si="5"/>
        <v>0</v>
      </c>
      <c r="I50" s="3">
        <f t="shared" si="6"/>
        <v>0</v>
      </c>
      <c r="J50" s="3">
        <f t="shared" si="7"/>
        <v>0</v>
      </c>
      <c r="K50" s="3"/>
      <c r="L50" s="3">
        <f t="shared" si="8"/>
        <v>425.9399322</v>
      </c>
      <c r="M50" s="14">
        <f t="shared" si="9"/>
        <v>429.9272651</v>
      </c>
      <c r="N50" s="14">
        <f t="shared" si="10"/>
        <v>-3.987332942</v>
      </c>
      <c r="O50" s="3"/>
      <c r="P50" s="23">
        <f t="shared" si="11"/>
        <v>176.3128574</v>
      </c>
      <c r="Q50" s="14">
        <f t="shared" si="12"/>
        <v>425.9399322</v>
      </c>
      <c r="R50" s="2"/>
      <c r="S50" s="14">
        <f t="shared" si="13"/>
        <v>-3.661552421</v>
      </c>
    </row>
    <row r="51">
      <c r="A51" s="11">
        <v>39.0</v>
      </c>
      <c r="B51" s="11">
        <v>1.4195652173913E9</v>
      </c>
      <c r="C51" s="2">
        <v>-102.4641037</v>
      </c>
      <c r="D51" s="3">
        <f t="shared" si="1"/>
        <v>-834782.6087</v>
      </c>
      <c r="E51" s="4">
        <f t="shared" si="2"/>
        <v>175.3945612</v>
      </c>
      <c r="F51" s="3">
        <f t="shared" si="3"/>
        <v>0.0002101080681</v>
      </c>
      <c r="G51" s="3">
        <f t="shared" si="4"/>
        <v>0</v>
      </c>
      <c r="H51" s="2">
        <f t="shared" si="5"/>
        <v>0</v>
      </c>
      <c r="I51" s="3">
        <f t="shared" si="6"/>
        <v>0</v>
      </c>
      <c r="J51" s="3">
        <f t="shared" si="7"/>
        <v>0</v>
      </c>
      <c r="K51" s="3"/>
      <c r="L51" s="3">
        <f t="shared" si="8"/>
        <v>431.2169241</v>
      </c>
      <c r="M51" s="14">
        <f t="shared" si="9"/>
        <v>429.828488</v>
      </c>
      <c r="N51" s="14">
        <f t="shared" si="10"/>
        <v>1.388436121</v>
      </c>
      <c r="O51" s="3"/>
      <c r="P51" s="23">
        <f t="shared" si="11"/>
        <v>175.3945612</v>
      </c>
      <c r="Q51" s="14">
        <f t="shared" si="12"/>
        <v>431.2169241</v>
      </c>
      <c r="R51" s="2"/>
      <c r="S51" s="14">
        <f t="shared" si="13"/>
        <v>1.274995518</v>
      </c>
    </row>
    <row r="52">
      <c r="A52" s="11">
        <v>40.0</v>
      </c>
      <c r="B52" s="11">
        <v>1.41956956521739E9</v>
      </c>
      <c r="C52" s="2">
        <v>-102.4694748</v>
      </c>
      <c r="D52" s="3">
        <f t="shared" si="1"/>
        <v>-830434.7826</v>
      </c>
      <c r="E52" s="4">
        <f t="shared" si="2"/>
        <v>174.4762651</v>
      </c>
      <c r="F52" s="3">
        <f t="shared" si="3"/>
        <v>0.0002101023088</v>
      </c>
      <c r="G52" s="3">
        <f t="shared" si="4"/>
        <v>0</v>
      </c>
      <c r="H52" s="2">
        <f t="shared" si="5"/>
        <v>0</v>
      </c>
      <c r="I52" s="3">
        <f t="shared" si="6"/>
        <v>0</v>
      </c>
      <c r="J52" s="3">
        <f t="shared" si="7"/>
        <v>0</v>
      </c>
      <c r="K52" s="3"/>
      <c r="L52" s="3">
        <f t="shared" si="8"/>
        <v>430.6839499</v>
      </c>
      <c r="M52" s="14">
        <f t="shared" si="9"/>
        <v>429.7297827</v>
      </c>
      <c r="N52" s="14">
        <f t="shared" si="10"/>
        <v>0.9541671303</v>
      </c>
      <c r="O52" s="3"/>
      <c r="P52" s="23">
        <f t="shared" si="11"/>
        <v>174.4762651</v>
      </c>
      <c r="Q52" s="14">
        <f t="shared" si="12"/>
        <v>430.6839499</v>
      </c>
      <c r="R52" s="2"/>
      <c r="S52" s="14">
        <f t="shared" si="13"/>
        <v>0.8762079858</v>
      </c>
    </row>
    <row r="53">
      <c r="A53" s="11">
        <v>41.0</v>
      </c>
      <c r="B53" s="11">
        <v>1.41957391304347E9</v>
      </c>
      <c r="C53" s="2">
        <v>-102.5120316</v>
      </c>
      <c r="D53" s="3">
        <f t="shared" si="1"/>
        <v>-826086.9565</v>
      </c>
      <c r="E53" s="4">
        <f t="shared" si="2"/>
        <v>173.557969</v>
      </c>
      <c r="F53" s="3">
        <f t="shared" si="3"/>
        <v>0.0002100964888</v>
      </c>
      <c r="G53" s="3">
        <f t="shared" si="4"/>
        <v>0</v>
      </c>
      <c r="H53" s="2">
        <f t="shared" si="5"/>
        <v>0</v>
      </c>
      <c r="I53" s="3">
        <f t="shared" si="6"/>
        <v>0</v>
      </c>
      <c r="J53" s="3">
        <f t="shared" si="7"/>
        <v>0</v>
      </c>
      <c r="K53" s="3"/>
      <c r="L53" s="3">
        <f t="shared" si="8"/>
        <v>426.4842598</v>
      </c>
      <c r="M53" s="14">
        <f t="shared" si="9"/>
        <v>429.6311494</v>
      </c>
      <c r="N53" s="14">
        <f t="shared" si="10"/>
        <v>-3.146889578</v>
      </c>
      <c r="O53" s="3"/>
      <c r="P53" s="23">
        <f t="shared" si="11"/>
        <v>173.557969</v>
      </c>
      <c r="Q53" s="14">
        <f t="shared" si="12"/>
        <v>426.4842598</v>
      </c>
      <c r="R53" s="2"/>
      <c r="S53" s="14">
        <f t="shared" si="13"/>
        <v>-2.88977653</v>
      </c>
    </row>
    <row r="54">
      <c r="A54" s="11">
        <v>42.0</v>
      </c>
      <c r="B54" s="11">
        <v>1.41957826086956E9</v>
      </c>
      <c r="C54" s="2">
        <v>-102.5438995</v>
      </c>
      <c r="D54" s="3">
        <f t="shared" si="1"/>
        <v>-821739.1304</v>
      </c>
      <c r="E54" s="4">
        <f t="shared" si="2"/>
        <v>172.6396728</v>
      </c>
      <c r="F54" s="3">
        <f t="shared" si="3"/>
        <v>0.0002100906072</v>
      </c>
      <c r="G54" s="3">
        <f t="shared" si="4"/>
        <v>0</v>
      </c>
      <c r="H54" s="2">
        <f t="shared" si="5"/>
        <v>0</v>
      </c>
      <c r="I54" s="3">
        <f t="shared" si="6"/>
        <v>0</v>
      </c>
      <c r="J54" s="3">
        <f t="shared" si="7"/>
        <v>0</v>
      </c>
      <c r="K54" s="3"/>
      <c r="L54" s="3">
        <f t="shared" si="8"/>
        <v>423.3662339</v>
      </c>
      <c r="M54" s="14">
        <f t="shared" si="9"/>
        <v>429.532588</v>
      </c>
      <c r="N54" s="14">
        <f t="shared" si="10"/>
        <v>-6.166354043</v>
      </c>
      <c r="O54" s="3"/>
      <c r="P54" s="23">
        <f t="shared" si="11"/>
        <v>172.6396728</v>
      </c>
      <c r="Q54" s="14">
        <f t="shared" si="12"/>
        <v>423.3662339</v>
      </c>
      <c r="R54" s="2"/>
      <c r="S54" s="14">
        <f t="shared" si="13"/>
        <v>-5.662539058</v>
      </c>
    </row>
    <row r="55">
      <c r="A55" s="11">
        <v>43.0</v>
      </c>
      <c r="B55" s="11">
        <v>1.41958260869565E9</v>
      </c>
      <c r="C55" s="2">
        <v>-102.4514465</v>
      </c>
      <c r="D55" s="3">
        <f t="shared" si="1"/>
        <v>-817391.3043</v>
      </c>
      <c r="E55" s="4">
        <f t="shared" si="2"/>
        <v>171.7213767</v>
      </c>
      <c r="F55" s="3">
        <f t="shared" si="3"/>
        <v>0.000210084663</v>
      </c>
      <c r="G55" s="3">
        <f t="shared" si="4"/>
        <v>0</v>
      </c>
      <c r="H55" s="2">
        <f t="shared" si="5"/>
        <v>0</v>
      </c>
      <c r="I55" s="3">
        <f t="shared" si="6"/>
        <v>0</v>
      </c>
      <c r="J55" s="3">
        <f t="shared" si="7"/>
        <v>0</v>
      </c>
      <c r="K55" s="3"/>
      <c r="L55" s="3">
        <f t="shared" si="8"/>
        <v>432.4755079</v>
      </c>
      <c r="M55" s="14">
        <f t="shared" si="9"/>
        <v>429.4340984</v>
      </c>
      <c r="N55" s="14">
        <f t="shared" si="10"/>
        <v>3.04140954</v>
      </c>
      <c r="O55" s="3"/>
      <c r="P55" s="23">
        <f t="shared" si="11"/>
        <v>171.7213767</v>
      </c>
      <c r="Q55" s="14">
        <f t="shared" si="12"/>
        <v>432.4755079</v>
      </c>
      <c r="R55" s="2"/>
      <c r="S55" s="14">
        <f t="shared" si="13"/>
        <v>2.792914619</v>
      </c>
    </row>
    <row r="56">
      <c r="A56" s="11">
        <v>44.0</v>
      </c>
      <c r="B56" s="11">
        <v>1.41958695652173E9</v>
      </c>
      <c r="C56" s="2">
        <v>-102.469574</v>
      </c>
      <c r="D56" s="3">
        <f t="shared" si="1"/>
        <v>-813043.4783</v>
      </c>
      <c r="E56" s="4">
        <f t="shared" si="2"/>
        <v>170.8030806</v>
      </c>
      <c r="F56" s="3">
        <f t="shared" si="3"/>
        <v>0.0002100786553</v>
      </c>
      <c r="G56" s="3">
        <f t="shared" si="4"/>
        <v>0</v>
      </c>
      <c r="H56" s="2">
        <f t="shared" si="5"/>
        <v>0</v>
      </c>
      <c r="I56" s="3">
        <f t="shared" si="6"/>
        <v>0</v>
      </c>
      <c r="J56" s="3">
        <f t="shared" si="7"/>
        <v>0</v>
      </c>
      <c r="K56" s="3"/>
      <c r="L56" s="3">
        <f t="shared" si="8"/>
        <v>430.6741125</v>
      </c>
      <c r="M56" s="14">
        <f t="shared" si="9"/>
        <v>429.3356806</v>
      </c>
      <c r="N56" s="14">
        <f t="shared" si="10"/>
        <v>1.338431859</v>
      </c>
      <c r="O56" s="3"/>
      <c r="P56" s="23">
        <f t="shared" si="11"/>
        <v>170.8030806</v>
      </c>
      <c r="Q56" s="14">
        <f t="shared" si="12"/>
        <v>430.6741125</v>
      </c>
      <c r="R56" s="2"/>
      <c r="S56" s="14">
        <f t="shared" si="13"/>
        <v>1.2290768</v>
      </c>
    </row>
    <row r="57">
      <c r="A57" s="11">
        <v>45.0</v>
      </c>
      <c r="B57" s="11">
        <v>1.41959130434782E9</v>
      </c>
      <c r="C57" s="2">
        <v>-102.4763031</v>
      </c>
      <c r="D57" s="3">
        <f t="shared" si="1"/>
        <v>-808695.6522</v>
      </c>
      <c r="E57" s="4">
        <f t="shared" si="2"/>
        <v>169.8847844</v>
      </c>
      <c r="F57" s="3">
        <f t="shared" si="3"/>
        <v>0.0002100725829</v>
      </c>
      <c r="G57" s="3">
        <f t="shared" si="4"/>
        <v>0</v>
      </c>
      <c r="H57" s="2">
        <f t="shared" si="5"/>
        <v>0</v>
      </c>
      <c r="I57" s="3">
        <f t="shared" si="6"/>
        <v>0</v>
      </c>
      <c r="J57" s="3">
        <f t="shared" si="7"/>
        <v>0</v>
      </c>
      <c r="K57" s="3"/>
      <c r="L57" s="3">
        <f t="shared" si="8"/>
        <v>430.0073287</v>
      </c>
      <c r="M57" s="14">
        <f t="shared" si="9"/>
        <v>429.2373346</v>
      </c>
      <c r="N57" s="14">
        <f t="shared" si="10"/>
        <v>0.7699940243</v>
      </c>
      <c r="O57" s="3"/>
      <c r="P57" s="23">
        <f t="shared" si="11"/>
        <v>169.8847844</v>
      </c>
      <c r="Q57" s="14">
        <f t="shared" si="12"/>
        <v>430.0073287</v>
      </c>
      <c r="R57" s="2"/>
      <c r="S57" s="14">
        <f t="shared" si="13"/>
        <v>0.7070825348</v>
      </c>
    </row>
    <row r="58">
      <c r="A58" s="11">
        <v>46.0</v>
      </c>
      <c r="B58" s="11">
        <v>1.41959565217391E9</v>
      </c>
      <c r="C58" s="2">
        <v>-102.4650345</v>
      </c>
      <c r="D58" s="3">
        <f t="shared" si="1"/>
        <v>-804347.8261</v>
      </c>
      <c r="E58" s="4">
        <f t="shared" si="2"/>
        <v>168.9664883</v>
      </c>
      <c r="F58" s="3">
        <f t="shared" si="3"/>
        <v>0.0002100664449</v>
      </c>
      <c r="G58" s="3">
        <f t="shared" si="4"/>
        <v>0</v>
      </c>
      <c r="H58" s="2">
        <f t="shared" si="5"/>
        <v>0</v>
      </c>
      <c r="I58" s="3">
        <f t="shared" si="6"/>
        <v>0</v>
      </c>
      <c r="J58" s="3">
        <f t="shared" si="7"/>
        <v>0</v>
      </c>
      <c r="K58" s="3"/>
      <c r="L58" s="3">
        <f t="shared" si="8"/>
        <v>431.1245136</v>
      </c>
      <c r="M58" s="14">
        <f t="shared" si="9"/>
        <v>429.1390605</v>
      </c>
      <c r="N58" s="14">
        <f t="shared" si="10"/>
        <v>1.985453082</v>
      </c>
      <c r="O58" s="3"/>
      <c r="P58" s="23">
        <f t="shared" si="11"/>
        <v>168.9664883</v>
      </c>
      <c r="Q58" s="14">
        <f t="shared" si="12"/>
        <v>431.1245136</v>
      </c>
      <c r="R58" s="2"/>
      <c r="S58" s="14">
        <f t="shared" si="13"/>
        <v>1.823233883</v>
      </c>
    </row>
    <row r="59">
      <c r="A59" s="11">
        <v>47.0</v>
      </c>
      <c r="B59" s="11">
        <v>1.4196E9</v>
      </c>
      <c r="C59" s="2">
        <v>-102.469696</v>
      </c>
      <c r="D59" s="3">
        <f t="shared" si="1"/>
        <v>-800000</v>
      </c>
      <c r="E59" s="4">
        <f t="shared" si="2"/>
        <v>168.0481922</v>
      </c>
      <c r="F59" s="3">
        <f t="shared" si="3"/>
        <v>0.0002100602402</v>
      </c>
      <c r="G59" s="3">
        <f t="shared" si="4"/>
        <v>0</v>
      </c>
      <c r="H59" s="2">
        <f t="shared" si="5"/>
        <v>0</v>
      </c>
      <c r="I59" s="3">
        <f t="shared" si="6"/>
        <v>0</v>
      </c>
      <c r="J59" s="3">
        <f t="shared" si="7"/>
        <v>0</v>
      </c>
      <c r="K59" s="3"/>
      <c r="L59" s="3">
        <f t="shared" si="8"/>
        <v>430.6620143</v>
      </c>
      <c r="M59" s="14">
        <f t="shared" si="9"/>
        <v>429.0408581</v>
      </c>
      <c r="N59" s="14">
        <f t="shared" si="10"/>
        <v>1.621156192</v>
      </c>
      <c r="O59" s="3"/>
      <c r="P59" s="23">
        <f t="shared" si="11"/>
        <v>168.0481922</v>
      </c>
      <c r="Q59" s="14">
        <f t="shared" si="12"/>
        <v>430.6620143</v>
      </c>
      <c r="R59" s="2"/>
      <c r="S59" s="14">
        <f t="shared" si="13"/>
        <v>1.488701462</v>
      </c>
    </row>
    <row r="60">
      <c r="A60" s="11">
        <v>48.0</v>
      </c>
      <c r="B60" s="11">
        <v>1.41960434782608E9</v>
      </c>
      <c r="C60" s="2">
        <v>-102.454071</v>
      </c>
      <c r="D60" s="3">
        <f t="shared" si="1"/>
        <v>-795652.1739</v>
      </c>
      <c r="E60" s="4">
        <f t="shared" si="2"/>
        <v>167.129896</v>
      </c>
      <c r="F60" s="3">
        <f t="shared" si="3"/>
        <v>0.0002100539677</v>
      </c>
      <c r="G60" s="3">
        <f t="shared" si="4"/>
        <v>0</v>
      </c>
      <c r="H60" s="2">
        <f t="shared" si="5"/>
        <v>0</v>
      </c>
      <c r="I60" s="3">
        <f t="shared" si="6"/>
        <v>0</v>
      </c>
      <c r="J60" s="3">
        <f t="shared" si="7"/>
        <v>0</v>
      </c>
      <c r="K60" s="3"/>
      <c r="L60" s="3">
        <f t="shared" si="8"/>
        <v>432.2142361</v>
      </c>
      <c r="M60" s="14">
        <f t="shared" si="9"/>
        <v>428.9427275</v>
      </c>
      <c r="N60" s="14">
        <f t="shared" si="10"/>
        <v>3.271508557</v>
      </c>
      <c r="O60" s="3"/>
      <c r="P60" s="23">
        <f t="shared" si="11"/>
        <v>167.129896</v>
      </c>
      <c r="Q60" s="14">
        <f t="shared" si="12"/>
        <v>432.2142361</v>
      </c>
      <c r="R60" s="2"/>
      <c r="S60" s="14">
        <f t="shared" si="13"/>
        <v>3.004213656</v>
      </c>
    </row>
    <row r="61">
      <c r="A61" s="11">
        <v>49.0</v>
      </c>
      <c r="B61" s="11">
        <v>1.41960869565217E9</v>
      </c>
      <c r="C61" s="2">
        <v>-102.5296936</v>
      </c>
      <c r="D61" s="3">
        <f t="shared" si="1"/>
        <v>-791304.3478</v>
      </c>
      <c r="E61" s="4">
        <f t="shared" si="2"/>
        <v>166.2115999</v>
      </c>
      <c r="F61" s="3">
        <f t="shared" si="3"/>
        <v>0.0002100476263</v>
      </c>
      <c r="G61" s="3">
        <f t="shared" si="4"/>
        <v>0</v>
      </c>
      <c r="H61" s="2">
        <f t="shared" si="5"/>
        <v>0</v>
      </c>
      <c r="I61" s="3">
        <f t="shared" si="6"/>
        <v>0</v>
      </c>
      <c r="J61" s="3">
        <f t="shared" si="7"/>
        <v>0</v>
      </c>
      <c r="K61" s="3"/>
      <c r="L61" s="3">
        <f t="shared" si="8"/>
        <v>424.7533447</v>
      </c>
      <c r="M61" s="14">
        <f t="shared" si="9"/>
        <v>428.8446687</v>
      </c>
      <c r="N61" s="14">
        <f t="shared" si="10"/>
        <v>-4.09132396</v>
      </c>
      <c r="O61" s="3"/>
      <c r="P61" s="23">
        <f t="shared" si="11"/>
        <v>166.2115999</v>
      </c>
      <c r="Q61" s="14">
        <f t="shared" si="12"/>
        <v>424.7533447</v>
      </c>
      <c r="R61" s="2"/>
      <c r="S61" s="14">
        <f t="shared" si="13"/>
        <v>-3.757046962</v>
      </c>
    </row>
    <row r="62">
      <c r="A62" s="11">
        <v>50.0</v>
      </c>
      <c r="B62" s="11">
        <v>1.41961304347826E9</v>
      </c>
      <c r="C62" s="2">
        <v>-102.5159225</v>
      </c>
      <c r="D62" s="3">
        <f t="shared" si="1"/>
        <v>-786956.5217</v>
      </c>
      <c r="E62" s="4">
        <f t="shared" si="2"/>
        <v>165.2933038</v>
      </c>
      <c r="F62" s="3">
        <f t="shared" si="3"/>
        <v>0.0002100412148</v>
      </c>
      <c r="G62" s="3">
        <f t="shared" si="4"/>
        <v>0</v>
      </c>
      <c r="H62" s="2">
        <f t="shared" si="5"/>
        <v>0</v>
      </c>
      <c r="I62" s="3">
        <f t="shared" si="6"/>
        <v>0</v>
      </c>
      <c r="J62" s="3">
        <f t="shared" si="7"/>
        <v>0</v>
      </c>
      <c r="K62" s="3"/>
      <c r="L62" s="3">
        <f t="shared" si="8"/>
        <v>426.1023382</v>
      </c>
      <c r="M62" s="14">
        <f t="shared" si="9"/>
        <v>428.7466815</v>
      </c>
      <c r="N62" s="14">
        <f t="shared" si="10"/>
        <v>-2.64434329</v>
      </c>
      <c r="O62" s="3"/>
      <c r="P62" s="23">
        <f t="shared" si="11"/>
        <v>165.2933038</v>
      </c>
      <c r="Q62" s="14">
        <f t="shared" si="12"/>
        <v>426.1023382</v>
      </c>
      <c r="R62" s="2"/>
      <c r="S62" s="14">
        <f t="shared" si="13"/>
        <v>-2.428290217</v>
      </c>
    </row>
    <row r="63">
      <c r="A63" s="11">
        <v>51.0</v>
      </c>
      <c r="B63" s="11">
        <v>1.41961739130434E9</v>
      </c>
      <c r="C63" s="2">
        <v>-102.501442</v>
      </c>
      <c r="D63" s="3">
        <f t="shared" si="1"/>
        <v>-782608.6957</v>
      </c>
      <c r="E63" s="4">
        <f t="shared" si="2"/>
        <v>164.3750077</v>
      </c>
      <c r="F63" s="3">
        <f t="shared" si="3"/>
        <v>0.000210034732</v>
      </c>
      <c r="G63" s="3">
        <f t="shared" si="4"/>
        <v>0</v>
      </c>
      <c r="H63" s="2">
        <f t="shared" si="5"/>
        <v>0</v>
      </c>
      <c r="I63" s="3">
        <f t="shared" si="6"/>
        <v>0</v>
      </c>
      <c r="J63" s="3">
        <f t="shared" si="7"/>
        <v>0</v>
      </c>
      <c r="K63" s="3"/>
      <c r="L63" s="3">
        <f t="shared" si="8"/>
        <v>427.5254447</v>
      </c>
      <c r="M63" s="14">
        <f t="shared" si="9"/>
        <v>428.6487661</v>
      </c>
      <c r="N63" s="14">
        <f t="shared" si="10"/>
        <v>-1.123321387</v>
      </c>
      <c r="O63" s="3"/>
      <c r="P63" s="23">
        <f t="shared" si="11"/>
        <v>164.3750077</v>
      </c>
      <c r="Q63" s="14">
        <f t="shared" si="12"/>
        <v>427.5254447</v>
      </c>
      <c r="R63" s="2"/>
      <c r="S63" s="14">
        <f t="shared" si="13"/>
        <v>-1.031541686</v>
      </c>
    </row>
    <row r="64">
      <c r="A64" s="11">
        <v>52.0</v>
      </c>
      <c r="B64" s="11">
        <v>1.41962173913043E9</v>
      </c>
      <c r="C64" s="2">
        <v>-102.4693222</v>
      </c>
      <c r="D64" s="3">
        <f t="shared" si="1"/>
        <v>-778260.8696</v>
      </c>
      <c r="E64" s="4">
        <f t="shared" si="2"/>
        <v>163.4567115</v>
      </c>
      <c r="F64" s="3">
        <f t="shared" si="3"/>
        <v>0.0002100281768</v>
      </c>
      <c r="G64" s="3">
        <f t="shared" si="4"/>
        <v>0</v>
      </c>
      <c r="H64" s="2">
        <f t="shared" si="5"/>
        <v>0</v>
      </c>
      <c r="I64" s="3">
        <f t="shared" si="6"/>
        <v>0</v>
      </c>
      <c r="J64" s="3">
        <f t="shared" si="7"/>
        <v>0</v>
      </c>
      <c r="K64" s="3"/>
      <c r="L64" s="3">
        <f t="shared" si="8"/>
        <v>430.6990833</v>
      </c>
      <c r="M64" s="14">
        <f t="shared" si="9"/>
        <v>428.5509223</v>
      </c>
      <c r="N64" s="14">
        <f t="shared" si="10"/>
        <v>2.148160961</v>
      </c>
      <c r="O64" s="3"/>
      <c r="P64" s="23">
        <f t="shared" si="11"/>
        <v>163.4567115</v>
      </c>
      <c r="Q64" s="14">
        <f t="shared" si="12"/>
        <v>430.6990833</v>
      </c>
      <c r="R64" s="2"/>
      <c r="S64" s="14">
        <f t="shared" si="13"/>
        <v>1.972647899</v>
      </c>
    </row>
    <row r="65">
      <c r="A65" s="11">
        <v>53.0</v>
      </c>
      <c r="B65" s="11">
        <v>1.41962608695652E9</v>
      </c>
      <c r="C65" s="2">
        <v>-102.4637527</v>
      </c>
      <c r="D65" s="3">
        <f t="shared" si="1"/>
        <v>-773913.0435</v>
      </c>
      <c r="E65" s="4">
        <f t="shared" si="2"/>
        <v>162.5384154</v>
      </c>
      <c r="F65" s="3">
        <f t="shared" si="3"/>
        <v>0.000210021548</v>
      </c>
      <c r="G65" s="3">
        <f t="shared" si="4"/>
        <v>0</v>
      </c>
      <c r="H65" s="2">
        <f t="shared" si="5"/>
        <v>0</v>
      </c>
      <c r="I65" s="3">
        <f t="shared" si="6"/>
        <v>0</v>
      </c>
      <c r="J65" s="3">
        <f t="shared" si="7"/>
        <v>0</v>
      </c>
      <c r="K65" s="3"/>
      <c r="L65" s="3">
        <f t="shared" si="8"/>
        <v>431.2517768</v>
      </c>
      <c r="M65" s="14">
        <f t="shared" si="9"/>
        <v>428.4531502</v>
      </c>
      <c r="N65" s="14">
        <f t="shared" si="10"/>
        <v>2.798626545</v>
      </c>
      <c r="O65" s="3"/>
      <c r="P65" s="23">
        <f t="shared" si="11"/>
        <v>162.5384154</v>
      </c>
      <c r="Q65" s="14">
        <f t="shared" si="12"/>
        <v>431.2517768</v>
      </c>
      <c r="R65" s="2"/>
      <c r="S65" s="14">
        <f t="shared" si="13"/>
        <v>2.569967933</v>
      </c>
    </row>
    <row r="66">
      <c r="A66" s="11">
        <v>54.0</v>
      </c>
      <c r="B66" s="11">
        <v>1.4196304347826E9</v>
      </c>
      <c r="C66" s="2">
        <v>-102.5056763</v>
      </c>
      <c r="D66" s="3">
        <f t="shared" si="1"/>
        <v>-769565.2174</v>
      </c>
      <c r="E66" s="4">
        <f t="shared" si="2"/>
        <v>161.6201193</v>
      </c>
      <c r="F66" s="3">
        <f t="shared" si="3"/>
        <v>0.0002100148442</v>
      </c>
      <c r="G66" s="3">
        <f t="shared" si="4"/>
        <v>0</v>
      </c>
      <c r="H66" s="2">
        <f t="shared" si="5"/>
        <v>0</v>
      </c>
      <c r="I66" s="3">
        <f t="shared" si="6"/>
        <v>0</v>
      </c>
      <c r="J66" s="3">
        <f t="shared" si="7"/>
        <v>0</v>
      </c>
      <c r="K66" s="3"/>
      <c r="L66" s="3">
        <f t="shared" si="8"/>
        <v>427.1088175</v>
      </c>
      <c r="M66" s="14">
        <f t="shared" si="9"/>
        <v>428.3554498</v>
      </c>
      <c r="N66" s="14">
        <f t="shared" si="10"/>
        <v>-1.246632251</v>
      </c>
      <c r="O66" s="3"/>
      <c r="P66" s="23">
        <f t="shared" si="11"/>
        <v>161.6201193</v>
      </c>
      <c r="Q66" s="14">
        <f t="shared" si="12"/>
        <v>427.1088175</v>
      </c>
      <c r="R66" s="2"/>
      <c r="S66" s="14">
        <f t="shared" si="13"/>
        <v>-1.144777575</v>
      </c>
    </row>
    <row r="67">
      <c r="A67" s="11">
        <v>55.0</v>
      </c>
      <c r="B67" s="11">
        <v>1.41963478260869E9</v>
      </c>
      <c r="C67" s="2">
        <v>-102.5172424</v>
      </c>
      <c r="D67" s="3">
        <f t="shared" si="1"/>
        <v>-765217.3913</v>
      </c>
      <c r="E67" s="4">
        <f t="shared" si="2"/>
        <v>160.7018231</v>
      </c>
      <c r="F67" s="3">
        <f t="shared" si="3"/>
        <v>0.0002100080643</v>
      </c>
      <c r="G67" s="3">
        <f t="shared" si="4"/>
        <v>0</v>
      </c>
      <c r="H67" s="2">
        <f t="shared" si="5"/>
        <v>0</v>
      </c>
      <c r="I67" s="3">
        <f t="shared" si="6"/>
        <v>0</v>
      </c>
      <c r="J67" s="3">
        <f t="shared" si="7"/>
        <v>0</v>
      </c>
      <c r="K67" s="3"/>
      <c r="L67" s="3">
        <f t="shared" si="8"/>
        <v>425.9728576</v>
      </c>
      <c r="M67" s="14">
        <f t="shared" si="9"/>
        <v>428.2578209</v>
      </c>
      <c r="N67" s="14">
        <f t="shared" si="10"/>
        <v>-2.284963307</v>
      </c>
      <c r="O67" s="3"/>
      <c r="P67" s="23">
        <f t="shared" si="11"/>
        <v>160.7018231</v>
      </c>
      <c r="Q67" s="14">
        <f t="shared" si="12"/>
        <v>425.9728576</v>
      </c>
      <c r="R67" s="2"/>
      <c r="S67" s="14">
        <f t="shared" si="13"/>
        <v>-2.098272968</v>
      </c>
    </row>
    <row r="68">
      <c r="A68" s="11">
        <v>56.0</v>
      </c>
      <c r="B68" s="11">
        <v>1.41963913043478E9</v>
      </c>
      <c r="C68" s="2">
        <v>-102.4791565</v>
      </c>
      <c r="D68" s="24">
        <f t="shared" si="1"/>
        <v>-760869.5652</v>
      </c>
      <c r="E68" s="25">
        <f t="shared" si="2"/>
        <v>159.783527</v>
      </c>
      <c r="F68" s="24">
        <f t="shared" si="3"/>
        <v>0.0002100012069</v>
      </c>
      <c r="G68" s="24">
        <f t="shared" si="4"/>
        <v>0</v>
      </c>
      <c r="H68" s="26">
        <f t="shared" si="5"/>
        <v>0</v>
      </c>
      <c r="I68" s="24">
        <f t="shared" si="6"/>
        <v>0</v>
      </c>
      <c r="J68" s="24">
        <f t="shared" si="7"/>
        <v>0</v>
      </c>
      <c r="K68" s="24"/>
      <c r="L68" s="24">
        <f t="shared" si="8"/>
        <v>429.7248982</v>
      </c>
      <c r="M68" s="14">
        <f t="shared" si="9"/>
        <v>428.1602637</v>
      </c>
      <c r="N68" s="27">
        <f t="shared" si="10"/>
        <v>1.564634476</v>
      </c>
      <c r="O68" s="24"/>
      <c r="P68" s="28">
        <f t="shared" ref="P68:P123" si="14">-((B418-$B$4)/$B$4)*(3*10^5)</f>
        <v>-160.7018231</v>
      </c>
      <c r="Q68" s="27">
        <f t="shared" ref="Q68:Q123" si="15">(1/(2*$K$13))*(I417)</f>
        <v>396.9663713</v>
      </c>
      <c r="R68" s="26"/>
      <c r="S68" s="14">
        <f t="shared" si="13"/>
        <v>1.436797785</v>
      </c>
    </row>
    <row r="69">
      <c r="A69" s="11">
        <v>57.0</v>
      </c>
      <c r="B69" s="11">
        <v>1.41964347826087E9</v>
      </c>
      <c r="C69" s="2">
        <v>-102.4566269</v>
      </c>
      <c r="D69" s="24">
        <f t="shared" si="1"/>
        <v>-756521.7391</v>
      </c>
      <c r="E69" s="25">
        <f t="shared" si="2"/>
        <v>158.8652309</v>
      </c>
      <c r="F69" s="24">
        <f t="shared" si="3"/>
        <v>0.0002099942707</v>
      </c>
      <c r="G69" s="24">
        <f t="shared" si="4"/>
        <v>0</v>
      </c>
      <c r="H69" s="26">
        <f t="shared" si="5"/>
        <v>0</v>
      </c>
      <c r="I69" s="24">
        <f t="shared" si="6"/>
        <v>0</v>
      </c>
      <c r="J69" s="24">
        <f t="shared" si="7"/>
        <v>0</v>
      </c>
      <c r="K69" s="24"/>
      <c r="L69" s="24">
        <f t="shared" si="8"/>
        <v>431.9599452</v>
      </c>
      <c r="M69" s="14">
        <f t="shared" si="9"/>
        <v>428.0627781</v>
      </c>
      <c r="N69" s="27">
        <f t="shared" si="10"/>
        <v>3.89716707</v>
      </c>
      <c r="O69" s="24"/>
      <c r="P69" s="28">
        <f t="shared" si="14"/>
        <v>-161.6201193</v>
      </c>
      <c r="Q69" s="27">
        <f t="shared" si="15"/>
        <v>399.4504524</v>
      </c>
      <c r="R69" s="26"/>
      <c r="S69" s="14">
        <f t="shared" si="13"/>
        <v>3.578753449</v>
      </c>
    </row>
    <row r="70">
      <c r="A70" s="11">
        <v>58.0</v>
      </c>
      <c r="B70" s="11">
        <v>1.41964782608695E9</v>
      </c>
      <c r="C70" s="2">
        <v>-102.4725342</v>
      </c>
      <c r="D70" s="24">
        <f t="shared" si="1"/>
        <v>-752173.913</v>
      </c>
      <c r="E70" s="25">
        <f t="shared" si="2"/>
        <v>157.9469347</v>
      </c>
      <c r="F70" s="24">
        <f t="shared" si="3"/>
        <v>0.0002099872543</v>
      </c>
      <c r="G70" s="24">
        <f t="shared" si="4"/>
        <v>0</v>
      </c>
      <c r="H70" s="26">
        <f t="shared" si="5"/>
        <v>0</v>
      </c>
      <c r="I70" s="24">
        <f t="shared" si="6"/>
        <v>0</v>
      </c>
      <c r="J70" s="24">
        <f t="shared" si="7"/>
        <v>0</v>
      </c>
      <c r="K70" s="24"/>
      <c r="L70" s="24">
        <f t="shared" si="8"/>
        <v>430.3806602</v>
      </c>
      <c r="M70" s="14">
        <f t="shared" si="9"/>
        <v>427.965364</v>
      </c>
      <c r="N70" s="27">
        <f t="shared" si="10"/>
        <v>2.415296107</v>
      </c>
      <c r="O70" s="24"/>
      <c r="P70" s="28">
        <f t="shared" si="14"/>
        <v>-162.5384154</v>
      </c>
      <c r="Q70" s="27">
        <f t="shared" si="15"/>
        <v>395.895274</v>
      </c>
      <c r="R70" s="26"/>
      <c r="S70" s="14">
        <f t="shared" si="13"/>
        <v>2.217957075</v>
      </c>
    </row>
    <row r="71">
      <c r="A71" s="11">
        <v>59.0</v>
      </c>
      <c r="B71" s="11">
        <v>1.41965217391304E9</v>
      </c>
      <c r="C71" s="2">
        <v>-102.4852448</v>
      </c>
      <c r="D71" s="24">
        <f t="shared" si="1"/>
        <v>-747826.087</v>
      </c>
      <c r="E71" s="25">
        <f t="shared" si="2"/>
        <v>157.0286386</v>
      </c>
      <c r="F71" s="24">
        <f t="shared" si="3"/>
        <v>0.0002099801563</v>
      </c>
      <c r="G71" s="24">
        <f t="shared" si="4"/>
        <v>0</v>
      </c>
      <c r="H71" s="26">
        <f t="shared" si="5"/>
        <v>0</v>
      </c>
      <c r="I71" s="24">
        <f t="shared" si="6"/>
        <v>0</v>
      </c>
      <c r="J71" s="24">
        <f t="shared" si="7"/>
        <v>0</v>
      </c>
      <c r="K71" s="24"/>
      <c r="L71" s="24">
        <f t="shared" si="8"/>
        <v>429.1228963</v>
      </c>
      <c r="M71" s="14">
        <f t="shared" si="9"/>
        <v>427.8680215</v>
      </c>
      <c r="N71" s="27">
        <f t="shared" si="10"/>
        <v>1.254874749</v>
      </c>
      <c r="O71" s="24"/>
      <c r="P71" s="28">
        <f t="shared" si="14"/>
        <v>-163.4567115</v>
      </c>
      <c r="Q71" s="27">
        <f t="shared" si="15"/>
        <v>404.138623</v>
      </c>
      <c r="R71" s="26"/>
      <c r="S71" s="14">
        <f t="shared" si="13"/>
        <v>1.152346627</v>
      </c>
    </row>
    <row r="72">
      <c r="A72" s="11">
        <v>60.0</v>
      </c>
      <c r="B72" s="11">
        <v>1.41965652173913E9</v>
      </c>
      <c r="C72" s="2">
        <v>-102.5073471</v>
      </c>
      <c r="D72" s="24">
        <f t="shared" si="1"/>
        <v>-743478.2609</v>
      </c>
      <c r="E72" s="25">
        <f t="shared" si="2"/>
        <v>156.1103425</v>
      </c>
      <c r="F72" s="24">
        <f t="shared" si="3"/>
        <v>0.0002099729752</v>
      </c>
      <c r="G72" s="24">
        <f t="shared" si="4"/>
        <v>0</v>
      </c>
      <c r="H72" s="26">
        <f t="shared" si="5"/>
        <v>0</v>
      </c>
      <c r="I72" s="24">
        <f t="shared" si="6"/>
        <v>0</v>
      </c>
      <c r="J72" s="24">
        <f t="shared" si="7"/>
        <v>0</v>
      </c>
      <c r="K72" s="24"/>
      <c r="L72" s="24">
        <f t="shared" si="8"/>
        <v>426.9445336</v>
      </c>
      <c r="M72" s="14">
        <f t="shared" si="9"/>
        <v>427.7707506</v>
      </c>
      <c r="N72" s="27">
        <f t="shared" si="10"/>
        <v>-0.826217013</v>
      </c>
      <c r="O72" s="24"/>
      <c r="P72" s="28">
        <f t="shared" si="14"/>
        <v>-164.3750077</v>
      </c>
      <c r="Q72" s="27">
        <f t="shared" si="15"/>
        <v>396.7446758</v>
      </c>
      <c r="R72" s="26"/>
      <c r="S72" s="14">
        <f t="shared" si="13"/>
        <v>-0.7587118879</v>
      </c>
    </row>
    <row r="73">
      <c r="A73" s="11">
        <v>61.0</v>
      </c>
      <c r="B73" s="11">
        <v>1.41966086956521E9</v>
      </c>
      <c r="C73" s="2">
        <v>-102.5229721</v>
      </c>
      <c r="D73" s="24">
        <f t="shared" si="1"/>
        <v>-739130.4348</v>
      </c>
      <c r="E73" s="25">
        <f t="shared" si="2"/>
        <v>155.1920463</v>
      </c>
      <c r="F73" s="24">
        <f t="shared" si="3"/>
        <v>0.0002099657097</v>
      </c>
      <c r="G73" s="24">
        <f t="shared" si="4"/>
        <v>0</v>
      </c>
      <c r="H73" s="26">
        <f t="shared" si="5"/>
        <v>0</v>
      </c>
      <c r="I73" s="24">
        <f t="shared" si="6"/>
        <v>0</v>
      </c>
      <c r="J73" s="24">
        <f t="shared" si="7"/>
        <v>0</v>
      </c>
      <c r="K73" s="24"/>
      <c r="L73" s="24">
        <f t="shared" si="8"/>
        <v>425.411237</v>
      </c>
      <c r="M73" s="14">
        <f t="shared" si="9"/>
        <v>427.6735511</v>
      </c>
      <c r="N73" s="27">
        <f t="shared" si="10"/>
        <v>-2.262314094</v>
      </c>
      <c r="O73" s="24"/>
      <c r="P73" s="28">
        <f t="shared" si="14"/>
        <v>-165.2933038</v>
      </c>
      <c r="Q73" s="27">
        <f t="shared" si="15"/>
        <v>403.4675558</v>
      </c>
      <c r="R73" s="26"/>
      <c r="S73" s="14">
        <f t="shared" si="13"/>
        <v>-2.077474284</v>
      </c>
    </row>
    <row r="74">
      <c r="A74" s="11">
        <v>62.0</v>
      </c>
      <c r="B74" s="11">
        <v>1.4196652173913E9</v>
      </c>
      <c r="C74" s="2">
        <v>-102.4612579</v>
      </c>
      <c r="D74" s="24">
        <f t="shared" si="1"/>
        <v>-734782.6087</v>
      </c>
      <c r="E74" s="25">
        <f t="shared" si="2"/>
        <v>154.2737502</v>
      </c>
      <c r="F74" s="24">
        <f t="shared" si="3"/>
        <v>0.0002099583583</v>
      </c>
      <c r="G74" s="24">
        <f t="shared" si="4"/>
        <v>0</v>
      </c>
      <c r="H74" s="26">
        <f t="shared" si="5"/>
        <v>0</v>
      </c>
      <c r="I74" s="24">
        <f t="shared" si="6"/>
        <v>0</v>
      </c>
      <c r="J74" s="24">
        <f t="shared" si="7"/>
        <v>0</v>
      </c>
      <c r="K74" s="24"/>
      <c r="L74" s="24">
        <f t="shared" si="8"/>
        <v>431.49958</v>
      </c>
      <c r="M74" s="14">
        <f t="shared" si="9"/>
        <v>427.5764231</v>
      </c>
      <c r="N74" s="27">
        <f t="shared" si="10"/>
        <v>3.923156907</v>
      </c>
      <c r="O74" s="24"/>
      <c r="P74" s="28">
        <f t="shared" si="14"/>
        <v>-166.2115999</v>
      </c>
      <c r="Q74" s="27">
        <f t="shared" si="15"/>
        <v>396.5586226</v>
      </c>
      <c r="R74" s="26"/>
      <c r="S74" s="14">
        <f t="shared" si="13"/>
        <v>3.602619808</v>
      </c>
    </row>
    <row r="75">
      <c r="A75" s="11">
        <v>63.0</v>
      </c>
      <c r="B75" s="11">
        <v>1.41966956521739E9</v>
      </c>
      <c r="C75" s="2">
        <v>-102.4764633</v>
      </c>
      <c r="D75" s="24">
        <f t="shared" si="1"/>
        <v>-730434.7826</v>
      </c>
      <c r="E75" s="25">
        <f t="shared" si="2"/>
        <v>153.3554541</v>
      </c>
      <c r="F75" s="24">
        <f t="shared" si="3"/>
        <v>0.0002099509193</v>
      </c>
      <c r="G75" s="24">
        <f t="shared" si="4"/>
        <v>0</v>
      </c>
      <c r="H75" s="26">
        <f t="shared" si="5"/>
        <v>0</v>
      </c>
      <c r="I75" s="24">
        <f t="shared" si="6"/>
        <v>0</v>
      </c>
      <c r="J75" s="24">
        <f t="shared" si="7"/>
        <v>0</v>
      </c>
      <c r="K75" s="24"/>
      <c r="L75" s="24">
        <f t="shared" si="8"/>
        <v>429.9914671</v>
      </c>
      <c r="M75" s="14">
        <f t="shared" si="9"/>
        <v>427.4793666</v>
      </c>
      <c r="N75" s="27">
        <f t="shared" si="10"/>
        <v>2.512100457</v>
      </c>
      <c r="O75" s="24"/>
      <c r="P75" s="28">
        <f t="shared" si="14"/>
        <v>-167.129896</v>
      </c>
      <c r="Q75" s="27">
        <f t="shared" si="15"/>
        <v>397.2049457</v>
      </c>
      <c r="R75" s="26"/>
      <c r="S75" s="14">
        <f t="shared" si="13"/>
        <v>2.306852135</v>
      </c>
    </row>
    <row r="76">
      <c r="A76" s="11">
        <v>64.0</v>
      </c>
      <c r="B76" s="11">
        <v>1.41967391304347E9</v>
      </c>
      <c r="C76" s="2">
        <v>-102.5196533</v>
      </c>
      <c r="D76" s="24">
        <f t="shared" si="1"/>
        <v>-726086.9565</v>
      </c>
      <c r="E76" s="25">
        <f t="shared" si="2"/>
        <v>152.4371579</v>
      </c>
      <c r="F76" s="24">
        <f t="shared" si="3"/>
        <v>0.0002099433912</v>
      </c>
      <c r="G76" s="24">
        <f t="shared" si="4"/>
        <v>0</v>
      </c>
      <c r="H76" s="26">
        <f t="shared" si="5"/>
        <v>0</v>
      </c>
      <c r="I76" s="24">
        <f t="shared" si="6"/>
        <v>0</v>
      </c>
      <c r="J76" s="24">
        <f t="shared" si="7"/>
        <v>0</v>
      </c>
      <c r="K76" s="24"/>
      <c r="L76" s="24">
        <f t="shared" si="8"/>
        <v>425.7364528</v>
      </c>
      <c r="M76" s="14">
        <f t="shared" si="9"/>
        <v>427.3823816</v>
      </c>
      <c r="N76" s="27">
        <f t="shared" si="10"/>
        <v>-1.645928763</v>
      </c>
      <c r="O76" s="24"/>
      <c r="P76" s="28">
        <f t="shared" si="14"/>
        <v>-168.0481922</v>
      </c>
      <c r="Q76" s="27">
        <f t="shared" si="15"/>
        <v>402.1951761</v>
      </c>
      <c r="R76" s="26"/>
      <c r="S76" s="14">
        <f t="shared" si="13"/>
        <v>-1.511450018</v>
      </c>
    </row>
    <row r="77">
      <c r="A77" s="11">
        <v>65.0</v>
      </c>
      <c r="B77" s="11">
        <v>1.41967826086956E9</v>
      </c>
      <c r="C77" s="2">
        <v>-102.5420532</v>
      </c>
      <c r="D77" s="24">
        <f t="shared" si="1"/>
        <v>-721739.1304</v>
      </c>
      <c r="E77" s="25">
        <f t="shared" si="2"/>
        <v>151.5188618</v>
      </c>
      <c r="F77" s="24">
        <f t="shared" si="3"/>
        <v>0.0002099357724</v>
      </c>
      <c r="G77" s="24">
        <f t="shared" si="4"/>
        <v>0</v>
      </c>
      <c r="H77" s="26">
        <f t="shared" si="5"/>
        <v>0</v>
      </c>
      <c r="I77" s="24">
        <f t="shared" si="6"/>
        <v>0</v>
      </c>
      <c r="J77" s="24">
        <f t="shared" si="7"/>
        <v>0</v>
      </c>
      <c r="K77" s="24"/>
      <c r="L77" s="24">
        <f t="shared" si="8"/>
        <v>423.5462563</v>
      </c>
      <c r="M77" s="14">
        <f t="shared" si="9"/>
        <v>427.285468</v>
      </c>
      <c r="N77" s="27">
        <f t="shared" si="10"/>
        <v>-3.739211719</v>
      </c>
      <c r="O77" s="24"/>
      <c r="P77" s="28">
        <f t="shared" si="14"/>
        <v>-168.9664883</v>
      </c>
      <c r="Q77" s="27">
        <f t="shared" si="15"/>
        <v>403.1359861</v>
      </c>
      <c r="R77" s="26"/>
      <c r="S77" s="14">
        <f t="shared" si="13"/>
        <v>-3.433703653</v>
      </c>
    </row>
    <row r="78">
      <c r="A78" s="11">
        <v>66.0</v>
      </c>
      <c r="B78" s="11">
        <v>1.41968260869565E9</v>
      </c>
      <c r="C78" s="2">
        <v>-102.5478363</v>
      </c>
      <c r="D78" s="24">
        <f t="shared" si="1"/>
        <v>-717391.3043</v>
      </c>
      <c r="E78" s="25">
        <f t="shared" si="2"/>
        <v>150.6005657</v>
      </c>
      <c r="F78" s="24">
        <f t="shared" si="3"/>
        <v>0.0002099280612</v>
      </c>
      <c r="G78" s="24">
        <f t="shared" si="4"/>
        <v>0</v>
      </c>
      <c r="H78" s="26">
        <f t="shared" si="5"/>
        <v>0</v>
      </c>
      <c r="I78" s="24">
        <f t="shared" si="6"/>
        <v>0</v>
      </c>
      <c r="J78" s="24">
        <f t="shared" si="7"/>
        <v>0</v>
      </c>
      <c r="K78" s="24"/>
      <c r="L78" s="24">
        <f t="shared" si="8"/>
        <v>422.9826341</v>
      </c>
      <c r="M78" s="14">
        <f t="shared" si="9"/>
        <v>427.1886258</v>
      </c>
      <c r="N78" s="27">
        <f t="shared" si="10"/>
        <v>-4.205991765</v>
      </c>
      <c r="O78" s="24"/>
      <c r="P78" s="28">
        <f t="shared" si="14"/>
        <v>-169.8847844</v>
      </c>
      <c r="Q78" s="27">
        <f t="shared" si="15"/>
        <v>398.3999428</v>
      </c>
      <c r="R78" s="26"/>
      <c r="S78" s="14">
        <f t="shared" si="13"/>
        <v>-3.862345973</v>
      </c>
    </row>
    <row r="79">
      <c r="A79" s="11">
        <v>67.0</v>
      </c>
      <c r="B79" s="11">
        <v>1.41968695652173E9</v>
      </c>
      <c r="C79" s="2">
        <v>-102.4629669</v>
      </c>
      <c r="D79" s="24">
        <f t="shared" si="1"/>
        <v>-713043.4783</v>
      </c>
      <c r="E79" s="25">
        <f t="shared" si="2"/>
        <v>149.6822695</v>
      </c>
      <c r="F79" s="24">
        <f t="shared" si="3"/>
        <v>0.0002099202561</v>
      </c>
      <c r="G79" s="24">
        <f t="shared" si="4"/>
        <v>0</v>
      </c>
      <c r="H79" s="26">
        <f t="shared" si="5"/>
        <v>0</v>
      </c>
      <c r="I79" s="24">
        <f t="shared" si="6"/>
        <v>0</v>
      </c>
      <c r="J79" s="24">
        <f t="shared" si="7"/>
        <v>0</v>
      </c>
      <c r="K79" s="24"/>
      <c r="L79" s="24">
        <f t="shared" si="8"/>
        <v>431.3298133</v>
      </c>
      <c r="M79" s="14">
        <f t="shared" si="9"/>
        <v>427.091855</v>
      </c>
      <c r="N79" s="27">
        <f t="shared" si="10"/>
        <v>4.237958244</v>
      </c>
      <c r="O79" s="24"/>
      <c r="P79" s="28">
        <f t="shared" si="14"/>
        <v>-170.8030806</v>
      </c>
      <c r="Q79" s="27">
        <f t="shared" si="15"/>
        <v>394.2441769</v>
      </c>
      <c r="R79" s="26"/>
      <c r="S79" s="14">
        <f t="shared" si="13"/>
        <v>3.891700667</v>
      </c>
    </row>
    <row r="80">
      <c r="A80" s="11">
        <v>68.0</v>
      </c>
      <c r="B80" s="11">
        <v>1.41969130434782E9</v>
      </c>
      <c r="C80" s="2">
        <v>-102.4540024</v>
      </c>
      <c r="D80" s="24">
        <f t="shared" si="1"/>
        <v>-708695.6522</v>
      </c>
      <c r="E80" s="25">
        <f t="shared" si="2"/>
        <v>148.7639734</v>
      </c>
      <c r="F80" s="24">
        <f t="shared" si="3"/>
        <v>0.0002099123551</v>
      </c>
      <c r="G80" s="24">
        <f t="shared" si="4"/>
        <v>0</v>
      </c>
      <c r="H80" s="26">
        <f t="shared" si="5"/>
        <v>0</v>
      </c>
      <c r="I80" s="24">
        <f t="shared" si="6"/>
        <v>0</v>
      </c>
      <c r="J80" s="24">
        <f t="shared" si="7"/>
        <v>0</v>
      </c>
      <c r="K80" s="24"/>
      <c r="L80" s="24">
        <f t="shared" si="8"/>
        <v>432.2210633</v>
      </c>
      <c r="M80" s="14">
        <f t="shared" si="9"/>
        <v>426.9951556</v>
      </c>
      <c r="N80" s="27">
        <f t="shared" si="10"/>
        <v>5.225907646</v>
      </c>
      <c r="O80" s="24"/>
      <c r="P80" s="28">
        <f t="shared" si="14"/>
        <v>-171.7213767</v>
      </c>
      <c r="Q80" s="27">
        <f t="shared" si="15"/>
        <v>393.1527949</v>
      </c>
      <c r="R80" s="26"/>
      <c r="S80" s="14">
        <f t="shared" si="13"/>
        <v>4.798930782</v>
      </c>
    </row>
    <row r="81">
      <c r="A81" s="11">
        <v>69.0</v>
      </c>
      <c r="B81" s="11">
        <v>1.41969565217391E9</v>
      </c>
      <c r="C81" s="2">
        <v>-102.4630203</v>
      </c>
      <c r="D81" s="24">
        <f t="shared" si="1"/>
        <v>-704347.8261</v>
      </c>
      <c r="E81" s="25">
        <f t="shared" si="2"/>
        <v>147.8456773</v>
      </c>
      <c r="F81" s="24">
        <f t="shared" si="3"/>
        <v>0.0002099043566</v>
      </c>
      <c r="G81" s="24">
        <f t="shared" si="4"/>
        <v>0</v>
      </c>
      <c r="H81" s="26">
        <f t="shared" si="5"/>
        <v>0</v>
      </c>
      <c r="I81" s="24">
        <f t="shared" si="6"/>
        <v>0</v>
      </c>
      <c r="J81" s="24">
        <f t="shared" si="7"/>
        <v>0</v>
      </c>
      <c r="K81" s="24"/>
      <c r="L81" s="24">
        <f t="shared" si="8"/>
        <v>431.3245098</v>
      </c>
      <c r="M81" s="14">
        <f t="shared" si="9"/>
        <v>426.8985276</v>
      </c>
      <c r="N81" s="27">
        <f t="shared" si="10"/>
        <v>4.425982186</v>
      </c>
      <c r="O81" s="24"/>
      <c r="P81" s="28">
        <f t="shared" si="14"/>
        <v>-172.6396728</v>
      </c>
      <c r="Q81" s="27">
        <f t="shared" si="15"/>
        <v>397.2216924</v>
      </c>
      <c r="R81" s="26"/>
      <c r="S81" s="14">
        <f t="shared" si="13"/>
        <v>4.064362316</v>
      </c>
    </row>
    <row r="82">
      <c r="A82" s="11">
        <v>70.0</v>
      </c>
      <c r="B82" s="11">
        <v>1.4197E9</v>
      </c>
      <c r="C82" s="2">
        <v>-102.4349594</v>
      </c>
      <c r="D82" s="24">
        <f t="shared" si="1"/>
        <v>-700000</v>
      </c>
      <c r="E82" s="25">
        <f t="shared" si="2"/>
        <v>146.9273811</v>
      </c>
      <c r="F82" s="24">
        <f t="shared" si="3"/>
        <v>0.0002098962588</v>
      </c>
      <c r="G82" s="24">
        <f t="shared" si="4"/>
        <v>0</v>
      </c>
      <c r="H82" s="26">
        <f t="shared" si="5"/>
        <v>0</v>
      </c>
      <c r="I82" s="24">
        <f t="shared" si="6"/>
        <v>0</v>
      </c>
      <c r="J82" s="24">
        <f t="shared" si="7"/>
        <v>0</v>
      </c>
      <c r="K82" s="24"/>
      <c r="L82" s="24">
        <f t="shared" si="8"/>
        <v>434.1204329</v>
      </c>
      <c r="M82" s="14">
        <f t="shared" si="9"/>
        <v>426.8019709</v>
      </c>
      <c r="N82" s="27">
        <f t="shared" si="10"/>
        <v>7.318461995</v>
      </c>
      <c r="O82" s="24"/>
      <c r="P82" s="28">
        <f t="shared" si="14"/>
        <v>-173.557969</v>
      </c>
      <c r="Q82" s="27">
        <f t="shared" si="15"/>
        <v>397.4471502</v>
      </c>
      <c r="R82" s="26"/>
      <c r="S82" s="14">
        <f t="shared" si="13"/>
        <v>6.720515347</v>
      </c>
    </row>
    <row r="83">
      <c r="A83" s="11">
        <v>71.0</v>
      </c>
      <c r="B83" s="11">
        <v>1.41970434782608E9</v>
      </c>
      <c r="C83" s="2">
        <v>-102.5477448</v>
      </c>
      <c r="D83" s="24">
        <f t="shared" si="1"/>
        <v>-695652.1739</v>
      </c>
      <c r="E83" s="25">
        <f t="shared" si="2"/>
        <v>146.009085</v>
      </c>
      <c r="F83" s="24">
        <f t="shared" si="3"/>
        <v>0.0002098880597</v>
      </c>
      <c r="G83" s="24">
        <f t="shared" si="4"/>
        <v>0</v>
      </c>
      <c r="H83" s="26">
        <f t="shared" si="5"/>
        <v>0</v>
      </c>
      <c r="I83" s="24">
        <f t="shared" si="6"/>
        <v>0</v>
      </c>
      <c r="J83" s="24">
        <f t="shared" si="7"/>
        <v>0</v>
      </c>
      <c r="K83" s="24"/>
      <c r="L83" s="24">
        <f t="shared" si="8"/>
        <v>422.9915458</v>
      </c>
      <c r="M83" s="14">
        <f t="shared" si="9"/>
        <v>426.7054855</v>
      </c>
      <c r="N83" s="27">
        <f t="shared" si="10"/>
        <v>-3.713939663</v>
      </c>
      <c r="O83" s="24"/>
      <c r="P83" s="28">
        <f t="shared" si="14"/>
        <v>-174.4762651</v>
      </c>
      <c r="Q83" s="27">
        <f t="shared" si="15"/>
        <v>402.148541</v>
      </c>
      <c r="R83" s="26"/>
      <c r="S83" s="14">
        <f t="shared" si="13"/>
        <v>-3.41049643</v>
      </c>
    </row>
    <row r="84">
      <c r="A84" s="11">
        <v>72.0</v>
      </c>
      <c r="B84" s="11">
        <v>1.41970869565217E9</v>
      </c>
      <c r="C84" s="2">
        <v>-102.5067825</v>
      </c>
      <c r="D84" s="24">
        <f t="shared" si="1"/>
        <v>-691304.3478</v>
      </c>
      <c r="E84" s="25">
        <f t="shared" si="2"/>
        <v>145.0907889</v>
      </c>
      <c r="F84" s="24">
        <f t="shared" si="3"/>
        <v>0.0002098797575</v>
      </c>
      <c r="G84" s="24">
        <f t="shared" si="4"/>
        <v>0</v>
      </c>
      <c r="H84" s="26">
        <f t="shared" si="5"/>
        <v>0</v>
      </c>
      <c r="I84" s="24">
        <f t="shared" si="6"/>
        <v>0</v>
      </c>
      <c r="J84" s="24">
        <f t="shared" si="7"/>
        <v>0</v>
      </c>
      <c r="K84" s="24"/>
      <c r="L84" s="24">
        <f t="shared" si="8"/>
        <v>427.0000416</v>
      </c>
      <c r="M84" s="14">
        <f t="shared" si="9"/>
        <v>426.6090714</v>
      </c>
      <c r="N84" s="27">
        <f t="shared" si="10"/>
        <v>0.3909702371</v>
      </c>
      <c r="O84" s="24"/>
      <c r="P84" s="28">
        <f t="shared" si="14"/>
        <v>-175.3945612</v>
      </c>
      <c r="Q84" s="27">
        <f t="shared" si="15"/>
        <v>392.4799697</v>
      </c>
      <c r="R84" s="26"/>
      <c r="S84" s="14">
        <f t="shared" si="13"/>
        <v>0.3590264559</v>
      </c>
    </row>
    <row r="85">
      <c r="A85" s="11">
        <v>73.0</v>
      </c>
      <c r="B85" s="11">
        <v>1.41971304347826E9</v>
      </c>
      <c r="C85" s="2">
        <v>-102.5000305</v>
      </c>
      <c r="D85" s="24">
        <f t="shared" si="1"/>
        <v>-686956.5217</v>
      </c>
      <c r="E85" s="25">
        <f t="shared" si="2"/>
        <v>144.1724927</v>
      </c>
      <c r="F85" s="24">
        <f t="shared" si="3"/>
        <v>0.0002098713502</v>
      </c>
      <c r="G85" s="24">
        <f t="shared" si="4"/>
        <v>0</v>
      </c>
      <c r="H85" s="26">
        <f t="shared" si="5"/>
        <v>0</v>
      </c>
      <c r="I85" s="24">
        <f t="shared" si="6"/>
        <v>0</v>
      </c>
      <c r="J85" s="24">
        <f t="shared" si="7"/>
        <v>0</v>
      </c>
      <c r="K85" s="24"/>
      <c r="L85" s="24">
        <f t="shared" si="8"/>
        <v>427.6644173</v>
      </c>
      <c r="M85" s="14">
        <f t="shared" si="9"/>
        <v>426.5127286</v>
      </c>
      <c r="N85" s="27">
        <f t="shared" si="10"/>
        <v>1.151688649</v>
      </c>
      <c r="O85" s="24"/>
      <c r="P85" s="28">
        <f t="shared" si="14"/>
        <v>-176.3128574</v>
      </c>
      <c r="Q85" s="27">
        <f t="shared" si="15"/>
        <v>391.9721557</v>
      </c>
      <c r="R85" s="26"/>
      <c r="S85" s="14">
        <f t="shared" si="13"/>
        <v>1.057591233</v>
      </c>
    </row>
    <row r="86">
      <c r="A86" s="11">
        <v>74.0</v>
      </c>
      <c r="B86" s="11">
        <v>1.41971739130434E9</v>
      </c>
      <c r="C86" s="2">
        <v>-102.5024567</v>
      </c>
      <c r="D86" s="24">
        <f t="shared" si="1"/>
        <v>-682608.6957</v>
      </c>
      <c r="E86" s="25">
        <f t="shared" si="2"/>
        <v>143.2541966</v>
      </c>
      <c r="F86" s="24">
        <f t="shared" si="3"/>
        <v>0.0002098628358</v>
      </c>
      <c r="G86" s="24">
        <f t="shared" si="4"/>
        <v>0</v>
      </c>
      <c r="H86" s="26">
        <f t="shared" si="5"/>
        <v>0</v>
      </c>
      <c r="I86" s="24">
        <f t="shared" si="6"/>
        <v>0</v>
      </c>
      <c r="J86" s="24">
        <f t="shared" si="7"/>
        <v>0</v>
      </c>
      <c r="K86" s="24"/>
      <c r="L86" s="24">
        <f t="shared" si="8"/>
        <v>427.4255679</v>
      </c>
      <c r="M86" s="14">
        <f t="shared" si="9"/>
        <v>426.4164571</v>
      </c>
      <c r="N86" s="27">
        <f t="shared" si="10"/>
        <v>1.009110813</v>
      </c>
      <c r="O86" s="24"/>
      <c r="P86" s="28">
        <f t="shared" si="14"/>
        <v>-177.2311535</v>
      </c>
      <c r="Q86" s="27">
        <f t="shared" si="15"/>
        <v>393.6061335</v>
      </c>
      <c r="R86" s="26"/>
      <c r="S86" s="14">
        <f t="shared" si="13"/>
        <v>0.9266625571</v>
      </c>
    </row>
    <row r="87">
      <c r="A87" s="11">
        <v>75.0</v>
      </c>
      <c r="B87" s="11">
        <v>1.41972173913043E9</v>
      </c>
      <c r="C87" s="2">
        <v>-102.4699097</v>
      </c>
      <c r="D87" s="24">
        <f t="shared" si="1"/>
        <v>-678260.8696</v>
      </c>
      <c r="E87" s="25">
        <f t="shared" si="2"/>
        <v>142.3359005</v>
      </c>
      <c r="F87" s="24">
        <f t="shared" si="3"/>
        <v>0.0002098542122</v>
      </c>
      <c r="G87" s="24">
        <f t="shared" si="4"/>
        <v>0</v>
      </c>
      <c r="H87" s="26">
        <f t="shared" si="5"/>
        <v>0</v>
      </c>
      <c r="I87" s="24">
        <f t="shared" si="6"/>
        <v>0</v>
      </c>
      <c r="J87" s="24">
        <f t="shared" si="7"/>
        <v>0</v>
      </c>
      <c r="K87" s="24"/>
      <c r="L87" s="24">
        <f t="shared" si="8"/>
        <v>430.6408236</v>
      </c>
      <c r="M87" s="14">
        <f t="shared" si="9"/>
        <v>426.3202568</v>
      </c>
      <c r="N87" s="27">
        <f t="shared" si="10"/>
        <v>4.320566797</v>
      </c>
      <c r="O87" s="24"/>
      <c r="P87" s="28">
        <f t="shared" si="14"/>
        <v>-178.1494496</v>
      </c>
      <c r="Q87" s="27">
        <f t="shared" si="15"/>
        <v>397.6699433</v>
      </c>
      <c r="R87" s="26"/>
      <c r="S87" s="14">
        <f t="shared" si="13"/>
        <v>3.967559772</v>
      </c>
    </row>
    <row r="88">
      <c r="A88" s="11">
        <v>76.0</v>
      </c>
      <c r="B88" s="11">
        <v>1.41972608695652E9</v>
      </c>
      <c r="C88" s="2">
        <v>-102.503746</v>
      </c>
      <c r="D88" s="24">
        <f t="shared" si="1"/>
        <v>-673913.0435</v>
      </c>
      <c r="E88" s="25">
        <f t="shared" si="2"/>
        <v>141.4176044</v>
      </c>
      <c r="F88" s="24">
        <f t="shared" si="3"/>
        <v>0.0002098454774</v>
      </c>
      <c r="G88" s="24">
        <f t="shared" si="4"/>
        <v>0</v>
      </c>
      <c r="H88" s="26">
        <f t="shared" si="5"/>
        <v>0</v>
      </c>
      <c r="I88" s="24">
        <f t="shared" si="6"/>
        <v>0</v>
      </c>
      <c r="J88" s="24">
        <f t="shared" si="7"/>
        <v>0</v>
      </c>
      <c r="K88" s="24"/>
      <c r="L88" s="24">
        <f t="shared" si="8"/>
        <v>427.2986959</v>
      </c>
      <c r="M88" s="14">
        <f t="shared" si="9"/>
        <v>426.2241277</v>
      </c>
      <c r="N88" s="27">
        <f t="shared" si="10"/>
        <v>1.074568185</v>
      </c>
      <c r="O88" s="24"/>
      <c r="P88" s="28">
        <f t="shared" si="14"/>
        <v>-179.0677458</v>
      </c>
      <c r="Q88" s="27">
        <f t="shared" si="15"/>
        <v>393.6192662</v>
      </c>
      <c r="R88" s="26"/>
      <c r="S88" s="14">
        <f t="shared" si="13"/>
        <v>0.986771809</v>
      </c>
    </row>
    <row r="89">
      <c r="A89" s="11">
        <v>77.0</v>
      </c>
      <c r="B89" s="11">
        <v>1.4197304347826E9</v>
      </c>
      <c r="C89" s="2">
        <v>-102.5156555</v>
      </c>
      <c r="D89" s="24">
        <f t="shared" si="1"/>
        <v>-669565.2174</v>
      </c>
      <c r="E89" s="25">
        <f t="shared" si="2"/>
        <v>140.4993082</v>
      </c>
      <c r="F89" s="24">
        <f t="shared" si="3"/>
        <v>0.0002098366292</v>
      </c>
      <c r="G89" s="24">
        <f t="shared" si="4"/>
        <v>0</v>
      </c>
      <c r="H89" s="26">
        <f t="shared" si="5"/>
        <v>0</v>
      </c>
      <c r="I89" s="24">
        <f t="shared" si="6"/>
        <v>0</v>
      </c>
      <c r="J89" s="24">
        <f t="shared" si="7"/>
        <v>0</v>
      </c>
      <c r="K89" s="24"/>
      <c r="L89" s="24">
        <f t="shared" si="8"/>
        <v>426.1285354</v>
      </c>
      <c r="M89" s="14">
        <f t="shared" si="9"/>
        <v>426.1280699</v>
      </c>
      <c r="N89" s="27">
        <f t="shared" si="10"/>
        <v>0.0004655065863</v>
      </c>
      <c r="O89" s="24"/>
      <c r="P89" s="28">
        <f t="shared" si="14"/>
        <v>-179.9860419</v>
      </c>
      <c r="Q89" s="27">
        <f t="shared" si="15"/>
        <v>396.648501</v>
      </c>
      <c r="R89" s="26"/>
      <c r="S89" s="14">
        <f t="shared" si="13"/>
        <v>0.000427472898</v>
      </c>
    </row>
    <row r="90">
      <c r="A90" s="11">
        <v>78.0</v>
      </c>
      <c r="B90" s="11">
        <v>1.41973478260869E9</v>
      </c>
      <c r="C90" s="2">
        <v>-102.5365906</v>
      </c>
      <c r="D90" s="24">
        <f t="shared" si="1"/>
        <v>-665217.3913</v>
      </c>
      <c r="E90" s="25">
        <f t="shared" si="2"/>
        <v>139.5810121</v>
      </c>
      <c r="F90" s="24">
        <f t="shared" si="3"/>
        <v>0.0002098276652</v>
      </c>
      <c r="G90" s="24">
        <f t="shared" si="4"/>
        <v>0</v>
      </c>
      <c r="H90" s="26">
        <f t="shared" si="5"/>
        <v>0</v>
      </c>
      <c r="I90" s="24">
        <f t="shared" si="6"/>
        <v>0</v>
      </c>
      <c r="J90" s="24">
        <f t="shared" si="7"/>
        <v>0</v>
      </c>
      <c r="K90" s="24"/>
      <c r="L90" s="24">
        <f t="shared" si="8"/>
        <v>424.0793322</v>
      </c>
      <c r="M90" s="14">
        <f t="shared" si="9"/>
        <v>426.0320832</v>
      </c>
      <c r="N90" s="27">
        <f t="shared" si="10"/>
        <v>-1.952750962</v>
      </c>
      <c r="O90" s="24"/>
      <c r="P90" s="28">
        <f t="shared" si="14"/>
        <v>-180.904338</v>
      </c>
      <c r="Q90" s="27">
        <f t="shared" si="15"/>
        <v>394.5913107</v>
      </c>
      <c r="R90" s="26"/>
      <c r="S90" s="14">
        <f t="shared" si="13"/>
        <v>-1.793203657</v>
      </c>
    </row>
    <row r="91">
      <c r="A91" s="11">
        <v>79.0</v>
      </c>
      <c r="B91" s="11">
        <v>1.41973913043478E9</v>
      </c>
      <c r="C91" s="2">
        <v>-102.4999008</v>
      </c>
      <c r="D91" s="24">
        <f t="shared" si="1"/>
        <v>-660869.5652</v>
      </c>
      <c r="E91" s="25">
        <f t="shared" si="2"/>
        <v>138.662716</v>
      </c>
      <c r="F91" s="24">
        <f t="shared" si="3"/>
        <v>0.0002098185833</v>
      </c>
      <c r="G91" s="24">
        <f t="shared" si="4"/>
        <v>0</v>
      </c>
      <c r="H91" s="26">
        <f t="shared" si="5"/>
        <v>0</v>
      </c>
      <c r="I91" s="24">
        <f t="shared" si="6"/>
        <v>0</v>
      </c>
      <c r="J91" s="24">
        <f t="shared" si="7"/>
        <v>0</v>
      </c>
      <c r="K91" s="24"/>
      <c r="L91" s="24">
        <f t="shared" si="8"/>
        <v>427.6771894</v>
      </c>
      <c r="M91" s="14">
        <f t="shared" si="9"/>
        <v>425.9361677</v>
      </c>
      <c r="N91" s="27">
        <f t="shared" si="10"/>
        <v>1.741021733</v>
      </c>
      <c r="O91" s="24"/>
      <c r="P91" s="28">
        <f t="shared" si="14"/>
        <v>-181.8226342</v>
      </c>
      <c r="Q91" s="27">
        <f t="shared" si="15"/>
        <v>397.4122386</v>
      </c>
      <c r="R91" s="26"/>
      <c r="S91" s="14">
        <f t="shared" si="13"/>
        <v>1.59877352</v>
      </c>
    </row>
    <row r="92">
      <c r="A92" s="11">
        <v>80.0</v>
      </c>
      <c r="B92" s="11">
        <v>1.41974347826087E9</v>
      </c>
      <c r="C92" s="2">
        <v>-102.4787445</v>
      </c>
      <c r="D92" s="24">
        <f t="shared" si="1"/>
        <v>-656521.7391</v>
      </c>
      <c r="E92" s="25">
        <f t="shared" si="2"/>
        <v>137.7444198</v>
      </c>
      <c r="F92" s="24">
        <f t="shared" si="3"/>
        <v>0.0002098093812</v>
      </c>
      <c r="G92" s="24">
        <f t="shared" si="4"/>
        <v>0</v>
      </c>
      <c r="H92" s="26">
        <f t="shared" si="5"/>
        <v>0</v>
      </c>
      <c r="I92" s="24">
        <f t="shared" si="6"/>
        <v>0</v>
      </c>
      <c r="J92" s="24">
        <f t="shared" si="7"/>
        <v>0</v>
      </c>
      <c r="K92" s="24"/>
      <c r="L92" s="24">
        <f t="shared" si="8"/>
        <v>429.7656666</v>
      </c>
      <c r="M92" s="14">
        <f t="shared" si="9"/>
        <v>425.8403234</v>
      </c>
      <c r="N92" s="27">
        <f t="shared" si="10"/>
        <v>3.925343272</v>
      </c>
      <c r="O92" s="24"/>
      <c r="P92" s="28">
        <f t="shared" si="14"/>
        <v>-182.7409303</v>
      </c>
      <c r="Q92" s="27">
        <f t="shared" si="15"/>
        <v>401.6380939</v>
      </c>
      <c r="R92" s="26"/>
      <c r="S92" s="14">
        <f t="shared" si="13"/>
        <v>3.604627546</v>
      </c>
    </row>
    <row r="93">
      <c r="A93" s="11">
        <v>81.0</v>
      </c>
      <c r="B93" s="11">
        <v>1.41974782608695E9</v>
      </c>
      <c r="C93" s="2">
        <v>-102.5448914</v>
      </c>
      <c r="D93" s="24">
        <f t="shared" si="1"/>
        <v>-652173.913</v>
      </c>
      <c r="E93" s="25">
        <f t="shared" si="2"/>
        <v>136.8261237</v>
      </c>
      <c r="F93" s="24">
        <f t="shared" si="3"/>
        <v>0.0002098000563</v>
      </c>
      <c r="G93" s="24">
        <f t="shared" si="4"/>
        <v>0</v>
      </c>
      <c r="H93" s="26">
        <f t="shared" si="5"/>
        <v>0</v>
      </c>
      <c r="I93" s="24">
        <f t="shared" si="6"/>
        <v>0</v>
      </c>
      <c r="J93" s="24">
        <f t="shared" si="7"/>
        <v>0</v>
      </c>
      <c r="K93" s="24"/>
      <c r="L93" s="24">
        <f t="shared" si="8"/>
        <v>423.2695509</v>
      </c>
      <c r="M93" s="14">
        <f t="shared" si="9"/>
        <v>425.7445502</v>
      </c>
      <c r="N93" s="27">
        <f t="shared" si="10"/>
        <v>-2.474999262</v>
      </c>
      <c r="O93" s="24"/>
      <c r="P93" s="28">
        <f t="shared" si="14"/>
        <v>-183.6592264</v>
      </c>
      <c r="Q93" s="27">
        <f t="shared" si="15"/>
        <v>393.3476115</v>
      </c>
      <c r="R93" s="26"/>
      <c r="S93" s="14">
        <f t="shared" si="13"/>
        <v>-2.272782251</v>
      </c>
    </row>
    <row r="94">
      <c r="A94" s="11">
        <v>82.0</v>
      </c>
      <c r="B94" s="11">
        <v>1.41975217391304E9</v>
      </c>
      <c r="C94" s="2">
        <v>-102.5323944</v>
      </c>
      <c r="D94" s="24">
        <f t="shared" si="1"/>
        <v>-647826.087</v>
      </c>
      <c r="E94" s="25">
        <f t="shared" si="2"/>
        <v>135.9078276</v>
      </c>
      <c r="F94" s="24">
        <f t="shared" si="3"/>
        <v>0.0002097906063</v>
      </c>
      <c r="G94" s="24">
        <f t="shared" si="4"/>
        <v>0</v>
      </c>
      <c r="H94" s="26">
        <f t="shared" si="5"/>
        <v>0</v>
      </c>
      <c r="I94" s="24">
        <f t="shared" si="6"/>
        <v>0</v>
      </c>
      <c r="J94" s="24">
        <f t="shared" si="7"/>
        <v>0</v>
      </c>
      <c r="K94" s="24"/>
      <c r="L94" s="24">
        <f t="shared" si="8"/>
        <v>424.4892803</v>
      </c>
      <c r="M94" s="14">
        <f t="shared" si="9"/>
        <v>425.6488481</v>
      </c>
      <c r="N94" s="27">
        <f t="shared" si="10"/>
        <v>-1.159567778</v>
      </c>
      <c r="O94" s="24"/>
      <c r="P94" s="28">
        <f t="shared" si="14"/>
        <v>-184.5775226</v>
      </c>
      <c r="Q94" s="27">
        <f t="shared" si="15"/>
        <v>401.7277084</v>
      </c>
      <c r="R94" s="26"/>
      <c r="S94" s="14">
        <f t="shared" si="13"/>
        <v>-1.064826604</v>
      </c>
    </row>
    <row r="95">
      <c r="A95" s="11">
        <v>83.0</v>
      </c>
      <c r="B95" s="11">
        <v>1.41975652173913E9</v>
      </c>
      <c r="C95" s="2">
        <v>-102.5185776</v>
      </c>
      <c r="D95" s="24">
        <f t="shared" si="1"/>
        <v>-643478.2609</v>
      </c>
      <c r="E95" s="25">
        <f t="shared" si="2"/>
        <v>134.9895314</v>
      </c>
      <c r="F95" s="24">
        <f t="shared" si="3"/>
        <v>0.0002097810286</v>
      </c>
      <c r="G95" s="24">
        <f t="shared" si="4"/>
        <v>0</v>
      </c>
      <c r="H95" s="26">
        <f t="shared" si="5"/>
        <v>0</v>
      </c>
      <c r="I95" s="24">
        <f t="shared" si="6"/>
        <v>0</v>
      </c>
      <c r="J95" s="24">
        <f t="shared" si="7"/>
        <v>0</v>
      </c>
      <c r="K95" s="24"/>
      <c r="L95" s="24">
        <f t="shared" si="8"/>
        <v>425.8419162</v>
      </c>
      <c r="M95" s="14">
        <f t="shared" si="9"/>
        <v>425.553217</v>
      </c>
      <c r="N95" s="27">
        <f t="shared" si="10"/>
        <v>0.2886991313</v>
      </c>
      <c r="O95" s="24"/>
      <c r="P95" s="28">
        <f t="shared" si="14"/>
        <v>-185.4958187</v>
      </c>
      <c r="Q95" s="27">
        <f t="shared" si="15"/>
        <v>398.7206213</v>
      </c>
      <c r="R95" s="26"/>
      <c r="S95" s="14">
        <f t="shared" si="13"/>
        <v>0.2651112958</v>
      </c>
    </row>
    <row r="96">
      <c r="A96" s="11">
        <v>84.0</v>
      </c>
      <c r="B96" s="11">
        <v>1.41976086956521E9</v>
      </c>
      <c r="C96" s="2">
        <v>-102.5553436</v>
      </c>
      <c r="D96" s="24">
        <f t="shared" si="1"/>
        <v>-639130.4348</v>
      </c>
      <c r="E96" s="25">
        <f t="shared" si="2"/>
        <v>134.0712353</v>
      </c>
      <c r="F96" s="24">
        <f t="shared" si="3"/>
        <v>0.0002097713205</v>
      </c>
      <c r="G96" s="24">
        <f t="shared" si="4"/>
        <v>0</v>
      </c>
      <c r="H96" s="26">
        <f t="shared" si="5"/>
        <v>0</v>
      </c>
      <c r="I96" s="24">
        <f t="shared" si="6"/>
        <v>0</v>
      </c>
      <c r="J96" s="24">
        <f t="shared" si="7"/>
        <v>0</v>
      </c>
      <c r="K96" s="24"/>
      <c r="L96" s="24">
        <f t="shared" si="8"/>
        <v>422.2520895</v>
      </c>
      <c r="M96" s="14">
        <f t="shared" si="9"/>
        <v>425.4576571</v>
      </c>
      <c r="N96" s="27">
        <f t="shared" si="10"/>
        <v>-3.205567573</v>
      </c>
      <c r="O96" s="24"/>
      <c r="P96" s="28">
        <f t="shared" si="14"/>
        <v>-186.4141148</v>
      </c>
      <c r="Q96" s="27">
        <f t="shared" si="15"/>
        <v>390.6914053</v>
      </c>
      <c r="R96" s="26"/>
      <c r="S96" s="14">
        <f t="shared" si="13"/>
        <v>-2.943660305</v>
      </c>
    </row>
    <row r="97">
      <c r="A97" s="11">
        <v>85.0</v>
      </c>
      <c r="B97" s="11">
        <v>1.4197652173913E9</v>
      </c>
      <c r="C97" s="2">
        <v>-102.4872665</v>
      </c>
      <c r="D97" s="24">
        <f t="shared" si="1"/>
        <v>-634782.6087</v>
      </c>
      <c r="E97" s="25">
        <f t="shared" si="2"/>
        <v>133.1529392</v>
      </c>
      <c r="F97" s="24">
        <f t="shared" si="3"/>
        <v>0.0002097614795</v>
      </c>
      <c r="G97" s="24">
        <f t="shared" si="4"/>
        <v>0</v>
      </c>
      <c r="H97" s="26">
        <f t="shared" si="5"/>
        <v>0</v>
      </c>
      <c r="I97" s="24">
        <f t="shared" si="6"/>
        <v>0</v>
      </c>
      <c r="J97" s="24">
        <f t="shared" si="7"/>
        <v>0</v>
      </c>
      <c r="K97" s="24"/>
      <c r="L97" s="24">
        <f t="shared" si="8"/>
        <v>428.9231802</v>
      </c>
      <c r="M97" s="14">
        <f t="shared" si="9"/>
        <v>425.3621682</v>
      </c>
      <c r="N97" s="27">
        <f t="shared" si="10"/>
        <v>3.561011993</v>
      </c>
      <c r="O97" s="24"/>
      <c r="P97" s="28">
        <f t="shared" si="14"/>
        <v>-187.332411</v>
      </c>
      <c r="Q97" s="27">
        <f t="shared" si="15"/>
        <v>398.3418604</v>
      </c>
      <c r="R97" s="26"/>
      <c r="S97" s="14">
        <f t="shared" si="13"/>
        <v>3.270063534</v>
      </c>
    </row>
    <row r="98">
      <c r="A98" s="11">
        <v>86.0</v>
      </c>
      <c r="B98" s="11">
        <v>1.41976956521739E9</v>
      </c>
      <c r="C98" s="2">
        <v>-102.4581909</v>
      </c>
      <c r="D98" s="24">
        <f t="shared" si="1"/>
        <v>-630434.7826</v>
      </c>
      <c r="E98" s="25">
        <f t="shared" si="2"/>
        <v>132.234643</v>
      </c>
      <c r="F98" s="24">
        <f t="shared" si="3"/>
        <v>0.0002097515027</v>
      </c>
      <c r="G98" s="24">
        <f t="shared" si="4"/>
        <v>0</v>
      </c>
      <c r="H98" s="26">
        <f t="shared" si="5"/>
        <v>0</v>
      </c>
      <c r="I98" s="24">
        <f t="shared" si="6"/>
        <v>0</v>
      </c>
      <c r="J98" s="24">
        <f t="shared" si="7"/>
        <v>0</v>
      </c>
      <c r="K98" s="24"/>
      <c r="L98" s="24">
        <f t="shared" si="8"/>
        <v>431.8044139</v>
      </c>
      <c r="M98" s="14">
        <f t="shared" si="9"/>
        <v>425.2667504</v>
      </c>
      <c r="N98" s="27">
        <f t="shared" si="10"/>
        <v>6.537663514</v>
      </c>
      <c r="O98" s="24"/>
      <c r="P98" s="28">
        <f t="shared" si="14"/>
        <v>-188.2507071</v>
      </c>
      <c r="Q98" s="27">
        <f t="shared" si="15"/>
        <v>392.6123778</v>
      </c>
      <c r="R98" s="26"/>
      <c r="S98" s="14">
        <f t="shared" si="13"/>
        <v>6.003511123</v>
      </c>
    </row>
    <row r="99">
      <c r="A99" s="11">
        <v>87.0</v>
      </c>
      <c r="B99" s="11">
        <v>1.41977391304347E9</v>
      </c>
      <c r="C99" s="2">
        <v>-102.519455</v>
      </c>
      <c r="D99" s="24">
        <f t="shared" si="1"/>
        <v>-626086.9565</v>
      </c>
      <c r="E99" s="25">
        <f t="shared" si="2"/>
        <v>131.3163469</v>
      </c>
      <c r="F99" s="24">
        <f t="shared" si="3"/>
        <v>0.0002097413874</v>
      </c>
      <c r="G99" s="24">
        <f t="shared" si="4"/>
        <v>0</v>
      </c>
      <c r="H99" s="26">
        <f t="shared" si="5"/>
        <v>0</v>
      </c>
      <c r="I99" s="24">
        <f t="shared" si="6"/>
        <v>0</v>
      </c>
      <c r="J99" s="24">
        <f t="shared" si="7"/>
        <v>0</v>
      </c>
      <c r="K99" s="24"/>
      <c r="L99" s="24">
        <f t="shared" si="8"/>
        <v>425.7558925</v>
      </c>
      <c r="M99" s="14">
        <f t="shared" si="9"/>
        <v>425.1714036</v>
      </c>
      <c r="N99" s="27">
        <f t="shared" si="10"/>
        <v>0.5844889621</v>
      </c>
      <c r="O99" s="24"/>
      <c r="P99" s="28">
        <f t="shared" si="14"/>
        <v>-189.1690032</v>
      </c>
      <c r="Q99" s="27">
        <f t="shared" si="15"/>
        <v>393.8447561</v>
      </c>
      <c r="R99" s="26"/>
      <c r="S99" s="14">
        <f t="shared" si="13"/>
        <v>0.5367339535</v>
      </c>
    </row>
    <row r="100">
      <c r="A100" s="11">
        <v>88.0</v>
      </c>
      <c r="B100" s="11">
        <v>1.41977826086956E9</v>
      </c>
      <c r="C100" s="2">
        <v>-102.5404816</v>
      </c>
      <c r="D100" s="24">
        <f t="shared" si="1"/>
        <v>-621739.1304</v>
      </c>
      <c r="E100" s="25">
        <f t="shared" si="2"/>
        <v>130.3980508</v>
      </c>
      <c r="F100" s="24">
        <f t="shared" si="3"/>
        <v>0.0002097311306</v>
      </c>
      <c r="G100" s="24">
        <f t="shared" si="4"/>
        <v>0</v>
      </c>
      <c r="H100" s="26">
        <f t="shared" si="5"/>
        <v>0</v>
      </c>
      <c r="I100" s="24">
        <f t="shared" si="6"/>
        <v>0</v>
      </c>
      <c r="J100" s="24">
        <f t="shared" si="7"/>
        <v>0</v>
      </c>
      <c r="K100" s="24"/>
      <c r="L100" s="24">
        <f t="shared" si="8"/>
        <v>423.6995545</v>
      </c>
      <c r="M100" s="14">
        <f t="shared" si="9"/>
        <v>425.0761277</v>
      </c>
      <c r="N100" s="27">
        <f t="shared" si="10"/>
        <v>-1.376573221</v>
      </c>
      <c r="O100" s="24"/>
      <c r="P100" s="28">
        <f t="shared" si="14"/>
        <v>-190.0872994</v>
      </c>
      <c r="Q100" s="27">
        <f t="shared" si="15"/>
        <v>397.5190697</v>
      </c>
      <c r="R100" s="26"/>
      <c r="S100" s="14">
        <f t="shared" si="13"/>
        <v>-1.264101862</v>
      </c>
    </row>
    <row r="101">
      <c r="A101" s="11">
        <v>89.0</v>
      </c>
      <c r="B101" s="11">
        <v>1.41978260869565E9</v>
      </c>
      <c r="C101" s="2">
        <v>-102.5093231</v>
      </c>
      <c r="D101" s="24">
        <f t="shared" si="1"/>
        <v>-617391.3043</v>
      </c>
      <c r="E101" s="25">
        <f t="shared" si="2"/>
        <v>129.4797546</v>
      </c>
      <c r="F101" s="24">
        <f t="shared" si="3"/>
        <v>0.0002097207293</v>
      </c>
      <c r="G101" s="24">
        <f t="shared" si="4"/>
        <v>0</v>
      </c>
      <c r="H101" s="26">
        <f t="shared" si="5"/>
        <v>0</v>
      </c>
      <c r="I101" s="24">
        <f t="shared" si="6"/>
        <v>0</v>
      </c>
      <c r="J101" s="24">
        <f t="shared" si="7"/>
        <v>0</v>
      </c>
      <c r="K101" s="24"/>
      <c r="L101" s="24">
        <f t="shared" si="8"/>
        <v>426.7503219</v>
      </c>
      <c r="M101" s="14">
        <f t="shared" si="9"/>
        <v>424.9809229</v>
      </c>
      <c r="N101" s="27">
        <f t="shared" si="10"/>
        <v>1.769399011</v>
      </c>
      <c r="O101" s="24"/>
      <c r="P101" s="28">
        <f t="shared" si="14"/>
        <v>-191.0055955</v>
      </c>
      <c r="Q101" s="27">
        <f t="shared" si="15"/>
        <v>396.376143</v>
      </c>
      <c r="R101" s="26"/>
      <c r="S101" s="14">
        <f t="shared" si="13"/>
        <v>1.624832269</v>
      </c>
    </row>
    <row r="102">
      <c r="A102" s="11">
        <v>90.0</v>
      </c>
      <c r="B102" s="11">
        <v>1.41978695652173E9</v>
      </c>
      <c r="C102" s="2">
        <v>-102.5076828</v>
      </c>
      <c r="D102" s="24">
        <f t="shared" si="1"/>
        <v>-613043.4783</v>
      </c>
      <c r="E102" s="25">
        <f t="shared" si="2"/>
        <v>128.5614585</v>
      </c>
      <c r="F102" s="24">
        <f t="shared" si="3"/>
        <v>0.0002097101805</v>
      </c>
      <c r="G102" s="24">
        <f t="shared" si="4"/>
        <v>0</v>
      </c>
      <c r="H102" s="26">
        <f t="shared" si="5"/>
        <v>0</v>
      </c>
      <c r="I102" s="24">
        <f t="shared" si="6"/>
        <v>0</v>
      </c>
      <c r="J102" s="24">
        <f t="shared" si="7"/>
        <v>0</v>
      </c>
      <c r="K102" s="24"/>
      <c r="L102" s="24">
        <f t="shared" si="8"/>
        <v>426.911533</v>
      </c>
      <c r="M102" s="14">
        <f t="shared" si="9"/>
        <v>424.885789</v>
      </c>
      <c r="N102" s="27">
        <f t="shared" si="10"/>
        <v>2.025743964</v>
      </c>
      <c r="O102" s="24"/>
      <c r="P102" s="28">
        <f t="shared" si="14"/>
        <v>-191.9238916</v>
      </c>
      <c r="Q102" s="27">
        <f t="shared" si="15"/>
        <v>395.2503902</v>
      </c>
      <c r="R102" s="26"/>
      <c r="S102" s="14">
        <f t="shared" si="13"/>
        <v>1.860232849</v>
      </c>
    </row>
    <row r="103">
      <c r="A103" s="11">
        <v>91.0</v>
      </c>
      <c r="B103" s="11">
        <v>1.41979130434782E9</v>
      </c>
      <c r="C103" s="2">
        <v>-102.504097</v>
      </c>
      <c r="D103" s="24">
        <f t="shared" si="1"/>
        <v>-608695.6522</v>
      </c>
      <c r="E103" s="25">
        <f t="shared" si="2"/>
        <v>127.6431624</v>
      </c>
      <c r="F103" s="24">
        <f t="shared" si="3"/>
        <v>0.000209699481</v>
      </c>
      <c r="G103" s="24">
        <f t="shared" si="4"/>
        <v>0</v>
      </c>
      <c r="H103" s="26">
        <f t="shared" si="5"/>
        <v>0</v>
      </c>
      <c r="I103" s="24">
        <f t="shared" si="6"/>
        <v>0</v>
      </c>
      <c r="J103" s="24">
        <f t="shared" si="7"/>
        <v>0</v>
      </c>
      <c r="K103" s="24"/>
      <c r="L103" s="24">
        <f t="shared" si="8"/>
        <v>427.2641627</v>
      </c>
      <c r="M103" s="14">
        <f t="shared" si="9"/>
        <v>424.7907261</v>
      </c>
      <c r="N103" s="27">
        <f t="shared" si="10"/>
        <v>2.473436655</v>
      </c>
      <c r="O103" s="24"/>
      <c r="P103" s="28">
        <f t="shared" si="14"/>
        <v>-192.8421877</v>
      </c>
      <c r="Q103" s="27">
        <f t="shared" si="15"/>
        <v>394.8194393</v>
      </c>
      <c r="R103" s="26"/>
      <c r="S103" s="14">
        <f t="shared" si="13"/>
        <v>2.271347315</v>
      </c>
    </row>
    <row r="104">
      <c r="A104" s="11">
        <v>92.0</v>
      </c>
      <c r="B104" s="11">
        <v>1.41979565217391E9</v>
      </c>
      <c r="C104" s="2">
        <v>-102.5355072</v>
      </c>
      <c r="D104" s="24">
        <f t="shared" si="1"/>
        <v>-604347.8261</v>
      </c>
      <c r="E104" s="25">
        <f t="shared" si="2"/>
        <v>126.7248662</v>
      </c>
      <c r="F104" s="24">
        <f t="shared" si="3"/>
        <v>0.0002096886276</v>
      </c>
      <c r="G104" s="24">
        <f t="shared" si="4"/>
        <v>0</v>
      </c>
      <c r="H104" s="26">
        <f t="shared" si="5"/>
        <v>0</v>
      </c>
      <c r="I104" s="24">
        <f t="shared" si="6"/>
        <v>0</v>
      </c>
      <c r="J104" s="24">
        <f t="shared" si="7"/>
        <v>0</v>
      </c>
      <c r="K104" s="24"/>
      <c r="L104" s="24">
        <f t="shared" si="8"/>
        <v>424.1851371</v>
      </c>
      <c r="M104" s="14">
        <f t="shared" si="9"/>
        <v>424.695734</v>
      </c>
      <c r="N104" s="27">
        <f t="shared" si="10"/>
        <v>-0.5105968812</v>
      </c>
      <c r="O104" s="24"/>
      <c r="P104" s="28">
        <f t="shared" si="14"/>
        <v>-193.7604839</v>
      </c>
      <c r="Q104" s="27">
        <f t="shared" si="15"/>
        <v>391.1748884</v>
      </c>
      <c r="R104" s="26"/>
      <c r="S104" s="14">
        <f t="shared" si="13"/>
        <v>-0.4688791404</v>
      </c>
    </row>
    <row r="105">
      <c r="A105" s="11">
        <v>93.0</v>
      </c>
      <c r="B105" s="11">
        <v>1.4198E9</v>
      </c>
      <c r="C105" s="2">
        <v>-102.4730759</v>
      </c>
      <c r="D105" s="24">
        <f t="shared" si="1"/>
        <v>-600000</v>
      </c>
      <c r="E105" s="25">
        <f t="shared" si="2"/>
        <v>125.8065701</v>
      </c>
      <c r="F105" s="24">
        <f t="shared" si="3"/>
        <v>0.0002096776168</v>
      </c>
      <c r="G105" s="24">
        <f t="shared" si="4"/>
        <v>0</v>
      </c>
      <c r="H105" s="26">
        <f t="shared" si="5"/>
        <v>0</v>
      </c>
      <c r="I105" s="24">
        <f t="shared" si="6"/>
        <v>0</v>
      </c>
      <c r="J105" s="24">
        <f t="shared" si="7"/>
        <v>0</v>
      </c>
      <c r="K105" s="24"/>
      <c r="L105" s="24">
        <f t="shared" si="8"/>
        <v>430.3269817</v>
      </c>
      <c r="M105" s="14">
        <f t="shared" si="9"/>
        <v>424.6008129</v>
      </c>
      <c r="N105" s="27">
        <f t="shared" si="10"/>
        <v>5.726168771</v>
      </c>
      <c r="O105" s="24"/>
      <c r="P105" s="28">
        <f t="shared" si="14"/>
        <v>-194.67878</v>
      </c>
      <c r="Q105" s="27">
        <f t="shared" si="15"/>
        <v>397.4303941</v>
      </c>
      <c r="R105" s="26"/>
      <c r="S105" s="14">
        <f t="shared" si="13"/>
        <v>5.258318638</v>
      </c>
    </row>
    <row r="106">
      <c r="A106" s="11">
        <v>94.0</v>
      </c>
      <c r="B106" s="11">
        <v>1.41980434782608E9</v>
      </c>
      <c r="C106" s="2">
        <v>-102.4951172</v>
      </c>
      <c r="D106" s="24">
        <f t="shared" si="1"/>
        <v>-595652.1739</v>
      </c>
      <c r="E106" s="25">
        <f t="shared" si="2"/>
        <v>124.888274</v>
      </c>
      <c r="F106" s="24">
        <f t="shared" si="3"/>
        <v>0.0002096664454</v>
      </c>
      <c r="G106" s="24">
        <f t="shared" si="4"/>
        <v>0</v>
      </c>
      <c r="H106" s="26">
        <f t="shared" si="5"/>
        <v>0</v>
      </c>
      <c r="I106" s="24">
        <f t="shared" si="6"/>
        <v>0</v>
      </c>
      <c r="J106" s="24">
        <f t="shared" si="7"/>
        <v>0</v>
      </c>
      <c r="K106" s="24"/>
      <c r="L106" s="24">
        <f t="shared" si="8"/>
        <v>428.1485203</v>
      </c>
      <c r="M106" s="14">
        <f t="shared" si="9"/>
        <v>424.5059627</v>
      </c>
      <c r="N106" s="27">
        <f t="shared" si="10"/>
        <v>3.64255759</v>
      </c>
      <c r="O106" s="24"/>
      <c r="P106" s="28">
        <f t="shared" si="14"/>
        <v>-195.5970761</v>
      </c>
      <c r="Q106" s="27">
        <f t="shared" si="15"/>
        <v>397.1637726</v>
      </c>
      <c r="R106" s="26"/>
      <c r="S106" s="14">
        <f t="shared" si="13"/>
        <v>3.344946549</v>
      </c>
    </row>
    <row r="107">
      <c r="A107" s="11">
        <v>95.0</v>
      </c>
      <c r="B107" s="11">
        <v>1.41980869565217E9</v>
      </c>
      <c r="C107" s="2">
        <v>-102.4620132</v>
      </c>
      <c r="D107" s="24">
        <f t="shared" si="1"/>
        <v>-591304.3478</v>
      </c>
      <c r="E107" s="25">
        <f t="shared" si="2"/>
        <v>123.9699778</v>
      </c>
      <c r="F107" s="24">
        <f t="shared" si="3"/>
        <v>0.0002096551096</v>
      </c>
      <c r="G107" s="24">
        <f t="shared" si="4"/>
        <v>0</v>
      </c>
      <c r="H107" s="26">
        <f t="shared" si="5"/>
        <v>0</v>
      </c>
      <c r="I107" s="24">
        <f t="shared" si="6"/>
        <v>0</v>
      </c>
      <c r="J107" s="24">
        <f t="shared" si="7"/>
        <v>0</v>
      </c>
      <c r="K107" s="24"/>
      <c r="L107" s="24">
        <f t="shared" si="8"/>
        <v>431.4245426</v>
      </c>
      <c r="M107" s="14">
        <f t="shared" si="9"/>
        <v>424.4111833</v>
      </c>
      <c r="N107" s="27">
        <f t="shared" si="10"/>
        <v>7.01335935</v>
      </c>
      <c r="O107" s="24"/>
      <c r="P107" s="28">
        <f t="shared" si="14"/>
        <v>-196.5153723</v>
      </c>
      <c r="Q107" s="27">
        <f t="shared" si="15"/>
        <v>393.5763986</v>
      </c>
      <c r="R107" s="26"/>
      <c r="S107" s="14">
        <f t="shared" si="13"/>
        <v>6.440340754</v>
      </c>
    </row>
    <row r="108">
      <c r="A108" s="11">
        <v>96.0</v>
      </c>
      <c r="B108" s="11">
        <v>1.41981304347826E9</v>
      </c>
      <c r="C108" s="2">
        <v>-102.5765305</v>
      </c>
      <c r="D108" s="24">
        <f t="shared" si="1"/>
        <v>-586956.5217</v>
      </c>
      <c r="E108" s="25">
        <f t="shared" si="2"/>
        <v>123.0516817</v>
      </c>
      <c r="F108" s="24">
        <f t="shared" si="3"/>
        <v>0.0002096436059</v>
      </c>
      <c r="G108" s="24">
        <f t="shared" si="4"/>
        <v>0</v>
      </c>
      <c r="H108" s="26">
        <f t="shared" si="5"/>
        <v>0</v>
      </c>
      <c r="I108" s="24">
        <f t="shared" si="6"/>
        <v>0</v>
      </c>
      <c r="J108" s="24">
        <f t="shared" si="7"/>
        <v>0</v>
      </c>
      <c r="K108" s="24"/>
      <c r="L108" s="24">
        <f t="shared" si="8"/>
        <v>420.1971644</v>
      </c>
      <c r="M108" s="14">
        <f t="shared" si="9"/>
        <v>424.3164748</v>
      </c>
      <c r="N108" s="27">
        <f t="shared" si="10"/>
        <v>-4.119310337</v>
      </c>
      <c r="O108" s="24"/>
      <c r="P108" s="28">
        <f t="shared" si="14"/>
        <v>-197.4336684</v>
      </c>
      <c r="Q108" s="27">
        <f t="shared" si="15"/>
        <v>391.368725</v>
      </c>
      <c r="R108" s="26"/>
      <c r="S108" s="14">
        <f t="shared" si="13"/>
        <v>-3.782746752</v>
      </c>
    </row>
    <row r="109">
      <c r="A109" s="11">
        <v>97.0</v>
      </c>
      <c r="B109" s="11">
        <v>1.41981739130434E9</v>
      </c>
      <c r="C109" s="2">
        <v>-102.5342178</v>
      </c>
      <c r="D109" s="24">
        <f t="shared" si="1"/>
        <v>-582608.6957</v>
      </c>
      <c r="E109" s="25">
        <f t="shared" si="2"/>
        <v>122.1333856</v>
      </c>
      <c r="F109" s="24">
        <f t="shared" si="3"/>
        <v>0.0002096319305</v>
      </c>
      <c r="G109" s="24">
        <f t="shared" si="4"/>
        <v>0</v>
      </c>
      <c r="H109" s="26">
        <f t="shared" si="5"/>
        <v>0</v>
      </c>
      <c r="I109" s="24">
        <f t="shared" si="6"/>
        <v>0</v>
      </c>
      <c r="J109" s="24">
        <f t="shared" si="7"/>
        <v>0</v>
      </c>
      <c r="K109" s="24"/>
      <c r="L109" s="24">
        <f t="shared" si="8"/>
        <v>424.3110944</v>
      </c>
      <c r="M109" s="14">
        <f t="shared" si="9"/>
        <v>424.2218371</v>
      </c>
      <c r="N109" s="27">
        <f t="shared" si="10"/>
        <v>0.08925736286</v>
      </c>
      <c r="O109" s="24"/>
      <c r="P109" s="28">
        <f t="shared" si="14"/>
        <v>-198.3519645</v>
      </c>
      <c r="Q109" s="27">
        <f t="shared" si="15"/>
        <v>396.0260439</v>
      </c>
      <c r="R109" s="26"/>
      <c r="S109" s="14">
        <f t="shared" si="13"/>
        <v>0.08196469114</v>
      </c>
    </row>
    <row r="110">
      <c r="A110" s="11">
        <v>98.0</v>
      </c>
      <c r="B110" s="11">
        <v>1.41982173913043E9</v>
      </c>
      <c r="C110" s="2">
        <v>-102.5634384</v>
      </c>
      <c r="D110" s="24">
        <f t="shared" si="1"/>
        <v>-578260.8696</v>
      </c>
      <c r="E110" s="25">
        <f t="shared" si="2"/>
        <v>121.2150894</v>
      </c>
      <c r="F110" s="24">
        <f t="shared" si="3"/>
        <v>0.0002096200795</v>
      </c>
      <c r="G110" s="24">
        <f t="shared" si="4"/>
        <v>0</v>
      </c>
      <c r="H110" s="26">
        <f t="shared" si="5"/>
        <v>0</v>
      </c>
      <c r="I110" s="24">
        <f t="shared" si="6"/>
        <v>0</v>
      </c>
      <c r="J110" s="24">
        <f t="shared" si="7"/>
        <v>0</v>
      </c>
      <c r="K110" s="24"/>
      <c r="L110" s="24">
        <f t="shared" si="8"/>
        <v>421.4657883</v>
      </c>
      <c r="M110" s="14">
        <f t="shared" si="9"/>
        <v>424.1272702</v>
      </c>
      <c r="N110" s="27">
        <f t="shared" si="10"/>
        <v>-2.66148184</v>
      </c>
      <c r="O110" s="24"/>
      <c r="P110" s="28">
        <f t="shared" si="14"/>
        <v>-199.2702607</v>
      </c>
      <c r="Q110" s="27">
        <f t="shared" si="15"/>
        <v>396.94406</v>
      </c>
      <c r="R110" s="26"/>
      <c r="S110" s="14">
        <f t="shared" si="13"/>
        <v>-2.444028476</v>
      </c>
    </row>
    <row r="111">
      <c r="A111" s="11">
        <v>99.0</v>
      </c>
      <c r="B111" s="11">
        <v>1.41982608695652E9</v>
      </c>
      <c r="C111" s="2">
        <v>-102.4981995</v>
      </c>
      <c r="D111" s="24">
        <f t="shared" si="1"/>
        <v>-573913.0435</v>
      </c>
      <c r="E111" s="25">
        <f t="shared" si="2"/>
        <v>120.2967933</v>
      </c>
      <c r="F111" s="24">
        <f t="shared" si="3"/>
        <v>0.000209608049</v>
      </c>
      <c r="G111" s="24">
        <f t="shared" si="4"/>
        <v>0</v>
      </c>
      <c r="H111" s="26">
        <f t="shared" si="5"/>
        <v>0</v>
      </c>
      <c r="I111" s="24">
        <f t="shared" si="6"/>
        <v>0</v>
      </c>
      <c r="J111" s="24">
        <f t="shared" si="7"/>
        <v>0</v>
      </c>
      <c r="K111" s="24"/>
      <c r="L111" s="24">
        <f t="shared" si="8"/>
        <v>427.84476</v>
      </c>
      <c r="M111" s="14">
        <f t="shared" si="9"/>
        <v>424.0327741</v>
      </c>
      <c r="N111" s="27">
        <f t="shared" si="10"/>
        <v>3.811985946</v>
      </c>
      <c r="O111" s="24"/>
      <c r="P111" s="28">
        <f t="shared" si="14"/>
        <v>-200.1885568</v>
      </c>
      <c r="Q111" s="27">
        <f t="shared" si="15"/>
        <v>400.162638</v>
      </c>
      <c r="R111" s="26"/>
      <c r="S111" s="14">
        <f t="shared" si="13"/>
        <v>3.500531953</v>
      </c>
    </row>
    <row r="112">
      <c r="A112" s="11">
        <v>100.0</v>
      </c>
      <c r="B112" s="11">
        <v>1.4198304347826E9</v>
      </c>
      <c r="C112" s="2">
        <v>-102.4608002</v>
      </c>
      <c r="D112" s="24">
        <f t="shared" si="1"/>
        <v>-569565.2174</v>
      </c>
      <c r="E112" s="25">
        <f t="shared" si="2"/>
        <v>119.3784972</v>
      </c>
      <c r="F112" s="24">
        <f t="shared" si="3"/>
        <v>0.0002095958347</v>
      </c>
      <c r="G112" s="24">
        <f t="shared" si="4"/>
        <v>0</v>
      </c>
      <c r="H112" s="26">
        <f t="shared" si="5"/>
        <v>0</v>
      </c>
      <c r="I112" s="24">
        <f t="shared" si="6"/>
        <v>0</v>
      </c>
      <c r="J112" s="24">
        <f t="shared" si="7"/>
        <v>0</v>
      </c>
      <c r="K112" s="24"/>
      <c r="L112" s="24">
        <f t="shared" si="8"/>
        <v>431.5450579</v>
      </c>
      <c r="M112" s="14">
        <f t="shared" si="9"/>
        <v>423.9383487</v>
      </c>
      <c r="N112" s="27">
        <f t="shared" si="10"/>
        <v>7.60670916</v>
      </c>
      <c r="O112" s="24"/>
      <c r="P112" s="28">
        <f t="shared" si="14"/>
        <v>-201.1068529</v>
      </c>
      <c r="Q112" s="27">
        <f t="shared" si="15"/>
        <v>396.0629222</v>
      </c>
      <c r="R112" s="26"/>
      <c r="S112" s="14">
        <f t="shared" si="13"/>
        <v>6.985211605</v>
      </c>
      <c r="U112" s="21"/>
      <c r="V112" s="21"/>
    </row>
    <row r="113">
      <c r="A113" s="11">
        <v>101.0</v>
      </c>
      <c r="B113" s="11">
        <v>1.41983478260869E9</v>
      </c>
      <c r="C113" s="2">
        <v>-102.5786362</v>
      </c>
      <c r="D113" s="24">
        <f t="shared" si="1"/>
        <v>-565217.3913</v>
      </c>
      <c r="E113" s="25">
        <f t="shared" si="2"/>
        <v>118.460201</v>
      </c>
      <c r="F113" s="24">
        <f t="shared" si="3"/>
        <v>0.0002095834326</v>
      </c>
      <c r="G113" s="24">
        <f t="shared" si="4"/>
        <v>0</v>
      </c>
      <c r="H113" s="26">
        <f t="shared" si="5"/>
        <v>0</v>
      </c>
      <c r="I113" s="24">
        <f t="shared" si="6"/>
        <v>0</v>
      </c>
      <c r="J113" s="24">
        <f t="shared" si="7"/>
        <v>0</v>
      </c>
      <c r="K113" s="24"/>
      <c r="L113" s="24">
        <f t="shared" si="8"/>
        <v>419.993479</v>
      </c>
      <c r="M113" s="14">
        <f t="shared" si="9"/>
        <v>423.8439941</v>
      </c>
      <c r="N113" s="27">
        <f t="shared" si="10"/>
        <v>-3.850515172</v>
      </c>
      <c r="O113" s="24"/>
      <c r="P113" s="28">
        <f t="shared" si="14"/>
        <v>-202.0251491</v>
      </c>
      <c r="Q113" s="27">
        <f t="shared" si="15"/>
        <v>402.4708189</v>
      </c>
      <c r="R113" s="26"/>
      <c r="S113" s="14">
        <f t="shared" si="13"/>
        <v>-3.535913192</v>
      </c>
      <c r="U113" s="21"/>
      <c r="V113" s="21"/>
    </row>
    <row r="114">
      <c r="A114" s="11">
        <v>102.0</v>
      </c>
      <c r="B114" s="11">
        <v>1.41983913043478E9</v>
      </c>
      <c r="C114" s="2">
        <v>-102.4985962</v>
      </c>
      <c r="D114" s="24">
        <f t="shared" si="1"/>
        <v>-560869.5652</v>
      </c>
      <c r="E114" s="25">
        <f t="shared" si="2"/>
        <v>117.5419049</v>
      </c>
      <c r="F114" s="24">
        <f t="shared" si="3"/>
        <v>0.0002095708382</v>
      </c>
      <c r="G114" s="24">
        <f t="shared" si="4"/>
        <v>0</v>
      </c>
      <c r="H114" s="26">
        <f t="shared" si="5"/>
        <v>0</v>
      </c>
      <c r="I114" s="24">
        <f t="shared" si="6"/>
        <v>0</v>
      </c>
      <c r="J114" s="24">
        <f t="shared" si="7"/>
        <v>0</v>
      </c>
      <c r="K114" s="24"/>
      <c r="L114" s="24">
        <f t="shared" si="8"/>
        <v>427.8056809</v>
      </c>
      <c r="M114" s="14">
        <f t="shared" si="9"/>
        <v>423.7497103</v>
      </c>
      <c r="N114" s="27">
        <f t="shared" si="10"/>
        <v>4.055970647</v>
      </c>
      <c r="O114" s="24"/>
      <c r="P114" s="28">
        <f t="shared" si="14"/>
        <v>-202.9434452</v>
      </c>
      <c r="Q114" s="27">
        <f t="shared" si="15"/>
        <v>394.1499968</v>
      </c>
      <c r="R114" s="26"/>
      <c r="S114" s="14">
        <f t="shared" si="13"/>
        <v>3.724582152</v>
      </c>
      <c r="U114" s="21"/>
      <c r="V114" s="21"/>
    </row>
    <row r="115">
      <c r="A115" s="11">
        <v>103.0</v>
      </c>
      <c r="B115" s="11">
        <v>1.41984347826087E9</v>
      </c>
      <c r="C115" s="2">
        <v>-102.4916763</v>
      </c>
      <c r="D115" s="24">
        <f t="shared" si="1"/>
        <v>-556521.7391</v>
      </c>
      <c r="E115" s="25">
        <f t="shared" si="2"/>
        <v>116.6236088</v>
      </c>
      <c r="F115" s="24">
        <f t="shared" si="3"/>
        <v>0.000209558047</v>
      </c>
      <c r="G115" s="24">
        <f t="shared" si="4"/>
        <v>0</v>
      </c>
      <c r="H115" s="26">
        <f t="shared" si="5"/>
        <v>0</v>
      </c>
      <c r="I115" s="24">
        <f t="shared" si="6"/>
        <v>0</v>
      </c>
      <c r="J115" s="24">
        <f t="shared" si="7"/>
        <v>0</v>
      </c>
      <c r="K115" s="24"/>
      <c r="L115" s="24">
        <f t="shared" si="8"/>
        <v>428.4878753</v>
      </c>
      <c r="M115" s="14">
        <f t="shared" si="9"/>
        <v>423.6554972</v>
      </c>
      <c r="N115" s="27">
        <f t="shared" si="10"/>
        <v>4.832378103</v>
      </c>
      <c r="O115" s="24"/>
      <c r="P115" s="28">
        <f t="shared" si="14"/>
        <v>-203.8617413</v>
      </c>
      <c r="Q115" s="27">
        <f t="shared" si="15"/>
        <v>396.7272459</v>
      </c>
      <c r="R115" s="26"/>
      <c r="S115" s="14">
        <f t="shared" si="13"/>
        <v>4.437554124</v>
      </c>
      <c r="U115" s="21"/>
      <c r="V115" s="21"/>
    </row>
    <row r="116">
      <c r="A116" s="11">
        <v>104.0</v>
      </c>
      <c r="B116" s="11">
        <v>1.41984782608695E9</v>
      </c>
      <c r="C116" s="2">
        <v>-102.4877701</v>
      </c>
      <c r="D116" s="24">
        <f t="shared" si="1"/>
        <v>-552173.913</v>
      </c>
      <c r="E116" s="25">
        <f t="shared" si="2"/>
        <v>115.7053126</v>
      </c>
      <c r="F116" s="24">
        <f t="shared" si="3"/>
        <v>0.0002095450544</v>
      </c>
      <c r="G116" s="24">
        <f t="shared" si="4"/>
        <v>0</v>
      </c>
      <c r="H116" s="26">
        <f t="shared" si="5"/>
        <v>0</v>
      </c>
      <c r="I116" s="24">
        <f t="shared" si="6"/>
        <v>0</v>
      </c>
      <c r="J116" s="24">
        <f t="shared" si="7"/>
        <v>0</v>
      </c>
      <c r="K116" s="24"/>
      <c r="L116" s="24">
        <f t="shared" si="8"/>
        <v>428.873446</v>
      </c>
      <c r="M116" s="14">
        <f t="shared" si="9"/>
        <v>423.5613547</v>
      </c>
      <c r="N116" s="27">
        <f t="shared" si="10"/>
        <v>5.312091254</v>
      </c>
      <c r="O116" s="24"/>
      <c r="P116" s="28">
        <f t="shared" si="14"/>
        <v>-204.7800375</v>
      </c>
      <c r="Q116" s="27">
        <f t="shared" si="15"/>
        <v>396.3099968</v>
      </c>
      <c r="R116" s="26"/>
      <c r="S116" s="14">
        <f t="shared" si="13"/>
        <v>4.878072856</v>
      </c>
      <c r="U116" s="21"/>
      <c r="V116" s="21"/>
    </row>
    <row r="117">
      <c r="A117" s="11">
        <v>105.0</v>
      </c>
      <c r="B117" s="11">
        <v>1.41985217391304E9</v>
      </c>
      <c r="C117" s="2">
        <v>-102.5693741</v>
      </c>
      <c r="D117" s="24">
        <f t="shared" si="1"/>
        <v>-547826.087</v>
      </c>
      <c r="E117" s="25">
        <f t="shared" si="2"/>
        <v>114.7870165</v>
      </c>
      <c r="F117" s="24">
        <f t="shared" si="3"/>
        <v>0.0002095318555</v>
      </c>
      <c r="G117" s="24">
        <f t="shared" si="4"/>
        <v>0</v>
      </c>
      <c r="H117" s="26">
        <f t="shared" si="5"/>
        <v>0</v>
      </c>
      <c r="I117" s="24">
        <f t="shared" si="6"/>
        <v>0</v>
      </c>
      <c r="J117" s="24">
        <f t="shared" si="7"/>
        <v>0</v>
      </c>
      <c r="K117" s="24"/>
      <c r="L117" s="24">
        <f t="shared" si="8"/>
        <v>420.8901454</v>
      </c>
      <c r="M117" s="14">
        <f t="shared" si="9"/>
        <v>423.4672829</v>
      </c>
      <c r="N117" s="27">
        <f t="shared" si="10"/>
        <v>-2.577137568</v>
      </c>
      <c r="O117" s="24"/>
      <c r="P117" s="28">
        <f t="shared" si="14"/>
        <v>-205.6983336</v>
      </c>
      <c r="Q117" s="27">
        <f t="shared" si="15"/>
        <v>393.4637143</v>
      </c>
      <c r="R117" s="26"/>
      <c r="S117" s="14">
        <f t="shared" si="13"/>
        <v>-2.366575457</v>
      </c>
      <c r="U117" s="21"/>
      <c r="V117" s="21"/>
    </row>
    <row r="118">
      <c r="A118" s="11">
        <v>106.0</v>
      </c>
      <c r="B118" s="11">
        <v>1.41985652173913E9</v>
      </c>
      <c r="C118" s="2">
        <v>-102.5123978</v>
      </c>
      <c r="D118" s="24">
        <f t="shared" si="1"/>
        <v>-543478.2609</v>
      </c>
      <c r="E118" s="25">
        <f t="shared" si="2"/>
        <v>113.8687204</v>
      </c>
      <c r="F118" s="24">
        <f t="shared" si="3"/>
        <v>0.0002095184455</v>
      </c>
      <c r="G118" s="24">
        <f t="shared" si="4"/>
        <v>0</v>
      </c>
      <c r="H118" s="26">
        <f t="shared" si="5"/>
        <v>0</v>
      </c>
      <c r="I118" s="24">
        <f t="shared" si="6"/>
        <v>0</v>
      </c>
      <c r="J118" s="24">
        <f t="shared" si="7"/>
        <v>0</v>
      </c>
      <c r="K118" s="24"/>
      <c r="L118" s="24">
        <f t="shared" si="8"/>
        <v>426.4482999</v>
      </c>
      <c r="M118" s="14">
        <f t="shared" si="9"/>
        <v>423.3732818</v>
      </c>
      <c r="N118" s="27">
        <f t="shared" si="10"/>
        <v>3.075018101</v>
      </c>
      <c r="O118" s="24"/>
      <c r="P118" s="28">
        <f t="shared" si="14"/>
        <v>-206.6166297</v>
      </c>
      <c r="Q118" s="27">
        <f t="shared" si="15"/>
        <v>391.0093093</v>
      </c>
      <c r="R118" s="26"/>
      <c r="S118" s="14">
        <f t="shared" si="13"/>
        <v>2.823777231</v>
      </c>
      <c r="U118" s="21"/>
      <c r="V118" s="21"/>
    </row>
    <row r="119">
      <c r="A119" s="11">
        <v>107.0</v>
      </c>
      <c r="B119" s="11">
        <v>1.41986086956521E9</v>
      </c>
      <c r="C119" s="2">
        <v>-102.5722504</v>
      </c>
      <c r="D119" s="24">
        <f t="shared" si="1"/>
        <v>-539130.4348</v>
      </c>
      <c r="E119" s="25">
        <f t="shared" si="2"/>
        <v>112.9504243</v>
      </c>
      <c r="F119" s="24">
        <f t="shared" si="3"/>
        <v>0.0002095048192</v>
      </c>
      <c r="G119" s="24">
        <f t="shared" si="4"/>
        <v>0</v>
      </c>
      <c r="H119" s="26">
        <f t="shared" si="5"/>
        <v>0</v>
      </c>
      <c r="I119" s="24">
        <f t="shared" si="6"/>
        <v>0</v>
      </c>
      <c r="J119" s="24">
        <f t="shared" si="7"/>
        <v>0</v>
      </c>
      <c r="K119" s="24"/>
      <c r="L119" s="24">
        <f t="shared" si="8"/>
        <v>420.6114852</v>
      </c>
      <c r="M119" s="14">
        <f t="shared" si="9"/>
        <v>423.2793513</v>
      </c>
      <c r="N119" s="27">
        <f t="shared" si="10"/>
        <v>-2.667866087</v>
      </c>
      <c r="O119" s="24"/>
      <c r="P119" s="28">
        <f t="shared" si="14"/>
        <v>-207.5349259</v>
      </c>
      <c r="Q119" s="27">
        <f t="shared" si="15"/>
        <v>391.3151006</v>
      </c>
      <c r="R119" s="26"/>
      <c r="S119" s="14">
        <f t="shared" si="13"/>
        <v>-2.44989111</v>
      </c>
      <c r="U119" s="21"/>
      <c r="V119" s="21"/>
    </row>
    <row r="120">
      <c r="A120" s="11">
        <v>108.0</v>
      </c>
      <c r="B120" s="11">
        <v>1.4198652173913E9</v>
      </c>
      <c r="C120" s="2">
        <v>-102.5240631</v>
      </c>
      <c r="D120" s="24">
        <f t="shared" si="1"/>
        <v>-534782.6087</v>
      </c>
      <c r="E120" s="25">
        <f t="shared" si="2"/>
        <v>112.0321281</v>
      </c>
      <c r="F120" s="24">
        <f t="shared" si="3"/>
        <v>0.0002094909713</v>
      </c>
      <c r="G120" s="24">
        <f t="shared" si="4"/>
        <v>0</v>
      </c>
      <c r="H120" s="26">
        <f t="shared" si="5"/>
        <v>0</v>
      </c>
      <c r="I120" s="24">
        <f t="shared" si="6"/>
        <v>0</v>
      </c>
      <c r="J120" s="24">
        <f t="shared" si="7"/>
        <v>0</v>
      </c>
      <c r="K120" s="24"/>
      <c r="L120" s="24">
        <f t="shared" si="8"/>
        <v>425.304382</v>
      </c>
      <c r="M120" s="14">
        <f t="shared" si="9"/>
        <v>423.1854915</v>
      </c>
      <c r="N120" s="27">
        <f t="shared" si="10"/>
        <v>2.118890556</v>
      </c>
      <c r="O120" s="24"/>
      <c r="P120" s="28">
        <f t="shared" si="14"/>
        <v>-208.453222</v>
      </c>
      <c r="Q120" s="27">
        <f t="shared" si="15"/>
        <v>397.5728485</v>
      </c>
      <c r="R120" s="26"/>
      <c r="S120" s="14">
        <f t="shared" si="13"/>
        <v>1.945768999</v>
      </c>
      <c r="U120" s="21"/>
      <c r="V120" s="21"/>
    </row>
    <row r="121">
      <c r="A121" s="11">
        <v>109.0</v>
      </c>
      <c r="B121" s="11">
        <v>1.41986956521739E9</v>
      </c>
      <c r="C121" s="2">
        <v>-102.5524292</v>
      </c>
      <c r="D121" s="24">
        <f t="shared" si="1"/>
        <v>-530434.7826</v>
      </c>
      <c r="E121" s="25">
        <f t="shared" si="2"/>
        <v>111.113832</v>
      </c>
      <c r="F121" s="24">
        <f t="shared" si="3"/>
        <v>0.0002094768964</v>
      </c>
      <c r="G121" s="24">
        <f t="shared" si="4"/>
        <v>0</v>
      </c>
      <c r="H121" s="26">
        <f t="shared" si="5"/>
        <v>0</v>
      </c>
      <c r="I121" s="24">
        <f t="shared" si="6"/>
        <v>0</v>
      </c>
      <c r="J121" s="24">
        <f t="shared" si="7"/>
        <v>0</v>
      </c>
      <c r="K121" s="24"/>
      <c r="L121" s="24">
        <f t="shared" si="8"/>
        <v>422.5355434</v>
      </c>
      <c r="M121" s="14">
        <f t="shared" si="9"/>
        <v>423.0917022</v>
      </c>
      <c r="N121" s="27">
        <f t="shared" si="10"/>
        <v>-0.5561587886</v>
      </c>
      <c r="O121" s="24"/>
      <c r="P121" s="28">
        <f t="shared" si="14"/>
        <v>-209.3715181</v>
      </c>
      <c r="Q121" s="27">
        <f t="shared" si="15"/>
        <v>394.3411489</v>
      </c>
      <c r="R121" s="26"/>
      <c r="S121" s="14">
        <f t="shared" si="13"/>
        <v>-0.5107184648</v>
      </c>
      <c r="U121" s="21"/>
      <c r="V121" s="21"/>
    </row>
    <row r="122">
      <c r="A122" s="11">
        <v>110.0</v>
      </c>
      <c r="B122" s="11">
        <v>1.41987391304347E9</v>
      </c>
      <c r="C122" s="2">
        <v>-102.5438995</v>
      </c>
      <c r="D122" s="24">
        <f t="shared" si="1"/>
        <v>-526086.9565</v>
      </c>
      <c r="E122" s="25">
        <f t="shared" si="2"/>
        <v>110.1955359</v>
      </c>
      <c r="F122" s="24">
        <f t="shared" si="3"/>
        <v>0.0002094625888</v>
      </c>
      <c r="G122" s="24">
        <f t="shared" si="4"/>
        <v>0</v>
      </c>
      <c r="H122" s="26">
        <f t="shared" si="5"/>
        <v>0</v>
      </c>
      <c r="I122" s="24">
        <f t="shared" si="6"/>
        <v>0</v>
      </c>
      <c r="J122" s="24">
        <f t="shared" si="7"/>
        <v>0</v>
      </c>
      <c r="K122" s="24"/>
      <c r="L122" s="24">
        <f t="shared" si="8"/>
        <v>423.3662339</v>
      </c>
      <c r="M122" s="14">
        <f t="shared" si="9"/>
        <v>422.9979835</v>
      </c>
      <c r="N122" s="27">
        <f t="shared" si="10"/>
        <v>0.3682504077</v>
      </c>
      <c r="O122" s="24"/>
      <c r="P122" s="28">
        <f t="shared" si="14"/>
        <v>-210.2898143</v>
      </c>
      <c r="Q122" s="27">
        <f t="shared" si="15"/>
        <v>394.551108</v>
      </c>
      <c r="R122" s="26"/>
      <c r="S122" s="14">
        <f t="shared" si="13"/>
        <v>0.3381629253</v>
      </c>
      <c r="U122" s="21"/>
      <c r="V122" s="21"/>
    </row>
    <row r="123">
      <c r="A123" s="11">
        <v>111.0</v>
      </c>
      <c r="B123" s="11">
        <v>1.41987826086956E9</v>
      </c>
      <c r="C123" s="2">
        <v>-102.6119308</v>
      </c>
      <c r="D123" s="24">
        <f t="shared" si="1"/>
        <v>-521739.1304</v>
      </c>
      <c r="E123" s="25">
        <f t="shared" si="2"/>
        <v>109.2772397</v>
      </c>
      <c r="F123" s="24">
        <f t="shared" si="3"/>
        <v>0.0002094480428</v>
      </c>
      <c r="G123" s="24">
        <f t="shared" si="4"/>
        <v>0</v>
      </c>
      <c r="H123" s="26">
        <f t="shared" si="5"/>
        <v>0</v>
      </c>
      <c r="I123" s="24">
        <f t="shared" si="6"/>
        <v>0</v>
      </c>
      <c r="J123" s="24">
        <f t="shared" si="7"/>
        <v>0</v>
      </c>
      <c r="K123" s="24"/>
      <c r="L123" s="24">
        <f t="shared" si="8"/>
        <v>416.7859664</v>
      </c>
      <c r="M123" s="14">
        <f t="shared" si="9"/>
        <v>422.9043354</v>
      </c>
      <c r="N123" s="27">
        <f t="shared" si="10"/>
        <v>-6.118369002</v>
      </c>
      <c r="O123" s="24"/>
      <c r="P123" s="28">
        <f t="shared" si="14"/>
        <v>-211.2081104</v>
      </c>
      <c r="Q123" s="27">
        <f t="shared" si="15"/>
        <v>394.5303133</v>
      </c>
      <c r="R123" s="26"/>
      <c r="S123" s="14">
        <f t="shared" si="13"/>
        <v>-5.61847458</v>
      </c>
      <c r="U123" s="21"/>
      <c r="V123" s="21"/>
    </row>
    <row r="124">
      <c r="A124" s="11">
        <v>112.0</v>
      </c>
      <c r="B124" s="11">
        <v>1.41988260869565E9</v>
      </c>
      <c r="C124" s="2">
        <v>-102.5402145</v>
      </c>
      <c r="D124" s="24">
        <f t="shared" si="1"/>
        <v>-517391.3043</v>
      </c>
      <c r="E124" s="25">
        <f t="shared" si="2"/>
        <v>108.3589436</v>
      </c>
      <c r="F124" s="24">
        <f t="shared" si="3"/>
        <v>0.0002094332523</v>
      </c>
      <c r="G124" s="24">
        <f t="shared" si="4"/>
        <v>0</v>
      </c>
      <c r="H124" s="26">
        <f t="shared" si="5"/>
        <v>0</v>
      </c>
      <c r="I124" s="24">
        <f t="shared" si="6"/>
        <v>0</v>
      </c>
      <c r="J124" s="24">
        <f t="shared" si="7"/>
        <v>0</v>
      </c>
      <c r="K124" s="24"/>
      <c r="L124" s="24">
        <f t="shared" si="8"/>
        <v>423.7256137</v>
      </c>
      <c r="M124" s="14">
        <f t="shared" si="9"/>
        <v>422.8107578</v>
      </c>
      <c r="N124" s="27">
        <f t="shared" si="10"/>
        <v>0.9148559234</v>
      </c>
      <c r="O124" s="24"/>
      <c r="P124" s="28"/>
      <c r="Q124" s="27"/>
      <c r="R124" s="26"/>
      <c r="S124" s="14">
        <f t="shared" si="13"/>
        <v>0.8401086565</v>
      </c>
      <c r="U124" s="21"/>
      <c r="V124" s="21"/>
    </row>
    <row r="125">
      <c r="A125" s="11">
        <v>113.0</v>
      </c>
      <c r="B125" s="11">
        <v>1.41988695652173E9</v>
      </c>
      <c r="C125" s="2">
        <v>-102.5736465</v>
      </c>
      <c r="D125" s="24">
        <f t="shared" si="1"/>
        <v>-513043.4783</v>
      </c>
      <c r="E125" s="25">
        <f t="shared" si="2"/>
        <v>107.4406475</v>
      </c>
      <c r="F125" s="24">
        <f t="shared" si="3"/>
        <v>0.0002094182111</v>
      </c>
      <c r="G125" s="24">
        <f t="shared" si="4"/>
        <v>0</v>
      </c>
      <c r="H125" s="26">
        <f t="shared" si="5"/>
        <v>0</v>
      </c>
      <c r="I125" s="24">
        <f t="shared" si="6"/>
        <v>0</v>
      </c>
      <c r="J125" s="24">
        <f t="shared" si="7"/>
        <v>0</v>
      </c>
      <c r="K125" s="24"/>
      <c r="L125" s="24">
        <f t="shared" si="8"/>
        <v>420.4762956</v>
      </c>
      <c r="M125" s="14">
        <f t="shared" si="9"/>
        <v>422.7172507</v>
      </c>
      <c r="N125" s="27">
        <f t="shared" si="10"/>
        <v>-2.240955161</v>
      </c>
      <c r="O125" s="24"/>
      <c r="P125" s="24"/>
      <c r="Q125" s="24"/>
      <c r="R125" s="26"/>
      <c r="S125" s="14">
        <f t="shared" si="13"/>
        <v>-2.057860458</v>
      </c>
      <c r="U125" s="21"/>
      <c r="V125" s="21"/>
    </row>
    <row r="126">
      <c r="A126" s="11">
        <v>114.0</v>
      </c>
      <c r="B126" s="11">
        <v>1.41989130434782E9</v>
      </c>
      <c r="C126" s="2">
        <v>-102.5541382</v>
      </c>
      <c r="D126" s="24">
        <f t="shared" si="1"/>
        <v>-508695.6522</v>
      </c>
      <c r="E126" s="25">
        <f t="shared" si="2"/>
        <v>106.5223513</v>
      </c>
      <c r="F126" s="24">
        <f t="shared" si="3"/>
        <v>0.0002094029129</v>
      </c>
      <c r="G126" s="24">
        <f t="shared" si="4"/>
        <v>0</v>
      </c>
      <c r="H126" s="26">
        <f t="shared" si="5"/>
        <v>0</v>
      </c>
      <c r="I126" s="24">
        <f t="shared" si="6"/>
        <v>0</v>
      </c>
      <c r="J126" s="24">
        <f t="shared" si="7"/>
        <v>0</v>
      </c>
      <c r="K126" s="24"/>
      <c r="L126" s="24">
        <f t="shared" si="8"/>
        <v>422.3693034</v>
      </c>
      <c r="M126" s="14">
        <f t="shared" si="9"/>
        <v>422.6238142</v>
      </c>
      <c r="N126" s="27">
        <f t="shared" si="10"/>
        <v>-0.2545107613</v>
      </c>
      <c r="O126" s="24"/>
      <c r="P126" s="24"/>
      <c r="Q126" s="24"/>
      <c r="R126" s="26"/>
      <c r="S126" s="14">
        <f t="shared" si="13"/>
        <v>-0.2337162479</v>
      </c>
      <c r="U126" s="21"/>
      <c r="V126" s="21"/>
    </row>
    <row r="127">
      <c r="A127" s="11">
        <v>115.0</v>
      </c>
      <c r="B127" s="11">
        <v>1.41989565217391E9</v>
      </c>
      <c r="C127" s="2">
        <v>-102.5730438</v>
      </c>
      <c r="D127" s="24">
        <f t="shared" si="1"/>
        <v>-504347.8261</v>
      </c>
      <c r="E127" s="25">
        <f t="shared" si="2"/>
        <v>105.6040552</v>
      </c>
      <c r="F127" s="24">
        <f t="shared" si="3"/>
        <v>0.0002093873508</v>
      </c>
      <c r="G127" s="24">
        <f t="shared" si="4"/>
        <v>0</v>
      </c>
      <c r="H127" s="26">
        <f t="shared" si="5"/>
        <v>0</v>
      </c>
      <c r="I127" s="24">
        <f t="shared" si="6"/>
        <v>0</v>
      </c>
      <c r="J127" s="24">
        <f t="shared" si="7"/>
        <v>0</v>
      </c>
      <c r="K127" s="24"/>
      <c r="L127" s="24">
        <f t="shared" si="8"/>
        <v>420.534652</v>
      </c>
      <c r="M127" s="14">
        <f t="shared" si="9"/>
        <v>422.5304481</v>
      </c>
      <c r="N127" s="27">
        <f t="shared" si="10"/>
        <v>-1.995796113</v>
      </c>
      <c r="O127" s="24"/>
      <c r="P127" s="24"/>
      <c r="Q127" s="24"/>
      <c r="R127" s="26"/>
      <c r="S127" s="14">
        <f t="shared" si="13"/>
        <v>-1.832731848</v>
      </c>
      <c r="U127" s="21"/>
      <c r="V127" s="21"/>
    </row>
    <row r="128">
      <c r="A128" s="11">
        <v>116.0</v>
      </c>
      <c r="B128" s="11">
        <v>1.4199E9</v>
      </c>
      <c r="C128" s="2">
        <v>-102.5114212</v>
      </c>
      <c r="D128" s="24">
        <f t="shared" si="1"/>
        <v>-500000</v>
      </c>
      <c r="E128" s="25">
        <f t="shared" si="2"/>
        <v>104.6857591</v>
      </c>
      <c r="F128" s="24">
        <f t="shared" si="3"/>
        <v>0.0002093715181</v>
      </c>
      <c r="G128" s="24">
        <f t="shared" si="4"/>
        <v>0</v>
      </c>
      <c r="H128" s="26">
        <f t="shared" si="5"/>
        <v>0</v>
      </c>
      <c r="I128" s="24">
        <f t="shared" si="6"/>
        <v>0</v>
      </c>
      <c r="J128" s="24">
        <f t="shared" si="7"/>
        <v>0</v>
      </c>
      <c r="K128" s="24"/>
      <c r="L128" s="24">
        <f t="shared" si="8"/>
        <v>426.5442063</v>
      </c>
      <c r="M128" s="14">
        <f t="shared" si="9"/>
        <v>422.4371525</v>
      </c>
      <c r="N128" s="27">
        <f t="shared" si="10"/>
        <v>4.107053856</v>
      </c>
      <c r="O128" s="24"/>
      <c r="P128" s="24"/>
      <c r="Q128" s="24"/>
      <c r="R128" s="26"/>
      <c r="S128" s="14">
        <f t="shared" si="13"/>
        <v>3.771491673</v>
      </c>
      <c r="U128" s="21"/>
      <c r="V128" s="21"/>
    </row>
    <row r="129">
      <c r="A129" s="11">
        <v>117.0</v>
      </c>
      <c r="B129" s="11">
        <v>1.41990434782608E9</v>
      </c>
      <c r="C129" s="2">
        <v>-102.5533447</v>
      </c>
      <c r="D129" s="24">
        <f t="shared" si="1"/>
        <v>-495652.1739</v>
      </c>
      <c r="E129" s="25">
        <f t="shared" si="2"/>
        <v>103.7674629</v>
      </c>
      <c r="F129" s="24">
        <f t="shared" si="3"/>
        <v>0.0002093554077</v>
      </c>
      <c r="G129" s="24">
        <f t="shared" si="4"/>
        <v>0</v>
      </c>
      <c r="H129" s="26">
        <f t="shared" si="5"/>
        <v>0</v>
      </c>
      <c r="I129" s="24">
        <f t="shared" si="6"/>
        <v>0</v>
      </c>
      <c r="J129" s="24">
        <f t="shared" si="7"/>
        <v>0</v>
      </c>
      <c r="K129" s="24"/>
      <c r="L129" s="24">
        <f t="shared" si="8"/>
        <v>422.4464816</v>
      </c>
      <c r="M129" s="14">
        <f t="shared" si="9"/>
        <v>422.3439273</v>
      </c>
      <c r="N129" s="27">
        <f t="shared" si="10"/>
        <v>0.1025543021</v>
      </c>
      <c r="O129" s="24"/>
      <c r="P129" s="24"/>
      <c r="Q129" s="24"/>
      <c r="R129" s="26"/>
      <c r="S129" s="14">
        <f t="shared" si="13"/>
        <v>0.09417521906</v>
      </c>
      <c r="U129" s="21"/>
      <c r="V129" s="21"/>
    </row>
    <row r="130">
      <c r="A130" s="11">
        <v>118.0</v>
      </c>
      <c r="B130" s="11">
        <v>1.41990869565217E9</v>
      </c>
      <c r="C130" s="2">
        <v>-102.514801</v>
      </c>
      <c r="D130" s="24">
        <f t="shared" si="1"/>
        <v>-491304.3478</v>
      </c>
      <c r="E130" s="25">
        <f t="shared" si="2"/>
        <v>102.8491668</v>
      </c>
      <c r="F130" s="24">
        <f t="shared" si="3"/>
        <v>0.0002093390121</v>
      </c>
      <c r="G130" s="24">
        <f t="shared" si="4"/>
        <v>0</v>
      </c>
      <c r="H130" s="26">
        <f t="shared" si="5"/>
        <v>0</v>
      </c>
      <c r="I130" s="24">
        <f t="shared" si="6"/>
        <v>0</v>
      </c>
      <c r="J130" s="24">
        <f t="shared" si="7"/>
        <v>0</v>
      </c>
      <c r="K130" s="24"/>
      <c r="L130" s="24">
        <f t="shared" si="8"/>
        <v>426.2123869</v>
      </c>
      <c r="M130" s="14">
        <f t="shared" si="9"/>
        <v>422.2507725</v>
      </c>
      <c r="N130" s="27">
        <f t="shared" si="10"/>
        <v>3.96161438</v>
      </c>
      <c r="O130" s="24"/>
      <c r="P130" s="24"/>
      <c r="Q130" s="24"/>
      <c r="R130" s="26"/>
      <c r="S130" s="14">
        <f t="shared" si="13"/>
        <v>3.637935156</v>
      </c>
      <c r="U130" s="21"/>
      <c r="V130" s="21"/>
    </row>
    <row r="131">
      <c r="A131" s="11">
        <v>119.0</v>
      </c>
      <c r="B131" s="11">
        <v>1.41991304347826E9</v>
      </c>
      <c r="C131" s="2">
        <v>-102.6174774</v>
      </c>
      <c r="D131" s="24">
        <f t="shared" si="1"/>
        <v>-486956.5217</v>
      </c>
      <c r="E131" s="25">
        <f t="shared" si="2"/>
        <v>101.9308707</v>
      </c>
      <c r="F131" s="24">
        <f t="shared" si="3"/>
        <v>0.0002093223237</v>
      </c>
      <c r="G131" s="24">
        <f t="shared" si="4"/>
        <v>0</v>
      </c>
      <c r="H131" s="26">
        <f t="shared" si="5"/>
        <v>0</v>
      </c>
      <c r="I131" s="24">
        <f t="shared" si="6"/>
        <v>0</v>
      </c>
      <c r="J131" s="24">
        <f t="shared" si="7"/>
        <v>0</v>
      </c>
      <c r="K131" s="24"/>
      <c r="L131" s="24">
        <f t="shared" si="8"/>
        <v>416.2540072</v>
      </c>
      <c r="M131" s="14">
        <f t="shared" si="9"/>
        <v>422.1576882</v>
      </c>
      <c r="N131" s="27">
        <f t="shared" si="10"/>
        <v>-5.903681041</v>
      </c>
      <c r="O131" s="24"/>
      <c r="P131" s="24"/>
      <c r="Q131" s="24"/>
      <c r="R131" s="26"/>
      <c r="S131" s="14">
        <f t="shared" si="13"/>
        <v>-5.421327469</v>
      </c>
      <c r="U131" s="21"/>
      <c r="V131" s="21"/>
    </row>
    <row r="132">
      <c r="A132" s="11">
        <v>120.0</v>
      </c>
      <c r="B132" s="11">
        <v>1.41991739130434E9</v>
      </c>
      <c r="C132" s="2">
        <v>-102.4663391</v>
      </c>
      <c r="D132" s="24">
        <f t="shared" si="1"/>
        <v>-482608.6957</v>
      </c>
      <c r="E132" s="25">
        <f t="shared" si="2"/>
        <v>101.0125745</v>
      </c>
      <c r="F132" s="24">
        <f t="shared" si="3"/>
        <v>0.0002093053346</v>
      </c>
      <c r="G132" s="24">
        <f t="shared" si="4"/>
        <v>0</v>
      </c>
      <c r="H132" s="26">
        <f t="shared" si="5"/>
        <v>0</v>
      </c>
      <c r="I132" s="24">
        <f t="shared" si="6"/>
        <v>0</v>
      </c>
      <c r="J132" s="24">
        <f t="shared" si="7"/>
        <v>0</v>
      </c>
      <c r="K132" s="24"/>
      <c r="L132" s="24">
        <f t="shared" si="8"/>
        <v>430.9950253</v>
      </c>
      <c r="M132" s="14">
        <f t="shared" si="9"/>
        <v>422.0646743</v>
      </c>
      <c r="N132" s="27">
        <f t="shared" si="10"/>
        <v>8.930351006</v>
      </c>
      <c r="O132" s="24"/>
      <c r="P132" s="24"/>
      <c r="Q132" s="24"/>
      <c r="R132" s="26"/>
      <c r="S132" s="14">
        <f t="shared" si="13"/>
        <v>8.200706793</v>
      </c>
      <c r="U132" s="21"/>
      <c r="V132" s="21"/>
    </row>
    <row r="133">
      <c r="A133" s="11">
        <v>121.0</v>
      </c>
      <c r="B133" s="11">
        <v>1.41992173913043E9</v>
      </c>
      <c r="C133" s="2">
        <v>-102.6229553</v>
      </c>
      <c r="D133" s="24">
        <f t="shared" si="1"/>
        <v>-478260.8696</v>
      </c>
      <c r="E133" s="25">
        <f t="shared" si="2"/>
        <v>100.0942784</v>
      </c>
      <c r="F133" s="24">
        <f t="shared" si="3"/>
        <v>0.0002092880367</v>
      </c>
      <c r="G133" s="24">
        <f t="shared" si="4"/>
        <v>0</v>
      </c>
      <c r="H133" s="26">
        <f t="shared" si="5"/>
        <v>0</v>
      </c>
      <c r="I133" s="24">
        <f t="shared" si="6"/>
        <v>0</v>
      </c>
      <c r="J133" s="24">
        <f t="shared" si="7"/>
        <v>0</v>
      </c>
      <c r="K133" s="24"/>
      <c r="L133" s="24">
        <f t="shared" si="8"/>
        <v>415.7293032</v>
      </c>
      <c r="M133" s="14">
        <f t="shared" si="9"/>
        <v>421.9717307</v>
      </c>
      <c r="N133" s="27">
        <f t="shared" si="10"/>
        <v>-6.242427486</v>
      </c>
      <c r="O133" s="24"/>
      <c r="P133" s="24"/>
      <c r="Q133" s="24"/>
      <c r="R133" s="26"/>
      <c r="S133" s="14">
        <f t="shared" si="13"/>
        <v>-5.732397006</v>
      </c>
      <c r="U133" s="21"/>
      <c r="V133" s="21"/>
    </row>
    <row r="134">
      <c r="A134" s="11">
        <v>122.0</v>
      </c>
      <c r="B134" s="11">
        <v>1.41992608695652E9</v>
      </c>
      <c r="C134" s="2">
        <v>-102.4609299</v>
      </c>
      <c r="D134" s="24">
        <f t="shared" si="1"/>
        <v>-473913.0435</v>
      </c>
      <c r="E134" s="25">
        <f t="shared" si="2"/>
        <v>99.17598227</v>
      </c>
      <c r="F134" s="24">
        <f t="shared" si="3"/>
        <v>0.0002092704213</v>
      </c>
      <c r="G134" s="24">
        <f t="shared" si="4"/>
        <v>0</v>
      </c>
      <c r="H134" s="26">
        <f t="shared" si="5"/>
        <v>0</v>
      </c>
      <c r="I134" s="24">
        <f t="shared" si="6"/>
        <v>0</v>
      </c>
      <c r="J134" s="24">
        <f t="shared" si="7"/>
        <v>0</v>
      </c>
      <c r="K134" s="24"/>
      <c r="L134" s="24">
        <f t="shared" si="8"/>
        <v>431.5321702</v>
      </c>
      <c r="M134" s="14">
        <f t="shared" si="9"/>
        <v>421.8788575</v>
      </c>
      <c r="N134" s="27">
        <f t="shared" si="10"/>
        <v>9.653312731</v>
      </c>
      <c r="O134" s="24"/>
      <c r="P134" s="24"/>
      <c r="Q134" s="24"/>
      <c r="R134" s="26"/>
      <c r="S134" s="14">
        <f t="shared" si="13"/>
        <v>8.864599749</v>
      </c>
      <c r="U134" s="21"/>
      <c r="V134" s="21"/>
    </row>
    <row r="135">
      <c r="A135" s="11">
        <v>123.0</v>
      </c>
      <c r="B135" s="11">
        <v>1.4199304347826E9</v>
      </c>
      <c r="C135" s="2">
        <v>-102.5600891</v>
      </c>
      <c r="D135" s="24">
        <f t="shared" si="1"/>
        <v>-469565.2174</v>
      </c>
      <c r="E135" s="25">
        <f t="shared" si="2"/>
        <v>98.25768614</v>
      </c>
      <c r="F135" s="24">
        <f t="shared" si="3"/>
        <v>0.0002092524797</v>
      </c>
      <c r="G135" s="24">
        <f t="shared" si="4"/>
        <v>0</v>
      </c>
      <c r="H135" s="26">
        <f t="shared" si="5"/>
        <v>0</v>
      </c>
      <c r="I135" s="24">
        <f t="shared" si="6"/>
        <v>0</v>
      </c>
      <c r="J135" s="24">
        <f t="shared" si="7"/>
        <v>0</v>
      </c>
      <c r="K135" s="24"/>
      <c r="L135" s="24">
        <f t="shared" si="8"/>
        <v>421.7909501</v>
      </c>
      <c r="M135" s="14">
        <f t="shared" si="9"/>
        <v>421.7860546</v>
      </c>
      <c r="N135" s="27">
        <f t="shared" si="10"/>
        <v>0.004895580932</v>
      </c>
      <c r="O135" s="24"/>
      <c r="P135" s="24"/>
      <c r="Q135" s="24"/>
      <c r="R135" s="26"/>
      <c r="S135" s="14">
        <f t="shared" si="13"/>
        <v>0.004495593037</v>
      </c>
      <c r="U135" s="21"/>
      <c r="V135" s="21"/>
    </row>
    <row r="136">
      <c r="A136" s="11">
        <v>124.0</v>
      </c>
      <c r="B136" s="11">
        <v>1.41993478260869E9</v>
      </c>
      <c r="C136" s="2">
        <v>-102.5865021</v>
      </c>
      <c r="D136" s="24">
        <f t="shared" si="1"/>
        <v>-465217.3913</v>
      </c>
      <c r="E136" s="25">
        <f t="shared" si="2"/>
        <v>97.33939001</v>
      </c>
      <c r="F136" s="24">
        <f t="shared" si="3"/>
        <v>0.0002092342028</v>
      </c>
      <c r="G136" s="24">
        <f t="shared" si="4"/>
        <v>0</v>
      </c>
      <c r="H136" s="26">
        <f t="shared" si="5"/>
        <v>0</v>
      </c>
      <c r="I136" s="24">
        <f t="shared" si="6"/>
        <v>0</v>
      </c>
      <c r="J136" s="24">
        <f t="shared" si="7"/>
        <v>0</v>
      </c>
      <c r="K136" s="24"/>
      <c r="L136" s="24">
        <f t="shared" si="8"/>
        <v>419.2334793</v>
      </c>
      <c r="M136" s="14">
        <f t="shared" si="9"/>
        <v>421.693322</v>
      </c>
      <c r="N136" s="27">
        <f t="shared" si="10"/>
        <v>-2.459842712</v>
      </c>
      <c r="O136" s="24"/>
      <c r="P136" s="24"/>
      <c r="Q136" s="24"/>
      <c r="R136" s="26"/>
      <c r="S136" s="14">
        <f t="shared" si="13"/>
        <v>-2.25886405</v>
      </c>
      <c r="U136" s="21"/>
      <c r="V136" s="21"/>
    </row>
    <row r="137">
      <c r="A137" s="11">
        <v>125.0</v>
      </c>
      <c r="B137" s="11">
        <v>1.41993913043478E9</v>
      </c>
      <c r="C137" s="2">
        <v>-102.4634705</v>
      </c>
      <c r="D137" s="24">
        <f t="shared" si="1"/>
        <v>-460869.5652</v>
      </c>
      <c r="E137" s="25">
        <f t="shared" si="2"/>
        <v>96.42109387</v>
      </c>
      <c r="F137" s="24">
        <f t="shared" si="3"/>
        <v>0.000209215581</v>
      </c>
      <c r="G137" s="24">
        <f t="shared" si="4"/>
        <v>0</v>
      </c>
      <c r="H137" s="26">
        <f t="shared" si="5"/>
        <v>0</v>
      </c>
      <c r="I137" s="24">
        <f t="shared" si="6"/>
        <v>0</v>
      </c>
      <c r="J137" s="24">
        <f t="shared" si="7"/>
        <v>0</v>
      </c>
      <c r="K137" s="24"/>
      <c r="L137" s="24">
        <f t="shared" si="8"/>
        <v>431.2798</v>
      </c>
      <c r="M137" s="14">
        <f t="shared" si="9"/>
        <v>421.6006597</v>
      </c>
      <c r="N137" s="27">
        <f t="shared" si="10"/>
        <v>9.679140263</v>
      </c>
      <c r="O137" s="24"/>
      <c r="P137" s="24"/>
      <c r="Q137" s="24"/>
      <c r="R137" s="26"/>
      <c r="S137" s="14">
        <f t="shared" si="13"/>
        <v>8.888317051</v>
      </c>
      <c r="U137" s="21"/>
      <c r="V137" s="21"/>
    </row>
    <row r="138">
      <c r="A138" s="11">
        <v>126.0</v>
      </c>
      <c r="B138" s="11">
        <v>1.41994347826087E9</v>
      </c>
      <c r="C138" s="2">
        <v>-102.5640106</v>
      </c>
      <c r="D138" s="24">
        <f t="shared" si="1"/>
        <v>-456521.7391</v>
      </c>
      <c r="E138" s="25">
        <f t="shared" si="2"/>
        <v>95.50279774</v>
      </c>
      <c r="F138" s="24">
        <f t="shared" si="3"/>
        <v>0.0002091966046</v>
      </c>
      <c r="G138" s="24">
        <f t="shared" si="4"/>
        <v>0</v>
      </c>
      <c r="H138" s="26">
        <f t="shared" si="5"/>
        <v>0</v>
      </c>
      <c r="I138" s="24">
        <f t="shared" si="6"/>
        <v>0</v>
      </c>
      <c r="J138" s="24">
        <f t="shared" si="7"/>
        <v>0</v>
      </c>
      <c r="K138" s="24"/>
      <c r="L138" s="24">
        <f t="shared" si="8"/>
        <v>421.4102622</v>
      </c>
      <c r="M138" s="14">
        <f t="shared" si="9"/>
        <v>421.5080677</v>
      </c>
      <c r="N138" s="27">
        <f t="shared" si="10"/>
        <v>-0.09780545805</v>
      </c>
      <c r="O138" s="24"/>
      <c r="P138" s="24"/>
      <c r="Q138" s="24"/>
      <c r="R138" s="26"/>
      <c r="S138" s="14">
        <f t="shared" si="13"/>
        <v>-0.08981437389</v>
      </c>
      <c r="U138" s="21"/>
      <c r="V138" s="21"/>
    </row>
    <row r="139">
      <c r="A139" s="11">
        <v>127.0</v>
      </c>
      <c r="B139" s="11">
        <v>1.41994782608695E9</v>
      </c>
      <c r="C139" s="2">
        <v>-102.5338821</v>
      </c>
      <c r="D139" s="24">
        <f t="shared" si="1"/>
        <v>-452173.913</v>
      </c>
      <c r="E139" s="25">
        <f t="shared" si="2"/>
        <v>94.58450161</v>
      </c>
      <c r="F139" s="24">
        <f t="shared" si="3"/>
        <v>0.0002091772632</v>
      </c>
      <c r="G139" s="24">
        <f t="shared" si="4"/>
        <v>0</v>
      </c>
      <c r="H139" s="26">
        <f t="shared" si="5"/>
        <v>0</v>
      </c>
      <c r="I139" s="24">
        <f t="shared" si="6"/>
        <v>0</v>
      </c>
      <c r="J139" s="24">
        <f t="shared" si="7"/>
        <v>0</v>
      </c>
      <c r="K139" s="24"/>
      <c r="L139" s="24">
        <f t="shared" si="8"/>
        <v>424.343894</v>
      </c>
      <c r="M139" s="14">
        <f t="shared" si="9"/>
        <v>421.4155459</v>
      </c>
      <c r="N139" s="27">
        <f t="shared" si="10"/>
        <v>2.928348085</v>
      </c>
      <c r="O139" s="24"/>
      <c r="P139" s="24"/>
      <c r="Q139" s="24"/>
      <c r="R139" s="26"/>
      <c r="S139" s="14">
        <f t="shared" si="13"/>
        <v>2.689090722</v>
      </c>
      <c r="U139" s="21"/>
      <c r="V139" s="21"/>
    </row>
    <row r="140">
      <c r="A140" s="11">
        <v>128.0</v>
      </c>
      <c r="B140" s="11">
        <v>1.41995217391304E9</v>
      </c>
      <c r="C140" s="2">
        <v>-102.5685425</v>
      </c>
      <c r="D140" s="24">
        <f t="shared" si="1"/>
        <v>-447826.087</v>
      </c>
      <c r="E140" s="25">
        <f t="shared" si="2"/>
        <v>93.66620548</v>
      </c>
      <c r="F140" s="24">
        <f t="shared" si="3"/>
        <v>0.0002091575462</v>
      </c>
      <c r="G140" s="24">
        <f t="shared" si="4"/>
        <v>0</v>
      </c>
      <c r="H140" s="26">
        <f t="shared" si="5"/>
        <v>0</v>
      </c>
      <c r="I140" s="24">
        <f t="shared" si="6"/>
        <v>0</v>
      </c>
      <c r="J140" s="24">
        <f t="shared" si="7"/>
        <v>0</v>
      </c>
      <c r="K140" s="24"/>
      <c r="L140" s="24">
        <f t="shared" si="8"/>
        <v>420.9707464</v>
      </c>
      <c r="M140" s="14">
        <f t="shared" si="9"/>
        <v>421.3230944</v>
      </c>
      <c r="N140" s="27">
        <f t="shared" si="10"/>
        <v>-0.3523480203</v>
      </c>
      <c r="O140" s="24"/>
      <c r="P140" s="24"/>
      <c r="Q140" s="24"/>
      <c r="R140" s="26"/>
      <c r="S140" s="14">
        <f t="shared" si="13"/>
        <v>-0.3235598237</v>
      </c>
      <c r="U140" s="21"/>
      <c r="V140" s="21"/>
    </row>
    <row r="141">
      <c r="A141" s="11">
        <v>129.0</v>
      </c>
      <c r="B141" s="11">
        <v>1.41995652173913E9</v>
      </c>
      <c r="C141" s="2">
        <v>-102.5360413</v>
      </c>
      <c r="D141" s="24">
        <f t="shared" si="1"/>
        <v>-443478.2609</v>
      </c>
      <c r="E141" s="25">
        <f t="shared" si="2"/>
        <v>92.74790935</v>
      </c>
      <c r="F141" s="24">
        <f t="shared" si="3"/>
        <v>0.0002091374426</v>
      </c>
      <c r="G141" s="24">
        <f t="shared" si="4"/>
        <v>0</v>
      </c>
      <c r="H141" s="26">
        <f t="shared" si="5"/>
        <v>0</v>
      </c>
      <c r="I141" s="24">
        <f t="shared" si="6"/>
        <v>0</v>
      </c>
      <c r="J141" s="24">
        <f t="shared" si="7"/>
        <v>0</v>
      </c>
      <c r="K141" s="24"/>
      <c r="L141" s="24">
        <f t="shared" si="8"/>
        <v>424.1329736</v>
      </c>
      <c r="M141" s="14">
        <f t="shared" si="9"/>
        <v>421.2307131</v>
      </c>
      <c r="N141" s="27">
        <f t="shared" si="10"/>
        <v>2.902260529</v>
      </c>
      <c r="O141" s="24"/>
      <c r="P141" s="24"/>
      <c r="Q141" s="24"/>
      <c r="R141" s="26"/>
      <c r="S141" s="14">
        <f t="shared" si="13"/>
        <v>2.66513462</v>
      </c>
      <c r="U141" s="21"/>
      <c r="V141" s="21"/>
    </row>
    <row r="142">
      <c r="A142" s="11">
        <v>130.0</v>
      </c>
      <c r="B142" s="11">
        <v>1.41996086956521E9</v>
      </c>
      <c r="C142" s="2">
        <v>-102.5016632</v>
      </c>
      <c r="D142" s="24">
        <f t="shared" si="1"/>
        <v>-439130.4348</v>
      </c>
      <c r="E142" s="25">
        <f t="shared" si="2"/>
        <v>91.82961321</v>
      </c>
      <c r="F142" s="24">
        <f t="shared" si="3"/>
        <v>0.000209116941</v>
      </c>
      <c r="G142" s="24">
        <f t="shared" si="4"/>
        <v>0</v>
      </c>
      <c r="H142" s="26">
        <f t="shared" si="5"/>
        <v>0</v>
      </c>
      <c r="I142" s="24">
        <f t="shared" si="6"/>
        <v>0</v>
      </c>
      <c r="J142" s="24">
        <f t="shared" si="7"/>
        <v>0</v>
      </c>
      <c r="K142" s="24"/>
      <c r="L142" s="24">
        <f t="shared" si="8"/>
        <v>427.50367</v>
      </c>
      <c r="M142" s="14">
        <f t="shared" si="9"/>
        <v>421.138402</v>
      </c>
      <c r="N142" s="27">
        <f t="shared" si="10"/>
        <v>6.365268025</v>
      </c>
      <c r="O142" s="24"/>
      <c r="P142" s="24"/>
      <c r="Q142" s="24"/>
      <c r="R142" s="26"/>
      <c r="S142" s="14">
        <f t="shared" si="13"/>
        <v>5.845201012</v>
      </c>
      <c r="U142" s="21"/>
      <c r="V142" s="21"/>
    </row>
    <row r="143">
      <c r="A143" s="11">
        <v>131.0</v>
      </c>
      <c r="B143" s="11">
        <v>1.4199652173913E9</v>
      </c>
      <c r="C143" s="2">
        <v>-102.4911575</v>
      </c>
      <c r="D143" s="24">
        <f t="shared" si="1"/>
        <v>-434782.6087</v>
      </c>
      <c r="E143" s="25">
        <f t="shared" si="2"/>
        <v>90.91131708</v>
      </c>
      <c r="F143" s="24">
        <f t="shared" si="3"/>
        <v>0.0002090960293</v>
      </c>
      <c r="G143" s="24">
        <f t="shared" si="4"/>
        <v>0</v>
      </c>
      <c r="H143" s="26">
        <f t="shared" si="5"/>
        <v>0</v>
      </c>
      <c r="I143" s="24">
        <f t="shared" si="6"/>
        <v>0</v>
      </c>
      <c r="J143" s="24">
        <f t="shared" si="7"/>
        <v>0</v>
      </c>
      <c r="K143" s="24"/>
      <c r="L143" s="24">
        <f t="shared" si="8"/>
        <v>428.5390647</v>
      </c>
      <c r="M143" s="14">
        <f t="shared" si="9"/>
        <v>421.046161</v>
      </c>
      <c r="N143" s="27">
        <f t="shared" si="10"/>
        <v>7.492903619</v>
      </c>
      <c r="O143" s="24"/>
      <c r="P143" s="24"/>
      <c r="Q143" s="24"/>
      <c r="R143" s="26"/>
      <c r="S143" s="14">
        <f t="shared" si="13"/>
        <v>6.8807044</v>
      </c>
      <c r="U143" s="21"/>
      <c r="V143" s="21"/>
    </row>
    <row r="144">
      <c r="A144" s="11">
        <v>132.0</v>
      </c>
      <c r="B144" s="11">
        <v>1.41996956521739E9</v>
      </c>
      <c r="C144" s="2">
        <v>-102.4996185</v>
      </c>
      <c r="D144" s="24">
        <f t="shared" si="1"/>
        <v>-430434.7826</v>
      </c>
      <c r="E144" s="25">
        <f t="shared" si="2"/>
        <v>89.99302095</v>
      </c>
      <c r="F144" s="24">
        <f t="shared" si="3"/>
        <v>0.0002090746951</v>
      </c>
      <c r="G144" s="24">
        <f t="shared" si="4"/>
        <v>0</v>
      </c>
      <c r="H144" s="26">
        <f t="shared" si="5"/>
        <v>0</v>
      </c>
      <c r="I144" s="24">
        <f t="shared" si="6"/>
        <v>0</v>
      </c>
      <c r="J144" s="24">
        <f t="shared" si="7"/>
        <v>0</v>
      </c>
      <c r="K144" s="24"/>
      <c r="L144" s="24">
        <f t="shared" si="8"/>
        <v>427.7049902</v>
      </c>
      <c r="M144" s="14">
        <f t="shared" si="9"/>
        <v>420.9539903</v>
      </c>
      <c r="N144" s="27">
        <f t="shared" si="10"/>
        <v>6.750999935</v>
      </c>
      <c r="O144" s="24"/>
      <c r="P144" s="24"/>
      <c r="Q144" s="24"/>
      <c r="R144" s="26"/>
      <c r="S144" s="14">
        <f t="shared" si="13"/>
        <v>6.199417133</v>
      </c>
      <c r="U144" s="21"/>
      <c r="V144" s="21"/>
    </row>
    <row r="145">
      <c r="A145" s="11">
        <v>133.0</v>
      </c>
      <c r="B145" s="11">
        <v>1.41997391304347E9</v>
      </c>
      <c r="C145" s="2">
        <v>-102.5198288</v>
      </c>
      <c r="D145" s="24">
        <f t="shared" si="1"/>
        <v>-426086.9565</v>
      </c>
      <c r="E145" s="25">
        <f t="shared" si="2"/>
        <v>89.07472482</v>
      </c>
      <c r="F145" s="24">
        <f t="shared" si="3"/>
        <v>0.0002090529256</v>
      </c>
      <c r="G145" s="24">
        <f t="shared" si="4"/>
        <v>0</v>
      </c>
      <c r="H145" s="26">
        <f t="shared" si="5"/>
        <v>0</v>
      </c>
      <c r="I145" s="24">
        <f t="shared" si="6"/>
        <v>0</v>
      </c>
      <c r="J145" s="24">
        <f t="shared" si="7"/>
        <v>0</v>
      </c>
      <c r="K145" s="24"/>
      <c r="L145" s="24">
        <f t="shared" si="8"/>
        <v>425.719249</v>
      </c>
      <c r="M145" s="14">
        <f t="shared" si="9"/>
        <v>420.8618896</v>
      </c>
      <c r="N145" s="27">
        <f t="shared" si="10"/>
        <v>4.857359381</v>
      </c>
      <c r="O145" s="24"/>
      <c r="P145" s="24"/>
      <c r="Q145" s="24"/>
      <c r="R145" s="26"/>
      <c r="S145" s="14">
        <f t="shared" si="13"/>
        <v>4.460494335</v>
      </c>
      <c r="U145" s="21"/>
      <c r="V145" s="21"/>
    </row>
    <row r="146">
      <c r="A146" s="11">
        <v>134.0</v>
      </c>
      <c r="B146" s="11">
        <v>1.41997826086956E9</v>
      </c>
      <c r="C146" s="2">
        <v>-102.519165</v>
      </c>
      <c r="D146" s="24">
        <f t="shared" si="1"/>
        <v>-421739.1304</v>
      </c>
      <c r="E146" s="25">
        <f t="shared" si="2"/>
        <v>88.15642869</v>
      </c>
      <c r="F146" s="24">
        <f t="shared" si="3"/>
        <v>0.0002090307072</v>
      </c>
      <c r="G146" s="24">
        <f t="shared" si="4"/>
        <v>0</v>
      </c>
      <c r="H146" s="26">
        <f t="shared" si="5"/>
        <v>0</v>
      </c>
      <c r="I146" s="24">
        <f t="shared" si="6"/>
        <v>0</v>
      </c>
      <c r="J146" s="24">
        <f t="shared" si="7"/>
        <v>0</v>
      </c>
      <c r="K146" s="24"/>
      <c r="L146" s="24">
        <f t="shared" si="8"/>
        <v>425.7843233</v>
      </c>
      <c r="M146" s="14">
        <f t="shared" si="9"/>
        <v>420.7698591</v>
      </c>
      <c r="N146" s="27">
        <f t="shared" si="10"/>
        <v>5.014464176</v>
      </c>
      <c r="O146" s="24"/>
      <c r="P146" s="24"/>
      <c r="Q146" s="24"/>
      <c r="R146" s="26"/>
      <c r="S146" s="14">
        <f t="shared" si="13"/>
        <v>4.60476305</v>
      </c>
      <c r="U146" s="21"/>
      <c r="V146" s="21"/>
    </row>
    <row r="147">
      <c r="A147" s="11">
        <v>135.0</v>
      </c>
      <c r="B147" s="11">
        <v>1.41998260869565E9</v>
      </c>
      <c r="C147" s="2">
        <v>-102.5468292</v>
      </c>
      <c r="D147" s="24">
        <f t="shared" si="1"/>
        <v>-417391.3043</v>
      </c>
      <c r="E147" s="25">
        <f t="shared" si="2"/>
        <v>87.23813255</v>
      </c>
      <c r="F147" s="24">
        <f t="shared" si="3"/>
        <v>0.0002090080259</v>
      </c>
      <c r="G147" s="24">
        <f t="shared" si="4"/>
        <v>0</v>
      </c>
      <c r="H147" s="26">
        <f t="shared" si="5"/>
        <v>0</v>
      </c>
      <c r="I147" s="24">
        <f t="shared" si="6"/>
        <v>0</v>
      </c>
      <c r="J147" s="24">
        <f t="shared" si="7"/>
        <v>0</v>
      </c>
      <c r="K147" s="24"/>
      <c r="L147" s="24">
        <f t="shared" si="8"/>
        <v>423.0807323</v>
      </c>
      <c r="M147" s="14">
        <f t="shared" si="9"/>
        <v>420.6778987</v>
      </c>
      <c r="N147" s="27">
        <f t="shared" si="10"/>
        <v>2.402833556</v>
      </c>
      <c r="O147" s="24"/>
      <c r="P147" s="24"/>
      <c r="Q147" s="24"/>
      <c r="R147" s="26"/>
      <c r="S147" s="14">
        <f t="shared" si="13"/>
        <v>2.206512762</v>
      </c>
      <c r="U147" s="21"/>
      <c r="V147" s="21"/>
    </row>
    <row r="148">
      <c r="A148" s="11">
        <v>136.0</v>
      </c>
      <c r="B148" s="11">
        <v>1.41998695652173E9</v>
      </c>
      <c r="C148" s="2">
        <v>-102.4961777</v>
      </c>
      <c r="D148" s="24">
        <f t="shared" si="1"/>
        <v>-413043.4783</v>
      </c>
      <c r="E148" s="25">
        <f t="shared" si="2"/>
        <v>86.31983642</v>
      </c>
      <c r="F148" s="24">
        <f t="shared" si="3"/>
        <v>0.0002089848671</v>
      </c>
      <c r="G148" s="24">
        <f t="shared" si="4"/>
        <v>0</v>
      </c>
      <c r="H148" s="26">
        <f t="shared" si="5"/>
        <v>0</v>
      </c>
      <c r="I148" s="24">
        <f t="shared" si="6"/>
        <v>0</v>
      </c>
      <c r="J148" s="24">
        <f t="shared" si="7"/>
        <v>0</v>
      </c>
      <c r="K148" s="24"/>
      <c r="L148" s="24">
        <f t="shared" si="8"/>
        <v>428.0439838</v>
      </c>
      <c r="M148" s="14">
        <f t="shared" si="9"/>
        <v>420.5860084</v>
      </c>
      <c r="N148" s="27">
        <f t="shared" si="10"/>
        <v>7.457975391</v>
      </c>
      <c r="O148" s="24"/>
      <c r="P148" s="24"/>
      <c r="Q148" s="24"/>
      <c r="R148" s="26"/>
      <c r="S148" s="14">
        <f t="shared" si="13"/>
        <v>6.84862996</v>
      </c>
      <c r="U148" s="21"/>
      <c r="V148" s="21"/>
    </row>
    <row r="149">
      <c r="A149" s="11">
        <v>137.0</v>
      </c>
      <c r="B149" s="11">
        <v>1.41999130434782E9</v>
      </c>
      <c r="C149" s="2">
        <v>-102.4746933</v>
      </c>
      <c r="D149" s="24">
        <f t="shared" si="1"/>
        <v>-408695.6522</v>
      </c>
      <c r="E149" s="25">
        <f t="shared" si="2"/>
        <v>85.40154029</v>
      </c>
      <c r="F149" s="24">
        <f t="shared" si="3"/>
        <v>0.0002089612156</v>
      </c>
      <c r="G149" s="24">
        <f t="shared" si="4"/>
        <v>0</v>
      </c>
      <c r="H149" s="26">
        <f t="shared" si="5"/>
        <v>0</v>
      </c>
      <c r="I149" s="24">
        <f t="shared" si="6"/>
        <v>0</v>
      </c>
      <c r="J149" s="24">
        <f t="shared" si="7"/>
        <v>0</v>
      </c>
      <c r="K149" s="24"/>
      <c r="L149" s="24">
        <f t="shared" si="8"/>
        <v>430.1667491</v>
      </c>
      <c r="M149" s="14">
        <f t="shared" si="9"/>
        <v>420.4941882</v>
      </c>
      <c r="N149" s="27">
        <f t="shared" si="10"/>
        <v>9.672560942</v>
      </c>
      <c r="O149" s="24"/>
      <c r="P149" s="24"/>
      <c r="Q149" s="24"/>
      <c r="R149" s="26"/>
      <c r="S149" s="14">
        <f t="shared" si="13"/>
        <v>8.882275307</v>
      </c>
      <c r="U149" s="21"/>
      <c r="V149" s="21"/>
    </row>
    <row r="150">
      <c r="A150" s="11">
        <v>138.0</v>
      </c>
      <c r="B150" s="11">
        <v>1.41999565217391E9</v>
      </c>
      <c r="C150" s="2">
        <v>-102.5449905</v>
      </c>
      <c r="D150" s="24">
        <f t="shared" si="1"/>
        <v>-404347.8261</v>
      </c>
      <c r="E150" s="25">
        <f t="shared" si="2"/>
        <v>84.48324416</v>
      </c>
      <c r="F150" s="24">
        <f t="shared" si="3"/>
        <v>0.0002089370554</v>
      </c>
      <c r="G150" s="24">
        <f t="shared" si="4"/>
        <v>0</v>
      </c>
      <c r="H150" s="26">
        <f t="shared" si="5"/>
        <v>0</v>
      </c>
      <c r="I150" s="24">
        <f t="shared" si="6"/>
        <v>0</v>
      </c>
      <c r="J150" s="24">
        <f t="shared" si="7"/>
        <v>0</v>
      </c>
      <c r="K150" s="24"/>
      <c r="L150" s="24">
        <f t="shared" si="8"/>
        <v>423.2598926</v>
      </c>
      <c r="M150" s="14">
        <f t="shared" si="9"/>
        <v>420.4024379</v>
      </c>
      <c r="N150" s="27">
        <f t="shared" si="10"/>
        <v>2.857454634</v>
      </c>
      <c r="O150" s="24"/>
      <c r="P150" s="24"/>
      <c r="Q150" s="24"/>
      <c r="R150" s="26"/>
      <c r="S150" s="14">
        <f t="shared" si="13"/>
        <v>2.623989534</v>
      </c>
      <c r="U150" s="21"/>
      <c r="V150" s="21"/>
    </row>
    <row r="151">
      <c r="A151" s="11">
        <v>139.0</v>
      </c>
      <c r="B151" s="11">
        <v>1.42E9</v>
      </c>
      <c r="C151" s="2">
        <v>-102.4972153</v>
      </c>
      <c r="D151" s="24">
        <f t="shared" si="1"/>
        <v>-400000</v>
      </c>
      <c r="E151" s="25">
        <f t="shared" si="2"/>
        <v>83.56494803</v>
      </c>
      <c r="F151" s="24">
        <f t="shared" si="3"/>
        <v>0.0002089123701</v>
      </c>
      <c r="G151" s="24">
        <f t="shared" si="4"/>
        <v>0</v>
      </c>
      <c r="H151" s="26">
        <f t="shared" si="5"/>
        <v>0</v>
      </c>
      <c r="I151" s="24">
        <f t="shared" si="6"/>
        <v>0</v>
      </c>
      <c r="J151" s="24">
        <f t="shared" si="7"/>
        <v>0</v>
      </c>
      <c r="K151" s="24"/>
      <c r="L151" s="24">
        <f t="shared" si="8"/>
        <v>427.9417294</v>
      </c>
      <c r="M151" s="14">
        <f t="shared" si="9"/>
        <v>420.3107578</v>
      </c>
      <c r="N151" s="27">
        <f t="shared" si="10"/>
        <v>7.630971605</v>
      </c>
      <c r="O151" s="24"/>
      <c r="P151" s="24"/>
      <c r="Q151" s="24"/>
      <c r="R151" s="26"/>
      <c r="S151" s="14">
        <f t="shared" si="13"/>
        <v>7.007491714</v>
      </c>
      <c r="U151" s="21"/>
      <c r="V151" s="21"/>
    </row>
    <row r="152">
      <c r="A152" s="11">
        <v>140.0</v>
      </c>
      <c r="B152" s="11">
        <v>1.42000434782608E9</v>
      </c>
      <c r="C152" s="2">
        <v>-102.4726028</v>
      </c>
      <c r="D152" s="24">
        <f t="shared" si="1"/>
        <v>-395652.1739</v>
      </c>
      <c r="E152" s="25">
        <f t="shared" si="2"/>
        <v>82.64665189</v>
      </c>
      <c r="F152" s="24">
        <f t="shared" si="3"/>
        <v>0.0002088871421</v>
      </c>
      <c r="G152" s="24">
        <f t="shared" si="4"/>
        <v>0</v>
      </c>
      <c r="H152" s="26">
        <f t="shared" si="5"/>
        <v>0</v>
      </c>
      <c r="I152" s="24">
        <f t="shared" si="6"/>
        <v>0</v>
      </c>
      <c r="J152" s="24">
        <f t="shared" si="7"/>
        <v>0</v>
      </c>
      <c r="K152" s="24"/>
      <c r="L152" s="24">
        <f t="shared" si="8"/>
        <v>430.373862</v>
      </c>
      <c r="M152" s="14">
        <f t="shared" si="9"/>
        <v>420.2191476</v>
      </c>
      <c r="N152" s="27">
        <f t="shared" si="10"/>
        <v>10.15471445</v>
      </c>
      <c r="O152" s="24"/>
      <c r="P152" s="24"/>
      <c r="Q152" s="24"/>
      <c r="R152" s="26"/>
      <c r="S152" s="14">
        <f t="shared" si="13"/>
        <v>9.325035011</v>
      </c>
      <c r="U152" s="21"/>
      <c r="V152" s="21"/>
    </row>
    <row r="153">
      <c r="A153" s="11">
        <v>141.0</v>
      </c>
      <c r="B153" s="11">
        <v>1.42000869565217E9</v>
      </c>
      <c r="C153" s="2">
        <v>-102.552948</v>
      </c>
      <c r="D153" s="24">
        <f t="shared" si="1"/>
        <v>-391304.3478</v>
      </c>
      <c r="E153" s="25">
        <f t="shared" si="2"/>
        <v>81.72835576</v>
      </c>
      <c r="F153" s="24">
        <f t="shared" si="3"/>
        <v>0.0002088613536</v>
      </c>
      <c r="G153" s="24">
        <f t="shared" si="4"/>
        <v>0</v>
      </c>
      <c r="H153" s="26">
        <f t="shared" si="5"/>
        <v>0</v>
      </c>
      <c r="I153" s="24">
        <f t="shared" si="6"/>
        <v>0</v>
      </c>
      <c r="J153" s="24">
        <f t="shared" si="7"/>
        <v>0</v>
      </c>
      <c r="K153" s="24"/>
      <c r="L153" s="24">
        <f t="shared" si="8"/>
        <v>422.4850711</v>
      </c>
      <c r="M153" s="14">
        <f t="shared" si="9"/>
        <v>420.1276074</v>
      </c>
      <c r="N153" s="27">
        <f t="shared" si="10"/>
        <v>2.357463728</v>
      </c>
      <c r="O153" s="24"/>
      <c r="P153" s="24"/>
      <c r="Q153" s="24"/>
      <c r="R153" s="26"/>
      <c r="S153" s="14">
        <f t="shared" si="13"/>
        <v>2.164849819</v>
      </c>
      <c r="U153" s="21"/>
      <c r="V153" s="21"/>
    </row>
    <row r="154">
      <c r="A154" s="11">
        <v>142.0</v>
      </c>
      <c r="B154" s="11">
        <v>1.42001304347826E9</v>
      </c>
      <c r="C154" s="2">
        <v>-102.4908752</v>
      </c>
      <c r="D154" s="24">
        <f t="shared" si="1"/>
        <v>-386956.5217</v>
      </c>
      <c r="E154" s="25">
        <f t="shared" si="2"/>
        <v>80.81005963</v>
      </c>
      <c r="F154" s="24">
        <f t="shared" si="3"/>
        <v>0.0002088349856</v>
      </c>
      <c r="G154" s="24">
        <f t="shared" si="4"/>
        <v>0</v>
      </c>
      <c r="H154" s="26">
        <f t="shared" si="5"/>
        <v>0</v>
      </c>
      <c r="I154" s="24">
        <f t="shared" si="6"/>
        <v>0</v>
      </c>
      <c r="J154" s="24">
        <f t="shared" si="7"/>
        <v>0</v>
      </c>
      <c r="K154" s="24"/>
      <c r="L154" s="24">
        <f t="shared" si="8"/>
        <v>428.5669215</v>
      </c>
      <c r="M154" s="14">
        <f t="shared" si="9"/>
        <v>420.0361372</v>
      </c>
      <c r="N154" s="27">
        <f t="shared" si="10"/>
        <v>8.530784285</v>
      </c>
      <c r="O154" s="24"/>
      <c r="P154" s="24"/>
      <c r="Q154" s="24"/>
      <c r="R154" s="26"/>
      <c r="S154" s="14">
        <f t="shared" si="13"/>
        <v>7.833786219</v>
      </c>
      <c r="U154" s="21"/>
      <c r="V154" s="21"/>
    </row>
    <row r="155">
      <c r="A155" s="11">
        <v>143.0</v>
      </c>
      <c r="B155" s="11">
        <v>1.42001739130434E9</v>
      </c>
      <c r="C155" s="2">
        <v>-102.5689163</v>
      </c>
      <c r="D155" s="24">
        <f t="shared" si="1"/>
        <v>-382608.6957</v>
      </c>
      <c r="E155" s="25">
        <f t="shared" si="2"/>
        <v>79.8917635</v>
      </c>
      <c r="F155" s="24">
        <f t="shared" si="3"/>
        <v>0.0002088080182</v>
      </c>
      <c r="G155" s="24">
        <f t="shared" si="4"/>
        <v>0</v>
      </c>
      <c r="H155" s="26">
        <f t="shared" si="5"/>
        <v>0</v>
      </c>
      <c r="I155" s="24">
        <f t="shared" si="6"/>
        <v>0</v>
      </c>
      <c r="J155" s="24">
        <f t="shared" si="7"/>
        <v>0</v>
      </c>
      <c r="K155" s="24"/>
      <c r="L155" s="24">
        <f t="shared" si="8"/>
        <v>420.9345147</v>
      </c>
      <c r="M155" s="14">
        <f t="shared" si="9"/>
        <v>419.9447369</v>
      </c>
      <c r="N155" s="27">
        <f t="shared" si="10"/>
        <v>0.9897778125</v>
      </c>
      <c r="O155" s="24"/>
      <c r="P155" s="24"/>
      <c r="Q155" s="24"/>
      <c r="R155" s="26"/>
      <c r="S155" s="14">
        <f t="shared" si="13"/>
        <v>0.9089091375</v>
      </c>
      <c r="U155" s="21"/>
      <c r="V155" s="21"/>
    </row>
    <row r="156">
      <c r="A156" s="11">
        <v>144.0</v>
      </c>
      <c r="B156" s="11">
        <v>1.42002173913043E9</v>
      </c>
      <c r="C156" s="2">
        <v>-102.5553513</v>
      </c>
      <c r="D156" s="24">
        <f t="shared" si="1"/>
        <v>-378260.8696</v>
      </c>
      <c r="E156" s="25">
        <f t="shared" si="2"/>
        <v>78.97346736</v>
      </c>
      <c r="F156" s="24">
        <f t="shared" si="3"/>
        <v>0.000208780431</v>
      </c>
      <c r="G156" s="24">
        <f t="shared" si="4"/>
        <v>0</v>
      </c>
      <c r="H156" s="26">
        <f t="shared" si="5"/>
        <v>0</v>
      </c>
      <c r="I156" s="24">
        <f t="shared" si="6"/>
        <v>0</v>
      </c>
      <c r="J156" s="24">
        <f t="shared" si="7"/>
        <v>0</v>
      </c>
      <c r="K156" s="24"/>
      <c r="L156" s="24">
        <f t="shared" si="8"/>
        <v>422.2513409</v>
      </c>
      <c r="M156" s="14">
        <f t="shared" si="9"/>
        <v>419.8534066</v>
      </c>
      <c r="N156" s="27">
        <f t="shared" si="10"/>
        <v>2.397934326</v>
      </c>
      <c r="O156" s="24"/>
      <c r="P156" s="24"/>
      <c r="Q156" s="24"/>
      <c r="R156" s="26"/>
      <c r="S156" s="14">
        <f t="shared" si="13"/>
        <v>2.202013813</v>
      </c>
      <c r="U156" s="21"/>
      <c r="V156" s="21"/>
    </row>
    <row r="157">
      <c r="A157" s="11">
        <v>145.0</v>
      </c>
      <c r="B157" s="11">
        <v>1.42002608695652E9</v>
      </c>
      <c r="C157" s="2">
        <v>-102.5324478</v>
      </c>
      <c r="D157" s="24">
        <f t="shared" si="1"/>
        <v>-373913.0435</v>
      </c>
      <c r="E157" s="25">
        <f t="shared" si="2"/>
        <v>78.05517123</v>
      </c>
      <c r="F157" s="24">
        <f t="shared" si="3"/>
        <v>0.0002087522021</v>
      </c>
      <c r="G157" s="24">
        <f t="shared" si="4"/>
        <v>0</v>
      </c>
      <c r="H157" s="26">
        <f t="shared" si="5"/>
        <v>0</v>
      </c>
      <c r="I157" s="24">
        <f t="shared" si="6"/>
        <v>0</v>
      </c>
      <c r="J157" s="24">
        <f t="shared" si="7"/>
        <v>0</v>
      </c>
      <c r="K157" s="24"/>
      <c r="L157" s="24">
        <f t="shared" si="8"/>
        <v>424.4840609</v>
      </c>
      <c r="M157" s="14">
        <f t="shared" si="9"/>
        <v>419.7621461</v>
      </c>
      <c r="N157" s="27">
        <f t="shared" si="10"/>
        <v>4.72191473</v>
      </c>
      <c r="O157" s="24"/>
      <c r="P157" s="24"/>
      <c r="Q157" s="24"/>
      <c r="R157" s="26"/>
      <c r="S157" s="14">
        <f t="shared" si="13"/>
        <v>4.336116036</v>
      </c>
      <c r="U157" s="21"/>
      <c r="V157" s="21"/>
    </row>
    <row r="158">
      <c r="A158" s="11">
        <v>146.0</v>
      </c>
      <c r="B158" s="11">
        <v>1.4200304347826E9</v>
      </c>
      <c r="C158" s="2">
        <v>-102.4871826</v>
      </c>
      <c r="D158" s="24">
        <f t="shared" si="1"/>
        <v>-369565.2174</v>
      </c>
      <c r="E158" s="25">
        <f t="shared" si="2"/>
        <v>77.1368751</v>
      </c>
      <c r="F158" s="24">
        <f t="shared" si="3"/>
        <v>0.0002087233091</v>
      </c>
      <c r="G158" s="24">
        <f t="shared" si="4"/>
        <v>0</v>
      </c>
      <c r="H158" s="26">
        <f t="shared" si="5"/>
        <v>0</v>
      </c>
      <c r="I158" s="24">
        <f t="shared" si="6"/>
        <v>0</v>
      </c>
      <c r="J158" s="24">
        <f t="shared" si="7"/>
        <v>0</v>
      </c>
      <c r="K158" s="24"/>
      <c r="L158" s="24">
        <f t="shared" si="8"/>
        <v>428.9314665</v>
      </c>
      <c r="M158" s="14">
        <f t="shared" si="9"/>
        <v>419.6709556</v>
      </c>
      <c r="N158" s="27">
        <f t="shared" si="10"/>
        <v>9.260510933</v>
      </c>
      <c r="O158" s="24"/>
      <c r="P158" s="24"/>
      <c r="Q158" s="24"/>
      <c r="R158" s="26"/>
      <c r="S158" s="14">
        <f t="shared" si="13"/>
        <v>8.503891377</v>
      </c>
      <c r="U158" s="21"/>
      <c r="V158" s="21"/>
    </row>
    <row r="159">
      <c r="A159" s="11">
        <v>147.0</v>
      </c>
      <c r="B159" s="11">
        <v>1.42003478260869E9</v>
      </c>
      <c r="C159" s="2">
        <v>-102.5433044</v>
      </c>
      <c r="D159" s="24">
        <f t="shared" si="1"/>
        <v>-365217.3913</v>
      </c>
      <c r="E159" s="25">
        <f t="shared" si="2"/>
        <v>76.21857897</v>
      </c>
      <c r="F159" s="24">
        <f t="shared" si="3"/>
        <v>0.0002086937281</v>
      </c>
      <c r="G159" s="24">
        <f t="shared" si="4"/>
        <v>0</v>
      </c>
      <c r="H159" s="26">
        <f t="shared" si="5"/>
        <v>0</v>
      </c>
      <c r="I159" s="24">
        <f t="shared" si="6"/>
        <v>0</v>
      </c>
      <c r="J159" s="24">
        <f t="shared" si="7"/>
        <v>0</v>
      </c>
      <c r="K159" s="24"/>
      <c r="L159" s="24">
        <f t="shared" si="8"/>
        <v>423.4242504</v>
      </c>
      <c r="M159" s="14">
        <f t="shared" si="9"/>
        <v>419.5798349</v>
      </c>
      <c r="N159" s="27">
        <f t="shared" si="10"/>
        <v>3.844415474</v>
      </c>
      <c r="O159" s="24"/>
      <c r="P159" s="24"/>
      <c r="Q159" s="24"/>
      <c r="R159" s="26"/>
      <c r="S159" s="14">
        <f t="shared" si="13"/>
        <v>3.530311862</v>
      </c>
      <c r="U159" s="21"/>
      <c r="V159" s="21"/>
    </row>
    <row r="160">
      <c r="A160" s="11">
        <v>148.0</v>
      </c>
      <c r="B160" s="11">
        <v>1.42003913043478E9</v>
      </c>
      <c r="C160" s="2">
        <v>-102.4556122</v>
      </c>
      <c r="D160" s="24">
        <f t="shared" si="1"/>
        <v>-360869.5652</v>
      </c>
      <c r="E160" s="25">
        <f t="shared" si="2"/>
        <v>75.30028284</v>
      </c>
      <c r="F160" s="24">
        <f t="shared" si="3"/>
        <v>0.0002086634344</v>
      </c>
      <c r="G160" s="24">
        <f t="shared" si="4"/>
        <v>0</v>
      </c>
      <c r="H160" s="26">
        <f t="shared" si="5"/>
        <v>0</v>
      </c>
      <c r="I160" s="24">
        <f t="shared" si="6"/>
        <v>0</v>
      </c>
      <c r="J160" s="24">
        <f t="shared" si="7"/>
        <v>0</v>
      </c>
      <c r="K160" s="24"/>
      <c r="L160" s="24">
        <f t="shared" si="8"/>
        <v>432.0608815</v>
      </c>
      <c r="M160" s="14">
        <f t="shared" si="9"/>
        <v>419.4887841</v>
      </c>
      <c r="N160" s="27">
        <f t="shared" si="10"/>
        <v>12.57209737</v>
      </c>
      <c r="O160" s="24"/>
      <c r="P160" s="24"/>
      <c r="Q160" s="24"/>
      <c r="R160" s="26"/>
      <c r="S160" s="14">
        <f t="shared" si="13"/>
        <v>11.54490837</v>
      </c>
      <c r="U160" s="21"/>
      <c r="V160" s="21"/>
    </row>
    <row r="161">
      <c r="A161" s="11">
        <v>149.0</v>
      </c>
      <c r="B161" s="11">
        <v>1.42004347826087E9</v>
      </c>
      <c r="C161" s="2">
        <v>-102.4850845</v>
      </c>
      <c r="D161" s="24">
        <f t="shared" si="1"/>
        <v>-356521.7391</v>
      </c>
      <c r="E161" s="25">
        <f t="shared" si="2"/>
        <v>74.3819867</v>
      </c>
      <c r="F161" s="24">
        <f t="shared" si="3"/>
        <v>0.0002086324017</v>
      </c>
      <c r="G161" s="24">
        <f t="shared" si="4"/>
        <v>0</v>
      </c>
      <c r="H161" s="26">
        <f t="shared" si="5"/>
        <v>0</v>
      </c>
      <c r="I161" s="24">
        <f t="shared" si="6"/>
        <v>0</v>
      </c>
      <c r="J161" s="24">
        <f t="shared" si="7"/>
        <v>0</v>
      </c>
      <c r="K161" s="24"/>
      <c r="L161" s="24">
        <f t="shared" si="8"/>
        <v>429.1387357</v>
      </c>
      <c r="M161" s="14">
        <f t="shared" si="9"/>
        <v>419.3978032</v>
      </c>
      <c r="N161" s="27">
        <f t="shared" si="10"/>
        <v>9.740932522</v>
      </c>
      <c r="O161" s="24"/>
      <c r="P161" s="24"/>
      <c r="Q161" s="24"/>
      <c r="R161" s="26"/>
      <c r="S161" s="14">
        <f t="shared" si="13"/>
        <v>8.945060664</v>
      </c>
      <c r="U161" s="21"/>
      <c r="V161" s="21"/>
    </row>
    <row r="162">
      <c r="A162" s="11">
        <v>150.0</v>
      </c>
      <c r="B162" s="11">
        <v>1.42004782608695E9</v>
      </c>
      <c r="C162" s="2">
        <v>-102.4797668</v>
      </c>
      <c r="D162" s="24">
        <f t="shared" si="1"/>
        <v>-352173.913</v>
      </c>
      <c r="E162" s="25">
        <f t="shared" si="2"/>
        <v>73.46369057</v>
      </c>
      <c r="F162" s="24">
        <f t="shared" si="3"/>
        <v>0.0002086006029</v>
      </c>
      <c r="G162" s="24">
        <f t="shared" si="4"/>
        <v>0</v>
      </c>
      <c r="H162" s="26">
        <f t="shared" si="5"/>
        <v>0</v>
      </c>
      <c r="I162" s="24">
        <f t="shared" si="6"/>
        <v>0</v>
      </c>
      <c r="J162" s="24">
        <f t="shared" si="7"/>
        <v>0</v>
      </c>
      <c r="K162" s="24"/>
      <c r="L162" s="24">
        <f t="shared" si="8"/>
        <v>429.6645146</v>
      </c>
      <c r="M162" s="14">
        <f t="shared" si="9"/>
        <v>419.306892</v>
      </c>
      <c r="N162" s="27">
        <f t="shared" si="10"/>
        <v>10.35762257</v>
      </c>
      <c r="O162" s="24"/>
      <c r="P162" s="24"/>
      <c r="Q162" s="24"/>
      <c r="R162" s="26"/>
      <c r="S162" s="14">
        <f t="shared" si="13"/>
        <v>9.51136475</v>
      </c>
      <c r="U162" s="21"/>
      <c r="V162" s="21"/>
    </row>
    <row r="163">
      <c r="A163" s="11">
        <v>151.0</v>
      </c>
      <c r="B163" s="11">
        <v>1.42005217391304E9</v>
      </c>
      <c r="C163" s="2">
        <v>-102.50103</v>
      </c>
      <c r="D163" s="24">
        <f t="shared" si="1"/>
        <v>-347826.087</v>
      </c>
      <c r="E163" s="25">
        <f t="shared" si="2"/>
        <v>72.54539444</v>
      </c>
      <c r="F163" s="24">
        <f t="shared" si="3"/>
        <v>0.000208568009</v>
      </c>
      <c r="G163" s="24">
        <f t="shared" si="4"/>
        <v>0</v>
      </c>
      <c r="H163" s="26">
        <f t="shared" si="5"/>
        <v>0</v>
      </c>
      <c r="I163" s="24">
        <f t="shared" si="6"/>
        <v>0</v>
      </c>
      <c r="J163" s="24">
        <f t="shared" si="7"/>
        <v>0</v>
      </c>
      <c r="K163" s="24"/>
      <c r="L163" s="24">
        <f t="shared" si="8"/>
        <v>427.5660044</v>
      </c>
      <c r="M163" s="14">
        <f t="shared" si="9"/>
        <v>419.2160507</v>
      </c>
      <c r="N163" s="27">
        <f t="shared" si="10"/>
        <v>8.349953772</v>
      </c>
      <c r="O163" s="24"/>
      <c r="P163" s="24"/>
      <c r="Q163" s="24"/>
      <c r="R163" s="26"/>
      <c r="S163" s="14">
        <f t="shared" si="13"/>
        <v>7.66773024</v>
      </c>
      <c r="U163" s="21"/>
      <c r="V163" s="21"/>
    </row>
    <row r="164">
      <c r="A164" s="11">
        <v>152.0</v>
      </c>
      <c r="B164" s="11">
        <v>1.42005652173913E9</v>
      </c>
      <c r="C164" s="2">
        <v>-102.4401016</v>
      </c>
      <c r="D164" s="24">
        <f t="shared" si="1"/>
        <v>-343478.2609</v>
      </c>
      <c r="E164" s="25">
        <f t="shared" si="2"/>
        <v>71.62709831</v>
      </c>
      <c r="F164" s="24">
        <f t="shared" si="3"/>
        <v>0.00020853459</v>
      </c>
      <c r="G164" s="24">
        <f t="shared" si="4"/>
        <v>0</v>
      </c>
      <c r="H164" s="26">
        <f t="shared" si="5"/>
        <v>0</v>
      </c>
      <c r="I164" s="24">
        <f t="shared" si="6"/>
        <v>0</v>
      </c>
      <c r="J164" s="24">
        <f t="shared" si="7"/>
        <v>0</v>
      </c>
      <c r="K164" s="24"/>
      <c r="L164" s="24">
        <f t="shared" si="8"/>
        <v>433.6067231</v>
      </c>
      <c r="M164" s="14">
        <f t="shared" si="9"/>
        <v>419.1252791</v>
      </c>
      <c r="N164" s="27">
        <f t="shared" si="10"/>
        <v>14.48144403</v>
      </c>
      <c r="O164" s="24"/>
      <c r="P164" s="24"/>
      <c r="Q164" s="24"/>
      <c r="R164" s="26"/>
      <c r="S164" s="14">
        <f t="shared" si="13"/>
        <v>13.29825405</v>
      </c>
      <c r="U164" s="21"/>
      <c r="V164" s="21"/>
    </row>
    <row r="165">
      <c r="A165" s="11">
        <v>153.0</v>
      </c>
      <c r="B165" s="11">
        <v>1.42006086956521E9</v>
      </c>
      <c r="C165" s="2">
        <v>-102.4376907</v>
      </c>
      <c r="D165" s="24">
        <f t="shared" si="1"/>
        <v>-339130.4348</v>
      </c>
      <c r="E165" s="25">
        <f t="shared" si="2"/>
        <v>70.70880218</v>
      </c>
      <c r="F165" s="24">
        <f t="shared" si="3"/>
        <v>0.0002085003141</v>
      </c>
      <c r="G165" s="24">
        <f t="shared" si="4"/>
        <v>0</v>
      </c>
      <c r="H165" s="26">
        <f t="shared" si="5"/>
        <v>0</v>
      </c>
      <c r="I165" s="24">
        <f t="shared" si="6"/>
        <v>0</v>
      </c>
      <c r="J165" s="24">
        <f t="shared" si="7"/>
        <v>0</v>
      </c>
      <c r="K165" s="24"/>
      <c r="L165" s="24">
        <f t="shared" si="8"/>
        <v>433.8474982</v>
      </c>
      <c r="M165" s="14">
        <f t="shared" si="9"/>
        <v>419.0345773</v>
      </c>
      <c r="N165" s="27">
        <f t="shared" si="10"/>
        <v>14.81292087</v>
      </c>
      <c r="O165" s="24"/>
      <c r="P165" s="24"/>
      <c r="Q165" s="24"/>
      <c r="R165" s="26"/>
      <c r="S165" s="14">
        <f t="shared" si="13"/>
        <v>13.60264795</v>
      </c>
      <c r="U165" s="21"/>
      <c r="V165" s="21"/>
    </row>
    <row r="166">
      <c r="A166" s="11">
        <v>154.0</v>
      </c>
      <c r="B166" s="11">
        <v>1.4200652173913E9</v>
      </c>
      <c r="C166" s="2">
        <v>-102.401268</v>
      </c>
      <c r="D166" s="24">
        <f t="shared" si="1"/>
        <v>-334782.6087</v>
      </c>
      <c r="E166" s="25">
        <f t="shared" si="2"/>
        <v>69.79050604</v>
      </c>
      <c r="F166" s="24">
        <f t="shared" si="3"/>
        <v>0.0002084651479</v>
      </c>
      <c r="G166" s="24">
        <f t="shared" si="4"/>
        <v>0</v>
      </c>
      <c r="H166" s="26">
        <f t="shared" si="5"/>
        <v>0</v>
      </c>
      <c r="I166" s="24">
        <f t="shared" si="6"/>
        <v>0</v>
      </c>
      <c r="J166" s="24">
        <f t="shared" si="7"/>
        <v>0</v>
      </c>
      <c r="K166" s="24"/>
      <c r="L166" s="24">
        <f t="shared" si="8"/>
        <v>437.5013197</v>
      </c>
      <c r="M166" s="14">
        <f t="shared" si="9"/>
        <v>418.9439452</v>
      </c>
      <c r="N166" s="27">
        <f t="shared" si="10"/>
        <v>18.55737448</v>
      </c>
      <c r="O166" s="24"/>
      <c r="P166" s="24"/>
      <c r="Q166" s="24"/>
      <c r="R166" s="26"/>
      <c r="S166" s="14">
        <f t="shared" si="13"/>
        <v>17.04116518</v>
      </c>
      <c r="U166" s="21"/>
      <c r="V166" s="21"/>
    </row>
    <row r="167">
      <c r="A167" s="11">
        <v>155.0</v>
      </c>
      <c r="B167" s="11">
        <v>1.42006956521739E9</v>
      </c>
      <c r="C167" s="2">
        <v>-102.4154205</v>
      </c>
      <c r="D167" s="24">
        <f t="shared" si="1"/>
        <v>-330434.7826</v>
      </c>
      <c r="E167" s="25">
        <f t="shared" si="2"/>
        <v>68.87220991</v>
      </c>
      <c r="F167" s="24">
        <f t="shared" si="3"/>
        <v>0.0002084290563</v>
      </c>
      <c r="G167" s="24">
        <f t="shared" si="4"/>
        <v>0</v>
      </c>
      <c r="H167" s="26">
        <f t="shared" si="5"/>
        <v>0</v>
      </c>
      <c r="I167" s="24">
        <f t="shared" si="6"/>
        <v>0</v>
      </c>
      <c r="J167" s="24">
        <f t="shared" si="7"/>
        <v>0</v>
      </c>
      <c r="K167" s="24"/>
      <c r="L167" s="24">
        <f t="shared" si="8"/>
        <v>436.0779399</v>
      </c>
      <c r="M167" s="14">
        <f t="shared" si="9"/>
        <v>418.8533829</v>
      </c>
      <c r="N167" s="27">
        <f t="shared" si="10"/>
        <v>17.22455706</v>
      </c>
      <c r="O167" s="24"/>
      <c r="P167" s="24"/>
      <c r="Q167" s="24"/>
      <c r="R167" s="26"/>
      <c r="S167" s="14">
        <f t="shared" si="13"/>
        <v>15.81724414</v>
      </c>
      <c r="U167" s="21"/>
      <c r="V167" s="21"/>
    </row>
    <row r="168">
      <c r="A168" s="11">
        <v>156.0</v>
      </c>
      <c r="B168" s="11">
        <v>1.42007391304347E9</v>
      </c>
      <c r="C168" s="2">
        <v>-102.3914108</v>
      </c>
      <c r="D168" s="24">
        <f t="shared" si="1"/>
        <v>-326086.9565</v>
      </c>
      <c r="E168" s="25">
        <f t="shared" si="2"/>
        <v>67.95391378</v>
      </c>
      <c r="F168" s="24">
        <f t="shared" si="3"/>
        <v>0.0002083920023</v>
      </c>
      <c r="G168" s="24">
        <f t="shared" si="4"/>
        <v>0</v>
      </c>
      <c r="H168" s="26">
        <f t="shared" si="5"/>
        <v>0</v>
      </c>
      <c r="I168" s="24">
        <f t="shared" si="6"/>
        <v>0</v>
      </c>
      <c r="J168" s="24">
        <f t="shared" si="7"/>
        <v>0</v>
      </c>
      <c r="K168" s="24"/>
      <c r="L168" s="24">
        <f t="shared" si="8"/>
        <v>438.495446</v>
      </c>
      <c r="M168" s="14">
        <f t="shared" si="9"/>
        <v>418.7628902</v>
      </c>
      <c r="N168" s="27">
        <f t="shared" si="10"/>
        <v>19.73255581</v>
      </c>
      <c r="O168" s="24"/>
      <c r="P168" s="24"/>
      <c r="Q168" s="24"/>
      <c r="R168" s="26"/>
      <c r="S168" s="14">
        <f t="shared" si="13"/>
        <v>18.12032969</v>
      </c>
      <c r="U168" s="21"/>
      <c r="V168" s="21"/>
    </row>
    <row r="169">
      <c r="A169" s="11">
        <v>157.0</v>
      </c>
      <c r="B169" s="11">
        <v>1.42007826086956E9</v>
      </c>
      <c r="C169" s="2">
        <v>-102.4924011</v>
      </c>
      <c r="D169" s="24">
        <f t="shared" si="1"/>
        <v>-321739.1304</v>
      </c>
      <c r="E169" s="25">
        <f t="shared" si="2"/>
        <v>67.03561765</v>
      </c>
      <c r="F169" s="24">
        <f t="shared" si="3"/>
        <v>0.0002083539467</v>
      </c>
      <c r="G169" s="24">
        <f t="shared" si="4"/>
        <v>0</v>
      </c>
      <c r="H169" s="26">
        <f t="shared" si="5"/>
        <v>0</v>
      </c>
      <c r="I169" s="24">
        <f t="shared" si="6"/>
        <v>0</v>
      </c>
      <c r="J169" s="24">
        <f t="shared" si="7"/>
        <v>0</v>
      </c>
      <c r="K169" s="24"/>
      <c r="L169" s="24">
        <f t="shared" si="8"/>
        <v>428.4163703</v>
      </c>
      <c r="M169" s="14">
        <f t="shared" si="9"/>
        <v>418.6724673</v>
      </c>
      <c r="N169" s="27">
        <f t="shared" si="10"/>
        <v>9.743903039</v>
      </c>
      <c r="O169" s="24"/>
      <c r="P169" s="24"/>
      <c r="Q169" s="24"/>
      <c r="R169" s="26"/>
      <c r="S169" s="14">
        <f t="shared" si="13"/>
        <v>8.947788458</v>
      </c>
      <c r="U169" s="21"/>
      <c r="V169" s="21"/>
    </row>
    <row r="170">
      <c r="A170" s="11">
        <v>158.0</v>
      </c>
      <c r="B170" s="11">
        <v>1.42008260869565E9</v>
      </c>
      <c r="C170" s="2">
        <v>-102.4003296</v>
      </c>
      <c r="D170" s="24">
        <f t="shared" si="1"/>
        <v>-317391.3043</v>
      </c>
      <c r="E170" s="25">
        <f t="shared" si="2"/>
        <v>66.11732152</v>
      </c>
      <c r="F170" s="24">
        <f t="shared" si="3"/>
        <v>0.0002083148486</v>
      </c>
      <c r="G170" s="24">
        <f t="shared" si="4"/>
        <v>0</v>
      </c>
      <c r="H170" s="26">
        <f t="shared" si="5"/>
        <v>0</v>
      </c>
      <c r="I170" s="24">
        <f t="shared" si="6"/>
        <v>0</v>
      </c>
      <c r="J170" s="24">
        <f t="shared" si="7"/>
        <v>0</v>
      </c>
      <c r="K170" s="24"/>
      <c r="L170" s="24">
        <f t="shared" si="8"/>
        <v>437.5958628</v>
      </c>
      <c r="M170" s="14">
        <f t="shared" si="9"/>
        <v>418.582114</v>
      </c>
      <c r="N170" s="27">
        <f t="shared" si="10"/>
        <v>19.01374887</v>
      </c>
      <c r="O170" s="24"/>
      <c r="P170" s="24"/>
      <c r="Q170" s="24"/>
      <c r="R170" s="26"/>
      <c r="S170" s="14">
        <f t="shared" si="13"/>
        <v>17.46025206</v>
      </c>
      <c r="U170" s="21"/>
      <c r="V170" s="21"/>
    </row>
    <row r="171">
      <c r="A171" s="11">
        <v>159.0</v>
      </c>
      <c r="B171" s="11">
        <v>1.42008695652173E9</v>
      </c>
      <c r="C171" s="2">
        <v>-102.4549637</v>
      </c>
      <c r="D171" s="24">
        <f t="shared" si="1"/>
        <v>-313043.4783</v>
      </c>
      <c r="E171" s="25">
        <f t="shared" si="2"/>
        <v>65.19902538</v>
      </c>
      <c r="F171" s="24">
        <f t="shared" si="3"/>
        <v>0.0002082746644</v>
      </c>
      <c r="G171" s="24">
        <f t="shared" si="4"/>
        <v>0</v>
      </c>
      <c r="H171" s="26">
        <f t="shared" si="5"/>
        <v>0</v>
      </c>
      <c r="I171" s="24">
        <f t="shared" si="6"/>
        <v>0</v>
      </c>
      <c r="J171" s="24">
        <f t="shared" si="7"/>
        <v>0</v>
      </c>
      <c r="K171" s="24"/>
      <c r="L171" s="24">
        <f t="shared" si="8"/>
        <v>432.1254028</v>
      </c>
      <c r="M171" s="14">
        <f t="shared" si="9"/>
        <v>418.4918303</v>
      </c>
      <c r="N171" s="27">
        <f t="shared" si="10"/>
        <v>13.63357251</v>
      </c>
      <c r="O171" s="24"/>
      <c r="P171" s="24"/>
      <c r="Q171" s="24"/>
      <c r="R171" s="26"/>
      <c r="S171" s="14">
        <f t="shared" si="13"/>
        <v>12.51965691</v>
      </c>
      <c r="U171" s="21"/>
      <c r="V171" s="21"/>
    </row>
    <row r="172">
      <c r="A172" s="11">
        <v>160.0</v>
      </c>
      <c r="B172" s="11">
        <v>1.42009130434782E9</v>
      </c>
      <c r="C172" s="2">
        <v>-102.3986435</v>
      </c>
      <c r="D172" s="24">
        <f t="shared" si="1"/>
        <v>-308695.6522</v>
      </c>
      <c r="E172" s="25">
        <f t="shared" si="2"/>
        <v>64.28072925</v>
      </c>
      <c r="F172" s="24">
        <f t="shared" si="3"/>
        <v>0.0002082333483</v>
      </c>
      <c r="G172" s="24">
        <f t="shared" si="4"/>
        <v>0</v>
      </c>
      <c r="H172" s="26">
        <f t="shared" si="5"/>
        <v>0</v>
      </c>
      <c r="I172" s="24">
        <f t="shared" si="6"/>
        <v>0</v>
      </c>
      <c r="J172" s="24">
        <f t="shared" si="7"/>
        <v>0</v>
      </c>
      <c r="K172" s="24"/>
      <c r="L172" s="24">
        <f t="shared" si="8"/>
        <v>437.7657875</v>
      </c>
      <c r="M172" s="14">
        <f t="shared" si="9"/>
        <v>418.4016163</v>
      </c>
      <c r="N172" s="27">
        <f t="shared" si="10"/>
        <v>19.36417126</v>
      </c>
      <c r="O172" s="24"/>
      <c r="P172" s="24"/>
      <c r="Q172" s="24"/>
      <c r="R172" s="26"/>
      <c r="S172" s="14">
        <f t="shared" si="13"/>
        <v>17.78204358</v>
      </c>
      <c r="U172" s="21"/>
      <c r="V172" s="21"/>
    </row>
    <row r="173">
      <c r="A173" s="11">
        <v>161.0</v>
      </c>
      <c r="B173" s="11">
        <v>1.42009565217391E9</v>
      </c>
      <c r="C173" s="2">
        <v>-102.4343033</v>
      </c>
      <c r="D173" s="24">
        <f t="shared" si="1"/>
        <v>-304347.8261</v>
      </c>
      <c r="E173" s="25">
        <f t="shared" si="2"/>
        <v>63.36243312</v>
      </c>
      <c r="F173" s="24">
        <f t="shared" si="3"/>
        <v>0.0002081908517</v>
      </c>
      <c r="G173" s="24">
        <f t="shared" si="4"/>
        <v>0</v>
      </c>
      <c r="H173" s="26">
        <f t="shared" si="5"/>
        <v>0</v>
      </c>
      <c r="I173" s="24">
        <f t="shared" si="6"/>
        <v>0</v>
      </c>
      <c r="J173" s="24">
        <f t="shared" si="7"/>
        <v>0</v>
      </c>
      <c r="K173" s="24"/>
      <c r="L173" s="24">
        <f t="shared" si="8"/>
        <v>434.1860215</v>
      </c>
      <c r="M173" s="14">
        <f t="shared" si="9"/>
        <v>418.3114719</v>
      </c>
      <c r="N173" s="27">
        <f t="shared" si="10"/>
        <v>15.87454968</v>
      </c>
      <c r="O173" s="24"/>
      <c r="P173" s="24"/>
      <c r="Q173" s="24"/>
      <c r="R173" s="26"/>
      <c r="S173" s="14">
        <f t="shared" si="13"/>
        <v>14.57753754</v>
      </c>
      <c r="U173" s="21"/>
      <c r="V173" s="21"/>
    </row>
    <row r="174">
      <c r="A174" s="11">
        <v>162.0</v>
      </c>
      <c r="B174" s="11">
        <v>1.4201E9</v>
      </c>
      <c r="C174" s="2">
        <v>-102.3853149</v>
      </c>
      <c r="D174" s="24">
        <f t="shared" si="1"/>
        <v>-300000</v>
      </c>
      <c r="E174" s="25">
        <f t="shared" si="2"/>
        <v>62.44413699</v>
      </c>
      <c r="F174" s="24">
        <f t="shared" si="3"/>
        <v>0.0002081471233</v>
      </c>
      <c r="G174" s="24">
        <f t="shared" si="4"/>
        <v>0</v>
      </c>
      <c r="H174" s="26">
        <f t="shared" si="5"/>
        <v>0</v>
      </c>
      <c r="I174" s="24">
        <f t="shared" si="6"/>
        <v>0</v>
      </c>
      <c r="J174" s="24">
        <f t="shared" si="7"/>
        <v>0</v>
      </c>
      <c r="K174" s="24"/>
      <c r="L174" s="24">
        <f t="shared" si="8"/>
        <v>439.1113648</v>
      </c>
      <c r="M174" s="14">
        <f t="shared" si="9"/>
        <v>418.221397</v>
      </c>
      <c r="N174" s="27">
        <f t="shared" si="10"/>
        <v>20.88996778</v>
      </c>
      <c r="O174" s="24"/>
      <c r="P174" s="24"/>
      <c r="Q174" s="24"/>
      <c r="R174" s="26"/>
      <c r="S174" s="14">
        <f t="shared" si="13"/>
        <v>19.18317662</v>
      </c>
      <c r="U174" s="21"/>
      <c r="V174" s="21"/>
    </row>
    <row r="175">
      <c r="A175" s="11">
        <v>163.0</v>
      </c>
      <c r="B175" s="11">
        <v>1.42010434782608E9</v>
      </c>
      <c r="C175" s="2">
        <v>-102.4141617</v>
      </c>
      <c r="D175" s="24">
        <f t="shared" si="1"/>
        <v>-295652.1739</v>
      </c>
      <c r="E175" s="25">
        <f t="shared" si="2"/>
        <v>61.52584085</v>
      </c>
      <c r="F175" s="24">
        <f t="shared" si="3"/>
        <v>0.0002081021088</v>
      </c>
      <c r="G175" s="24">
        <f t="shared" si="4"/>
        <v>0</v>
      </c>
      <c r="H175" s="26">
        <f t="shared" si="5"/>
        <v>0</v>
      </c>
      <c r="I175" s="24">
        <f t="shared" si="6"/>
        <v>0</v>
      </c>
      <c r="J175" s="24">
        <f t="shared" si="7"/>
        <v>0</v>
      </c>
      <c r="K175" s="24"/>
      <c r="L175" s="24">
        <f t="shared" si="8"/>
        <v>436.2043552</v>
      </c>
      <c r="M175" s="14">
        <f t="shared" si="9"/>
        <v>418.1313918</v>
      </c>
      <c r="N175" s="27">
        <f t="shared" si="10"/>
        <v>18.07296343</v>
      </c>
      <c r="O175" s="24"/>
      <c r="P175" s="24"/>
      <c r="Q175" s="24"/>
      <c r="R175" s="26"/>
      <c r="S175" s="14">
        <f t="shared" si="13"/>
        <v>16.59633242</v>
      </c>
      <c r="U175" s="21"/>
      <c r="V175" s="21"/>
    </row>
    <row r="176">
      <c r="A176" s="11">
        <v>164.0</v>
      </c>
      <c r="B176" s="11">
        <v>1.42010869565217E9</v>
      </c>
      <c r="C176" s="2">
        <v>-102.3961487</v>
      </c>
      <c r="D176" s="24">
        <f t="shared" si="1"/>
        <v>-291304.3478</v>
      </c>
      <c r="E176" s="25">
        <f t="shared" si="2"/>
        <v>60.60754472</v>
      </c>
      <c r="F176" s="24">
        <f t="shared" si="3"/>
        <v>0.0002080557505</v>
      </c>
      <c r="G176" s="24">
        <f t="shared" si="4"/>
        <v>0</v>
      </c>
      <c r="H176" s="26">
        <f t="shared" si="5"/>
        <v>0</v>
      </c>
      <c r="I176" s="24">
        <f t="shared" si="6"/>
        <v>0</v>
      </c>
      <c r="J176" s="24">
        <f t="shared" si="7"/>
        <v>0</v>
      </c>
      <c r="K176" s="24"/>
      <c r="L176" s="24">
        <f t="shared" si="8"/>
        <v>438.0173339</v>
      </c>
      <c r="M176" s="14">
        <f t="shared" si="9"/>
        <v>418.041456</v>
      </c>
      <c r="N176" s="27">
        <f t="shared" si="10"/>
        <v>19.97587782</v>
      </c>
      <c r="O176" s="24"/>
      <c r="P176" s="24"/>
      <c r="Q176" s="24"/>
      <c r="R176" s="26"/>
      <c r="S176" s="14">
        <f t="shared" si="13"/>
        <v>18.3437713</v>
      </c>
      <c r="U176" s="21"/>
      <c r="V176" s="21"/>
    </row>
    <row r="177">
      <c r="A177" s="11">
        <v>165.0</v>
      </c>
      <c r="B177" s="11">
        <v>1.42011304347826E9</v>
      </c>
      <c r="C177" s="2">
        <v>-102.4003906</v>
      </c>
      <c r="D177" s="24">
        <f t="shared" si="1"/>
        <v>-286956.5217</v>
      </c>
      <c r="E177" s="25">
        <f t="shared" si="2"/>
        <v>59.68924859</v>
      </c>
      <c r="F177" s="24">
        <f t="shared" si="3"/>
        <v>0.0002080079875</v>
      </c>
      <c r="G177" s="24">
        <f t="shared" si="4"/>
        <v>0</v>
      </c>
      <c r="H177" s="26">
        <f t="shared" si="5"/>
        <v>0</v>
      </c>
      <c r="I177" s="24">
        <f t="shared" si="6"/>
        <v>0</v>
      </c>
      <c r="J177" s="24">
        <f t="shared" si="7"/>
        <v>0</v>
      </c>
      <c r="K177" s="24"/>
      <c r="L177" s="24">
        <f t="shared" si="8"/>
        <v>437.5897165</v>
      </c>
      <c r="M177" s="14">
        <f t="shared" si="9"/>
        <v>417.9515899</v>
      </c>
      <c r="N177" s="27">
        <f t="shared" si="10"/>
        <v>19.63812663</v>
      </c>
      <c r="O177" s="24"/>
      <c r="P177" s="24"/>
      <c r="Q177" s="24"/>
      <c r="R177" s="26"/>
      <c r="S177" s="14">
        <f t="shared" si="13"/>
        <v>18.03361574</v>
      </c>
      <c r="U177" s="21"/>
      <c r="V177" s="21"/>
    </row>
    <row r="178">
      <c r="A178" s="11">
        <v>166.0</v>
      </c>
      <c r="B178" s="11">
        <v>1.42011739130434E9</v>
      </c>
      <c r="C178" s="2">
        <v>-102.3397675</v>
      </c>
      <c r="D178" s="24">
        <f t="shared" si="1"/>
        <v>-282608.6957</v>
      </c>
      <c r="E178" s="25">
        <f t="shared" si="2"/>
        <v>58.77095246</v>
      </c>
      <c r="F178" s="24">
        <f t="shared" si="3"/>
        <v>0.0002079587548</v>
      </c>
      <c r="G178" s="24">
        <f t="shared" si="4"/>
        <v>0</v>
      </c>
      <c r="H178" s="26">
        <f t="shared" si="5"/>
        <v>0</v>
      </c>
      <c r="I178" s="24">
        <f t="shared" si="6"/>
        <v>0</v>
      </c>
      <c r="J178" s="24">
        <f t="shared" si="7"/>
        <v>0</v>
      </c>
      <c r="K178" s="24"/>
      <c r="L178" s="24">
        <f t="shared" si="8"/>
        <v>443.7408566</v>
      </c>
      <c r="M178" s="14">
        <f t="shared" si="9"/>
        <v>417.8617932</v>
      </c>
      <c r="N178" s="27">
        <f t="shared" si="10"/>
        <v>25.87906338</v>
      </c>
      <c r="O178" s="24"/>
      <c r="P178" s="24"/>
      <c r="Q178" s="24"/>
      <c r="R178" s="26"/>
      <c r="S178" s="14">
        <f t="shared" si="13"/>
        <v>23.76464383</v>
      </c>
      <c r="U178" s="21"/>
      <c r="V178" s="21"/>
    </row>
    <row r="179">
      <c r="A179" s="11">
        <v>167.0</v>
      </c>
      <c r="B179" s="11">
        <v>1.42012173913043E9</v>
      </c>
      <c r="C179" s="2">
        <v>-102.3792114</v>
      </c>
      <c r="D179" s="24">
        <f t="shared" si="1"/>
        <v>-278260.8696</v>
      </c>
      <c r="E179" s="25">
        <f t="shared" si="2"/>
        <v>57.85265632</v>
      </c>
      <c r="F179" s="24">
        <f t="shared" si="3"/>
        <v>0.0002079079837</v>
      </c>
      <c r="G179" s="24">
        <f t="shared" si="4"/>
        <v>0</v>
      </c>
      <c r="H179" s="26">
        <f t="shared" si="5"/>
        <v>0</v>
      </c>
      <c r="I179" s="24">
        <f t="shared" si="6"/>
        <v>0</v>
      </c>
      <c r="J179" s="24">
        <f t="shared" si="7"/>
        <v>0</v>
      </c>
      <c r="K179" s="24"/>
      <c r="L179" s="24">
        <f t="shared" si="8"/>
        <v>439.7289182</v>
      </c>
      <c r="M179" s="14">
        <f t="shared" si="9"/>
        <v>417.772066</v>
      </c>
      <c r="N179" s="27">
        <f t="shared" si="10"/>
        <v>21.95685219</v>
      </c>
      <c r="O179" s="24"/>
      <c r="P179" s="24"/>
      <c r="Q179" s="24"/>
      <c r="R179" s="26"/>
      <c r="S179" s="14">
        <f t="shared" si="13"/>
        <v>20.16289241</v>
      </c>
      <c r="U179" s="21"/>
      <c r="V179" s="21"/>
    </row>
    <row r="180">
      <c r="A180" s="11">
        <v>168.0</v>
      </c>
      <c r="B180" s="11">
        <v>1.42012608695652E9</v>
      </c>
      <c r="C180" s="2">
        <v>-102.3864212</v>
      </c>
      <c r="D180" s="24">
        <f t="shared" si="1"/>
        <v>-273913.0435</v>
      </c>
      <c r="E180" s="25">
        <f t="shared" si="2"/>
        <v>56.93436019</v>
      </c>
      <c r="F180" s="24">
        <f t="shared" si="3"/>
        <v>0.0002078556007</v>
      </c>
      <c r="G180" s="24">
        <f t="shared" si="4"/>
        <v>0</v>
      </c>
      <c r="H180" s="26">
        <f t="shared" si="5"/>
        <v>0</v>
      </c>
      <c r="I180" s="24">
        <f t="shared" si="6"/>
        <v>0</v>
      </c>
      <c r="J180" s="24">
        <f t="shared" si="7"/>
        <v>0</v>
      </c>
      <c r="K180" s="24"/>
      <c r="L180" s="24">
        <f t="shared" si="8"/>
        <v>438.999522</v>
      </c>
      <c r="M180" s="14">
        <f t="shared" si="9"/>
        <v>417.6824083</v>
      </c>
      <c r="N180" s="27">
        <f t="shared" si="10"/>
        <v>21.3171137</v>
      </c>
      <c r="O180" s="24"/>
      <c r="P180" s="24"/>
      <c r="Q180" s="24"/>
      <c r="R180" s="26"/>
      <c r="S180" s="14">
        <f t="shared" si="13"/>
        <v>19.57542307</v>
      </c>
      <c r="U180" s="21"/>
      <c r="V180" s="21"/>
    </row>
    <row r="181">
      <c r="A181" s="11">
        <v>169.0</v>
      </c>
      <c r="B181" s="11">
        <v>1.4201304347826E9</v>
      </c>
      <c r="C181" s="2">
        <v>-102.3600998</v>
      </c>
      <c r="D181" s="24">
        <f t="shared" si="1"/>
        <v>-269565.2174</v>
      </c>
      <c r="E181" s="25">
        <f t="shared" si="2"/>
        <v>56.01606406</v>
      </c>
      <c r="F181" s="24">
        <f t="shared" si="3"/>
        <v>0.000207801528</v>
      </c>
      <c r="G181" s="24">
        <f t="shared" si="4"/>
        <v>0</v>
      </c>
      <c r="H181" s="26">
        <f t="shared" si="5"/>
        <v>0</v>
      </c>
      <c r="I181" s="24">
        <f t="shared" si="6"/>
        <v>0</v>
      </c>
      <c r="J181" s="24">
        <f t="shared" si="7"/>
        <v>0</v>
      </c>
      <c r="K181" s="24"/>
      <c r="L181" s="24">
        <f t="shared" si="8"/>
        <v>441.668257</v>
      </c>
      <c r="M181" s="14">
        <f t="shared" si="9"/>
        <v>417.5928201</v>
      </c>
      <c r="N181" s="27">
        <f t="shared" si="10"/>
        <v>24.07543697</v>
      </c>
      <c r="O181" s="24"/>
      <c r="P181" s="24"/>
      <c r="Q181" s="24"/>
      <c r="R181" s="26"/>
      <c r="S181" s="14">
        <f t="shared" si="13"/>
        <v>22.10838066</v>
      </c>
      <c r="U181" s="21"/>
      <c r="V181" s="21"/>
    </row>
    <row r="182">
      <c r="A182" s="11">
        <v>170.0</v>
      </c>
      <c r="B182" s="11">
        <v>1.42013478260869E9</v>
      </c>
      <c r="C182" s="2">
        <v>-102.4328461</v>
      </c>
      <c r="D182" s="24">
        <f t="shared" si="1"/>
        <v>-265217.3913</v>
      </c>
      <c r="E182" s="25">
        <f t="shared" si="2"/>
        <v>55.09776793</v>
      </c>
      <c r="F182" s="24">
        <f t="shared" si="3"/>
        <v>0.0002077456823</v>
      </c>
      <c r="G182" s="24">
        <f t="shared" si="4"/>
        <v>0</v>
      </c>
      <c r="H182" s="26">
        <f t="shared" si="5"/>
        <v>0</v>
      </c>
      <c r="I182" s="24">
        <f t="shared" si="6"/>
        <v>0</v>
      </c>
      <c r="J182" s="24">
        <f t="shared" si="7"/>
        <v>0</v>
      </c>
      <c r="K182" s="24"/>
      <c r="L182" s="24">
        <f t="shared" si="8"/>
        <v>434.3317296</v>
      </c>
      <c r="M182" s="14">
        <f t="shared" si="9"/>
        <v>417.5033013</v>
      </c>
      <c r="N182" s="27">
        <f t="shared" si="10"/>
        <v>16.82842832</v>
      </c>
      <c r="O182" s="24"/>
      <c r="P182" s="24"/>
      <c r="Q182" s="24"/>
      <c r="R182" s="26"/>
      <c r="S182" s="14">
        <f t="shared" si="13"/>
        <v>15.45348065</v>
      </c>
      <c r="U182" s="21"/>
      <c r="V182" s="21"/>
    </row>
    <row r="183">
      <c r="A183" s="11">
        <v>171.0</v>
      </c>
      <c r="B183" s="11">
        <v>1.42013913043478E9</v>
      </c>
      <c r="C183" s="2">
        <v>-102.3557129</v>
      </c>
      <c r="D183" s="24">
        <f t="shared" si="1"/>
        <v>-260869.5652</v>
      </c>
      <c r="E183" s="25">
        <f t="shared" si="2"/>
        <v>54.1794718</v>
      </c>
      <c r="F183" s="24">
        <f t="shared" si="3"/>
        <v>0.0002076879752</v>
      </c>
      <c r="G183" s="24">
        <f t="shared" si="4"/>
        <v>0</v>
      </c>
      <c r="H183" s="26">
        <f t="shared" si="5"/>
        <v>0</v>
      </c>
      <c r="I183" s="24">
        <f t="shared" si="6"/>
        <v>0</v>
      </c>
      <c r="J183" s="24">
        <f t="shared" si="7"/>
        <v>0</v>
      </c>
      <c r="K183" s="24"/>
      <c r="L183" s="24">
        <f t="shared" si="8"/>
        <v>442.1146209</v>
      </c>
      <c r="M183" s="14">
        <f t="shared" si="9"/>
        <v>417.4138519</v>
      </c>
      <c r="N183" s="27">
        <f t="shared" si="10"/>
        <v>24.70076898</v>
      </c>
      <c r="O183" s="24"/>
      <c r="P183" s="24"/>
      <c r="Q183" s="24"/>
      <c r="R183" s="26"/>
      <c r="S183" s="14">
        <f t="shared" si="13"/>
        <v>22.68262058</v>
      </c>
      <c r="U183" s="21"/>
      <c r="V183" s="21"/>
    </row>
    <row r="184">
      <c r="A184" s="11">
        <v>172.0</v>
      </c>
      <c r="B184" s="11">
        <v>1.42014347826087E9</v>
      </c>
      <c r="C184" s="2">
        <v>-102.3066483</v>
      </c>
      <c r="D184" s="24">
        <f t="shared" si="1"/>
        <v>-256521.7391</v>
      </c>
      <c r="E184" s="25">
        <f t="shared" si="2"/>
        <v>53.26117567</v>
      </c>
      <c r="F184" s="24">
        <f t="shared" si="3"/>
        <v>0.0002076283119</v>
      </c>
      <c r="G184" s="24">
        <f t="shared" si="4"/>
        <v>0</v>
      </c>
      <c r="H184" s="26">
        <f t="shared" si="5"/>
        <v>0</v>
      </c>
      <c r="I184" s="24">
        <f t="shared" si="6"/>
        <v>0</v>
      </c>
      <c r="J184" s="24">
        <f t="shared" si="7"/>
        <v>0</v>
      </c>
      <c r="K184" s="24"/>
      <c r="L184" s="24">
        <f t="shared" si="8"/>
        <v>447.1377503</v>
      </c>
      <c r="M184" s="14">
        <f t="shared" si="9"/>
        <v>417.3244719</v>
      </c>
      <c r="N184" s="27">
        <f t="shared" si="10"/>
        <v>29.8132784</v>
      </c>
      <c r="O184" s="24"/>
      <c r="P184" s="24"/>
      <c r="Q184" s="24"/>
      <c r="R184" s="26"/>
      <c r="S184" s="14">
        <f t="shared" si="13"/>
        <v>27.37741826</v>
      </c>
      <c r="U184" s="21"/>
      <c r="V184" s="21"/>
    </row>
    <row r="185">
      <c r="A185" s="11">
        <v>173.0</v>
      </c>
      <c r="B185" s="11">
        <v>1.42014782608695E9</v>
      </c>
      <c r="C185" s="2">
        <v>-102.3466263</v>
      </c>
      <c r="D185" s="24">
        <f t="shared" si="1"/>
        <v>-252173.913</v>
      </c>
      <c r="E185" s="25">
        <f t="shared" si="2"/>
        <v>52.34287953</v>
      </c>
      <c r="F185" s="24">
        <f t="shared" si="3"/>
        <v>0.0002075665912</v>
      </c>
      <c r="G185" s="24">
        <f t="shared" si="4"/>
        <v>0</v>
      </c>
      <c r="H185" s="26">
        <f t="shared" si="5"/>
        <v>0</v>
      </c>
      <c r="I185" s="24">
        <f t="shared" si="6"/>
        <v>0</v>
      </c>
      <c r="J185" s="24">
        <f t="shared" si="7"/>
        <v>0</v>
      </c>
      <c r="K185" s="24"/>
      <c r="L185" s="24">
        <f t="shared" si="8"/>
        <v>443.040611</v>
      </c>
      <c r="M185" s="14">
        <f t="shared" si="9"/>
        <v>417.2351613</v>
      </c>
      <c r="N185" s="27">
        <f t="shared" si="10"/>
        <v>25.80544978</v>
      </c>
      <c r="O185" s="24"/>
      <c r="P185" s="24"/>
      <c r="Q185" s="24"/>
      <c r="R185" s="26"/>
      <c r="S185" s="14">
        <f t="shared" si="13"/>
        <v>23.69704474</v>
      </c>
      <c r="U185" s="21"/>
      <c r="V185" s="21"/>
    </row>
    <row r="186">
      <c r="A186" s="11">
        <v>174.0</v>
      </c>
      <c r="B186" s="11">
        <v>1.42015217391304E9</v>
      </c>
      <c r="C186" s="2">
        <v>-102.347023</v>
      </c>
      <c r="D186" s="24">
        <f t="shared" si="1"/>
        <v>-247826.087</v>
      </c>
      <c r="E186" s="25">
        <f t="shared" si="2"/>
        <v>51.4245834</v>
      </c>
      <c r="F186" s="24">
        <f t="shared" si="3"/>
        <v>0.0002075027049</v>
      </c>
      <c r="G186" s="24">
        <f t="shared" si="4"/>
        <v>0</v>
      </c>
      <c r="H186" s="26">
        <f t="shared" si="5"/>
        <v>0</v>
      </c>
      <c r="I186" s="24">
        <f t="shared" si="6"/>
        <v>0</v>
      </c>
      <c r="J186" s="24">
        <f t="shared" si="7"/>
        <v>0</v>
      </c>
      <c r="K186" s="24"/>
      <c r="L186" s="24">
        <f t="shared" si="8"/>
        <v>443.000144</v>
      </c>
      <c r="M186" s="14">
        <f t="shared" si="9"/>
        <v>417.14592</v>
      </c>
      <c r="N186" s="27">
        <f t="shared" si="10"/>
        <v>25.85422399</v>
      </c>
      <c r="O186" s="24"/>
      <c r="P186" s="24"/>
      <c r="Q186" s="24"/>
      <c r="R186" s="26"/>
      <c r="S186" s="14">
        <f t="shared" si="13"/>
        <v>23.74183385</v>
      </c>
      <c r="U186" s="21"/>
      <c r="V186" s="21"/>
    </row>
    <row r="187">
      <c r="A187" s="11">
        <v>175.0</v>
      </c>
      <c r="B187" s="11">
        <v>1.42015652173913E9</v>
      </c>
      <c r="C187" s="2">
        <v>-102.4170227</v>
      </c>
      <c r="D187" s="24">
        <f t="shared" si="1"/>
        <v>-243478.2609</v>
      </c>
      <c r="E187" s="25">
        <f t="shared" si="2"/>
        <v>50.50628727</v>
      </c>
      <c r="F187" s="24">
        <f t="shared" si="3"/>
        <v>0.000207436537</v>
      </c>
      <c r="G187" s="24">
        <f t="shared" si="4"/>
        <v>0</v>
      </c>
      <c r="H187" s="26">
        <f t="shared" si="5"/>
        <v>0</v>
      </c>
      <c r="I187" s="24">
        <f t="shared" si="6"/>
        <v>0</v>
      </c>
      <c r="J187" s="24">
        <f t="shared" si="7"/>
        <v>0</v>
      </c>
      <c r="K187" s="24"/>
      <c r="L187" s="24">
        <f t="shared" si="8"/>
        <v>435.9170916</v>
      </c>
      <c r="M187" s="14">
        <f t="shared" si="9"/>
        <v>417.0567481</v>
      </c>
      <c r="N187" s="27">
        <f t="shared" si="10"/>
        <v>18.86034356</v>
      </c>
      <c r="O187" s="24"/>
      <c r="P187" s="24"/>
      <c r="Q187" s="24"/>
      <c r="R187" s="26"/>
      <c r="S187" s="14">
        <f t="shared" si="13"/>
        <v>17.31938056</v>
      </c>
      <c r="U187" s="21"/>
      <c r="V187" s="21"/>
    </row>
    <row r="188">
      <c r="A188" s="11">
        <v>176.0</v>
      </c>
      <c r="B188" s="11">
        <v>1.42016086956521E9</v>
      </c>
      <c r="C188" s="2">
        <v>-102.4145355</v>
      </c>
      <c r="D188" s="24">
        <f t="shared" si="1"/>
        <v>-239130.4348</v>
      </c>
      <c r="E188" s="25">
        <f t="shared" si="2"/>
        <v>49.58799114</v>
      </c>
      <c r="F188" s="24">
        <f t="shared" si="3"/>
        <v>0.0002073679629</v>
      </c>
      <c r="G188" s="24">
        <f t="shared" si="4"/>
        <v>0</v>
      </c>
      <c r="H188" s="26">
        <f t="shared" si="5"/>
        <v>0</v>
      </c>
      <c r="I188" s="24">
        <f t="shared" si="6"/>
        <v>0</v>
      </c>
      <c r="J188" s="24">
        <f t="shared" si="7"/>
        <v>0</v>
      </c>
      <c r="K188" s="24"/>
      <c r="L188" s="24">
        <f t="shared" si="8"/>
        <v>436.1668124</v>
      </c>
      <c r="M188" s="14">
        <f t="shared" si="9"/>
        <v>416.9676455</v>
      </c>
      <c r="N188" s="27">
        <f t="shared" si="10"/>
        <v>19.19916693</v>
      </c>
      <c r="O188" s="24"/>
      <c r="P188" s="24"/>
      <c r="Q188" s="24"/>
      <c r="R188" s="26"/>
      <c r="S188" s="14">
        <f t="shared" si="13"/>
        <v>17.63052074</v>
      </c>
      <c r="U188" s="21"/>
      <c r="V188" s="21"/>
    </row>
    <row r="189">
      <c r="A189" s="11">
        <v>177.0</v>
      </c>
      <c r="B189" s="11">
        <v>1.4201652173913E9</v>
      </c>
      <c r="C189" s="2">
        <v>-102.3508987</v>
      </c>
      <c r="D189" s="24">
        <f t="shared" si="1"/>
        <v>-234782.6087</v>
      </c>
      <c r="E189" s="25">
        <f t="shared" si="2"/>
        <v>48.669695</v>
      </c>
      <c r="F189" s="24">
        <f t="shared" si="3"/>
        <v>0.0002072968491</v>
      </c>
      <c r="G189" s="24">
        <f t="shared" si="4"/>
        <v>0</v>
      </c>
      <c r="H189" s="26">
        <f t="shared" si="5"/>
        <v>0</v>
      </c>
      <c r="I189" s="24">
        <f t="shared" si="6"/>
        <v>0</v>
      </c>
      <c r="J189" s="24">
        <f t="shared" si="7"/>
        <v>0</v>
      </c>
      <c r="K189" s="24"/>
      <c r="L189" s="24">
        <f t="shared" si="8"/>
        <v>442.6049813</v>
      </c>
      <c r="M189" s="14">
        <f t="shared" si="9"/>
        <v>416.8786122</v>
      </c>
      <c r="N189" s="27">
        <f t="shared" si="10"/>
        <v>25.72636909</v>
      </c>
      <c r="O189" s="24"/>
      <c r="P189" s="24"/>
      <c r="Q189" s="24"/>
      <c r="R189" s="26"/>
      <c r="S189" s="14">
        <f t="shared" si="13"/>
        <v>23.62442519</v>
      </c>
      <c r="U189" s="21"/>
      <c r="V189" s="21"/>
    </row>
    <row r="190">
      <c r="A190" s="11">
        <v>178.0</v>
      </c>
      <c r="B190" s="11">
        <v>1.42016956521739E9</v>
      </c>
      <c r="C190" s="2">
        <v>-102.3873978</v>
      </c>
      <c r="D190" s="24">
        <f t="shared" si="1"/>
        <v>-230434.7826</v>
      </c>
      <c r="E190" s="25">
        <f t="shared" si="2"/>
        <v>47.75139887</v>
      </c>
      <c r="F190" s="24">
        <f t="shared" si="3"/>
        <v>0.0002072230517</v>
      </c>
      <c r="G190" s="24">
        <f t="shared" si="4"/>
        <v>0</v>
      </c>
      <c r="H190" s="26">
        <f t="shared" si="5"/>
        <v>0</v>
      </c>
      <c r="I190" s="24">
        <f t="shared" si="6"/>
        <v>0</v>
      </c>
      <c r="J190" s="24">
        <f t="shared" si="7"/>
        <v>0</v>
      </c>
      <c r="K190" s="24"/>
      <c r="L190" s="24">
        <f t="shared" si="8"/>
        <v>438.9008151</v>
      </c>
      <c r="M190" s="14">
        <f t="shared" si="9"/>
        <v>416.7896482</v>
      </c>
      <c r="N190" s="27">
        <f t="shared" si="10"/>
        <v>22.1111669</v>
      </c>
      <c r="O190" s="24"/>
      <c r="P190" s="24"/>
      <c r="Q190" s="24"/>
      <c r="R190" s="26"/>
      <c r="S190" s="14">
        <f t="shared" si="13"/>
        <v>20.30459905</v>
      </c>
      <c r="U190" s="21"/>
      <c r="V190" s="21"/>
    </row>
    <row r="191">
      <c r="A191" s="11">
        <v>179.0</v>
      </c>
      <c r="B191" s="11">
        <v>1.42017391304347E9</v>
      </c>
      <c r="C191" s="2">
        <v>-102.3325272</v>
      </c>
      <c r="D191" s="24">
        <f t="shared" si="1"/>
        <v>-226086.9565</v>
      </c>
      <c r="E191" s="25">
        <f t="shared" si="2"/>
        <v>46.83310274</v>
      </c>
      <c r="F191" s="24">
        <f t="shared" si="3"/>
        <v>0.000207146416</v>
      </c>
      <c r="G191" s="24">
        <f t="shared" si="4"/>
        <v>0</v>
      </c>
      <c r="H191" s="26">
        <f t="shared" si="5"/>
        <v>0</v>
      </c>
      <c r="I191" s="24">
        <f t="shared" si="6"/>
        <v>0</v>
      </c>
      <c r="J191" s="24">
        <f t="shared" si="7"/>
        <v>0</v>
      </c>
      <c r="K191" s="24"/>
      <c r="L191" s="24">
        <f t="shared" si="8"/>
        <v>444.481252</v>
      </c>
      <c r="M191" s="14">
        <f t="shared" si="9"/>
        <v>416.7007534</v>
      </c>
      <c r="N191" s="27">
        <f t="shared" si="10"/>
        <v>27.78049857</v>
      </c>
      <c r="O191" s="24"/>
      <c r="P191" s="24"/>
      <c r="Q191" s="24"/>
      <c r="R191" s="26"/>
      <c r="S191" s="14">
        <f t="shared" si="13"/>
        <v>25.5107244</v>
      </c>
      <c r="U191" s="21"/>
      <c r="V191" s="21"/>
    </row>
    <row r="192">
      <c r="A192" s="11">
        <v>180.0</v>
      </c>
      <c r="B192" s="11">
        <v>1.42017826086956E9</v>
      </c>
      <c r="C192" s="2">
        <v>-102.3743439</v>
      </c>
      <c r="D192" s="24">
        <f t="shared" si="1"/>
        <v>-221739.1304</v>
      </c>
      <c r="E192" s="25">
        <f t="shared" si="2"/>
        <v>45.91480661</v>
      </c>
      <c r="F192" s="24">
        <f t="shared" si="3"/>
        <v>0.0002070667749</v>
      </c>
      <c r="G192" s="24">
        <f t="shared" si="4"/>
        <v>0</v>
      </c>
      <c r="H192" s="26">
        <f t="shared" si="5"/>
        <v>0</v>
      </c>
      <c r="I192" s="24">
        <f t="shared" si="6"/>
        <v>0</v>
      </c>
      <c r="J192" s="24">
        <f t="shared" si="7"/>
        <v>0</v>
      </c>
      <c r="K192" s="24"/>
      <c r="L192" s="24">
        <f t="shared" si="8"/>
        <v>440.2220353</v>
      </c>
      <c r="M192" s="14">
        <f t="shared" si="9"/>
        <v>416.6119279</v>
      </c>
      <c r="N192" s="27">
        <f t="shared" si="10"/>
        <v>23.61010737</v>
      </c>
      <c r="O192" s="24"/>
      <c r="P192" s="24"/>
      <c r="Q192" s="24"/>
      <c r="R192" s="26"/>
      <c r="S192" s="14">
        <f t="shared" si="13"/>
        <v>21.68107025</v>
      </c>
      <c r="U192" s="21"/>
      <c r="V192" s="21"/>
    </row>
    <row r="193">
      <c r="A193" s="11">
        <v>181.0</v>
      </c>
      <c r="B193" s="11">
        <v>1.42018260869565E9</v>
      </c>
      <c r="C193" s="2">
        <v>-102.3646317</v>
      </c>
      <c r="D193" s="24">
        <f t="shared" si="1"/>
        <v>-217391.3043</v>
      </c>
      <c r="E193" s="25">
        <f t="shared" si="2"/>
        <v>44.99651048</v>
      </c>
      <c r="F193" s="24">
        <f t="shared" si="3"/>
        <v>0.0002069839482</v>
      </c>
      <c r="G193" s="24">
        <f t="shared" si="4"/>
        <v>0</v>
      </c>
      <c r="H193" s="26">
        <f t="shared" si="5"/>
        <v>0</v>
      </c>
      <c r="I193" s="24">
        <f t="shared" si="6"/>
        <v>0</v>
      </c>
      <c r="J193" s="24">
        <f t="shared" si="7"/>
        <v>0</v>
      </c>
      <c r="K193" s="24"/>
      <c r="L193" s="24">
        <f t="shared" si="8"/>
        <v>441.2076128</v>
      </c>
      <c r="M193" s="14">
        <f t="shared" si="9"/>
        <v>416.5231717</v>
      </c>
      <c r="N193" s="27">
        <f t="shared" si="10"/>
        <v>24.68444115</v>
      </c>
      <c r="O193" s="24"/>
      <c r="P193" s="24"/>
      <c r="Q193" s="24"/>
      <c r="R193" s="26"/>
      <c r="S193" s="14">
        <f t="shared" si="13"/>
        <v>22.66762685</v>
      </c>
      <c r="U193" s="21"/>
      <c r="V193" s="21"/>
    </row>
    <row r="194">
      <c r="A194" s="11">
        <v>182.0</v>
      </c>
      <c r="B194" s="11">
        <v>1.42018695652173E9</v>
      </c>
      <c r="C194" s="2">
        <v>-102.3596878</v>
      </c>
      <c r="D194" s="24">
        <f t="shared" si="1"/>
        <v>-213043.4783</v>
      </c>
      <c r="E194" s="25">
        <f t="shared" si="2"/>
        <v>44.07821434</v>
      </c>
      <c r="F194" s="24">
        <f t="shared" si="3"/>
        <v>0.0002068977408</v>
      </c>
      <c r="G194" s="24">
        <f t="shared" si="4"/>
        <v>0</v>
      </c>
      <c r="H194" s="26">
        <f t="shared" si="5"/>
        <v>0</v>
      </c>
      <c r="I194" s="24">
        <f t="shared" si="6"/>
        <v>0</v>
      </c>
      <c r="J194" s="24">
        <f t="shared" si="7"/>
        <v>0</v>
      </c>
      <c r="K194" s="24"/>
      <c r="L194" s="24">
        <f t="shared" si="8"/>
        <v>441.7101586</v>
      </c>
      <c r="M194" s="14">
        <f t="shared" si="9"/>
        <v>416.4344846</v>
      </c>
      <c r="N194" s="27">
        <f t="shared" si="10"/>
        <v>25.27567394</v>
      </c>
      <c r="O194" s="24"/>
      <c r="P194" s="24"/>
      <c r="Q194" s="24"/>
      <c r="R194" s="26"/>
      <c r="S194" s="14">
        <f t="shared" si="13"/>
        <v>23.21055363</v>
      </c>
      <c r="U194" s="21"/>
      <c r="V194" s="21"/>
    </row>
    <row r="195">
      <c r="A195" s="11">
        <v>183.0</v>
      </c>
      <c r="B195" s="11">
        <v>1.42019130434782E9</v>
      </c>
      <c r="C195" s="2">
        <v>-102.3258362</v>
      </c>
      <c r="D195" s="24">
        <f t="shared" si="1"/>
        <v>-208695.6522</v>
      </c>
      <c r="E195" s="25">
        <f t="shared" si="2"/>
        <v>43.15991821</v>
      </c>
      <c r="F195" s="24">
        <f t="shared" si="3"/>
        <v>0.0002068079414</v>
      </c>
      <c r="G195" s="24">
        <f t="shared" si="4"/>
        <v>0</v>
      </c>
      <c r="H195" s="26">
        <f t="shared" si="5"/>
        <v>0</v>
      </c>
      <c r="I195" s="24">
        <f t="shared" si="6"/>
        <v>0</v>
      </c>
      <c r="J195" s="24">
        <f t="shared" si="7"/>
        <v>0</v>
      </c>
      <c r="K195" s="24"/>
      <c r="L195" s="24">
        <f t="shared" si="8"/>
        <v>445.1665741</v>
      </c>
      <c r="M195" s="14">
        <f t="shared" si="9"/>
        <v>416.3458667</v>
      </c>
      <c r="N195" s="27">
        <f t="shared" si="10"/>
        <v>28.82070741</v>
      </c>
      <c r="O195" s="24"/>
      <c r="P195" s="24"/>
      <c r="Q195" s="24"/>
      <c r="R195" s="26"/>
      <c r="S195" s="14">
        <f t="shared" si="13"/>
        <v>26.46594416</v>
      </c>
      <c r="U195" s="21"/>
      <c r="V195" s="21"/>
    </row>
    <row r="196">
      <c r="A196" s="11">
        <v>184.0</v>
      </c>
      <c r="B196" s="11">
        <v>1.42019565217391E9</v>
      </c>
      <c r="C196" s="2">
        <v>-102.3397064</v>
      </c>
      <c r="D196" s="24">
        <f t="shared" si="1"/>
        <v>-204347.8261</v>
      </c>
      <c r="E196" s="25">
        <f t="shared" si="2"/>
        <v>42.24162208</v>
      </c>
      <c r="F196" s="24">
        <f t="shared" si="3"/>
        <v>0.0002067143208</v>
      </c>
      <c r="G196" s="24">
        <f t="shared" si="4"/>
        <v>0</v>
      </c>
      <c r="H196" s="26">
        <f t="shared" si="5"/>
        <v>0</v>
      </c>
      <c r="I196" s="24">
        <f t="shared" si="6"/>
        <v>0</v>
      </c>
      <c r="J196" s="24">
        <f t="shared" si="7"/>
        <v>0</v>
      </c>
      <c r="K196" s="24"/>
      <c r="L196" s="24">
        <f t="shared" si="8"/>
        <v>443.7470995</v>
      </c>
      <c r="M196" s="14">
        <f t="shared" si="9"/>
        <v>416.257318</v>
      </c>
      <c r="N196" s="27">
        <f t="shared" si="10"/>
        <v>27.48978149</v>
      </c>
      <c r="O196" s="24"/>
      <c r="P196" s="24"/>
      <c r="Q196" s="24"/>
      <c r="R196" s="26"/>
      <c r="S196" s="14">
        <f t="shared" si="13"/>
        <v>25.24375998</v>
      </c>
      <c r="U196" s="21"/>
      <c r="V196" s="21"/>
    </row>
    <row r="197">
      <c r="A197" s="11">
        <v>185.0</v>
      </c>
      <c r="B197" s="11">
        <v>1.4202E9</v>
      </c>
      <c r="C197" s="2">
        <v>-102.3753891</v>
      </c>
      <c r="D197" s="24">
        <f t="shared" si="1"/>
        <v>-200000</v>
      </c>
      <c r="E197" s="25">
        <f t="shared" si="2"/>
        <v>41.32332595</v>
      </c>
      <c r="F197" s="24">
        <f t="shared" si="3"/>
        <v>0.0002066166297</v>
      </c>
      <c r="G197" s="24">
        <f t="shared" si="4"/>
        <v>0</v>
      </c>
      <c r="H197" s="26">
        <f t="shared" si="5"/>
        <v>0</v>
      </c>
      <c r="I197" s="24">
        <f t="shared" si="6"/>
        <v>0</v>
      </c>
      <c r="J197" s="24">
        <f t="shared" si="7"/>
        <v>0</v>
      </c>
      <c r="K197" s="24"/>
      <c r="L197" s="24">
        <f t="shared" si="8"/>
        <v>440.1161015</v>
      </c>
      <c r="M197" s="14">
        <f t="shared" si="9"/>
        <v>416.1688385</v>
      </c>
      <c r="N197" s="27">
        <f t="shared" si="10"/>
        <v>23.94726303</v>
      </c>
      <c r="O197" s="24"/>
      <c r="P197" s="24"/>
      <c r="Q197" s="24"/>
      <c r="R197" s="26"/>
      <c r="S197" s="14">
        <f t="shared" si="13"/>
        <v>21.99067903</v>
      </c>
      <c r="U197" s="21"/>
      <c r="V197" s="21"/>
    </row>
    <row r="198">
      <c r="A198" s="11">
        <v>186.0</v>
      </c>
      <c r="B198" s="11">
        <v>1.42020434782608E9</v>
      </c>
      <c r="C198" s="2">
        <v>-102.3419724</v>
      </c>
      <c r="D198" s="24">
        <f t="shared" si="1"/>
        <v>-195652.1739</v>
      </c>
      <c r="E198" s="25">
        <f t="shared" si="2"/>
        <v>40.40502981</v>
      </c>
      <c r="F198" s="24">
        <f t="shared" si="3"/>
        <v>0.0002065145968</v>
      </c>
      <c r="G198" s="24">
        <f t="shared" si="4"/>
        <v>0</v>
      </c>
      <c r="H198" s="26">
        <f t="shared" si="5"/>
        <v>0</v>
      </c>
      <c r="I198" s="24">
        <f t="shared" si="6"/>
        <v>0</v>
      </c>
      <c r="J198" s="24">
        <f t="shared" si="7"/>
        <v>0</v>
      </c>
      <c r="K198" s="24"/>
      <c r="L198" s="24">
        <f t="shared" si="8"/>
        <v>443.5156279</v>
      </c>
      <c r="M198" s="14">
        <f t="shared" si="9"/>
        <v>416.080428</v>
      </c>
      <c r="N198" s="27">
        <f t="shared" si="10"/>
        <v>27.43519981</v>
      </c>
      <c r="O198" s="24"/>
      <c r="P198" s="24"/>
      <c r="Q198" s="24"/>
      <c r="R198" s="26"/>
      <c r="S198" s="14">
        <f t="shared" si="13"/>
        <v>25.19363789</v>
      </c>
      <c r="U198" s="21"/>
      <c r="V198" s="21"/>
    </row>
    <row r="199">
      <c r="A199" s="11">
        <v>187.0</v>
      </c>
      <c r="B199" s="11">
        <v>1.42020869565217E9</v>
      </c>
      <c r="C199" s="2">
        <v>-102.3310165</v>
      </c>
      <c r="D199" s="24">
        <f t="shared" si="1"/>
        <v>-191304.3478</v>
      </c>
      <c r="E199" s="25">
        <f t="shared" si="2"/>
        <v>39.48673368</v>
      </c>
      <c r="F199" s="24">
        <f t="shared" si="3"/>
        <v>0.0002064079261</v>
      </c>
      <c r="G199" s="24">
        <f t="shared" si="4"/>
        <v>0</v>
      </c>
      <c r="H199" s="26">
        <f t="shared" si="5"/>
        <v>0</v>
      </c>
      <c r="I199" s="24">
        <f t="shared" si="6"/>
        <v>0</v>
      </c>
      <c r="J199" s="24">
        <f t="shared" si="7"/>
        <v>0</v>
      </c>
      <c r="K199" s="24"/>
      <c r="L199" s="24">
        <f t="shared" si="8"/>
        <v>444.6358924</v>
      </c>
      <c r="M199" s="14">
        <f t="shared" si="9"/>
        <v>415.9920867</v>
      </c>
      <c r="N199" s="27">
        <f t="shared" si="10"/>
        <v>28.64380566</v>
      </c>
      <c r="O199" s="24"/>
      <c r="P199" s="24"/>
      <c r="Q199" s="24"/>
      <c r="R199" s="26"/>
      <c r="S199" s="14">
        <f t="shared" si="13"/>
        <v>26.3034959</v>
      </c>
      <c r="U199" s="21"/>
      <c r="V199" s="21"/>
    </row>
    <row r="200">
      <c r="A200" s="11">
        <v>188.0</v>
      </c>
      <c r="B200" s="11">
        <v>1.42021304347826E9</v>
      </c>
      <c r="C200" s="2">
        <v>-102.2974777</v>
      </c>
      <c r="D200" s="24">
        <f t="shared" si="1"/>
        <v>-186956.5217</v>
      </c>
      <c r="E200" s="25">
        <f t="shared" si="2"/>
        <v>38.56843755</v>
      </c>
      <c r="F200" s="24">
        <f t="shared" si="3"/>
        <v>0.0002062962939</v>
      </c>
      <c r="G200" s="24">
        <f t="shared" si="4"/>
        <v>0</v>
      </c>
      <c r="H200" s="26">
        <f t="shared" si="5"/>
        <v>0</v>
      </c>
      <c r="I200" s="24">
        <f t="shared" si="6"/>
        <v>0</v>
      </c>
      <c r="J200" s="24">
        <f t="shared" si="7"/>
        <v>0</v>
      </c>
      <c r="K200" s="24"/>
      <c r="L200" s="24">
        <f t="shared" si="8"/>
        <v>448.0829278</v>
      </c>
      <c r="M200" s="14">
        <f t="shared" si="9"/>
        <v>415.9038145</v>
      </c>
      <c r="N200" s="27">
        <f t="shared" si="10"/>
        <v>32.17911329</v>
      </c>
      <c r="O200" s="24"/>
      <c r="P200" s="24"/>
      <c r="Q200" s="24"/>
      <c r="R200" s="26"/>
      <c r="S200" s="14">
        <f t="shared" si="13"/>
        <v>29.54995529</v>
      </c>
      <c r="U200" s="21"/>
      <c r="V200" s="21"/>
    </row>
    <row r="201">
      <c r="A201" s="11">
        <v>189.0</v>
      </c>
      <c r="B201" s="11">
        <v>1.42021739130434E9</v>
      </c>
      <c r="C201" s="2">
        <v>-102.3587494</v>
      </c>
      <c r="D201" s="24">
        <f t="shared" si="1"/>
        <v>-182608.6957</v>
      </c>
      <c r="E201" s="25">
        <f t="shared" si="2"/>
        <v>37.65014142</v>
      </c>
      <c r="F201" s="24">
        <f t="shared" si="3"/>
        <v>0.0002061793459</v>
      </c>
      <c r="G201" s="24">
        <f t="shared" si="4"/>
        <v>0</v>
      </c>
      <c r="H201" s="26">
        <f t="shared" si="5"/>
        <v>0</v>
      </c>
      <c r="I201" s="24">
        <f t="shared" si="6"/>
        <v>0</v>
      </c>
      <c r="J201" s="24">
        <f t="shared" si="7"/>
        <v>0</v>
      </c>
      <c r="K201" s="24"/>
      <c r="L201" s="24">
        <f t="shared" si="8"/>
        <v>441.8056112</v>
      </c>
      <c r="M201" s="14">
        <f t="shared" si="9"/>
        <v>415.8156114</v>
      </c>
      <c r="N201" s="27">
        <f t="shared" si="10"/>
        <v>25.98999983</v>
      </c>
      <c r="O201" s="24"/>
      <c r="P201" s="24"/>
      <c r="Q201" s="24"/>
      <c r="R201" s="26"/>
      <c r="S201" s="14">
        <f t="shared" si="13"/>
        <v>23.86651634</v>
      </c>
      <c r="U201" s="21"/>
      <c r="V201" s="21"/>
    </row>
    <row r="202">
      <c r="A202" s="11">
        <v>190.0</v>
      </c>
      <c r="B202" s="11">
        <v>1.42022173913043E9</v>
      </c>
      <c r="C202" s="2">
        <v>-102.3101349</v>
      </c>
      <c r="D202" s="24">
        <f t="shared" si="1"/>
        <v>-178260.8696</v>
      </c>
      <c r="E202" s="25">
        <f t="shared" si="2"/>
        <v>36.73184529</v>
      </c>
      <c r="F202" s="24">
        <f t="shared" si="3"/>
        <v>0.0002060566931</v>
      </c>
      <c r="G202" s="24">
        <f t="shared" si="4"/>
        <v>0</v>
      </c>
      <c r="H202" s="26">
        <f t="shared" si="5"/>
        <v>0</v>
      </c>
      <c r="I202" s="24">
        <f t="shared" si="6"/>
        <v>0</v>
      </c>
      <c r="J202" s="24">
        <f t="shared" si="7"/>
        <v>0</v>
      </c>
      <c r="K202" s="24"/>
      <c r="L202" s="24">
        <f t="shared" si="8"/>
        <v>446.7789235</v>
      </c>
      <c r="M202" s="14">
        <f t="shared" si="9"/>
        <v>415.7274773</v>
      </c>
      <c r="N202" s="27">
        <f t="shared" si="10"/>
        <v>31.05144623</v>
      </c>
      <c r="O202" s="24"/>
      <c r="P202" s="24"/>
      <c r="Q202" s="24"/>
      <c r="R202" s="26"/>
      <c r="S202" s="14">
        <f t="shared" si="13"/>
        <v>28.51442292</v>
      </c>
      <c r="U202" s="21"/>
      <c r="V202" s="21"/>
    </row>
    <row r="203">
      <c r="A203" s="11">
        <v>191.0</v>
      </c>
      <c r="B203" s="11">
        <v>1.42022608695652E9</v>
      </c>
      <c r="C203" s="2">
        <v>-102.2896881</v>
      </c>
      <c r="D203" s="24">
        <f t="shared" si="1"/>
        <v>-173913.0435</v>
      </c>
      <c r="E203" s="25">
        <f t="shared" si="2"/>
        <v>35.81354916</v>
      </c>
      <c r="F203" s="24">
        <f t="shared" si="3"/>
        <v>0.0002059279076</v>
      </c>
      <c r="G203" s="24">
        <f t="shared" si="4"/>
        <v>0</v>
      </c>
      <c r="H203" s="26">
        <f t="shared" si="5"/>
        <v>0</v>
      </c>
      <c r="I203" s="24">
        <f t="shared" si="6"/>
        <v>0</v>
      </c>
      <c r="J203" s="24">
        <f t="shared" si="7"/>
        <v>0</v>
      </c>
      <c r="K203" s="24"/>
      <c r="L203" s="24">
        <f t="shared" si="8"/>
        <v>448.8873403</v>
      </c>
      <c r="M203" s="14">
        <f t="shared" si="9"/>
        <v>415.6394122</v>
      </c>
      <c r="N203" s="27">
        <f t="shared" si="10"/>
        <v>33.24792802</v>
      </c>
      <c r="O203" s="24"/>
      <c r="P203" s="24"/>
      <c r="Q203" s="24"/>
      <c r="R203" s="26"/>
      <c r="S203" s="14">
        <f t="shared" si="13"/>
        <v>30.53144373</v>
      </c>
      <c r="U203" s="21"/>
      <c r="V203" s="21"/>
    </row>
    <row r="204">
      <c r="A204" s="11">
        <v>192.0</v>
      </c>
      <c r="B204" s="11">
        <v>1.4202304347826E9</v>
      </c>
      <c r="C204" s="2">
        <v>-102.2604904</v>
      </c>
      <c r="D204" s="24">
        <f t="shared" si="1"/>
        <v>-169565.2174</v>
      </c>
      <c r="E204" s="25">
        <f t="shared" si="2"/>
        <v>34.89525302</v>
      </c>
      <c r="F204" s="24">
        <f t="shared" si="3"/>
        <v>0.0002057925178</v>
      </c>
      <c r="G204" s="24">
        <f t="shared" si="4"/>
        <v>0</v>
      </c>
      <c r="H204" s="26">
        <f t="shared" si="5"/>
        <v>0</v>
      </c>
      <c r="I204" s="24">
        <f t="shared" si="6"/>
        <v>0</v>
      </c>
      <c r="J204" s="24">
        <f t="shared" si="7"/>
        <v>0</v>
      </c>
      <c r="K204" s="24"/>
      <c r="L204" s="24">
        <f t="shared" si="8"/>
        <v>451.9153857</v>
      </c>
      <c r="M204" s="14">
        <f t="shared" si="9"/>
        <v>415.5514162</v>
      </c>
      <c r="N204" s="27">
        <f t="shared" si="10"/>
        <v>36.36396952</v>
      </c>
      <c r="O204" s="24"/>
      <c r="P204" s="24"/>
      <c r="Q204" s="24"/>
      <c r="R204" s="26"/>
      <c r="S204" s="14">
        <f t="shared" si="13"/>
        <v>33.39289258</v>
      </c>
      <c r="U204" s="21"/>
      <c r="V204" s="21"/>
    </row>
    <row r="205">
      <c r="A205" s="11">
        <v>193.0</v>
      </c>
      <c r="B205" s="11">
        <v>1.42023478260869E9</v>
      </c>
      <c r="C205" s="2">
        <v>-102.3016205</v>
      </c>
      <c r="D205" s="24">
        <f t="shared" si="1"/>
        <v>-165217.3913</v>
      </c>
      <c r="E205" s="25">
        <f t="shared" si="2"/>
        <v>33.97695689</v>
      </c>
      <c r="F205" s="24">
        <f t="shared" si="3"/>
        <v>0.0002056500022</v>
      </c>
      <c r="G205" s="24">
        <f t="shared" si="4"/>
        <v>0</v>
      </c>
      <c r="H205" s="26">
        <f t="shared" si="5"/>
        <v>0</v>
      </c>
      <c r="I205" s="24">
        <f t="shared" si="6"/>
        <v>0</v>
      </c>
      <c r="J205" s="24">
        <f t="shared" si="7"/>
        <v>0</v>
      </c>
      <c r="K205" s="24"/>
      <c r="L205" s="24">
        <f t="shared" si="8"/>
        <v>447.6556986</v>
      </c>
      <c r="M205" s="14">
        <f t="shared" si="9"/>
        <v>415.4634892</v>
      </c>
      <c r="N205" s="27">
        <f t="shared" si="10"/>
        <v>32.19220945</v>
      </c>
      <c r="O205" s="24"/>
      <c r="P205" s="24"/>
      <c r="Q205" s="24"/>
      <c r="R205" s="26"/>
      <c r="S205" s="14">
        <f t="shared" si="13"/>
        <v>29.56198145</v>
      </c>
      <c r="U205" s="21"/>
      <c r="V205" s="21"/>
    </row>
    <row r="206">
      <c r="A206" s="11">
        <v>194.0</v>
      </c>
      <c r="B206" s="11">
        <v>1.42023913043478E9</v>
      </c>
      <c r="C206" s="2">
        <v>-102.2758484</v>
      </c>
      <c r="D206" s="24">
        <f t="shared" si="1"/>
        <v>-160869.5652</v>
      </c>
      <c r="E206" s="25">
        <f t="shared" si="2"/>
        <v>33.05866076</v>
      </c>
      <c r="F206" s="24">
        <f t="shared" si="3"/>
        <v>0.0002054997831</v>
      </c>
      <c r="G206" s="24">
        <f t="shared" si="4"/>
        <v>0</v>
      </c>
      <c r="H206" s="26">
        <f t="shared" si="5"/>
        <v>0</v>
      </c>
      <c r="I206" s="24">
        <f t="shared" si="6"/>
        <v>0</v>
      </c>
      <c r="J206" s="24">
        <f t="shared" si="7"/>
        <v>0</v>
      </c>
      <c r="K206" s="24"/>
      <c r="L206" s="24">
        <f t="shared" si="8"/>
        <v>450.3200951</v>
      </c>
      <c r="M206" s="14">
        <f t="shared" si="9"/>
        <v>415.3756311</v>
      </c>
      <c r="N206" s="27">
        <f t="shared" si="10"/>
        <v>34.94446402</v>
      </c>
      <c r="O206" s="24"/>
      <c r="P206" s="24"/>
      <c r="Q206" s="24"/>
      <c r="R206" s="26"/>
      <c r="S206" s="14">
        <f t="shared" si="13"/>
        <v>32.0893661</v>
      </c>
      <c r="U206" s="21"/>
      <c r="V206" s="21"/>
    </row>
    <row r="207">
      <c r="A207" s="11">
        <v>195.0</v>
      </c>
      <c r="B207" s="11">
        <v>1.42024347826087E9</v>
      </c>
      <c r="C207" s="2">
        <v>-102.2620163</v>
      </c>
      <c r="D207" s="24">
        <f t="shared" si="1"/>
        <v>-156521.7391</v>
      </c>
      <c r="E207" s="25">
        <f t="shared" si="2"/>
        <v>32.14036463</v>
      </c>
      <c r="F207" s="24">
        <f t="shared" si="3"/>
        <v>0.0002053412184</v>
      </c>
      <c r="G207" s="24">
        <f t="shared" si="4"/>
        <v>0</v>
      </c>
      <c r="H207" s="26">
        <f t="shared" si="5"/>
        <v>0</v>
      </c>
      <c r="I207" s="24">
        <f t="shared" si="6"/>
        <v>0</v>
      </c>
      <c r="J207" s="24">
        <f t="shared" si="7"/>
        <v>0</v>
      </c>
      <c r="K207" s="24"/>
      <c r="L207" s="24">
        <f t="shared" si="8"/>
        <v>451.7566325</v>
      </c>
      <c r="M207" s="14">
        <f t="shared" si="9"/>
        <v>415.287842</v>
      </c>
      <c r="N207" s="27">
        <f t="shared" si="10"/>
        <v>36.46879048</v>
      </c>
      <c r="O207" s="24"/>
      <c r="P207" s="24"/>
      <c r="Q207" s="24"/>
      <c r="R207" s="26"/>
      <c r="S207" s="14">
        <f t="shared" si="13"/>
        <v>33.48914927</v>
      </c>
      <c r="U207" s="21"/>
      <c r="V207" s="21"/>
    </row>
    <row r="208">
      <c r="A208" s="11">
        <v>196.0</v>
      </c>
      <c r="B208" s="11">
        <v>1.42024782608695E9</v>
      </c>
      <c r="C208" s="2">
        <v>-102.2409439</v>
      </c>
      <c r="D208" s="24">
        <f t="shared" si="1"/>
        <v>-152173.913</v>
      </c>
      <c r="E208" s="25">
        <f t="shared" si="2"/>
        <v>31.22206849</v>
      </c>
      <c r="F208" s="24">
        <f t="shared" si="3"/>
        <v>0.0002051735929</v>
      </c>
      <c r="G208" s="24">
        <f t="shared" si="4"/>
        <v>0</v>
      </c>
      <c r="H208" s="26">
        <f t="shared" si="5"/>
        <v>0</v>
      </c>
      <c r="I208" s="24">
        <f t="shared" si="6"/>
        <v>0</v>
      </c>
      <c r="J208" s="24">
        <f t="shared" si="7"/>
        <v>0</v>
      </c>
      <c r="K208" s="24"/>
      <c r="L208" s="24">
        <f t="shared" si="8"/>
        <v>453.953927</v>
      </c>
      <c r="M208" s="14">
        <f t="shared" si="9"/>
        <v>415.2001218</v>
      </c>
      <c r="N208" s="27">
        <f t="shared" si="10"/>
        <v>38.75380517</v>
      </c>
      <c r="O208" s="24"/>
      <c r="P208" s="24"/>
      <c r="Q208" s="24"/>
      <c r="R208" s="26"/>
      <c r="S208" s="14">
        <f t="shared" si="13"/>
        <v>35.58746942</v>
      </c>
      <c r="U208" s="21"/>
      <c r="V208" s="21"/>
    </row>
    <row r="209">
      <c r="A209" s="11">
        <v>197.0</v>
      </c>
      <c r="B209" s="11">
        <v>1.42025217391304E9</v>
      </c>
      <c r="C209" s="2">
        <v>-102.2931213</v>
      </c>
      <c r="D209" s="24">
        <f t="shared" si="1"/>
        <v>-147826.087</v>
      </c>
      <c r="E209" s="25">
        <f t="shared" si="2"/>
        <v>30.30377236</v>
      </c>
      <c r="F209" s="24">
        <f t="shared" si="3"/>
        <v>0.0002049961071</v>
      </c>
      <c r="G209" s="24">
        <f t="shared" si="4"/>
        <v>0</v>
      </c>
      <c r="H209" s="26">
        <f t="shared" si="5"/>
        <v>0</v>
      </c>
      <c r="I209" s="24">
        <f t="shared" si="6"/>
        <v>0</v>
      </c>
      <c r="J209" s="24">
        <f t="shared" si="7"/>
        <v>0</v>
      </c>
      <c r="K209" s="24"/>
      <c r="L209" s="24">
        <f t="shared" si="8"/>
        <v>448.5326245</v>
      </c>
      <c r="M209" s="14">
        <f t="shared" si="9"/>
        <v>415.1124706</v>
      </c>
      <c r="N209" s="27">
        <f t="shared" si="10"/>
        <v>33.42015389</v>
      </c>
      <c r="O209" s="24"/>
      <c r="P209" s="24"/>
      <c r="Q209" s="24"/>
      <c r="R209" s="26"/>
      <c r="S209" s="14">
        <f t="shared" si="13"/>
        <v>30.689598</v>
      </c>
      <c r="U209" s="21"/>
      <c r="V209" s="21"/>
    </row>
    <row r="210">
      <c r="A210" s="11">
        <v>198.0</v>
      </c>
      <c r="B210" s="11">
        <v>1.42025652173913E9</v>
      </c>
      <c r="C210" s="2">
        <v>-102.226593</v>
      </c>
      <c r="D210" s="24">
        <f t="shared" si="1"/>
        <v>-143478.2609</v>
      </c>
      <c r="E210" s="25">
        <f t="shared" si="2"/>
        <v>29.38547623</v>
      </c>
      <c r="F210" s="24">
        <f t="shared" si="3"/>
        <v>0.0002048078646</v>
      </c>
      <c r="G210" s="24">
        <f t="shared" si="4"/>
        <v>0</v>
      </c>
      <c r="H210" s="26">
        <f t="shared" si="5"/>
        <v>0</v>
      </c>
      <c r="I210" s="24">
        <f t="shared" si="6"/>
        <v>0</v>
      </c>
      <c r="J210" s="24">
        <f t="shared" si="7"/>
        <v>0</v>
      </c>
      <c r="K210" s="24"/>
      <c r="L210" s="24">
        <f t="shared" si="8"/>
        <v>455.4564611</v>
      </c>
      <c r="M210" s="14">
        <f t="shared" si="9"/>
        <v>415.0248883</v>
      </c>
      <c r="N210" s="27">
        <f t="shared" si="10"/>
        <v>40.43157288</v>
      </c>
      <c r="O210" s="24"/>
      <c r="P210" s="24"/>
      <c r="Q210" s="24"/>
      <c r="R210" s="26"/>
      <c r="S210" s="14">
        <f t="shared" si="13"/>
        <v>37.12815701</v>
      </c>
      <c r="U210" s="21"/>
      <c r="V210" s="21"/>
    </row>
    <row r="211">
      <c r="A211" s="11">
        <v>199.0</v>
      </c>
      <c r="B211" s="11">
        <v>1.42026086956521E9</v>
      </c>
      <c r="C211" s="2">
        <v>-102.2872009</v>
      </c>
      <c r="D211" s="24">
        <f t="shared" si="1"/>
        <v>-139130.4348</v>
      </c>
      <c r="E211" s="25">
        <f t="shared" si="2"/>
        <v>28.4671801</v>
      </c>
      <c r="F211" s="24">
        <f t="shared" si="3"/>
        <v>0.0002046078569</v>
      </c>
      <c r="G211" s="24">
        <f t="shared" si="4"/>
        <v>0</v>
      </c>
      <c r="H211" s="26">
        <f t="shared" si="5"/>
        <v>0</v>
      </c>
      <c r="I211" s="24">
        <f t="shared" si="6"/>
        <v>0</v>
      </c>
      <c r="J211" s="24">
        <f t="shared" si="7"/>
        <v>0</v>
      </c>
      <c r="K211" s="24"/>
      <c r="L211" s="24">
        <f t="shared" si="8"/>
        <v>449.1444912</v>
      </c>
      <c r="M211" s="14">
        <f t="shared" si="9"/>
        <v>414.9373748</v>
      </c>
      <c r="N211" s="27">
        <f t="shared" si="10"/>
        <v>34.20711639</v>
      </c>
      <c r="O211" s="24"/>
      <c r="P211" s="24"/>
      <c r="Q211" s="24"/>
      <c r="R211" s="26"/>
      <c r="S211" s="14">
        <f t="shared" si="13"/>
        <v>31.4122627</v>
      </c>
      <c r="U211" s="21"/>
      <c r="V211" s="21"/>
    </row>
    <row r="212">
      <c r="A212" s="11">
        <v>200.0</v>
      </c>
      <c r="B212" s="11">
        <v>1.4202652173913E9</v>
      </c>
      <c r="C212" s="2">
        <v>-102.2513199</v>
      </c>
      <c r="D212" s="24">
        <f t="shared" si="1"/>
        <v>-134782.6087</v>
      </c>
      <c r="E212" s="25">
        <f t="shared" si="2"/>
        <v>27.54888396</v>
      </c>
      <c r="F212" s="24">
        <f t="shared" si="3"/>
        <v>0.0002043949455</v>
      </c>
      <c r="G212" s="24">
        <f t="shared" si="4"/>
        <v>0</v>
      </c>
      <c r="H212" s="26">
        <f t="shared" si="5"/>
        <v>0</v>
      </c>
      <c r="I212" s="24">
        <f t="shared" si="6"/>
        <v>0</v>
      </c>
      <c r="J212" s="24">
        <f t="shared" si="7"/>
        <v>0</v>
      </c>
      <c r="K212" s="24"/>
      <c r="L212" s="24">
        <f t="shared" si="8"/>
        <v>452.870652</v>
      </c>
      <c r="M212" s="14">
        <f t="shared" si="9"/>
        <v>414.8499302</v>
      </c>
      <c r="N212" s="27">
        <f t="shared" si="10"/>
        <v>38.02072175</v>
      </c>
      <c r="O212" s="24"/>
      <c r="P212" s="24"/>
      <c r="Q212" s="24"/>
      <c r="R212" s="26"/>
      <c r="S212" s="14">
        <f t="shared" si="13"/>
        <v>34.91428167</v>
      </c>
      <c r="U212" s="21"/>
      <c r="V212" s="21"/>
    </row>
    <row r="213">
      <c r="A213" s="11">
        <v>201.0</v>
      </c>
      <c r="B213" s="11">
        <v>1.42026956521739E9</v>
      </c>
      <c r="C213" s="2">
        <v>-102.1668015</v>
      </c>
      <c r="D213" s="24">
        <f t="shared" si="1"/>
        <v>-130434.7826</v>
      </c>
      <c r="E213" s="25">
        <f t="shared" si="2"/>
        <v>26.63058783</v>
      </c>
      <c r="F213" s="24">
        <f t="shared" si="3"/>
        <v>0.0002041678401</v>
      </c>
      <c r="G213" s="24">
        <f t="shared" si="4"/>
        <v>0</v>
      </c>
      <c r="H213" s="26">
        <f t="shared" si="5"/>
        <v>0</v>
      </c>
      <c r="I213" s="24">
        <f t="shared" si="6"/>
        <v>0</v>
      </c>
      <c r="J213" s="24">
        <f t="shared" si="7"/>
        <v>0</v>
      </c>
      <c r="K213" s="24"/>
      <c r="L213" s="24">
        <f t="shared" si="8"/>
        <v>461.770322</v>
      </c>
      <c r="M213" s="14">
        <f t="shared" si="9"/>
        <v>414.7625545</v>
      </c>
      <c r="N213" s="27">
        <f t="shared" si="10"/>
        <v>47.00776756</v>
      </c>
      <c r="O213" s="24"/>
      <c r="P213" s="24"/>
      <c r="Q213" s="24"/>
      <c r="R213" s="26"/>
      <c r="S213" s="14">
        <f t="shared" si="13"/>
        <v>43.16705116</v>
      </c>
      <c r="U213" s="21"/>
      <c r="V213" s="21"/>
    </row>
    <row r="214">
      <c r="A214" s="11">
        <v>202.0</v>
      </c>
      <c r="B214" s="11">
        <v>1.42027391304347E9</v>
      </c>
      <c r="C214" s="2">
        <v>-102.1989212</v>
      </c>
      <c r="D214" s="24">
        <f t="shared" si="1"/>
        <v>-126086.9565</v>
      </c>
      <c r="E214" s="25">
        <f t="shared" si="2"/>
        <v>25.7122917</v>
      </c>
      <c r="F214" s="24">
        <f t="shared" si="3"/>
        <v>0.0002039250721</v>
      </c>
      <c r="G214" s="24">
        <f t="shared" si="4"/>
        <v>0</v>
      </c>
      <c r="H214" s="26">
        <f t="shared" si="5"/>
        <v>0</v>
      </c>
      <c r="I214" s="24">
        <f t="shared" si="6"/>
        <v>0</v>
      </c>
      <c r="J214" s="24">
        <f t="shared" si="7"/>
        <v>0</v>
      </c>
      <c r="K214" s="24"/>
      <c r="L214" s="24">
        <f t="shared" si="8"/>
        <v>458.3677432</v>
      </c>
      <c r="M214" s="14">
        <f t="shared" si="9"/>
        <v>414.6752476</v>
      </c>
      <c r="N214" s="27">
        <f t="shared" si="10"/>
        <v>43.69249568</v>
      </c>
      <c r="O214" s="24"/>
      <c r="P214" s="24"/>
      <c r="Q214" s="24"/>
      <c r="R214" s="26"/>
      <c r="S214" s="14">
        <f t="shared" si="13"/>
        <v>40.12264982</v>
      </c>
      <c r="U214" s="21"/>
      <c r="V214" s="21"/>
    </row>
    <row r="215">
      <c r="A215" s="11">
        <v>203.0</v>
      </c>
      <c r="B215" s="11">
        <v>1.42027826086956E9</v>
      </c>
      <c r="C215" s="2">
        <v>-102.1644821</v>
      </c>
      <c r="D215" s="24">
        <f t="shared" si="1"/>
        <v>-121739.1304</v>
      </c>
      <c r="E215" s="25">
        <f t="shared" si="2"/>
        <v>24.79399557</v>
      </c>
      <c r="F215" s="24">
        <f t="shared" si="3"/>
        <v>0.0002036649636</v>
      </c>
      <c r="G215" s="24">
        <f t="shared" si="4"/>
        <v>0</v>
      </c>
      <c r="H215" s="26">
        <f t="shared" si="5"/>
        <v>0</v>
      </c>
      <c r="I215" s="24">
        <f t="shared" si="6"/>
        <v>0</v>
      </c>
      <c r="J215" s="24">
        <f t="shared" si="7"/>
        <v>0</v>
      </c>
      <c r="K215" s="24"/>
      <c r="L215" s="24">
        <f t="shared" si="8"/>
        <v>462.0170017</v>
      </c>
      <c r="M215" s="14">
        <f t="shared" si="9"/>
        <v>414.5880094</v>
      </c>
      <c r="N215" s="27">
        <f t="shared" si="10"/>
        <v>47.42899224</v>
      </c>
      <c r="O215" s="24"/>
      <c r="P215" s="24"/>
      <c r="Q215" s="24"/>
      <c r="R215" s="26"/>
      <c r="S215" s="14">
        <f t="shared" si="13"/>
        <v>43.55386005</v>
      </c>
      <c r="U215" s="21"/>
      <c r="V215" s="21"/>
    </row>
    <row r="216">
      <c r="A216" s="11">
        <v>204.0</v>
      </c>
      <c r="B216" s="11">
        <v>1.42028260869565E9</v>
      </c>
      <c r="C216" s="2">
        <v>-102.2098312</v>
      </c>
      <c r="D216" s="24">
        <f t="shared" si="1"/>
        <v>-117391.3043</v>
      </c>
      <c r="E216" s="25">
        <f t="shared" si="2"/>
        <v>23.87569944</v>
      </c>
      <c r="F216" s="24">
        <f t="shared" si="3"/>
        <v>0.0002033855878</v>
      </c>
      <c r="G216" s="24">
        <f t="shared" si="4"/>
        <v>0</v>
      </c>
      <c r="H216" s="26">
        <f t="shared" si="5"/>
        <v>0</v>
      </c>
      <c r="I216" s="24">
        <f t="shared" si="6"/>
        <v>0</v>
      </c>
      <c r="J216" s="24">
        <f t="shared" si="7"/>
        <v>0</v>
      </c>
      <c r="K216" s="24"/>
      <c r="L216" s="24">
        <f t="shared" si="8"/>
        <v>457.2177134</v>
      </c>
      <c r="M216" s="14">
        <f t="shared" si="9"/>
        <v>414.5008401</v>
      </c>
      <c r="N216" s="27">
        <f t="shared" si="10"/>
        <v>42.71687329</v>
      </c>
      <c r="O216" s="24"/>
      <c r="P216" s="24"/>
      <c r="Q216" s="24"/>
      <c r="R216" s="26"/>
      <c r="S216" s="14">
        <f t="shared" si="13"/>
        <v>39.22673955</v>
      </c>
      <c r="U216" s="21"/>
      <c r="V216" s="21"/>
    </row>
    <row r="217">
      <c r="A217" s="11">
        <v>205.0</v>
      </c>
      <c r="B217" s="11">
        <v>1.42028695652173E9</v>
      </c>
      <c r="C217" s="2">
        <v>-102.2508316</v>
      </c>
      <c r="D217" s="24">
        <f t="shared" si="1"/>
        <v>-113043.4783</v>
      </c>
      <c r="E217" s="25">
        <f t="shared" si="2"/>
        <v>22.9574033</v>
      </c>
      <c r="F217" s="24">
        <f t="shared" si="3"/>
        <v>0.0002030847215</v>
      </c>
      <c r="G217" s="24">
        <f t="shared" si="4"/>
        <v>0</v>
      </c>
      <c r="H217" s="26">
        <f t="shared" si="5"/>
        <v>0</v>
      </c>
      <c r="I217" s="24">
        <f t="shared" si="6"/>
        <v>0</v>
      </c>
      <c r="J217" s="24">
        <f t="shared" si="7"/>
        <v>0</v>
      </c>
      <c r="K217" s="24"/>
      <c r="L217" s="24">
        <f t="shared" si="8"/>
        <v>452.9215734</v>
      </c>
      <c r="M217" s="14">
        <f t="shared" si="9"/>
        <v>414.4137396</v>
      </c>
      <c r="N217" s="27">
        <f t="shared" si="10"/>
        <v>38.50783387</v>
      </c>
      <c r="O217" s="24"/>
      <c r="P217" s="24"/>
      <c r="Q217" s="24"/>
      <c r="R217" s="26"/>
      <c r="S217" s="14">
        <f t="shared" si="13"/>
        <v>35.36159492</v>
      </c>
      <c r="U217" s="21"/>
      <c r="V217" s="21"/>
    </row>
    <row r="218">
      <c r="A218" s="11">
        <v>206.0</v>
      </c>
      <c r="B218" s="11">
        <v>1.42029130434782E9</v>
      </c>
      <c r="C218" s="2">
        <v>-102.2402954</v>
      </c>
      <c r="D218" s="24">
        <f t="shared" si="1"/>
        <v>-108695.6522</v>
      </c>
      <c r="E218" s="25">
        <f t="shared" si="2"/>
        <v>22.03910717</v>
      </c>
      <c r="F218" s="24">
        <f t="shared" si="3"/>
        <v>0.000202759786</v>
      </c>
      <c r="G218" s="24">
        <f t="shared" si="4"/>
        <v>0</v>
      </c>
      <c r="H218" s="26">
        <f t="shared" si="5"/>
        <v>0</v>
      </c>
      <c r="I218" s="24">
        <f t="shared" si="6"/>
        <v>0</v>
      </c>
      <c r="J218" s="24">
        <f t="shared" si="7"/>
        <v>0</v>
      </c>
      <c r="K218" s="24"/>
      <c r="L218" s="24">
        <f t="shared" si="8"/>
        <v>454.0217177</v>
      </c>
      <c r="M218" s="14">
        <f t="shared" si="9"/>
        <v>414.3267078</v>
      </c>
      <c r="N218" s="27">
        <f t="shared" si="10"/>
        <v>39.69500988</v>
      </c>
      <c r="O218" s="24"/>
      <c r="P218" s="24"/>
      <c r="Q218" s="24"/>
      <c r="R218" s="26"/>
      <c r="S218" s="14">
        <f t="shared" si="13"/>
        <v>36.45177407</v>
      </c>
      <c r="U218" s="21"/>
      <c r="V218" s="21"/>
    </row>
    <row r="219">
      <c r="A219" s="11">
        <v>207.0</v>
      </c>
      <c r="B219" s="11">
        <v>1.42029565217391E9</v>
      </c>
      <c r="C219" s="2">
        <v>-102.2045746</v>
      </c>
      <c r="D219" s="24">
        <f t="shared" si="1"/>
        <v>-104347.8261</v>
      </c>
      <c r="E219" s="25">
        <f t="shared" si="2"/>
        <v>21.12081104</v>
      </c>
      <c r="F219" s="24">
        <f t="shared" si="3"/>
        <v>0.0002024077725</v>
      </c>
      <c r="G219" s="24">
        <f t="shared" si="4"/>
        <v>0</v>
      </c>
      <c r="H219" s="26">
        <f t="shared" si="5"/>
        <v>0</v>
      </c>
      <c r="I219" s="24">
        <f t="shared" si="6"/>
        <v>0</v>
      </c>
      <c r="J219" s="24">
        <f t="shared" si="7"/>
        <v>0</v>
      </c>
      <c r="K219" s="24"/>
      <c r="L219" s="24">
        <f t="shared" si="8"/>
        <v>457.7714542</v>
      </c>
      <c r="M219" s="14">
        <f t="shared" si="9"/>
        <v>414.2397447</v>
      </c>
      <c r="N219" s="27">
        <f t="shared" si="10"/>
        <v>43.53170951</v>
      </c>
      <c r="O219" s="24"/>
      <c r="P219" s="24"/>
      <c r="Q219" s="24"/>
      <c r="R219" s="26"/>
      <c r="S219" s="14">
        <f t="shared" si="13"/>
        <v>39.97500041</v>
      </c>
      <c r="U219" s="21"/>
      <c r="V219" s="21"/>
    </row>
    <row r="220">
      <c r="A220" s="11">
        <v>208.0</v>
      </c>
      <c r="B220" s="11">
        <v>1.4203E9</v>
      </c>
      <c r="C220" s="2">
        <v>-102.2072144</v>
      </c>
      <c r="D220" s="24">
        <f t="shared" si="1"/>
        <v>-100000</v>
      </c>
      <c r="E220" s="25">
        <f t="shared" si="2"/>
        <v>20.20251491</v>
      </c>
      <c r="F220" s="24">
        <f t="shared" si="3"/>
        <v>0.0002020251491</v>
      </c>
      <c r="G220" s="24">
        <f t="shared" si="4"/>
        <v>0</v>
      </c>
      <c r="H220" s="26">
        <f t="shared" si="5"/>
        <v>0</v>
      </c>
      <c r="I220" s="24">
        <f t="shared" si="6"/>
        <v>0</v>
      </c>
      <c r="J220" s="24">
        <f t="shared" si="7"/>
        <v>0</v>
      </c>
      <c r="K220" s="24"/>
      <c r="L220" s="24">
        <f t="shared" si="8"/>
        <v>457.4932886</v>
      </c>
      <c r="M220" s="14">
        <f t="shared" si="9"/>
        <v>414.1528503</v>
      </c>
      <c r="N220" s="27">
        <f t="shared" si="10"/>
        <v>43.34043826</v>
      </c>
      <c r="O220" s="24"/>
      <c r="P220" s="24"/>
      <c r="Q220" s="24"/>
      <c r="R220" s="26"/>
      <c r="S220" s="14">
        <f t="shared" si="13"/>
        <v>39.79935685</v>
      </c>
      <c r="U220" s="21"/>
      <c r="V220" s="21"/>
    </row>
    <row r="221">
      <c r="A221" s="11">
        <v>209.0</v>
      </c>
      <c r="B221" s="11">
        <v>1.42030434782608E9</v>
      </c>
      <c r="C221" s="2">
        <v>-102.1801529</v>
      </c>
      <c r="D221" s="24">
        <f t="shared" si="1"/>
        <v>-95652.17392</v>
      </c>
      <c r="E221" s="25">
        <f t="shared" si="2"/>
        <v>19.28421878</v>
      </c>
      <c r="F221" s="24">
        <f t="shared" si="3"/>
        <v>0.0002016077417</v>
      </c>
      <c r="G221" s="24">
        <f t="shared" si="4"/>
        <v>0</v>
      </c>
      <c r="H221" s="26">
        <f t="shared" si="5"/>
        <v>0</v>
      </c>
      <c r="I221" s="24">
        <f t="shared" si="6"/>
        <v>0</v>
      </c>
      <c r="J221" s="24">
        <f t="shared" si="7"/>
        <v>0</v>
      </c>
      <c r="K221" s="24"/>
      <c r="L221" s="24">
        <f t="shared" si="8"/>
        <v>460.3528937</v>
      </c>
      <c r="M221" s="14">
        <f t="shared" si="9"/>
        <v>414.0660247</v>
      </c>
      <c r="N221" s="27">
        <f t="shared" si="10"/>
        <v>46.286869</v>
      </c>
      <c r="O221" s="24"/>
      <c r="P221" s="24"/>
      <c r="Q221" s="24"/>
      <c r="R221" s="26"/>
      <c r="S221" s="14">
        <f t="shared" si="13"/>
        <v>42.5050528</v>
      </c>
      <c r="U221" s="21"/>
      <c r="V221" s="21"/>
    </row>
    <row r="222">
      <c r="A222" s="11">
        <v>210.0</v>
      </c>
      <c r="B222" s="11">
        <v>1.42030869565217E9</v>
      </c>
      <c r="C222" s="2">
        <v>-102.1884155</v>
      </c>
      <c r="D222" s="24">
        <f t="shared" si="1"/>
        <v>-91304.34783</v>
      </c>
      <c r="E222" s="25">
        <f t="shared" si="2"/>
        <v>18.36592264</v>
      </c>
      <c r="F222" s="24">
        <f t="shared" si="3"/>
        <v>0.0002011505813</v>
      </c>
      <c r="G222" s="24">
        <f t="shared" si="4"/>
        <v>0</v>
      </c>
      <c r="H222" s="26">
        <f t="shared" si="5"/>
        <v>0</v>
      </c>
      <c r="I222" s="24">
        <f t="shared" si="6"/>
        <v>0</v>
      </c>
      <c r="J222" s="24">
        <f t="shared" si="7"/>
        <v>0</v>
      </c>
      <c r="K222" s="24"/>
      <c r="L222" s="24">
        <f t="shared" si="8"/>
        <v>459.4778893</v>
      </c>
      <c r="M222" s="14">
        <f t="shared" si="9"/>
        <v>413.9792677</v>
      </c>
      <c r="N222" s="27">
        <f t="shared" si="10"/>
        <v>45.4986216</v>
      </c>
      <c r="O222" s="24"/>
      <c r="P222" s="24"/>
      <c r="Q222" s="24"/>
      <c r="R222" s="26"/>
      <c r="S222" s="14">
        <f t="shared" si="13"/>
        <v>41.78120817</v>
      </c>
      <c r="U222" s="21"/>
      <c r="V222" s="21"/>
    </row>
    <row r="223">
      <c r="A223" s="11">
        <v>211.0</v>
      </c>
      <c r="B223" s="11">
        <v>1.42031304347826E9</v>
      </c>
      <c r="C223" s="2">
        <v>-102.1424179</v>
      </c>
      <c r="D223" s="24">
        <f t="shared" si="1"/>
        <v>-86956.52174</v>
      </c>
      <c r="E223" s="25">
        <f t="shared" si="2"/>
        <v>17.44762651</v>
      </c>
      <c r="F223" s="24">
        <f t="shared" si="3"/>
        <v>0.0002006477049</v>
      </c>
      <c r="G223" s="24">
        <f t="shared" si="4"/>
        <v>0</v>
      </c>
      <c r="H223" s="26">
        <f t="shared" si="5"/>
        <v>0</v>
      </c>
      <c r="I223" s="24">
        <f t="shared" si="6"/>
        <v>0</v>
      </c>
      <c r="J223" s="24">
        <f t="shared" si="7"/>
        <v>0</v>
      </c>
      <c r="K223" s="24"/>
      <c r="L223" s="24">
        <f t="shared" si="8"/>
        <v>464.3702378</v>
      </c>
      <c r="M223" s="14">
        <f t="shared" si="9"/>
        <v>413.8925794</v>
      </c>
      <c r="N223" s="27">
        <f t="shared" si="10"/>
        <v>50.47765846</v>
      </c>
      <c r="O223" s="24"/>
      <c r="P223" s="24"/>
      <c r="Q223" s="24"/>
      <c r="R223" s="26"/>
      <c r="S223" s="14">
        <f t="shared" si="13"/>
        <v>46.35343856</v>
      </c>
      <c r="U223" s="21"/>
      <c r="V223" s="21"/>
    </row>
    <row r="224">
      <c r="A224" s="11">
        <v>212.0</v>
      </c>
      <c r="B224" s="11">
        <v>1.42031739130434E9</v>
      </c>
      <c r="C224" s="2">
        <v>-102.1462173</v>
      </c>
      <c r="D224" s="24">
        <f t="shared" si="1"/>
        <v>-82608.69566</v>
      </c>
      <c r="E224" s="25">
        <f t="shared" si="2"/>
        <v>16.52933038</v>
      </c>
      <c r="F224" s="24">
        <f t="shared" si="3"/>
        <v>0.000200091894</v>
      </c>
      <c r="G224" s="24">
        <f t="shared" si="4"/>
        <v>0</v>
      </c>
      <c r="H224" s="26">
        <f t="shared" si="5"/>
        <v>0</v>
      </c>
      <c r="I224" s="24">
        <f t="shared" si="6"/>
        <v>0</v>
      </c>
      <c r="J224" s="24">
        <f t="shared" si="7"/>
        <v>0</v>
      </c>
      <c r="K224" s="24"/>
      <c r="L224" s="24">
        <f t="shared" si="8"/>
        <v>463.9641639</v>
      </c>
      <c r="M224" s="14">
        <f t="shared" si="9"/>
        <v>413.8059597</v>
      </c>
      <c r="N224" s="27">
        <f t="shared" si="10"/>
        <v>50.15820422</v>
      </c>
      <c r="O224" s="24"/>
      <c r="P224" s="24"/>
      <c r="Q224" s="24"/>
      <c r="R224" s="26"/>
      <c r="S224" s="14">
        <f t="shared" si="13"/>
        <v>46.06008496</v>
      </c>
      <c r="U224" s="21"/>
      <c r="V224" s="21"/>
    </row>
    <row r="225">
      <c r="A225" s="11">
        <v>213.0</v>
      </c>
      <c r="B225" s="11">
        <v>1.42032173913043E9</v>
      </c>
      <c r="C225" s="2">
        <v>-102.2616272</v>
      </c>
      <c r="D225" s="24">
        <f t="shared" si="1"/>
        <v>-78260.86957</v>
      </c>
      <c r="E225" s="25">
        <f t="shared" si="2"/>
        <v>15.61103425</v>
      </c>
      <c r="F225" s="24">
        <f t="shared" si="3"/>
        <v>0.0001994743265</v>
      </c>
      <c r="G225" s="24">
        <f t="shared" si="4"/>
        <v>0</v>
      </c>
      <c r="H225" s="26">
        <f t="shared" si="5"/>
        <v>0</v>
      </c>
      <c r="I225" s="24">
        <f t="shared" si="6"/>
        <v>0</v>
      </c>
      <c r="J225" s="24">
        <f t="shared" si="7"/>
        <v>0</v>
      </c>
      <c r="K225" s="24"/>
      <c r="L225" s="24">
        <f t="shared" si="8"/>
        <v>451.7971088</v>
      </c>
      <c r="M225" s="14">
        <f t="shared" si="9"/>
        <v>413.7194086</v>
      </c>
      <c r="N225" s="27">
        <f t="shared" si="10"/>
        <v>38.07770021</v>
      </c>
      <c r="O225" s="24"/>
      <c r="P225" s="24"/>
      <c r="Q225" s="24"/>
      <c r="R225" s="26"/>
      <c r="S225" s="14">
        <f t="shared" si="13"/>
        <v>34.96660476</v>
      </c>
      <c r="U225" s="21"/>
      <c r="V225" s="21"/>
    </row>
    <row r="226">
      <c r="A226" s="11">
        <v>214.0</v>
      </c>
      <c r="B226" s="11">
        <v>1.42032608695652E9</v>
      </c>
      <c r="C226" s="2">
        <v>-102.2416534</v>
      </c>
      <c r="D226" s="24">
        <f t="shared" si="1"/>
        <v>-73913.04348</v>
      </c>
      <c r="E226" s="25">
        <f t="shared" si="2"/>
        <v>14.69273812</v>
      </c>
      <c r="F226" s="24">
        <f t="shared" si="3"/>
        <v>0.0001987841039</v>
      </c>
      <c r="G226" s="24">
        <f t="shared" si="4"/>
        <v>0</v>
      </c>
      <c r="H226" s="26">
        <f t="shared" si="5"/>
        <v>0</v>
      </c>
      <c r="I226" s="24">
        <f t="shared" si="6"/>
        <v>0</v>
      </c>
      <c r="J226" s="24">
        <f t="shared" si="7"/>
        <v>0</v>
      </c>
      <c r="K226" s="24"/>
      <c r="L226" s="24">
        <f t="shared" si="8"/>
        <v>453.8797713</v>
      </c>
      <c r="M226" s="14">
        <f t="shared" si="9"/>
        <v>413.6329261</v>
      </c>
      <c r="N226" s="27">
        <f t="shared" si="10"/>
        <v>40.24684523</v>
      </c>
      <c r="O226" s="24"/>
      <c r="P226" s="24"/>
      <c r="Q226" s="24"/>
      <c r="R226" s="26"/>
      <c r="S226" s="14">
        <f t="shared" si="13"/>
        <v>36.95852233</v>
      </c>
      <c r="U226" s="21"/>
      <c r="V226" s="21"/>
    </row>
    <row r="227">
      <c r="A227" s="11">
        <v>215.0</v>
      </c>
      <c r="B227" s="11">
        <v>1.4203304347826E9</v>
      </c>
      <c r="C227" s="2">
        <v>-102.179657</v>
      </c>
      <c r="D227" s="24">
        <f t="shared" si="1"/>
        <v>-69565.2174</v>
      </c>
      <c r="E227" s="25">
        <f t="shared" si="2"/>
        <v>13.77444198</v>
      </c>
      <c r="F227" s="24">
        <f t="shared" si="3"/>
        <v>0.0001980076035</v>
      </c>
      <c r="G227" s="24">
        <f t="shared" si="4"/>
        <v>0</v>
      </c>
      <c r="H227" s="26">
        <f t="shared" si="5"/>
        <v>0</v>
      </c>
      <c r="I227" s="24">
        <f t="shared" si="6"/>
        <v>0</v>
      </c>
      <c r="J227" s="24">
        <f t="shared" si="7"/>
        <v>0</v>
      </c>
      <c r="K227" s="24"/>
      <c r="L227" s="24">
        <f t="shared" si="8"/>
        <v>460.4054622</v>
      </c>
      <c r="M227" s="14">
        <f t="shared" si="9"/>
        <v>413.5465122</v>
      </c>
      <c r="N227" s="27">
        <f t="shared" si="10"/>
        <v>46.85894998</v>
      </c>
      <c r="O227" s="24"/>
      <c r="P227" s="24"/>
      <c r="Q227" s="24"/>
      <c r="R227" s="26"/>
      <c r="S227" s="14">
        <f t="shared" si="13"/>
        <v>43.03039255</v>
      </c>
      <c r="U227" s="21"/>
      <c r="V227" s="21"/>
    </row>
    <row r="228">
      <c r="A228" s="11">
        <v>216.0</v>
      </c>
      <c r="B228" s="11">
        <v>1.42033478260869E9</v>
      </c>
      <c r="C228" s="2">
        <v>-102.1805954</v>
      </c>
      <c r="D228" s="24">
        <f t="shared" si="1"/>
        <v>-65217.39131</v>
      </c>
      <c r="E228" s="25">
        <f t="shared" si="2"/>
        <v>12.85614585</v>
      </c>
      <c r="F228" s="24">
        <f t="shared" si="3"/>
        <v>0.0001971275697</v>
      </c>
      <c r="G228" s="24">
        <f t="shared" si="4"/>
        <v>0</v>
      </c>
      <c r="H228" s="26">
        <f t="shared" si="5"/>
        <v>0</v>
      </c>
      <c r="I228" s="24">
        <f t="shared" si="6"/>
        <v>0</v>
      </c>
      <c r="J228" s="24">
        <f t="shared" si="7"/>
        <v>0</v>
      </c>
      <c r="K228" s="24"/>
      <c r="L228" s="24">
        <f t="shared" si="8"/>
        <v>460.305991</v>
      </c>
      <c r="M228" s="14">
        <f t="shared" si="9"/>
        <v>413.4601668</v>
      </c>
      <c r="N228" s="27">
        <f t="shared" si="10"/>
        <v>46.84582416</v>
      </c>
      <c r="O228" s="24"/>
      <c r="P228" s="24"/>
      <c r="Q228" s="24"/>
      <c r="R228" s="26"/>
      <c r="S228" s="14">
        <f t="shared" si="13"/>
        <v>43.01833916</v>
      </c>
      <c r="U228" s="21"/>
      <c r="V228" s="21"/>
    </row>
    <row r="229">
      <c r="A229" s="11">
        <v>217.0</v>
      </c>
      <c r="B229" s="11">
        <v>1.42033913043478E9</v>
      </c>
      <c r="C229" s="2">
        <v>-102.1464691</v>
      </c>
      <c r="D229" s="24">
        <f t="shared" si="1"/>
        <v>-60869.56522</v>
      </c>
      <c r="E229" s="25">
        <f t="shared" si="2"/>
        <v>11.93784972</v>
      </c>
      <c r="F229" s="24">
        <f t="shared" si="3"/>
        <v>0.0001961218168</v>
      </c>
      <c r="G229" s="24">
        <f t="shared" si="4"/>
        <v>0</v>
      </c>
      <c r="H229" s="26">
        <f t="shared" si="5"/>
        <v>0</v>
      </c>
      <c r="I229" s="24">
        <f t="shared" si="6"/>
        <v>0</v>
      </c>
      <c r="J229" s="24">
        <f t="shared" si="7"/>
        <v>0</v>
      </c>
      <c r="K229" s="24"/>
      <c r="L229" s="24">
        <f t="shared" si="8"/>
        <v>463.9372644</v>
      </c>
      <c r="M229" s="14">
        <f t="shared" si="9"/>
        <v>413.37389</v>
      </c>
      <c r="N229" s="27">
        <f t="shared" si="10"/>
        <v>50.5633744</v>
      </c>
      <c r="O229" s="24"/>
      <c r="P229" s="24"/>
      <c r="Q229" s="24"/>
      <c r="R229" s="26"/>
      <c r="S229" s="14">
        <f t="shared" si="13"/>
        <v>46.43215107</v>
      </c>
      <c r="U229" s="21"/>
      <c r="V229" s="21"/>
    </row>
    <row r="230">
      <c r="A230" s="11">
        <v>218.0</v>
      </c>
      <c r="B230" s="11">
        <v>1.42034347826087E9</v>
      </c>
      <c r="C230" s="2">
        <v>-102.1839752</v>
      </c>
      <c r="D230" s="24">
        <f t="shared" si="1"/>
        <v>-56521.73913</v>
      </c>
      <c r="E230" s="25">
        <f t="shared" si="2"/>
        <v>11.01955359</v>
      </c>
      <c r="F230" s="24">
        <f t="shared" si="3"/>
        <v>0.0001949613327</v>
      </c>
      <c r="G230" s="24">
        <f t="shared" si="4"/>
        <v>0</v>
      </c>
      <c r="H230" s="26">
        <f t="shared" si="5"/>
        <v>0</v>
      </c>
      <c r="I230" s="24">
        <f t="shared" si="6"/>
        <v>0</v>
      </c>
      <c r="J230" s="24">
        <f t="shared" si="7"/>
        <v>0</v>
      </c>
      <c r="K230" s="24"/>
      <c r="L230" s="24">
        <f t="shared" si="8"/>
        <v>459.9479075</v>
      </c>
      <c r="M230" s="14">
        <f t="shared" si="9"/>
        <v>413.2876817</v>
      </c>
      <c r="N230" s="27">
        <f t="shared" si="10"/>
        <v>46.66022572</v>
      </c>
      <c r="O230" s="24"/>
      <c r="P230" s="24"/>
      <c r="Q230" s="24"/>
      <c r="R230" s="26"/>
      <c r="S230" s="14">
        <f t="shared" si="13"/>
        <v>42.84790483</v>
      </c>
      <c r="U230" s="21"/>
      <c r="V230" s="21"/>
    </row>
    <row r="231">
      <c r="A231" s="11">
        <v>219.0</v>
      </c>
      <c r="B231" s="11">
        <v>1.42034782608695E9</v>
      </c>
      <c r="C231" s="2">
        <v>-102.1814117</v>
      </c>
      <c r="D231" s="24">
        <f t="shared" si="1"/>
        <v>-52173.91305</v>
      </c>
      <c r="E231" s="25">
        <f t="shared" si="2"/>
        <v>10.10125745</v>
      </c>
      <c r="F231" s="24">
        <f t="shared" si="3"/>
        <v>0.0001936074345</v>
      </c>
      <c r="G231" s="24">
        <f t="shared" si="4"/>
        <v>0</v>
      </c>
      <c r="H231" s="26">
        <f t="shared" si="5"/>
        <v>0</v>
      </c>
      <c r="I231" s="24">
        <f t="shared" si="6"/>
        <v>0</v>
      </c>
      <c r="J231" s="24">
        <f t="shared" si="7"/>
        <v>0</v>
      </c>
      <c r="K231" s="24"/>
      <c r="L231" s="24">
        <f t="shared" si="8"/>
        <v>460.21948</v>
      </c>
      <c r="M231" s="14">
        <f t="shared" si="9"/>
        <v>413.201542</v>
      </c>
      <c r="N231" s="27">
        <f t="shared" si="10"/>
        <v>47.01793803</v>
      </c>
      <c r="O231" s="24"/>
      <c r="P231" s="24"/>
      <c r="Q231" s="24"/>
      <c r="R231" s="26"/>
      <c r="S231" s="14">
        <f t="shared" si="13"/>
        <v>43.17639067</v>
      </c>
      <c r="U231" s="21"/>
      <c r="V231" s="21"/>
    </row>
    <row r="232">
      <c r="A232" s="11">
        <v>220.0</v>
      </c>
      <c r="B232" s="11">
        <v>1.42035217391304E9</v>
      </c>
      <c r="C232" s="2">
        <v>-102.1358109</v>
      </c>
      <c r="D232" s="24">
        <f t="shared" si="1"/>
        <v>-47826.08696</v>
      </c>
      <c r="E232" s="25">
        <f t="shared" si="2"/>
        <v>9.182961321</v>
      </c>
      <c r="F232" s="24">
        <f t="shared" si="3"/>
        <v>0.0001920073731</v>
      </c>
      <c r="G232" s="24">
        <f t="shared" si="4"/>
        <v>0</v>
      </c>
      <c r="H232" s="26">
        <f t="shared" si="5"/>
        <v>0</v>
      </c>
      <c r="I232" s="24">
        <f t="shared" si="6"/>
        <v>0</v>
      </c>
      <c r="J232" s="24">
        <f t="shared" si="7"/>
        <v>0</v>
      </c>
      <c r="K232" s="24"/>
      <c r="L232" s="24">
        <f t="shared" si="8"/>
        <v>465.0772303</v>
      </c>
      <c r="M232" s="14">
        <f t="shared" si="9"/>
        <v>413.1154707</v>
      </c>
      <c r="N232" s="27">
        <f t="shared" si="10"/>
        <v>51.96175958</v>
      </c>
      <c r="O232" s="24"/>
      <c r="P232" s="24"/>
      <c r="Q232" s="24"/>
      <c r="R232" s="26"/>
      <c r="S232" s="14">
        <f t="shared" si="13"/>
        <v>47.71628277</v>
      </c>
      <c r="U232" s="21"/>
      <c r="V232" s="21"/>
    </row>
    <row r="233">
      <c r="A233" s="11">
        <v>221.0</v>
      </c>
      <c r="B233" s="11">
        <v>1.42035652173913E9</v>
      </c>
      <c r="C233" s="2">
        <v>-102.1313553</v>
      </c>
      <c r="D233" s="24">
        <f t="shared" si="1"/>
        <v>-43478.26087</v>
      </c>
      <c r="E233" s="25">
        <f t="shared" si="2"/>
        <v>8.264665191</v>
      </c>
      <c r="F233" s="24">
        <f t="shared" si="3"/>
        <v>0.0001900872994</v>
      </c>
      <c r="G233" s="24">
        <f t="shared" si="4"/>
        <v>0</v>
      </c>
      <c r="H233" s="26">
        <f t="shared" si="5"/>
        <v>0</v>
      </c>
      <c r="I233" s="24">
        <f t="shared" si="6"/>
        <v>0</v>
      </c>
      <c r="J233" s="24">
        <f t="shared" si="7"/>
        <v>0</v>
      </c>
      <c r="K233" s="24"/>
      <c r="L233" s="24">
        <f t="shared" si="8"/>
        <v>465.5546163</v>
      </c>
      <c r="M233" s="14">
        <f t="shared" si="9"/>
        <v>413.0294678</v>
      </c>
      <c r="N233" s="27">
        <f t="shared" si="10"/>
        <v>52.52514851</v>
      </c>
      <c r="O233" s="24"/>
      <c r="P233" s="24"/>
      <c r="Q233" s="24"/>
      <c r="R233" s="26"/>
      <c r="S233" s="14">
        <f t="shared" si="13"/>
        <v>48.23364075</v>
      </c>
      <c r="U233" s="21"/>
      <c r="V233" s="21"/>
    </row>
    <row r="234">
      <c r="A234" s="11">
        <v>222.0</v>
      </c>
      <c r="B234" s="11">
        <v>1.42036086956521E9</v>
      </c>
      <c r="C234" s="2">
        <v>-102.1827774</v>
      </c>
      <c r="D234" s="24">
        <f t="shared" si="1"/>
        <v>-39130.43479</v>
      </c>
      <c r="E234" s="25">
        <f t="shared" si="2"/>
        <v>7.346369058</v>
      </c>
      <c r="F234" s="24">
        <f t="shared" si="3"/>
        <v>0.0001877405426</v>
      </c>
      <c r="G234" s="24">
        <f t="shared" si="4"/>
        <v>0</v>
      </c>
      <c r="H234" s="26">
        <f t="shared" si="5"/>
        <v>0</v>
      </c>
      <c r="I234" s="24">
        <f t="shared" si="6"/>
        <v>0</v>
      </c>
      <c r="J234" s="24">
        <f t="shared" si="7"/>
        <v>0</v>
      </c>
      <c r="K234" s="24"/>
      <c r="L234" s="24">
        <f t="shared" si="8"/>
        <v>460.0747803</v>
      </c>
      <c r="M234" s="14">
        <f t="shared" si="9"/>
        <v>412.9435334</v>
      </c>
      <c r="N234" s="27">
        <f t="shared" si="10"/>
        <v>47.13124683</v>
      </c>
      <c r="O234" s="24"/>
      <c r="P234" s="24"/>
      <c r="Q234" s="24"/>
      <c r="R234" s="26"/>
      <c r="S234" s="14">
        <f t="shared" si="13"/>
        <v>43.28044169</v>
      </c>
      <c r="U234" s="21"/>
      <c r="V234" s="21"/>
    </row>
    <row r="235">
      <c r="A235" s="11">
        <v>223.0</v>
      </c>
      <c r="B235" s="11">
        <v>1.4203652173913E9</v>
      </c>
      <c r="C235" s="2">
        <v>-102.194191</v>
      </c>
      <c r="D235" s="24">
        <f t="shared" si="1"/>
        <v>-34782.6087</v>
      </c>
      <c r="E235" s="25">
        <f t="shared" si="2"/>
        <v>6.428072925</v>
      </c>
      <c r="F235" s="24">
        <f t="shared" si="3"/>
        <v>0.0001848070966</v>
      </c>
      <c r="G235" s="24">
        <f t="shared" si="4"/>
        <v>0</v>
      </c>
      <c r="H235" s="26">
        <f t="shared" si="5"/>
        <v>0</v>
      </c>
      <c r="I235" s="24">
        <f t="shared" si="6"/>
        <v>0</v>
      </c>
      <c r="J235" s="24">
        <f t="shared" si="7"/>
        <v>0</v>
      </c>
      <c r="K235" s="24"/>
      <c r="L235" s="24">
        <f t="shared" si="8"/>
        <v>458.8672551</v>
      </c>
      <c r="M235" s="14">
        <f t="shared" si="9"/>
        <v>412.8576675</v>
      </c>
      <c r="N235" s="27">
        <f t="shared" si="10"/>
        <v>46.00958757</v>
      </c>
      <c r="O235" s="24"/>
      <c r="P235" s="24"/>
      <c r="Q235" s="24"/>
      <c r="R235" s="26"/>
      <c r="S235" s="14">
        <f t="shared" si="13"/>
        <v>42.25042624</v>
      </c>
      <c r="U235" s="21"/>
      <c r="V235" s="21"/>
    </row>
    <row r="236">
      <c r="A236" s="11">
        <v>224.0</v>
      </c>
      <c r="B236" s="11">
        <v>1.42036956521739E9</v>
      </c>
      <c r="C236" s="2">
        <v>-102.1052094</v>
      </c>
      <c r="D236" s="24">
        <f t="shared" si="1"/>
        <v>-30434.78261</v>
      </c>
      <c r="E236" s="25">
        <f t="shared" si="2"/>
        <v>5.509776795</v>
      </c>
      <c r="F236" s="24">
        <f t="shared" si="3"/>
        <v>0.0001810355232</v>
      </c>
      <c r="G236" s="24">
        <f t="shared" si="4"/>
        <v>0</v>
      </c>
      <c r="H236" s="26">
        <f t="shared" si="5"/>
        <v>0</v>
      </c>
      <c r="I236" s="24">
        <f t="shared" si="6"/>
        <v>0</v>
      </c>
      <c r="J236" s="24">
        <f t="shared" si="7"/>
        <v>0</v>
      </c>
      <c r="K236" s="24"/>
      <c r="L236" s="24">
        <f t="shared" si="8"/>
        <v>468.365856</v>
      </c>
      <c r="M236" s="14">
        <f t="shared" si="9"/>
        <v>412.7718699</v>
      </c>
      <c r="N236" s="27">
        <f t="shared" si="10"/>
        <v>55.59398608</v>
      </c>
      <c r="O236" s="24"/>
      <c r="P236" s="24"/>
      <c r="Q236" s="24"/>
      <c r="R236" s="26"/>
      <c r="S236" s="14">
        <f t="shared" si="13"/>
        <v>51.05174243</v>
      </c>
      <c r="U236" s="21"/>
      <c r="V236" s="21"/>
    </row>
    <row r="237">
      <c r="A237" s="11">
        <v>225.0</v>
      </c>
      <c r="B237" s="11">
        <v>1.42037391304347E9</v>
      </c>
      <c r="C237" s="2">
        <v>-102.0822449</v>
      </c>
      <c r="D237" s="24">
        <f t="shared" si="1"/>
        <v>-26086.95653</v>
      </c>
      <c r="E237" s="25">
        <f t="shared" si="2"/>
        <v>4.591480662</v>
      </c>
      <c r="F237" s="24">
        <f t="shared" si="3"/>
        <v>0.0001760067586</v>
      </c>
      <c r="G237" s="24">
        <f t="shared" si="4"/>
        <v>0</v>
      </c>
      <c r="H237" s="26">
        <f t="shared" si="5"/>
        <v>0</v>
      </c>
      <c r="I237" s="24">
        <f t="shared" si="6"/>
        <v>0</v>
      </c>
      <c r="J237" s="24">
        <f t="shared" si="7"/>
        <v>0</v>
      </c>
      <c r="K237" s="24"/>
      <c r="L237" s="24">
        <f t="shared" si="8"/>
        <v>470.8490271</v>
      </c>
      <c r="M237" s="14">
        <f t="shared" si="9"/>
        <v>412.6861408</v>
      </c>
      <c r="N237" s="27">
        <f t="shared" si="10"/>
        <v>58.16288632</v>
      </c>
      <c r="O237" s="24"/>
      <c r="P237" s="24"/>
      <c r="Q237" s="24"/>
      <c r="R237" s="26"/>
      <c r="S237" s="14">
        <f t="shared" si="13"/>
        <v>53.41075358</v>
      </c>
      <c r="U237" s="21"/>
      <c r="V237" s="21"/>
    </row>
    <row r="238">
      <c r="A238" s="11">
        <v>226.0</v>
      </c>
      <c r="B238" s="11">
        <v>1.42037826086956E9</v>
      </c>
      <c r="C238" s="2">
        <v>-102.0746231</v>
      </c>
      <c r="D238" s="24">
        <f t="shared" si="1"/>
        <v>-21739.13044</v>
      </c>
      <c r="E238" s="25">
        <f t="shared" si="2"/>
        <v>3.673184529</v>
      </c>
      <c r="F238" s="24">
        <f t="shared" si="3"/>
        <v>0.0001689664883</v>
      </c>
      <c r="G238" s="24">
        <f t="shared" si="4"/>
        <v>0</v>
      </c>
      <c r="H238" s="26">
        <f t="shared" si="5"/>
        <v>0</v>
      </c>
      <c r="I238" s="24">
        <f t="shared" si="6"/>
        <v>0</v>
      </c>
      <c r="J238" s="24">
        <f t="shared" si="7"/>
        <v>0</v>
      </c>
      <c r="K238" s="24"/>
      <c r="L238" s="24">
        <f t="shared" si="8"/>
        <v>471.6760853</v>
      </c>
      <c r="M238" s="14">
        <f t="shared" si="9"/>
        <v>412.60048</v>
      </c>
      <c r="N238" s="27">
        <f t="shared" si="10"/>
        <v>59.0756053</v>
      </c>
      <c r="O238" s="24"/>
      <c r="P238" s="24"/>
      <c r="Q238" s="24"/>
      <c r="R238" s="26"/>
      <c r="S238" s="14">
        <f t="shared" si="13"/>
        <v>54.24889976</v>
      </c>
      <c r="U238" s="21"/>
      <c r="V238" s="21"/>
    </row>
    <row r="239">
      <c r="A239" s="11">
        <v>227.0</v>
      </c>
      <c r="B239" s="11">
        <v>1.42038260869565E9</v>
      </c>
      <c r="C239" s="2">
        <v>-102.0547714</v>
      </c>
      <c r="D239" s="24">
        <f t="shared" si="1"/>
        <v>-17391.30435</v>
      </c>
      <c r="E239" s="25">
        <f t="shared" si="2"/>
        <v>2.754888398</v>
      </c>
      <c r="F239" s="24">
        <f t="shared" si="3"/>
        <v>0.0001584060829</v>
      </c>
      <c r="G239" s="24">
        <f t="shared" si="4"/>
        <v>0</v>
      </c>
      <c r="H239" s="26">
        <f t="shared" si="5"/>
        <v>0</v>
      </c>
      <c r="I239" s="24">
        <f t="shared" si="6"/>
        <v>0</v>
      </c>
      <c r="J239" s="24">
        <f t="shared" si="7"/>
        <v>0</v>
      </c>
      <c r="K239" s="24"/>
      <c r="L239" s="24">
        <f t="shared" si="8"/>
        <v>473.8370626</v>
      </c>
      <c r="M239" s="14">
        <f t="shared" si="9"/>
        <v>412.5148875</v>
      </c>
      <c r="N239" s="27">
        <f t="shared" si="10"/>
        <v>61.32217508</v>
      </c>
      <c r="O239" s="24"/>
      <c r="P239" s="24"/>
      <c r="Q239" s="24"/>
      <c r="R239" s="26"/>
      <c r="S239" s="14">
        <f t="shared" si="13"/>
        <v>56.31191623</v>
      </c>
      <c r="U239" s="21"/>
      <c r="V239" s="21"/>
    </row>
    <row r="240">
      <c r="A240" s="11">
        <v>228.0</v>
      </c>
      <c r="B240" s="11">
        <v>1.42038695652173E9</v>
      </c>
      <c r="C240" s="2">
        <v>-102.0970688</v>
      </c>
      <c r="D240" s="24">
        <f t="shared" si="1"/>
        <v>-13043.47827</v>
      </c>
      <c r="E240" s="25">
        <f t="shared" si="2"/>
        <v>1.836592266</v>
      </c>
      <c r="F240" s="24">
        <f t="shared" si="3"/>
        <v>0.0001408054069</v>
      </c>
      <c r="G240" s="24">
        <f t="shared" si="4"/>
        <v>0</v>
      </c>
      <c r="H240" s="26">
        <f t="shared" si="5"/>
        <v>0</v>
      </c>
      <c r="I240" s="24">
        <f t="shared" si="6"/>
        <v>0</v>
      </c>
      <c r="J240" s="24">
        <f t="shared" si="7"/>
        <v>0</v>
      </c>
      <c r="K240" s="24"/>
      <c r="L240" s="24">
        <f t="shared" si="8"/>
        <v>469.2446042</v>
      </c>
      <c r="M240" s="14">
        <f t="shared" si="9"/>
        <v>412.4293634</v>
      </c>
      <c r="N240" s="27">
        <f t="shared" si="10"/>
        <v>56.81524076</v>
      </c>
      <c r="O240" s="24"/>
      <c r="P240" s="24"/>
      <c r="Q240" s="24"/>
      <c r="R240" s="26"/>
      <c r="S240" s="14">
        <f t="shared" si="13"/>
        <v>52.17321587</v>
      </c>
      <c r="U240" s="21"/>
      <c r="V240" s="21"/>
    </row>
    <row r="241">
      <c r="A241" s="11">
        <v>229.0</v>
      </c>
      <c r="B241" s="11">
        <v>1.42039130434782E9</v>
      </c>
      <c r="C241" s="2">
        <v>-102.0000381</v>
      </c>
      <c r="D241" s="24">
        <f t="shared" si="1"/>
        <v>-8695.65218</v>
      </c>
      <c r="E241" s="25">
        <f t="shared" si="2"/>
        <v>0.9182961328</v>
      </c>
      <c r="F241" s="24">
        <f t="shared" si="3"/>
        <v>0.0001056040552</v>
      </c>
      <c r="G241" s="24">
        <f t="shared" si="4"/>
        <v>0</v>
      </c>
      <c r="H241" s="26">
        <f t="shared" si="5"/>
        <v>0</v>
      </c>
      <c r="I241" s="24">
        <f t="shared" si="6"/>
        <v>0</v>
      </c>
      <c r="J241" s="24">
        <f t="shared" si="7"/>
        <v>0</v>
      </c>
      <c r="K241" s="24"/>
      <c r="L241" s="24">
        <f t="shared" si="8"/>
        <v>479.8465287</v>
      </c>
      <c r="M241" s="14">
        <f t="shared" si="9"/>
        <v>412.3439076</v>
      </c>
      <c r="N241" s="27">
        <f t="shared" si="10"/>
        <v>67.50262109</v>
      </c>
      <c r="O241" s="24"/>
      <c r="P241" s="24"/>
      <c r="Q241" s="24"/>
      <c r="R241" s="26"/>
      <c r="S241" s="14">
        <f t="shared" si="13"/>
        <v>61.9873959</v>
      </c>
      <c r="U241" s="21"/>
      <c r="V241" s="21"/>
    </row>
    <row r="242">
      <c r="A242" s="11">
        <v>230.0</v>
      </c>
      <c r="B242" s="11">
        <v>1.42039565217391E9</v>
      </c>
      <c r="C242" s="2">
        <v>-101.9816818</v>
      </c>
      <c r="D242" s="24">
        <f t="shared" si="1"/>
        <v>-4347.82609</v>
      </c>
      <c r="E242" s="25">
        <f t="shared" si="2"/>
        <v>0</v>
      </c>
      <c r="F242" s="24">
        <f t="shared" si="3"/>
        <v>0</v>
      </c>
      <c r="G242" s="24">
        <f t="shared" si="4"/>
        <v>0</v>
      </c>
      <c r="H242" s="26">
        <f t="shared" si="5"/>
        <v>0</v>
      </c>
      <c r="I242" s="24">
        <f t="shared" si="6"/>
        <v>0</v>
      </c>
      <c r="J242" s="24" t="str">
        <f t="shared" si="7"/>
        <v>#DIV/0!</v>
      </c>
      <c r="K242" s="24"/>
      <c r="L242" s="24">
        <f t="shared" si="8"/>
        <v>481.8789855</v>
      </c>
      <c r="M242" s="14">
        <f t="shared" si="9"/>
        <v>412.2585201</v>
      </c>
      <c r="N242" s="27">
        <f t="shared" si="10"/>
        <v>69.62046544</v>
      </c>
      <c r="O242" s="24"/>
      <c r="P242" s="24"/>
      <c r="Q242" s="24"/>
      <c r="R242" s="26"/>
      <c r="S242" s="14">
        <f t="shared" si="13"/>
        <v>63.93220403</v>
      </c>
      <c r="U242" s="21"/>
      <c r="V242" s="21"/>
    </row>
    <row r="243">
      <c r="A243" s="11">
        <v>231.0</v>
      </c>
      <c r="B243" s="11">
        <v>1.4204E9</v>
      </c>
      <c r="C243" s="2">
        <v>-101.9187927</v>
      </c>
      <c r="D243" s="24">
        <f t="shared" si="1"/>
        <v>0</v>
      </c>
      <c r="E243" s="25">
        <f t="shared" si="2"/>
        <v>-0.9182961307</v>
      </c>
      <c r="F243" s="24" t="str">
        <f t="shared" si="3"/>
        <v>#DIV/0!</v>
      </c>
      <c r="G243" s="24">
        <f t="shared" si="4"/>
        <v>0</v>
      </c>
      <c r="H243" s="26">
        <f t="shared" si="5"/>
        <v>0</v>
      </c>
      <c r="I243" s="24">
        <f t="shared" si="6"/>
        <v>0</v>
      </c>
      <c r="J243" s="24" t="str">
        <f t="shared" si="7"/>
        <v>#DIV/0!</v>
      </c>
      <c r="K243" s="24"/>
      <c r="L243" s="24">
        <f t="shared" si="8"/>
        <v>488.9077227</v>
      </c>
      <c r="M243" s="14">
        <f t="shared" si="9"/>
        <v>412.1732009</v>
      </c>
      <c r="N243" s="27">
        <f t="shared" si="10"/>
        <v>76.73452187</v>
      </c>
      <c r="O243" s="24"/>
      <c r="P243" s="24"/>
      <c r="Q243" s="24"/>
      <c r="R243" s="26"/>
      <c r="S243" s="14">
        <f t="shared" si="13"/>
        <v>70.46501468</v>
      </c>
      <c r="U243" s="21"/>
      <c r="V243" s="21"/>
    </row>
    <row r="244">
      <c r="A244" s="11">
        <v>232.0</v>
      </c>
      <c r="B244" s="11">
        <v>1.42040434782608E9</v>
      </c>
      <c r="C244" s="2">
        <v>-101.9227448</v>
      </c>
      <c r="D244" s="24">
        <f t="shared" si="1"/>
        <v>4347.82608</v>
      </c>
      <c r="E244" s="25">
        <f t="shared" si="2"/>
        <v>-1.836592263</v>
      </c>
      <c r="F244" s="24">
        <f t="shared" si="3"/>
        <v>0.0004224162213</v>
      </c>
      <c r="G244" s="24">
        <f t="shared" si="4"/>
        <v>0</v>
      </c>
      <c r="H244" s="26">
        <f t="shared" si="5"/>
        <v>0</v>
      </c>
      <c r="I244" s="24">
        <f t="shared" si="6"/>
        <v>0</v>
      </c>
      <c r="J244" s="24">
        <f t="shared" si="7"/>
        <v>0</v>
      </c>
      <c r="K244" s="24"/>
      <c r="L244" s="24">
        <f t="shared" si="8"/>
        <v>488.4630168</v>
      </c>
      <c r="M244" s="14">
        <f t="shared" si="9"/>
        <v>412.0879499</v>
      </c>
      <c r="N244" s="27">
        <f t="shared" si="10"/>
        <v>76.37506692</v>
      </c>
      <c r="O244" s="24"/>
      <c r="P244" s="24"/>
      <c r="Q244" s="24"/>
      <c r="R244" s="26"/>
      <c r="S244" s="14">
        <f t="shared" si="13"/>
        <v>70.13492859</v>
      </c>
      <c r="U244" s="21"/>
      <c r="V244" s="21"/>
    </row>
    <row r="245">
      <c r="A245" s="11">
        <v>233.0</v>
      </c>
      <c r="B245" s="11">
        <v>1.42040869565217E9</v>
      </c>
      <c r="C245" s="2">
        <v>-101.797493</v>
      </c>
      <c r="D245" s="24">
        <f t="shared" si="1"/>
        <v>8695.65217</v>
      </c>
      <c r="E245" s="25">
        <f t="shared" si="2"/>
        <v>-2.754888396</v>
      </c>
      <c r="F245" s="24">
        <f t="shared" si="3"/>
        <v>0.0003168121657</v>
      </c>
      <c r="G245" s="24">
        <f t="shared" si="4"/>
        <v>0</v>
      </c>
      <c r="H245" s="26">
        <f t="shared" si="5"/>
        <v>0</v>
      </c>
      <c r="I245" s="24">
        <f t="shared" si="6"/>
        <v>0</v>
      </c>
      <c r="J245" s="24">
        <f t="shared" si="7"/>
        <v>0</v>
      </c>
      <c r="K245" s="24"/>
      <c r="L245" s="24">
        <f t="shared" si="8"/>
        <v>502.7555429</v>
      </c>
      <c r="M245" s="14">
        <f t="shared" si="9"/>
        <v>412.0027671</v>
      </c>
      <c r="N245" s="27">
        <f t="shared" si="10"/>
        <v>90.75277573</v>
      </c>
      <c r="O245" s="24"/>
      <c r="P245" s="24"/>
      <c r="Q245" s="24"/>
      <c r="R245" s="26"/>
      <c r="S245" s="14">
        <f t="shared" si="13"/>
        <v>83.3379228</v>
      </c>
      <c r="U245" s="21"/>
      <c r="V245" s="21"/>
    </row>
    <row r="246">
      <c r="A246" s="11">
        <v>234.0</v>
      </c>
      <c r="B246" s="11">
        <v>1.42041304347826E9</v>
      </c>
      <c r="C246" s="2">
        <v>-101.7330856</v>
      </c>
      <c r="D246" s="24">
        <f t="shared" si="1"/>
        <v>13043.47826</v>
      </c>
      <c r="E246" s="25">
        <f t="shared" si="2"/>
        <v>-3.673184527</v>
      </c>
      <c r="F246" s="24">
        <f t="shared" si="3"/>
        <v>0.0002816108137</v>
      </c>
      <c r="G246" s="24">
        <f t="shared" si="4"/>
        <v>0</v>
      </c>
      <c r="H246" s="26">
        <f t="shared" si="5"/>
        <v>0</v>
      </c>
      <c r="I246" s="24">
        <f t="shared" si="6"/>
        <v>0</v>
      </c>
      <c r="J246" s="24">
        <f t="shared" si="7"/>
        <v>0</v>
      </c>
      <c r="K246" s="24"/>
      <c r="L246" s="24">
        <f t="shared" si="8"/>
        <v>510.2671467</v>
      </c>
      <c r="M246" s="14">
        <f t="shared" si="9"/>
        <v>411.9176526</v>
      </c>
      <c r="N246" s="27">
        <f t="shared" si="10"/>
        <v>98.34949408</v>
      </c>
      <c r="O246" s="24"/>
      <c r="P246" s="24"/>
      <c r="Q246" s="24"/>
      <c r="R246" s="26"/>
      <c r="S246" s="14">
        <f t="shared" si="13"/>
        <v>90.31396007</v>
      </c>
      <c r="U246" s="21"/>
      <c r="V246" s="21"/>
    </row>
    <row r="247">
      <c r="A247" s="11">
        <v>235.0</v>
      </c>
      <c r="B247" s="11">
        <v>1.42041739130434E9</v>
      </c>
      <c r="C247" s="2">
        <v>-101.7200394</v>
      </c>
      <c r="D247" s="24">
        <f t="shared" si="1"/>
        <v>17391.30434</v>
      </c>
      <c r="E247" s="25">
        <f t="shared" si="2"/>
        <v>-4.59148066</v>
      </c>
      <c r="F247" s="24">
        <f t="shared" si="3"/>
        <v>0.0002640101381</v>
      </c>
      <c r="G247" s="24">
        <f t="shared" si="4"/>
        <v>0</v>
      </c>
      <c r="H247" s="26">
        <f t="shared" si="5"/>
        <v>0</v>
      </c>
      <c r="I247" s="24">
        <f t="shared" si="6"/>
        <v>0</v>
      </c>
      <c r="J247" s="24">
        <f t="shared" si="7"/>
        <v>0</v>
      </c>
      <c r="K247" s="24"/>
      <c r="L247" s="24">
        <f t="shared" si="8"/>
        <v>511.8022931</v>
      </c>
      <c r="M247" s="14">
        <f t="shared" si="9"/>
        <v>411.8326063</v>
      </c>
      <c r="N247" s="27">
        <f t="shared" si="10"/>
        <v>99.96968682</v>
      </c>
      <c r="O247" s="24"/>
      <c r="P247" s="24"/>
      <c r="Q247" s="24"/>
      <c r="R247" s="26"/>
      <c r="S247" s="14">
        <f t="shared" si="13"/>
        <v>91.8017768</v>
      </c>
      <c r="U247" s="21"/>
      <c r="V247" s="21"/>
    </row>
    <row r="248">
      <c r="A248" s="11">
        <v>236.0</v>
      </c>
      <c r="B248" s="11">
        <v>1.42042173913043E9</v>
      </c>
      <c r="C248" s="2">
        <v>-101.5867844</v>
      </c>
      <c r="D248" s="24">
        <f t="shared" si="1"/>
        <v>21739.13043</v>
      </c>
      <c r="E248" s="25">
        <f t="shared" si="2"/>
        <v>-5.509776792</v>
      </c>
      <c r="F248" s="24">
        <f t="shared" si="3"/>
        <v>0.0002534497325</v>
      </c>
      <c r="G248" s="24">
        <f t="shared" si="4"/>
        <v>0</v>
      </c>
      <c r="H248" s="26">
        <f t="shared" si="5"/>
        <v>0</v>
      </c>
      <c r="I248" s="24">
        <f t="shared" si="6"/>
        <v>0</v>
      </c>
      <c r="J248" s="24">
        <f t="shared" si="7"/>
        <v>0</v>
      </c>
      <c r="K248" s="24"/>
      <c r="L248" s="24">
        <f t="shared" si="8"/>
        <v>527.7493747</v>
      </c>
      <c r="M248" s="14">
        <f t="shared" si="9"/>
        <v>411.7476281</v>
      </c>
      <c r="N248" s="27">
        <f t="shared" si="10"/>
        <v>116.0017465</v>
      </c>
      <c r="O248" s="24"/>
      <c r="P248" s="24"/>
      <c r="Q248" s="24"/>
      <c r="R248" s="26"/>
      <c r="S248" s="14">
        <f t="shared" si="13"/>
        <v>106.523955</v>
      </c>
      <c r="U248" s="21"/>
      <c r="V248" s="21"/>
    </row>
    <row r="249">
      <c r="A249" s="11">
        <v>237.0</v>
      </c>
      <c r="B249" s="11">
        <v>1.42042608695652E9</v>
      </c>
      <c r="C249" s="2">
        <v>-101.5544891</v>
      </c>
      <c r="D249" s="24">
        <f t="shared" si="1"/>
        <v>26086.95652</v>
      </c>
      <c r="E249" s="25">
        <f t="shared" si="2"/>
        <v>-6.428072923</v>
      </c>
      <c r="F249" s="24">
        <f t="shared" si="3"/>
        <v>0.0002464094621</v>
      </c>
      <c r="G249" s="24">
        <f t="shared" si="4"/>
        <v>0</v>
      </c>
      <c r="H249" s="26">
        <f t="shared" si="5"/>
        <v>0</v>
      </c>
      <c r="I249" s="24">
        <f t="shared" si="6"/>
        <v>0</v>
      </c>
      <c r="J249" s="24">
        <f t="shared" si="7"/>
        <v>0</v>
      </c>
      <c r="K249" s="24"/>
      <c r="L249" s="24">
        <f t="shared" si="8"/>
        <v>531.6884883</v>
      </c>
      <c r="M249" s="14">
        <f t="shared" si="9"/>
        <v>411.6627181</v>
      </c>
      <c r="N249" s="27">
        <f t="shared" si="10"/>
        <v>120.0257701</v>
      </c>
      <c r="O249" s="24"/>
      <c r="P249" s="24"/>
      <c r="Q249" s="24"/>
      <c r="R249" s="26"/>
      <c r="S249" s="14">
        <f t="shared" si="13"/>
        <v>110.2192005</v>
      </c>
      <c r="U249" s="21"/>
      <c r="V249" s="21"/>
    </row>
    <row r="250">
      <c r="A250" s="11">
        <v>238.0</v>
      </c>
      <c r="B250" s="11">
        <v>1.4204304347826E9</v>
      </c>
      <c r="C250" s="2">
        <v>-101.5082626</v>
      </c>
      <c r="D250" s="24">
        <f t="shared" si="1"/>
        <v>30434.7826</v>
      </c>
      <c r="E250" s="25">
        <f t="shared" si="2"/>
        <v>-7.346369056</v>
      </c>
      <c r="F250" s="24">
        <f t="shared" si="3"/>
        <v>0.0002413806976</v>
      </c>
      <c r="G250" s="24">
        <f t="shared" si="4"/>
        <v>0</v>
      </c>
      <c r="H250" s="26">
        <f t="shared" si="5"/>
        <v>0</v>
      </c>
      <c r="I250" s="24">
        <f t="shared" si="6"/>
        <v>0</v>
      </c>
      <c r="J250" s="24">
        <f t="shared" si="7"/>
        <v>0</v>
      </c>
      <c r="K250" s="24"/>
      <c r="L250" s="24">
        <f t="shared" si="8"/>
        <v>537.3780306</v>
      </c>
      <c r="M250" s="14">
        <f t="shared" si="9"/>
        <v>411.5778763</v>
      </c>
      <c r="N250" s="27">
        <f t="shared" si="10"/>
        <v>125.8001543</v>
      </c>
      <c r="O250" s="24"/>
      <c r="P250" s="24"/>
      <c r="Q250" s="24"/>
      <c r="R250" s="26"/>
      <c r="S250" s="14">
        <f t="shared" si="13"/>
        <v>115.5217952</v>
      </c>
      <c r="U250" s="21"/>
      <c r="V250" s="21"/>
    </row>
    <row r="251">
      <c r="A251" s="11">
        <v>239.0</v>
      </c>
      <c r="B251" s="11">
        <v>1.42043478260869E9</v>
      </c>
      <c r="C251" s="2">
        <v>-101.4839554</v>
      </c>
      <c r="D251" s="24">
        <f t="shared" si="1"/>
        <v>34782.60869</v>
      </c>
      <c r="E251" s="25">
        <f t="shared" si="2"/>
        <v>-8.264665189</v>
      </c>
      <c r="F251" s="24">
        <f t="shared" si="3"/>
        <v>0.0002376091242</v>
      </c>
      <c r="G251" s="24">
        <f t="shared" si="4"/>
        <v>0</v>
      </c>
      <c r="H251" s="26">
        <f t="shared" si="5"/>
        <v>0</v>
      </c>
      <c r="I251" s="24">
        <f t="shared" si="6"/>
        <v>0</v>
      </c>
      <c r="J251" s="24">
        <f t="shared" si="7"/>
        <v>0</v>
      </c>
      <c r="K251" s="24"/>
      <c r="L251" s="24">
        <f t="shared" si="8"/>
        <v>540.3941356</v>
      </c>
      <c r="M251" s="14">
        <f t="shared" si="9"/>
        <v>411.4931025</v>
      </c>
      <c r="N251" s="27">
        <f t="shared" si="10"/>
        <v>128.9010331</v>
      </c>
      <c r="O251" s="24"/>
      <c r="P251" s="24"/>
      <c r="Q251" s="24"/>
      <c r="R251" s="26"/>
      <c r="S251" s="14">
        <f t="shared" si="13"/>
        <v>118.3693202</v>
      </c>
      <c r="U251" s="21"/>
      <c r="V251" s="21"/>
    </row>
    <row r="252">
      <c r="A252" s="11">
        <v>240.0</v>
      </c>
      <c r="B252" s="11">
        <v>1.42043913043478E9</v>
      </c>
      <c r="C252" s="2">
        <v>-101.3834152</v>
      </c>
      <c r="D252" s="24">
        <f t="shared" si="1"/>
        <v>39130.43478</v>
      </c>
      <c r="E252" s="25">
        <f t="shared" si="2"/>
        <v>-9.182961321</v>
      </c>
      <c r="F252" s="24">
        <f t="shared" si="3"/>
        <v>0.0002346756782</v>
      </c>
      <c r="G252" s="24">
        <f t="shared" si="4"/>
        <v>0</v>
      </c>
      <c r="H252" s="26">
        <f t="shared" si="5"/>
        <v>0</v>
      </c>
      <c r="I252" s="24">
        <f t="shared" si="6"/>
        <v>0</v>
      </c>
      <c r="J252" s="24">
        <f t="shared" si="7"/>
        <v>0</v>
      </c>
      <c r="K252" s="24"/>
      <c r="L252" s="24">
        <f t="shared" si="8"/>
        <v>553.0503193</v>
      </c>
      <c r="M252" s="14">
        <f t="shared" si="9"/>
        <v>411.4083969</v>
      </c>
      <c r="N252" s="27">
        <f t="shared" si="10"/>
        <v>141.6419224</v>
      </c>
      <c r="O252" s="24"/>
      <c r="P252" s="24"/>
      <c r="Q252" s="24"/>
      <c r="R252" s="26"/>
      <c r="S252" s="14">
        <f t="shared" si="13"/>
        <v>130.0692292</v>
      </c>
      <c r="U252" s="21"/>
      <c r="V252" s="21"/>
    </row>
    <row r="253">
      <c r="A253" s="11">
        <v>241.0</v>
      </c>
      <c r="B253" s="11">
        <v>1.42044347826087E9</v>
      </c>
      <c r="C253" s="2">
        <v>-101.3707504</v>
      </c>
      <c r="D253" s="24">
        <f t="shared" si="1"/>
        <v>43478.26087</v>
      </c>
      <c r="E253" s="25">
        <f t="shared" si="2"/>
        <v>-10.10125745</v>
      </c>
      <c r="F253" s="24">
        <f t="shared" si="3"/>
        <v>0.0002323289214</v>
      </c>
      <c r="G253" s="24">
        <f t="shared" si="4"/>
        <v>0</v>
      </c>
      <c r="H253" s="26">
        <f t="shared" si="5"/>
        <v>0</v>
      </c>
      <c r="I253" s="24">
        <f t="shared" si="6"/>
        <v>0</v>
      </c>
      <c r="J253" s="24">
        <f t="shared" si="7"/>
        <v>0</v>
      </c>
      <c r="K253" s="24"/>
      <c r="L253" s="24">
        <f t="shared" si="8"/>
        <v>554.6654663</v>
      </c>
      <c r="M253" s="14">
        <f t="shared" si="9"/>
        <v>411.3237594</v>
      </c>
      <c r="N253" s="27">
        <f t="shared" si="10"/>
        <v>143.3417069</v>
      </c>
      <c r="O253" s="24"/>
      <c r="P253" s="24"/>
      <c r="Q253" s="24"/>
      <c r="R253" s="26"/>
      <c r="S253" s="14">
        <f t="shared" si="13"/>
        <v>131.6301351</v>
      </c>
      <c r="U253" s="21"/>
      <c r="V253" s="21"/>
    </row>
    <row r="254">
      <c r="A254" s="11">
        <v>242.0</v>
      </c>
      <c r="B254" s="11">
        <v>1.42044782608695E9</v>
      </c>
      <c r="C254" s="2">
        <v>-101.312767</v>
      </c>
      <c r="D254" s="24">
        <f t="shared" si="1"/>
        <v>47826.08695</v>
      </c>
      <c r="E254" s="25">
        <f t="shared" si="2"/>
        <v>-11.01955358</v>
      </c>
      <c r="F254" s="24">
        <f t="shared" si="3"/>
        <v>0.0002304088477</v>
      </c>
      <c r="G254" s="24">
        <f t="shared" si="4"/>
        <v>0</v>
      </c>
      <c r="H254" s="26">
        <f t="shared" si="5"/>
        <v>0</v>
      </c>
      <c r="I254" s="24">
        <f t="shared" si="6"/>
        <v>0</v>
      </c>
      <c r="J254" s="24">
        <f t="shared" si="7"/>
        <v>0</v>
      </c>
      <c r="K254" s="24"/>
      <c r="L254" s="24">
        <f t="shared" si="8"/>
        <v>562.1205563</v>
      </c>
      <c r="M254" s="14">
        <f t="shared" si="9"/>
        <v>411.2391899</v>
      </c>
      <c r="N254" s="27">
        <f t="shared" si="10"/>
        <v>150.8813664</v>
      </c>
      <c r="O254" s="24"/>
      <c r="P254" s="24"/>
      <c r="Q254" s="24"/>
      <c r="R254" s="26"/>
      <c r="S254" s="14">
        <f t="shared" si="13"/>
        <v>138.5537753</v>
      </c>
      <c r="U254" s="21"/>
      <c r="V254" s="21"/>
    </row>
    <row r="255">
      <c r="A255" s="11">
        <v>243.0</v>
      </c>
      <c r="B255" s="11">
        <v>1.42045217391304E9</v>
      </c>
      <c r="C255" s="2">
        <v>-101.2186203</v>
      </c>
      <c r="D255" s="24">
        <f t="shared" si="1"/>
        <v>52173.91304</v>
      </c>
      <c r="E255" s="25">
        <f t="shared" si="2"/>
        <v>-11.93784972</v>
      </c>
      <c r="F255" s="24">
        <f t="shared" si="3"/>
        <v>0.0002288087863</v>
      </c>
      <c r="G255" s="24">
        <f t="shared" si="4"/>
        <v>0</v>
      </c>
      <c r="H255" s="26">
        <f t="shared" si="5"/>
        <v>0</v>
      </c>
      <c r="I255" s="24">
        <f t="shared" si="6"/>
        <v>0</v>
      </c>
      <c r="J255" s="24">
        <f t="shared" si="7"/>
        <v>0</v>
      </c>
      <c r="K255" s="24"/>
      <c r="L255" s="24">
        <f t="shared" si="8"/>
        <v>574.4392908</v>
      </c>
      <c r="M255" s="14">
        <f t="shared" si="9"/>
        <v>411.1546885</v>
      </c>
      <c r="N255" s="27">
        <f t="shared" si="10"/>
        <v>163.2846024</v>
      </c>
      <c r="O255" s="24"/>
      <c r="P255" s="24"/>
      <c r="Q255" s="24"/>
      <c r="R255" s="26"/>
      <c r="S255" s="14">
        <f t="shared" si="13"/>
        <v>149.9436186</v>
      </c>
      <c r="U255" s="21"/>
      <c r="V255" s="21"/>
    </row>
    <row r="256">
      <c r="A256" s="11">
        <v>244.0</v>
      </c>
      <c r="B256" s="11">
        <v>1.42045652173913E9</v>
      </c>
      <c r="C256" s="2">
        <v>-101.2075577</v>
      </c>
      <c r="D256" s="24">
        <f t="shared" si="1"/>
        <v>56521.73913</v>
      </c>
      <c r="E256" s="25">
        <f t="shared" si="2"/>
        <v>-12.85614585</v>
      </c>
      <c r="F256" s="24">
        <f t="shared" si="3"/>
        <v>0.0002274548881</v>
      </c>
      <c r="G256" s="24">
        <f t="shared" si="4"/>
        <v>0</v>
      </c>
      <c r="H256" s="26">
        <f t="shared" si="5"/>
        <v>0</v>
      </c>
      <c r="I256" s="24">
        <f t="shared" si="6"/>
        <v>0</v>
      </c>
      <c r="J256" s="24">
        <f t="shared" si="7"/>
        <v>0</v>
      </c>
      <c r="K256" s="24"/>
      <c r="L256" s="24">
        <f t="shared" si="8"/>
        <v>575.904401</v>
      </c>
      <c r="M256" s="14">
        <f t="shared" si="9"/>
        <v>411.0702551</v>
      </c>
      <c r="N256" s="27">
        <f t="shared" si="10"/>
        <v>164.8341459</v>
      </c>
      <c r="O256" s="24"/>
      <c r="P256" s="24"/>
      <c r="Q256" s="24"/>
      <c r="R256" s="26"/>
      <c r="S256" s="14">
        <f t="shared" si="13"/>
        <v>151.3665588</v>
      </c>
      <c r="U256" s="21"/>
      <c r="V256" s="21"/>
    </row>
    <row r="257">
      <c r="A257" s="11">
        <v>245.0</v>
      </c>
      <c r="B257" s="11">
        <v>1.42046086956521E9</v>
      </c>
      <c r="C257" s="2">
        <v>-101.2771072</v>
      </c>
      <c r="D257" s="24">
        <f t="shared" si="1"/>
        <v>60869.56521</v>
      </c>
      <c r="E257" s="25">
        <f t="shared" si="2"/>
        <v>-13.77444198</v>
      </c>
      <c r="F257" s="24">
        <f t="shared" si="3"/>
        <v>0.000226294404</v>
      </c>
      <c r="G257" s="24">
        <f t="shared" si="4"/>
        <v>0</v>
      </c>
      <c r="H257" s="26">
        <f t="shared" si="5"/>
        <v>0</v>
      </c>
      <c r="I257" s="24">
        <f t="shared" si="6"/>
        <v>0</v>
      </c>
      <c r="J257" s="24">
        <f t="shared" si="7"/>
        <v>0</v>
      </c>
      <c r="K257" s="24"/>
      <c r="L257" s="24">
        <f t="shared" si="8"/>
        <v>566.7551137</v>
      </c>
      <c r="M257" s="14">
        <f t="shared" si="9"/>
        <v>410.9858897</v>
      </c>
      <c r="N257" s="27">
        <f t="shared" si="10"/>
        <v>155.7692241</v>
      </c>
      <c r="O257" s="24"/>
      <c r="P257" s="24"/>
      <c r="Q257" s="24"/>
      <c r="R257" s="26"/>
      <c r="S257" s="14">
        <f t="shared" si="13"/>
        <v>143.0422761</v>
      </c>
      <c r="U257" s="21"/>
      <c r="V257" s="21"/>
    </row>
    <row r="258">
      <c r="A258" s="11">
        <v>246.0</v>
      </c>
      <c r="B258" s="11">
        <v>1.4204652173913E9</v>
      </c>
      <c r="C258" s="2">
        <v>-101.1804504</v>
      </c>
      <c r="D258" s="24">
        <f t="shared" si="1"/>
        <v>65217.3913</v>
      </c>
      <c r="E258" s="25">
        <f t="shared" si="2"/>
        <v>-14.69273811</v>
      </c>
      <c r="F258" s="24">
        <f t="shared" si="3"/>
        <v>0.0002252886511</v>
      </c>
      <c r="G258" s="24">
        <f t="shared" si="4"/>
        <v>0</v>
      </c>
      <c r="H258" s="26">
        <f t="shared" si="5"/>
        <v>0</v>
      </c>
      <c r="I258" s="24">
        <f t="shared" si="6"/>
        <v>0</v>
      </c>
      <c r="J258" s="24">
        <f t="shared" si="7"/>
        <v>0</v>
      </c>
      <c r="K258" s="24"/>
      <c r="L258" s="24">
        <f t="shared" si="8"/>
        <v>579.5102573</v>
      </c>
      <c r="M258" s="14">
        <f t="shared" si="9"/>
        <v>410.9015922</v>
      </c>
      <c r="N258" s="27">
        <f t="shared" si="10"/>
        <v>168.6086651</v>
      </c>
      <c r="O258" s="24"/>
      <c r="P258" s="24"/>
      <c r="Q258" s="24"/>
      <c r="R258" s="26"/>
      <c r="S258" s="14">
        <f t="shared" si="13"/>
        <v>154.8326847</v>
      </c>
      <c r="U258" s="21"/>
      <c r="V258" s="21"/>
    </row>
    <row r="259">
      <c r="A259" s="11">
        <v>247.0</v>
      </c>
      <c r="B259" s="11">
        <v>1.42046956521739E9</v>
      </c>
      <c r="C259" s="2">
        <v>-101.2076035</v>
      </c>
      <c r="D259" s="24">
        <f t="shared" si="1"/>
        <v>69565.21739</v>
      </c>
      <c r="E259" s="25">
        <f t="shared" si="2"/>
        <v>-15.61103424</v>
      </c>
      <c r="F259" s="24">
        <f t="shared" si="3"/>
        <v>0.0002244086173</v>
      </c>
      <c r="G259" s="24">
        <f t="shared" si="4"/>
        <v>0</v>
      </c>
      <c r="H259" s="26">
        <f t="shared" si="5"/>
        <v>0</v>
      </c>
      <c r="I259" s="24">
        <f t="shared" si="6"/>
        <v>0</v>
      </c>
      <c r="J259" s="24">
        <f t="shared" si="7"/>
        <v>0</v>
      </c>
      <c r="K259" s="24"/>
      <c r="L259" s="24">
        <f t="shared" si="8"/>
        <v>575.8983276</v>
      </c>
      <c r="M259" s="14">
        <f t="shared" si="9"/>
        <v>410.8173628</v>
      </c>
      <c r="N259" s="27">
        <f t="shared" si="10"/>
        <v>165.0809648</v>
      </c>
      <c r="O259" s="24"/>
      <c r="P259" s="24"/>
      <c r="Q259" s="24"/>
      <c r="R259" s="26"/>
      <c r="S259" s="14">
        <f t="shared" si="13"/>
        <v>151.5932116</v>
      </c>
      <c r="U259" s="21"/>
      <c r="V259" s="21"/>
    </row>
    <row r="260">
      <c r="A260" s="11">
        <v>248.0</v>
      </c>
      <c r="B260" s="11">
        <v>1.42047391304347E9</v>
      </c>
      <c r="C260" s="2">
        <v>-101.1947632</v>
      </c>
      <c r="D260" s="24">
        <f t="shared" si="1"/>
        <v>73913.04347</v>
      </c>
      <c r="E260" s="25">
        <f t="shared" si="2"/>
        <v>-16.52933038</v>
      </c>
      <c r="F260" s="24">
        <f t="shared" si="3"/>
        <v>0.0002236321169</v>
      </c>
      <c r="G260" s="24">
        <f t="shared" si="4"/>
        <v>0</v>
      </c>
      <c r="H260" s="26">
        <f t="shared" si="5"/>
        <v>0</v>
      </c>
      <c r="I260" s="24">
        <f t="shared" si="6"/>
        <v>0</v>
      </c>
      <c r="J260" s="24">
        <f t="shared" si="7"/>
        <v>0</v>
      </c>
      <c r="K260" s="24"/>
      <c r="L260" s="24">
        <f t="shared" si="8"/>
        <v>577.6035415</v>
      </c>
      <c r="M260" s="14">
        <f t="shared" si="9"/>
        <v>410.7332013</v>
      </c>
      <c r="N260" s="27">
        <f t="shared" si="10"/>
        <v>166.8703402</v>
      </c>
      <c r="O260" s="24"/>
      <c r="P260" s="24"/>
      <c r="Q260" s="24"/>
      <c r="R260" s="26"/>
      <c r="S260" s="14">
        <f t="shared" si="13"/>
        <v>153.2363881</v>
      </c>
      <c r="U260" s="21"/>
      <c r="V260" s="21"/>
    </row>
    <row r="261">
      <c r="A261" s="11">
        <v>249.0</v>
      </c>
      <c r="B261" s="11">
        <v>1.42047826086956E9</v>
      </c>
      <c r="C261" s="2">
        <v>-101.2377701</v>
      </c>
      <c r="D261" s="24">
        <f t="shared" si="1"/>
        <v>78260.86956</v>
      </c>
      <c r="E261" s="25">
        <f t="shared" si="2"/>
        <v>-17.44762651</v>
      </c>
      <c r="F261" s="24">
        <f t="shared" si="3"/>
        <v>0.0002229418943</v>
      </c>
      <c r="G261" s="24">
        <f t="shared" si="4"/>
        <v>0</v>
      </c>
      <c r="H261" s="26">
        <f t="shared" si="5"/>
        <v>0</v>
      </c>
      <c r="I261" s="24">
        <f t="shared" si="6"/>
        <v>0</v>
      </c>
      <c r="J261" s="24">
        <f t="shared" si="7"/>
        <v>0</v>
      </c>
      <c r="K261" s="24"/>
      <c r="L261" s="24">
        <f t="shared" si="8"/>
        <v>571.9119319</v>
      </c>
      <c r="M261" s="14">
        <f t="shared" si="9"/>
        <v>410.6491077</v>
      </c>
      <c r="N261" s="27">
        <f t="shared" si="10"/>
        <v>161.2628241</v>
      </c>
      <c r="O261" s="24"/>
      <c r="P261" s="24"/>
      <c r="Q261" s="24"/>
      <c r="R261" s="26"/>
      <c r="S261" s="14">
        <f t="shared" si="13"/>
        <v>148.0870274</v>
      </c>
      <c r="U261" s="21"/>
      <c r="V261" s="21"/>
    </row>
    <row r="262">
      <c r="A262" s="11">
        <v>250.0</v>
      </c>
      <c r="B262" s="11">
        <v>1.42048260869565E9</v>
      </c>
      <c r="C262" s="2">
        <v>-101.2398453</v>
      </c>
      <c r="D262" s="24">
        <f t="shared" si="1"/>
        <v>82608.69565</v>
      </c>
      <c r="E262" s="25">
        <f t="shared" si="2"/>
        <v>-18.36592264</v>
      </c>
      <c r="F262" s="24">
        <f t="shared" si="3"/>
        <v>0.0002223243267</v>
      </c>
      <c r="G262" s="24">
        <f t="shared" si="4"/>
        <v>0</v>
      </c>
      <c r="H262" s="26">
        <f t="shared" si="5"/>
        <v>0</v>
      </c>
      <c r="I262" s="24">
        <f t="shared" si="6"/>
        <v>0</v>
      </c>
      <c r="J262" s="24">
        <f t="shared" si="7"/>
        <v>0</v>
      </c>
      <c r="K262" s="24"/>
      <c r="L262" s="24">
        <f t="shared" si="8"/>
        <v>571.6387191</v>
      </c>
      <c r="M262" s="14">
        <f t="shared" si="9"/>
        <v>410.5650821</v>
      </c>
      <c r="N262" s="27">
        <f t="shared" si="10"/>
        <v>161.073637</v>
      </c>
      <c r="O262" s="24"/>
      <c r="P262" s="24"/>
      <c r="Q262" s="24"/>
      <c r="R262" s="26"/>
      <c r="S262" s="14">
        <f t="shared" si="13"/>
        <v>147.9132979</v>
      </c>
      <c r="U262" s="21"/>
      <c r="V262" s="21"/>
    </row>
    <row r="263">
      <c r="A263" s="11">
        <v>251.0</v>
      </c>
      <c r="B263" s="11">
        <v>1.42048695652173E9</v>
      </c>
      <c r="C263" s="2">
        <v>-101.2775116</v>
      </c>
      <c r="D263" s="24">
        <f t="shared" si="1"/>
        <v>86956.52173</v>
      </c>
      <c r="E263" s="25">
        <f t="shared" si="2"/>
        <v>-19.28421877</v>
      </c>
      <c r="F263" s="24">
        <f t="shared" si="3"/>
        <v>0.0002217685159</v>
      </c>
      <c r="G263" s="24">
        <f t="shared" si="4"/>
        <v>0</v>
      </c>
      <c r="H263" s="26">
        <f t="shared" si="5"/>
        <v>0</v>
      </c>
      <c r="I263" s="24">
        <f t="shared" si="6"/>
        <v>0</v>
      </c>
      <c r="J263" s="24">
        <f t="shared" si="7"/>
        <v>0</v>
      </c>
      <c r="K263" s="24"/>
      <c r="L263" s="24">
        <f t="shared" si="8"/>
        <v>566.7023419</v>
      </c>
      <c r="M263" s="14">
        <f t="shared" si="9"/>
        <v>410.4811243</v>
      </c>
      <c r="N263" s="27">
        <f t="shared" si="10"/>
        <v>156.2212176</v>
      </c>
      <c r="O263" s="24"/>
      <c r="P263" s="24"/>
      <c r="Q263" s="24"/>
      <c r="R263" s="26"/>
      <c r="S263" s="14">
        <f t="shared" si="13"/>
        <v>143.4573399</v>
      </c>
      <c r="U263" s="21"/>
      <c r="V263" s="21"/>
    </row>
    <row r="264">
      <c r="A264" s="11">
        <v>252.0</v>
      </c>
      <c r="B264" s="11">
        <v>1.42049130434782E9</v>
      </c>
      <c r="C264" s="2">
        <v>-101.2975388</v>
      </c>
      <c r="D264" s="24">
        <f t="shared" si="1"/>
        <v>91304.34782</v>
      </c>
      <c r="E264" s="25">
        <f t="shared" si="2"/>
        <v>-20.20251491</v>
      </c>
      <c r="F264" s="24">
        <f t="shared" si="3"/>
        <v>0.0002212656395</v>
      </c>
      <c r="G264" s="24">
        <f t="shared" si="4"/>
        <v>0</v>
      </c>
      <c r="H264" s="26">
        <f t="shared" si="5"/>
        <v>0</v>
      </c>
      <c r="I264" s="24">
        <f t="shared" si="6"/>
        <v>0</v>
      </c>
      <c r="J264" s="24">
        <f t="shared" si="7"/>
        <v>0</v>
      </c>
      <c r="K264" s="24"/>
      <c r="L264" s="24">
        <f t="shared" si="8"/>
        <v>564.0950482</v>
      </c>
      <c r="M264" s="14">
        <f t="shared" si="9"/>
        <v>410.3972345</v>
      </c>
      <c r="N264" s="27">
        <f t="shared" si="10"/>
        <v>153.6978138</v>
      </c>
      <c r="O264" s="24"/>
      <c r="P264" s="24"/>
      <c r="Q264" s="24"/>
      <c r="R264" s="26"/>
      <c r="S264" s="14">
        <f t="shared" si="13"/>
        <v>141.140108</v>
      </c>
      <c r="U264" s="21"/>
      <c r="V264" s="21"/>
    </row>
    <row r="265">
      <c r="A265" s="11">
        <v>253.0</v>
      </c>
      <c r="B265" s="11">
        <v>1.42049565217391E9</v>
      </c>
      <c r="C265" s="2">
        <v>-101.4715271</v>
      </c>
      <c r="D265" s="24">
        <f t="shared" si="1"/>
        <v>95652.17391</v>
      </c>
      <c r="E265" s="25">
        <f t="shared" si="2"/>
        <v>-21.12081104</v>
      </c>
      <c r="F265" s="24">
        <f t="shared" si="3"/>
        <v>0.0002208084791</v>
      </c>
      <c r="G265" s="24">
        <f t="shared" si="4"/>
        <v>0</v>
      </c>
      <c r="H265" s="26">
        <f t="shared" si="5"/>
        <v>0</v>
      </c>
      <c r="I265" s="24">
        <f t="shared" si="6"/>
        <v>0</v>
      </c>
      <c r="J265" s="24">
        <f t="shared" si="7"/>
        <v>0</v>
      </c>
      <c r="K265" s="24"/>
      <c r="L265" s="24">
        <f t="shared" si="8"/>
        <v>541.9428082</v>
      </c>
      <c r="M265" s="14">
        <f t="shared" si="9"/>
        <v>410.3134124</v>
      </c>
      <c r="N265" s="27">
        <f t="shared" si="10"/>
        <v>131.6293957</v>
      </c>
      <c r="O265" s="24"/>
      <c r="P265" s="24"/>
      <c r="Q265" s="24"/>
      <c r="R265" s="26"/>
      <c r="S265" s="14">
        <f t="shared" si="13"/>
        <v>120.8747648</v>
      </c>
      <c r="U265" s="21"/>
      <c r="V265" s="21"/>
    </row>
    <row r="266">
      <c r="A266" s="11">
        <v>254.0</v>
      </c>
      <c r="B266" s="11">
        <v>1.4205E9</v>
      </c>
      <c r="C266" s="2">
        <v>-101.5165939</v>
      </c>
      <c r="D266" s="24">
        <f t="shared" si="1"/>
        <v>100000</v>
      </c>
      <c r="E266" s="25">
        <f t="shared" si="2"/>
        <v>-22.03910717</v>
      </c>
      <c r="F266" s="24">
        <f t="shared" si="3"/>
        <v>0.0002203910717</v>
      </c>
      <c r="G266" s="24">
        <f t="shared" si="4"/>
        <v>0</v>
      </c>
      <c r="H266" s="26">
        <f t="shared" si="5"/>
        <v>0</v>
      </c>
      <c r="I266" s="24">
        <f t="shared" si="6"/>
        <v>0</v>
      </c>
      <c r="J266" s="24">
        <f t="shared" si="7"/>
        <v>0</v>
      </c>
      <c r="K266" s="24"/>
      <c r="L266" s="24">
        <f t="shared" si="8"/>
        <v>536.3481382</v>
      </c>
      <c r="M266" s="14">
        <f t="shared" si="9"/>
        <v>410.2296582</v>
      </c>
      <c r="N266" s="27">
        <f t="shared" si="10"/>
        <v>126.1184799</v>
      </c>
      <c r="O266" s="24"/>
      <c r="P266" s="24"/>
      <c r="Q266" s="24"/>
      <c r="R266" s="26"/>
      <c r="S266" s="14">
        <f t="shared" si="13"/>
        <v>115.8141124</v>
      </c>
      <c r="U266" s="21"/>
      <c r="V266" s="21"/>
    </row>
    <row r="267">
      <c r="A267" s="11">
        <v>255.0</v>
      </c>
      <c r="B267" s="11">
        <v>1.42050434782608E9</v>
      </c>
      <c r="C267" s="2">
        <v>-101.6566925</v>
      </c>
      <c r="D267" s="24">
        <f t="shared" si="1"/>
        <v>104347.8261</v>
      </c>
      <c r="E267" s="25">
        <f t="shared" si="2"/>
        <v>-22.9574033</v>
      </c>
      <c r="F267" s="24">
        <f t="shared" si="3"/>
        <v>0.0002200084483</v>
      </c>
      <c r="G267" s="24">
        <f t="shared" si="4"/>
        <v>0</v>
      </c>
      <c r="H267" s="26">
        <f t="shared" si="5"/>
        <v>0</v>
      </c>
      <c r="I267" s="24">
        <f t="shared" si="6"/>
        <v>0</v>
      </c>
      <c r="J267" s="24">
        <f t="shared" si="7"/>
        <v>0</v>
      </c>
      <c r="K267" s="24"/>
      <c r="L267" s="24">
        <f t="shared" si="8"/>
        <v>519.3222349</v>
      </c>
      <c r="M267" s="14">
        <f t="shared" si="9"/>
        <v>410.1459719</v>
      </c>
      <c r="N267" s="27">
        <f t="shared" si="10"/>
        <v>109.176263</v>
      </c>
      <c r="O267" s="24"/>
      <c r="P267" s="24"/>
      <c r="Q267" s="24"/>
      <c r="R267" s="26"/>
      <c r="S267" s="14">
        <f t="shared" si="13"/>
        <v>100.2561401</v>
      </c>
      <c r="U267" s="21"/>
      <c r="V267" s="21"/>
    </row>
    <row r="268">
      <c r="A268" s="11">
        <v>256.0</v>
      </c>
      <c r="B268" s="11">
        <v>1.42050869565217E9</v>
      </c>
      <c r="C268" s="2">
        <v>-101.7054901</v>
      </c>
      <c r="D268" s="24">
        <f t="shared" si="1"/>
        <v>108695.6522</v>
      </c>
      <c r="E268" s="25">
        <f t="shared" si="2"/>
        <v>-23.87569944</v>
      </c>
      <c r="F268" s="24">
        <f t="shared" si="3"/>
        <v>0.0002196564348</v>
      </c>
      <c r="G268" s="24">
        <f t="shared" si="4"/>
        <v>0</v>
      </c>
      <c r="H268" s="26">
        <f t="shared" si="5"/>
        <v>0</v>
      </c>
      <c r="I268" s="24">
        <f t="shared" si="6"/>
        <v>0</v>
      </c>
      <c r="J268" s="24">
        <f t="shared" si="7"/>
        <v>0</v>
      </c>
      <c r="K268" s="24"/>
      <c r="L268" s="24">
        <f t="shared" si="8"/>
        <v>513.5197573</v>
      </c>
      <c r="M268" s="14">
        <f t="shared" si="9"/>
        <v>410.0623533</v>
      </c>
      <c r="N268" s="27">
        <f t="shared" si="10"/>
        <v>103.457404</v>
      </c>
      <c r="O268" s="24"/>
      <c r="P268" s="24"/>
      <c r="Q268" s="24"/>
      <c r="R268" s="26"/>
      <c r="S268" s="14">
        <f t="shared" si="13"/>
        <v>95.00453375</v>
      </c>
      <c r="U268" s="21"/>
      <c r="V268" s="21"/>
    </row>
    <row r="269">
      <c r="A269" s="11">
        <v>257.0</v>
      </c>
      <c r="B269" s="11">
        <v>1.42051304347826E9</v>
      </c>
      <c r="C269" s="2">
        <v>-101.8487549</v>
      </c>
      <c r="D269" s="24">
        <f t="shared" si="1"/>
        <v>113043.4783</v>
      </c>
      <c r="E269" s="25">
        <f t="shared" si="2"/>
        <v>-24.79399557</v>
      </c>
      <c r="F269" s="24">
        <f t="shared" si="3"/>
        <v>0.0002193314992</v>
      </c>
      <c r="G269" s="24">
        <f t="shared" si="4"/>
        <v>0</v>
      </c>
      <c r="H269" s="26">
        <f t="shared" si="5"/>
        <v>0</v>
      </c>
      <c r="I269" s="24">
        <f t="shared" si="6"/>
        <v>0</v>
      </c>
      <c r="J269" s="24">
        <f t="shared" si="7"/>
        <v>0</v>
      </c>
      <c r="K269" s="24"/>
      <c r="L269" s="24">
        <f t="shared" si="8"/>
        <v>496.8561587</v>
      </c>
      <c r="M269" s="14">
        <f t="shared" si="9"/>
        <v>409.9788025</v>
      </c>
      <c r="N269" s="27">
        <f t="shared" si="10"/>
        <v>86.87735617</v>
      </c>
      <c r="O269" s="24"/>
      <c r="P269" s="24"/>
      <c r="Q269" s="24"/>
      <c r="R269" s="26"/>
      <c r="S269" s="14">
        <f t="shared" si="13"/>
        <v>79.7791402</v>
      </c>
      <c r="U269" s="21"/>
      <c r="V269" s="21"/>
    </row>
    <row r="270">
      <c r="A270" s="11">
        <v>258.0</v>
      </c>
      <c r="B270" s="11">
        <v>1.42051739130434E9</v>
      </c>
      <c r="C270" s="2">
        <v>-101.9450684</v>
      </c>
      <c r="D270" s="24">
        <f t="shared" si="1"/>
        <v>117391.3043</v>
      </c>
      <c r="E270" s="25">
        <f t="shared" si="2"/>
        <v>-25.7122917</v>
      </c>
      <c r="F270" s="24">
        <f t="shared" si="3"/>
        <v>0.000219030633</v>
      </c>
      <c r="G270" s="24">
        <f t="shared" si="4"/>
        <v>0</v>
      </c>
      <c r="H270" s="26">
        <f t="shared" si="5"/>
        <v>0</v>
      </c>
      <c r="I270" s="24">
        <f t="shared" si="6"/>
        <v>0</v>
      </c>
      <c r="J270" s="24">
        <f t="shared" si="7"/>
        <v>0</v>
      </c>
      <c r="K270" s="24"/>
      <c r="L270" s="24">
        <f t="shared" si="8"/>
        <v>485.9586617</v>
      </c>
      <c r="M270" s="14">
        <f t="shared" si="9"/>
        <v>409.8953194</v>
      </c>
      <c r="N270" s="27">
        <f t="shared" si="10"/>
        <v>76.06334226</v>
      </c>
      <c r="O270" s="24"/>
      <c r="P270" s="24"/>
      <c r="Q270" s="24"/>
      <c r="R270" s="26"/>
      <c r="S270" s="14">
        <f t="shared" si="13"/>
        <v>69.84867304</v>
      </c>
      <c r="U270" s="21"/>
      <c r="V270" s="21"/>
    </row>
    <row r="271">
      <c r="A271" s="11">
        <v>259.0</v>
      </c>
      <c r="B271" s="11">
        <v>1.42052173913043E9</v>
      </c>
      <c r="C271" s="2">
        <v>-102.0666122</v>
      </c>
      <c r="D271" s="24">
        <f t="shared" si="1"/>
        <v>121739.1304</v>
      </c>
      <c r="E271" s="25">
        <f t="shared" si="2"/>
        <v>-26.63058783</v>
      </c>
      <c r="F271" s="24">
        <f t="shared" si="3"/>
        <v>0.0002187512572</v>
      </c>
      <c r="G271" s="24">
        <f t="shared" si="4"/>
        <v>0</v>
      </c>
      <c r="H271" s="26">
        <f t="shared" si="5"/>
        <v>0</v>
      </c>
      <c r="I271" s="24">
        <f t="shared" si="6"/>
        <v>0</v>
      </c>
      <c r="J271" s="24">
        <f t="shared" si="7"/>
        <v>0</v>
      </c>
      <c r="K271" s="24"/>
      <c r="L271" s="24">
        <f t="shared" si="8"/>
        <v>472.5469315</v>
      </c>
      <c r="M271" s="14">
        <f t="shared" si="9"/>
        <v>409.8119042</v>
      </c>
      <c r="N271" s="27">
        <f t="shared" si="10"/>
        <v>62.73502732</v>
      </c>
      <c r="O271" s="24"/>
      <c r="P271" s="24"/>
      <c r="Q271" s="24"/>
      <c r="R271" s="26"/>
      <c r="S271" s="14">
        <f t="shared" si="13"/>
        <v>57.60933284</v>
      </c>
      <c r="U271" s="21"/>
      <c r="V271" s="21"/>
    </row>
    <row r="272">
      <c r="A272" s="11">
        <v>260.0</v>
      </c>
      <c r="B272" s="11">
        <v>1.42052608695652E9</v>
      </c>
      <c r="C272" s="2">
        <v>-102.2091064</v>
      </c>
      <c r="D272" s="24">
        <f t="shared" si="1"/>
        <v>126086.9565</v>
      </c>
      <c r="E272" s="25">
        <f t="shared" si="2"/>
        <v>-27.54888396</v>
      </c>
      <c r="F272" s="24">
        <f t="shared" si="3"/>
        <v>0.0002184911487</v>
      </c>
      <c r="G272" s="24">
        <f t="shared" si="4"/>
        <v>0</v>
      </c>
      <c r="H272" s="26">
        <f t="shared" si="5"/>
        <v>0</v>
      </c>
      <c r="I272" s="24">
        <f t="shared" si="6"/>
        <v>0</v>
      </c>
      <c r="J272" s="24">
        <f t="shared" si="7"/>
        <v>0</v>
      </c>
      <c r="K272" s="24"/>
      <c r="L272" s="24">
        <f t="shared" si="8"/>
        <v>457.2940255</v>
      </c>
      <c r="M272" s="14">
        <f t="shared" si="9"/>
        <v>409.7285566</v>
      </c>
      <c r="N272" s="27">
        <f t="shared" si="10"/>
        <v>47.5654689</v>
      </c>
      <c r="O272" s="24"/>
      <c r="P272" s="24"/>
      <c r="Q272" s="24"/>
      <c r="R272" s="26"/>
      <c r="S272" s="14">
        <f t="shared" si="13"/>
        <v>43.67918614</v>
      </c>
      <c r="U272" s="21"/>
      <c r="V272" s="21"/>
    </row>
    <row r="273">
      <c r="A273" s="11">
        <v>261.0</v>
      </c>
      <c r="B273" s="11">
        <v>1.4205304347826E9</v>
      </c>
      <c r="C273" s="2">
        <v>-102.2617569</v>
      </c>
      <c r="D273" s="24">
        <f t="shared" si="1"/>
        <v>130434.7826</v>
      </c>
      <c r="E273" s="25">
        <f t="shared" si="2"/>
        <v>-28.4671801</v>
      </c>
      <c r="F273" s="24">
        <f t="shared" si="3"/>
        <v>0.0002182483807</v>
      </c>
      <c r="G273" s="24">
        <f t="shared" si="4"/>
        <v>0</v>
      </c>
      <c r="H273" s="26">
        <f t="shared" si="5"/>
        <v>0</v>
      </c>
      <c r="I273" s="24">
        <f t="shared" si="6"/>
        <v>0</v>
      </c>
      <c r="J273" s="24">
        <f t="shared" si="7"/>
        <v>0</v>
      </c>
      <c r="K273" s="24"/>
      <c r="L273" s="24">
        <f t="shared" si="8"/>
        <v>451.7836163</v>
      </c>
      <c r="M273" s="14">
        <f t="shared" si="9"/>
        <v>409.6452767</v>
      </c>
      <c r="N273" s="27">
        <f t="shared" si="10"/>
        <v>42.13833957</v>
      </c>
      <c r="O273" s="24"/>
      <c r="P273" s="24"/>
      <c r="Q273" s="24"/>
      <c r="R273" s="26"/>
      <c r="S273" s="14">
        <f t="shared" si="13"/>
        <v>38.69547427</v>
      </c>
      <c r="U273" s="21"/>
      <c r="V273" s="21"/>
    </row>
    <row r="274">
      <c r="A274" s="11">
        <v>262.0</v>
      </c>
      <c r="B274" s="11">
        <v>1.42053478260869E9</v>
      </c>
      <c r="C274" s="2">
        <v>-102.3104248</v>
      </c>
      <c r="D274" s="24">
        <f t="shared" si="1"/>
        <v>134782.6087</v>
      </c>
      <c r="E274" s="25">
        <f t="shared" si="2"/>
        <v>-29.38547623</v>
      </c>
      <c r="F274" s="24">
        <f t="shared" si="3"/>
        <v>0.0002180212752</v>
      </c>
      <c r="G274" s="24">
        <f t="shared" si="4"/>
        <v>0</v>
      </c>
      <c r="H274" s="26">
        <f t="shared" si="5"/>
        <v>0</v>
      </c>
      <c r="I274" s="24">
        <f t="shared" si="6"/>
        <v>0</v>
      </c>
      <c r="J274" s="24">
        <f t="shared" si="7"/>
        <v>0</v>
      </c>
      <c r="K274" s="24"/>
      <c r="L274" s="24">
        <f t="shared" si="8"/>
        <v>446.7491011</v>
      </c>
      <c r="M274" s="14">
        <f t="shared" si="9"/>
        <v>409.5620645</v>
      </c>
      <c r="N274" s="27">
        <f t="shared" si="10"/>
        <v>37.18703663</v>
      </c>
      <c r="O274" s="24"/>
      <c r="P274" s="24"/>
      <c r="Q274" s="24"/>
      <c r="R274" s="26"/>
      <c r="S274" s="14">
        <f t="shared" si="13"/>
        <v>34.14871193</v>
      </c>
      <c r="U274" s="21"/>
      <c r="V274" s="21"/>
    </row>
    <row r="275">
      <c r="A275" s="11">
        <v>263.0</v>
      </c>
      <c r="B275" s="11">
        <v>1.42053913043478E9</v>
      </c>
      <c r="C275" s="2">
        <v>-102.3139954</v>
      </c>
      <c r="D275" s="24">
        <f t="shared" si="1"/>
        <v>139130.4348</v>
      </c>
      <c r="E275" s="25">
        <f t="shared" si="2"/>
        <v>-30.30377236</v>
      </c>
      <c r="F275" s="24">
        <f t="shared" si="3"/>
        <v>0.0002178083638</v>
      </c>
      <c r="G275" s="24">
        <f t="shared" si="4"/>
        <v>0</v>
      </c>
      <c r="H275" s="26">
        <f t="shared" si="5"/>
        <v>0</v>
      </c>
      <c r="I275" s="24">
        <f t="shared" si="6"/>
        <v>0</v>
      </c>
      <c r="J275" s="24">
        <f t="shared" si="7"/>
        <v>0</v>
      </c>
      <c r="K275" s="24"/>
      <c r="L275" s="24">
        <f t="shared" si="8"/>
        <v>446.3819524</v>
      </c>
      <c r="M275" s="14">
        <f t="shared" si="9"/>
        <v>409.47892</v>
      </c>
      <c r="N275" s="27">
        <f t="shared" si="10"/>
        <v>36.9030324</v>
      </c>
      <c r="O275" s="24"/>
      <c r="P275" s="24"/>
      <c r="Q275" s="24"/>
      <c r="R275" s="26"/>
      <c r="S275" s="14">
        <f t="shared" si="13"/>
        <v>33.88791187</v>
      </c>
      <c r="U275" s="21"/>
      <c r="V275" s="21"/>
    </row>
    <row r="276">
      <c r="A276" s="11">
        <v>264.0</v>
      </c>
      <c r="B276" s="11">
        <v>1.42054347826087E9</v>
      </c>
      <c r="C276" s="2">
        <v>-102.403862</v>
      </c>
      <c r="D276" s="24">
        <f t="shared" si="1"/>
        <v>143478.2609</v>
      </c>
      <c r="E276" s="25">
        <f t="shared" si="2"/>
        <v>-31.22206849</v>
      </c>
      <c r="F276" s="24">
        <f t="shared" si="3"/>
        <v>0.0002176083562</v>
      </c>
      <c r="G276" s="24">
        <f t="shared" si="4"/>
        <v>0</v>
      </c>
      <c r="H276" s="26">
        <f t="shared" si="5"/>
        <v>0</v>
      </c>
      <c r="I276" s="24">
        <f t="shared" si="6"/>
        <v>0</v>
      </c>
      <c r="J276" s="24">
        <f t="shared" si="7"/>
        <v>0</v>
      </c>
      <c r="K276" s="24"/>
      <c r="L276" s="24">
        <f t="shared" si="8"/>
        <v>437.2400823</v>
      </c>
      <c r="M276" s="14">
        <f t="shared" si="9"/>
        <v>409.3958431</v>
      </c>
      <c r="N276" s="27">
        <f t="shared" si="10"/>
        <v>27.8442392</v>
      </c>
      <c r="O276" s="24"/>
      <c r="P276" s="24"/>
      <c r="Q276" s="24"/>
      <c r="R276" s="26"/>
      <c r="S276" s="14">
        <f t="shared" si="13"/>
        <v>25.56925718</v>
      </c>
      <c r="U276" s="21"/>
      <c r="V276" s="21"/>
    </row>
    <row r="277">
      <c r="A277" s="11">
        <v>265.0</v>
      </c>
      <c r="B277" s="11">
        <v>1.42054782608695E9</v>
      </c>
      <c r="C277" s="2">
        <v>-102.433403</v>
      </c>
      <c r="D277" s="24">
        <f t="shared" si="1"/>
        <v>147826.087</v>
      </c>
      <c r="E277" s="25">
        <f t="shared" si="2"/>
        <v>-32.14036462</v>
      </c>
      <c r="F277" s="24">
        <f t="shared" si="3"/>
        <v>0.0002174201136</v>
      </c>
      <c r="G277" s="24">
        <f t="shared" si="4"/>
        <v>0</v>
      </c>
      <c r="H277" s="26">
        <f t="shared" si="5"/>
        <v>0</v>
      </c>
      <c r="I277" s="24">
        <f t="shared" si="6"/>
        <v>0</v>
      </c>
      <c r="J277" s="24">
        <f t="shared" si="7"/>
        <v>0</v>
      </c>
      <c r="K277" s="24"/>
      <c r="L277" s="24">
        <f t="shared" si="8"/>
        <v>434.2760384</v>
      </c>
      <c r="M277" s="14">
        <f t="shared" si="9"/>
        <v>409.3128338</v>
      </c>
      <c r="N277" s="27">
        <f t="shared" si="10"/>
        <v>24.96320453</v>
      </c>
      <c r="O277" s="24"/>
      <c r="P277" s="24"/>
      <c r="Q277" s="24"/>
      <c r="R277" s="26"/>
      <c r="S277" s="14">
        <f t="shared" si="13"/>
        <v>22.92361418</v>
      </c>
      <c r="U277" s="21"/>
      <c r="V277" s="21"/>
    </row>
    <row r="278">
      <c r="A278" s="11">
        <v>266.0</v>
      </c>
      <c r="B278" s="11">
        <v>1.42055217391304E9</v>
      </c>
      <c r="C278" s="2">
        <v>-102.4331894</v>
      </c>
      <c r="D278" s="24">
        <f t="shared" si="1"/>
        <v>152173.913</v>
      </c>
      <c r="E278" s="25">
        <f t="shared" si="2"/>
        <v>-33.05866076</v>
      </c>
      <c r="F278" s="24">
        <f t="shared" si="3"/>
        <v>0.0002172426278</v>
      </c>
      <c r="G278" s="24">
        <f t="shared" si="4"/>
        <v>0</v>
      </c>
      <c r="H278" s="26">
        <f t="shared" si="5"/>
        <v>0</v>
      </c>
      <c r="I278" s="24">
        <f t="shared" si="6"/>
        <v>0</v>
      </c>
      <c r="J278" s="24">
        <f t="shared" si="7"/>
        <v>0</v>
      </c>
      <c r="K278" s="24"/>
      <c r="L278" s="24">
        <f t="shared" si="8"/>
        <v>434.297398</v>
      </c>
      <c r="M278" s="14">
        <f t="shared" si="9"/>
        <v>409.2298922</v>
      </c>
      <c r="N278" s="27">
        <f t="shared" si="10"/>
        <v>25.06750579</v>
      </c>
      <c r="O278" s="24"/>
      <c r="P278" s="24"/>
      <c r="Q278" s="24"/>
      <c r="R278" s="26"/>
      <c r="S278" s="14">
        <f t="shared" si="13"/>
        <v>23.01939357</v>
      </c>
      <c r="U278" s="21"/>
      <c r="V278" s="21"/>
    </row>
    <row r="279">
      <c r="A279" s="11">
        <v>267.0</v>
      </c>
      <c r="B279" s="11">
        <v>1.42055652173913E9</v>
      </c>
      <c r="C279" s="2">
        <v>-102.4845505</v>
      </c>
      <c r="D279" s="24">
        <f t="shared" si="1"/>
        <v>156521.7391</v>
      </c>
      <c r="E279" s="25">
        <f t="shared" si="2"/>
        <v>-33.97695689</v>
      </c>
      <c r="F279" s="24">
        <f t="shared" si="3"/>
        <v>0.0002170750023</v>
      </c>
      <c r="G279" s="24">
        <f t="shared" si="4"/>
        <v>0</v>
      </c>
      <c r="H279" s="26">
        <f t="shared" si="5"/>
        <v>0</v>
      </c>
      <c r="I279" s="24">
        <f t="shared" si="6"/>
        <v>0</v>
      </c>
      <c r="J279" s="24">
        <f t="shared" si="7"/>
        <v>0</v>
      </c>
      <c r="K279" s="24"/>
      <c r="L279" s="24">
        <f t="shared" si="8"/>
        <v>429.191505</v>
      </c>
      <c r="M279" s="14">
        <f t="shared" si="9"/>
        <v>409.1470181</v>
      </c>
      <c r="N279" s="27">
        <f t="shared" si="10"/>
        <v>20.04448686</v>
      </c>
      <c r="O279" s="24"/>
      <c r="P279" s="24"/>
      <c r="Q279" s="24"/>
      <c r="R279" s="26"/>
      <c r="S279" s="14">
        <f t="shared" si="13"/>
        <v>18.40677477</v>
      </c>
      <c r="U279" s="21"/>
      <c r="V279" s="21"/>
    </row>
    <row r="280">
      <c r="A280" s="11">
        <v>268.0</v>
      </c>
      <c r="B280" s="11">
        <v>1.42056086956521E9</v>
      </c>
      <c r="C280" s="2">
        <v>-102.459816</v>
      </c>
      <c r="D280" s="24">
        <f t="shared" si="1"/>
        <v>160869.5652</v>
      </c>
      <c r="E280" s="25">
        <f t="shared" si="2"/>
        <v>-34.89525302</v>
      </c>
      <c r="F280" s="24">
        <f t="shared" si="3"/>
        <v>0.0002169164377</v>
      </c>
      <c r="G280" s="24">
        <f t="shared" si="4"/>
        <v>0</v>
      </c>
      <c r="H280" s="26">
        <f t="shared" si="5"/>
        <v>0</v>
      </c>
      <c r="I280" s="24">
        <f t="shared" si="6"/>
        <v>0</v>
      </c>
      <c r="J280" s="24">
        <f t="shared" si="7"/>
        <v>0</v>
      </c>
      <c r="K280" s="24"/>
      <c r="L280" s="24">
        <f t="shared" si="8"/>
        <v>431.6428659</v>
      </c>
      <c r="M280" s="14">
        <f t="shared" si="9"/>
        <v>409.0642117</v>
      </c>
      <c r="N280" s="27">
        <f t="shared" si="10"/>
        <v>22.57865425</v>
      </c>
      <c r="O280" s="24"/>
      <c r="P280" s="24"/>
      <c r="Q280" s="24"/>
      <c r="R280" s="26"/>
      <c r="S280" s="14">
        <f t="shared" si="13"/>
        <v>20.73389088</v>
      </c>
      <c r="U280" s="21"/>
      <c r="V280" s="21"/>
    </row>
    <row r="281">
      <c r="A281" s="11">
        <v>269.0</v>
      </c>
      <c r="B281" s="11">
        <v>1.4205652173913E9</v>
      </c>
      <c r="C281" s="2">
        <v>-102.4586487</v>
      </c>
      <c r="D281" s="24">
        <f t="shared" si="1"/>
        <v>165217.3913</v>
      </c>
      <c r="E281" s="25">
        <f t="shared" si="2"/>
        <v>-35.81354915</v>
      </c>
      <c r="F281" s="24">
        <f t="shared" si="3"/>
        <v>0.0002167662186</v>
      </c>
      <c r="G281" s="24">
        <f t="shared" si="4"/>
        <v>0</v>
      </c>
      <c r="H281" s="26">
        <f t="shared" si="5"/>
        <v>0</v>
      </c>
      <c r="I281" s="24">
        <f t="shared" si="6"/>
        <v>0</v>
      </c>
      <c r="J281" s="24">
        <f t="shared" si="7"/>
        <v>0</v>
      </c>
      <c r="K281" s="24"/>
      <c r="L281" s="24">
        <f t="shared" si="8"/>
        <v>431.7588988</v>
      </c>
      <c r="M281" s="14">
        <f t="shared" si="9"/>
        <v>408.9814727</v>
      </c>
      <c r="N281" s="27">
        <f t="shared" si="10"/>
        <v>22.77742608</v>
      </c>
      <c r="O281" s="24"/>
      <c r="P281" s="24"/>
      <c r="Q281" s="24"/>
      <c r="R281" s="26"/>
      <c r="S281" s="14">
        <f t="shared" si="13"/>
        <v>20.91642223</v>
      </c>
      <c r="U281" s="21"/>
      <c r="V281" s="21"/>
    </row>
    <row r="282">
      <c r="A282" s="11">
        <v>270.0</v>
      </c>
      <c r="B282" s="11">
        <v>1.42056956521739E9</v>
      </c>
      <c r="C282" s="2">
        <v>-102.4843292</v>
      </c>
      <c r="D282" s="24">
        <f t="shared" si="1"/>
        <v>169565.2174</v>
      </c>
      <c r="E282" s="25">
        <f t="shared" si="2"/>
        <v>-36.73184528</v>
      </c>
      <c r="F282" s="24">
        <f t="shared" si="3"/>
        <v>0.000216623703</v>
      </c>
      <c r="G282" s="24">
        <f t="shared" si="4"/>
        <v>0</v>
      </c>
      <c r="H282" s="26">
        <f t="shared" si="5"/>
        <v>0</v>
      </c>
      <c r="I282" s="24">
        <f t="shared" si="6"/>
        <v>0</v>
      </c>
      <c r="J282" s="24">
        <f t="shared" si="7"/>
        <v>0</v>
      </c>
      <c r="K282" s="24"/>
      <c r="L282" s="24">
        <f t="shared" si="8"/>
        <v>429.2133755</v>
      </c>
      <c r="M282" s="14">
        <f t="shared" si="9"/>
        <v>408.8988013</v>
      </c>
      <c r="N282" s="27">
        <f t="shared" si="10"/>
        <v>20.31457423</v>
      </c>
      <c r="O282" s="24"/>
      <c r="P282" s="24"/>
      <c r="Q282" s="24"/>
      <c r="R282" s="26"/>
      <c r="S282" s="14">
        <f t="shared" si="13"/>
        <v>18.65479495</v>
      </c>
      <c r="U282" s="21"/>
      <c r="V282" s="21"/>
    </row>
    <row r="283">
      <c r="A283" s="11">
        <v>271.0</v>
      </c>
      <c r="B283" s="11">
        <v>1.42057391304347E9</v>
      </c>
      <c r="C283" s="2">
        <v>-102.4794235</v>
      </c>
      <c r="D283" s="24">
        <f t="shared" si="1"/>
        <v>173913.0435</v>
      </c>
      <c r="E283" s="25">
        <f t="shared" si="2"/>
        <v>-37.65014142</v>
      </c>
      <c r="F283" s="24">
        <f t="shared" si="3"/>
        <v>0.0002164883132</v>
      </c>
      <c r="G283" s="24">
        <f t="shared" si="4"/>
        <v>0</v>
      </c>
      <c r="H283" s="26">
        <f t="shared" si="5"/>
        <v>0</v>
      </c>
      <c r="I283" s="24">
        <f t="shared" si="6"/>
        <v>0</v>
      </c>
      <c r="J283" s="24">
        <f t="shared" si="7"/>
        <v>0</v>
      </c>
      <c r="K283" s="24"/>
      <c r="L283" s="24">
        <f t="shared" si="8"/>
        <v>429.69848</v>
      </c>
      <c r="M283" s="14">
        <f t="shared" si="9"/>
        <v>408.8161974</v>
      </c>
      <c r="N283" s="27">
        <f t="shared" si="10"/>
        <v>20.88228255</v>
      </c>
      <c r="O283" s="24"/>
      <c r="P283" s="24"/>
      <c r="Q283" s="24"/>
      <c r="R283" s="26"/>
      <c r="S283" s="14">
        <f t="shared" si="13"/>
        <v>19.17611931</v>
      </c>
      <c r="U283" s="21"/>
      <c r="V283" s="21"/>
    </row>
    <row r="284">
      <c r="A284" s="11">
        <v>272.0</v>
      </c>
      <c r="B284" s="11">
        <v>1.42057826086956E9</v>
      </c>
      <c r="C284" s="2">
        <v>-102.4771194</v>
      </c>
      <c r="D284" s="24">
        <f t="shared" si="1"/>
        <v>178260.8696</v>
      </c>
      <c r="E284" s="25">
        <f t="shared" si="2"/>
        <v>-38.56843755</v>
      </c>
      <c r="F284" s="24">
        <f t="shared" si="3"/>
        <v>0.0002163595277</v>
      </c>
      <c r="G284" s="24">
        <f t="shared" si="4"/>
        <v>0</v>
      </c>
      <c r="H284" s="26">
        <f t="shared" si="5"/>
        <v>0</v>
      </c>
      <c r="I284" s="24">
        <f t="shared" si="6"/>
        <v>0</v>
      </c>
      <c r="J284" s="24">
        <f t="shared" si="7"/>
        <v>0</v>
      </c>
      <c r="K284" s="24"/>
      <c r="L284" s="24">
        <f t="shared" si="8"/>
        <v>429.9265121</v>
      </c>
      <c r="M284" s="14">
        <f t="shared" si="9"/>
        <v>408.733661</v>
      </c>
      <c r="N284" s="27">
        <f t="shared" si="10"/>
        <v>21.19285108</v>
      </c>
      <c r="O284" s="24"/>
      <c r="P284" s="24"/>
      <c r="Q284" s="24"/>
      <c r="R284" s="26"/>
      <c r="S284" s="14">
        <f t="shared" si="13"/>
        <v>19.46131314</v>
      </c>
      <c r="U284" s="21"/>
      <c r="V284" s="21"/>
    </row>
    <row r="285">
      <c r="A285" s="11">
        <v>273.0</v>
      </c>
      <c r="B285" s="11">
        <v>1.42058260869565E9</v>
      </c>
      <c r="C285" s="2">
        <v>-102.4768143</v>
      </c>
      <c r="D285" s="24">
        <f t="shared" si="1"/>
        <v>182608.6957</v>
      </c>
      <c r="E285" s="25">
        <f t="shared" si="2"/>
        <v>-39.48673368</v>
      </c>
      <c r="F285" s="24">
        <f t="shared" si="3"/>
        <v>0.0002162368749</v>
      </c>
      <c r="G285" s="24">
        <f t="shared" si="4"/>
        <v>0</v>
      </c>
      <c r="H285" s="26">
        <f t="shared" si="5"/>
        <v>0</v>
      </c>
      <c r="I285" s="24">
        <f t="shared" si="6"/>
        <v>0</v>
      </c>
      <c r="J285" s="24">
        <f t="shared" si="7"/>
        <v>0</v>
      </c>
      <c r="K285" s="24"/>
      <c r="L285" s="24">
        <f t="shared" si="8"/>
        <v>429.9567163</v>
      </c>
      <c r="M285" s="14">
        <f t="shared" si="9"/>
        <v>408.6511921</v>
      </c>
      <c r="N285" s="27">
        <f t="shared" si="10"/>
        <v>21.30552421</v>
      </c>
      <c r="O285" s="24"/>
      <c r="P285" s="24"/>
      <c r="Q285" s="24"/>
      <c r="R285" s="26"/>
      <c r="S285" s="14">
        <f t="shared" si="13"/>
        <v>19.56478049</v>
      </c>
      <c r="U285" s="21"/>
      <c r="V285" s="21"/>
    </row>
    <row r="286">
      <c r="A286" s="11">
        <v>274.0</v>
      </c>
      <c r="B286" s="11">
        <v>1.42058695652173E9</v>
      </c>
      <c r="C286" s="2">
        <v>-102.4172974</v>
      </c>
      <c r="D286" s="24">
        <f t="shared" si="1"/>
        <v>186956.5217</v>
      </c>
      <c r="E286" s="25">
        <f t="shared" si="2"/>
        <v>-40.40502981</v>
      </c>
      <c r="F286" s="24">
        <f t="shared" si="3"/>
        <v>0.0002161199269</v>
      </c>
      <c r="G286" s="24">
        <f t="shared" si="4"/>
        <v>0</v>
      </c>
      <c r="H286" s="26">
        <f t="shared" si="5"/>
        <v>0</v>
      </c>
      <c r="I286" s="24">
        <f t="shared" si="6"/>
        <v>0</v>
      </c>
      <c r="J286" s="24">
        <f t="shared" si="7"/>
        <v>0</v>
      </c>
      <c r="K286" s="24"/>
      <c r="L286" s="24">
        <f t="shared" si="8"/>
        <v>435.8895199</v>
      </c>
      <c r="M286" s="14">
        <f t="shared" si="9"/>
        <v>408.5687906</v>
      </c>
      <c r="N286" s="27">
        <f t="shared" si="10"/>
        <v>27.32072929</v>
      </c>
      <c r="O286" s="24"/>
      <c r="P286" s="24"/>
      <c r="Q286" s="24"/>
      <c r="R286" s="26"/>
      <c r="S286" s="14">
        <f t="shared" si="13"/>
        <v>25.08852005</v>
      </c>
      <c r="U286" s="21"/>
      <c r="V286" s="21"/>
    </row>
    <row r="287">
      <c r="A287" s="11">
        <v>275.0</v>
      </c>
      <c r="B287" s="11">
        <v>1.42059130434782E9</v>
      </c>
      <c r="C287" s="2">
        <v>-102.4410172</v>
      </c>
      <c r="D287" s="24">
        <f t="shared" si="1"/>
        <v>191304.3478</v>
      </c>
      <c r="E287" s="25">
        <f t="shared" si="2"/>
        <v>-41.32332595</v>
      </c>
      <c r="F287" s="24">
        <f t="shared" si="3"/>
        <v>0.0002160082947</v>
      </c>
      <c r="G287" s="24">
        <f t="shared" si="4"/>
        <v>0</v>
      </c>
      <c r="H287" s="26">
        <f t="shared" si="5"/>
        <v>0</v>
      </c>
      <c r="I287" s="24">
        <f t="shared" si="6"/>
        <v>0</v>
      </c>
      <c r="J287" s="24">
        <f t="shared" si="7"/>
        <v>0</v>
      </c>
      <c r="K287" s="24"/>
      <c r="L287" s="24">
        <f t="shared" si="8"/>
        <v>433.5153178</v>
      </c>
      <c r="M287" s="14">
        <f t="shared" si="9"/>
        <v>408.4864566</v>
      </c>
      <c r="N287" s="27">
        <f t="shared" si="10"/>
        <v>25.02886121</v>
      </c>
      <c r="O287" s="24"/>
      <c r="P287" s="24"/>
      <c r="Q287" s="24"/>
      <c r="R287" s="26"/>
      <c r="S287" s="14">
        <f t="shared" si="13"/>
        <v>22.98390646</v>
      </c>
      <c r="U287" s="21"/>
      <c r="V287" s="21"/>
    </row>
    <row r="288">
      <c r="A288" s="11">
        <v>276.0</v>
      </c>
      <c r="B288" s="11">
        <v>1.42059565217391E9</v>
      </c>
      <c r="C288" s="2">
        <v>-102.4825897</v>
      </c>
      <c r="D288" s="24">
        <f t="shared" si="1"/>
        <v>195652.1739</v>
      </c>
      <c r="E288" s="25">
        <f t="shared" si="2"/>
        <v>-42.24162208</v>
      </c>
      <c r="F288" s="24">
        <f t="shared" si="3"/>
        <v>0.000215901624</v>
      </c>
      <c r="G288" s="24">
        <f t="shared" si="4"/>
        <v>0</v>
      </c>
      <c r="H288" s="26">
        <f t="shared" si="5"/>
        <v>0</v>
      </c>
      <c r="I288" s="24">
        <f t="shared" si="6"/>
        <v>0</v>
      </c>
      <c r="J288" s="24">
        <f t="shared" si="7"/>
        <v>0</v>
      </c>
      <c r="K288" s="24"/>
      <c r="L288" s="24">
        <f t="shared" si="8"/>
        <v>429.3853248</v>
      </c>
      <c r="M288" s="14">
        <f t="shared" si="9"/>
        <v>408.4041899</v>
      </c>
      <c r="N288" s="27">
        <f t="shared" si="10"/>
        <v>20.98113487</v>
      </c>
      <c r="O288" s="24"/>
      <c r="P288" s="24"/>
      <c r="Q288" s="24"/>
      <c r="R288" s="26"/>
      <c r="S288" s="14">
        <f t="shared" si="13"/>
        <v>19.26689497</v>
      </c>
      <c r="U288" s="21"/>
      <c r="V288" s="21"/>
    </row>
    <row r="289">
      <c r="A289" s="11">
        <v>277.0</v>
      </c>
      <c r="B289" s="11">
        <v>1.4206E9</v>
      </c>
      <c r="C289" s="2">
        <v>-102.5033722</v>
      </c>
      <c r="D289" s="24">
        <f t="shared" si="1"/>
        <v>200000</v>
      </c>
      <c r="E289" s="25">
        <f t="shared" si="2"/>
        <v>-43.15991821</v>
      </c>
      <c r="F289" s="24">
        <f t="shared" si="3"/>
        <v>0.000215799591</v>
      </c>
      <c r="G289" s="24">
        <f t="shared" si="4"/>
        <v>0</v>
      </c>
      <c r="H289" s="26">
        <f t="shared" si="5"/>
        <v>0</v>
      </c>
      <c r="I289" s="24">
        <f t="shared" si="6"/>
        <v>0</v>
      </c>
      <c r="J289" s="24">
        <f t="shared" si="7"/>
        <v>0</v>
      </c>
      <c r="K289" s="24"/>
      <c r="L289" s="24">
        <f t="shared" si="8"/>
        <v>427.3354754</v>
      </c>
      <c r="M289" s="14">
        <f t="shared" si="9"/>
        <v>408.3219907</v>
      </c>
      <c r="N289" s="27">
        <f t="shared" si="10"/>
        <v>19.01348465</v>
      </c>
      <c r="O289" s="24"/>
      <c r="P289" s="24"/>
      <c r="Q289" s="24"/>
      <c r="R289" s="26"/>
      <c r="S289" s="14">
        <f t="shared" si="13"/>
        <v>17.46000943</v>
      </c>
      <c r="U289" s="21"/>
      <c r="V289" s="21"/>
    </row>
    <row r="290">
      <c r="A290" s="11">
        <v>278.0</v>
      </c>
      <c r="B290" s="11">
        <v>1.42060434782608E9</v>
      </c>
      <c r="C290" s="2">
        <v>-102.5699387</v>
      </c>
      <c r="D290" s="24">
        <f t="shared" si="1"/>
        <v>204347.8261</v>
      </c>
      <c r="E290" s="25">
        <f t="shared" si="2"/>
        <v>-44.07821434</v>
      </c>
      <c r="F290" s="24">
        <f t="shared" si="3"/>
        <v>0.0002157019</v>
      </c>
      <c r="G290" s="24">
        <f t="shared" si="4"/>
        <v>0</v>
      </c>
      <c r="H290" s="26">
        <f t="shared" si="5"/>
        <v>0</v>
      </c>
      <c r="I290" s="24">
        <f t="shared" si="6"/>
        <v>0</v>
      </c>
      <c r="J290" s="24">
        <f t="shared" si="7"/>
        <v>0</v>
      </c>
      <c r="K290" s="24"/>
      <c r="L290" s="24">
        <f t="shared" si="8"/>
        <v>420.8354315</v>
      </c>
      <c r="M290" s="14">
        <f t="shared" si="9"/>
        <v>408.2398589</v>
      </c>
      <c r="N290" s="27">
        <f t="shared" si="10"/>
        <v>12.59557267</v>
      </c>
      <c r="O290" s="24"/>
      <c r="P290" s="24"/>
      <c r="Q290" s="24"/>
      <c r="R290" s="26"/>
      <c r="S290" s="14">
        <f t="shared" si="13"/>
        <v>11.56646567</v>
      </c>
      <c r="U290" s="21"/>
      <c r="V290" s="21"/>
    </row>
    <row r="291">
      <c r="A291" s="11">
        <v>279.0</v>
      </c>
      <c r="B291" s="11">
        <v>1.42060869565217E9</v>
      </c>
      <c r="C291" s="2">
        <v>-102.5249634</v>
      </c>
      <c r="D291" s="24">
        <f t="shared" si="1"/>
        <v>208695.6522</v>
      </c>
      <c r="E291" s="25">
        <f t="shared" si="2"/>
        <v>-44.99651047</v>
      </c>
      <c r="F291" s="24">
        <f t="shared" si="3"/>
        <v>0.0002156082794</v>
      </c>
      <c r="G291" s="24">
        <f t="shared" si="4"/>
        <v>0</v>
      </c>
      <c r="H291" s="26">
        <f t="shared" si="5"/>
        <v>0</v>
      </c>
      <c r="I291" s="24">
        <f t="shared" si="6"/>
        <v>0</v>
      </c>
      <c r="J291" s="24">
        <f t="shared" si="7"/>
        <v>0</v>
      </c>
      <c r="K291" s="24"/>
      <c r="L291" s="24">
        <f t="shared" si="8"/>
        <v>425.2162248</v>
      </c>
      <c r="M291" s="14">
        <f t="shared" si="9"/>
        <v>408.1577944</v>
      </c>
      <c r="N291" s="27">
        <f t="shared" si="10"/>
        <v>17.05843044</v>
      </c>
      <c r="O291" s="24"/>
      <c r="P291" s="24"/>
      <c r="Q291" s="24"/>
      <c r="R291" s="26"/>
      <c r="S291" s="14">
        <f t="shared" si="13"/>
        <v>15.66469067</v>
      </c>
      <c r="U291" s="21"/>
      <c r="V291" s="21"/>
    </row>
    <row r="292">
      <c r="A292" s="11">
        <v>280.0</v>
      </c>
      <c r="B292" s="11">
        <v>1.42061304347826E9</v>
      </c>
      <c r="C292" s="2">
        <v>-102.5162811</v>
      </c>
      <c r="D292" s="24">
        <f t="shared" si="1"/>
        <v>213043.4783</v>
      </c>
      <c r="E292" s="25">
        <f t="shared" si="2"/>
        <v>-45.91480661</v>
      </c>
      <c r="F292" s="24">
        <f t="shared" si="3"/>
        <v>0.00021551848</v>
      </c>
      <c r="G292" s="24">
        <f t="shared" si="4"/>
        <v>0</v>
      </c>
      <c r="H292" s="26">
        <f t="shared" si="5"/>
        <v>0</v>
      </c>
      <c r="I292" s="24">
        <f t="shared" si="6"/>
        <v>0</v>
      </c>
      <c r="J292" s="24">
        <f t="shared" si="7"/>
        <v>0</v>
      </c>
      <c r="K292" s="24"/>
      <c r="L292" s="24">
        <f t="shared" si="8"/>
        <v>426.0671561</v>
      </c>
      <c r="M292" s="14">
        <f t="shared" si="9"/>
        <v>408.0757972</v>
      </c>
      <c r="N292" s="27">
        <f t="shared" si="10"/>
        <v>17.99135887</v>
      </c>
      <c r="O292" s="24"/>
      <c r="P292" s="24"/>
      <c r="Q292" s="24"/>
      <c r="R292" s="26"/>
      <c r="S292" s="14">
        <f t="shared" si="13"/>
        <v>16.52139527</v>
      </c>
      <c r="U292" s="21"/>
      <c r="V292" s="21"/>
    </row>
    <row r="293">
      <c r="A293" s="11">
        <v>281.0</v>
      </c>
      <c r="B293" s="11">
        <v>1.42061739130434E9</v>
      </c>
      <c r="C293" s="2">
        <v>-102.5545807</v>
      </c>
      <c r="D293" s="24">
        <f t="shared" si="1"/>
        <v>217391.3043</v>
      </c>
      <c r="E293" s="25">
        <f t="shared" si="2"/>
        <v>-46.83310274</v>
      </c>
      <c r="F293" s="24">
        <f t="shared" si="3"/>
        <v>0.0002154322726</v>
      </c>
      <c r="G293" s="24">
        <f t="shared" si="4"/>
        <v>0</v>
      </c>
      <c r="H293" s="26">
        <f t="shared" si="5"/>
        <v>0</v>
      </c>
      <c r="I293" s="24">
        <f t="shared" si="6"/>
        <v>0</v>
      </c>
      <c r="J293" s="24">
        <f t="shared" si="7"/>
        <v>0</v>
      </c>
      <c r="K293" s="24"/>
      <c r="L293" s="24">
        <f t="shared" si="8"/>
        <v>422.3262706</v>
      </c>
      <c r="M293" s="14">
        <f t="shared" si="9"/>
        <v>407.9938674</v>
      </c>
      <c r="N293" s="27">
        <f t="shared" si="10"/>
        <v>14.33240323</v>
      </c>
      <c r="O293" s="24"/>
      <c r="P293" s="24"/>
      <c r="Q293" s="24"/>
      <c r="R293" s="26"/>
      <c r="S293" s="14">
        <f t="shared" si="13"/>
        <v>13.16139046</v>
      </c>
      <c r="U293" s="21"/>
      <c r="V293" s="21"/>
    </row>
    <row r="294">
      <c r="A294" s="11">
        <v>282.0</v>
      </c>
      <c r="B294" s="11">
        <v>1.42062173913043E9</v>
      </c>
      <c r="C294" s="2">
        <v>-102.5093231</v>
      </c>
      <c r="D294" s="24">
        <f t="shared" si="1"/>
        <v>221739.1304</v>
      </c>
      <c r="E294" s="25">
        <f t="shared" si="2"/>
        <v>-47.75139887</v>
      </c>
      <c r="F294" s="24">
        <f t="shared" si="3"/>
        <v>0.0002153494459</v>
      </c>
      <c r="G294" s="24">
        <f t="shared" si="4"/>
        <v>0</v>
      </c>
      <c r="H294" s="26">
        <f t="shared" si="5"/>
        <v>0</v>
      </c>
      <c r="I294" s="24">
        <f t="shared" si="6"/>
        <v>0</v>
      </c>
      <c r="J294" s="24">
        <f t="shared" si="7"/>
        <v>0</v>
      </c>
      <c r="K294" s="24"/>
      <c r="L294" s="24">
        <f t="shared" si="8"/>
        <v>426.7503219</v>
      </c>
      <c r="M294" s="14">
        <f t="shared" si="9"/>
        <v>407.9120049</v>
      </c>
      <c r="N294" s="27">
        <f t="shared" si="10"/>
        <v>18.83831702</v>
      </c>
      <c r="O294" s="24"/>
      <c r="P294" s="24"/>
      <c r="Q294" s="24"/>
      <c r="R294" s="26"/>
      <c r="S294" s="14">
        <f t="shared" si="13"/>
        <v>17.29915362</v>
      </c>
      <c r="U294" s="21"/>
      <c r="V294" s="21"/>
    </row>
    <row r="295">
      <c r="A295" s="11">
        <v>283.0</v>
      </c>
      <c r="B295" s="11">
        <v>1.42062608695652E9</v>
      </c>
      <c r="C295" s="2">
        <v>-102.5523453</v>
      </c>
      <c r="D295" s="24">
        <f t="shared" si="1"/>
        <v>226086.9565</v>
      </c>
      <c r="E295" s="25">
        <f t="shared" si="2"/>
        <v>-48.669695</v>
      </c>
      <c r="F295" s="24">
        <f t="shared" si="3"/>
        <v>0.0002152698048</v>
      </c>
      <c r="G295" s="24">
        <f t="shared" si="4"/>
        <v>0</v>
      </c>
      <c r="H295" s="26">
        <f t="shared" si="5"/>
        <v>0</v>
      </c>
      <c r="I295" s="24">
        <f t="shared" si="6"/>
        <v>0</v>
      </c>
      <c r="J295" s="24">
        <f t="shared" si="7"/>
        <v>0</v>
      </c>
      <c r="K295" s="24"/>
      <c r="L295" s="24">
        <f t="shared" si="8"/>
        <v>422.5437063</v>
      </c>
      <c r="M295" s="14">
        <f t="shared" si="9"/>
        <v>407.8302096</v>
      </c>
      <c r="N295" s="27">
        <f t="shared" si="10"/>
        <v>14.71349667</v>
      </c>
      <c r="O295" s="24"/>
      <c r="P295" s="24"/>
      <c r="Q295" s="24"/>
      <c r="R295" s="26"/>
      <c r="S295" s="14">
        <f t="shared" si="13"/>
        <v>13.51134709</v>
      </c>
      <c r="U295" s="21"/>
      <c r="V295" s="21"/>
    </row>
    <row r="296">
      <c r="A296" s="11">
        <v>284.0</v>
      </c>
      <c r="B296" s="11">
        <v>1.4206304347826E9</v>
      </c>
      <c r="C296" s="2">
        <v>-102.5302658</v>
      </c>
      <c r="D296" s="24">
        <f t="shared" si="1"/>
        <v>230434.7826</v>
      </c>
      <c r="E296" s="25">
        <f t="shared" si="2"/>
        <v>-49.58799113</v>
      </c>
      <c r="F296" s="24">
        <f t="shared" si="3"/>
        <v>0.0002151931691</v>
      </c>
      <c r="G296" s="24">
        <f t="shared" si="4"/>
        <v>0</v>
      </c>
      <c r="H296" s="26">
        <f t="shared" si="5"/>
        <v>0</v>
      </c>
      <c r="I296" s="24">
        <f t="shared" si="6"/>
        <v>0</v>
      </c>
      <c r="J296" s="24">
        <f t="shared" si="7"/>
        <v>0</v>
      </c>
      <c r="K296" s="24"/>
      <c r="L296" s="24">
        <f t="shared" si="8"/>
        <v>424.6973855</v>
      </c>
      <c r="M296" s="14">
        <f t="shared" si="9"/>
        <v>407.7484817</v>
      </c>
      <c r="N296" s="27">
        <f t="shared" si="10"/>
        <v>16.94890379</v>
      </c>
      <c r="O296" s="24"/>
      <c r="P296" s="24"/>
      <c r="Q296" s="24"/>
      <c r="R296" s="26"/>
      <c r="S296" s="14">
        <f t="shared" si="13"/>
        <v>15.5641128</v>
      </c>
      <c r="U296" s="21"/>
      <c r="V296" s="21"/>
    </row>
    <row r="297">
      <c r="A297" s="11">
        <v>285.0</v>
      </c>
      <c r="B297" s="11">
        <v>1.42063478260869E9</v>
      </c>
      <c r="C297" s="2">
        <v>-102.5078812</v>
      </c>
      <c r="D297" s="24">
        <f t="shared" si="1"/>
        <v>234782.6087</v>
      </c>
      <c r="E297" s="25">
        <f t="shared" si="2"/>
        <v>-50.50628727</v>
      </c>
      <c r="F297" s="24">
        <f t="shared" si="3"/>
        <v>0.0002151193717</v>
      </c>
      <c r="G297" s="24">
        <f t="shared" si="4"/>
        <v>0</v>
      </c>
      <c r="H297" s="26">
        <f t="shared" si="5"/>
        <v>0</v>
      </c>
      <c r="I297" s="24">
        <f t="shared" si="6"/>
        <v>0</v>
      </c>
      <c r="J297" s="24">
        <f t="shared" si="7"/>
        <v>0</v>
      </c>
      <c r="K297" s="24"/>
      <c r="L297" s="24">
        <f t="shared" si="8"/>
        <v>426.8920307</v>
      </c>
      <c r="M297" s="14">
        <f t="shared" si="9"/>
        <v>407.6668209</v>
      </c>
      <c r="N297" s="27">
        <f t="shared" si="10"/>
        <v>19.22520975</v>
      </c>
      <c r="O297" s="24"/>
      <c r="P297" s="24"/>
      <c r="Q297" s="24"/>
      <c r="R297" s="26"/>
      <c r="S297" s="14">
        <f t="shared" si="13"/>
        <v>17.65443576</v>
      </c>
      <c r="U297" s="21"/>
      <c r="V297" s="21"/>
    </row>
    <row r="298">
      <c r="A298" s="11">
        <v>286.0</v>
      </c>
      <c r="B298" s="11">
        <v>1.42063913043478E9</v>
      </c>
      <c r="C298" s="2">
        <v>-102.5665588</v>
      </c>
      <c r="D298" s="24">
        <f t="shared" si="1"/>
        <v>239130.4348</v>
      </c>
      <c r="E298" s="25">
        <f t="shared" si="2"/>
        <v>-51.4245834</v>
      </c>
      <c r="F298" s="24">
        <f t="shared" si="3"/>
        <v>0.0002150482579</v>
      </c>
      <c r="G298" s="24">
        <f t="shared" si="4"/>
        <v>0</v>
      </c>
      <c r="H298" s="26">
        <f t="shared" si="5"/>
        <v>0</v>
      </c>
      <c r="I298" s="24">
        <f t="shared" si="6"/>
        <v>0</v>
      </c>
      <c r="J298" s="24">
        <f t="shared" si="7"/>
        <v>0</v>
      </c>
      <c r="K298" s="24"/>
      <c r="L298" s="24">
        <f t="shared" si="8"/>
        <v>421.1630745</v>
      </c>
      <c r="M298" s="14">
        <f t="shared" si="9"/>
        <v>407.5852274</v>
      </c>
      <c r="N298" s="27">
        <f t="shared" si="10"/>
        <v>13.57784705</v>
      </c>
      <c r="O298" s="24"/>
      <c r="P298" s="24"/>
      <c r="Q298" s="24"/>
      <c r="R298" s="26"/>
      <c r="S298" s="14">
        <f t="shared" si="13"/>
        <v>12.46848441</v>
      </c>
      <c r="U298" s="21"/>
      <c r="V298" s="21"/>
    </row>
    <row r="299">
      <c r="A299" s="11">
        <v>287.0</v>
      </c>
      <c r="B299" s="11">
        <v>1.42064347826087E9</v>
      </c>
      <c r="C299" s="2">
        <v>-102.5476761</v>
      </c>
      <c r="D299" s="24">
        <f t="shared" si="1"/>
        <v>243478.2609</v>
      </c>
      <c r="E299" s="25">
        <f t="shared" si="2"/>
        <v>-52.34287953</v>
      </c>
      <c r="F299" s="24">
        <f t="shared" si="3"/>
        <v>0.0002149796838</v>
      </c>
      <c r="G299" s="24">
        <f t="shared" si="4"/>
        <v>0</v>
      </c>
      <c r="H299" s="26">
        <f t="shared" si="5"/>
        <v>0</v>
      </c>
      <c r="I299" s="24">
        <f t="shared" si="6"/>
        <v>0</v>
      </c>
      <c r="J299" s="24">
        <f t="shared" si="7"/>
        <v>0</v>
      </c>
      <c r="K299" s="24"/>
      <c r="L299" s="24">
        <f t="shared" si="8"/>
        <v>422.9982371</v>
      </c>
      <c r="M299" s="14">
        <f t="shared" si="9"/>
        <v>407.5037011</v>
      </c>
      <c r="N299" s="27">
        <f t="shared" si="10"/>
        <v>15.49453593</v>
      </c>
      <c r="O299" s="24"/>
      <c r="P299" s="24"/>
      <c r="Q299" s="24"/>
      <c r="R299" s="26"/>
      <c r="S299" s="14">
        <f t="shared" si="13"/>
        <v>14.22857243</v>
      </c>
      <c r="U299" s="21"/>
      <c r="V299" s="21"/>
    </row>
    <row r="300">
      <c r="A300" s="11">
        <v>288.0</v>
      </c>
      <c r="B300" s="11">
        <v>1.42064782608695E9</v>
      </c>
      <c r="C300" s="2">
        <v>-102.5204239</v>
      </c>
      <c r="D300" s="24">
        <f t="shared" si="1"/>
        <v>247826.087</v>
      </c>
      <c r="E300" s="25">
        <f t="shared" si="2"/>
        <v>-53.26117566</v>
      </c>
      <c r="F300" s="24">
        <f t="shared" si="3"/>
        <v>0.0002149135158</v>
      </c>
      <c r="G300" s="24">
        <f t="shared" si="4"/>
        <v>0</v>
      </c>
      <c r="H300" s="26">
        <f t="shared" si="5"/>
        <v>0</v>
      </c>
      <c r="I300" s="24">
        <f t="shared" si="6"/>
        <v>0</v>
      </c>
      <c r="J300" s="24">
        <f t="shared" si="7"/>
        <v>0</v>
      </c>
      <c r="K300" s="24"/>
      <c r="L300" s="24">
        <f t="shared" si="8"/>
        <v>425.6609181</v>
      </c>
      <c r="M300" s="14">
        <f t="shared" si="9"/>
        <v>407.422242</v>
      </c>
      <c r="N300" s="27">
        <f t="shared" si="10"/>
        <v>18.23867602</v>
      </c>
      <c r="O300" s="24"/>
      <c r="P300" s="24"/>
      <c r="Q300" s="24"/>
      <c r="R300" s="26"/>
      <c r="S300" s="14">
        <f t="shared" si="13"/>
        <v>16.74850566</v>
      </c>
      <c r="U300" s="21"/>
      <c r="V300" s="21"/>
    </row>
    <row r="301">
      <c r="A301" s="11">
        <v>289.0</v>
      </c>
      <c r="B301" s="11">
        <v>1.42065217391304E9</v>
      </c>
      <c r="C301" s="2">
        <v>-102.4953308</v>
      </c>
      <c r="D301" s="24">
        <f t="shared" si="1"/>
        <v>252173.913</v>
      </c>
      <c r="E301" s="25">
        <f t="shared" si="2"/>
        <v>-54.1794718</v>
      </c>
      <c r="F301" s="24">
        <f t="shared" si="3"/>
        <v>0.0002148496295</v>
      </c>
      <c r="G301" s="24">
        <f t="shared" si="4"/>
        <v>0</v>
      </c>
      <c r="H301" s="26">
        <f t="shared" si="5"/>
        <v>0</v>
      </c>
      <c r="I301" s="24">
        <f t="shared" si="6"/>
        <v>0</v>
      </c>
      <c r="J301" s="24">
        <f t="shared" si="7"/>
        <v>0</v>
      </c>
      <c r="K301" s="24"/>
      <c r="L301" s="24">
        <f t="shared" si="8"/>
        <v>428.1274631</v>
      </c>
      <c r="M301" s="14">
        <f t="shared" si="9"/>
        <v>407.3408501</v>
      </c>
      <c r="N301" s="27">
        <f t="shared" si="10"/>
        <v>20.78661295</v>
      </c>
      <c r="O301" s="24"/>
      <c r="P301" s="24"/>
      <c r="Q301" s="24"/>
      <c r="R301" s="26"/>
      <c r="S301" s="14">
        <f t="shared" si="13"/>
        <v>19.08826625</v>
      </c>
      <c r="U301" s="21"/>
      <c r="V301" s="21"/>
    </row>
    <row r="302">
      <c r="A302" s="11">
        <v>290.0</v>
      </c>
      <c r="B302" s="11">
        <v>1.42065652173913E9</v>
      </c>
      <c r="C302" s="2">
        <v>-102.5271606</v>
      </c>
      <c r="D302" s="24">
        <f t="shared" si="1"/>
        <v>256521.7391</v>
      </c>
      <c r="E302" s="25">
        <f t="shared" si="2"/>
        <v>-55.09776793</v>
      </c>
      <c r="F302" s="24">
        <f t="shared" si="3"/>
        <v>0.0002147879089</v>
      </c>
      <c r="G302" s="24">
        <f t="shared" si="4"/>
        <v>0</v>
      </c>
      <c r="H302" s="26">
        <f t="shared" si="5"/>
        <v>0</v>
      </c>
      <c r="I302" s="24">
        <f t="shared" si="6"/>
        <v>0</v>
      </c>
      <c r="J302" s="24">
        <f t="shared" si="7"/>
        <v>0</v>
      </c>
      <c r="K302" s="24"/>
      <c r="L302" s="24">
        <f t="shared" si="8"/>
        <v>425.0011521</v>
      </c>
      <c r="M302" s="14">
        <f t="shared" si="9"/>
        <v>407.2595253</v>
      </c>
      <c r="N302" s="27">
        <f t="shared" si="10"/>
        <v>17.74162682</v>
      </c>
      <c r="O302" s="24"/>
      <c r="P302" s="24"/>
      <c r="Q302" s="24"/>
      <c r="R302" s="26"/>
      <c r="S302" s="14">
        <f t="shared" si="13"/>
        <v>16.2920673</v>
      </c>
      <c r="U302" s="21"/>
      <c r="V302" s="21"/>
    </row>
    <row r="303">
      <c r="A303" s="11">
        <v>291.0</v>
      </c>
      <c r="B303" s="11">
        <v>1.42066086956521E9</v>
      </c>
      <c r="C303" s="2">
        <v>-102.5908051</v>
      </c>
      <c r="D303" s="24">
        <f t="shared" si="1"/>
        <v>260869.5652</v>
      </c>
      <c r="E303" s="25">
        <f t="shared" si="2"/>
        <v>-56.01606406</v>
      </c>
      <c r="F303" s="24">
        <f t="shared" si="3"/>
        <v>0.0002147282456</v>
      </c>
      <c r="G303" s="24">
        <f t="shared" si="4"/>
        <v>0</v>
      </c>
      <c r="H303" s="26">
        <f t="shared" si="5"/>
        <v>0</v>
      </c>
      <c r="I303" s="24">
        <f t="shared" si="6"/>
        <v>0</v>
      </c>
      <c r="J303" s="24">
        <f t="shared" si="7"/>
        <v>0</v>
      </c>
      <c r="K303" s="24"/>
      <c r="L303" s="24">
        <f t="shared" si="8"/>
        <v>418.8183075</v>
      </c>
      <c r="M303" s="14">
        <f t="shared" si="9"/>
        <v>407.1782677</v>
      </c>
      <c r="N303" s="27">
        <f t="shared" si="10"/>
        <v>11.6400398</v>
      </c>
      <c r="O303" s="24"/>
      <c r="P303" s="24"/>
      <c r="Q303" s="24"/>
      <c r="R303" s="26"/>
      <c r="S303" s="14">
        <f t="shared" si="13"/>
        <v>10.68900354</v>
      </c>
      <c r="U303" s="21"/>
      <c r="V303" s="21"/>
    </row>
    <row r="304">
      <c r="A304" s="11">
        <v>292.0</v>
      </c>
      <c r="B304" s="11">
        <v>1.4206652173913E9</v>
      </c>
      <c r="C304" s="2">
        <v>-102.6249466</v>
      </c>
      <c r="D304" s="24">
        <f t="shared" si="1"/>
        <v>265217.3913</v>
      </c>
      <c r="E304" s="25">
        <f t="shared" si="2"/>
        <v>-56.93436019</v>
      </c>
      <c r="F304" s="24">
        <f t="shared" si="3"/>
        <v>0.0002146705384</v>
      </c>
      <c r="G304" s="24">
        <f t="shared" si="4"/>
        <v>0</v>
      </c>
      <c r="H304" s="26">
        <f t="shared" si="5"/>
        <v>0</v>
      </c>
      <c r="I304" s="24">
        <f t="shared" si="6"/>
        <v>0</v>
      </c>
      <c r="J304" s="24">
        <f t="shared" si="7"/>
        <v>0</v>
      </c>
      <c r="K304" s="24"/>
      <c r="L304" s="24">
        <f t="shared" si="8"/>
        <v>415.5387293</v>
      </c>
      <c r="M304" s="14">
        <f t="shared" si="9"/>
        <v>407.0970771</v>
      </c>
      <c r="N304" s="27">
        <f t="shared" si="10"/>
        <v>8.441652176</v>
      </c>
      <c r="O304" s="24"/>
      <c r="P304" s="24"/>
      <c r="Q304" s="24"/>
      <c r="R304" s="26"/>
      <c r="S304" s="14">
        <f t="shared" si="13"/>
        <v>7.751936529</v>
      </c>
      <c r="U304" s="21"/>
      <c r="V304" s="21"/>
    </row>
    <row r="305">
      <c r="A305" s="11">
        <v>293.0</v>
      </c>
      <c r="B305" s="11">
        <v>1.42066956521739E9</v>
      </c>
      <c r="C305" s="2">
        <v>-102.5751724</v>
      </c>
      <c r="D305" s="24">
        <f t="shared" si="1"/>
        <v>269565.2174</v>
      </c>
      <c r="E305" s="25">
        <f t="shared" si="2"/>
        <v>-57.85265632</v>
      </c>
      <c r="F305" s="24">
        <f t="shared" si="3"/>
        <v>0.0002146146928</v>
      </c>
      <c r="G305" s="24">
        <f t="shared" si="4"/>
        <v>0</v>
      </c>
      <c r="H305" s="26">
        <f t="shared" si="5"/>
        <v>0</v>
      </c>
      <c r="I305" s="24">
        <f t="shared" si="6"/>
        <v>0</v>
      </c>
      <c r="J305" s="24">
        <f t="shared" si="7"/>
        <v>0</v>
      </c>
      <c r="K305" s="24"/>
      <c r="L305" s="24">
        <f t="shared" si="8"/>
        <v>420.3285865</v>
      </c>
      <c r="M305" s="14">
        <f t="shared" si="9"/>
        <v>407.0159537</v>
      </c>
      <c r="N305" s="27">
        <f t="shared" si="10"/>
        <v>13.31263289</v>
      </c>
      <c r="O305" s="24"/>
      <c r="P305" s="24"/>
      <c r="Q305" s="24"/>
      <c r="R305" s="26"/>
      <c r="S305" s="14">
        <f t="shared" si="13"/>
        <v>12.2249393</v>
      </c>
      <c r="U305" s="21"/>
      <c r="V305" s="21"/>
    </row>
    <row r="306">
      <c r="A306" s="11">
        <v>294.0</v>
      </c>
      <c r="B306" s="11">
        <v>1.42067391304347E9</v>
      </c>
      <c r="C306" s="2">
        <v>-102.5977325</v>
      </c>
      <c r="D306" s="24">
        <f t="shared" si="1"/>
        <v>273913.0435</v>
      </c>
      <c r="E306" s="25">
        <f t="shared" si="2"/>
        <v>-58.77095246</v>
      </c>
      <c r="F306" s="24">
        <f t="shared" si="3"/>
        <v>0.0002145606201</v>
      </c>
      <c r="G306" s="24">
        <f t="shared" si="4"/>
        <v>0</v>
      </c>
      <c r="H306" s="26">
        <f t="shared" si="5"/>
        <v>0</v>
      </c>
      <c r="I306" s="24">
        <f t="shared" si="6"/>
        <v>0</v>
      </c>
      <c r="J306" s="24">
        <f t="shared" si="7"/>
        <v>0</v>
      </c>
      <c r="K306" s="24"/>
      <c r="L306" s="24">
        <f t="shared" si="8"/>
        <v>418.1507859</v>
      </c>
      <c r="M306" s="14">
        <f t="shared" si="9"/>
        <v>406.9348973</v>
      </c>
      <c r="N306" s="27">
        <f t="shared" si="10"/>
        <v>11.21588863</v>
      </c>
      <c r="O306" s="24"/>
      <c r="P306" s="24"/>
      <c r="Q306" s="24"/>
      <c r="R306" s="26"/>
      <c r="S306" s="14">
        <f t="shared" si="13"/>
        <v>10.29950716</v>
      </c>
      <c r="U306" s="21"/>
      <c r="V306" s="21"/>
    </row>
    <row r="307">
      <c r="A307" s="11">
        <v>295.0</v>
      </c>
      <c r="B307" s="11">
        <v>1.42067826086956E9</v>
      </c>
      <c r="C307" s="2">
        <v>-102.5394669</v>
      </c>
      <c r="D307" s="24">
        <f t="shared" si="1"/>
        <v>278260.8696</v>
      </c>
      <c r="E307" s="25">
        <f t="shared" si="2"/>
        <v>-59.68924859</v>
      </c>
      <c r="F307" s="24">
        <f t="shared" si="3"/>
        <v>0.0002145082371</v>
      </c>
      <c r="G307" s="24">
        <f t="shared" si="4"/>
        <v>0</v>
      </c>
      <c r="H307" s="26">
        <f t="shared" si="5"/>
        <v>0</v>
      </c>
      <c r="I307" s="24">
        <f t="shared" si="6"/>
        <v>0</v>
      </c>
      <c r="J307" s="24">
        <f t="shared" si="7"/>
        <v>0</v>
      </c>
      <c r="K307" s="24"/>
      <c r="L307" s="24">
        <f t="shared" si="8"/>
        <v>423.7985606</v>
      </c>
      <c r="M307" s="14">
        <f t="shared" si="9"/>
        <v>406.853908</v>
      </c>
      <c r="N307" s="27">
        <f t="shared" si="10"/>
        <v>16.94465269</v>
      </c>
      <c r="O307" s="24"/>
      <c r="P307" s="24"/>
      <c r="Q307" s="24"/>
      <c r="R307" s="26"/>
      <c r="S307" s="14">
        <f t="shared" si="13"/>
        <v>15.560209</v>
      </c>
      <c r="U307" s="21"/>
      <c r="V307" s="21"/>
    </row>
    <row r="308">
      <c r="A308" s="11">
        <v>296.0</v>
      </c>
      <c r="B308" s="11">
        <v>1.42068260869565E9</v>
      </c>
      <c r="C308" s="2">
        <v>-102.5493851</v>
      </c>
      <c r="D308" s="24">
        <f t="shared" si="1"/>
        <v>282608.6957</v>
      </c>
      <c r="E308" s="25">
        <f t="shared" si="2"/>
        <v>-60.60754472</v>
      </c>
      <c r="F308" s="24">
        <f t="shared" si="3"/>
        <v>0.0002144574659</v>
      </c>
      <c r="G308" s="24">
        <f t="shared" si="4"/>
        <v>0</v>
      </c>
      <c r="H308" s="26">
        <f t="shared" si="5"/>
        <v>0</v>
      </c>
      <c r="I308" s="24">
        <f t="shared" si="6"/>
        <v>0</v>
      </c>
      <c r="J308" s="24">
        <f t="shared" si="7"/>
        <v>0</v>
      </c>
      <c r="K308" s="24"/>
      <c r="L308" s="24">
        <f t="shared" si="8"/>
        <v>422.831815</v>
      </c>
      <c r="M308" s="14">
        <f t="shared" si="9"/>
        <v>406.7729857</v>
      </c>
      <c r="N308" s="27">
        <f t="shared" si="10"/>
        <v>16.05882936</v>
      </c>
      <c r="O308" s="24"/>
      <c r="P308" s="24"/>
      <c r="Q308" s="24"/>
      <c r="R308" s="26"/>
      <c r="S308" s="14">
        <f t="shared" si="13"/>
        <v>14.7467609</v>
      </c>
      <c r="U308" s="21"/>
      <c r="V308" s="21"/>
    </row>
    <row r="309">
      <c r="A309" s="11">
        <v>297.0</v>
      </c>
      <c r="B309" s="11">
        <v>1.42068695652173E9</v>
      </c>
      <c r="C309" s="2">
        <v>-102.5957108</v>
      </c>
      <c r="D309" s="24">
        <f t="shared" si="1"/>
        <v>286956.5217</v>
      </c>
      <c r="E309" s="25">
        <f t="shared" si="2"/>
        <v>-61.52584085</v>
      </c>
      <c r="F309" s="24">
        <f t="shared" si="3"/>
        <v>0.0002144082333</v>
      </c>
      <c r="G309" s="24">
        <f t="shared" si="4"/>
        <v>0</v>
      </c>
      <c r="H309" s="26">
        <f t="shared" si="5"/>
        <v>0</v>
      </c>
      <c r="I309" s="24">
        <f t="shared" si="6"/>
        <v>0</v>
      </c>
      <c r="J309" s="24">
        <f t="shared" si="7"/>
        <v>0</v>
      </c>
      <c r="K309" s="24"/>
      <c r="L309" s="24">
        <f t="shared" si="8"/>
        <v>418.3454861</v>
      </c>
      <c r="M309" s="14">
        <f t="shared" si="9"/>
        <v>406.6921304</v>
      </c>
      <c r="N309" s="27">
        <f t="shared" si="10"/>
        <v>11.65335572</v>
      </c>
      <c r="O309" s="24"/>
      <c r="P309" s="24"/>
      <c r="Q309" s="24"/>
      <c r="R309" s="26"/>
      <c r="S309" s="14">
        <f t="shared" si="13"/>
        <v>10.70123149</v>
      </c>
      <c r="U309" s="21"/>
      <c r="V309" s="21"/>
    </row>
    <row r="310">
      <c r="A310" s="11">
        <v>298.0</v>
      </c>
      <c r="B310" s="11">
        <v>1.42069130434782E9</v>
      </c>
      <c r="C310" s="2">
        <v>-102.5871582</v>
      </c>
      <c r="D310" s="24">
        <f t="shared" si="1"/>
        <v>291304.3478</v>
      </c>
      <c r="E310" s="25">
        <f t="shared" si="2"/>
        <v>-62.44413698</v>
      </c>
      <c r="F310" s="24">
        <f t="shared" si="3"/>
        <v>0.0002143604703</v>
      </c>
      <c r="G310" s="24">
        <f t="shared" si="4"/>
        <v>0</v>
      </c>
      <c r="H310" s="26">
        <f t="shared" si="5"/>
        <v>0</v>
      </c>
      <c r="I310" s="24">
        <f t="shared" si="6"/>
        <v>0</v>
      </c>
      <c r="J310" s="24">
        <f t="shared" si="7"/>
        <v>0</v>
      </c>
      <c r="K310" s="24"/>
      <c r="L310" s="24">
        <f t="shared" si="8"/>
        <v>419.1701494</v>
      </c>
      <c r="M310" s="14">
        <f t="shared" si="9"/>
        <v>406.6113421</v>
      </c>
      <c r="N310" s="27">
        <f t="shared" si="10"/>
        <v>12.55880723</v>
      </c>
      <c r="O310" s="24"/>
      <c r="P310" s="24"/>
      <c r="Q310" s="24"/>
      <c r="R310" s="26"/>
      <c r="S310" s="14">
        <f t="shared" si="13"/>
        <v>11.53270412</v>
      </c>
      <c r="U310" s="21"/>
      <c r="V310" s="21"/>
    </row>
    <row r="311">
      <c r="A311" s="11">
        <v>299.0</v>
      </c>
      <c r="B311" s="11">
        <v>1.42069565217391E9</v>
      </c>
      <c r="C311" s="2">
        <v>-102.5715714</v>
      </c>
      <c r="D311" s="24">
        <f t="shared" si="1"/>
        <v>295652.1739</v>
      </c>
      <c r="E311" s="25">
        <f t="shared" si="2"/>
        <v>-63.36243312</v>
      </c>
      <c r="F311" s="24">
        <f t="shared" si="3"/>
        <v>0.000214314112</v>
      </c>
      <c r="G311" s="24">
        <f t="shared" si="4"/>
        <v>0</v>
      </c>
      <c r="H311" s="26">
        <f t="shared" si="5"/>
        <v>0</v>
      </c>
      <c r="I311" s="24">
        <f t="shared" si="6"/>
        <v>0</v>
      </c>
      <c r="J311" s="24">
        <f t="shared" si="7"/>
        <v>0</v>
      </c>
      <c r="K311" s="24"/>
      <c r="L311" s="24">
        <f t="shared" si="8"/>
        <v>420.6772511</v>
      </c>
      <c r="M311" s="14">
        <f t="shared" si="9"/>
        <v>406.5306208</v>
      </c>
      <c r="N311" s="27">
        <f t="shared" si="10"/>
        <v>14.14663027</v>
      </c>
      <c r="O311" s="24"/>
      <c r="P311" s="24"/>
      <c r="Q311" s="24"/>
      <c r="R311" s="26"/>
      <c r="S311" s="14">
        <f t="shared" si="13"/>
        <v>12.99079584</v>
      </c>
      <c r="U311" s="21"/>
      <c r="V311" s="21"/>
    </row>
    <row r="312">
      <c r="A312" s="11">
        <v>300.0</v>
      </c>
      <c r="B312" s="11">
        <v>1.4207E9</v>
      </c>
      <c r="C312" s="2">
        <v>-102.5787811</v>
      </c>
      <c r="D312" s="24">
        <f t="shared" si="1"/>
        <v>300000</v>
      </c>
      <c r="E312" s="25">
        <f t="shared" si="2"/>
        <v>-64.28072925</v>
      </c>
      <c r="F312" s="24">
        <f t="shared" si="3"/>
        <v>0.0002142690975</v>
      </c>
      <c r="G312" s="24">
        <f t="shared" si="4"/>
        <v>0</v>
      </c>
      <c r="H312" s="26">
        <f t="shared" si="5"/>
        <v>0</v>
      </c>
      <c r="I312" s="24">
        <f t="shared" si="6"/>
        <v>0</v>
      </c>
      <c r="J312" s="24">
        <f t="shared" si="7"/>
        <v>0</v>
      </c>
      <c r="K312" s="24"/>
      <c r="L312" s="24">
        <f t="shared" si="8"/>
        <v>419.9794664</v>
      </c>
      <c r="M312" s="14">
        <f t="shared" si="9"/>
        <v>406.4499665</v>
      </c>
      <c r="N312" s="27">
        <f t="shared" si="10"/>
        <v>13.52949985</v>
      </c>
      <c r="O312" s="24"/>
      <c r="P312" s="24"/>
      <c r="Q312" s="24"/>
      <c r="R312" s="26"/>
      <c r="S312" s="14">
        <f t="shared" si="13"/>
        <v>12.42408739</v>
      </c>
      <c r="U312" s="21"/>
      <c r="V312" s="21"/>
    </row>
    <row r="313">
      <c r="A313" s="11">
        <v>301.0</v>
      </c>
      <c r="B313" s="11">
        <v>1.42070434782608E9</v>
      </c>
      <c r="C313" s="2">
        <v>-102.579689</v>
      </c>
      <c r="D313" s="24">
        <f t="shared" si="1"/>
        <v>304347.8261</v>
      </c>
      <c r="E313" s="25">
        <f t="shared" si="2"/>
        <v>-65.19902538</v>
      </c>
      <c r="F313" s="24">
        <f t="shared" si="3"/>
        <v>0.0002142253691</v>
      </c>
      <c r="G313" s="24">
        <f t="shared" si="4"/>
        <v>0</v>
      </c>
      <c r="H313" s="26">
        <f t="shared" si="5"/>
        <v>0</v>
      </c>
      <c r="I313" s="24">
        <f t="shared" si="6"/>
        <v>0</v>
      </c>
      <c r="J313" s="24">
        <f t="shared" si="7"/>
        <v>0</v>
      </c>
      <c r="K313" s="24"/>
      <c r="L313" s="24">
        <f t="shared" si="8"/>
        <v>419.8916781</v>
      </c>
      <c r="M313" s="14">
        <f t="shared" si="9"/>
        <v>406.3693791</v>
      </c>
      <c r="N313" s="27">
        <f t="shared" si="10"/>
        <v>13.522299</v>
      </c>
      <c r="O313" s="24"/>
      <c r="P313" s="24"/>
      <c r="Q313" s="24"/>
      <c r="R313" s="26"/>
      <c r="S313" s="14">
        <f t="shared" si="13"/>
        <v>12.41747488</v>
      </c>
      <c r="U313" s="21"/>
      <c r="V313" s="21"/>
    </row>
    <row r="314">
      <c r="A314" s="11">
        <v>302.0</v>
      </c>
      <c r="B314" s="11">
        <v>1.42070869565217E9</v>
      </c>
      <c r="C314" s="2">
        <v>-102.636116</v>
      </c>
      <c r="D314" s="24">
        <f t="shared" si="1"/>
        <v>308695.6522</v>
      </c>
      <c r="E314" s="25">
        <f t="shared" si="2"/>
        <v>-66.11732151</v>
      </c>
      <c r="F314" s="24">
        <f t="shared" si="3"/>
        <v>0.0002141828725</v>
      </c>
      <c r="G314" s="24">
        <f t="shared" si="4"/>
        <v>0</v>
      </c>
      <c r="H314" s="26">
        <f t="shared" si="5"/>
        <v>0</v>
      </c>
      <c r="I314" s="24">
        <f t="shared" si="6"/>
        <v>0</v>
      </c>
      <c r="J314" s="24">
        <f t="shared" si="7"/>
        <v>0</v>
      </c>
      <c r="K314" s="24"/>
      <c r="L314" s="24">
        <f t="shared" si="8"/>
        <v>414.4713994</v>
      </c>
      <c r="M314" s="14">
        <f t="shared" si="9"/>
        <v>406.2888586</v>
      </c>
      <c r="N314" s="27">
        <f t="shared" si="10"/>
        <v>8.182540722</v>
      </c>
      <c r="O314" s="24"/>
      <c r="P314" s="24"/>
      <c r="Q314" s="24"/>
      <c r="R314" s="26"/>
      <c r="S314" s="14">
        <f t="shared" si="13"/>
        <v>7.513995484</v>
      </c>
      <c r="U314" s="21"/>
      <c r="V314" s="21"/>
    </row>
    <row r="315">
      <c r="A315" s="11">
        <v>303.0</v>
      </c>
      <c r="B315" s="11">
        <v>1.42071304347826E9</v>
      </c>
      <c r="C315" s="2">
        <v>-102.6466217</v>
      </c>
      <c r="D315" s="24">
        <f t="shared" si="1"/>
        <v>313043.4783</v>
      </c>
      <c r="E315" s="25">
        <f t="shared" si="2"/>
        <v>-67.03561764</v>
      </c>
      <c r="F315" s="24">
        <f t="shared" si="3"/>
        <v>0.0002141415564</v>
      </c>
      <c r="G315" s="24">
        <f t="shared" si="4"/>
        <v>0</v>
      </c>
      <c r="H315" s="26">
        <f t="shared" si="5"/>
        <v>0</v>
      </c>
      <c r="I315" s="24">
        <f t="shared" si="6"/>
        <v>0</v>
      </c>
      <c r="J315" s="24">
        <f t="shared" si="7"/>
        <v>0</v>
      </c>
      <c r="K315" s="24"/>
      <c r="L315" s="24">
        <f t="shared" si="8"/>
        <v>413.4699936</v>
      </c>
      <c r="M315" s="14">
        <f t="shared" si="9"/>
        <v>406.2084051</v>
      </c>
      <c r="N315" s="27">
        <f t="shared" si="10"/>
        <v>7.261588563</v>
      </c>
      <c r="O315" s="24"/>
      <c r="P315" s="24"/>
      <c r="Q315" s="24"/>
      <c r="R315" s="26"/>
      <c r="S315" s="14">
        <f t="shared" si="13"/>
        <v>6.668288695</v>
      </c>
      <c r="U315" s="21"/>
      <c r="V315" s="21"/>
    </row>
    <row r="316">
      <c r="A316" s="11">
        <v>304.0</v>
      </c>
      <c r="B316" s="11">
        <v>1.42071739130434E9</v>
      </c>
      <c r="C316" s="2">
        <v>-102.5989227</v>
      </c>
      <c r="D316" s="24">
        <f t="shared" si="1"/>
        <v>317391.3043</v>
      </c>
      <c r="E316" s="25">
        <f t="shared" si="2"/>
        <v>-67.95391378</v>
      </c>
      <c r="F316" s="24">
        <f t="shared" si="3"/>
        <v>0.0002141013722</v>
      </c>
      <c r="G316" s="24">
        <f t="shared" si="4"/>
        <v>0</v>
      </c>
      <c r="H316" s="26">
        <f t="shared" si="5"/>
        <v>0</v>
      </c>
      <c r="I316" s="24">
        <f t="shared" si="6"/>
        <v>0</v>
      </c>
      <c r="J316" s="24">
        <f t="shared" si="7"/>
        <v>0</v>
      </c>
      <c r="K316" s="24"/>
      <c r="L316" s="24">
        <f t="shared" si="8"/>
        <v>418.0362059</v>
      </c>
      <c r="M316" s="14">
        <f t="shared" si="9"/>
        <v>406.1280184</v>
      </c>
      <c r="N316" s="27">
        <f t="shared" si="10"/>
        <v>11.90818748</v>
      </c>
      <c r="O316" s="24"/>
      <c r="P316" s="24"/>
      <c r="Q316" s="24"/>
      <c r="R316" s="26"/>
      <c r="S316" s="14">
        <f t="shared" si="13"/>
        <v>10.93524251</v>
      </c>
      <c r="U316" s="21"/>
      <c r="V316" s="21"/>
    </row>
    <row r="317">
      <c r="A317" s="11">
        <v>305.0</v>
      </c>
      <c r="B317" s="11">
        <v>1.42072173913043E9</v>
      </c>
      <c r="C317" s="2">
        <v>-102.6342239</v>
      </c>
      <c r="D317" s="24">
        <f t="shared" si="1"/>
        <v>321739.1304</v>
      </c>
      <c r="E317" s="25">
        <f t="shared" si="2"/>
        <v>-68.87220991</v>
      </c>
      <c r="F317" s="24">
        <f t="shared" si="3"/>
        <v>0.000214062274</v>
      </c>
      <c r="G317" s="24">
        <f t="shared" si="4"/>
        <v>0</v>
      </c>
      <c r="H317" s="26">
        <f t="shared" si="5"/>
        <v>0</v>
      </c>
      <c r="I317" s="24">
        <f t="shared" si="6"/>
        <v>0</v>
      </c>
      <c r="J317" s="24">
        <f t="shared" si="7"/>
        <v>0</v>
      </c>
      <c r="K317" s="24"/>
      <c r="L317" s="24">
        <f t="shared" si="8"/>
        <v>414.6520123</v>
      </c>
      <c r="M317" s="14">
        <f t="shared" si="9"/>
        <v>406.0476986</v>
      </c>
      <c r="N317" s="27">
        <f t="shared" si="10"/>
        <v>8.604313779</v>
      </c>
      <c r="O317" s="24"/>
      <c r="P317" s="24"/>
      <c r="Q317" s="24"/>
      <c r="R317" s="26"/>
      <c r="S317" s="14">
        <f t="shared" si="13"/>
        <v>7.90130805</v>
      </c>
      <c r="U317" s="21"/>
      <c r="V317" s="21"/>
    </row>
    <row r="318">
      <c r="A318" s="11">
        <v>306.0</v>
      </c>
      <c r="B318" s="11">
        <v>1.42072608695652E9</v>
      </c>
      <c r="C318" s="2">
        <v>-102.5654755</v>
      </c>
      <c r="D318" s="24">
        <f t="shared" si="1"/>
        <v>326086.9565</v>
      </c>
      <c r="E318" s="25">
        <f t="shared" si="2"/>
        <v>-69.79050604</v>
      </c>
      <c r="F318" s="24">
        <f t="shared" si="3"/>
        <v>0.0002140242185</v>
      </c>
      <c r="G318" s="24">
        <f t="shared" si="4"/>
        <v>0</v>
      </c>
      <c r="H318" s="26">
        <f t="shared" si="5"/>
        <v>0</v>
      </c>
      <c r="I318" s="24">
        <f t="shared" si="6"/>
        <v>0</v>
      </c>
      <c r="J318" s="24">
        <f t="shared" si="7"/>
        <v>0</v>
      </c>
      <c r="K318" s="24"/>
      <c r="L318" s="24">
        <f t="shared" si="8"/>
        <v>421.2681421</v>
      </c>
      <c r="M318" s="14">
        <f t="shared" si="9"/>
        <v>405.9674456</v>
      </c>
      <c r="N318" s="27">
        <f t="shared" si="10"/>
        <v>15.30069654</v>
      </c>
      <c r="O318" s="24"/>
      <c r="P318" s="24"/>
      <c r="Q318" s="24"/>
      <c r="R318" s="26"/>
      <c r="S318" s="14">
        <f t="shared" si="13"/>
        <v>14.05057046</v>
      </c>
      <c r="U318" s="21"/>
      <c r="V318" s="21"/>
    </row>
    <row r="319">
      <c r="A319" s="11">
        <v>307.0</v>
      </c>
      <c r="B319" s="11">
        <v>1.4207304347826E9</v>
      </c>
      <c r="C319" s="2">
        <v>-102.5882187</v>
      </c>
      <c r="D319" s="24">
        <f t="shared" si="1"/>
        <v>330434.7826</v>
      </c>
      <c r="E319" s="25">
        <f t="shared" si="2"/>
        <v>-70.70880217</v>
      </c>
      <c r="F319" s="24">
        <f t="shared" si="3"/>
        <v>0.0002139871645</v>
      </c>
      <c r="G319" s="24">
        <f t="shared" si="4"/>
        <v>0</v>
      </c>
      <c r="H319" s="26">
        <f t="shared" si="5"/>
        <v>0</v>
      </c>
      <c r="I319" s="24">
        <f t="shared" si="6"/>
        <v>0</v>
      </c>
      <c r="J319" s="24">
        <f t="shared" si="7"/>
        <v>0</v>
      </c>
      <c r="K319" s="24"/>
      <c r="L319" s="24">
        <f t="shared" si="8"/>
        <v>419.0678051</v>
      </c>
      <c r="M319" s="14">
        <f t="shared" si="9"/>
        <v>405.8872594</v>
      </c>
      <c r="N319" s="27">
        <f t="shared" si="10"/>
        <v>13.18054563</v>
      </c>
      <c r="O319" s="24"/>
      <c r="P319" s="24"/>
      <c r="Q319" s="24"/>
      <c r="R319" s="26"/>
      <c r="S319" s="14">
        <f t="shared" si="13"/>
        <v>12.10364408</v>
      </c>
      <c r="U319" s="21"/>
      <c r="V319" s="21"/>
    </row>
    <row r="320">
      <c r="A320" s="11">
        <v>308.0</v>
      </c>
      <c r="B320" s="11">
        <v>1.42073478260869E9</v>
      </c>
      <c r="C320" s="2">
        <v>-102.5841446</v>
      </c>
      <c r="D320" s="24">
        <f t="shared" si="1"/>
        <v>334782.6087</v>
      </c>
      <c r="E320" s="25">
        <f t="shared" si="2"/>
        <v>-71.62709831</v>
      </c>
      <c r="F320" s="24">
        <f t="shared" si="3"/>
        <v>0.0002139510729</v>
      </c>
      <c r="G320" s="24">
        <f t="shared" si="4"/>
        <v>0</v>
      </c>
      <c r="H320" s="26">
        <f t="shared" si="5"/>
        <v>0</v>
      </c>
      <c r="I320" s="24">
        <f t="shared" si="6"/>
        <v>0</v>
      </c>
      <c r="J320" s="24">
        <f t="shared" si="7"/>
        <v>0</v>
      </c>
      <c r="K320" s="24"/>
      <c r="L320" s="24">
        <f t="shared" si="8"/>
        <v>419.4611154</v>
      </c>
      <c r="M320" s="14">
        <f t="shared" si="9"/>
        <v>405.8071401</v>
      </c>
      <c r="N320" s="27">
        <f t="shared" si="10"/>
        <v>13.65397534</v>
      </c>
      <c r="O320" s="24"/>
      <c r="P320" s="24"/>
      <c r="Q320" s="24"/>
      <c r="R320" s="26"/>
      <c r="S320" s="14">
        <f t="shared" si="13"/>
        <v>12.53839275</v>
      </c>
      <c r="U320" s="21"/>
      <c r="V320" s="21"/>
    </row>
    <row r="321">
      <c r="A321" s="11">
        <v>309.0</v>
      </c>
      <c r="B321" s="11">
        <v>1.42073913043478E9</v>
      </c>
      <c r="C321" s="2">
        <v>-102.6641312</v>
      </c>
      <c r="D321" s="24">
        <f t="shared" si="1"/>
        <v>339130.4348</v>
      </c>
      <c r="E321" s="25">
        <f t="shared" si="2"/>
        <v>-72.54539444</v>
      </c>
      <c r="F321" s="24">
        <f t="shared" si="3"/>
        <v>0.0002139159067</v>
      </c>
      <c r="G321" s="24">
        <f t="shared" si="4"/>
        <v>0</v>
      </c>
      <c r="H321" s="26">
        <f t="shared" si="5"/>
        <v>0</v>
      </c>
      <c r="I321" s="24">
        <f t="shared" si="6"/>
        <v>0</v>
      </c>
      <c r="J321" s="24">
        <f t="shared" si="7"/>
        <v>0</v>
      </c>
      <c r="K321" s="24"/>
      <c r="L321" s="24">
        <f t="shared" si="8"/>
        <v>411.8063579</v>
      </c>
      <c r="M321" s="14">
        <f t="shared" si="9"/>
        <v>405.7270875</v>
      </c>
      <c r="N321" s="27">
        <f t="shared" si="10"/>
        <v>6.079270331</v>
      </c>
      <c r="O321" s="24"/>
      <c r="P321" s="24"/>
      <c r="Q321" s="24"/>
      <c r="R321" s="26"/>
      <c r="S321" s="14">
        <f t="shared" si="13"/>
        <v>5.582570422</v>
      </c>
      <c r="U321" s="21"/>
      <c r="V321" s="21"/>
    </row>
    <row r="322">
      <c r="A322" s="11">
        <v>310.0</v>
      </c>
      <c r="B322" s="11">
        <v>1.42074347826087E9</v>
      </c>
      <c r="C322" s="2">
        <v>-102.6436844</v>
      </c>
      <c r="D322" s="24">
        <f t="shared" si="1"/>
        <v>343478.2609</v>
      </c>
      <c r="E322" s="25">
        <f t="shared" si="2"/>
        <v>-73.46369057</v>
      </c>
      <c r="F322" s="24">
        <f t="shared" si="3"/>
        <v>0.0002138816308</v>
      </c>
      <c r="G322" s="24">
        <f t="shared" si="4"/>
        <v>0</v>
      </c>
      <c r="H322" s="26">
        <f t="shared" si="5"/>
        <v>0</v>
      </c>
      <c r="I322" s="24">
        <f t="shared" si="6"/>
        <v>0</v>
      </c>
      <c r="J322" s="24">
        <f t="shared" si="7"/>
        <v>0</v>
      </c>
      <c r="K322" s="24"/>
      <c r="L322" s="24">
        <f t="shared" si="8"/>
        <v>413.7497338</v>
      </c>
      <c r="M322" s="14">
        <f t="shared" si="9"/>
        <v>405.6471017</v>
      </c>
      <c r="N322" s="27">
        <f t="shared" si="10"/>
        <v>8.102632077</v>
      </c>
      <c r="O322" s="24"/>
      <c r="P322" s="24"/>
      <c r="Q322" s="24"/>
      <c r="R322" s="26"/>
      <c r="S322" s="14">
        <f t="shared" si="13"/>
        <v>7.440615702</v>
      </c>
      <c r="U322" s="21"/>
      <c r="V322" s="21"/>
    </row>
    <row r="323">
      <c r="A323" s="11">
        <v>311.0</v>
      </c>
      <c r="B323" s="11">
        <v>1.42074782608695E9</v>
      </c>
      <c r="C323" s="2">
        <v>-102.6714096</v>
      </c>
      <c r="D323" s="24">
        <f t="shared" si="1"/>
        <v>347826.087</v>
      </c>
      <c r="E323" s="25">
        <f t="shared" si="2"/>
        <v>-74.3819867</v>
      </c>
      <c r="F323" s="24">
        <f t="shared" si="3"/>
        <v>0.0002138482118</v>
      </c>
      <c r="G323" s="24">
        <f t="shared" si="4"/>
        <v>0</v>
      </c>
      <c r="H323" s="26">
        <f t="shared" si="5"/>
        <v>0</v>
      </c>
      <c r="I323" s="24">
        <f t="shared" si="6"/>
        <v>0</v>
      </c>
      <c r="J323" s="24">
        <f t="shared" si="7"/>
        <v>0</v>
      </c>
      <c r="K323" s="24"/>
      <c r="L323" s="24">
        <f t="shared" si="8"/>
        <v>411.116784</v>
      </c>
      <c r="M323" s="14">
        <f t="shared" si="9"/>
        <v>405.5671827</v>
      </c>
      <c r="N323" s="27">
        <f t="shared" si="10"/>
        <v>5.5496013</v>
      </c>
      <c r="O323" s="24"/>
      <c r="P323" s="24"/>
      <c r="Q323" s="24"/>
      <c r="R323" s="26"/>
      <c r="S323" s="14">
        <f t="shared" si="13"/>
        <v>5.096177412</v>
      </c>
      <c r="U323" s="21"/>
      <c r="V323" s="21"/>
    </row>
    <row r="324">
      <c r="A324" s="11">
        <v>312.0</v>
      </c>
      <c r="B324" s="11">
        <v>1.42075217391304E9</v>
      </c>
      <c r="C324" s="2">
        <v>-102.6799393</v>
      </c>
      <c r="D324" s="24">
        <f t="shared" si="1"/>
        <v>352173.913</v>
      </c>
      <c r="E324" s="25">
        <f t="shared" si="2"/>
        <v>-75.30028284</v>
      </c>
      <c r="F324" s="24">
        <f t="shared" si="3"/>
        <v>0.0002138156179</v>
      </c>
      <c r="G324" s="24">
        <f t="shared" si="4"/>
        <v>0</v>
      </c>
      <c r="H324" s="26">
        <f t="shared" si="5"/>
        <v>0</v>
      </c>
      <c r="I324" s="24">
        <f t="shared" si="6"/>
        <v>0</v>
      </c>
      <c r="J324" s="24">
        <f t="shared" si="7"/>
        <v>0</v>
      </c>
      <c r="K324" s="24"/>
      <c r="L324" s="24">
        <f t="shared" si="8"/>
        <v>410.3101282</v>
      </c>
      <c r="M324" s="14">
        <f t="shared" si="9"/>
        <v>405.4873304</v>
      </c>
      <c r="N324" s="27">
        <f t="shared" si="10"/>
        <v>4.822797849</v>
      </c>
      <c r="O324" s="24"/>
      <c r="P324" s="24"/>
      <c r="Q324" s="24"/>
      <c r="R324" s="26"/>
      <c r="S324" s="14">
        <f t="shared" si="13"/>
        <v>4.428756604</v>
      </c>
      <c r="U324" s="21"/>
      <c r="V324" s="21"/>
    </row>
    <row r="325">
      <c r="A325" s="11">
        <v>313.0</v>
      </c>
      <c r="B325" s="11">
        <v>1.42075652173913E9</v>
      </c>
      <c r="C325" s="2">
        <v>-102.7404099</v>
      </c>
      <c r="D325" s="24">
        <f t="shared" si="1"/>
        <v>356521.7391</v>
      </c>
      <c r="E325" s="25">
        <f t="shared" si="2"/>
        <v>-76.21857897</v>
      </c>
      <c r="F325" s="24">
        <f t="shared" si="3"/>
        <v>0.0002137838191</v>
      </c>
      <c r="G325" s="24">
        <f t="shared" si="4"/>
        <v>0</v>
      </c>
      <c r="H325" s="26">
        <f t="shared" si="5"/>
        <v>0</v>
      </c>
      <c r="I325" s="24">
        <f t="shared" si="6"/>
        <v>0</v>
      </c>
      <c r="J325" s="24">
        <f t="shared" si="7"/>
        <v>0</v>
      </c>
      <c r="K325" s="24"/>
      <c r="L325" s="24">
        <f t="shared" si="8"/>
        <v>404.6366136</v>
      </c>
      <c r="M325" s="14">
        <f t="shared" si="9"/>
        <v>405.4075448</v>
      </c>
      <c r="N325" s="27">
        <f t="shared" si="10"/>
        <v>-0.7709312271</v>
      </c>
      <c r="O325" s="24"/>
      <c r="P325" s="24"/>
      <c r="Q325" s="24"/>
      <c r="R325" s="26"/>
      <c r="S325" s="14">
        <f t="shared" si="13"/>
        <v>-0.7079431644</v>
      </c>
      <c r="U325" s="21"/>
      <c r="V325" s="21"/>
    </row>
    <row r="326">
      <c r="A326" s="11">
        <v>314.0</v>
      </c>
      <c r="B326" s="11">
        <v>1.42076086956521E9</v>
      </c>
      <c r="C326" s="2">
        <v>-102.6773605</v>
      </c>
      <c r="D326" s="24">
        <f t="shared" si="1"/>
        <v>360869.5652</v>
      </c>
      <c r="E326" s="25">
        <f t="shared" si="2"/>
        <v>-77.1368751</v>
      </c>
      <c r="F326" s="24">
        <f t="shared" si="3"/>
        <v>0.0002137527864</v>
      </c>
      <c r="G326" s="24">
        <f t="shared" si="4"/>
        <v>0</v>
      </c>
      <c r="H326" s="26">
        <f t="shared" si="5"/>
        <v>0</v>
      </c>
      <c r="I326" s="24">
        <f t="shared" si="6"/>
        <v>0</v>
      </c>
      <c r="J326" s="24">
        <f t="shared" si="7"/>
        <v>0</v>
      </c>
      <c r="K326" s="24"/>
      <c r="L326" s="24">
        <f t="shared" si="8"/>
        <v>410.5538389</v>
      </c>
      <c r="M326" s="14">
        <f t="shared" si="9"/>
        <v>405.3278259</v>
      </c>
      <c r="N326" s="27">
        <f t="shared" si="10"/>
        <v>5.226013008</v>
      </c>
      <c r="O326" s="24"/>
      <c r="P326" s="24"/>
      <c r="Q326" s="24"/>
      <c r="R326" s="26"/>
      <c r="S326" s="14">
        <f t="shared" si="13"/>
        <v>4.799027535</v>
      </c>
      <c r="U326" s="21"/>
      <c r="V326" s="21"/>
    </row>
    <row r="327">
      <c r="A327" s="11">
        <v>315.0</v>
      </c>
      <c r="B327" s="11">
        <v>1.4207652173913E9</v>
      </c>
      <c r="C327" s="2">
        <v>-102.6366425</v>
      </c>
      <c r="D327" s="24">
        <f t="shared" si="1"/>
        <v>365217.3913</v>
      </c>
      <c r="E327" s="25">
        <f t="shared" si="2"/>
        <v>-78.05517123</v>
      </c>
      <c r="F327" s="24">
        <f t="shared" si="3"/>
        <v>0.0002137224927</v>
      </c>
      <c r="G327" s="24">
        <f t="shared" si="4"/>
        <v>0</v>
      </c>
      <c r="H327" s="26">
        <f t="shared" si="5"/>
        <v>0</v>
      </c>
      <c r="I327" s="24">
        <f t="shared" si="6"/>
        <v>0</v>
      </c>
      <c r="J327" s="24">
        <f t="shared" si="7"/>
        <v>0</v>
      </c>
      <c r="K327" s="24"/>
      <c r="L327" s="24">
        <f t="shared" si="8"/>
        <v>414.4211556</v>
      </c>
      <c r="M327" s="14">
        <f t="shared" si="9"/>
        <v>405.2481737</v>
      </c>
      <c r="N327" s="27">
        <f t="shared" si="10"/>
        <v>9.172981902</v>
      </c>
      <c r="O327" s="24"/>
      <c r="P327" s="24"/>
      <c r="Q327" s="24"/>
      <c r="R327" s="26"/>
      <c r="S327" s="14">
        <f t="shared" si="13"/>
        <v>8.423513787</v>
      </c>
      <c r="U327" s="21"/>
      <c r="V327" s="21"/>
    </row>
    <row r="328">
      <c r="A328" s="11">
        <v>316.0</v>
      </c>
      <c r="B328" s="11">
        <v>1.42076956521739E9</v>
      </c>
      <c r="C328" s="2">
        <v>-102.6737747</v>
      </c>
      <c r="D328" s="24">
        <f t="shared" si="1"/>
        <v>369565.2174</v>
      </c>
      <c r="E328" s="25">
        <f t="shared" si="2"/>
        <v>-78.97346736</v>
      </c>
      <c r="F328" s="24">
        <f t="shared" si="3"/>
        <v>0.0002136929117</v>
      </c>
      <c r="G328" s="24">
        <f t="shared" si="4"/>
        <v>0</v>
      </c>
      <c r="H328" s="26">
        <f t="shared" si="5"/>
        <v>0</v>
      </c>
      <c r="I328" s="24">
        <f t="shared" si="6"/>
        <v>0</v>
      </c>
      <c r="J328" s="24">
        <f t="shared" si="7"/>
        <v>0</v>
      </c>
      <c r="K328" s="24"/>
      <c r="L328" s="24">
        <f t="shared" si="8"/>
        <v>410.8929572</v>
      </c>
      <c r="M328" s="14">
        <f t="shared" si="9"/>
        <v>405.1685881</v>
      </c>
      <c r="N328" s="27">
        <f t="shared" si="10"/>
        <v>5.724369064</v>
      </c>
      <c r="O328" s="24"/>
      <c r="P328" s="24"/>
      <c r="Q328" s="24"/>
      <c r="R328" s="26"/>
      <c r="S328" s="14">
        <f t="shared" si="13"/>
        <v>5.256665974</v>
      </c>
      <c r="U328" s="21"/>
      <c r="V328" s="21"/>
    </row>
    <row r="329">
      <c r="A329" s="11">
        <v>317.0</v>
      </c>
      <c r="B329" s="11">
        <v>1.42077391304347E9</v>
      </c>
      <c r="C329" s="2">
        <v>-102.613327</v>
      </c>
      <c r="D329" s="24">
        <f t="shared" si="1"/>
        <v>373913.0435</v>
      </c>
      <c r="E329" s="25">
        <f t="shared" si="2"/>
        <v>-79.89176349</v>
      </c>
      <c r="F329" s="24">
        <f t="shared" si="3"/>
        <v>0.0002136640187</v>
      </c>
      <c r="G329" s="24">
        <f t="shared" si="4"/>
        <v>0</v>
      </c>
      <c r="H329" s="26">
        <f t="shared" si="5"/>
        <v>0</v>
      </c>
      <c r="I329" s="24">
        <f t="shared" si="6"/>
        <v>0</v>
      </c>
      <c r="J329" s="24">
        <f t="shared" si="7"/>
        <v>0</v>
      </c>
      <c r="K329" s="24"/>
      <c r="L329" s="24">
        <f t="shared" si="8"/>
        <v>416.6519967</v>
      </c>
      <c r="M329" s="14">
        <f t="shared" si="9"/>
        <v>405.0890692</v>
      </c>
      <c r="N329" s="27">
        <f t="shared" si="10"/>
        <v>11.5629275</v>
      </c>
      <c r="O329" s="24"/>
      <c r="P329" s="24"/>
      <c r="Q329" s="24"/>
      <c r="R329" s="26"/>
      <c r="S329" s="14">
        <f t="shared" si="13"/>
        <v>10.61819161</v>
      </c>
      <c r="U329" s="21"/>
      <c r="V329" s="21"/>
    </row>
    <row r="330">
      <c r="A330" s="11">
        <v>318.0</v>
      </c>
      <c r="B330" s="11">
        <v>1.42077826086956E9</v>
      </c>
      <c r="C330" s="2">
        <v>-102.61306</v>
      </c>
      <c r="D330" s="24">
        <f t="shared" si="1"/>
        <v>378260.8696</v>
      </c>
      <c r="E330" s="25">
        <f t="shared" si="2"/>
        <v>-80.81005963</v>
      </c>
      <c r="F330" s="24">
        <f t="shared" si="3"/>
        <v>0.0002136357898</v>
      </c>
      <c r="G330" s="24">
        <f t="shared" si="4"/>
        <v>0</v>
      </c>
      <c r="H330" s="26">
        <f t="shared" si="5"/>
        <v>0</v>
      </c>
      <c r="I330" s="24">
        <f t="shared" si="6"/>
        <v>0</v>
      </c>
      <c r="J330" s="24">
        <f t="shared" si="7"/>
        <v>0</v>
      </c>
      <c r="K330" s="24"/>
      <c r="L330" s="24">
        <f t="shared" si="8"/>
        <v>416.6776128</v>
      </c>
      <c r="M330" s="14">
        <f t="shared" si="9"/>
        <v>405.0096168</v>
      </c>
      <c r="N330" s="27">
        <f t="shared" si="10"/>
        <v>11.66799597</v>
      </c>
      <c r="O330" s="24"/>
      <c r="P330" s="24"/>
      <c r="Q330" s="24"/>
      <c r="R330" s="26"/>
      <c r="S330" s="14">
        <f t="shared" si="13"/>
        <v>10.71467555</v>
      </c>
      <c r="U330" s="21"/>
      <c r="V330" s="21"/>
    </row>
    <row r="331">
      <c r="A331" s="11">
        <v>319.0</v>
      </c>
      <c r="B331" s="11">
        <v>1.42078260869565E9</v>
      </c>
      <c r="C331" s="2">
        <v>-102.6883621</v>
      </c>
      <c r="D331" s="24">
        <f t="shared" si="1"/>
        <v>382608.6957</v>
      </c>
      <c r="E331" s="25">
        <f t="shared" si="2"/>
        <v>-81.72835576</v>
      </c>
      <c r="F331" s="24">
        <f t="shared" si="3"/>
        <v>0.0002136082026</v>
      </c>
      <c r="G331" s="24">
        <f t="shared" si="4"/>
        <v>0</v>
      </c>
      <c r="H331" s="26">
        <f t="shared" si="5"/>
        <v>0</v>
      </c>
      <c r="I331" s="24">
        <f t="shared" si="6"/>
        <v>0</v>
      </c>
      <c r="J331" s="24">
        <f t="shared" si="7"/>
        <v>0</v>
      </c>
      <c r="K331" s="24"/>
      <c r="L331" s="24">
        <f t="shared" si="8"/>
        <v>409.5151352</v>
      </c>
      <c r="M331" s="14">
        <f t="shared" si="9"/>
        <v>404.9302311</v>
      </c>
      <c r="N331" s="27">
        <f t="shared" si="10"/>
        <v>4.584904052</v>
      </c>
      <c r="O331" s="24"/>
      <c r="P331" s="24"/>
      <c r="Q331" s="24"/>
      <c r="R331" s="26"/>
      <c r="S331" s="14">
        <f t="shared" si="13"/>
        <v>4.21029966</v>
      </c>
      <c r="U331" s="21"/>
      <c r="V331" s="21"/>
    </row>
    <row r="332">
      <c r="A332" s="11">
        <v>320.0</v>
      </c>
      <c r="B332" s="11">
        <v>1.42078695652173E9</v>
      </c>
      <c r="C332" s="2">
        <v>-102.6099625</v>
      </c>
      <c r="D332" s="24">
        <f t="shared" si="1"/>
        <v>386956.5217</v>
      </c>
      <c r="E332" s="25">
        <f t="shared" si="2"/>
        <v>-82.64665189</v>
      </c>
      <c r="F332" s="24">
        <f t="shared" si="3"/>
        <v>0.0002135812352</v>
      </c>
      <c r="G332" s="24">
        <f t="shared" si="4"/>
        <v>0</v>
      </c>
      <c r="H332" s="26">
        <f t="shared" si="5"/>
        <v>0</v>
      </c>
      <c r="I332" s="24">
        <f t="shared" si="6"/>
        <v>0</v>
      </c>
      <c r="J332" s="24">
        <f t="shared" si="7"/>
        <v>0</v>
      </c>
      <c r="K332" s="24"/>
      <c r="L332" s="24">
        <f t="shared" si="8"/>
        <v>416.974904</v>
      </c>
      <c r="M332" s="14">
        <f t="shared" si="9"/>
        <v>404.850912</v>
      </c>
      <c r="N332" s="27">
        <f t="shared" si="10"/>
        <v>12.12399204</v>
      </c>
      <c r="O332" s="24"/>
      <c r="P332" s="24"/>
      <c r="Q332" s="24"/>
      <c r="R332" s="26"/>
      <c r="S332" s="14">
        <f t="shared" si="13"/>
        <v>11.133415</v>
      </c>
      <c r="U332" s="21"/>
      <c r="V332" s="21"/>
    </row>
    <row r="333">
      <c r="A333" s="11">
        <v>321.0</v>
      </c>
      <c r="B333" s="11">
        <v>1.42079130434782E9</v>
      </c>
      <c r="C333" s="2">
        <v>-102.6904221</v>
      </c>
      <c r="D333" s="24">
        <f t="shared" si="1"/>
        <v>391304.3478</v>
      </c>
      <c r="E333" s="25">
        <f t="shared" si="2"/>
        <v>-83.56494802</v>
      </c>
      <c r="F333" s="24">
        <f t="shared" si="3"/>
        <v>0.0002135548672</v>
      </c>
      <c r="G333" s="24">
        <f t="shared" si="4"/>
        <v>0</v>
      </c>
      <c r="H333" s="26">
        <f t="shared" si="5"/>
        <v>0</v>
      </c>
      <c r="I333" s="24">
        <f t="shared" si="6"/>
        <v>0</v>
      </c>
      <c r="J333" s="24">
        <f t="shared" si="7"/>
        <v>0</v>
      </c>
      <c r="K333" s="24"/>
      <c r="L333" s="24">
        <f t="shared" si="8"/>
        <v>409.3209349</v>
      </c>
      <c r="M333" s="14">
        <f t="shared" si="9"/>
        <v>404.7716594</v>
      </c>
      <c r="N333" s="27">
        <f t="shared" si="10"/>
        <v>4.549275491</v>
      </c>
      <c r="O333" s="24"/>
      <c r="P333" s="24"/>
      <c r="Q333" s="24"/>
      <c r="R333" s="26"/>
      <c r="S333" s="14">
        <f t="shared" si="13"/>
        <v>4.177582091</v>
      </c>
      <c r="U333" s="21"/>
      <c r="V333" s="21"/>
    </row>
    <row r="334">
      <c r="A334" s="11">
        <v>322.0</v>
      </c>
      <c r="B334" s="11">
        <v>1.42079565217391E9</v>
      </c>
      <c r="C334" s="2">
        <v>-102.7048187</v>
      </c>
      <c r="D334" s="24">
        <f t="shared" si="1"/>
        <v>395652.1739</v>
      </c>
      <c r="E334" s="25">
        <f t="shared" si="2"/>
        <v>-84.48324416</v>
      </c>
      <c r="F334" s="24">
        <f t="shared" si="3"/>
        <v>0.0002135290786</v>
      </c>
      <c r="G334" s="24">
        <f t="shared" si="4"/>
        <v>0</v>
      </c>
      <c r="H334" s="26">
        <f t="shared" si="5"/>
        <v>0</v>
      </c>
      <c r="I334" s="24">
        <f t="shared" si="6"/>
        <v>0</v>
      </c>
      <c r="J334" s="24">
        <f t="shared" si="7"/>
        <v>0</v>
      </c>
      <c r="K334" s="24"/>
      <c r="L334" s="24">
        <f t="shared" si="8"/>
        <v>407.9663072</v>
      </c>
      <c r="M334" s="14">
        <f t="shared" si="9"/>
        <v>404.6924733</v>
      </c>
      <c r="N334" s="27">
        <f t="shared" si="10"/>
        <v>3.273833831</v>
      </c>
      <c r="O334" s="24"/>
      <c r="P334" s="24"/>
      <c r="Q334" s="24"/>
      <c r="R334" s="26"/>
      <c r="S334" s="14">
        <f t="shared" si="13"/>
        <v>3.00634894</v>
      </c>
      <c r="U334" s="21"/>
      <c r="V334" s="21"/>
    </row>
    <row r="335">
      <c r="A335" s="11">
        <v>323.0</v>
      </c>
      <c r="B335" s="11">
        <v>1.4208E9</v>
      </c>
      <c r="C335" s="2">
        <v>-102.6390152</v>
      </c>
      <c r="D335" s="24">
        <f t="shared" si="1"/>
        <v>400000</v>
      </c>
      <c r="E335" s="25">
        <f t="shared" si="2"/>
        <v>-85.40154029</v>
      </c>
      <c r="F335" s="24">
        <f t="shared" si="3"/>
        <v>0.0002135038507</v>
      </c>
      <c r="G335" s="24">
        <f t="shared" si="4"/>
        <v>0</v>
      </c>
      <c r="H335" s="26">
        <f t="shared" si="5"/>
        <v>0</v>
      </c>
      <c r="I335" s="24">
        <f t="shared" si="6"/>
        <v>0</v>
      </c>
      <c r="J335" s="24">
        <f t="shared" si="7"/>
        <v>0</v>
      </c>
      <c r="K335" s="24"/>
      <c r="L335" s="24">
        <f t="shared" si="8"/>
        <v>414.1948049</v>
      </c>
      <c r="M335" s="14">
        <f t="shared" si="9"/>
        <v>404.6133538</v>
      </c>
      <c r="N335" s="27">
        <f t="shared" si="10"/>
        <v>9.581451065</v>
      </c>
      <c r="O335" s="24"/>
      <c r="P335" s="24"/>
      <c r="Q335" s="24"/>
      <c r="R335" s="26"/>
      <c r="S335" s="14">
        <f t="shared" si="13"/>
        <v>8.798609459</v>
      </c>
      <c r="U335" s="21"/>
      <c r="V335" s="21"/>
    </row>
    <row r="336">
      <c r="A336" s="11">
        <v>324.0</v>
      </c>
      <c r="B336" s="11">
        <v>1.42080434782608E9</v>
      </c>
      <c r="C336" s="2">
        <v>-102.6779022</v>
      </c>
      <c r="D336" s="24">
        <f t="shared" si="1"/>
        <v>404347.8261</v>
      </c>
      <c r="E336" s="25">
        <f t="shared" si="2"/>
        <v>-86.31983642</v>
      </c>
      <c r="F336" s="24">
        <f t="shared" si="3"/>
        <v>0.0002134791653</v>
      </c>
      <c r="G336" s="24">
        <f t="shared" si="4"/>
        <v>0</v>
      </c>
      <c r="H336" s="26">
        <f t="shared" si="5"/>
        <v>0</v>
      </c>
      <c r="I336" s="24">
        <f t="shared" si="6"/>
        <v>0</v>
      </c>
      <c r="J336" s="24">
        <f t="shared" si="7"/>
        <v>0</v>
      </c>
      <c r="K336" s="24"/>
      <c r="L336" s="24">
        <f t="shared" si="8"/>
        <v>410.5026333</v>
      </c>
      <c r="M336" s="14">
        <f t="shared" si="9"/>
        <v>404.5343008</v>
      </c>
      <c r="N336" s="27">
        <f t="shared" si="10"/>
        <v>5.968332488</v>
      </c>
      <c r="O336" s="24"/>
      <c r="P336" s="24"/>
      <c r="Q336" s="24"/>
      <c r="R336" s="26"/>
      <c r="S336" s="14">
        <f t="shared" si="13"/>
        <v>5.480696643</v>
      </c>
      <c r="U336" s="21"/>
      <c r="V336" s="21"/>
    </row>
    <row r="337">
      <c r="A337" s="11">
        <v>325.0</v>
      </c>
      <c r="B337" s="11">
        <v>1.42080869565217E9</v>
      </c>
      <c r="C337" s="2">
        <v>-102.6497192</v>
      </c>
      <c r="D337" s="24">
        <f t="shared" si="1"/>
        <v>408695.6522</v>
      </c>
      <c r="E337" s="25">
        <f t="shared" si="2"/>
        <v>-87.23813255</v>
      </c>
      <c r="F337" s="24">
        <f t="shared" si="3"/>
        <v>0.0002134550052</v>
      </c>
      <c r="G337" s="24">
        <f t="shared" si="4"/>
        <v>0</v>
      </c>
      <c r="H337" s="26">
        <f t="shared" si="5"/>
        <v>0</v>
      </c>
      <c r="I337" s="24">
        <f t="shared" si="6"/>
        <v>0</v>
      </c>
      <c r="J337" s="24">
        <f t="shared" si="7"/>
        <v>0</v>
      </c>
      <c r="K337" s="24"/>
      <c r="L337" s="24">
        <f t="shared" si="8"/>
        <v>413.1752013</v>
      </c>
      <c r="M337" s="14">
        <f t="shared" si="9"/>
        <v>404.4553143</v>
      </c>
      <c r="N337" s="27">
        <f t="shared" si="10"/>
        <v>8.719887053</v>
      </c>
      <c r="O337" s="24"/>
      <c r="P337" s="24"/>
      <c r="Q337" s="24"/>
      <c r="R337" s="26"/>
      <c r="S337" s="14">
        <f t="shared" si="13"/>
        <v>8.00743854</v>
      </c>
      <c r="U337" s="21"/>
      <c r="V337" s="21"/>
    </row>
    <row r="338">
      <c r="A338" s="11">
        <v>326.0</v>
      </c>
      <c r="B338" s="11">
        <v>1.42081304347826E9</v>
      </c>
      <c r="C338" s="2">
        <v>-102.6521606</v>
      </c>
      <c r="D338" s="24">
        <f t="shared" si="1"/>
        <v>413043.4783</v>
      </c>
      <c r="E338" s="25">
        <f t="shared" si="2"/>
        <v>-88.15642868</v>
      </c>
      <c r="F338" s="24">
        <f t="shared" si="3"/>
        <v>0.0002134313537</v>
      </c>
      <c r="G338" s="24">
        <f t="shared" si="4"/>
        <v>0</v>
      </c>
      <c r="H338" s="26">
        <f t="shared" si="5"/>
        <v>0</v>
      </c>
      <c r="I338" s="24">
        <f t="shared" si="6"/>
        <v>0</v>
      </c>
      <c r="J338" s="24">
        <f t="shared" si="7"/>
        <v>0</v>
      </c>
      <c r="K338" s="24"/>
      <c r="L338" s="24">
        <f t="shared" si="8"/>
        <v>412.9429989</v>
      </c>
      <c r="M338" s="14">
        <f t="shared" si="9"/>
        <v>404.3763942</v>
      </c>
      <c r="N338" s="27">
        <f t="shared" si="10"/>
        <v>8.566604667</v>
      </c>
      <c r="O338" s="24"/>
      <c r="P338" s="24"/>
      <c r="Q338" s="24"/>
      <c r="R338" s="26"/>
      <c r="S338" s="14">
        <f t="shared" si="13"/>
        <v>7.866679937</v>
      </c>
      <c r="U338" s="21"/>
      <c r="V338" s="21"/>
    </row>
    <row r="339">
      <c r="A339" s="11">
        <v>327.0</v>
      </c>
      <c r="B339" s="11">
        <v>1.42081739130434E9</v>
      </c>
      <c r="C339" s="2">
        <v>-102.6199265</v>
      </c>
      <c r="D339" s="24">
        <f t="shared" si="1"/>
        <v>417391.3043</v>
      </c>
      <c r="E339" s="25">
        <f t="shared" si="2"/>
        <v>-89.07472482</v>
      </c>
      <c r="F339" s="24">
        <f t="shared" si="3"/>
        <v>0.0002134081949</v>
      </c>
      <c r="G339" s="24">
        <f t="shared" si="4"/>
        <v>0</v>
      </c>
      <c r="H339" s="26">
        <f t="shared" si="5"/>
        <v>0</v>
      </c>
      <c r="I339" s="24">
        <f t="shared" si="6"/>
        <v>0</v>
      </c>
      <c r="J339" s="24">
        <f t="shared" si="7"/>
        <v>0</v>
      </c>
      <c r="K339" s="24"/>
      <c r="L339" s="24">
        <f t="shared" si="8"/>
        <v>416.0193368</v>
      </c>
      <c r="M339" s="14">
        <f t="shared" si="9"/>
        <v>404.2975406</v>
      </c>
      <c r="N339" s="27">
        <f t="shared" si="10"/>
        <v>11.72179627</v>
      </c>
      <c r="O339" s="24"/>
      <c r="P339" s="24"/>
      <c r="Q339" s="24"/>
      <c r="R339" s="26"/>
      <c r="S339" s="14">
        <f t="shared" si="13"/>
        <v>10.76408019</v>
      </c>
      <c r="U339" s="21"/>
      <c r="V339" s="21"/>
    </row>
    <row r="340">
      <c r="A340" s="11">
        <v>328.0</v>
      </c>
      <c r="B340" s="11">
        <v>1.42082173913043E9</v>
      </c>
      <c r="C340" s="2">
        <v>-102.7242203</v>
      </c>
      <c r="D340" s="24">
        <f t="shared" si="1"/>
        <v>421739.1304</v>
      </c>
      <c r="E340" s="25">
        <f t="shared" si="2"/>
        <v>-89.99302095</v>
      </c>
      <c r="F340" s="24">
        <f t="shared" si="3"/>
        <v>0.0002133855136</v>
      </c>
      <c r="G340" s="24">
        <f t="shared" si="4"/>
        <v>0</v>
      </c>
      <c r="H340" s="26">
        <f t="shared" si="5"/>
        <v>0</v>
      </c>
      <c r="I340" s="24">
        <f t="shared" si="6"/>
        <v>0</v>
      </c>
      <c r="J340" s="24">
        <f t="shared" si="7"/>
        <v>0</v>
      </c>
      <c r="K340" s="24"/>
      <c r="L340" s="24">
        <f t="shared" si="8"/>
        <v>406.1478302</v>
      </c>
      <c r="M340" s="14">
        <f t="shared" si="9"/>
        <v>404.2187534</v>
      </c>
      <c r="N340" s="27">
        <f t="shared" si="10"/>
        <v>1.929076804</v>
      </c>
      <c r="O340" s="24"/>
      <c r="P340" s="24"/>
      <c r="Q340" s="24"/>
      <c r="R340" s="26"/>
      <c r="S340" s="14">
        <f t="shared" si="13"/>
        <v>1.771463765</v>
      </c>
      <c r="U340" s="21"/>
      <c r="V340" s="21"/>
    </row>
    <row r="341">
      <c r="A341" s="11">
        <v>329.0</v>
      </c>
      <c r="B341" s="11">
        <v>1.42082608695652E9</v>
      </c>
      <c r="C341" s="2">
        <v>-102.7002945</v>
      </c>
      <c r="D341" s="24">
        <f t="shared" si="1"/>
        <v>426086.9565</v>
      </c>
      <c r="E341" s="25">
        <f t="shared" si="2"/>
        <v>-90.91131708</v>
      </c>
      <c r="F341" s="24">
        <f t="shared" si="3"/>
        <v>0.0002133632952</v>
      </c>
      <c r="G341" s="24">
        <f t="shared" si="4"/>
        <v>0</v>
      </c>
      <c r="H341" s="26">
        <f t="shared" si="5"/>
        <v>0</v>
      </c>
      <c r="I341" s="24">
        <f t="shared" si="6"/>
        <v>0</v>
      </c>
      <c r="J341" s="24">
        <f t="shared" si="7"/>
        <v>0</v>
      </c>
      <c r="K341" s="24"/>
      <c r="L341" s="24">
        <f t="shared" si="8"/>
        <v>408.3915216</v>
      </c>
      <c r="M341" s="14">
        <f t="shared" si="9"/>
        <v>404.1400326</v>
      </c>
      <c r="N341" s="27">
        <f t="shared" si="10"/>
        <v>4.251489049</v>
      </c>
      <c r="O341" s="24"/>
      <c r="P341" s="24"/>
      <c r="Q341" s="24"/>
      <c r="R341" s="26"/>
      <c r="S341" s="14">
        <f t="shared" si="13"/>
        <v>3.904125953</v>
      </c>
      <c r="U341" s="21"/>
      <c r="V341" s="21"/>
    </row>
    <row r="342">
      <c r="A342" s="11">
        <v>330.0</v>
      </c>
      <c r="B342" s="11">
        <v>1.4208304347826E9</v>
      </c>
      <c r="C342" s="2">
        <v>-102.7135086</v>
      </c>
      <c r="D342" s="24">
        <f t="shared" si="1"/>
        <v>430434.7826</v>
      </c>
      <c r="E342" s="25">
        <f t="shared" si="2"/>
        <v>-91.82961321</v>
      </c>
      <c r="F342" s="24">
        <f t="shared" si="3"/>
        <v>0.0002133415256</v>
      </c>
      <c r="G342" s="24">
        <f t="shared" si="4"/>
        <v>0</v>
      </c>
      <c r="H342" s="26">
        <f t="shared" si="5"/>
        <v>0</v>
      </c>
      <c r="I342" s="24">
        <f t="shared" si="6"/>
        <v>0</v>
      </c>
      <c r="J342" s="24">
        <f t="shared" si="7"/>
        <v>0</v>
      </c>
      <c r="K342" s="24"/>
      <c r="L342" s="24">
        <f t="shared" si="8"/>
        <v>407.150814</v>
      </c>
      <c r="M342" s="14">
        <f t="shared" si="9"/>
        <v>404.0613782</v>
      </c>
      <c r="N342" s="27">
        <f t="shared" si="10"/>
        <v>3.089435812</v>
      </c>
      <c r="O342" s="24"/>
      <c r="P342" s="24"/>
      <c r="Q342" s="24"/>
      <c r="R342" s="26"/>
      <c r="S342" s="14">
        <f t="shared" si="13"/>
        <v>2.837016958</v>
      </c>
      <c r="U342" s="21"/>
      <c r="V342" s="21"/>
    </row>
    <row r="343">
      <c r="A343" s="11">
        <v>331.0</v>
      </c>
      <c r="B343" s="11">
        <v>1.42083478260869E9</v>
      </c>
      <c r="C343" s="2">
        <v>-102.6839447</v>
      </c>
      <c r="D343" s="24">
        <f t="shared" si="1"/>
        <v>434782.6087</v>
      </c>
      <c r="E343" s="25">
        <f t="shared" si="2"/>
        <v>-92.74790935</v>
      </c>
      <c r="F343" s="24">
        <f t="shared" si="3"/>
        <v>0.0002133201915</v>
      </c>
      <c r="G343" s="24">
        <f t="shared" si="4"/>
        <v>0</v>
      </c>
      <c r="H343" s="26">
        <f t="shared" si="5"/>
        <v>0</v>
      </c>
      <c r="I343" s="24">
        <f t="shared" si="6"/>
        <v>0</v>
      </c>
      <c r="J343" s="24">
        <f t="shared" si="7"/>
        <v>0</v>
      </c>
      <c r="K343" s="24"/>
      <c r="L343" s="24">
        <f t="shared" si="8"/>
        <v>409.9318829</v>
      </c>
      <c r="M343" s="14">
        <f t="shared" si="9"/>
        <v>403.9827901</v>
      </c>
      <c r="N343" s="27">
        <f t="shared" si="10"/>
        <v>5.949092785</v>
      </c>
      <c r="O343" s="24"/>
      <c r="P343" s="24"/>
      <c r="Q343" s="24"/>
      <c r="R343" s="26"/>
      <c r="S343" s="14">
        <f t="shared" si="13"/>
        <v>5.463028898</v>
      </c>
      <c r="U343" s="21"/>
      <c r="V343" s="21"/>
    </row>
    <row r="344">
      <c r="A344" s="11">
        <v>332.0</v>
      </c>
      <c r="B344" s="11">
        <v>1.42083913043478E9</v>
      </c>
      <c r="C344" s="2">
        <v>-102.7093811</v>
      </c>
      <c r="D344" s="24">
        <f t="shared" si="1"/>
        <v>439130.4348</v>
      </c>
      <c r="E344" s="25">
        <f t="shared" si="2"/>
        <v>-93.66620548</v>
      </c>
      <c r="F344" s="24">
        <f t="shared" si="3"/>
        <v>0.0002132992798</v>
      </c>
      <c r="G344" s="24">
        <f t="shared" si="4"/>
        <v>0</v>
      </c>
      <c r="H344" s="26">
        <f t="shared" si="5"/>
        <v>0</v>
      </c>
      <c r="I344" s="24">
        <f t="shared" si="6"/>
        <v>0</v>
      </c>
      <c r="J344" s="24">
        <f t="shared" si="7"/>
        <v>0</v>
      </c>
      <c r="K344" s="24"/>
      <c r="L344" s="24">
        <f t="shared" si="8"/>
        <v>407.5379508</v>
      </c>
      <c r="M344" s="14">
        <f t="shared" si="9"/>
        <v>403.9042684</v>
      </c>
      <c r="N344" s="27">
        <f t="shared" si="10"/>
        <v>3.633682346</v>
      </c>
      <c r="O344" s="24"/>
      <c r="P344" s="24"/>
      <c r="Q344" s="24"/>
      <c r="R344" s="26"/>
      <c r="S344" s="14">
        <f t="shared" si="13"/>
        <v>3.336796439</v>
      </c>
      <c r="U344" s="21"/>
      <c r="V344" s="21"/>
    </row>
    <row r="345">
      <c r="A345" s="11">
        <v>333.0</v>
      </c>
      <c r="B345" s="11">
        <v>1.42084347826087E9</v>
      </c>
      <c r="C345" s="2">
        <v>-102.6601181</v>
      </c>
      <c r="D345" s="24">
        <f t="shared" si="1"/>
        <v>443478.2609</v>
      </c>
      <c r="E345" s="25">
        <f t="shared" si="2"/>
        <v>-94.58450161</v>
      </c>
      <c r="F345" s="24">
        <f t="shared" si="3"/>
        <v>0.0002132787781</v>
      </c>
      <c r="G345" s="24">
        <f t="shared" si="4"/>
        <v>0</v>
      </c>
      <c r="H345" s="26">
        <f t="shared" si="5"/>
        <v>0</v>
      </c>
      <c r="I345" s="24">
        <f t="shared" si="6"/>
        <v>0</v>
      </c>
      <c r="J345" s="24">
        <f t="shared" si="7"/>
        <v>0</v>
      </c>
      <c r="K345" s="24"/>
      <c r="L345" s="24">
        <f t="shared" si="8"/>
        <v>412.1870636</v>
      </c>
      <c r="M345" s="14">
        <f t="shared" si="9"/>
        <v>403.8258131</v>
      </c>
      <c r="N345" s="27">
        <f t="shared" si="10"/>
        <v>8.361250467</v>
      </c>
      <c r="O345" s="24"/>
      <c r="P345" s="24"/>
      <c r="Q345" s="24"/>
      <c r="R345" s="26"/>
      <c r="S345" s="14">
        <f t="shared" si="13"/>
        <v>7.678103969</v>
      </c>
      <c r="U345" s="21"/>
      <c r="V345" s="21"/>
    </row>
    <row r="346">
      <c r="A346" s="11">
        <v>334.0</v>
      </c>
      <c r="B346" s="11">
        <v>1.42084782608695E9</v>
      </c>
      <c r="C346" s="2">
        <v>-102.6975708</v>
      </c>
      <c r="D346" s="24">
        <f t="shared" si="1"/>
        <v>447826.087</v>
      </c>
      <c r="E346" s="25">
        <f t="shared" si="2"/>
        <v>-95.50279774</v>
      </c>
      <c r="F346" s="24">
        <f t="shared" si="3"/>
        <v>0.0002132586746</v>
      </c>
      <c r="G346" s="24">
        <f t="shared" si="4"/>
        <v>0</v>
      </c>
      <c r="H346" s="26">
        <f t="shared" si="5"/>
        <v>0</v>
      </c>
      <c r="I346" s="24">
        <f t="shared" si="6"/>
        <v>0</v>
      </c>
      <c r="J346" s="24">
        <f t="shared" si="7"/>
        <v>0</v>
      </c>
      <c r="K346" s="24"/>
      <c r="L346" s="24">
        <f t="shared" si="8"/>
        <v>408.6477268</v>
      </c>
      <c r="M346" s="14">
        <f t="shared" si="9"/>
        <v>403.7474241</v>
      </c>
      <c r="N346" s="27">
        <f t="shared" si="10"/>
        <v>4.900302735</v>
      </c>
      <c r="O346" s="24"/>
      <c r="P346" s="24"/>
      <c r="Q346" s="24"/>
      <c r="R346" s="26"/>
      <c r="S346" s="14">
        <f t="shared" si="13"/>
        <v>4.499929051</v>
      </c>
      <c r="U346" s="21"/>
      <c r="V346" s="21"/>
    </row>
    <row r="347">
      <c r="A347" s="11">
        <v>335.0</v>
      </c>
      <c r="B347" s="11">
        <v>1.42085217391304E9</v>
      </c>
      <c r="C347" s="2">
        <v>-102.6809387</v>
      </c>
      <c r="D347" s="24">
        <f t="shared" si="1"/>
        <v>452173.913</v>
      </c>
      <c r="E347" s="25">
        <f t="shared" si="2"/>
        <v>-96.42109387</v>
      </c>
      <c r="F347" s="24">
        <f t="shared" si="3"/>
        <v>0.0002132389576</v>
      </c>
      <c r="G347" s="24">
        <f t="shared" si="4"/>
        <v>0</v>
      </c>
      <c r="H347" s="26">
        <f t="shared" si="5"/>
        <v>0</v>
      </c>
      <c r="I347" s="24">
        <f t="shared" si="6"/>
        <v>0</v>
      </c>
      <c r="J347" s="24">
        <f t="shared" si="7"/>
        <v>0</v>
      </c>
      <c r="K347" s="24"/>
      <c r="L347" s="24">
        <f t="shared" si="8"/>
        <v>410.2157184</v>
      </c>
      <c r="M347" s="14">
        <f t="shared" si="9"/>
        <v>403.6691013</v>
      </c>
      <c r="N347" s="27">
        <f t="shared" si="10"/>
        <v>6.546617094</v>
      </c>
      <c r="O347" s="24"/>
      <c r="P347" s="24"/>
      <c r="Q347" s="24"/>
      <c r="R347" s="26"/>
      <c r="S347" s="14">
        <f t="shared" si="13"/>
        <v>6.011733146</v>
      </c>
      <c r="U347" s="21"/>
      <c r="V347" s="21"/>
    </row>
    <row r="348">
      <c r="A348" s="11">
        <v>336.0</v>
      </c>
      <c r="B348" s="11">
        <v>1.42085652173913E9</v>
      </c>
      <c r="C348" s="2">
        <v>-102.7572784</v>
      </c>
      <c r="D348" s="24">
        <f t="shared" si="1"/>
        <v>456521.7391</v>
      </c>
      <c r="E348" s="25">
        <f t="shared" si="2"/>
        <v>-97.33939</v>
      </c>
      <c r="F348" s="24">
        <f t="shared" si="3"/>
        <v>0.0002132196162</v>
      </c>
      <c r="G348" s="24">
        <f t="shared" si="4"/>
        <v>0</v>
      </c>
      <c r="H348" s="26">
        <f t="shared" si="5"/>
        <v>0</v>
      </c>
      <c r="I348" s="24">
        <f t="shared" si="6"/>
        <v>0</v>
      </c>
      <c r="J348" s="24">
        <f t="shared" si="7"/>
        <v>0</v>
      </c>
      <c r="K348" s="24"/>
      <c r="L348" s="24">
        <f t="shared" si="8"/>
        <v>403.0680065</v>
      </c>
      <c r="M348" s="14">
        <f t="shared" si="9"/>
        <v>403.5908448</v>
      </c>
      <c r="N348" s="27">
        <f t="shared" si="10"/>
        <v>-0.5228383615</v>
      </c>
      <c r="O348" s="24"/>
      <c r="P348" s="24"/>
      <c r="Q348" s="24"/>
      <c r="R348" s="26"/>
      <c r="S348" s="14">
        <f t="shared" si="13"/>
        <v>-0.4801204455</v>
      </c>
      <c r="U348" s="21"/>
      <c r="V348" s="21"/>
    </row>
    <row r="349">
      <c r="A349" s="11">
        <v>337.0</v>
      </c>
      <c r="B349" s="11">
        <v>1.42086086956521E9</v>
      </c>
      <c r="C349" s="2">
        <v>-102.6641006</v>
      </c>
      <c r="D349" s="24">
        <f t="shared" si="1"/>
        <v>460869.5652</v>
      </c>
      <c r="E349" s="25">
        <f t="shared" si="2"/>
        <v>-98.25768614</v>
      </c>
      <c r="F349" s="24">
        <f t="shared" si="3"/>
        <v>0.0002132006397</v>
      </c>
      <c r="G349" s="24">
        <f t="shared" si="4"/>
        <v>0</v>
      </c>
      <c r="H349" s="26">
        <f t="shared" si="5"/>
        <v>0</v>
      </c>
      <c r="I349" s="24">
        <f t="shared" si="6"/>
        <v>0</v>
      </c>
      <c r="J349" s="24">
        <f t="shared" si="7"/>
        <v>0</v>
      </c>
      <c r="K349" s="24"/>
      <c r="L349" s="24">
        <f t="shared" si="8"/>
        <v>411.8092594</v>
      </c>
      <c r="M349" s="14">
        <f t="shared" si="9"/>
        <v>403.5126546</v>
      </c>
      <c r="N349" s="27">
        <f t="shared" si="10"/>
        <v>8.296604813</v>
      </c>
      <c r="O349" s="24"/>
      <c r="P349" s="24"/>
      <c r="Q349" s="24"/>
      <c r="R349" s="26"/>
      <c r="S349" s="14">
        <f t="shared" si="13"/>
        <v>7.618740116</v>
      </c>
      <c r="U349" s="21"/>
      <c r="V349" s="21"/>
    </row>
    <row r="350">
      <c r="A350" s="11">
        <v>338.0</v>
      </c>
      <c r="B350" s="11">
        <v>1.4208652173913E9</v>
      </c>
      <c r="C350" s="2">
        <v>-102.7264175</v>
      </c>
      <c r="D350" s="24">
        <f t="shared" si="1"/>
        <v>465217.3913</v>
      </c>
      <c r="E350" s="25">
        <f t="shared" si="2"/>
        <v>-99.17598227</v>
      </c>
      <c r="F350" s="24">
        <f t="shared" si="3"/>
        <v>0.000213182018</v>
      </c>
      <c r="G350" s="24">
        <f t="shared" si="4"/>
        <v>0</v>
      </c>
      <c r="H350" s="26">
        <f t="shared" si="5"/>
        <v>0</v>
      </c>
      <c r="I350" s="24">
        <f t="shared" si="6"/>
        <v>0</v>
      </c>
      <c r="J350" s="24">
        <f t="shared" si="7"/>
        <v>0</v>
      </c>
      <c r="K350" s="24"/>
      <c r="L350" s="24">
        <f t="shared" si="8"/>
        <v>405.9424022</v>
      </c>
      <c r="M350" s="14">
        <f t="shared" si="9"/>
        <v>403.4345306</v>
      </c>
      <c r="N350" s="27">
        <f t="shared" si="10"/>
        <v>2.507871598</v>
      </c>
      <c r="O350" s="24"/>
      <c r="P350" s="24"/>
      <c r="Q350" s="24"/>
      <c r="R350" s="26"/>
      <c r="S350" s="14">
        <f t="shared" si="13"/>
        <v>2.302968784</v>
      </c>
      <c r="U350" s="21"/>
      <c r="V350" s="21"/>
    </row>
    <row r="351">
      <c r="A351" s="11">
        <v>339.0</v>
      </c>
      <c r="B351" s="11">
        <v>1.42086956521739E9</v>
      </c>
      <c r="C351" s="2">
        <v>-102.8195724</v>
      </c>
      <c r="D351" s="24">
        <f t="shared" si="1"/>
        <v>469565.2174</v>
      </c>
      <c r="E351" s="25">
        <f t="shared" si="2"/>
        <v>-100.0942784</v>
      </c>
      <c r="F351" s="24">
        <f t="shared" si="3"/>
        <v>0.000213163741</v>
      </c>
      <c r="G351" s="24">
        <f t="shared" si="4"/>
        <v>0</v>
      </c>
      <c r="H351" s="26">
        <f t="shared" si="5"/>
        <v>0</v>
      </c>
      <c r="I351" s="24">
        <f t="shared" si="6"/>
        <v>0</v>
      </c>
      <c r="J351" s="24">
        <f t="shared" si="7"/>
        <v>0</v>
      </c>
      <c r="K351" s="24"/>
      <c r="L351" s="24">
        <f t="shared" si="8"/>
        <v>397.3277769</v>
      </c>
      <c r="M351" s="14">
        <f t="shared" si="9"/>
        <v>403.3564728</v>
      </c>
      <c r="N351" s="27">
        <f t="shared" si="10"/>
        <v>-6.028695901</v>
      </c>
      <c r="O351" s="24"/>
      <c r="P351" s="24"/>
      <c r="Q351" s="24"/>
      <c r="R351" s="26"/>
      <c r="S351" s="14">
        <f t="shared" si="13"/>
        <v>-5.536128132</v>
      </c>
      <c r="U351" s="21"/>
      <c r="V351" s="21"/>
    </row>
    <row r="352">
      <c r="A352" s="11">
        <v>340.0</v>
      </c>
      <c r="B352" s="11">
        <v>1.42087391304347E9</v>
      </c>
      <c r="C352" s="2">
        <v>-102.7157288</v>
      </c>
      <c r="D352" s="24">
        <f t="shared" si="1"/>
        <v>473913.0435</v>
      </c>
      <c r="E352" s="25">
        <f t="shared" si="2"/>
        <v>-101.0125745</v>
      </c>
      <c r="F352" s="24">
        <f t="shared" si="3"/>
        <v>0.0002131457995</v>
      </c>
      <c r="G352" s="24">
        <f t="shared" si="4"/>
        <v>0</v>
      </c>
      <c r="H352" s="26">
        <f t="shared" si="5"/>
        <v>0</v>
      </c>
      <c r="I352" s="24">
        <f t="shared" si="6"/>
        <v>0</v>
      </c>
      <c r="J352" s="24">
        <f t="shared" si="7"/>
        <v>0</v>
      </c>
      <c r="K352" s="24"/>
      <c r="L352" s="24">
        <f t="shared" si="8"/>
        <v>406.9427236</v>
      </c>
      <c r="M352" s="14">
        <f t="shared" si="9"/>
        <v>403.2784813</v>
      </c>
      <c r="N352" s="27">
        <f t="shared" si="10"/>
        <v>3.664242291</v>
      </c>
      <c r="O352" s="24"/>
      <c r="P352" s="24"/>
      <c r="Q352" s="24"/>
      <c r="R352" s="26"/>
      <c r="S352" s="14">
        <f t="shared" si="13"/>
        <v>3.364859525</v>
      </c>
      <c r="U352" s="21"/>
      <c r="V352" s="21"/>
    </row>
    <row r="353">
      <c r="A353" s="11">
        <v>341.0</v>
      </c>
      <c r="B353" s="11">
        <v>1.42087826086956E9</v>
      </c>
      <c r="C353" s="2">
        <v>-102.7744675</v>
      </c>
      <c r="D353" s="24">
        <f t="shared" si="1"/>
        <v>478260.8696</v>
      </c>
      <c r="E353" s="25">
        <f t="shared" si="2"/>
        <v>-101.9308707</v>
      </c>
      <c r="F353" s="24">
        <f t="shared" si="3"/>
        <v>0.0002131281841</v>
      </c>
      <c r="G353" s="24">
        <f t="shared" si="4"/>
        <v>0</v>
      </c>
      <c r="H353" s="26">
        <f t="shared" si="5"/>
        <v>0</v>
      </c>
      <c r="I353" s="24">
        <f t="shared" si="6"/>
        <v>0</v>
      </c>
      <c r="J353" s="24">
        <f t="shared" si="7"/>
        <v>0</v>
      </c>
      <c r="K353" s="24"/>
      <c r="L353" s="24">
        <f t="shared" si="8"/>
        <v>401.4758418</v>
      </c>
      <c r="M353" s="14">
        <f t="shared" si="9"/>
        <v>403.2005559</v>
      </c>
      <c r="N353" s="27">
        <f t="shared" si="10"/>
        <v>-1.724714087</v>
      </c>
      <c r="O353" s="24"/>
      <c r="P353" s="24"/>
      <c r="Q353" s="24"/>
      <c r="R353" s="26"/>
      <c r="S353" s="14">
        <f t="shared" si="13"/>
        <v>-1.583798273</v>
      </c>
      <c r="U353" s="21"/>
      <c r="V353" s="21"/>
    </row>
    <row r="354">
      <c r="A354" s="11">
        <v>342.0</v>
      </c>
      <c r="B354" s="11">
        <v>1.42088260869565E9</v>
      </c>
      <c r="C354" s="2">
        <v>-102.7396164</v>
      </c>
      <c r="D354" s="24">
        <f t="shared" si="1"/>
        <v>482608.6957</v>
      </c>
      <c r="E354" s="25">
        <f t="shared" si="2"/>
        <v>-102.8491668</v>
      </c>
      <c r="F354" s="24">
        <f t="shared" si="3"/>
        <v>0.0002131108862</v>
      </c>
      <c r="G354" s="24">
        <f t="shared" si="4"/>
        <v>0</v>
      </c>
      <c r="H354" s="26">
        <f t="shared" si="5"/>
        <v>0</v>
      </c>
      <c r="I354" s="24">
        <f t="shared" si="6"/>
        <v>0</v>
      </c>
      <c r="J354" s="24">
        <f t="shared" si="7"/>
        <v>0</v>
      </c>
      <c r="K354" s="24"/>
      <c r="L354" s="24">
        <f t="shared" si="8"/>
        <v>404.7105515</v>
      </c>
      <c r="M354" s="14">
        <f t="shared" si="9"/>
        <v>403.1226966</v>
      </c>
      <c r="N354" s="27">
        <f t="shared" si="10"/>
        <v>1.58785489</v>
      </c>
      <c r="O354" s="24"/>
      <c r="P354" s="24"/>
      <c r="Q354" s="24"/>
      <c r="R354" s="26"/>
      <c r="S354" s="14">
        <f t="shared" si="13"/>
        <v>1.458121005</v>
      </c>
      <c r="U354" s="21"/>
      <c r="V354" s="21"/>
    </row>
    <row r="355">
      <c r="A355" s="11">
        <v>343.0</v>
      </c>
      <c r="B355" s="11">
        <v>1.42088695652173E9</v>
      </c>
      <c r="C355" s="2">
        <v>-102.761055</v>
      </c>
      <c r="D355" s="24">
        <f t="shared" si="1"/>
        <v>486956.5217</v>
      </c>
      <c r="E355" s="25">
        <f t="shared" si="2"/>
        <v>-103.7674629</v>
      </c>
      <c r="F355" s="24">
        <f t="shared" si="3"/>
        <v>0.0002130938971</v>
      </c>
      <c r="G355" s="24">
        <f t="shared" si="4"/>
        <v>0</v>
      </c>
      <c r="H355" s="26">
        <f t="shared" si="5"/>
        <v>0</v>
      </c>
      <c r="I355" s="24">
        <f t="shared" si="6"/>
        <v>0</v>
      </c>
      <c r="J355" s="24">
        <f t="shared" si="7"/>
        <v>0</v>
      </c>
      <c r="K355" s="24"/>
      <c r="L355" s="24">
        <f t="shared" si="8"/>
        <v>402.7176532</v>
      </c>
      <c r="M355" s="14">
        <f t="shared" si="9"/>
        <v>403.0449036</v>
      </c>
      <c r="N355" s="27">
        <f t="shared" si="10"/>
        <v>-0.32725037</v>
      </c>
      <c r="O355" s="24"/>
      <c r="P355" s="24"/>
      <c r="Q355" s="24"/>
      <c r="R355" s="26"/>
      <c r="S355" s="14">
        <f t="shared" si="13"/>
        <v>-0.3005127493</v>
      </c>
      <c r="U355" s="21"/>
      <c r="V355" s="21"/>
    </row>
    <row r="356">
      <c r="A356" s="11">
        <v>344.0</v>
      </c>
      <c r="B356" s="11">
        <v>1.42089130434782E9</v>
      </c>
      <c r="C356" s="2">
        <v>-102.7136459</v>
      </c>
      <c r="D356" s="24">
        <f t="shared" si="1"/>
        <v>491304.3478</v>
      </c>
      <c r="E356" s="25">
        <f t="shared" si="2"/>
        <v>-104.6857591</v>
      </c>
      <c r="F356" s="24">
        <f t="shared" si="3"/>
        <v>0.0002130772087</v>
      </c>
      <c r="G356" s="24">
        <f t="shared" si="4"/>
        <v>0</v>
      </c>
      <c r="H356" s="26">
        <f t="shared" si="5"/>
        <v>0</v>
      </c>
      <c r="I356" s="24">
        <f t="shared" si="6"/>
        <v>0</v>
      </c>
      <c r="J356" s="24">
        <f t="shared" si="7"/>
        <v>0</v>
      </c>
      <c r="K356" s="24"/>
      <c r="L356" s="24">
        <f t="shared" si="8"/>
        <v>407.1379423</v>
      </c>
      <c r="M356" s="14">
        <f t="shared" si="9"/>
        <v>402.9671766</v>
      </c>
      <c r="N356" s="27">
        <f t="shared" si="10"/>
        <v>4.170765742</v>
      </c>
      <c r="O356" s="24"/>
      <c r="P356" s="24"/>
      <c r="Q356" s="24"/>
      <c r="R356" s="26"/>
      <c r="S356" s="14">
        <f t="shared" si="13"/>
        <v>3.829998052</v>
      </c>
      <c r="U356" s="21"/>
      <c r="V356" s="21"/>
    </row>
    <row r="357">
      <c r="A357" s="11">
        <v>345.0</v>
      </c>
      <c r="B357" s="11">
        <v>1.42089565217391E9</v>
      </c>
      <c r="C357" s="2">
        <v>-102.7641068</v>
      </c>
      <c r="D357" s="24">
        <f t="shared" si="1"/>
        <v>495652.1739</v>
      </c>
      <c r="E357" s="25">
        <f t="shared" si="2"/>
        <v>-105.6040552</v>
      </c>
      <c r="F357" s="24">
        <f t="shared" si="3"/>
        <v>0.0002130608131</v>
      </c>
      <c r="G357" s="24">
        <f t="shared" si="4"/>
        <v>0</v>
      </c>
      <c r="H357" s="26">
        <f t="shared" si="5"/>
        <v>0</v>
      </c>
      <c r="I357" s="24">
        <f t="shared" si="6"/>
        <v>0</v>
      </c>
      <c r="J357" s="24">
        <f t="shared" si="7"/>
        <v>0</v>
      </c>
      <c r="K357" s="24"/>
      <c r="L357" s="24">
        <f t="shared" si="8"/>
        <v>402.4347617</v>
      </c>
      <c r="M357" s="14">
        <f t="shared" si="9"/>
        <v>402.8895157</v>
      </c>
      <c r="N357" s="27">
        <f t="shared" si="10"/>
        <v>-0.454753992</v>
      </c>
      <c r="O357" s="24"/>
      <c r="P357" s="24"/>
      <c r="Q357" s="24"/>
      <c r="R357" s="26"/>
      <c r="S357" s="14">
        <f t="shared" si="13"/>
        <v>-0.4175988313</v>
      </c>
      <c r="U357" s="21"/>
      <c r="V357" s="21"/>
    </row>
    <row r="358">
      <c r="A358" s="11">
        <v>346.0</v>
      </c>
      <c r="B358" s="11">
        <v>1.4209E9</v>
      </c>
      <c r="C358" s="2">
        <v>-102.8156738</v>
      </c>
      <c r="D358" s="24">
        <f t="shared" si="1"/>
        <v>500000</v>
      </c>
      <c r="E358" s="25">
        <f t="shared" si="2"/>
        <v>-106.5223513</v>
      </c>
      <c r="F358" s="24">
        <f t="shared" si="3"/>
        <v>0.0002130447027</v>
      </c>
      <c r="G358" s="24">
        <f t="shared" si="4"/>
        <v>0</v>
      </c>
      <c r="H358" s="26">
        <f t="shared" si="5"/>
        <v>0</v>
      </c>
      <c r="I358" s="24">
        <f t="shared" si="6"/>
        <v>0</v>
      </c>
      <c r="J358" s="24">
        <f t="shared" si="7"/>
        <v>0</v>
      </c>
      <c r="K358" s="24"/>
      <c r="L358" s="24">
        <f t="shared" si="8"/>
        <v>397.6846126</v>
      </c>
      <c r="M358" s="14">
        <f t="shared" si="9"/>
        <v>402.8119209</v>
      </c>
      <c r="N358" s="27">
        <f t="shared" si="10"/>
        <v>-5.127308326</v>
      </c>
      <c r="O358" s="24"/>
      <c r="P358" s="24"/>
      <c r="Q358" s="24"/>
      <c r="R358" s="26"/>
      <c r="S358" s="14">
        <f t="shared" si="13"/>
        <v>-4.708387408</v>
      </c>
      <c r="U358" s="21"/>
      <c r="V358" s="21"/>
    </row>
    <row r="359">
      <c r="A359" s="11">
        <v>347.0</v>
      </c>
      <c r="B359" s="11">
        <v>1.42090434782608E9</v>
      </c>
      <c r="C359" s="2">
        <v>-102.7068253</v>
      </c>
      <c r="D359" s="24">
        <f t="shared" si="1"/>
        <v>504347.8261</v>
      </c>
      <c r="E359" s="25">
        <f t="shared" si="2"/>
        <v>-107.4406475</v>
      </c>
      <c r="F359" s="24">
        <f t="shared" si="3"/>
        <v>0.00021302887</v>
      </c>
      <c r="G359" s="24">
        <f t="shared" si="4"/>
        <v>0</v>
      </c>
      <c r="H359" s="26">
        <f t="shared" si="5"/>
        <v>0</v>
      </c>
      <c r="I359" s="24">
        <f t="shared" si="6"/>
        <v>0</v>
      </c>
      <c r="J359" s="24">
        <f t="shared" si="7"/>
        <v>0</v>
      </c>
      <c r="K359" s="24"/>
      <c r="L359" s="24">
        <f t="shared" si="8"/>
        <v>407.7778553</v>
      </c>
      <c r="M359" s="14">
        <f t="shared" si="9"/>
        <v>402.7343922</v>
      </c>
      <c r="N359" s="27">
        <f t="shared" si="10"/>
        <v>5.043463104</v>
      </c>
      <c r="O359" s="24"/>
      <c r="P359" s="24"/>
      <c r="Q359" s="24"/>
      <c r="R359" s="26"/>
      <c r="S359" s="14">
        <f t="shared" si="13"/>
        <v>4.631392664</v>
      </c>
      <c r="U359" s="21"/>
      <c r="V359" s="21"/>
    </row>
    <row r="360">
      <c r="A360" s="11">
        <v>348.0</v>
      </c>
      <c r="B360" s="11">
        <v>1.42090869565217E9</v>
      </c>
      <c r="C360" s="2">
        <v>-102.7297134</v>
      </c>
      <c r="D360" s="24">
        <f t="shared" si="1"/>
        <v>508695.6522</v>
      </c>
      <c r="E360" s="25">
        <f t="shared" si="2"/>
        <v>-108.3589436</v>
      </c>
      <c r="F360" s="24">
        <f t="shared" si="3"/>
        <v>0.0002130133079</v>
      </c>
      <c r="G360" s="24">
        <f t="shared" si="4"/>
        <v>0</v>
      </c>
      <c r="H360" s="26">
        <f t="shared" si="5"/>
        <v>0</v>
      </c>
      <c r="I360" s="24">
        <f t="shared" si="6"/>
        <v>0</v>
      </c>
      <c r="J360" s="24">
        <f t="shared" si="7"/>
        <v>0</v>
      </c>
      <c r="K360" s="24"/>
      <c r="L360" s="24">
        <f t="shared" si="8"/>
        <v>405.6344457</v>
      </c>
      <c r="M360" s="14">
        <f t="shared" si="9"/>
        <v>402.6569295</v>
      </c>
      <c r="N360" s="27">
        <f t="shared" si="10"/>
        <v>2.977516209</v>
      </c>
      <c r="O360" s="24"/>
      <c r="P360" s="24"/>
      <c r="Q360" s="24"/>
      <c r="R360" s="26"/>
      <c r="S360" s="14">
        <f t="shared" si="13"/>
        <v>2.734241613</v>
      </c>
      <c r="U360" s="21"/>
      <c r="V360" s="21"/>
    </row>
    <row r="361">
      <c r="A361" s="11">
        <v>349.0</v>
      </c>
      <c r="B361" s="11">
        <v>1.42091304347826E9</v>
      </c>
      <c r="C361" s="2">
        <v>-102.7706146</v>
      </c>
      <c r="D361" s="24">
        <f t="shared" si="1"/>
        <v>513043.4783</v>
      </c>
      <c r="E361" s="25">
        <f t="shared" si="2"/>
        <v>-109.2772397</v>
      </c>
      <c r="F361" s="24">
        <f t="shared" si="3"/>
        <v>0.0002129980096</v>
      </c>
      <c r="G361" s="24">
        <f t="shared" si="4"/>
        <v>0</v>
      </c>
      <c r="H361" s="26">
        <f t="shared" si="5"/>
        <v>0</v>
      </c>
      <c r="I361" s="24">
        <f t="shared" si="6"/>
        <v>0</v>
      </c>
      <c r="J361" s="24">
        <f t="shared" si="7"/>
        <v>0</v>
      </c>
      <c r="K361" s="24"/>
      <c r="L361" s="24">
        <f t="shared" si="8"/>
        <v>401.8321743</v>
      </c>
      <c r="M361" s="14">
        <f t="shared" si="9"/>
        <v>402.5795329</v>
      </c>
      <c r="N361" s="27">
        <f t="shared" si="10"/>
        <v>-0.7473585242</v>
      </c>
      <c r="O361" s="24"/>
      <c r="P361" s="24"/>
      <c r="Q361" s="24"/>
      <c r="R361" s="26"/>
      <c r="S361" s="14">
        <f t="shared" si="13"/>
        <v>-0.6862964426</v>
      </c>
      <c r="U361" s="21"/>
      <c r="V361" s="21"/>
    </row>
    <row r="362">
      <c r="A362" s="11">
        <v>350.0</v>
      </c>
      <c r="B362" s="11">
        <v>1.42091739130434E9</v>
      </c>
      <c r="C362" s="2">
        <v>-102.7012863</v>
      </c>
      <c r="D362" s="24">
        <f t="shared" si="1"/>
        <v>517391.3043</v>
      </c>
      <c r="E362" s="25">
        <f t="shared" si="2"/>
        <v>-110.1955359</v>
      </c>
      <c r="F362" s="24">
        <f t="shared" si="3"/>
        <v>0.0002129829685</v>
      </c>
      <c r="G362" s="24">
        <f t="shared" si="4"/>
        <v>0</v>
      </c>
      <c r="H362" s="26">
        <f t="shared" si="5"/>
        <v>0</v>
      </c>
      <c r="I362" s="24">
        <f t="shared" si="6"/>
        <v>0</v>
      </c>
      <c r="J362" s="24">
        <f t="shared" si="7"/>
        <v>0</v>
      </c>
      <c r="K362" s="24"/>
      <c r="L362" s="24">
        <f t="shared" si="8"/>
        <v>408.2982677</v>
      </c>
      <c r="M362" s="14">
        <f t="shared" si="9"/>
        <v>402.5022022</v>
      </c>
      <c r="N362" s="27">
        <f t="shared" si="10"/>
        <v>5.796065518</v>
      </c>
      <c r="O362" s="24"/>
      <c r="P362" s="24"/>
      <c r="Q362" s="24"/>
      <c r="R362" s="26"/>
      <c r="S362" s="14">
        <f t="shared" si="13"/>
        <v>5.32250455</v>
      </c>
      <c r="U362" s="21"/>
      <c r="V362" s="21"/>
    </row>
    <row r="363">
      <c r="A363" s="11">
        <v>351.0</v>
      </c>
      <c r="B363" s="11">
        <v>1.42092173913043E9</v>
      </c>
      <c r="C363" s="2">
        <v>-102.6903534</v>
      </c>
      <c r="D363" s="24">
        <f t="shared" si="1"/>
        <v>521739.1304</v>
      </c>
      <c r="E363" s="25">
        <f t="shared" si="2"/>
        <v>-111.113832</v>
      </c>
      <c r="F363" s="24">
        <f t="shared" si="3"/>
        <v>0.000212968178</v>
      </c>
      <c r="G363" s="24">
        <f t="shared" si="4"/>
        <v>0</v>
      </c>
      <c r="H363" s="26">
        <f t="shared" si="5"/>
        <v>0</v>
      </c>
      <c r="I363" s="24">
        <f t="shared" si="6"/>
        <v>0</v>
      </c>
      <c r="J363" s="24">
        <f t="shared" si="7"/>
        <v>0</v>
      </c>
      <c r="K363" s="24"/>
      <c r="L363" s="24">
        <f t="shared" si="8"/>
        <v>409.3274099</v>
      </c>
      <c r="M363" s="14">
        <f t="shared" si="9"/>
        <v>402.4249376</v>
      </c>
      <c r="N363" s="27">
        <f t="shared" si="10"/>
        <v>6.902472314</v>
      </c>
      <c r="O363" s="24"/>
      <c r="P363" s="24"/>
      <c r="Q363" s="24"/>
      <c r="R363" s="26"/>
      <c r="S363" s="14">
        <f t="shared" si="13"/>
        <v>6.338513617</v>
      </c>
      <c r="U363" s="21"/>
      <c r="V363" s="21"/>
    </row>
    <row r="364">
      <c r="A364" s="11">
        <v>352.0</v>
      </c>
      <c r="B364" s="11">
        <v>1.42092608695652E9</v>
      </c>
      <c r="C364" s="2">
        <v>-102.7457886</v>
      </c>
      <c r="D364" s="24">
        <f t="shared" si="1"/>
        <v>526086.9565</v>
      </c>
      <c r="E364" s="25">
        <f t="shared" si="2"/>
        <v>-112.0321281</v>
      </c>
      <c r="F364" s="24">
        <f t="shared" si="3"/>
        <v>0.000212953632</v>
      </c>
      <c r="G364" s="24">
        <f t="shared" si="4"/>
        <v>0</v>
      </c>
      <c r="H364" s="26">
        <f t="shared" si="5"/>
        <v>0</v>
      </c>
      <c r="I364" s="24">
        <f t="shared" si="6"/>
        <v>0</v>
      </c>
      <c r="J364" s="24">
        <f t="shared" si="7"/>
        <v>0</v>
      </c>
      <c r="K364" s="24"/>
      <c r="L364" s="24">
        <f t="shared" si="8"/>
        <v>404.1357848</v>
      </c>
      <c r="M364" s="14">
        <f t="shared" si="9"/>
        <v>402.3477389</v>
      </c>
      <c r="N364" s="27">
        <f t="shared" si="10"/>
        <v>1.788045904</v>
      </c>
      <c r="O364" s="24"/>
      <c r="P364" s="24"/>
      <c r="Q364" s="24"/>
      <c r="R364" s="26"/>
      <c r="S364" s="14">
        <f t="shared" si="13"/>
        <v>1.641955639</v>
      </c>
      <c r="U364" s="21"/>
      <c r="V364" s="21"/>
    </row>
    <row r="365">
      <c r="A365" s="11">
        <v>353.0</v>
      </c>
      <c r="B365" s="11">
        <v>1.4209304347826E9</v>
      </c>
      <c r="C365" s="2">
        <v>-102.7427139</v>
      </c>
      <c r="D365" s="24">
        <f t="shared" si="1"/>
        <v>530434.7826</v>
      </c>
      <c r="E365" s="25">
        <f t="shared" si="2"/>
        <v>-112.9504243</v>
      </c>
      <c r="F365" s="24">
        <f t="shared" si="3"/>
        <v>0.0002129393244</v>
      </c>
      <c r="G365" s="24">
        <f t="shared" si="4"/>
        <v>0</v>
      </c>
      <c r="H365" s="26">
        <f t="shared" si="5"/>
        <v>0</v>
      </c>
      <c r="I365" s="24">
        <f t="shared" si="6"/>
        <v>0</v>
      </c>
      <c r="J365" s="24">
        <f t="shared" si="7"/>
        <v>0</v>
      </c>
      <c r="K365" s="24"/>
      <c r="L365" s="24">
        <f t="shared" si="8"/>
        <v>404.4220045</v>
      </c>
      <c r="M365" s="14">
        <f t="shared" si="9"/>
        <v>402.2706061</v>
      </c>
      <c r="N365" s="27">
        <f t="shared" si="10"/>
        <v>2.151398319</v>
      </c>
      <c r="O365" s="24"/>
      <c r="P365" s="24"/>
      <c r="Q365" s="24"/>
      <c r="R365" s="26"/>
      <c r="S365" s="14">
        <f t="shared" si="13"/>
        <v>1.975620756</v>
      </c>
      <c r="U365" s="21"/>
      <c r="V365" s="21"/>
    </row>
    <row r="366">
      <c r="A366" s="11">
        <v>354.0</v>
      </c>
      <c r="B366" s="11">
        <v>1.42093478260869E9</v>
      </c>
      <c r="C366" s="2">
        <v>-102.6930084</v>
      </c>
      <c r="D366" s="24">
        <f t="shared" si="1"/>
        <v>534782.6087</v>
      </c>
      <c r="E366" s="25">
        <f t="shared" si="2"/>
        <v>-113.8687204</v>
      </c>
      <c r="F366" s="24">
        <f t="shared" si="3"/>
        <v>0.0002129252495</v>
      </c>
      <c r="G366" s="24">
        <f t="shared" si="4"/>
        <v>0</v>
      </c>
      <c r="H366" s="26">
        <f t="shared" si="5"/>
        <v>0</v>
      </c>
      <c r="I366" s="24">
        <f t="shared" si="6"/>
        <v>0</v>
      </c>
      <c r="J366" s="24">
        <f t="shared" si="7"/>
        <v>0</v>
      </c>
      <c r="K366" s="24"/>
      <c r="L366" s="24">
        <f t="shared" si="8"/>
        <v>409.0772496</v>
      </c>
      <c r="M366" s="14">
        <f t="shared" si="9"/>
        <v>402.1935393</v>
      </c>
      <c r="N366" s="27">
        <f t="shared" si="10"/>
        <v>6.883710296</v>
      </c>
      <c r="O366" s="24"/>
      <c r="P366" s="24"/>
      <c r="Q366" s="24"/>
      <c r="R366" s="26"/>
      <c r="S366" s="14">
        <f t="shared" si="13"/>
        <v>6.321284544</v>
      </c>
      <c r="U366" s="21"/>
      <c r="V366" s="21"/>
    </row>
    <row r="367">
      <c r="A367" s="11">
        <v>355.0</v>
      </c>
      <c r="B367" s="11">
        <v>1.42093913043478E9</v>
      </c>
      <c r="C367" s="2">
        <v>-102.7393723</v>
      </c>
      <c r="D367" s="24">
        <f t="shared" si="1"/>
        <v>539130.4348</v>
      </c>
      <c r="E367" s="25">
        <f t="shared" si="2"/>
        <v>-114.7870165</v>
      </c>
      <c r="F367" s="24">
        <f t="shared" si="3"/>
        <v>0.0002129114016</v>
      </c>
      <c r="G367" s="24">
        <f t="shared" si="4"/>
        <v>0</v>
      </c>
      <c r="H367" s="26">
        <f t="shared" si="5"/>
        <v>0</v>
      </c>
      <c r="I367" s="24">
        <f t="shared" si="6"/>
        <v>0</v>
      </c>
      <c r="J367" s="24">
        <f t="shared" si="7"/>
        <v>0</v>
      </c>
      <c r="K367" s="24"/>
      <c r="L367" s="24">
        <f t="shared" si="8"/>
        <v>404.7332994</v>
      </c>
      <c r="M367" s="14">
        <f t="shared" si="9"/>
        <v>402.1165384</v>
      </c>
      <c r="N367" s="27">
        <f t="shared" si="10"/>
        <v>2.616760929</v>
      </c>
      <c r="O367" s="24"/>
      <c r="P367" s="24"/>
      <c r="Q367" s="24"/>
      <c r="R367" s="26"/>
      <c r="S367" s="14">
        <f t="shared" si="13"/>
        <v>2.402961436</v>
      </c>
      <c r="U367" s="21"/>
      <c r="V367" s="21"/>
    </row>
    <row r="368">
      <c r="A368" s="11">
        <v>356.0</v>
      </c>
      <c r="B368" s="11">
        <v>1.42094347826087E9</v>
      </c>
      <c r="C368" s="2">
        <v>-102.7314453</v>
      </c>
      <c r="D368" s="24">
        <f t="shared" si="1"/>
        <v>543478.2609</v>
      </c>
      <c r="E368" s="25">
        <f t="shared" si="2"/>
        <v>-115.7053126</v>
      </c>
      <c r="F368" s="24">
        <f t="shared" si="3"/>
        <v>0.0002128977753</v>
      </c>
      <c r="G368" s="24">
        <f t="shared" si="4"/>
        <v>0</v>
      </c>
      <c r="H368" s="26">
        <f t="shared" si="5"/>
        <v>0</v>
      </c>
      <c r="I368" s="24">
        <f t="shared" si="6"/>
        <v>0</v>
      </c>
      <c r="J368" s="24">
        <f t="shared" si="7"/>
        <v>0</v>
      </c>
      <c r="K368" s="24"/>
      <c r="L368" s="24">
        <f t="shared" si="8"/>
        <v>405.4727172</v>
      </c>
      <c r="M368" s="14">
        <f t="shared" si="9"/>
        <v>402.0396034</v>
      </c>
      <c r="N368" s="27">
        <f t="shared" si="10"/>
        <v>3.433113719</v>
      </c>
      <c r="O368" s="24"/>
      <c r="P368" s="24"/>
      <c r="Q368" s="24"/>
      <c r="R368" s="26"/>
      <c r="S368" s="14">
        <f t="shared" si="13"/>
        <v>3.152615051</v>
      </c>
      <c r="U368" s="21"/>
      <c r="V368" s="21"/>
    </row>
    <row r="369">
      <c r="A369" s="11">
        <v>357.0</v>
      </c>
      <c r="B369" s="11">
        <v>1.42094782608695E9</v>
      </c>
      <c r="C369" s="2">
        <v>-102.712616</v>
      </c>
      <c r="D369" s="24">
        <f t="shared" si="1"/>
        <v>547826.087</v>
      </c>
      <c r="E369" s="25">
        <f t="shared" si="2"/>
        <v>-116.6236088</v>
      </c>
      <c r="F369" s="24">
        <f t="shared" si="3"/>
        <v>0.0002128843652</v>
      </c>
      <c r="G369" s="24">
        <f t="shared" si="4"/>
        <v>0</v>
      </c>
      <c r="H369" s="26">
        <f t="shared" si="5"/>
        <v>0</v>
      </c>
      <c r="I369" s="24">
        <f t="shared" si="6"/>
        <v>0</v>
      </c>
      <c r="J369" s="24">
        <f t="shared" si="7"/>
        <v>0</v>
      </c>
      <c r="K369" s="24"/>
      <c r="L369" s="24">
        <f t="shared" si="8"/>
        <v>407.2345038</v>
      </c>
      <c r="M369" s="14">
        <f t="shared" si="9"/>
        <v>401.9627343</v>
      </c>
      <c r="N369" s="27">
        <f t="shared" si="10"/>
        <v>5.271769461</v>
      </c>
      <c r="O369" s="24"/>
      <c r="P369" s="24"/>
      <c r="Q369" s="24"/>
      <c r="R369" s="26"/>
      <c r="S369" s="14">
        <f t="shared" si="13"/>
        <v>4.841045509</v>
      </c>
      <c r="U369" s="21"/>
      <c r="V369" s="21"/>
    </row>
    <row r="370">
      <c r="A370" s="11">
        <v>358.0</v>
      </c>
      <c r="B370" s="11">
        <v>1.42095217391304E9</v>
      </c>
      <c r="C370" s="2">
        <v>-102.7401505</v>
      </c>
      <c r="D370" s="24">
        <f t="shared" si="1"/>
        <v>552173.913</v>
      </c>
      <c r="E370" s="25">
        <f t="shared" si="2"/>
        <v>-117.5419049</v>
      </c>
      <c r="F370" s="24">
        <f t="shared" si="3"/>
        <v>0.0002128711664</v>
      </c>
      <c r="G370" s="24">
        <f t="shared" si="4"/>
        <v>0</v>
      </c>
      <c r="H370" s="26">
        <f t="shared" si="5"/>
        <v>0</v>
      </c>
      <c r="I370" s="24">
        <f t="shared" si="6"/>
        <v>0</v>
      </c>
      <c r="J370" s="24">
        <f t="shared" si="7"/>
        <v>0</v>
      </c>
      <c r="K370" s="24"/>
      <c r="L370" s="24">
        <f t="shared" si="8"/>
        <v>404.6607829</v>
      </c>
      <c r="M370" s="14">
        <f t="shared" si="9"/>
        <v>401.885931</v>
      </c>
      <c r="N370" s="27">
        <f t="shared" si="10"/>
        <v>2.774851812</v>
      </c>
      <c r="O370" s="24"/>
      <c r="P370" s="24"/>
      <c r="Q370" s="24"/>
      <c r="R370" s="26"/>
      <c r="S370" s="14">
        <f t="shared" si="13"/>
        <v>2.548135682</v>
      </c>
      <c r="U370" s="21"/>
      <c r="V370" s="21"/>
    </row>
    <row r="371">
      <c r="A371" s="11">
        <v>359.0</v>
      </c>
      <c r="B371" s="11">
        <v>1.42095652173913E9</v>
      </c>
      <c r="C371" s="2">
        <v>-102.7205124</v>
      </c>
      <c r="D371" s="24">
        <f t="shared" si="1"/>
        <v>556521.7391</v>
      </c>
      <c r="E371" s="25">
        <f t="shared" si="2"/>
        <v>-118.460201</v>
      </c>
      <c r="F371" s="24">
        <f t="shared" si="3"/>
        <v>0.0002128581738</v>
      </c>
      <c r="G371" s="24">
        <f t="shared" si="4"/>
        <v>0</v>
      </c>
      <c r="H371" s="26">
        <f t="shared" si="5"/>
        <v>0</v>
      </c>
      <c r="I371" s="24">
        <f t="shared" si="6"/>
        <v>0</v>
      </c>
      <c r="J371" s="24">
        <f t="shared" si="7"/>
        <v>0</v>
      </c>
      <c r="K371" s="24"/>
      <c r="L371" s="24">
        <f t="shared" si="8"/>
        <v>406.4947373</v>
      </c>
      <c r="M371" s="14">
        <f t="shared" si="9"/>
        <v>401.8091936</v>
      </c>
      <c r="N371" s="27">
        <f t="shared" si="10"/>
        <v>4.685543714</v>
      </c>
      <c r="O371" s="24"/>
      <c r="P371" s="24"/>
      <c r="Q371" s="24"/>
      <c r="R371" s="26"/>
      <c r="S371" s="14">
        <f t="shared" si="13"/>
        <v>4.302716672</v>
      </c>
      <c r="U371" s="21"/>
      <c r="V371" s="21"/>
    </row>
    <row r="372">
      <c r="A372" s="11">
        <v>360.0</v>
      </c>
      <c r="B372" s="11">
        <v>1.42096086956521E9</v>
      </c>
      <c r="C372" s="2">
        <v>-102.7326813</v>
      </c>
      <c r="D372" s="24">
        <f t="shared" si="1"/>
        <v>560869.5652</v>
      </c>
      <c r="E372" s="25">
        <f t="shared" si="2"/>
        <v>-119.3784972</v>
      </c>
      <c r="F372" s="24">
        <f t="shared" si="3"/>
        <v>0.0002128453826</v>
      </c>
      <c r="G372" s="24">
        <f t="shared" si="4"/>
        <v>0</v>
      </c>
      <c r="H372" s="26">
        <f t="shared" si="5"/>
        <v>0</v>
      </c>
      <c r="I372" s="24">
        <f t="shared" si="6"/>
        <v>0</v>
      </c>
      <c r="J372" s="24">
        <f t="shared" si="7"/>
        <v>0</v>
      </c>
      <c r="K372" s="24"/>
      <c r="L372" s="24">
        <f t="shared" si="8"/>
        <v>405.3573362</v>
      </c>
      <c r="M372" s="14">
        <f t="shared" si="9"/>
        <v>401.732522</v>
      </c>
      <c r="N372" s="27">
        <f t="shared" si="10"/>
        <v>3.624814257</v>
      </c>
      <c r="O372" s="24"/>
      <c r="P372" s="24"/>
      <c r="Q372" s="24"/>
      <c r="R372" s="26"/>
      <c r="S372" s="14">
        <f t="shared" si="13"/>
        <v>3.328652914</v>
      </c>
      <c r="U372" s="21"/>
      <c r="V372" s="21"/>
    </row>
    <row r="373">
      <c r="A373" s="11">
        <v>361.0</v>
      </c>
      <c r="B373" s="11">
        <v>1.4209652173913E9</v>
      </c>
      <c r="C373" s="2">
        <v>-102.7552109</v>
      </c>
      <c r="D373" s="24">
        <f t="shared" si="1"/>
        <v>565217.3913</v>
      </c>
      <c r="E373" s="25">
        <f t="shared" si="2"/>
        <v>-120.2967933</v>
      </c>
      <c r="F373" s="24">
        <f t="shared" si="3"/>
        <v>0.0002128327882</v>
      </c>
      <c r="G373" s="24">
        <f t="shared" si="4"/>
        <v>0</v>
      </c>
      <c r="H373" s="26">
        <f t="shared" si="5"/>
        <v>0</v>
      </c>
      <c r="I373" s="24">
        <f t="shared" si="6"/>
        <v>0</v>
      </c>
      <c r="J373" s="24">
        <f t="shared" si="7"/>
        <v>0</v>
      </c>
      <c r="K373" s="24"/>
      <c r="L373" s="24">
        <f t="shared" si="8"/>
        <v>403.2599365</v>
      </c>
      <c r="M373" s="14">
        <f t="shared" si="9"/>
        <v>401.6559162</v>
      </c>
      <c r="N373" s="27">
        <f t="shared" si="10"/>
        <v>1.604020319</v>
      </c>
      <c r="O373" s="24"/>
      <c r="P373" s="24"/>
      <c r="Q373" s="24"/>
      <c r="R373" s="26"/>
      <c r="S373" s="14">
        <f t="shared" si="13"/>
        <v>1.472965652</v>
      </c>
      <c r="U373" s="21"/>
      <c r="V373" s="21"/>
    </row>
    <row r="374">
      <c r="A374" s="11">
        <v>362.0</v>
      </c>
      <c r="B374" s="11">
        <v>1.42096956521739E9</v>
      </c>
      <c r="C374" s="2">
        <v>-102.724968</v>
      </c>
      <c r="D374" s="24">
        <f t="shared" si="1"/>
        <v>569565.2174</v>
      </c>
      <c r="E374" s="25">
        <f t="shared" si="2"/>
        <v>-121.2150894</v>
      </c>
      <c r="F374" s="24">
        <f t="shared" si="3"/>
        <v>0.000212820386</v>
      </c>
      <c r="G374" s="24">
        <f t="shared" si="4"/>
        <v>0</v>
      </c>
      <c r="H374" s="26">
        <f t="shared" si="5"/>
        <v>0</v>
      </c>
      <c r="I374" s="24">
        <f t="shared" si="6"/>
        <v>0</v>
      </c>
      <c r="J374" s="24">
        <f t="shared" si="7"/>
        <v>0</v>
      </c>
      <c r="K374" s="24"/>
      <c r="L374" s="24">
        <f t="shared" si="8"/>
        <v>406.077912</v>
      </c>
      <c r="M374" s="14">
        <f t="shared" si="9"/>
        <v>401.5793761</v>
      </c>
      <c r="N374" s="27">
        <f t="shared" si="10"/>
        <v>4.498535922</v>
      </c>
      <c r="O374" s="24"/>
      <c r="P374" s="24"/>
      <c r="Q374" s="24"/>
      <c r="R374" s="26"/>
      <c r="S374" s="14">
        <f t="shared" si="13"/>
        <v>4.13098814</v>
      </c>
    </row>
    <row r="375">
      <c r="A375" s="11">
        <v>363.0</v>
      </c>
      <c r="B375" s="11">
        <v>1.42097391304347E9</v>
      </c>
      <c r="C375" s="2">
        <v>-102.7536316</v>
      </c>
      <c r="D375" s="24">
        <f t="shared" si="1"/>
        <v>573913.0435</v>
      </c>
      <c r="E375" s="25">
        <f t="shared" si="2"/>
        <v>-122.1333856</v>
      </c>
      <c r="F375" s="24">
        <f t="shared" si="3"/>
        <v>0.0002128081718</v>
      </c>
      <c r="G375" s="24">
        <f t="shared" si="4"/>
        <v>0</v>
      </c>
      <c r="H375" s="26">
        <f t="shared" si="5"/>
        <v>0</v>
      </c>
      <c r="I375" s="24">
        <f t="shared" si="6"/>
        <v>0</v>
      </c>
      <c r="J375" s="24">
        <f t="shared" si="7"/>
        <v>0</v>
      </c>
      <c r="K375" s="24"/>
      <c r="L375" s="24">
        <f t="shared" si="8"/>
        <v>403.4066075</v>
      </c>
      <c r="M375" s="14">
        <f t="shared" si="9"/>
        <v>401.5029018</v>
      </c>
      <c r="N375" s="27">
        <f t="shared" si="10"/>
        <v>1.903705687</v>
      </c>
      <c r="O375" s="24"/>
      <c r="P375" s="24"/>
      <c r="Q375" s="24"/>
      <c r="R375" s="26"/>
      <c r="S375" s="14">
        <f t="shared" si="13"/>
        <v>1.74816557</v>
      </c>
    </row>
    <row r="376">
      <c r="A376" s="11">
        <v>364.0</v>
      </c>
      <c r="B376" s="11">
        <v>1.42097826086956E9</v>
      </c>
      <c r="C376" s="2">
        <v>-102.7370071</v>
      </c>
      <c r="D376" s="24">
        <f t="shared" si="1"/>
        <v>578260.8696</v>
      </c>
      <c r="E376" s="25">
        <f t="shared" si="2"/>
        <v>-123.0516817</v>
      </c>
      <c r="F376" s="24">
        <f t="shared" si="3"/>
        <v>0.0002127961413</v>
      </c>
      <c r="G376" s="24">
        <f t="shared" si="4"/>
        <v>0</v>
      </c>
      <c r="H376" s="26">
        <f t="shared" si="5"/>
        <v>0</v>
      </c>
      <c r="I376" s="24">
        <f t="shared" si="6"/>
        <v>0</v>
      </c>
      <c r="J376" s="24">
        <f t="shared" si="7"/>
        <v>0</v>
      </c>
      <c r="K376" s="24"/>
      <c r="L376" s="24">
        <f t="shared" si="8"/>
        <v>404.9537802</v>
      </c>
      <c r="M376" s="14">
        <f t="shared" si="9"/>
        <v>401.4264933</v>
      </c>
      <c r="N376" s="27">
        <f t="shared" si="10"/>
        <v>3.527286878</v>
      </c>
      <c r="O376" s="24"/>
      <c r="P376" s="24"/>
      <c r="Q376" s="24"/>
      <c r="R376" s="26"/>
      <c r="S376" s="14">
        <f t="shared" si="13"/>
        <v>3.239093892</v>
      </c>
    </row>
    <row r="377">
      <c r="A377" s="11">
        <v>365.0</v>
      </c>
      <c r="B377" s="11">
        <v>1.42098260869565E9</v>
      </c>
      <c r="C377" s="2">
        <v>-102.783905</v>
      </c>
      <c r="D377" s="24">
        <f t="shared" si="1"/>
        <v>582608.6957</v>
      </c>
      <c r="E377" s="25">
        <f t="shared" si="2"/>
        <v>-123.9699778</v>
      </c>
      <c r="F377" s="24">
        <f t="shared" si="3"/>
        <v>0.0002127842903</v>
      </c>
      <c r="G377" s="24">
        <f t="shared" si="4"/>
        <v>0</v>
      </c>
      <c r="H377" s="26">
        <f t="shared" si="5"/>
        <v>0</v>
      </c>
      <c r="I377" s="24">
        <f t="shared" si="6"/>
        <v>0</v>
      </c>
      <c r="J377" s="24">
        <f t="shared" si="7"/>
        <v>0</v>
      </c>
      <c r="K377" s="24"/>
      <c r="L377" s="24">
        <f t="shared" si="8"/>
        <v>400.6043561</v>
      </c>
      <c r="M377" s="14">
        <f t="shared" si="9"/>
        <v>401.3501505</v>
      </c>
      <c r="N377" s="27">
        <f t="shared" si="10"/>
        <v>-0.7457944081</v>
      </c>
      <c r="O377" s="24"/>
      <c r="P377" s="24"/>
      <c r="Q377" s="24"/>
      <c r="R377" s="26"/>
      <c r="S377" s="14">
        <f t="shared" si="13"/>
        <v>-0.6848601209</v>
      </c>
    </row>
    <row r="378">
      <c r="A378" s="11">
        <v>366.0</v>
      </c>
      <c r="B378" s="11">
        <v>1.42098695652173E9</v>
      </c>
      <c r="C378" s="2">
        <v>-102.8112411</v>
      </c>
      <c r="D378" s="24">
        <f t="shared" si="1"/>
        <v>586956.5217</v>
      </c>
      <c r="E378" s="25">
        <f t="shared" si="2"/>
        <v>-124.888274</v>
      </c>
      <c r="F378" s="24">
        <f t="shared" si="3"/>
        <v>0.0002127726149</v>
      </c>
      <c r="G378" s="24">
        <f t="shared" si="4"/>
        <v>0</v>
      </c>
      <c r="H378" s="26">
        <f t="shared" si="5"/>
        <v>0</v>
      </c>
      <c r="I378" s="24">
        <f t="shared" si="6"/>
        <v>0</v>
      </c>
      <c r="J378" s="24">
        <f t="shared" si="7"/>
        <v>0</v>
      </c>
      <c r="K378" s="24"/>
      <c r="L378" s="24">
        <f t="shared" si="8"/>
        <v>398.0907233</v>
      </c>
      <c r="M378" s="14">
        <f t="shared" si="9"/>
        <v>401.2738733</v>
      </c>
      <c r="N378" s="27">
        <f t="shared" si="10"/>
        <v>-3.183150016</v>
      </c>
      <c r="O378" s="24"/>
      <c r="P378" s="24"/>
      <c r="Q378" s="24"/>
      <c r="R378" s="26"/>
      <c r="S378" s="14">
        <f t="shared" si="13"/>
        <v>-2.92307435</v>
      </c>
    </row>
    <row r="379">
      <c r="A379" s="11">
        <v>367.0</v>
      </c>
      <c r="B379" s="11">
        <v>1.42099130434782E9</v>
      </c>
      <c r="C379" s="2">
        <v>-102.7587204</v>
      </c>
      <c r="D379" s="24">
        <f t="shared" si="1"/>
        <v>591304.3478</v>
      </c>
      <c r="E379" s="25">
        <f t="shared" si="2"/>
        <v>-125.8065701</v>
      </c>
      <c r="F379" s="24">
        <f t="shared" si="3"/>
        <v>0.0002127611112</v>
      </c>
      <c r="G379" s="24">
        <f t="shared" si="4"/>
        <v>0</v>
      </c>
      <c r="H379" s="26">
        <f t="shared" si="5"/>
        <v>0</v>
      </c>
      <c r="I379" s="24">
        <f t="shared" si="6"/>
        <v>0</v>
      </c>
      <c r="J379" s="24">
        <f t="shared" si="7"/>
        <v>0</v>
      </c>
      <c r="K379" s="24"/>
      <c r="L379" s="24">
        <f t="shared" si="8"/>
        <v>402.9341969</v>
      </c>
      <c r="M379" s="14">
        <f t="shared" si="9"/>
        <v>401.1976619</v>
      </c>
      <c r="N379" s="27">
        <f t="shared" si="10"/>
        <v>1.736534981</v>
      </c>
      <c r="O379" s="24"/>
      <c r="P379" s="24"/>
      <c r="Q379" s="24"/>
      <c r="R379" s="26"/>
      <c r="S379" s="14">
        <f t="shared" si="13"/>
        <v>1.594653358</v>
      </c>
    </row>
    <row r="380">
      <c r="A380" s="11">
        <v>368.0</v>
      </c>
      <c r="B380" s="11">
        <v>1.42099565217391E9</v>
      </c>
      <c r="C380" s="2">
        <v>-102.7744293</v>
      </c>
      <c r="D380" s="24">
        <f t="shared" si="1"/>
        <v>595652.1739</v>
      </c>
      <c r="E380" s="25">
        <f t="shared" si="2"/>
        <v>-126.7248662</v>
      </c>
      <c r="F380" s="24">
        <f t="shared" si="3"/>
        <v>0.0002127497754</v>
      </c>
      <c r="G380" s="24">
        <f t="shared" si="4"/>
        <v>0</v>
      </c>
      <c r="H380" s="26">
        <f t="shared" si="5"/>
        <v>0</v>
      </c>
      <c r="I380" s="24">
        <f t="shared" si="6"/>
        <v>0</v>
      </c>
      <c r="J380" s="24">
        <f t="shared" si="7"/>
        <v>0</v>
      </c>
      <c r="K380" s="24"/>
      <c r="L380" s="24">
        <f t="shared" si="8"/>
        <v>401.4793731</v>
      </c>
      <c r="M380" s="14">
        <f t="shared" si="9"/>
        <v>401.1215161</v>
      </c>
      <c r="N380" s="27">
        <f t="shared" si="10"/>
        <v>0.3578570029</v>
      </c>
      <c r="O380" s="24"/>
      <c r="P380" s="24"/>
      <c r="Q380" s="24"/>
      <c r="R380" s="26"/>
      <c r="S380" s="14">
        <f t="shared" si="13"/>
        <v>0.3286187011</v>
      </c>
    </row>
    <row r="381">
      <c r="A381" s="11">
        <v>369.0</v>
      </c>
      <c r="B381" s="11">
        <v>1.421E9</v>
      </c>
      <c r="C381" s="2">
        <v>-102.7661057</v>
      </c>
      <c r="D381" s="24">
        <f t="shared" si="1"/>
        <v>600000</v>
      </c>
      <c r="E381" s="25">
        <f t="shared" si="2"/>
        <v>-127.6431624</v>
      </c>
      <c r="F381" s="24">
        <f t="shared" si="3"/>
        <v>0.0002127386039</v>
      </c>
      <c r="G381" s="24">
        <f t="shared" si="4"/>
        <v>0</v>
      </c>
      <c r="H381" s="26">
        <f t="shared" si="5"/>
        <v>0</v>
      </c>
      <c r="I381" s="24">
        <f t="shared" si="6"/>
        <v>0</v>
      </c>
      <c r="J381" s="24">
        <f t="shared" si="7"/>
        <v>0</v>
      </c>
      <c r="K381" s="24"/>
      <c r="L381" s="24">
        <f t="shared" si="8"/>
        <v>402.2495782</v>
      </c>
      <c r="M381" s="14">
        <f t="shared" si="9"/>
        <v>401.045436</v>
      </c>
      <c r="N381" s="27">
        <f t="shared" si="10"/>
        <v>1.204142203</v>
      </c>
      <c r="O381" s="24"/>
      <c r="P381" s="24"/>
      <c r="Q381" s="24"/>
      <c r="R381" s="26"/>
      <c r="S381" s="14">
        <f t="shared" si="13"/>
        <v>1.105759128</v>
      </c>
    </row>
    <row r="382">
      <c r="A382" s="11">
        <v>370.0</v>
      </c>
      <c r="B382" s="11">
        <v>1.42100434782608E9</v>
      </c>
      <c r="C382" s="2">
        <v>-102.8116226</v>
      </c>
      <c r="D382" s="24">
        <f t="shared" si="1"/>
        <v>604347.8261</v>
      </c>
      <c r="E382" s="25">
        <f t="shared" si="2"/>
        <v>-128.5614585</v>
      </c>
      <c r="F382" s="24">
        <f t="shared" si="3"/>
        <v>0.0002127275932</v>
      </c>
      <c r="G382" s="24">
        <f t="shared" si="4"/>
        <v>0</v>
      </c>
      <c r="H382" s="26">
        <f t="shared" si="5"/>
        <v>0</v>
      </c>
      <c r="I382" s="24">
        <f t="shared" si="6"/>
        <v>0</v>
      </c>
      <c r="J382" s="24">
        <f t="shared" si="7"/>
        <v>0</v>
      </c>
      <c r="K382" s="24"/>
      <c r="L382" s="24">
        <f t="shared" si="8"/>
        <v>398.0557551</v>
      </c>
      <c r="M382" s="14">
        <f t="shared" si="9"/>
        <v>400.9694215</v>
      </c>
      <c r="N382" s="27">
        <f t="shared" si="10"/>
        <v>-2.913666369</v>
      </c>
      <c r="O382" s="24"/>
      <c r="P382" s="24"/>
      <c r="Q382" s="24"/>
      <c r="R382" s="26"/>
      <c r="S382" s="14">
        <f t="shared" si="13"/>
        <v>-2.675608559</v>
      </c>
    </row>
    <row r="383">
      <c r="A383" s="11">
        <v>371.0</v>
      </c>
      <c r="B383" s="11">
        <v>1.42100869565217E9</v>
      </c>
      <c r="C383" s="2">
        <v>-102.7929459</v>
      </c>
      <c r="D383" s="24">
        <f t="shared" si="1"/>
        <v>608695.6522</v>
      </c>
      <c r="E383" s="25">
        <f t="shared" si="2"/>
        <v>-129.4797546</v>
      </c>
      <c r="F383" s="24">
        <f t="shared" si="3"/>
        <v>0.0002127167398</v>
      </c>
      <c r="G383" s="24">
        <f t="shared" si="4"/>
        <v>0</v>
      </c>
      <c r="H383" s="26">
        <f t="shared" si="5"/>
        <v>0</v>
      </c>
      <c r="I383" s="24">
        <f t="shared" si="6"/>
        <v>0</v>
      </c>
      <c r="J383" s="24">
        <f t="shared" si="7"/>
        <v>0</v>
      </c>
      <c r="K383" s="24"/>
      <c r="L383" s="24">
        <f t="shared" si="8"/>
        <v>399.7712677</v>
      </c>
      <c r="M383" s="14">
        <f t="shared" si="9"/>
        <v>400.8934726</v>
      </c>
      <c r="N383" s="27">
        <f t="shared" si="10"/>
        <v>-1.122204888</v>
      </c>
      <c r="O383" s="24"/>
      <c r="P383" s="24"/>
      <c r="Q383" s="24"/>
      <c r="R383" s="26"/>
      <c r="S383" s="14">
        <f t="shared" si="13"/>
        <v>-1.030516407</v>
      </c>
    </row>
    <row r="384">
      <c r="A384" s="11">
        <v>372.0</v>
      </c>
      <c r="B384" s="11">
        <v>1.42101304347826E9</v>
      </c>
      <c r="C384" s="2">
        <v>-102.8165512</v>
      </c>
      <c r="D384" s="24">
        <f t="shared" si="1"/>
        <v>613043.4783</v>
      </c>
      <c r="E384" s="25">
        <f t="shared" si="2"/>
        <v>-130.3980508</v>
      </c>
      <c r="F384" s="24">
        <f t="shared" si="3"/>
        <v>0.0002127060402</v>
      </c>
      <c r="G384" s="24">
        <f t="shared" si="4"/>
        <v>0</v>
      </c>
      <c r="H384" s="26">
        <f t="shared" si="5"/>
        <v>0</v>
      </c>
      <c r="I384" s="24">
        <f t="shared" si="6"/>
        <v>0</v>
      </c>
      <c r="J384" s="24">
        <f t="shared" si="7"/>
        <v>0</v>
      </c>
      <c r="K384" s="24"/>
      <c r="L384" s="24">
        <f t="shared" si="8"/>
        <v>397.604277</v>
      </c>
      <c r="M384" s="14">
        <f t="shared" si="9"/>
        <v>400.8175893</v>
      </c>
      <c r="N384" s="27">
        <f t="shared" si="10"/>
        <v>-3.213312344</v>
      </c>
      <c r="O384" s="24"/>
      <c r="P384" s="24"/>
      <c r="Q384" s="24"/>
      <c r="R384" s="26"/>
      <c r="S384" s="14">
        <f t="shared" si="13"/>
        <v>-2.950772299</v>
      </c>
    </row>
    <row r="385">
      <c r="A385" s="11">
        <v>373.0</v>
      </c>
      <c r="B385" s="11">
        <v>1.42101739130434E9</v>
      </c>
      <c r="C385" s="2">
        <v>-102.7541809</v>
      </c>
      <c r="D385" s="24">
        <f t="shared" si="1"/>
        <v>617391.3043</v>
      </c>
      <c r="E385" s="25">
        <f t="shared" si="2"/>
        <v>-131.3163469</v>
      </c>
      <c r="F385" s="24">
        <f t="shared" si="3"/>
        <v>0.0002126954915</v>
      </c>
      <c r="G385" s="24">
        <f t="shared" si="4"/>
        <v>0</v>
      </c>
      <c r="H385" s="26">
        <f t="shared" si="5"/>
        <v>0</v>
      </c>
      <c r="I385" s="24">
        <f t="shared" si="6"/>
        <v>0</v>
      </c>
      <c r="J385" s="24">
        <f t="shared" si="7"/>
        <v>0</v>
      </c>
      <c r="K385" s="24"/>
      <c r="L385" s="24">
        <f t="shared" si="8"/>
        <v>403.3555875</v>
      </c>
      <c r="M385" s="14">
        <f t="shared" si="9"/>
        <v>400.7417716</v>
      </c>
      <c r="N385" s="27">
        <f t="shared" si="10"/>
        <v>2.613815914</v>
      </c>
      <c r="O385" s="24"/>
      <c r="P385" s="24"/>
      <c r="Q385" s="24"/>
      <c r="R385" s="26"/>
      <c r="S385" s="14">
        <f t="shared" si="13"/>
        <v>2.400257045</v>
      </c>
    </row>
    <row r="386">
      <c r="A386" s="11">
        <v>374.0</v>
      </c>
      <c r="B386" s="11">
        <v>1.42102173913043E9</v>
      </c>
      <c r="C386" s="2">
        <v>-102.6893005</v>
      </c>
      <c r="D386" s="24">
        <f t="shared" si="1"/>
        <v>621739.1304</v>
      </c>
      <c r="E386" s="25">
        <f t="shared" si="2"/>
        <v>-132.234643</v>
      </c>
      <c r="F386" s="24">
        <f t="shared" si="3"/>
        <v>0.0002126850902</v>
      </c>
      <c r="G386" s="24">
        <f t="shared" si="4"/>
        <v>0</v>
      </c>
      <c r="H386" s="26">
        <f t="shared" si="5"/>
        <v>0</v>
      </c>
      <c r="I386" s="24">
        <f t="shared" si="6"/>
        <v>0</v>
      </c>
      <c r="J386" s="24">
        <f t="shared" si="7"/>
        <v>0</v>
      </c>
      <c r="K386" s="24"/>
      <c r="L386" s="24">
        <f t="shared" si="8"/>
        <v>409.4266589</v>
      </c>
      <c r="M386" s="14">
        <f t="shared" si="9"/>
        <v>400.6660194</v>
      </c>
      <c r="N386" s="27">
        <f t="shared" si="10"/>
        <v>8.760639542</v>
      </c>
      <c r="O386" s="24"/>
      <c r="P386" s="24"/>
      <c r="Q386" s="24"/>
      <c r="R386" s="26"/>
      <c r="S386" s="14">
        <f t="shared" si="13"/>
        <v>8.044861394</v>
      </c>
    </row>
    <row r="387">
      <c r="A387" s="11">
        <v>375.0</v>
      </c>
      <c r="B387" s="11">
        <v>1.42102608695652E9</v>
      </c>
      <c r="C387" s="2">
        <v>-102.7440491</v>
      </c>
      <c r="D387" s="24">
        <f t="shared" si="1"/>
        <v>626086.9565</v>
      </c>
      <c r="E387" s="25">
        <f t="shared" si="2"/>
        <v>-133.1529392</v>
      </c>
      <c r="F387" s="24">
        <f t="shared" si="3"/>
        <v>0.0002126748334</v>
      </c>
      <c r="G387" s="24">
        <f t="shared" si="4"/>
        <v>0</v>
      </c>
      <c r="H387" s="26">
        <f t="shared" si="5"/>
        <v>0</v>
      </c>
      <c r="I387" s="24">
        <f t="shared" si="6"/>
        <v>0</v>
      </c>
      <c r="J387" s="24">
        <f t="shared" si="7"/>
        <v>0</v>
      </c>
      <c r="K387" s="24"/>
      <c r="L387" s="24">
        <f t="shared" si="8"/>
        <v>404.2976876</v>
      </c>
      <c r="M387" s="14">
        <f t="shared" si="9"/>
        <v>400.5903327</v>
      </c>
      <c r="N387" s="27">
        <f t="shared" si="10"/>
        <v>3.707354887</v>
      </c>
      <c r="O387" s="24"/>
      <c r="P387" s="24"/>
      <c r="Q387" s="24"/>
      <c r="R387" s="26"/>
      <c r="S387" s="14">
        <f t="shared" si="13"/>
        <v>3.404449656</v>
      </c>
    </row>
    <row r="388">
      <c r="A388" s="11">
        <v>376.0</v>
      </c>
      <c r="B388" s="11">
        <v>1.4210304347826E9</v>
      </c>
      <c r="C388" s="2">
        <v>-102.7640915</v>
      </c>
      <c r="D388" s="24">
        <f t="shared" si="1"/>
        <v>630434.7826</v>
      </c>
      <c r="E388" s="25">
        <f t="shared" si="2"/>
        <v>-134.0712353</v>
      </c>
      <c r="F388" s="24">
        <f t="shared" si="3"/>
        <v>0.0002126647181</v>
      </c>
      <c r="G388" s="24">
        <f t="shared" si="4"/>
        <v>0</v>
      </c>
      <c r="H388" s="26">
        <f t="shared" si="5"/>
        <v>0</v>
      </c>
      <c r="I388" s="24">
        <f t="shared" si="6"/>
        <v>0</v>
      </c>
      <c r="J388" s="24">
        <f t="shared" si="7"/>
        <v>0</v>
      </c>
      <c r="K388" s="24"/>
      <c r="L388" s="24">
        <f t="shared" si="8"/>
        <v>402.4361795</v>
      </c>
      <c r="M388" s="14">
        <f t="shared" si="9"/>
        <v>400.5147116</v>
      </c>
      <c r="N388" s="27">
        <f t="shared" si="10"/>
        <v>1.921467905</v>
      </c>
      <c r="O388" s="24"/>
      <c r="P388" s="24"/>
      <c r="Q388" s="24"/>
      <c r="R388" s="26"/>
      <c r="S388" s="14">
        <f t="shared" si="13"/>
        <v>1.764476546</v>
      </c>
    </row>
    <row r="389">
      <c r="A389" s="11">
        <v>377.0</v>
      </c>
      <c r="B389" s="11">
        <v>1.42103478260869E9</v>
      </c>
      <c r="C389" s="2">
        <v>-102.7580185</v>
      </c>
      <c r="D389" s="24">
        <f t="shared" si="1"/>
        <v>634782.6087</v>
      </c>
      <c r="E389" s="25">
        <f t="shared" si="2"/>
        <v>-134.9895314</v>
      </c>
      <c r="F389" s="24">
        <f t="shared" si="3"/>
        <v>0.0002126547413</v>
      </c>
      <c r="G389" s="24">
        <f t="shared" si="4"/>
        <v>0</v>
      </c>
      <c r="H389" s="26">
        <f t="shared" si="5"/>
        <v>0</v>
      </c>
      <c r="I389" s="24">
        <f t="shared" si="6"/>
        <v>0</v>
      </c>
      <c r="J389" s="24">
        <f t="shared" si="7"/>
        <v>0</v>
      </c>
      <c r="K389" s="24"/>
      <c r="L389" s="24">
        <f t="shared" si="8"/>
        <v>402.9993238</v>
      </c>
      <c r="M389" s="14">
        <f t="shared" si="9"/>
        <v>400.4391559</v>
      </c>
      <c r="N389" s="27">
        <f t="shared" si="10"/>
        <v>2.560167832</v>
      </c>
      <c r="O389" s="24"/>
      <c r="P389" s="24"/>
      <c r="Q389" s="24"/>
      <c r="R389" s="26"/>
      <c r="S389" s="14">
        <f t="shared" si="13"/>
        <v>2.350992219</v>
      </c>
    </row>
    <row r="390">
      <c r="A390" s="11">
        <v>378.0</v>
      </c>
      <c r="B390" s="11">
        <v>1.42103913043478E9</v>
      </c>
      <c r="C390" s="2">
        <v>-102.7884369</v>
      </c>
      <c r="D390" s="24">
        <f t="shared" si="1"/>
        <v>639130.4348</v>
      </c>
      <c r="E390" s="25">
        <f t="shared" si="2"/>
        <v>-135.9078276</v>
      </c>
      <c r="F390" s="24">
        <f t="shared" si="3"/>
        <v>0.0002126449003</v>
      </c>
      <c r="G390" s="24">
        <f t="shared" si="4"/>
        <v>0</v>
      </c>
      <c r="H390" s="26">
        <f t="shared" si="5"/>
        <v>0</v>
      </c>
      <c r="I390" s="24">
        <f t="shared" si="6"/>
        <v>0</v>
      </c>
      <c r="J390" s="24">
        <f t="shared" si="7"/>
        <v>0</v>
      </c>
      <c r="K390" s="24"/>
      <c r="L390" s="24">
        <f t="shared" si="8"/>
        <v>400.18654</v>
      </c>
      <c r="M390" s="14">
        <f t="shared" si="9"/>
        <v>400.3636657</v>
      </c>
      <c r="N390" s="27">
        <f t="shared" si="10"/>
        <v>-0.177125713</v>
      </c>
      <c r="O390" s="24"/>
      <c r="P390" s="24"/>
      <c r="Q390" s="24"/>
      <c r="R390" s="26"/>
      <c r="S390" s="14">
        <f t="shared" si="13"/>
        <v>-0.1626538569</v>
      </c>
    </row>
    <row r="391">
      <c r="A391" s="11">
        <v>379.0</v>
      </c>
      <c r="B391" s="11">
        <v>1.42104347826087E9</v>
      </c>
      <c r="C391" s="2">
        <v>-102.7850494</v>
      </c>
      <c r="D391" s="24">
        <f t="shared" si="1"/>
        <v>643478.2609</v>
      </c>
      <c r="E391" s="25">
        <f t="shared" si="2"/>
        <v>-136.8261237</v>
      </c>
      <c r="F391" s="24">
        <f t="shared" si="3"/>
        <v>0.0002126351922</v>
      </c>
      <c r="G391" s="24">
        <f t="shared" si="4"/>
        <v>0</v>
      </c>
      <c r="H391" s="26">
        <f t="shared" si="5"/>
        <v>0</v>
      </c>
      <c r="I391" s="24">
        <f t="shared" si="6"/>
        <v>0</v>
      </c>
      <c r="J391" s="24">
        <f t="shared" si="7"/>
        <v>0</v>
      </c>
      <c r="K391" s="24"/>
      <c r="L391" s="24">
        <f t="shared" si="8"/>
        <v>400.4988076</v>
      </c>
      <c r="M391" s="14">
        <f t="shared" si="9"/>
        <v>400.288241</v>
      </c>
      <c r="N391" s="27">
        <f t="shared" si="10"/>
        <v>0.2105665614</v>
      </c>
      <c r="O391" s="24"/>
      <c r="P391" s="24"/>
      <c r="Q391" s="24"/>
      <c r="R391" s="26"/>
      <c r="S391" s="14">
        <f t="shared" si="13"/>
        <v>0.193362459</v>
      </c>
    </row>
    <row r="392">
      <c r="A392" s="11">
        <v>380.0</v>
      </c>
      <c r="B392" s="11">
        <v>1.42104782608695E9</v>
      </c>
      <c r="C392" s="2">
        <v>-102.7359161</v>
      </c>
      <c r="D392" s="24">
        <f t="shared" si="1"/>
        <v>647826.087</v>
      </c>
      <c r="E392" s="25">
        <f t="shared" si="2"/>
        <v>-137.7444198</v>
      </c>
      <c r="F392" s="24">
        <f t="shared" si="3"/>
        <v>0.0002126256145</v>
      </c>
      <c r="G392" s="24">
        <f t="shared" si="4"/>
        <v>0</v>
      </c>
      <c r="H392" s="26">
        <f t="shared" si="5"/>
        <v>0</v>
      </c>
      <c r="I392" s="24">
        <f t="shared" si="6"/>
        <v>0</v>
      </c>
      <c r="J392" s="24">
        <f t="shared" si="7"/>
        <v>0</v>
      </c>
      <c r="K392" s="24"/>
      <c r="L392" s="24">
        <f t="shared" si="8"/>
        <v>405.0555222</v>
      </c>
      <c r="M392" s="14">
        <f t="shared" si="9"/>
        <v>400.2128817</v>
      </c>
      <c r="N392" s="27">
        <f t="shared" si="10"/>
        <v>4.842640482</v>
      </c>
      <c r="O392" s="24"/>
      <c r="P392" s="24"/>
      <c r="Q392" s="24"/>
      <c r="R392" s="26"/>
      <c r="S392" s="14">
        <f t="shared" si="13"/>
        <v>4.446978027</v>
      </c>
    </row>
    <row r="393">
      <c r="A393" s="11">
        <v>381.0</v>
      </c>
      <c r="B393" s="11">
        <v>1.42105217391304E9</v>
      </c>
      <c r="C393" s="2">
        <v>-102.7647247</v>
      </c>
      <c r="D393" s="24">
        <f t="shared" si="1"/>
        <v>652173.913</v>
      </c>
      <c r="E393" s="25">
        <f t="shared" si="2"/>
        <v>-138.662716</v>
      </c>
      <c r="F393" s="24">
        <f t="shared" si="3"/>
        <v>0.0002126161645</v>
      </c>
      <c r="G393" s="24">
        <f t="shared" si="4"/>
        <v>0</v>
      </c>
      <c r="H393" s="26">
        <f t="shared" si="5"/>
        <v>0</v>
      </c>
      <c r="I393" s="24">
        <f t="shared" si="6"/>
        <v>0</v>
      </c>
      <c r="J393" s="24">
        <f t="shared" si="7"/>
        <v>0</v>
      </c>
      <c r="K393" s="24"/>
      <c r="L393" s="24">
        <f t="shared" si="8"/>
        <v>402.3775087</v>
      </c>
      <c r="M393" s="14">
        <f t="shared" si="9"/>
        <v>400.1375879</v>
      </c>
      <c r="N393" s="27">
        <f t="shared" si="10"/>
        <v>2.23992083</v>
      </c>
      <c r="O393" s="24"/>
      <c r="P393" s="24"/>
      <c r="Q393" s="24"/>
      <c r="R393" s="26"/>
      <c r="S393" s="14">
        <f t="shared" si="13"/>
        <v>2.056910631</v>
      </c>
    </row>
    <row r="394">
      <c r="A394" s="11">
        <v>382.0</v>
      </c>
      <c r="B394" s="11">
        <v>1.42105652173913E9</v>
      </c>
      <c r="C394" s="2">
        <v>-102.7934189</v>
      </c>
      <c r="D394" s="24">
        <f t="shared" si="1"/>
        <v>656521.7391</v>
      </c>
      <c r="E394" s="25">
        <f t="shared" si="2"/>
        <v>-139.5810121</v>
      </c>
      <c r="F394" s="24">
        <f t="shared" si="3"/>
        <v>0.0002126068396</v>
      </c>
      <c r="G394" s="24">
        <f t="shared" si="4"/>
        <v>0</v>
      </c>
      <c r="H394" s="26">
        <f t="shared" si="5"/>
        <v>0</v>
      </c>
      <c r="I394" s="24">
        <f t="shared" si="6"/>
        <v>0</v>
      </c>
      <c r="J394" s="24">
        <f t="shared" si="7"/>
        <v>0</v>
      </c>
      <c r="K394" s="24"/>
      <c r="L394" s="24">
        <f t="shared" si="8"/>
        <v>399.7277301</v>
      </c>
      <c r="M394" s="14">
        <f t="shared" si="9"/>
        <v>400.0623594</v>
      </c>
      <c r="N394" s="27">
        <f t="shared" si="10"/>
        <v>-0.3346292878</v>
      </c>
      <c r="O394" s="24"/>
      <c r="P394" s="24"/>
      <c r="Q394" s="24"/>
      <c r="R394" s="26"/>
      <c r="S394" s="14">
        <f t="shared" si="13"/>
        <v>-0.3072887809</v>
      </c>
    </row>
    <row r="395">
      <c r="A395" s="11">
        <v>383.0</v>
      </c>
      <c r="B395" s="11">
        <v>1.42106086956521E9</v>
      </c>
      <c r="C395" s="2">
        <v>-102.7916718</v>
      </c>
      <c r="D395" s="24">
        <f t="shared" si="1"/>
        <v>660869.5652</v>
      </c>
      <c r="E395" s="25">
        <f t="shared" si="2"/>
        <v>-140.4993082</v>
      </c>
      <c r="F395" s="24">
        <f t="shared" si="3"/>
        <v>0.0002125976374</v>
      </c>
      <c r="G395" s="24">
        <f t="shared" si="4"/>
        <v>0</v>
      </c>
      <c r="H395" s="26">
        <f t="shared" si="5"/>
        <v>0</v>
      </c>
      <c r="I395" s="24">
        <f t="shared" si="6"/>
        <v>0</v>
      </c>
      <c r="J395" s="24">
        <f t="shared" si="7"/>
        <v>0</v>
      </c>
      <c r="K395" s="24"/>
      <c r="L395" s="24">
        <f t="shared" si="8"/>
        <v>399.8885668</v>
      </c>
      <c r="M395" s="14">
        <f t="shared" si="9"/>
        <v>399.9871963</v>
      </c>
      <c r="N395" s="27">
        <f t="shared" si="10"/>
        <v>-0.09862951601</v>
      </c>
      <c r="O395" s="24"/>
      <c r="P395" s="24"/>
      <c r="Q395" s="24"/>
      <c r="R395" s="26"/>
      <c r="S395" s="14">
        <f t="shared" si="13"/>
        <v>-0.09057110313</v>
      </c>
    </row>
    <row r="396">
      <c r="A396" s="11">
        <v>384.0</v>
      </c>
      <c r="B396" s="11">
        <v>1.4210652173913E9</v>
      </c>
      <c r="C396" s="2">
        <v>-102.7812576</v>
      </c>
      <c r="D396" s="24">
        <f t="shared" si="1"/>
        <v>665217.3913</v>
      </c>
      <c r="E396" s="25">
        <f t="shared" si="2"/>
        <v>-141.4176043</v>
      </c>
      <c r="F396" s="24">
        <f t="shared" si="3"/>
        <v>0.0002125885556</v>
      </c>
      <c r="G396" s="24">
        <f t="shared" si="4"/>
        <v>0</v>
      </c>
      <c r="H396" s="26">
        <f t="shared" si="5"/>
        <v>0</v>
      </c>
      <c r="I396" s="24">
        <f t="shared" si="6"/>
        <v>0</v>
      </c>
      <c r="J396" s="24">
        <f t="shared" si="7"/>
        <v>0</v>
      </c>
      <c r="K396" s="24"/>
      <c r="L396" s="24">
        <f t="shared" si="8"/>
        <v>400.8486335</v>
      </c>
      <c r="M396" s="14">
        <f t="shared" si="9"/>
        <v>399.9120985</v>
      </c>
      <c r="N396" s="27">
        <f t="shared" si="10"/>
        <v>0.9365349154</v>
      </c>
      <c r="O396" s="24"/>
      <c r="P396" s="24"/>
      <c r="Q396" s="24"/>
      <c r="R396" s="26"/>
      <c r="S396" s="14">
        <f t="shared" si="13"/>
        <v>0.860016389</v>
      </c>
    </row>
    <row r="397">
      <c r="A397" s="11">
        <v>385.0</v>
      </c>
      <c r="B397" s="11">
        <v>1.42106956521739E9</v>
      </c>
      <c r="C397" s="2">
        <v>-102.8028717</v>
      </c>
      <c r="D397" s="24">
        <f t="shared" si="1"/>
        <v>669565.2174</v>
      </c>
      <c r="E397" s="25">
        <f t="shared" si="2"/>
        <v>-142.3359005</v>
      </c>
      <c r="F397" s="24">
        <f t="shared" si="3"/>
        <v>0.0002125795916</v>
      </c>
      <c r="G397" s="24">
        <f t="shared" si="4"/>
        <v>0</v>
      </c>
      <c r="H397" s="26">
        <f t="shared" si="5"/>
        <v>0</v>
      </c>
      <c r="I397" s="24">
        <f t="shared" si="6"/>
        <v>0</v>
      </c>
      <c r="J397" s="24">
        <f t="shared" si="7"/>
        <v>0</v>
      </c>
      <c r="K397" s="24"/>
      <c r="L397" s="24">
        <f t="shared" si="8"/>
        <v>398.8586338</v>
      </c>
      <c r="M397" s="14">
        <f t="shared" si="9"/>
        <v>399.8370662</v>
      </c>
      <c r="N397" s="27">
        <f t="shared" si="10"/>
        <v>-0.9784323186</v>
      </c>
      <c r="O397" s="24"/>
      <c r="P397" s="24"/>
      <c r="Q397" s="24"/>
      <c r="R397" s="26"/>
      <c r="S397" s="14">
        <f t="shared" si="13"/>
        <v>-0.8984906144</v>
      </c>
    </row>
    <row r="398">
      <c r="A398" s="11">
        <v>386.0</v>
      </c>
      <c r="B398" s="11">
        <v>1.42107391304347E9</v>
      </c>
      <c r="C398" s="2">
        <v>-102.8079605</v>
      </c>
      <c r="D398" s="24">
        <f t="shared" si="1"/>
        <v>673913.0435</v>
      </c>
      <c r="E398" s="25">
        <f t="shared" si="2"/>
        <v>-143.2541966</v>
      </c>
      <c r="F398" s="24">
        <f t="shared" si="3"/>
        <v>0.0002125707434</v>
      </c>
      <c r="G398" s="24">
        <f t="shared" si="4"/>
        <v>0</v>
      </c>
      <c r="H398" s="26">
        <f t="shared" si="5"/>
        <v>0</v>
      </c>
      <c r="I398" s="24">
        <f t="shared" si="6"/>
        <v>0</v>
      </c>
      <c r="J398" s="24">
        <f t="shared" si="7"/>
        <v>0</v>
      </c>
      <c r="K398" s="24"/>
      <c r="L398" s="24">
        <f t="shared" si="8"/>
        <v>398.3915491</v>
      </c>
      <c r="M398" s="14">
        <f t="shared" si="9"/>
        <v>399.7620991</v>
      </c>
      <c r="N398" s="27">
        <f t="shared" si="10"/>
        <v>-1.370549956</v>
      </c>
      <c r="O398" s="24"/>
      <c r="P398" s="24"/>
      <c r="Q398" s="24"/>
      <c r="R398" s="26"/>
      <c r="S398" s="14">
        <f t="shared" si="13"/>
        <v>-1.258570725</v>
      </c>
    </row>
    <row r="399">
      <c r="A399" s="11">
        <v>387.0</v>
      </c>
      <c r="B399" s="11">
        <v>1.42107826086956E9</v>
      </c>
      <c r="C399" s="2">
        <v>-102.7319412</v>
      </c>
      <c r="D399" s="24">
        <f t="shared" si="1"/>
        <v>678260.8696</v>
      </c>
      <c r="E399" s="25">
        <f t="shared" si="2"/>
        <v>-144.1724927</v>
      </c>
      <c r="F399" s="24">
        <f t="shared" si="3"/>
        <v>0.0002125620085</v>
      </c>
      <c r="G399" s="24">
        <f t="shared" si="4"/>
        <v>0</v>
      </c>
      <c r="H399" s="26">
        <f t="shared" si="5"/>
        <v>0</v>
      </c>
      <c r="I399" s="24">
        <f t="shared" si="6"/>
        <v>0</v>
      </c>
      <c r="J399" s="24">
        <f t="shared" si="7"/>
        <v>0</v>
      </c>
      <c r="K399" s="24"/>
      <c r="L399" s="24">
        <f t="shared" si="8"/>
        <v>405.4264208</v>
      </c>
      <c r="M399" s="14">
        <f t="shared" si="9"/>
        <v>399.6871973</v>
      </c>
      <c r="N399" s="27">
        <f t="shared" si="10"/>
        <v>5.739223522</v>
      </c>
      <c r="O399" s="24"/>
      <c r="P399" s="24"/>
      <c r="Q399" s="24"/>
      <c r="R399" s="26"/>
      <c r="S399" s="14">
        <f t="shared" si="13"/>
        <v>5.270306753</v>
      </c>
    </row>
    <row r="400">
      <c r="A400" s="11">
        <v>388.0</v>
      </c>
      <c r="B400" s="11">
        <v>1.42108260869565E9</v>
      </c>
      <c r="C400" s="2">
        <v>-102.7560196</v>
      </c>
      <c r="D400" s="24">
        <f t="shared" si="1"/>
        <v>682608.6957</v>
      </c>
      <c r="E400" s="25">
        <f t="shared" si="2"/>
        <v>-145.0907889</v>
      </c>
      <c r="F400" s="24">
        <f t="shared" si="3"/>
        <v>0.000212553385</v>
      </c>
      <c r="G400" s="24">
        <f t="shared" si="4"/>
        <v>0</v>
      </c>
      <c r="H400" s="26">
        <f t="shared" si="5"/>
        <v>0</v>
      </c>
      <c r="I400" s="24">
        <f t="shared" si="6"/>
        <v>0</v>
      </c>
      <c r="J400" s="24">
        <f t="shared" si="7"/>
        <v>0</v>
      </c>
      <c r="K400" s="24"/>
      <c r="L400" s="24">
        <f t="shared" si="8"/>
        <v>403.1848524</v>
      </c>
      <c r="M400" s="14">
        <f t="shared" si="9"/>
        <v>399.6123608</v>
      </c>
      <c r="N400" s="27">
        <f t="shared" si="10"/>
        <v>3.572491604</v>
      </c>
      <c r="O400" s="24"/>
      <c r="P400" s="24"/>
      <c r="Q400" s="24"/>
      <c r="R400" s="26"/>
      <c r="S400" s="14">
        <f t="shared" si="13"/>
        <v>3.280605224</v>
      </c>
    </row>
    <row r="401">
      <c r="A401" s="11">
        <v>389.0</v>
      </c>
      <c r="B401" s="11">
        <v>1.42108695652173E9</v>
      </c>
      <c r="C401" s="2">
        <v>-102.7920227</v>
      </c>
      <c r="D401" s="24">
        <f t="shared" si="1"/>
        <v>686956.5217</v>
      </c>
      <c r="E401" s="25">
        <f t="shared" si="2"/>
        <v>-146.009085</v>
      </c>
      <c r="F401" s="24">
        <f t="shared" si="3"/>
        <v>0.0002125448706</v>
      </c>
      <c r="G401" s="24">
        <f t="shared" si="4"/>
        <v>0</v>
      </c>
      <c r="H401" s="26">
        <f t="shared" si="5"/>
        <v>0</v>
      </c>
      <c r="I401" s="24">
        <f t="shared" si="6"/>
        <v>0</v>
      </c>
      <c r="J401" s="24">
        <f t="shared" si="7"/>
        <v>0</v>
      </c>
      <c r="K401" s="24"/>
      <c r="L401" s="24">
        <f t="shared" si="8"/>
        <v>399.856258</v>
      </c>
      <c r="M401" s="14">
        <f t="shared" si="9"/>
        <v>399.5375896</v>
      </c>
      <c r="N401" s="27">
        <f t="shared" si="10"/>
        <v>0.3186684043</v>
      </c>
      <c r="O401" s="24"/>
      <c r="P401" s="24"/>
      <c r="Q401" s="24"/>
      <c r="R401" s="26"/>
      <c r="S401" s="14">
        <f t="shared" si="13"/>
        <v>0.2926319633</v>
      </c>
    </row>
    <row r="402">
      <c r="A402" s="11">
        <v>390.0</v>
      </c>
      <c r="B402" s="11">
        <v>1.42109130434782E9</v>
      </c>
      <c r="C402" s="2">
        <v>-102.7777939</v>
      </c>
      <c r="D402" s="24">
        <f t="shared" si="1"/>
        <v>691304.3478</v>
      </c>
      <c r="E402" s="25">
        <f t="shared" si="2"/>
        <v>-146.9273811</v>
      </c>
      <c r="F402" s="24">
        <f t="shared" si="3"/>
        <v>0.0002125364633</v>
      </c>
      <c r="G402" s="24">
        <f t="shared" si="4"/>
        <v>0</v>
      </c>
      <c r="H402" s="26">
        <f t="shared" si="5"/>
        <v>0</v>
      </c>
      <c r="I402" s="24">
        <f t="shared" si="6"/>
        <v>0</v>
      </c>
      <c r="J402" s="24">
        <f t="shared" si="7"/>
        <v>0</v>
      </c>
      <c r="K402" s="24"/>
      <c r="L402" s="24">
        <f t="shared" si="8"/>
        <v>401.1684564</v>
      </c>
      <c r="M402" s="14">
        <f t="shared" si="9"/>
        <v>399.4628836</v>
      </c>
      <c r="N402" s="27">
        <f t="shared" si="10"/>
        <v>1.705572759</v>
      </c>
      <c r="O402" s="24"/>
      <c r="P402" s="24"/>
      <c r="Q402" s="24"/>
      <c r="R402" s="26"/>
      <c r="S402" s="14">
        <f t="shared" si="13"/>
        <v>1.566220868</v>
      </c>
    </row>
    <row r="403">
      <c r="A403" s="11">
        <v>391.0</v>
      </c>
      <c r="B403" s="11">
        <v>1.42109565217391E9</v>
      </c>
      <c r="C403" s="2">
        <v>-102.7935715</v>
      </c>
      <c r="D403" s="24">
        <f t="shared" si="1"/>
        <v>695652.1739</v>
      </c>
      <c r="E403" s="25">
        <f t="shared" si="2"/>
        <v>-147.8456773</v>
      </c>
      <c r="F403" s="24">
        <f t="shared" si="3"/>
        <v>0.0002125281611</v>
      </c>
      <c r="G403" s="24">
        <f t="shared" si="4"/>
        <v>0</v>
      </c>
      <c r="H403" s="26">
        <f t="shared" si="5"/>
        <v>0</v>
      </c>
      <c r="I403" s="24">
        <f t="shared" si="6"/>
        <v>0</v>
      </c>
      <c r="J403" s="24">
        <f t="shared" si="7"/>
        <v>0</v>
      </c>
      <c r="K403" s="24"/>
      <c r="L403" s="24">
        <f t="shared" si="8"/>
        <v>399.7136849</v>
      </c>
      <c r="M403" s="14">
        <f t="shared" si="9"/>
        <v>399.3882429</v>
      </c>
      <c r="N403" s="27">
        <f t="shared" si="10"/>
        <v>0.3254420731</v>
      </c>
      <c r="O403" s="24"/>
      <c r="P403" s="24"/>
      <c r="Q403" s="24"/>
      <c r="R403" s="26"/>
      <c r="S403" s="14">
        <f t="shared" si="13"/>
        <v>0.2988521965</v>
      </c>
    </row>
    <row r="404">
      <c r="A404" s="11">
        <v>392.0</v>
      </c>
      <c r="B404" s="11">
        <v>1.4211E9</v>
      </c>
      <c r="C404" s="2">
        <v>-102.7762604</v>
      </c>
      <c r="D404" s="24">
        <f t="shared" si="1"/>
        <v>700000</v>
      </c>
      <c r="E404" s="25">
        <f t="shared" si="2"/>
        <v>-148.7639734</v>
      </c>
      <c r="F404" s="24">
        <f t="shared" si="3"/>
        <v>0.000212519962</v>
      </c>
      <c r="G404" s="24">
        <f t="shared" si="4"/>
        <v>0</v>
      </c>
      <c r="H404" s="26">
        <f t="shared" si="5"/>
        <v>0</v>
      </c>
      <c r="I404" s="24">
        <f t="shared" si="6"/>
        <v>0</v>
      </c>
      <c r="J404" s="24">
        <f t="shared" si="7"/>
        <v>0</v>
      </c>
      <c r="K404" s="24"/>
      <c r="L404" s="24">
        <f t="shared" si="8"/>
        <v>401.3101345</v>
      </c>
      <c r="M404" s="14">
        <f t="shared" si="9"/>
        <v>399.3136673</v>
      </c>
      <c r="N404" s="27">
        <f t="shared" si="10"/>
        <v>1.996467225</v>
      </c>
      <c r="O404" s="24"/>
      <c r="P404" s="24"/>
      <c r="Q404" s="24"/>
      <c r="R404" s="26"/>
      <c r="S404" s="14">
        <f t="shared" si="13"/>
        <v>1.833348132</v>
      </c>
    </row>
    <row r="405">
      <c r="A405" s="11">
        <v>393.0</v>
      </c>
      <c r="B405" s="11">
        <v>1.42110434782608E9</v>
      </c>
      <c r="C405" s="2">
        <v>-102.7840958</v>
      </c>
      <c r="D405" s="24">
        <f t="shared" si="1"/>
        <v>704347.8261</v>
      </c>
      <c r="E405" s="25">
        <f t="shared" si="2"/>
        <v>-149.6822695</v>
      </c>
      <c r="F405" s="24">
        <f t="shared" si="3"/>
        <v>0.0002125118642</v>
      </c>
      <c r="G405" s="24">
        <f t="shared" si="4"/>
        <v>0</v>
      </c>
      <c r="H405" s="26">
        <f t="shared" si="5"/>
        <v>0</v>
      </c>
      <c r="I405" s="24">
        <f t="shared" si="6"/>
        <v>0</v>
      </c>
      <c r="J405" s="24">
        <f t="shared" si="7"/>
        <v>0</v>
      </c>
      <c r="K405" s="24"/>
      <c r="L405" s="24">
        <f t="shared" si="8"/>
        <v>400.5867566</v>
      </c>
      <c r="M405" s="14">
        <f t="shared" si="9"/>
        <v>399.2391569</v>
      </c>
      <c r="N405" s="27">
        <f t="shared" si="10"/>
        <v>1.347599616</v>
      </c>
      <c r="O405" s="24"/>
      <c r="P405" s="24"/>
      <c r="Q405" s="24"/>
      <c r="R405" s="26"/>
      <c r="S405" s="14">
        <f t="shared" si="13"/>
        <v>1.237495516</v>
      </c>
    </row>
    <row r="406">
      <c r="A406" s="11">
        <v>394.0</v>
      </c>
      <c r="B406" s="11">
        <v>1.42110869565217E9</v>
      </c>
      <c r="C406" s="2">
        <v>-102.7768707</v>
      </c>
      <c r="D406" s="24">
        <f t="shared" si="1"/>
        <v>708695.6522</v>
      </c>
      <c r="E406" s="25">
        <f t="shared" si="2"/>
        <v>-150.6005657</v>
      </c>
      <c r="F406" s="24">
        <f t="shared" si="3"/>
        <v>0.0002125038657</v>
      </c>
      <c r="G406" s="24">
        <f t="shared" si="4"/>
        <v>0</v>
      </c>
      <c r="H406" s="26">
        <f t="shared" si="5"/>
        <v>0</v>
      </c>
      <c r="I406" s="24">
        <f t="shared" si="6"/>
        <v>0</v>
      </c>
      <c r="J406" s="24">
        <f t="shared" si="7"/>
        <v>0</v>
      </c>
      <c r="K406" s="24"/>
      <c r="L406" s="24">
        <f t="shared" si="8"/>
        <v>401.2537437</v>
      </c>
      <c r="M406" s="14">
        <f t="shared" si="9"/>
        <v>399.1647118</v>
      </c>
      <c r="N406" s="27">
        <f t="shared" si="10"/>
        <v>2.089031921</v>
      </c>
      <c r="O406" s="24"/>
      <c r="P406" s="24"/>
      <c r="Q406" s="24"/>
      <c r="R406" s="26"/>
      <c r="S406" s="14">
        <f t="shared" si="13"/>
        <v>1.918349929</v>
      </c>
    </row>
    <row r="407">
      <c r="A407" s="11">
        <v>395.0</v>
      </c>
      <c r="B407" s="11">
        <v>1.42111304347826E9</v>
      </c>
      <c r="C407" s="2">
        <v>-102.8753433</v>
      </c>
      <c r="D407" s="24">
        <f t="shared" si="1"/>
        <v>713043.4783</v>
      </c>
      <c r="E407" s="25">
        <f t="shared" si="2"/>
        <v>-151.5188618</v>
      </c>
      <c r="F407" s="24">
        <f t="shared" si="3"/>
        <v>0.0002124959647</v>
      </c>
      <c r="G407" s="24">
        <f t="shared" si="4"/>
        <v>0</v>
      </c>
      <c r="H407" s="26">
        <f t="shared" si="5"/>
        <v>0</v>
      </c>
      <c r="I407" s="24">
        <f t="shared" si="6"/>
        <v>0</v>
      </c>
      <c r="J407" s="24">
        <f t="shared" si="7"/>
        <v>0</v>
      </c>
      <c r="K407" s="24"/>
      <c r="L407" s="24">
        <f t="shared" si="8"/>
        <v>392.258025</v>
      </c>
      <c r="M407" s="14">
        <f t="shared" si="9"/>
        <v>399.0903317</v>
      </c>
      <c r="N407" s="27">
        <f t="shared" si="10"/>
        <v>-6.832306693</v>
      </c>
      <c r="O407" s="24"/>
      <c r="P407" s="24"/>
      <c r="Q407" s="24"/>
      <c r="R407" s="26"/>
      <c r="S407" s="14">
        <f t="shared" si="13"/>
        <v>-6.274080814</v>
      </c>
    </row>
    <row r="408">
      <c r="A408" s="11">
        <v>396.0</v>
      </c>
      <c r="B408" s="11">
        <v>1.42111739130434E9</v>
      </c>
      <c r="C408" s="2">
        <v>-102.7732773</v>
      </c>
      <c r="D408" s="24">
        <f t="shared" si="1"/>
        <v>717391.3043</v>
      </c>
      <c r="E408" s="25">
        <f t="shared" si="2"/>
        <v>-152.4371579</v>
      </c>
      <c r="F408" s="24">
        <f t="shared" si="3"/>
        <v>0.0002124881595</v>
      </c>
      <c r="G408" s="24">
        <f t="shared" si="4"/>
        <v>0</v>
      </c>
      <c r="H408" s="26">
        <f t="shared" si="5"/>
        <v>0</v>
      </c>
      <c r="I408" s="24">
        <f t="shared" si="6"/>
        <v>0</v>
      </c>
      <c r="J408" s="24">
        <f t="shared" si="7"/>
        <v>0</v>
      </c>
      <c r="K408" s="24"/>
      <c r="L408" s="24">
        <f t="shared" si="8"/>
        <v>401.5858828</v>
      </c>
      <c r="M408" s="14">
        <f t="shared" si="9"/>
        <v>399.0160168</v>
      </c>
      <c r="N408" s="27">
        <f t="shared" si="10"/>
        <v>2.569865991</v>
      </c>
      <c r="O408" s="24"/>
      <c r="P408" s="24"/>
      <c r="Q408" s="24"/>
      <c r="R408" s="26"/>
      <c r="S408" s="14">
        <f t="shared" si="13"/>
        <v>2.359898002</v>
      </c>
    </row>
    <row r="409">
      <c r="A409" s="11">
        <v>397.0</v>
      </c>
      <c r="B409" s="11">
        <v>1.42112173913043E9</v>
      </c>
      <c r="C409" s="2">
        <v>-102.7565384</v>
      </c>
      <c r="D409" s="24">
        <f t="shared" si="1"/>
        <v>721739.1304</v>
      </c>
      <c r="E409" s="25">
        <f t="shared" si="2"/>
        <v>-153.3554541</v>
      </c>
      <c r="F409" s="24">
        <f t="shared" si="3"/>
        <v>0.0002124804484</v>
      </c>
      <c r="G409" s="24">
        <f t="shared" si="4"/>
        <v>0</v>
      </c>
      <c r="H409" s="26">
        <f t="shared" si="5"/>
        <v>0</v>
      </c>
      <c r="I409" s="24">
        <f t="shared" si="6"/>
        <v>0</v>
      </c>
      <c r="J409" s="24">
        <f t="shared" si="7"/>
        <v>0</v>
      </c>
      <c r="K409" s="24"/>
      <c r="L409" s="24">
        <f t="shared" si="8"/>
        <v>403.1366916</v>
      </c>
      <c r="M409" s="14">
        <f t="shared" si="9"/>
        <v>398.941767</v>
      </c>
      <c r="N409" s="27">
        <f t="shared" si="10"/>
        <v>4.194924582</v>
      </c>
      <c r="O409" s="24"/>
      <c r="P409" s="24"/>
      <c r="Q409" s="24"/>
      <c r="R409" s="26"/>
      <c r="S409" s="14">
        <f t="shared" si="13"/>
        <v>3.852183012</v>
      </c>
    </row>
    <row r="410">
      <c r="A410" s="11">
        <v>398.0</v>
      </c>
      <c r="B410" s="11">
        <v>1.42112608695652E9</v>
      </c>
      <c r="C410" s="2">
        <v>-102.8172073</v>
      </c>
      <c r="D410" s="24">
        <f t="shared" si="1"/>
        <v>726086.9565</v>
      </c>
      <c r="E410" s="25">
        <f t="shared" si="2"/>
        <v>-154.2737502</v>
      </c>
      <c r="F410" s="24">
        <f t="shared" si="3"/>
        <v>0.0002124728296</v>
      </c>
      <c r="G410" s="24">
        <f t="shared" si="4"/>
        <v>0</v>
      </c>
      <c r="H410" s="26">
        <f t="shared" si="5"/>
        <v>0</v>
      </c>
      <c r="I410" s="24">
        <f t="shared" si="6"/>
        <v>0</v>
      </c>
      <c r="J410" s="24">
        <f t="shared" si="7"/>
        <v>0</v>
      </c>
      <c r="K410" s="24"/>
      <c r="L410" s="24">
        <f t="shared" si="8"/>
        <v>397.5442144</v>
      </c>
      <c r="M410" s="14">
        <f t="shared" si="9"/>
        <v>398.8675823</v>
      </c>
      <c r="N410" s="27">
        <f t="shared" si="10"/>
        <v>-1.323367925</v>
      </c>
      <c r="O410" s="24"/>
      <c r="P410" s="24"/>
      <c r="Q410" s="24"/>
      <c r="R410" s="26"/>
      <c r="S410" s="14">
        <f t="shared" si="13"/>
        <v>-1.215243648</v>
      </c>
    </row>
    <row r="411">
      <c r="A411" s="11">
        <v>399.0</v>
      </c>
      <c r="B411" s="11">
        <v>1.4211304347826E9</v>
      </c>
      <c r="C411" s="2">
        <v>-102.8494568</v>
      </c>
      <c r="D411" s="24">
        <f t="shared" si="1"/>
        <v>730434.7826</v>
      </c>
      <c r="E411" s="25">
        <f t="shared" si="2"/>
        <v>-155.1920463</v>
      </c>
      <c r="F411" s="24">
        <f t="shared" si="3"/>
        <v>0.0002124653015</v>
      </c>
      <c r="G411" s="24">
        <f t="shared" si="4"/>
        <v>0</v>
      </c>
      <c r="H411" s="26">
        <f t="shared" si="5"/>
        <v>0</v>
      </c>
      <c r="I411" s="24">
        <f t="shared" si="6"/>
        <v>0</v>
      </c>
      <c r="J411" s="24">
        <f t="shared" si="7"/>
        <v>0</v>
      </c>
      <c r="K411" s="24"/>
      <c r="L411" s="24">
        <f t="shared" si="8"/>
        <v>394.6030951</v>
      </c>
      <c r="M411" s="14">
        <f t="shared" si="9"/>
        <v>398.7934627</v>
      </c>
      <c r="N411" s="27">
        <f t="shared" si="10"/>
        <v>-4.19036755</v>
      </c>
      <c r="O411" s="24"/>
      <c r="P411" s="24"/>
      <c r="Q411" s="24"/>
      <c r="R411" s="26"/>
      <c r="S411" s="14">
        <f t="shared" si="13"/>
        <v>-3.847998316</v>
      </c>
    </row>
    <row r="412">
      <c r="A412" s="11">
        <v>400.0</v>
      </c>
      <c r="B412" s="11">
        <v>1.42113478260869E9</v>
      </c>
      <c r="C412" s="2">
        <v>-102.80233</v>
      </c>
      <c r="D412" s="24">
        <f t="shared" si="1"/>
        <v>734782.6087</v>
      </c>
      <c r="E412" s="25">
        <f t="shared" si="2"/>
        <v>-156.1103425</v>
      </c>
      <c r="F412" s="24">
        <f t="shared" si="3"/>
        <v>0.0002124578625</v>
      </c>
      <c r="G412" s="24">
        <f t="shared" si="4"/>
        <v>0</v>
      </c>
      <c r="H412" s="26">
        <f t="shared" si="5"/>
        <v>0</v>
      </c>
      <c r="I412" s="24">
        <f t="shared" si="6"/>
        <v>0</v>
      </c>
      <c r="J412" s="24">
        <f t="shared" si="7"/>
        <v>0</v>
      </c>
      <c r="K412" s="24"/>
      <c r="L412" s="24">
        <f t="shared" si="8"/>
        <v>398.908387</v>
      </c>
      <c r="M412" s="14">
        <f t="shared" si="9"/>
        <v>398.7194081</v>
      </c>
      <c r="N412" s="27">
        <f t="shared" si="10"/>
        <v>0.1889788887</v>
      </c>
      <c r="O412" s="24"/>
      <c r="P412" s="24"/>
      <c r="Q412" s="24"/>
      <c r="R412" s="26"/>
      <c r="S412" s="14">
        <f t="shared" si="13"/>
        <v>0.1735385827</v>
      </c>
    </row>
    <row r="413">
      <c r="A413" s="11">
        <v>401.0</v>
      </c>
      <c r="B413" s="11">
        <v>1.42113913043478E9</v>
      </c>
      <c r="C413" s="2">
        <v>-102.7840347</v>
      </c>
      <c r="D413" s="24">
        <f t="shared" si="1"/>
        <v>739130.4348</v>
      </c>
      <c r="E413" s="25">
        <f t="shared" si="2"/>
        <v>-157.0286386</v>
      </c>
      <c r="F413" s="24">
        <f t="shared" si="3"/>
        <v>0.000212450511</v>
      </c>
      <c r="G413" s="24">
        <f t="shared" si="4"/>
        <v>0</v>
      </c>
      <c r="H413" s="26">
        <f t="shared" si="5"/>
        <v>0</v>
      </c>
      <c r="I413" s="24">
        <f t="shared" si="6"/>
        <v>0</v>
      </c>
      <c r="J413" s="24">
        <f t="shared" si="7"/>
        <v>0</v>
      </c>
      <c r="K413" s="24"/>
      <c r="L413" s="24">
        <f t="shared" si="8"/>
        <v>400.5923924</v>
      </c>
      <c r="M413" s="14">
        <f t="shared" si="9"/>
        <v>398.6454186</v>
      </c>
      <c r="N413" s="27">
        <f t="shared" si="10"/>
        <v>1.946973821</v>
      </c>
      <c r="O413" s="24"/>
      <c r="P413" s="24"/>
      <c r="Q413" s="24"/>
      <c r="R413" s="26"/>
      <c r="S413" s="14">
        <f t="shared" si="13"/>
        <v>1.787898526</v>
      </c>
    </row>
    <row r="414">
      <c r="A414" s="11">
        <v>402.0</v>
      </c>
      <c r="B414" s="11">
        <v>1.42114347826087E9</v>
      </c>
      <c r="C414" s="2">
        <v>-102.7169266</v>
      </c>
      <c r="D414" s="24">
        <f t="shared" si="1"/>
        <v>743478.2609</v>
      </c>
      <c r="E414" s="25">
        <f t="shared" si="2"/>
        <v>-157.9469347</v>
      </c>
      <c r="F414" s="24">
        <f t="shared" si="3"/>
        <v>0.0002124432455</v>
      </c>
      <c r="G414" s="24">
        <f t="shared" si="4"/>
        <v>0</v>
      </c>
      <c r="H414" s="26">
        <f t="shared" si="5"/>
        <v>0</v>
      </c>
      <c r="I414" s="24">
        <f t="shared" si="6"/>
        <v>0</v>
      </c>
      <c r="J414" s="24">
        <f t="shared" si="7"/>
        <v>0</v>
      </c>
      <c r="K414" s="24"/>
      <c r="L414" s="24">
        <f t="shared" si="8"/>
        <v>406.8305028</v>
      </c>
      <c r="M414" s="14">
        <f t="shared" si="9"/>
        <v>398.571494</v>
      </c>
      <c r="N414" s="27">
        <f t="shared" si="10"/>
        <v>8.259008721</v>
      </c>
      <c r="O414" s="24"/>
      <c r="P414" s="24"/>
      <c r="Q414" s="24"/>
      <c r="R414" s="26"/>
      <c r="S414" s="14">
        <f t="shared" si="13"/>
        <v>7.584215769</v>
      </c>
    </row>
    <row r="415">
      <c r="A415" s="11">
        <v>403.0</v>
      </c>
      <c r="B415" s="11">
        <v>1.42114782608695E9</v>
      </c>
      <c r="C415" s="2">
        <v>-102.8031464</v>
      </c>
      <c r="D415" s="24">
        <f t="shared" si="1"/>
        <v>747826.087</v>
      </c>
      <c r="E415" s="25">
        <f t="shared" si="2"/>
        <v>-158.8652309</v>
      </c>
      <c r="F415" s="24">
        <f t="shared" si="3"/>
        <v>0.0002124360645</v>
      </c>
      <c r="G415" s="24">
        <f t="shared" si="4"/>
        <v>0</v>
      </c>
      <c r="H415" s="26">
        <f t="shared" si="5"/>
        <v>0</v>
      </c>
      <c r="I415" s="24">
        <f t="shared" si="6"/>
        <v>0</v>
      </c>
      <c r="J415" s="24">
        <f t="shared" si="7"/>
        <v>0</v>
      </c>
      <c r="K415" s="24"/>
      <c r="L415" s="24">
        <f t="shared" si="8"/>
        <v>398.833406</v>
      </c>
      <c r="M415" s="14">
        <f t="shared" si="9"/>
        <v>398.4976345</v>
      </c>
      <c r="N415" s="27">
        <f t="shared" si="10"/>
        <v>0.3357715152</v>
      </c>
      <c r="O415" s="24"/>
      <c r="P415" s="24"/>
      <c r="Q415" s="24"/>
      <c r="R415" s="26"/>
      <c r="S415" s="14">
        <f t="shared" si="13"/>
        <v>0.3083376839</v>
      </c>
    </row>
    <row r="416">
      <c r="A416" s="11">
        <v>404.0</v>
      </c>
      <c r="B416" s="11">
        <v>1.42115217391304E9</v>
      </c>
      <c r="C416" s="2">
        <v>-102.8155136</v>
      </c>
      <c r="D416" s="24">
        <f t="shared" si="1"/>
        <v>752173.913</v>
      </c>
      <c r="E416" s="25">
        <f t="shared" si="2"/>
        <v>-159.783527</v>
      </c>
      <c r="F416" s="24">
        <f t="shared" si="3"/>
        <v>0.0002124289665</v>
      </c>
      <c r="G416" s="24">
        <f t="shared" si="4"/>
        <v>0</v>
      </c>
      <c r="H416" s="26">
        <f t="shared" si="5"/>
        <v>0</v>
      </c>
      <c r="I416" s="24">
        <f t="shared" si="6"/>
        <v>0</v>
      </c>
      <c r="J416" s="24">
        <f t="shared" si="7"/>
        <v>0</v>
      </c>
      <c r="K416" s="24"/>
      <c r="L416" s="24">
        <f t="shared" si="8"/>
        <v>397.6992824</v>
      </c>
      <c r="M416" s="14">
        <f t="shared" si="9"/>
        <v>398.42384</v>
      </c>
      <c r="N416" s="27">
        <f t="shared" si="10"/>
        <v>-0.724557534</v>
      </c>
      <c r="O416" s="24"/>
      <c r="P416" s="24"/>
      <c r="Q416" s="24"/>
      <c r="R416" s="26"/>
      <c r="S416" s="14">
        <f t="shared" si="13"/>
        <v>-0.6653583799</v>
      </c>
    </row>
    <row r="417">
      <c r="A417" s="11">
        <v>405.0</v>
      </c>
      <c r="B417" s="11">
        <v>1.42115652173913E9</v>
      </c>
      <c r="C417" s="2">
        <v>-102.8235245</v>
      </c>
      <c r="D417" s="3">
        <f t="shared" si="1"/>
        <v>756521.7391</v>
      </c>
      <c r="E417" s="4">
        <f t="shared" si="2"/>
        <v>-160.7018231</v>
      </c>
      <c r="F417" s="3">
        <f t="shared" si="3"/>
        <v>0.0002124219501</v>
      </c>
      <c r="G417" s="3">
        <f t="shared" si="4"/>
        <v>0</v>
      </c>
      <c r="H417" s="2">
        <f t="shared" si="5"/>
        <v>0</v>
      </c>
      <c r="I417" s="3">
        <f t="shared" si="6"/>
        <v>0</v>
      </c>
      <c r="J417" s="3">
        <f t="shared" si="7"/>
        <v>0</v>
      </c>
      <c r="K417" s="3"/>
      <c r="L417" s="3">
        <f t="shared" si="8"/>
        <v>396.9663713</v>
      </c>
      <c r="M417" s="14">
        <f t="shared" si="9"/>
        <v>398.3501104</v>
      </c>
      <c r="N417" s="14">
        <f t="shared" si="10"/>
        <v>-1.383739085</v>
      </c>
      <c r="O417" s="3"/>
      <c r="P417" s="3"/>
      <c r="Q417" s="3"/>
      <c r="R417" s="2"/>
      <c r="S417" s="14">
        <f t="shared" si="13"/>
        <v>-1.270682251</v>
      </c>
    </row>
    <row r="418">
      <c r="A418" s="11">
        <v>406.0</v>
      </c>
      <c r="B418" s="11">
        <v>1.42116086956521E9</v>
      </c>
      <c r="C418" s="2">
        <v>-102.7964325</v>
      </c>
      <c r="D418" s="3">
        <f t="shared" si="1"/>
        <v>760869.5652</v>
      </c>
      <c r="E418" s="4">
        <f t="shared" si="2"/>
        <v>-161.6201193</v>
      </c>
      <c r="F418" s="3">
        <f t="shared" si="3"/>
        <v>0.0002124150139</v>
      </c>
      <c r="G418" s="3">
        <f t="shared" si="4"/>
        <v>0</v>
      </c>
      <c r="H418" s="2">
        <f t="shared" si="5"/>
        <v>0</v>
      </c>
      <c r="I418" s="3">
        <f t="shared" si="6"/>
        <v>0</v>
      </c>
      <c r="J418" s="3">
        <f t="shared" si="7"/>
        <v>0</v>
      </c>
      <c r="K418" s="3"/>
      <c r="L418" s="3">
        <f t="shared" si="8"/>
        <v>399.4504524</v>
      </c>
      <c r="M418" s="14">
        <f t="shared" si="9"/>
        <v>398.2764457</v>
      </c>
      <c r="N418" s="14">
        <f t="shared" si="10"/>
        <v>1.174006702</v>
      </c>
      <c r="O418" s="3"/>
      <c r="P418" s="3"/>
      <c r="Q418" s="3"/>
      <c r="R418" s="2"/>
      <c r="S418" s="14">
        <f t="shared" si="13"/>
        <v>1.078085814</v>
      </c>
    </row>
    <row r="419">
      <c r="A419" s="11">
        <v>407.0</v>
      </c>
      <c r="B419" s="11">
        <v>1.4211652173913E9</v>
      </c>
      <c r="C419" s="2">
        <v>-102.8352585</v>
      </c>
      <c r="D419" s="3">
        <f t="shared" si="1"/>
        <v>765217.3913</v>
      </c>
      <c r="E419" s="4">
        <f t="shared" si="2"/>
        <v>-162.5384154</v>
      </c>
      <c r="F419" s="3">
        <f t="shared" si="3"/>
        <v>0.0002124081565</v>
      </c>
      <c r="G419" s="3">
        <f t="shared" si="4"/>
        <v>0</v>
      </c>
      <c r="H419" s="2">
        <f t="shared" si="5"/>
        <v>0</v>
      </c>
      <c r="I419" s="3">
        <f t="shared" si="6"/>
        <v>0</v>
      </c>
      <c r="J419" s="3">
        <f t="shared" si="7"/>
        <v>0</v>
      </c>
      <c r="K419" s="3"/>
      <c r="L419" s="3">
        <f t="shared" si="8"/>
        <v>395.895274</v>
      </c>
      <c r="M419" s="14">
        <f t="shared" si="9"/>
        <v>398.202846</v>
      </c>
      <c r="N419" s="14">
        <f t="shared" si="10"/>
        <v>-2.307572002</v>
      </c>
      <c r="O419" s="3"/>
      <c r="P419" s="3"/>
      <c r="Q419" s="3"/>
      <c r="R419" s="2"/>
      <c r="S419" s="14">
        <f t="shared" si="13"/>
        <v>-2.119034441</v>
      </c>
    </row>
    <row r="420">
      <c r="A420" s="11">
        <v>408.0</v>
      </c>
      <c r="B420" s="11">
        <v>1.42116956521739E9</v>
      </c>
      <c r="C420" s="2">
        <v>-102.7457581</v>
      </c>
      <c r="D420" s="3">
        <f t="shared" si="1"/>
        <v>769565.2174</v>
      </c>
      <c r="E420" s="4">
        <f t="shared" si="2"/>
        <v>-163.4567115</v>
      </c>
      <c r="F420" s="3">
        <f t="shared" si="3"/>
        <v>0.0002124013765</v>
      </c>
      <c r="G420" s="3">
        <f t="shared" si="4"/>
        <v>0</v>
      </c>
      <c r="H420" s="2">
        <f t="shared" si="5"/>
        <v>0</v>
      </c>
      <c r="I420" s="3">
        <f t="shared" si="6"/>
        <v>0</v>
      </c>
      <c r="J420" s="3">
        <f t="shared" si="7"/>
        <v>0</v>
      </c>
      <c r="K420" s="3"/>
      <c r="L420" s="3">
        <f t="shared" si="8"/>
        <v>404.138623</v>
      </c>
      <c r="M420" s="14">
        <f t="shared" si="9"/>
        <v>398.1293112</v>
      </c>
      <c r="N420" s="14">
        <f t="shared" si="10"/>
        <v>6.009311832</v>
      </c>
      <c r="O420" s="3"/>
      <c r="P420" s="3"/>
      <c r="Q420" s="3"/>
      <c r="R420" s="2"/>
      <c r="S420" s="14">
        <f t="shared" si="13"/>
        <v>5.518327817</v>
      </c>
    </row>
    <row r="421">
      <c r="A421" s="11">
        <v>409.0</v>
      </c>
      <c r="B421" s="11">
        <v>1.42117391304347E9</v>
      </c>
      <c r="C421" s="2">
        <v>-102.8259506</v>
      </c>
      <c r="D421" s="3">
        <f t="shared" si="1"/>
        <v>773913.0435</v>
      </c>
      <c r="E421" s="4">
        <f t="shared" si="2"/>
        <v>-164.3750077</v>
      </c>
      <c r="F421" s="3">
        <f t="shared" si="3"/>
        <v>0.0002123946728</v>
      </c>
      <c r="G421" s="3">
        <f t="shared" si="4"/>
        <v>0</v>
      </c>
      <c r="H421" s="2">
        <f t="shared" si="5"/>
        <v>0</v>
      </c>
      <c r="I421" s="3">
        <f t="shared" si="6"/>
        <v>0</v>
      </c>
      <c r="J421" s="3">
        <f t="shared" si="7"/>
        <v>0</v>
      </c>
      <c r="K421" s="3"/>
      <c r="L421" s="3">
        <f t="shared" si="8"/>
        <v>396.7446758</v>
      </c>
      <c r="M421" s="14">
        <f t="shared" si="9"/>
        <v>398.0558412</v>
      </c>
      <c r="N421" s="14">
        <f t="shared" si="10"/>
        <v>-1.311165404</v>
      </c>
      <c r="O421" s="3"/>
      <c r="P421" s="3"/>
      <c r="Q421" s="3"/>
      <c r="R421" s="2"/>
      <c r="S421" s="14">
        <f t="shared" si="13"/>
        <v>-1.204038119</v>
      </c>
    </row>
    <row r="422">
      <c r="A422" s="11">
        <v>410.0</v>
      </c>
      <c r="B422" s="11">
        <v>1.42117826086956E9</v>
      </c>
      <c r="C422" s="2">
        <v>-102.7529755</v>
      </c>
      <c r="D422" s="3">
        <f t="shared" si="1"/>
        <v>778260.8696</v>
      </c>
      <c r="E422" s="4">
        <f t="shared" si="2"/>
        <v>-165.2933038</v>
      </c>
      <c r="F422" s="3">
        <f t="shared" si="3"/>
        <v>0.000212388044</v>
      </c>
      <c r="G422" s="3">
        <f t="shared" si="4"/>
        <v>0</v>
      </c>
      <c r="H422" s="2">
        <f t="shared" si="5"/>
        <v>0</v>
      </c>
      <c r="I422" s="3">
        <f t="shared" si="6"/>
        <v>0</v>
      </c>
      <c r="J422" s="3">
        <f t="shared" si="7"/>
        <v>0</v>
      </c>
      <c r="K422" s="3"/>
      <c r="L422" s="3">
        <f t="shared" si="8"/>
        <v>403.4675558</v>
      </c>
      <c r="M422" s="14">
        <f t="shared" si="9"/>
        <v>397.9824361</v>
      </c>
      <c r="N422" s="14">
        <f t="shared" si="10"/>
        <v>5.48511967</v>
      </c>
      <c r="O422" s="3"/>
      <c r="P422" s="3"/>
      <c r="Q422" s="3"/>
      <c r="R422" s="2"/>
      <c r="S422" s="14">
        <f t="shared" si="13"/>
        <v>5.036964169</v>
      </c>
    </row>
    <row r="423">
      <c r="A423" s="11">
        <v>411.0</v>
      </c>
      <c r="B423" s="11">
        <v>1.42118260869565E9</v>
      </c>
      <c r="C423" s="2">
        <v>-102.8279877</v>
      </c>
      <c r="D423" s="3">
        <f t="shared" si="1"/>
        <v>782608.6957</v>
      </c>
      <c r="E423" s="4">
        <f t="shared" si="2"/>
        <v>-166.2115999</v>
      </c>
      <c r="F423" s="3">
        <f t="shared" si="3"/>
        <v>0.0002123814888</v>
      </c>
      <c r="G423" s="3">
        <f t="shared" si="4"/>
        <v>0</v>
      </c>
      <c r="H423" s="2">
        <f t="shared" si="5"/>
        <v>0</v>
      </c>
      <c r="I423" s="3">
        <f t="shared" si="6"/>
        <v>0</v>
      </c>
      <c r="J423" s="3">
        <f t="shared" si="7"/>
        <v>0</v>
      </c>
      <c r="K423" s="3"/>
      <c r="L423" s="3">
        <f t="shared" si="8"/>
        <v>396.5586226</v>
      </c>
      <c r="M423" s="14">
        <f t="shared" si="9"/>
        <v>397.9090959</v>
      </c>
      <c r="N423" s="14">
        <f t="shared" si="10"/>
        <v>-1.350473357</v>
      </c>
      <c r="O423" s="3"/>
      <c r="P423" s="3"/>
      <c r="Q423" s="3"/>
      <c r="R423" s="2"/>
      <c r="S423" s="14">
        <f t="shared" si="13"/>
        <v>-1.240134461</v>
      </c>
    </row>
    <row r="424">
      <c r="A424" s="11">
        <v>412.0</v>
      </c>
      <c r="B424" s="11">
        <v>1.42118695652173E9</v>
      </c>
      <c r="C424" s="2">
        <v>-102.8209152</v>
      </c>
      <c r="D424" s="3">
        <f t="shared" si="1"/>
        <v>786956.5217</v>
      </c>
      <c r="E424" s="4">
        <f t="shared" si="2"/>
        <v>-167.129896</v>
      </c>
      <c r="F424" s="3">
        <f t="shared" si="3"/>
        <v>0.000212375006</v>
      </c>
      <c r="G424" s="3">
        <f t="shared" si="4"/>
        <v>0</v>
      </c>
      <c r="H424" s="2">
        <f t="shared" si="5"/>
        <v>0</v>
      </c>
      <c r="I424" s="3">
        <f t="shared" si="6"/>
        <v>0</v>
      </c>
      <c r="J424" s="3">
        <f t="shared" si="7"/>
        <v>0</v>
      </c>
      <c r="K424" s="3"/>
      <c r="L424" s="3">
        <f t="shared" si="8"/>
        <v>397.2049457</v>
      </c>
      <c r="M424" s="14">
        <f t="shared" si="9"/>
        <v>397.8358205</v>
      </c>
      <c r="N424" s="14">
        <f t="shared" si="10"/>
        <v>-0.6308747945</v>
      </c>
      <c r="O424" s="3"/>
      <c r="P424" s="3"/>
      <c r="Q424" s="3"/>
      <c r="R424" s="2"/>
      <c r="S424" s="14">
        <f t="shared" si="13"/>
        <v>-0.579329884</v>
      </c>
    </row>
    <row r="425">
      <c r="A425" s="11">
        <v>413.0</v>
      </c>
      <c r="B425" s="11">
        <v>1.42119130434782E9</v>
      </c>
      <c r="C425" s="2">
        <v>-102.7666931</v>
      </c>
      <c r="D425" s="3">
        <f t="shared" si="1"/>
        <v>791304.3478</v>
      </c>
      <c r="E425" s="4">
        <f t="shared" si="2"/>
        <v>-168.0481922</v>
      </c>
      <c r="F425" s="3">
        <f t="shared" si="3"/>
        <v>0.0002123685945</v>
      </c>
      <c r="G425" s="3">
        <f t="shared" si="4"/>
        <v>0</v>
      </c>
      <c r="H425" s="2">
        <f t="shared" si="5"/>
        <v>0</v>
      </c>
      <c r="I425" s="3">
        <f t="shared" si="6"/>
        <v>0</v>
      </c>
      <c r="J425" s="3">
        <f t="shared" si="7"/>
        <v>0</v>
      </c>
      <c r="K425" s="3"/>
      <c r="L425" s="3">
        <f t="shared" si="8"/>
        <v>402.1951761</v>
      </c>
      <c r="M425" s="14">
        <f t="shared" si="9"/>
        <v>397.7626099</v>
      </c>
      <c r="N425" s="14">
        <f t="shared" si="10"/>
        <v>4.432566181</v>
      </c>
      <c r="O425" s="3"/>
      <c r="P425" s="3"/>
      <c r="Q425" s="3"/>
      <c r="R425" s="2"/>
      <c r="S425" s="14">
        <f t="shared" si="13"/>
        <v>4.070408382</v>
      </c>
    </row>
    <row r="426">
      <c r="A426" s="11">
        <v>414.0</v>
      </c>
      <c r="B426" s="11">
        <v>1.42119565217391E9</v>
      </c>
      <c r="C426" s="2">
        <v>-102.756546</v>
      </c>
      <c r="D426" s="3">
        <f t="shared" si="1"/>
        <v>795652.1739</v>
      </c>
      <c r="E426" s="4">
        <f t="shared" si="2"/>
        <v>-168.9664883</v>
      </c>
      <c r="F426" s="3">
        <f t="shared" si="3"/>
        <v>0.0002123622531</v>
      </c>
      <c r="G426" s="3">
        <f t="shared" si="4"/>
        <v>0</v>
      </c>
      <c r="H426" s="2">
        <f t="shared" si="5"/>
        <v>0</v>
      </c>
      <c r="I426" s="3">
        <f t="shared" si="6"/>
        <v>0</v>
      </c>
      <c r="J426" s="3">
        <f t="shared" si="7"/>
        <v>0</v>
      </c>
      <c r="K426" s="3"/>
      <c r="L426" s="3">
        <f t="shared" si="8"/>
        <v>403.1359861</v>
      </c>
      <c r="M426" s="14">
        <f t="shared" si="9"/>
        <v>397.6894641</v>
      </c>
      <c r="N426" s="14">
        <f t="shared" si="10"/>
        <v>5.446522026</v>
      </c>
      <c r="O426" s="3"/>
      <c r="P426" s="3"/>
      <c r="Q426" s="3"/>
      <c r="R426" s="2"/>
      <c r="S426" s="14">
        <f t="shared" si="13"/>
        <v>5.001520102</v>
      </c>
    </row>
    <row r="427">
      <c r="A427" s="11">
        <v>415.0</v>
      </c>
      <c r="B427" s="11">
        <v>1.4212E9</v>
      </c>
      <c r="C427" s="2">
        <v>-102.807869</v>
      </c>
      <c r="D427" s="3">
        <f t="shared" si="1"/>
        <v>800000</v>
      </c>
      <c r="E427" s="4">
        <f t="shared" si="2"/>
        <v>-169.8847844</v>
      </c>
      <c r="F427" s="3">
        <f t="shared" si="3"/>
        <v>0.0002123559806</v>
      </c>
      <c r="G427" s="3">
        <f t="shared" si="4"/>
        <v>0</v>
      </c>
      <c r="H427" s="2">
        <f t="shared" si="5"/>
        <v>0</v>
      </c>
      <c r="I427" s="3">
        <f t="shared" si="6"/>
        <v>0</v>
      </c>
      <c r="J427" s="3">
        <f t="shared" si="7"/>
        <v>0</v>
      </c>
      <c r="K427" s="3"/>
      <c r="L427" s="3">
        <f t="shared" si="8"/>
        <v>398.3999428</v>
      </c>
      <c r="M427" s="14">
        <f t="shared" si="9"/>
        <v>397.616383</v>
      </c>
      <c r="N427" s="14">
        <f t="shared" si="10"/>
        <v>0.7835597334</v>
      </c>
      <c r="O427" s="3"/>
      <c r="P427" s="3"/>
      <c r="Q427" s="3"/>
      <c r="R427" s="2"/>
      <c r="S427" s="14">
        <f t="shared" si="13"/>
        <v>0.7195398729</v>
      </c>
    </row>
    <row r="428">
      <c r="A428" s="11">
        <v>416.0</v>
      </c>
      <c r="B428" s="11">
        <v>1.42120434782608E9</v>
      </c>
      <c r="C428" s="2">
        <v>-102.8534088</v>
      </c>
      <c r="D428" s="3">
        <f t="shared" si="1"/>
        <v>804347.8261</v>
      </c>
      <c r="E428" s="4">
        <f t="shared" si="2"/>
        <v>-170.8030806</v>
      </c>
      <c r="F428" s="3">
        <f t="shared" si="3"/>
        <v>0.0002123497759</v>
      </c>
      <c r="G428" s="3">
        <f t="shared" si="4"/>
        <v>0</v>
      </c>
      <c r="H428" s="2">
        <f t="shared" si="5"/>
        <v>0</v>
      </c>
      <c r="I428" s="3">
        <f t="shared" si="6"/>
        <v>0</v>
      </c>
      <c r="J428" s="3">
        <f t="shared" si="7"/>
        <v>0</v>
      </c>
      <c r="K428" s="3"/>
      <c r="L428" s="3">
        <f t="shared" si="8"/>
        <v>394.2441769</v>
      </c>
      <c r="M428" s="14">
        <f t="shared" si="9"/>
        <v>397.5433668</v>
      </c>
      <c r="N428" s="14">
        <f t="shared" si="10"/>
        <v>-3.299189869</v>
      </c>
      <c r="O428" s="3"/>
      <c r="P428" s="3"/>
      <c r="Q428" s="3"/>
      <c r="R428" s="2"/>
      <c r="S428" s="14">
        <f t="shared" si="13"/>
        <v>-3.029633298</v>
      </c>
    </row>
    <row r="429">
      <c r="A429" s="11">
        <v>417.0</v>
      </c>
      <c r="B429" s="11">
        <v>1.42120869565217E9</v>
      </c>
      <c r="C429" s="2">
        <v>-102.865448</v>
      </c>
      <c r="D429" s="3">
        <f t="shared" si="1"/>
        <v>808695.6522</v>
      </c>
      <c r="E429" s="4">
        <f t="shared" si="2"/>
        <v>-171.7213767</v>
      </c>
      <c r="F429" s="3">
        <f t="shared" si="3"/>
        <v>0.0002123436379</v>
      </c>
      <c r="G429" s="3">
        <f t="shared" si="4"/>
        <v>0</v>
      </c>
      <c r="H429" s="2">
        <f t="shared" si="5"/>
        <v>0</v>
      </c>
      <c r="I429" s="3">
        <f t="shared" si="6"/>
        <v>0</v>
      </c>
      <c r="J429" s="3">
        <f t="shared" si="7"/>
        <v>0</v>
      </c>
      <c r="K429" s="3"/>
      <c r="L429" s="3">
        <f t="shared" si="8"/>
        <v>393.1527949</v>
      </c>
      <c r="M429" s="14">
        <f t="shared" si="9"/>
        <v>397.4704152</v>
      </c>
      <c r="N429" s="14">
        <f t="shared" si="10"/>
        <v>-4.3176203</v>
      </c>
      <c r="O429" s="3"/>
      <c r="P429" s="3"/>
      <c r="Q429" s="3"/>
      <c r="R429" s="2"/>
      <c r="S429" s="14">
        <f t="shared" si="13"/>
        <v>-3.964854015</v>
      </c>
    </row>
    <row r="430">
      <c r="A430" s="11">
        <v>418.0</v>
      </c>
      <c r="B430" s="11">
        <v>1.42121304347826E9</v>
      </c>
      <c r="C430" s="2">
        <v>-102.8207321</v>
      </c>
      <c r="D430" s="3">
        <f t="shared" si="1"/>
        <v>813043.4783</v>
      </c>
      <c r="E430" s="4">
        <f t="shared" si="2"/>
        <v>-172.6396728</v>
      </c>
      <c r="F430" s="3">
        <f t="shared" si="3"/>
        <v>0.0002123375655</v>
      </c>
      <c r="G430" s="3">
        <f t="shared" si="4"/>
        <v>0</v>
      </c>
      <c r="H430" s="2">
        <f t="shared" si="5"/>
        <v>0</v>
      </c>
      <c r="I430" s="3">
        <f t="shared" si="6"/>
        <v>0</v>
      </c>
      <c r="J430" s="3">
        <f t="shared" si="7"/>
        <v>0</v>
      </c>
      <c r="K430" s="3"/>
      <c r="L430" s="3">
        <f t="shared" si="8"/>
        <v>397.2216924</v>
      </c>
      <c r="M430" s="14">
        <f t="shared" si="9"/>
        <v>397.3975283</v>
      </c>
      <c r="N430" s="14">
        <f t="shared" si="10"/>
        <v>-0.1758359868</v>
      </c>
      <c r="O430" s="3"/>
      <c r="P430" s="3"/>
      <c r="Q430" s="3"/>
      <c r="R430" s="2"/>
      <c r="S430" s="14">
        <f t="shared" si="13"/>
        <v>-0.1614695067</v>
      </c>
    </row>
    <row r="431">
      <c r="A431" s="11">
        <v>419.0</v>
      </c>
      <c r="B431" s="11">
        <v>1.42121739130434E9</v>
      </c>
      <c r="C431" s="2">
        <v>-102.8182678</v>
      </c>
      <c r="D431" s="3">
        <f t="shared" si="1"/>
        <v>817391.3043</v>
      </c>
      <c r="E431" s="4">
        <f t="shared" si="2"/>
        <v>-173.557969</v>
      </c>
      <c r="F431" s="3">
        <f t="shared" si="3"/>
        <v>0.0002123315578</v>
      </c>
      <c r="G431" s="3">
        <f t="shared" si="4"/>
        <v>0</v>
      </c>
      <c r="H431" s="2">
        <f t="shared" si="5"/>
        <v>0</v>
      </c>
      <c r="I431" s="3">
        <f t="shared" si="6"/>
        <v>0</v>
      </c>
      <c r="J431" s="3">
        <f t="shared" si="7"/>
        <v>0</v>
      </c>
      <c r="K431" s="3"/>
      <c r="L431" s="3">
        <f t="shared" si="8"/>
        <v>397.4471502</v>
      </c>
      <c r="M431" s="14">
        <f t="shared" si="9"/>
        <v>397.3247062</v>
      </c>
      <c r="N431" s="14">
        <f t="shared" si="10"/>
        <v>0.1224440643</v>
      </c>
      <c r="O431" s="3"/>
      <c r="P431" s="3"/>
      <c r="Q431" s="3"/>
      <c r="R431" s="2"/>
      <c r="S431" s="14">
        <f t="shared" si="13"/>
        <v>0.1124399107</v>
      </c>
    </row>
    <row r="432">
      <c r="A432" s="11">
        <v>420.0</v>
      </c>
      <c r="B432" s="11">
        <v>1.42122173913043E9</v>
      </c>
      <c r="C432" s="2">
        <v>-102.7671967</v>
      </c>
      <c r="D432" s="3">
        <f t="shared" si="1"/>
        <v>821739.1304</v>
      </c>
      <c r="E432" s="4">
        <f t="shared" si="2"/>
        <v>-174.4762651</v>
      </c>
      <c r="F432" s="3">
        <f t="shared" si="3"/>
        <v>0.0002123256136</v>
      </c>
      <c r="G432" s="3">
        <f t="shared" si="4"/>
        <v>0</v>
      </c>
      <c r="H432" s="2">
        <f t="shared" si="5"/>
        <v>0</v>
      </c>
      <c r="I432" s="3">
        <f t="shared" si="6"/>
        <v>0</v>
      </c>
      <c r="J432" s="3">
        <f t="shared" si="7"/>
        <v>0</v>
      </c>
      <c r="K432" s="3"/>
      <c r="L432" s="3">
        <f t="shared" si="8"/>
        <v>402.148541</v>
      </c>
      <c r="M432" s="14">
        <f t="shared" si="9"/>
        <v>397.2519487</v>
      </c>
      <c r="N432" s="14">
        <f t="shared" si="10"/>
        <v>4.896592266</v>
      </c>
      <c r="O432" s="3"/>
      <c r="P432" s="3"/>
      <c r="Q432" s="3"/>
      <c r="R432" s="2"/>
      <c r="S432" s="14">
        <f t="shared" si="13"/>
        <v>4.496521732</v>
      </c>
    </row>
    <row r="433">
      <c r="A433" s="11">
        <v>421.0</v>
      </c>
      <c r="B433" s="11">
        <v>1.42122608695652E9</v>
      </c>
      <c r="C433" s="2">
        <v>-102.8728867</v>
      </c>
      <c r="D433" s="3">
        <f t="shared" si="1"/>
        <v>826086.9565</v>
      </c>
      <c r="E433" s="4">
        <f t="shared" si="2"/>
        <v>-175.3945612</v>
      </c>
      <c r="F433" s="3">
        <f t="shared" si="3"/>
        <v>0.000212319732</v>
      </c>
      <c r="G433" s="3">
        <f t="shared" si="4"/>
        <v>0</v>
      </c>
      <c r="H433" s="2">
        <f t="shared" si="5"/>
        <v>0</v>
      </c>
      <c r="I433" s="3">
        <f t="shared" si="6"/>
        <v>0</v>
      </c>
      <c r="J433" s="3">
        <f t="shared" si="7"/>
        <v>0</v>
      </c>
      <c r="K433" s="3"/>
      <c r="L433" s="3">
        <f t="shared" si="8"/>
        <v>392.4799697</v>
      </c>
      <c r="M433" s="14">
        <f t="shared" si="9"/>
        <v>397.1792559</v>
      </c>
      <c r="N433" s="14">
        <f t="shared" si="10"/>
        <v>-4.69928613</v>
      </c>
      <c r="O433" s="3"/>
      <c r="P433" s="3"/>
      <c r="Q433" s="3"/>
      <c r="R433" s="2"/>
      <c r="S433" s="14">
        <f t="shared" si="13"/>
        <v>-4.31533628</v>
      </c>
    </row>
    <row r="434">
      <c r="A434" s="11">
        <v>422.0</v>
      </c>
      <c r="B434" s="11">
        <v>1.4212304347826E9</v>
      </c>
      <c r="C434" s="2">
        <v>-102.8785095</v>
      </c>
      <c r="D434" s="3">
        <f t="shared" si="1"/>
        <v>830434.7826</v>
      </c>
      <c r="E434" s="4">
        <f t="shared" si="2"/>
        <v>-176.3128574</v>
      </c>
      <c r="F434" s="3">
        <f t="shared" si="3"/>
        <v>0.000212313912</v>
      </c>
      <c r="G434" s="3">
        <f t="shared" si="4"/>
        <v>0</v>
      </c>
      <c r="H434" s="2">
        <f t="shared" si="5"/>
        <v>0</v>
      </c>
      <c r="I434" s="3">
        <f t="shared" si="6"/>
        <v>0</v>
      </c>
      <c r="J434" s="3">
        <f t="shared" si="7"/>
        <v>0</v>
      </c>
      <c r="K434" s="3"/>
      <c r="L434" s="3">
        <f t="shared" si="8"/>
        <v>391.9721557</v>
      </c>
      <c r="M434" s="14">
        <f t="shared" si="9"/>
        <v>397.1066277</v>
      </c>
      <c r="N434" s="14">
        <f t="shared" si="10"/>
        <v>-5.134471985</v>
      </c>
      <c r="O434" s="3"/>
      <c r="P434" s="3"/>
      <c r="Q434" s="3"/>
      <c r="R434" s="2"/>
      <c r="S434" s="14">
        <f t="shared" si="13"/>
        <v>-4.714965768</v>
      </c>
    </row>
    <row r="435">
      <c r="A435" s="11">
        <v>423.0</v>
      </c>
      <c r="B435" s="11">
        <v>1.42123478260869E9</v>
      </c>
      <c r="C435" s="2">
        <v>-102.8604431</v>
      </c>
      <c r="D435" s="3">
        <f t="shared" si="1"/>
        <v>834782.6087</v>
      </c>
      <c r="E435" s="4">
        <f t="shared" si="2"/>
        <v>-177.2311535</v>
      </c>
      <c r="F435" s="3">
        <f t="shared" si="3"/>
        <v>0.0002123081526</v>
      </c>
      <c r="G435" s="3">
        <f t="shared" si="4"/>
        <v>0</v>
      </c>
      <c r="H435" s="2">
        <f t="shared" si="5"/>
        <v>0</v>
      </c>
      <c r="I435" s="3">
        <f t="shared" si="6"/>
        <v>0</v>
      </c>
      <c r="J435" s="3">
        <f t="shared" si="7"/>
        <v>0</v>
      </c>
      <c r="K435" s="3"/>
      <c r="L435" s="3">
        <f t="shared" si="8"/>
        <v>393.6061335</v>
      </c>
      <c r="M435" s="14">
        <f t="shared" si="9"/>
        <v>397.0340641</v>
      </c>
      <c r="N435" s="14">
        <f t="shared" si="10"/>
        <v>-3.427930573</v>
      </c>
      <c r="O435" s="3"/>
      <c r="P435" s="3"/>
      <c r="Q435" s="3"/>
      <c r="R435" s="2"/>
      <c r="S435" s="14">
        <f t="shared" si="13"/>
        <v>-3.147855389</v>
      </c>
    </row>
    <row r="436">
      <c r="A436" s="11">
        <v>424.0</v>
      </c>
      <c r="B436" s="11">
        <v>1.42123913043478E9</v>
      </c>
      <c r="C436" s="2">
        <v>-102.815834</v>
      </c>
      <c r="D436" s="3">
        <f t="shared" si="1"/>
        <v>839130.4348</v>
      </c>
      <c r="E436" s="4">
        <f t="shared" si="2"/>
        <v>-178.1494496</v>
      </c>
      <c r="F436" s="3">
        <f t="shared" si="3"/>
        <v>0.0002123024529</v>
      </c>
      <c r="G436" s="3">
        <f t="shared" si="4"/>
        <v>0</v>
      </c>
      <c r="H436" s="2">
        <f t="shared" si="5"/>
        <v>0</v>
      </c>
      <c r="I436" s="3">
        <f t="shared" si="6"/>
        <v>0</v>
      </c>
      <c r="J436" s="3">
        <f t="shared" si="7"/>
        <v>0</v>
      </c>
      <c r="K436" s="3"/>
      <c r="L436" s="3">
        <f t="shared" si="8"/>
        <v>397.6699433</v>
      </c>
      <c r="M436" s="14">
        <f t="shared" si="9"/>
        <v>396.9615651</v>
      </c>
      <c r="N436" s="14">
        <f t="shared" si="10"/>
        <v>0.7083781913</v>
      </c>
      <c r="O436" s="3"/>
      <c r="P436" s="3"/>
      <c r="Q436" s="3"/>
      <c r="R436" s="2"/>
      <c r="S436" s="14">
        <f t="shared" si="13"/>
        <v>0.6505009521</v>
      </c>
    </row>
    <row r="437">
      <c r="A437" s="11">
        <v>425.0</v>
      </c>
      <c r="B437" s="11">
        <v>1.42124347826087E9</v>
      </c>
      <c r="C437" s="2">
        <v>-102.8602982</v>
      </c>
      <c r="D437" s="3">
        <f t="shared" si="1"/>
        <v>843478.2609</v>
      </c>
      <c r="E437" s="4">
        <f t="shared" si="2"/>
        <v>-179.0677458</v>
      </c>
      <c r="F437" s="3">
        <f t="shared" si="3"/>
        <v>0.000212296812</v>
      </c>
      <c r="G437" s="3">
        <f t="shared" si="4"/>
        <v>0</v>
      </c>
      <c r="H437" s="2">
        <f t="shared" si="5"/>
        <v>0</v>
      </c>
      <c r="I437" s="3">
        <f t="shared" si="6"/>
        <v>0</v>
      </c>
      <c r="J437" s="3">
        <f t="shared" si="7"/>
        <v>0</v>
      </c>
      <c r="K437" s="3"/>
      <c r="L437" s="3">
        <f t="shared" si="8"/>
        <v>393.6192662</v>
      </c>
      <c r="M437" s="14">
        <f t="shared" si="9"/>
        <v>396.8891307</v>
      </c>
      <c r="N437" s="14">
        <f t="shared" si="10"/>
        <v>-3.269864517</v>
      </c>
      <c r="O437" s="3"/>
      <c r="P437" s="3"/>
      <c r="Q437" s="3"/>
      <c r="R437" s="2"/>
      <c r="S437" s="14">
        <f t="shared" si="13"/>
        <v>-3.00270394</v>
      </c>
    </row>
    <row r="438">
      <c r="A438" s="11">
        <v>426.0</v>
      </c>
      <c r="B438" s="11">
        <v>1.42124782608695E9</v>
      </c>
      <c r="C438" s="2">
        <v>-102.8270035</v>
      </c>
      <c r="D438" s="3">
        <f t="shared" si="1"/>
        <v>847826.087</v>
      </c>
      <c r="E438" s="4">
        <f t="shared" si="2"/>
        <v>-179.9860419</v>
      </c>
      <c r="F438" s="3">
        <f t="shared" si="3"/>
        <v>0.0002122912289</v>
      </c>
      <c r="G438" s="3">
        <f t="shared" si="4"/>
        <v>0</v>
      </c>
      <c r="H438" s="2">
        <f t="shared" si="5"/>
        <v>0</v>
      </c>
      <c r="I438" s="3">
        <f t="shared" si="6"/>
        <v>0</v>
      </c>
      <c r="J438" s="3">
        <f t="shared" si="7"/>
        <v>0</v>
      </c>
      <c r="K438" s="3"/>
      <c r="L438" s="3">
        <f t="shared" si="8"/>
        <v>396.648501</v>
      </c>
      <c r="M438" s="14">
        <f t="shared" si="9"/>
        <v>396.8167609</v>
      </c>
      <c r="N438" s="14">
        <f t="shared" si="10"/>
        <v>-0.1682598508</v>
      </c>
      <c r="O438" s="3"/>
      <c r="P438" s="3"/>
      <c r="Q438" s="3"/>
      <c r="R438" s="2"/>
      <c r="S438" s="14">
        <f t="shared" si="13"/>
        <v>-0.1545123703</v>
      </c>
    </row>
    <row r="439">
      <c r="A439" s="11">
        <v>427.0</v>
      </c>
      <c r="B439" s="11">
        <v>1.42125217391304E9</v>
      </c>
      <c r="C439" s="2">
        <v>-102.8495865</v>
      </c>
      <c r="D439" s="3">
        <f t="shared" si="1"/>
        <v>852173.913</v>
      </c>
      <c r="E439" s="4">
        <f t="shared" si="2"/>
        <v>-180.904338</v>
      </c>
      <c r="F439" s="3">
        <f t="shared" si="3"/>
        <v>0.0002122857028</v>
      </c>
      <c r="G439" s="3">
        <f t="shared" si="4"/>
        <v>0</v>
      </c>
      <c r="H439" s="2">
        <f t="shared" si="5"/>
        <v>0</v>
      </c>
      <c r="I439" s="3">
        <f t="shared" si="6"/>
        <v>0</v>
      </c>
      <c r="J439" s="3">
        <f t="shared" si="7"/>
        <v>0</v>
      </c>
      <c r="K439" s="3"/>
      <c r="L439" s="3">
        <f t="shared" si="8"/>
        <v>394.5913107</v>
      </c>
      <c r="M439" s="14">
        <f t="shared" si="9"/>
        <v>396.7444556</v>
      </c>
      <c r="N439" s="14">
        <f t="shared" si="10"/>
        <v>-2.153144905</v>
      </c>
      <c r="O439" s="3"/>
      <c r="P439" s="3"/>
      <c r="Q439" s="3"/>
      <c r="R439" s="2"/>
      <c r="S439" s="14">
        <f t="shared" si="13"/>
        <v>-1.977224635</v>
      </c>
    </row>
    <row r="440">
      <c r="A440" s="11">
        <v>428.0</v>
      </c>
      <c r="B440" s="11">
        <v>1.42125652173913E9</v>
      </c>
      <c r="C440" s="2">
        <v>-102.8186493</v>
      </c>
      <c r="D440" s="3">
        <f t="shared" si="1"/>
        <v>856521.7391</v>
      </c>
      <c r="E440" s="4">
        <f t="shared" si="2"/>
        <v>-181.8226342</v>
      </c>
      <c r="F440" s="3">
        <f t="shared" si="3"/>
        <v>0.0002122802328</v>
      </c>
      <c r="G440" s="3">
        <f t="shared" si="4"/>
        <v>0</v>
      </c>
      <c r="H440" s="2">
        <f t="shared" si="5"/>
        <v>0</v>
      </c>
      <c r="I440" s="3">
        <f t="shared" si="6"/>
        <v>0</v>
      </c>
      <c r="J440" s="3">
        <f t="shared" si="7"/>
        <v>0</v>
      </c>
      <c r="K440" s="3"/>
      <c r="L440" s="3">
        <f t="shared" si="8"/>
        <v>397.4122386</v>
      </c>
      <c r="M440" s="14">
        <f t="shared" si="9"/>
        <v>396.6722148</v>
      </c>
      <c r="N440" s="14">
        <f t="shared" si="10"/>
        <v>0.7400237957</v>
      </c>
      <c r="O440" s="3"/>
      <c r="P440" s="3"/>
      <c r="Q440" s="3"/>
      <c r="R440" s="2"/>
      <c r="S440" s="14">
        <f t="shared" si="13"/>
        <v>0.6795609897</v>
      </c>
    </row>
    <row r="441">
      <c r="A441" s="11">
        <v>429.0</v>
      </c>
      <c r="B441" s="11">
        <v>1.42126086956521E9</v>
      </c>
      <c r="C441" s="2">
        <v>-102.7727127</v>
      </c>
      <c r="D441" s="3">
        <f t="shared" si="1"/>
        <v>860869.5652</v>
      </c>
      <c r="E441" s="4">
        <f t="shared" si="2"/>
        <v>-182.7409303</v>
      </c>
      <c r="F441" s="3">
        <f t="shared" si="3"/>
        <v>0.000212274818</v>
      </c>
      <c r="G441" s="3">
        <f t="shared" si="4"/>
        <v>0</v>
      </c>
      <c r="H441" s="2">
        <f t="shared" si="5"/>
        <v>0</v>
      </c>
      <c r="I441" s="3">
        <f t="shared" si="6"/>
        <v>0</v>
      </c>
      <c r="J441" s="3">
        <f t="shared" si="7"/>
        <v>0</v>
      </c>
      <c r="K441" s="3"/>
      <c r="L441" s="3">
        <f t="shared" si="8"/>
        <v>401.6380939</v>
      </c>
      <c r="M441" s="14">
        <f t="shared" si="9"/>
        <v>396.6000385</v>
      </c>
      <c r="N441" s="14">
        <f t="shared" si="10"/>
        <v>5.038055436</v>
      </c>
      <c r="O441" s="3"/>
      <c r="P441" s="3"/>
      <c r="Q441" s="3"/>
      <c r="R441" s="2"/>
      <c r="S441" s="14">
        <f t="shared" si="13"/>
        <v>4.626426823</v>
      </c>
    </row>
    <row r="442">
      <c r="A442" s="11">
        <v>430.0</v>
      </c>
      <c r="B442" s="11">
        <v>1.4212652173913E9</v>
      </c>
      <c r="C442" s="2">
        <v>-102.8632965</v>
      </c>
      <c r="D442" s="3">
        <f t="shared" si="1"/>
        <v>865217.3913</v>
      </c>
      <c r="E442" s="4">
        <f t="shared" si="2"/>
        <v>-183.6592264</v>
      </c>
      <c r="F442" s="3">
        <f t="shared" si="3"/>
        <v>0.0002122694577</v>
      </c>
      <c r="G442" s="3">
        <f t="shared" si="4"/>
        <v>0</v>
      </c>
      <c r="H442" s="2">
        <f t="shared" si="5"/>
        <v>0</v>
      </c>
      <c r="I442" s="3">
        <f t="shared" si="6"/>
        <v>0</v>
      </c>
      <c r="J442" s="3">
        <f t="shared" si="7"/>
        <v>0</v>
      </c>
      <c r="K442" s="3"/>
      <c r="L442" s="3">
        <f t="shared" si="8"/>
        <v>393.3476115</v>
      </c>
      <c r="M442" s="14">
        <f t="shared" si="9"/>
        <v>396.5279267</v>
      </c>
      <c r="N442" s="14">
        <f t="shared" si="10"/>
        <v>-3.18031521</v>
      </c>
      <c r="O442" s="3"/>
      <c r="P442" s="3"/>
      <c r="Q442" s="3"/>
      <c r="R442" s="2"/>
      <c r="S442" s="14">
        <f t="shared" si="13"/>
        <v>-2.920471152</v>
      </c>
    </row>
    <row r="443">
      <c r="A443" s="11">
        <v>431.0</v>
      </c>
      <c r="B443" s="11">
        <v>1.42126956521739E9</v>
      </c>
      <c r="C443" s="2">
        <v>-102.7717438</v>
      </c>
      <c r="D443" s="3">
        <f t="shared" si="1"/>
        <v>869565.2174</v>
      </c>
      <c r="E443" s="4">
        <f t="shared" si="2"/>
        <v>-184.5775226</v>
      </c>
      <c r="F443" s="3">
        <f t="shared" si="3"/>
        <v>0.0002122641509</v>
      </c>
      <c r="G443" s="3">
        <f t="shared" si="4"/>
        <v>0</v>
      </c>
      <c r="H443" s="2">
        <f t="shared" si="5"/>
        <v>0</v>
      </c>
      <c r="I443" s="3">
        <f t="shared" si="6"/>
        <v>0</v>
      </c>
      <c r="J443" s="3">
        <f t="shared" si="7"/>
        <v>0</v>
      </c>
      <c r="K443" s="3"/>
      <c r="L443" s="3">
        <f t="shared" si="8"/>
        <v>401.7277084</v>
      </c>
      <c r="M443" s="14">
        <f t="shared" si="9"/>
        <v>396.4558794</v>
      </c>
      <c r="N443" s="14">
        <f t="shared" si="10"/>
        <v>5.271829002</v>
      </c>
      <c r="O443" s="3"/>
      <c r="P443" s="3"/>
      <c r="Q443" s="3"/>
      <c r="R443" s="2"/>
      <c r="S443" s="14">
        <f t="shared" si="13"/>
        <v>4.841100185</v>
      </c>
    </row>
    <row r="444">
      <c r="A444" s="11">
        <v>432.0</v>
      </c>
      <c r="B444" s="11">
        <v>1.42127391304347E9</v>
      </c>
      <c r="C444" s="2">
        <v>-102.8043747</v>
      </c>
      <c r="D444" s="3">
        <f t="shared" si="1"/>
        <v>873913.0435</v>
      </c>
      <c r="E444" s="4">
        <f t="shared" si="2"/>
        <v>-185.4958187</v>
      </c>
      <c r="F444" s="3">
        <f t="shared" si="3"/>
        <v>0.000212258897</v>
      </c>
      <c r="G444" s="3">
        <f t="shared" si="4"/>
        <v>0</v>
      </c>
      <c r="H444" s="2">
        <f t="shared" si="5"/>
        <v>0</v>
      </c>
      <c r="I444" s="3">
        <f t="shared" si="6"/>
        <v>0</v>
      </c>
      <c r="J444" s="3">
        <f t="shared" si="7"/>
        <v>0</v>
      </c>
      <c r="K444" s="3"/>
      <c r="L444" s="3">
        <f t="shared" si="8"/>
        <v>398.7206213</v>
      </c>
      <c r="M444" s="14">
        <f t="shared" si="9"/>
        <v>396.3838965</v>
      </c>
      <c r="N444" s="14">
        <f t="shared" si="10"/>
        <v>2.336724806</v>
      </c>
      <c r="O444" s="3"/>
      <c r="P444" s="3"/>
      <c r="Q444" s="3"/>
      <c r="R444" s="2"/>
      <c r="S444" s="14">
        <f t="shared" si="13"/>
        <v>2.145805353</v>
      </c>
    </row>
    <row r="445">
      <c r="A445" s="11">
        <v>433.0</v>
      </c>
      <c r="B445" s="11">
        <v>1.42127826086956E9</v>
      </c>
      <c r="C445" s="2">
        <v>-102.8927231</v>
      </c>
      <c r="D445" s="3">
        <f t="shared" si="1"/>
        <v>878260.8696</v>
      </c>
      <c r="E445" s="4">
        <f t="shared" si="2"/>
        <v>-186.4141148</v>
      </c>
      <c r="F445" s="3">
        <f t="shared" si="3"/>
        <v>0.0002122536951</v>
      </c>
      <c r="G445" s="3">
        <f t="shared" si="4"/>
        <v>0</v>
      </c>
      <c r="H445" s="2">
        <f t="shared" si="5"/>
        <v>0</v>
      </c>
      <c r="I445" s="3">
        <f t="shared" si="6"/>
        <v>0</v>
      </c>
      <c r="J445" s="3">
        <f t="shared" si="7"/>
        <v>0</v>
      </c>
      <c r="K445" s="3"/>
      <c r="L445" s="3">
        <f t="shared" si="8"/>
        <v>390.6914053</v>
      </c>
      <c r="M445" s="14">
        <f t="shared" si="9"/>
        <v>396.311978</v>
      </c>
      <c r="N445" s="14">
        <f t="shared" si="10"/>
        <v>-5.620572772</v>
      </c>
      <c r="O445" s="3"/>
      <c r="P445" s="3"/>
      <c r="Q445" s="3"/>
      <c r="R445" s="2"/>
      <c r="S445" s="14">
        <f t="shared" si="13"/>
        <v>-5.161350228</v>
      </c>
    </row>
    <row r="446">
      <c r="A446" s="11">
        <v>434.0</v>
      </c>
      <c r="B446" s="11">
        <v>1.42128260869565E9</v>
      </c>
      <c r="C446" s="2">
        <v>-102.8085022</v>
      </c>
      <c r="D446" s="3">
        <f t="shared" si="1"/>
        <v>882608.6957</v>
      </c>
      <c r="E446" s="4">
        <f t="shared" si="2"/>
        <v>-187.332411</v>
      </c>
      <c r="F446" s="3">
        <f t="shared" si="3"/>
        <v>0.0002122485444</v>
      </c>
      <c r="G446" s="3">
        <f t="shared" si="4"/>
        <v>0</v>
      </c>
      <c r="H446" s="2">
        <f t="shared" si="5"/>
        <v>0</v>
      </c>
      <c r="I446" s="3">
        <f t="shared" si="6"/>
        <v>0</v>
      </c>
      <c r="J446" s="3">
        <f t="shared" si="7"/>
        <v>0</v>
      </c>
      <c r="K446" s="3"/>
      <c r="L446" s="3">
        <f t="shared" si="8"/>
        <v>398.3418604</v>
      </c>
      <c r="M446" s="14">
        <f t="shared" si="9"/>
        <v>396.240124</v>
      </c>
      <c r="N446" s="14">
        <f t="shared" si="10"/>
        <v>2.101736447</v>
      </c>
      <c r="O446" s="3"/>
      <c r="P446" s="3"/>
      <c r="Q446" s="3"/>
      <c r="R446" s="2"/>
      <c r="S446" s="14">
        <f t="shared" si="13"/>
        <v>1.930016452</v>
      </c>
    </row>
    <row r="447">
      <c r="A447" s="11">
        <v>435.0</v>
      </c>
      <c r="B447" s="11">
        <v>1.42128695652173E9</v>
      </c>
      <c r="C447" s="2">
        <v>-102.8714218</v>
      </c>
      <c r="D447" s="3">
        <f t="shared" si="1"/>
        <v>886956.5217</v>
      </c>
      <c r="E447" s="4">
        <f t="shared" si="2"/>
        <v>-188.2507071</v>
      </c>
      <c r="F447" s="3">
        <f t="shared" si="3"/>
        <v>0.0002122434443</v>
      </c>
      <c r="G447" s="3">
        <f t="shared" si="4"/>
        <v>0</v>
      </c>
      <c r="H447" s="2">
        <f t="shared" si="5"/>
        <v>0</v>
      </c>
      <c r="I447" s="3">
        <f t="shared" si="6"/>
        <v>0</v>
      </c>
      <c r="J447" s="3">
        <f t="shared" si="7"/>
        <v>0</v>
      </c>
      <c r="K447" s="3"/>
      <c r="L447" s="3">
        <f t="shared" si="8"/>
        <v>392.6123778</v>
      </c>
      <c r="M447" s="14">
        <f t="shared" si="9"/>
        <v>396.1683343</v>
      </c>
      <c r="N447" s="14">
        <f t="shared" si="10"/>
        <v>-3.555956519</v>
      </c>
      <c r="O447" s="3"/>
      <c r="P447" s="3"/>
      <c r="Q447" s="3"/>
      <c r="R447" s="2"/>
      <c r="S447" s="14">
        <f t="shared" si="13"/>
        <v>-3.26542112</v>
      </c>
    </row>
    <row r="448">
      <c r="A448" s="11">
        <v>436.0</v>
      </c>
      <c r="B448" s="11">
        <v>1.42129130434782E9</v>
      </c>
      <c r="C448" s="2">
        <v>-102.857811</v>
      </c>
      <c r="D448" s="3">
        <f t="shared" si="1"/>
        <v>891304.3478</v>
      </c>
      <c r="E448" s="4">
        <f t="shared" si="2"/>
        <v>-189.1690032</v>
      </c>
      <c r="F448" s="3">
        <f t="shared" si="3"/>
        <v>0.0002122383939</v>
      </c>
      <c r="G448" s="3">
        <f t="shared" si="4"/>
        <v>0</v>
      </c>
      <c r="H448" s="2">
        <f t="shared" si="5"/>
        <v>0</v>
      </c>
      <c r="I448" s="3">
        <f t="shared" si="6"/>
        <v>0</v>
      </c>
      <c r="J448" s="3">
        <f t="shared" si="7"/>
        <v>0</v>
      </c>
      <c r="K448" s="3"/>
      <c r="L448" s="3">
        <f t="shared" si="8"/>
        <v>393.8447561</v>
      </c>
      <c r="M448" s="14">
        <f t="shared" si="9"/>
        <v>396.096609</v>
      </c>
      <c r="N448" s="14">
        <f t="shared" si="10"/>
        <v>-2.251852912</v>
      </c>
      <c r="O448" s="3"/>
      <c r="P448" s="3"/>
      <c r="Q448" s="3"/>
      <c r="R448" s="2"/>
      <c r="S448" s="14">
        <f t="shared" si="13"/>
        <v>-2.06786782</v>
      </c>
    </row>
    <row r="449">
      <c r="A449" s="11">
        <v>437.0</v>
      </c>
      <c r="B449" s="11">
        <v>1.42129565217391E9</v>
      </c>
      <c r="C449" s="2">
        <v>-102.817482</v>
      </c>
      <c r="D449" s="3">
        <f t="shared" si="1"/>
        <v>895652.1739</v>
      </c>
      <c r="E449" s="4">
        <f t="shared" si="2"/>
        <v>-190.0872994</v>
      </c>
      <c r="F449" s="3">
        <f t="shared" si="3"/>
        <v>0.0002122333925</v>
      </c>
      <c r="G449" s="3">
        <f t="shared" si="4"/>
        <v>0</v>
      </c>
      <c r="H449" s="2">
        <f t="shared" si="5"/>
        <v>0</v>
      </c>
      <c r="I449" s="3">
        <f t="shared" si="6"/>
        <v>0</v>
      </c>
      <c r="J449" s="3">
        <f t="shared" si="7"/>
        <v>0</v>
      </c>
      <c r="K449" s="3"/>
      <c r="L449" s="3">
        <f t="shared" si="8"/>
        <v>397.5190697</v>
      </c>
      <c r="M449" s="14">
        <f t="shared" si="9"/>
        <v>396.0249481</v>
      </c>
      <c r="N449" s="14">
        <f t="shared" si="10"/>
        <v>1.494121632</v>
      </c>
      <c r="O449" s="3"/>
      <c r="P449" s="3"/>
      <c r="Q449" s="3"/>
      <c r="R449" s="2"/>
      <c r="S449" s="14">
        <f t="shared" si="13"/>
        <v>1.372046113</v>
      </c>
    </row>
    <row r="450">
      <c r="A450" s="11">
        <v>438.0</v>
      </c>
      <c r="B450" s="11">
        <v>1.4213E9</v>
      </c>
      <c r="C450" s="2">
        <v>-102.8299866</v>
      </c>
      <c r="D450" s="3">
        <f t="shared" si="1"/>
        <v>900000</v>
      </c>
      <c r="E450" s="4">
        <f t="shared" si="2"/>
        <v>-191.0055955</v>
      </c>
      <c r="F450" s="3">
        <f t="shared" si="3"/>
        <v>0.0002122284394</v>
      </c>
      <c r="G450" s="3">
        <f t="shared" si="4"/>
        <v>0</v>
      </c>
      <c r="H450" s="2">
        <f t="shared" si="5"/>
        <v>0</v>
      </c>
      <c r="I450" s="3">
        <f t="shared" si="6"/>
        <v>0</v>
      </c>
      <c r="J450" s="3">
        <f t="shared" si="7"/>
        <v>0</v>
      </c>
      <c r="K450" s="3"/>
      <c r="L450" s="3">
        <f t="shared" si="8"/>
        <v>396.376143</v>
      </c>
      <c r="M450" s="14">
        <f t="shared" si="9"/>
        <v>395.9533515</v>
      </c>
      <c r="N450" s="14">
        <f t="shared" si="10"/>
        <v>0.4227915439</v>
      </c>
      <c r="O450" s="3"/>
      <c r="P450" s="3"/>
      <c r="Q450" s="3"/>
      <c r="R450" s="2"/>
      <c r="S450" s="14">
        <f t="shared" si="13"/>
        <v>0.3882478397</v>
      </c>
    </row>
    <row r="451">
      <c r="A451" s="11">
        <v>439.0</v>
      </c>
      <c r="B451" s="11">
        <v>1.42130434782608E9</v>
      </c>
      <c r="C451" s="2">
        <v>-102.8423386</v>
      </c>
      <c r="D451" s="3">
        <f t="shared" si="1"/>
        <v>904347.8261</v>
      </c>
      <c r="E451" s="4">
        <f t="shared" si="2"/>
        <v>-191.9238916</v>
      </c>
      <c r="F451" s="3">
        <f t="shared" si="3"/>
        <v>0.000212223534</v>
      </c>
      <c r="G451" s="3">
        <f t="shared" si="4"/>
        <v>0</v>
      </c>
      <c r="H451" s="2">
        <f t="shared" si="5"/>
        <v>0</v>
      </c>
      <c r="I451" s="3">
        <f t="shared" si="6"/>
        <v>0</v>
      </c>
      <c r="J451" s="3">
        <f t="shared" si="7"/>
        <v>0</v>
      </c>
      <c r="K451" s="3"/>
      <c r="L451" s="3">
        <f t="shared" si="8"/>
        <v>395.2503902</v>
      </c>
      <c r="M451" s="14">
        <f t="shared" si="9"/>
        <v>395.8818192</v>
      </c>
      <c r="N451" s="14">
        <f t="shared" si="10"/>
        <v>-0.6314289245</v>
      </c>
      <c r="O451" s="3"/>
      <c r="P451" s="3"/>
      <c r="Q451" s="3"/>
      <c r="R451" s="2"/>
      <c r="S451" s="14">
        <f t="shared" si="13"/>
        <v>-0.5798387395</v>
      </c>
    </row>
    <row r="452">
      <c r="A452" s="11">
        <v>440.0</v>
      </c>
      <c r="B452" s="11">
        <v>1.42130869565217E9</v>
      </c>
      <c r="C452" s="2">
        <v>-102.8470764</v>
      </c>
      <c r="D452" s="3">
        <f t="shared" si="1"/>
        <v>908695.6522</v>
      </c>
      <c r="E452" s="4">
        <f t="shared" si="2"/>
        <v>-192.8421877</v>
      </c>
      <c r="F452" s="3">
        <f t="shared" si="3"/>
        <v>0.0002122186755</v>
      </c>
      <c r="G452" s="3">
        <f t="shared" si="4"/>
        <v>0</v>
      </c>
      <c r="H452" s="2">
        <f t="shared" si="5"/>
        <v>0</v>
      </c>
      <c r="I452" s="3">
        <f t="shared" si="6"/>
        <v>0</v>
      </c>
      <c r="J452" s="3">
        <f t="shared" si="7"/>
        <v>0</v>
      </c>
      <c r="K452" s="3"/>
      <c r="L452" s="3">
        <f t="shared" si="8"/>
        <v>394.8194393</v>
      </c>
      <c r="M452" s="14">
        <f t="shared" si="9"/>
        <v>395.8103511</v>
      </c>
      <c r="N452" s="14">
        <f t="shared" si="10"/>
        <v>-0.9909118712</v>
      </c>
      <c r="O452" s="3"/>
      <c r="P452" s="3"/>
      <c r="Q452" s="3"/>
      <c r="R452" s="2"/>
      <c r="S452" s="14">
        <f t="shared" si="13"/>
        <v>-0.9099505371</v>
      </c>
    </row>
    <row r="453">
      <c r="A453" s="11">
        <v>441.0</v>
      </c>
      <c r="B453" s="11">
        <v>1.42131304347826E9</v>
      </c>
      <c r="C453" s="2">
        <v>-102.887352</v>
      </c>
      <c r="D453" s="3">
        <f t="shared" si="1"/>
        <v>913043.4783</v>
      </c>
      <c r="E453" s="4">
        <f t="shared" si="2"/>
        <v>-193.7604839</v>
      </c>
      <c r="F453" s="3">
        <f t="shared" si="3"/>
        <v>0.0002122138633</v>
      </c>
      <c r="G453" s="3">
        <f t="shared" si="4"/>
        <v>0</v>
      </c>
      <c r="H453" s="2">
        <f t="shared" si="5"/>
        <v>0</v>
      </c>
      <c r="I453" s="3">
        <f t="shared" si="6"/>
        <v>0</v>
      </c>
      <c r="J453" s="3">
        <f t="shared" si="7"/>
        <v>0</v>
      </c>
      <c r="K453" s="3"/>
      <c r="L453" s="3">
        <f t="shared" si="8"/>
        <v>391.1748884</v>
      </c>
      <c r="M453" s="14">
        <f t="shared" si="9"/>
        <v>395.7389474</v>
      </c>
      <c r="N453" s="14">
        <f t="shared" si="10"/>
        <v>-4.56405896</v>
      </c>
      <c r="O453" s="3"/>
      <c r="P453" s="3"/>
      <c r="Q453" s="3"/>
      <c r="R453" s="2"/>
      <c r="S453" s="14">
        <f t="shared" si="13"/>
        <v>-4.191157693</v>
      </c>
    </row>
    <row r="454">
      <c r="A454" s="11">
        <v>442.0</v>
      </c>
      <c r="B454" s="11">
        <v>1.42131739130434E9</v>
      </c>
      <c r="C454" s="2">
        <v>-102.8184509</v>
      </c>
      <c r="D454" s="3">
        <f t="shared" si="1"/>
        <v>917391.3043</v>
      </c>
      <c r="E454" s="4">
        <f t="shared" si="2"/>
        <v>-194.67878</v>
      </c>
      <c r="F454" s="3">
        <f t="shared" si="3"/>
        <v>0.0002122090967</v>
      </c>
      <c r="G454" s="3">
        <f t="shared" si="4"/>
        <v>0</v>
      </c>
      <c r="H454" s="2">
        <f t="shared" si="5"/>
        <v>0</v>
      </c>
      <c r="I454" s="3">
        <f t="shared" si="6"/>
        <v>0</v>
      </c>
      <c r="J454" s="3">
        <f t="shared" si="7"/>
        <v>0</v>
      </c>
      <c r="K454" s="3"/>
      <c r="L454" s="3">
        <f t="shared" si="8"/>
        <v>397.4303941</v>
      </c>
      <c r="M454" s="14">
        <f t="shared" si="9"/>
        <v>395.6676079</v>
      </c>
      <c r="N454" s="14">
        <f t="shared" si="10"/>
        <v>1.762786181</v>
      </c>
      <c r="O454" s="3"/>
      <c r="P454" s="3"/>
      <c r="Q454" s="3"/>
      <c r="R454" s="2"/>
      <c r="S454" s="14">
        <f t="shared" si="13"/>
        <v>1.618759733</v>
      </c>
    </row>
    <row r="455">
      <c r="A455" s="11">
        <v>443.0</v>
      </c>
      <c r="B455" s="11">
        <v>1.42132173913043E9</v>
      </c>
      <c r="C455" s="2">
        <v>-102.8213654</v>
      </c>
      <c r="D455" s="3">
        <f t="shared" si="1"/>
        <v>921739.1304</v>
      </c>
      <c r="E455" s="4">
        <f t="shared" si="2"/>
        <v>-195.5970761</v>
      </c>
      <c r="F455" s="3">
        <f t="shared" si="3"/>
        <v>0.0002122043751</v>
      </c>
      <c r="G455" s="3">
        <f t="shared" si="4"/>
        <v>0</v>
      </c>
      <c r="H455" s="2">
        <f t="shared" si="5"/>
        <v>0</v>
      </c>
      <c r="I455" s="3">
        <f t="shared" si="6"/>
        <v>0</v>
      </c>
      <c r="J455" s="3">
        <f t="shared" si="7"/>
        <v>0</v>
      </c>
      <c r="K455" s="3"/>
      <c r="L455" s="3">
        <f t="shared" si="8"/>
        <v>397.1637726</v>
      </c>
      <c r="M455" s="14">
        <f t="shared" si="9"/>
        <v>395.5963327</v>
      </c>
      <c r="N455" s="14">
        <f t="shared" si="10"/>
        <v>1.567439965</v>
      </c>
      <c r="O455" s="3"/>
      <c r="P455" s="3"/>
      <c r="Q455" s="3"/>
      <c r="R455" s="2"/>
      <c r="S455" s="14">
        <f t="shared" si="13"/>
        <v>1.439374055</v>
      </c>
    </row>
    <row r="456">
      <c r="A456" s="11">
        <v>444.0</v>
      </c>
      <c r="B456" s="11">
        <v>1.42132608695652E9</v>
      </c>
      <c r="C456" s="2">
        <v>-102.8607712</v>
      </c>
      <c r="D456" s="3">
        <f t="shared" si="1"/>
        <v>926086.9565</v>
      </c>
      <c r="E456" s="4">
        <f t="shared" si="2"/>
        <v>-196.5153723</v>
      </c>
      <c r="F456" s="3">
        <f t="shared" si="3"/>
        <v>0.0002121996978</v>
      </c>
      <c r="G456" s="3">
        <f t="shared" si="4"/>
        <v>0</v>
      </c>
      <c r="H456" s="2">
        <f t="shared" si="5"/>
        <v>0</v>
      </c>
      <c r="I456" s="3">
        <f t="shared" si="6"/>
        <v>0</v>
      </c>
      <c r="J456" s="3">
        <f t="shared" si="7"/>
        <v>0</v>
      </c>
      <c r="K456" s="3"/>
      <c r="L456" s="3">
        <f t="shared" si="8"/>
        <v>393.5763986</v>
      </c>
      <c r="M456" s="14">
        <f t="shared" si="9"/>
        <v>395.5251216</v>
      </c>
      <c r="N456" s="14">
        <f t="shared" si="10"/>
        <v>-1.948723073</v>
      </c>
      <c r="O456" s="3"/>
      <c r="P456" s="3"/>
      <c r="Q456" s="3"/>
      <c r="R456" s="2"/>
      <c r="S456" s="14">
        <f t="shared" si="13"/>
        <v>-1.789504862</v>
      </c>
    </row>
    <row r="457">
      <c r="A457" s="11">
        <v>445.0</v>
      </c>
      <c r="B457" s="11">
        <v>1.4213304347826E9</v>
      </c>
      <c r="C457" s="2">
        <v>-102.8852005</v>
      </c>
      <c r="D457" s="3">
        <f t="shared" si="1"/>
        <v>930434.7826</v>
      </c>
      <c r="E457" s="4">
        <f t="shared" si="2"/>
        <v>-197.4336684</v>
      </c>
      <c r="F457" s="3">
        <f t="shared" si="3"/>
        <v>0.0002121950642</v>
      </c>
      <c r="G457" s="3">
        <f t="shared" si="4"/>
        <v>0</v>
      </c>
      <c r="H457" s="2">
        <f t="shared" si="5"/>
        <v>0</v>
      </c>
      <c r="I457" s="3">
        <f t="shared" si="6"/>
        <v>0</v>
      </c>
      <c r="J457" s="3">
        <f t="shared" si="7"/>
        <v>0</v>
      </c>
      <c r="K457" s="3"/>
      <c r="L457" s="3">
        <f t="shared" si="8"/>
        <v>391.368725</v>
      </c>
      <c r="M457" s="14">
        <f t="shared" si="9"/>
        <v>395.4539748</v>
      </c>
      <c r="N457" s="14">
        <f t="shared" si="10"/>
        <v>-4.08524985</v>
      </c>
      <c r="O457" s="3"/>
      <c r="P457" s="3"/>
      <c r="Q457" s="3"/>
      <c r="R457" s="2"/>
      <c r="S457" s="14">
        <f t="shared" si="13"/>
        <v>-3.751469138</v>
      </c>
    </row>
    <row r="458">
      <c r="A458" s="11">
        <v>446.0</v>
      </c>
      <c r="B458" s="11">
        <v>1.42133478260869E9</v>
      </c>
      <c r="C458" s="2">
        <v>-102.8338242</v>
      </c>
      <c r="D458" s="3">
        <f t="shared" si="1"/>
        <v>934782.6087</v>
      </c>
      <c r="E458" s="4">
        <f t="shared" si="2"/>
        <v>-198.3519645</v>
      </c>
      <c r="F458" s="3">
        <f t="shared" si="3"/>
        <v>0.0002121904737</v>
      </c>
      <c r="G458" s="3">
        <f t="shared" si="4"/>
        <v>0</v>
      </c>
      <c r="H458" s="2">
        <f t="shared" si="5"/>
        <v>0</v>
      </c>
      <c r="I458" s="3">
        <f t="shared" si="6"/>
        <v>0</v>
      </c>
      <c r="J458" s="3">
        <f t="shared" si="7"/>
        <v>0</v>
      </c>
      <c r="K458" s="3"/>
      <c r="L458" s="3">
        <f t="shared" si="8"/>
        <v>396.0260439</v>
      </c>
      <c r="M458" s="14">
        <f t="shared" si="9"/>
        <v>395.3828921</v>
      </c>
      <c r="N458" s="14">
        <f t="shared" si="10"/>
        <v>0.6431517205</v>
      </c>
      <c r="O458" s="3"/>
      <c r="P458" s="3"/>
      <c r="Q458" s="3"/>
      <c r="R458" s="2"/>
      <c r="S458" s="14">
        <f t="shared" si="13"/>
        <v>0.5906037377</v>
      </c>
    </row>
    <row r="459">
      <c r="A459" s="11">
        <v>447.0</v>
      </c>
      <c r="B459" s="11">
        <v>1.42133913043478E9</v>
      </c>
      <c r="C459" s="2">
        <v>-102.8237686</v>
      </c>
      <c r="D459" s="3">
        <f t="shared" si="1"/>
        <v>939130.4348</v>
      </c>
      <c r="E459" s="4">
        <f t="shared" si="2"/>
        <v>-199.2702607</v>
      </c>
      <c r="F459" s="3">
        <f t="shared" si="3"/>
        <v>0.0002121859257</v>
      </c>
      <c r="G459" s="3">
        <f t="shared" si="4"/>
        <v>0</v>
      </c>
      <c r="H459" s="2">
        <f t="shared" si="5"/>
        <v>0</v>
      </c>
      <c r="I459" s="3">
        <f t="shared" si="6"/>
        <v>0</v>
      </c>
      <c r="J459" s="3">
        <f t="shared" si="7"/>
        <v>0</v>
      </c>
      <c r="K459" s="3"/>
      <c r="L459" s="3">
        <f t="shared" si="8"/>
        <v>396.94406</v>
      </c>
      <c r="M459" s="14">
        <f t="shared" si="9"/>
        <v>395.3118736</v>
      </c>
      <c r="N459" s="14">
        <f t="shared" si="10"/>
        <v>1.632186327</v>
      </c>
      <c r="O459" s="3"/>
      <c r="P459" s="3"/>
      <c r="Q459" s="3"/>
      <c r="R459" s="2"/>
      <c r="S459" s="14">
        <f t="shared" si="13"/>
        <v>1.498830389</v>
      </c>
    </row>
    <row r="460">
      <c r="A460" s="11">
        <v>448.0</v>
      </c>
      <c r="B460" s="11">
        <v>1.42134347826087E9</v>
      </c>
      <c r="C460" s="2">
        <v>-102.7886963</v>
      </c>
      <c r="D460" s="3">
        <f t="shared" si="1"/>
        <v>943478.2609</v>
      </c>
      <c r="E460" s="4">
        <f t="shared" si="2"/>
        <v>-200.1885568</v>
      </c>
      <c r="F460" s="3">
        <f t="shared" si="3"/>
        <v>0.0002121814197</v>
      </c>
      <c r="G460" s="3">
        <f t="shared" si="4"/>
        <v>0</v>
      </c>
      <c r="H460" s="2">
        <f t="shared" si="5"/>
        <v>0</v>
      </c>
      <c r="I460" s="3">
        <f t="shared" si="6"/>
        <v>0</v>
      </c>
      <c r="J460" s="3">
        <f t="shared" si="7"/>
        <v>0</v>
      </c>
      <c r="K460" s="3"/>
      <c r="L460" s="3">
        <f t="shared" si="8"/>
        <v>400.162638</v>
      </c>
      <c r="M460" s="14">
        <f t="shared" si="9"/>
        <v>395.2409193</v>
      </c>
      <c r="N460" s="14">
        <f t="shared" si="10"/>
        <v>4.921718684</v>
      </c>
      <c r="O460" s="3"/>
      <c r="P460" s="3"/>
      <c r="Q460" s="3"/>
      <c r="R460" s="2"/>
      <c r="S460" s="14">
        <f t="shared" si="13"/>
        <v>4.519595234</v>
      </c>
    </row>
    <row r="461">
      <c r="A461" s="11">
        <v>449.0</v>
      </c>
      <c r="B461" s="11">
        <v>1.42134782608695E9</v>
      </c>
      <c r="C461" s="2">
        <v>-102.8334198</v>
      </c>
      <c r="D461" s="3">
        <f t="shared" si="1"/>
        <v>947826.087</v>
      </c>
      <c r="E461" s="4">
        <f t="shared" si="2"/>
        <v>-201.1068529</v>
      </c>
      <c r="F461" s="3">
        <f t="shared" si="3"/>
        <v>0.0002121769549</v>
      </c>
      <c r="G461" s="3">
        <f t="shared" si="4"/>
        <v>0</v>
      </c>
      <c r="H461" s="2">
        <f t="shared" si="5"/>
        <v>0</v>
      </c>
      <c r="I461" s="3">
        <f t="shared" si="6"/>
        <v>0</v>
      </c>
      <c r="J461" s="3">
        <f t="shared" si="7"/>
        <v>0</v>
      </c>
      <c r="K461" s="3"/>
      <c r="L461" s="3">
        <f t="shared" si="8"/>
        <v>396.0629222</v>
      </c>
      <c r="M461" s="14">
        <f t="shared" si="9"/>
        <v>395.1700291</v>
      </c>
      <c r="N461" s="14">
        <f t="shared" si="10"/>
        <v>0.8928931016</v>
      </c>
      <c r="O461" s="3"/>
      <c r="P461" s="3"/>
      <c r="Q461" s="3"/>
      <c r="R461" s="2"/>
      <c r="S461" s="14">
        <f t="shared" si="13"/>
        <v>0.8199402822</v>
      </c>
    </row>
    <row r="462">
      <c r="A462" s="11">
        <v>450.0</v>
      </c>
      <c r="B462" s="11">
        <v>1.42135217391304E9</v>
      </c>
      <c r="C462" s="2">
        <v>-102.7637177</v>
      </c>
      <c r="D462" s="3">
        <f t="shared" si="1"/>
        <v>952173.913</v>
      </c>
      <c r="E462" s="4">
        <f t="shared" si="2"/>
        <v>-202.0251491</v>
      </c>
      <c r="F462" s="3">
        <f t="shared" si="3"/>
        <v>0.000212172531</v>
      </c>
      <c r="G462" s="3">
        <f t="shared" si="4"/>
        <v>0</v>
      </c>
      <c r="H462" s="2">
        <f t="shared" si="5"/>
        <v>0</v>
      </c>
      <c r="I462" s="3">
        <f t="shared" si="6"/>
        <v>0</v>
      </c>
      <c r="J462" s="3">
        <f t="shared" si="7"/>
        <v>0</v>
      </c>
      <c r="K462" s="3"/>
      <c r="L462" s="3">
        <f t="shared" si="8"/>
        <v>402.4708189</v>
      </c>
      <c r="M462" s="14">
        <f t="shared" si="9"/>
        <v>395.0992029</v>
      </c>
      <c r="N462" s="14">
        <f t="shared" si="10"/>
        <v>7.37161598</v>
      </c>
      <c r="O462" s="3"/>
      <c r="P462" s="3"/>
      <c r="Q462" s="3"/>
      <c r="R462" s="2"/>
      <c r="S462" s="14">
        <f t="shared" si="13"/>
        <v>6.769326432</v>
      </c>
    </row>
    <row r="463">
      <c r="A463" s="11">
        <v>451.0</v>
      </c>
      <c r="B463" s="11">
        <v>1.42135652173913E9</v>
      </c>
      <c r="C463" s="2">
        <v>-102.8544464</v>
      </c>
      <c r="D463" s="3">
        <f t="shared" si="1"/>
        <v>956521.7391</v>
      </c>
      <c r="E463" s="4">
        <f t="shared" si="2"/>
        <v>-202.9434452</v>
      </c>
      <c r="F463" s="3">
        <f t="shared" si="3"/>
        <v>0.0002121681473</v>
      </c>
      <c r="G463" s="3">
        <f t="shared" si="4"/>
        <v>0</v>
      </c>
      <c r="H463" s="2">
        <f t="shared" si="5"/>
        <v>0</v>
      </c>
      <c r="I463" s="3">
        <f t="shared" si="6"/>
        <v>0</v>
      </c>
      <c r="J463" s="3">
        <f t="shared" si="7"/>
        <v>0</v>
      </c>
      <c r="K463" s="3"/>
      <c r="L463" s="3">
        <f t="shared" si="8"/>
        <v>394.1499968</v>
      </c>
      <c r="M463" s="14">
        <f t="shared" si="9"/>
        <v>395.0284409</v>
      </c>
      <c r="N463" s="14">
        <f t="shared" si="10"/>
        <v>-0.8784440685</v>
      </c>
      <c r="O463" s="3"/>
      <c r="P463" s="3"/>
      <c r="Q463" s="3"/>
      <c r="R463" s="2"/>
      <c r="S463" s="14">
        <f t="shared" si="13"/>
        <v>-0.8066717909</v>
      </c>
    </row>
    <row r="464">
      <c r="A464" s="11">
        <v>452.0</v>
      </c>
      <c r="B464" s="11">
        <v>1.42136086956521E9</v>
      </c>
      <c r="C464" s="2">
        <v>-102.8261414</v>
      </c>
      <c r="D464" s="3">
        <f t="shared" si="1"/>
        <v>960869.5652</v>
      </c>
      <c r="E464" s="4">
        <f t="shared" si="2"/>
        <v>-203.8617413</v>
      </c>
      <c r="F464" s="3">
        <f t="shared" si="3"/>
        <v>0.0002121638032</v>
      </c>
      <c r="G464" s="3">
        <f t="shared" si="4"/>
        <v>0</v>
      </c>
      <c r="H464" s="2">
        <f t="shared" si="5"/>
        <v>0</v>
      </c>
      <c r="I464" s="3">
        <f t="shared" si="6"/>
        <v>0</v>
      </c>
      <c r="J464" s="3">
        <f t="shared" si="7"/>
        <v>0</v>
      </c>
      <c r="K464" s="3"/>
      <c r="L464" s="3">
        <f t="shared" si="8"/>
        <v>396.7272459</v>
      </c>
      <c r="M464" s="14">
        <f t="shared" si="9"/>
        <v>394.9577429</v>
      </c>
      <c r="N464" s="14">
        <f t="shared" si="10"/>
        <v>1.769503002</v>
      </c>
      <c r="O464" s="3"/>
      <c r="P464" s="3"/>
      <c r="Q464" s="3"/>
      <c r="R464" s="2"/>
      <c r="S464" s="14">
        <f t="shared" si="13"/>
        <v>1.624927763</v>
      </c>
    </row>
    <row r="465">
      <c r="A465" s="11">
        <v>453.0</v>
      </c>
      <c r="B465" s="11">
        <v>1.4213652173913E9</v>
      </c>
      <c r="C465" s="2">
        <v>-102.8307114</v>
      </c>
      <c r="D465" s="3">
        <f t="shared" si="1"/>
        <v>965217.3913</v>
      </c>
      <c r="E465" s="4">
        <f t="shared" si="2"/>
        <v>-204.7800375</v>
      </c>
      <c r="F465" s="3">
        <f t="shared" si="3"/>
        <v>0.0002121594983</v>
      </c>
      <c r="G465" s="3">
        <f t="shared" si="4"/>
        <v>0</v>
      </c>
      <c r="H465" s="2">
        <f t="shared" si="5"/>
        <v>0</v>
      </c>
      <c r="I465" s="3">
        <f t="shared" si="6"/>
        <v>0</v>
      </c>
      <c r="J465" s="3">
        <f t="shared" si="7"/>
        <v>0</v>
      </c>
      <c r="K465" s="3"/>
      <c r="L465" s="3">
        <f t="shared" si="8"/>
        <v>396.3099968</v>
      </c>
      <c r="M465" s="14">
        <f t="shared" si="9"/>
        <v>394.8871089</v>
      </c>
      <c r="N465" s="14">
        <f t="shared" si="10"/>
        <v>1.422887816</v>
      </c>
      <c r="O465" s="3"/>
      <c r="P465" s="3"/>
      <c r="Q465" s="3"/>
      <c r="R465" s="2"/>
      <c r="S465" s="14">
        <f t="shared" si="13"/>
        <v>1.306632376</v>
      </c>
    </row>
    <row r="466">
      <c r="A466" s="11">
        <v>454.0</v>
      </c>
      <c r="B466" s="11">
        <v>1.42136956521739E9</v>
      </c>
      <c r="C466" s="2">
        <v>-102.8620148</v>
      </c>
      <c r="D466" s="3">
        <f t="shared" si="1"/>
        <v>969565.2174</v>
      </c>
      <c r="E466" s="4">
        <f t="shared" si="2"/>
        <v>-205.6983336</v>
      </c>
      <c r="F466" s="3">
        <f t="shared" si="3"/>
        <v>0.000212155232</v>
      </c>
      <c r="G466" s="3">
        <f t="shared" si="4"/>
        <v>0</v>
      </c>
      <c r="H466" s="2">
        <f t="shared" si="5"/>
        <v>0</v>
      </c>
      <c r="I466" s="3">
        <f t="shared" si="6"/>
        <v>0</v>
      </c>
      <c r="J466" s="3">
        <f t="shared" si="7"/>
        <v>0</v>
      </c>
      <c r="K466" s="3"/>
      <c r="L466" s="3">
        <f t="shared" si="8"/>
        <v>393.4637143</v>
      </c>
      <c r="M466" s="14">
        <f t="shared" si="9"/>
        <v>394.816539</v>
      </c>
      <c r="N466" s="14">
        <f t="shared" si="10"/>
        <v>-1.352824732</v>
      </c>
      <c r="O466" s="3"/>
      <c r="P466" s="3"/>
      <c r="Q466" s="3"/>
      <c r="R466" s="2"/>
      <c r="S466" s="14">
        <f t="shared" si="13"/>
        <v>-1.24229372</v>
      </c>
    </row>
    <row r="467">
      <c r="A467" s="11">
        <v>455.0</v>
      </c>
      <c r="B467" s="11">
        <v>1.42137391304347E9</v>
      </c>
      <c r="C467" s="2">
        <v>-102.8891907</v>
      </c>
      <c r="D467" s="3">
        <f t="shared" si="1"/>
        <v>973913.0435</v>
      </c>
      <c r="E467" s="4">
        <f t="shared" si="2"/>
        <v>-206.6166297</v>
      </c>
      <c r="F467" s="3">
        <f t="shared" si="3"/>
        <v>0.0002121510037</v>
      </c>
      <c r="G467" s="3">
        <f t="shared" si="4"/>
        <v>0</v>
      </c>
      <c r="H467" s="2">
        <f t="shared" si="5"/>
        <v>0</v>
      </c>
      <c r="I467" s="3">
        <f t="shared" si="6"/>
        <v>0</v>
      </c>
      <c r="J467" s="3">
        <f t="shared" si="7"/>
        <v>0</v>
      </c>
      <c r="K467" s="3"/>
      <c r="L467" s="3">
        <f t="shared" si="8"/>
        <v>391.0093093</v>
      </c>
      <c r="M467" s="14">
        <f t="shared" si="9"/>
        <v>394.7460331</v>
      </c>
      <c r="N467" s="14">
        <f t="shared" si="10"/>
        <v>-3.736723815</v>
      </c>
      <c r="O467" s="3"/>
      <c r="P467" s="3"/>
      <c r="Q467" s="3"/>
      <c r="R467" s="2"/>
      <c r="S467" s="14">
        <f t="shared" si="13"/>
        <v>-3.431419028</v>
      </c>
    </row>
    <row r="468">
      <c r="A468" s="11">
        <v>456.0</v>
      </c>
      <c r="B468" s="11">
        <v>1.42137826086956E9</v>
      </c>
      <c r="C468" s="2">
        <v>-102.8857956</v>
      </c>
      <c r="D468" s="3">
        <f t="shared" si="1"/>
        <v>978260.8696</v>
      </c>
      <c r="E468" s="4">
        <f t="shared" si="2"/>
        <v>-207.5349259</v>
      </c>
      <c r="F468" s="3">
        <f t="shared" si="3"/>
        <v>0.0002121468131</v>
      </c>
      <c r="G468" s="3">
        <f t="shared" si="4"/>
        <v>0</v>
      </c>
      <c r="H468" s="2">
        <f t="shared" si="5"/>
        <v>0</v>
      </c>
      <c r="I468" s="3">
        <f t="shared" si="6"/>
        <v>0</v>
      </c>
      <c r="J468" s="3">
        <f t="shared" si="7"/>
        <v>0</v>
      </c>
      <c r="K468" s="3"/>
      <c r="L468" s="3">
        <f t="shared" si="8"/>
        <v>391.3151006</v>
      </c>
      <c r="M468" s="14">
        <f t="shared" si="9"/>
        <v>394.6755912</v>
      </c>
      <c r="N468" s="14">
        <f t="shared" si="10"/>
        <v>-3.360490596</v>
      </c>
      <c r="O468" s="3"/>
      <c r="P468" s="3"/>
      <c r="Q468" s="3"/>
      <c r="R468" s="2"/>
      <c r="S468" s="14">
        <f t="shared" si="13"/>
        <v>-3.085925511</v>
      </c>
    </row>
    <row r="469">
      <c r="A469" s="11">
        <v>457.0</v>
      </c>
      <c r="B469" s="11">
        <v>1.42138260869565E9</v>
      </c>
      <c r="C469" s="2">
        <v>-102.8168945</v>
      </c>
      <c r="D469" s="3">
        <f t="shared" si="1"/>
        <v>982608.6957</v>
      </c>
      <c r="E469" s="4">
        <f t="shared" si="2"/>
        <v>-208.453222</v>
      </c>
      <c r="F469" s="3">
        <f t="shared" si="3"/>
        <v>0.0002121426596</v>
      </c>
      <c r="G469" s="3">
        <f t="shared" si="4"/>
        <v>0</v>
      </c>
      <c r="H469" s="2">
        <f t="shared" si="5"/>
        <v>0</v>
      </c>
      <c r="I469" s="3">
        <f t="shared" si="6"/>
        <v>0</v>
      </c>
      <c r="J469" s="3">
        <f t="shared" si="7"/>
        <v>0</v>
      </c>
      <c r="K469" s="3"/>
      <c r="L469" s="3">
        <f t="shared" si="8"/>
        <v>397.5728485</v>
      </c>
      <c r="M469" s="14">
        <f t="shared" si="9"/>
        <v>394.6052133</v>
      </c>
      <c r="N469" s="14">
        <f t="shared" si="10"/>
        <v>2.967635227</v>
      </c>
      <c r="O469" s="3"/>
      <c r="P469" s="3"/>
      <c r="Q469" s="3"/>
      <c r="R469" s="2"/>
      <c r="S469" s="14">
        <f t="shared" si="13"/>
        <v>2.725167952</v>
      </c>
    </row>
    <row r="470">
      <c r="A470" s="11">
        <v>458.0</v>
      </c>
      <c r="B470" s="11">
        <v>1.42138695652173E9</v>
      </c>
      <c r="C470" s="2">
        <v>-102.8523407</v>
      </c>
      <c r="D470" s="3">
        <f t="shared" si="1"/>
        <v>986956.5217</v>
      </c>
      <c r="E470" s="4">
        <f t="shared" si="2"/>
        <v>-209.3715181</v>
      </c>
      <c r="F470" s="3">
        <f t="shared" si="3"/>
        <v>0.0002121385426</v>
      </c>
      <c r="G470" s="3">
        <f t="shared" si="4"/>
        <v>0</v>
      </c>
      <c r="H470" s="2">
        <f t="shared" si="5"/>
        <v>0</v>
      </c>
      <c r="I470" s="3">
        <f t="shared" si="6"/>
        <v>0</v>
      </c>
      <c r="J470" s="3">
        <f t="shared" si="7"/>
        <v>0</v>
      </c>
      <c r="K470" s="3"/>
      <c r="L470" s="3">
        <f t="shared" si="8"/>
        <v>394.3411489</v>
      </c>
      <c r="M470" s="14">
        <f t="shared" si="9"/>
        <v>394.5348993</v>
      </c>
      <c r="N470" s="14">
        <f t="shared" si="10"/>
        <v>-0.1937503759</v>
      </c>
      <c r="O470" s="3"/>
      <c r="P470" s="3"/>
      <c r="Q470" s="3"/>
      <c r="R470" s="2"/>
      <c r="S470" s="14">
        <f t="shared" si="13"/>
        <v>-0.1779202209</v>
      </c>
    </row>
    <row r="471">
      <c r="A471" s="11">
        <v>459.0</v>
      </c>
      <c r="B471" s="11">
        <v>1.42139130434782E9</v>
      </c>
      <c r="C471" s="2">
        <v>-102.850029</v>
      </c>
      <c r="D471" s="3">
        <f t="shared" si="1"/>
        <v>991304.3478</v>
      </c>
      <c r="E471" s="4">
        <f t="shared" si="2"/>
        <v>-210.2898143</v>
      </c>
      <c r="F471" s="3">
        <f t="shared" si="3"/>
        <v>0.0002121344618</v>
      </c>
      <c r="G471" s="3">
        <f t="shared" si="4"/>
        <v>0</v>
      </c>
      <c r="H471" s="2">
        <f t="shared" si="5"/>
        <v>0</v>
      </c>
      <c r="I471" s="3">
        <f t="shared" si="6"/>
        <v>0</v>
      </c>
      <c r="J471" s="3">
        <f t="shared" si="7"/>
        <v>0</v>
      </c>
      <c r="K471" s="3"/>
      <c r="L471" s="3">
        <f t="shared" si="8"/>
        <v>394.551108</v>
      </c>
      <c r="M471" s="14">
        <f t="shared" si="9"/>
        <v>394.4646492</v>
      </c>
      <c r="N471" s="14">
        <f t="shared" si="10"/>
        <v>0.08645886614</v>
      </c>
      <c r="O471" s="3"/>
      <c r="P471" s="3"/>
      <c r="Q471" s="3"/>
      <c r="R471" s="2"/>
      <c r="S471" s="14">
        <f t="shared" si="13"/>
        <v>0.07939484242</v>
      </c>
    </row>
    <row r="472">
      <c r="A472" s="11">
        <v>460.0</v>
      </c>
      <c r="B472" s="11">
        <v>1.42139565217391E9</v>
      </c>
      <c r="C472" s="2">
        <v>-102.8502579</v>
      </c>
      <c r="D472" s="3">
        <f t="shared" si="1"/>
        <v>995652.1739</v>
      </c>
      <c r="E472" s="4">
        <f t="shared" si="2"/>
        <v>-211.2081104</v>
      </c>
      <c r="F472" s="3">
        <f t="shared" si="3"/>
        <v>0.0002121304166</v>
      </c>
      <c r="G472" s="3">
        <f t="shared" si="4"/>
        <v>0</v>
      </c>
      <c r="H472" s="2">
        <f t="shared" si="5"/>
        <v>0</v>
      </c>
      <c r="I472" s="3">
        <f t="shared" si="6"/>
        <v>0</v>
      </c>
      <c r="J472" s="3">
        <f t="shared" si="7"/>
        <v>0</v>
      </c>
      <c r="K472" s="3"/>
      <c r="L472" s="3">
        <f t="shared" si="8"/>
        <v>394.5303133</v>
      </c>
      <c r="M472" s="14">
        <f t="shared" si="9"/>
        <v>394.394463</v>
      </c>
      <c r="N472" s="14">
        <f t="shared" si="10"/>
        <v>0.1358502947</v>
      </c>
      <c r="O472" s="3"/>
      <c r="P472" s="3"/>
      <c r="Q472" s="3"/>
      <c r="R472" s="2"/>
      <c r="S472" s="14">
        <f t="shared" si="13"/>
        <v>0.1075784367</v>
      </c>
    </row>
    <row r="473">
      <c r="A473" s="11">
        <v>461.0</v>
      </c>
      <c r="B473" s="11">
        <v>1.4214E9</v>
      </c>
      <c r="C473" s="2">
        <v>-102.8805542</v>
      </c>
      <c r="D473" s="3">
        <f t="shared" si="1"/>
        <v>1000000</v>
      </c>
      <c r="E473" s="29">
        <f>-0.000212*D473</f>
        <v>-212</v>
      </c>
      <c r="F473" s="3">
        <f t="shared" si="3"/>
        <v>0.000212</v>
      </c>
      <c r="G473" s="3">
        <f t="shared" si="4"/>
        <v>0</v>
      </c>
      <c r="H473" s="2">
        <f t="shared" si="5"/>
        <v>0</v>
      </c>
      <c r="I473" s="3">
        <f t="shared" si="6"/>
        <v>0</v>
      </c>
      <c r="J473" s="3">
        <f t="shared" si="7"/>
        <v>0</v>
      </c>
      <c r="K473" s="3"/>
      <c r="L473" s="3">
        <f t="shared" si="8"/>
        <v>391.7876549</v>
      </c>
      <c r="M473" s="14">
        <f t="shared" si="9"/>
        <v>394.3339895</v>
      </c>
      <c r="N473" s="14">
        <f t="shared" si="10"/>
        <v>-2.546334642</v>
      </c>
      <c r="O473" s="3"/>
      <c r="P473" s="3"/>
      <c r="Q473" s="3"/>
      <c r="R473" s="2"/>
      <c r="S473" s="14"/>
    </row>
    <row r="474">
      <c r="A474" s="11" t="s">
        <v>40</v>
      </c>
      <c r="D474" s="3"/>
      <c r="E474" s="4"/>
      <c r="F474" s="3"/>
      <c r="G474" s="3"/>
      <c r="H474" s="3"/>
      <c r="I474" s="3"/>
      <c r="J474" s="3"/>
      <c r="K474" s="3"/>
      <c r="L474" s="3"/>
      <c r="M474" s="5"/>
      <c r="N474" s="3"/>
      <c r="O474" s="3"/>
      <c r="P474" s="3"/>
      <c r="Q474" s="3"/>
      <c r="R474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0</v>
      </c>
      <c r="B1" s="11" t="s">
        <v>1</v>
      </c>
    </row>
    <row r="2">
      <c r="A2" s="11" t="s">
        <v>2</v>
      </c>
      <c r="B2" s="11" t="s">
        <v>3</v>
      </c>
    </row>
    <row r="3">
      <c r="A3" s="11" t="s">
        <v>5</v>
      </c>
      <c r="B3" s="11" t="s">
        <v>6</v>
      </c>
    </row>
    <row r="4">
      <c r="A4" s="11" t="s">
        <v>7</v>
      </c>
      <c r="B4" s="11">
        <v>1.4204E9</v>
      </c>
      <c r="C4" s="11" t="s">
        <v>8</v>
      </c>
    </row>
    <row r="5">
      <c r="A5" s="11" t="s">
        <v>9</v>
      </c>
      <c r="B5" s="11">
        <v>2000000.0</v>
      </c>
      <c r="C5" s="11" t="s">
        <v>8</v>
      </c>
    </row>
    <row r="6">
      <c r="A6" s="11" t="s">
        <v>10</v>
      </c>
      <c r="B6" s="11">
        <v>30000.0</v>
      </c>
      <c r="C6" s="11" t="s">
        <v>8</v>
      </c>
    </row>
    <row r="7">
      <c r="A7" s="11" t="s">
        <v>11</v>
      </c>
      <c r="B7" s="11">
        <v>30000.0</v>
      </c>
      <c r="C7" s="11" t="s">
        <v>8</v>
      </c>
    </row>
    <row r="8">
      <c r="A8" s="11" t="s">
        <v>12</v>
      </c>
      <c r="B8" s="11">
        <v>-97.0</v>
      </c>
      <c r="C8" s="11" t="s">
        <v>13</v>
      </c>
    </row>
    <row r="9">
      <c r="A9" s="11" t="s">
        <v>14</v>
      </c>
      <c r="B9" s="11">
        <v>1.0</v>
      </c>
      <c r="C9" s="11" t="s">
        <v>15</v>
      </c>
    </row>
    <row r="10">
      <c r="A10" s="11" t="s">
        <v>16</v>
      </c>
      <c r="B10" s="11">
        <v>461.0</v>
      </c>
    </row>
    <row r="11">
      <c r="A11" s="11" t="s">
        <v>17</v>
      </c>
      <c r="B11" s="11" t="s">
        <v>8</v>
      </c>
      <c r="C11" s="11" t="s">
        <v>13</v>
      </c>
      <c r="D11" s="2" t="s">
        <v>18</v>
      </c>
      <c r="E11" s="1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26</v>
      </c>
      <c r="M11" s="6" t="s">
        <v>27</v>
      </c>
      <c r="N11" s="2" t="s">
        <v>28</v>
      </c>
      <c r="O11" s="3"/>
      <c r="P11" s="2" t="s">
        <v>29</v>
      </c>
      <c r="Q11" s="2" t="s">
        <v>30</v>
      </c>
      <c r="R11" s="2"/>
      <c r="S11" s="2" t="s">
        <v>31</v>
      </c>
      <c r="V11" s="13" t="s">
        <v>32</v>
      </c>
    </row>
    <row r="12">
      <c r="A12" s="11" t="s">
        <v>33</v>
      </c>
      <c r="B12" s="11" t="s">
        <v>34</v>
      </c>
      <c r="C12" s="11" t="s">
        <v>35</v>
      </c>
      <c r="D12" s="3"/>
      <c r="E12" s="4"/>
      <c r="F12" s="3"/>
      <c r="G12" s="2" t="s">
        <v>36</v>
      </c>
      <c r="H12" s="2" t="s">
        <v>37</v>
      </c>
      <c r="I12" s="3"/>
      <c r="J12" s="3"/>
      <c r="K12" s="3"/>
      <c r="L12" s="3"/>
      <c r="M12" s="5"/>
      <c r="N12" s="3"/>
      <c r="O12" s="3"/>
      <c r="P12" s="3"/>
      <c r="Q12" s="3"/>
      <c r="R12" s="3"/>
      <c r="S12" s="3"/>
    </row>
    <row r="13">
      <c r="A13" s="11">
        <v>1.0</v>
      </c>
      <c r="B13" s="11">
        <v>1.4194E9</v>
      </c>
      <c r="C13" s="2">
        <v>-102.5195236</v>
      </c>
      <c r="D13" s="3">
        <f t="shared" ref="D13:D473" si="1">B13-$B$4</f>
        <v>-1000000</v>
      </c>
      <c r="E13" s="4">
        <f t="shared" ref="E13:E472" si="2">-((B14-$B$4)/$B$4)*(3*10^5)</f>
        <v>210.2898143</v>
      </c>
      <c r="F13" s="3">
        <f t="shared" ref="F13:F473" si="3">-E13/D13</f>
        <v>0.0002102898143</v>
      </c>
      <c r="G13" s="3">
        <f t="shared" ref="G13:G473" si="4">(10^(C13/10))/1000</f>
        <v>0</v>
      </c>
      <c r="H13" s="2">
        <f t="shared" ref="H13:H473" si="5">G13/30000</f>
        <v>0</v>
      </c>
      <c r="I13" s="3">
        <f t="shared" ref="I13:I473" si="6">0.0063*H13</f>
        <v>0</v>
      </c>
      <c r="J13" s="3">
        <f t="shared" ref="J13:J473" si="7">(1/F13^2)*I13</f>
        <v>0</v>
      </c>
      <c r="K13" s="22">
        <f>1.38064852E-23</f>
        <v>0</v>
      </c>
      <c r="L13" s="3">
        <f t="shared" ref="L13:L473" si="8">(1/(2*$K$13))*(I13)</f>
        <v>425.7491675</v>
      </c>
      <c r="M13" s="14">
        <f t="shared" ref="M13:M473" si="9"> -0.0000001806*E13^3 + 0.000033131*E13^2 + 0.1002415356*E13 + 410.8001646538
</f>
        <v>431.6655804</v>
      </c>
      <c r="N13" s="14">
        <f t="shared" ref="N13:N473" si="10">L13-(M13)</f>
        <v>-5.916412953</v>
      </c>
      <c r="O13" s="3"/>
      <c r="P13" s="23">
        <f t="shared" ref="P13:P67" si="11">-((B14-$B$4)/$B$4)*(3*10^5)</f>
        <v>210.2898143</v>
      </c>
      <c r="Q13" s="14">
        <f t="shared" ref="Q13:Q67" si="12">(1/(2*$K$13))*(I13)</f>
        <v>425.7491675</v>
      </c>
      <c r="R13" s="2"/>
      <c r="S13" s="9">
        <f t="shared" ref="S13:S472" si="13">(N13 * ABS(E14-E13))</f>
        <v>-5.433019134</v>
      </c>
      <c r="V13" s="3">
        <f>1822400000000000000 * SUM(S13:S473)</f>
        <v>1.01385E+22</v>
      </c>
    </row>
    <row r="14">
      <c r="A14" s="11">
        <v>2.0</v>
      </c>
      <c r="B14" s="11">
        <v>1.41940434782608E9</v>
      </c>
      <c r="C14" s="2">
        <v>-102.4819107</v>
      </c>
      <c r="D14" s="3">
        <f t="shared" si="1"/>
        <v>-995652.1739</v>
      </c>
      <c r="E14" s="4">
        <f t="shared" si="2"/>
        <v>209.3715181</v>
      </c>
      <c r="F14" s="3">
        <f t="shared" si="3"/>
        <v>0.0002102858042</v>
      </c>
      <c r="G14" s="3">
        <f t="shared" si="4"/>
        <v>0</v>
      </c>
      <c r="H14" s="2">
        <f t="shared" si="5"/>
        <v>0</v>
      </c>
      <c r="I14" s="3">
        <f t="shared" si="6"/>
        <v>0</v>
      </c>
      <c r="J14" s="3">
        <f t="shared" si="7"/>
        <v>0</v>
      </c>
      <c r="K14" s="3"/>
      <c r="L14" s="3">
        <f t="shared" si="8"/>
        <v>429.4524625</v>
      </c>
      <c r="M14" s="14">
        <f t="shared" si="9"/>
        <v>431.5826671</v>
      </c>
      <c r="N14" s="14">
        <f t="shared" si="10"/>
        <v>-2.13020452</v>
      </c>
      <c r="O14" s="3"/>
      <c r="P14" s="23">
        <f t="shared" si="11"/>
        <v>209.3715181</v>
      </c>
      <c r="Q14" s="14">
        <f t="shared" si="12"/>
        <v>429.4524625</v>
      </c>
      <c r="R14" s="2"/>
      <c r="S14" s="9">
        <f t="shared" si="13"/>
        <v>-1.956158573</v>
      </c>
    </row>
    <row r="15">
      <c r="A15" s="11">
        <v>3.0</v>
      </c>
      <c r="B15" s="11">
        <v>1.41940869565217E9</v>
      </c>
      <c r="C15" s="2">
        <v>-102.4594269</v>
      </c>
      <c r="D15" s="3">
        <f t="shared" si="1"/>
        <v>-991304.3478</v>
      </c>
      <c r="E15" s="4">
        <f t="shared" si="2"/>
        <v>208.453222</v>
      </c>
      <c r="F15" s="3">
        <f t="shared" si="3"/>
        <v>0.000210281759</v>
      </c>
      <c r="G15" s="3">
        <f t="shared" si="4"/>
        <v>0</v>
      </c>
      <c r="H15" s="2">
        <f t="shared" si="5"/>
        <v>0</v>
      </c>
      <c r="I15" s="3">
        <f t="shared" si="6"/>
        <v>0</v>
      </c>
      <c r="J15" s="3">
        <f t="shared" si="7"/>
        <v>0</v>
      </c>
      <c r="K15" s="3"/>
      <c r="L15" s="3">
        <f t="shared" si="8"/>
        <v>431.6815401</v>
      </c>
      <c r="M15" s="14">
        <f t="shared" si="9"/>
        <v>431.4996183</v>
      </c>
      <c r="N15" s="14">
        <f t="shared" si="10"/>
        <v>0.1819218094</v>
      </c>
      <c r="O15" s="3"/>
      <c r="P15" s="23">
        <f t="shared" si="11"/>
        <v>208.453222</v>
      </c>
      <c r="Q15" s="14">
        <f t="shared" si="12"/>
        <v>431.6815401</v>
      </c>
      <c r="R15" s="2"/>
      <c r="S15" s="9">
        <f t="shared" si="13"/>
        <v>0.1670580937</v>
      </c>
    </row>
    <row r="16">
      <c r="A16" s="11">
        <v>4.0</v>
      </c>
      <c r="B16" s="11">
        <v>1.41941304347826E9</v>
      </c>
      <c r="C16" s="2">
        <v>-102.4484177</v>
      </c>
      <c r="D16" s="3">
        <f t="shared" si="1"/>
        <v>-986956.5217</v>
      </c>
      <c r="E16" s="4">
        <f t="shared" si="2"/>
        <v>207.5349259</v>
      </c>
      <c r="F16" s="3">
        <f t="shared" si="3"/>
        <v>0.0002102776782</v>
      </c>
      <c r="G16" s="3">
        <f t="shared" si="4"/>
        <v>0</v>
      </c>
      <c r="H16" s="2">
        <f t="shared" si="5"/>
        <v>0</v>
      </c>
      <c r="I16" s="3">
        <f t="shared" si="6"/>
        <v>0</v>
      </c>
      <c r="J16" s="3">
        <f t="shared" si="7"/>
        <v>0</v>
      </c>
      <c r="K16" s="3"/>
      <c r="L16" s="3">
        <f t="shared" si="8"/>
        <v>432.7772245</v>
      </c>
      <c r="M16" s="14">
        <f t="shared" si="9"/>
        <v>431.4164349</v>
      </c>
      <c r="N16" s="14">
        <f t="shared" si="10"/>
        <v>1.360789671</v>
      </c>
      <c r="O16" s="3"/>
      <c r="P16" s="23">
        <f t="shared" si="11"/>
        <v>207.5349259</v>
      </c>
      <c r="Q16" s="14">
        <f t="shared" si="12"/>
        <v>432.7772245</v>
      </c>
      <c r="R16" s="2"/>
      <c r="S16" s="9">
        <f t="shared" si="13"/>
        <v>1.249607892</v>
      </c>
    </row>
    <row r="17">
      <c r="A17" s="11">
        <v>5.0</v>
      </c>
      <c r="B17" s="11">
        <v>1.41941739130434E9</v>
      </c>
      <c r="C17" s="2">
        <v>-102.4508896</v>
      </c>
      <c r="D17" s="3">
        <f t="shared" si="1"/>
        <v>-982608.6957</v>
      </c>
      <c r="E17" s="4">
        <f t="shared" si="2"/>
        <v>206.6166297</v>
      </c>
      <c r="F17" s="3">
        <f t="shared" si="3"/>
        <v>0.0002102735612</v>
      </c>
      <c r="G17" s="3">
        <f t="shared" si="4"/>
        <v>0</v>
      </c>
      <c r="H17" s="2">
        <f t="shared" si="5"/>
        <v>0</v>
      </c>
      <c r="I17" s="3">
        <f t="shared" si="6"/>
        <v>0</v>
      </c>
      <c r="J17" s="3">
        <f t="shared" si="7"/>
        <v>0</v>
      </c>
      <c r="K17" s="3"/>
      <c r="L17" s="3">
        <f t="shared" si="8"/>
        <v>432.5309682</v>
      </c>
      <c r="M17" s="14">
        <f t="shared" si="9"/>
        <v>431.3331177</v>
      </c>
      <c r="N17" s="14">
        <f t="shared" si="10"/>
        <v>1.197850504</v>
      </c>
      <c r="O17" s="3"/>
      <c r="P17" s="23">
        <f t="shared" si="11"/>
        <v>206.6166297</v>
      </c>
      <c r="Q17" s="14">
        <f t="shared" si="12"/>
        <v>432.5309682</v>
      </c>
      <c r="R17" s="2"/>
      <c r="S17" s="9">
        <f t="shared" si="13"/>
        <v>1.099981486</v>
      </c>
    </row>
    <row r="18">
      <c r="A18" s="11">
        <v>6.0</v>
      </c>
      <c r="B18" s="11">
        <v>1.41942173913043E9</v>
      </c>
      <c r="C18" s="2">
        <v>-102.47258</v>
      </c>
      <c r="D18" s="3">
        <f t="shared" si="1"/>
        <v>-978260.8696</v>
      </c>
      <c r="E18" s="4">
        <f t="shared" si="2"/>
        <v>205.6983336</v>
      </c>
      <c r="F18" s="3">
        <f t="shared" si="3"/>
        <v>0.0002102694077</v>
      </c>
      <c r="G18" s="3">
        <f t="shared" si="4"/>
        <v>0</v>
      </c>
      <c r="H18" s="2">
        <f t="shared" si="5"/>
        <v>0</v>
      </c>
      <c r="I18" s="3">
        <f t="shared" si="6"/>
        <v>0</v>
      </c>
      <c r="J18" s="3">
        <f t="shared" si="7"/>
        <v>0</v>
      </c>
      <c r="K18" s="3"/>
      <c r="L18" s="3">
        <f t="shared" si="8"/>
        <v>430.3761215</v>
      </c>
      <c r="M18" s="14">
        <f t="shared" si="9"/>
        <v>431.2496676</v>
      </c>
      <c r="N18" s="14">
        <f t="shared" si="10"/>
        <v>-0.8735461615</v>
      </c>
      <c r="O18" s="3"/>
      <c r="P18" s="23">
        <f t="shared" si="11"/>
        <v>205.6983336</v>
      </c>
      <c r="Q18" s="14">
        <f t="shared" si="12"/>
        <v>430.3761215</v>
      </c>
      <c r="R18" s="2"/>
      <c r="S18" s="9">
        <f t="shared" si="13"/>
        <v>-0.8021740601</v>
      </c>
    </row>
    <row r="19">
      <c r="A19" s="11">
        <v>7.0</v>
      </c>
      <c r="B19" s="11">
        <v>1.41942608695652E9</v>
      </c>
      <c r="C19" s="2">
        <v>-102.5050812</v>
      </c>
      <c r="D19" s="3">
        <f t="shared" si="1"/>
        <v>-973913.0435</v>
      </c>
      <c r="E19" s="4">
        <f t="shared" si="2"/>
        <v>204.7800375</v>
      </c>
      <c r="F19" s="3">
        <f t="shared" si="3"/>
        <v>0.000210265217</v>
      </c>
      <c r="G19" s="3">
        <f t="shared" si="4"/>
        <v>0</v>
      </c>
      <c r="H19" s="2">
        <f t="shared" si="5"/>
        <v>0</v>
      </c>
      <c r="I19" s="3">
        <f t="shared" si="6"/>
        <v>0</v>
      </c>
      <c r="J19" s="3">
        <f t="shared" si="7"/>
        <v>0</v>
      </c>
      <c r="K19" s="3"/>
      <c r="L19" s="3">
        <f t="shared" si="8"/>
        <v>427.1673469</v>
      </c>
      <c r="M19" s="14">
        <f t="shared" si="9"/>
        <v>431.1660855</v>
      </c>
      <c r="N19" s="14">
        <f t="shared" si="10"/>
        <v>-3.998738557</v>
      </c>
      <c r="O19" s="3"/>
      <c r="P19" s="23">
        <f t="shared" si="11"/>
        <v>204.7800375</v>
      </c>
      <c r="Q19" s="14">
        <f t="shared" si="12"/>
        <v>427.1673469</v>
      </c>
      <c r="R19" s="2"/>
      <c r="S19" s="9">
        <f t="shared" si="13"/>
        <v>-3.672026153</v>
      </c>
    </row>
    <row r="20">
      <c r="A20" s="11">
        <v>8.0</v>
      </c>
      <c r="B20" s="11">
        <v>1.4194304347826E9</v>
      </c>
      <c r="C20" s="2">
        <v>-102.4329071</v>
      </c>
      <c r="D20" s="3">
        <f t="shared" si="1"/>
        <v>-969565.2174</v>
      </c>
      <c r="E20" s="4">
        <f t="shared" si="2"/>
        <v>203.8617413</v>
      </c>
      <c r="F20" s="3">
        <f t="shared" si="3"/>
        <v>0.0002102609888</v>
      </c>
      <c r="G20" s="3">
        <f t="shared" si="4"/>
        <v>0</v>
      </c>
      <c r="H20" s="2">
        <f t="shared" si="5"/>
        <v>0</v>
      </c>
      <c r="I20" s="3">
        <f t="shared" si="6"/>
        <v>0</v>
      </c>
      <c r="J20" s="3">
        <f t="shared" si="7"/>
        <v>0</v>
      </c>
      <c r="K20" s="3"/>
      <c r="L20" s="3">
        <f t="shared" si="8"/>
        <v>434.3256291</v>
      </c>
      <c r="M20" s="14">
        <f t="shared" si="9"/>
        <v>431.082372</v>
      </c>
      <c r="N20" s="14">
        <f t="shared" si="10"/>
        <v>3.243257056</v>
      </c>
      <c r="O20" s="3"/>
      <c r="P20" s="23">
        <f t="shared" si="11"/>
        <v>203.8617413</v>
      </c>
      <c r="Q20" s="14">
        <f t="shared" si="12"/>
        <v>434.3256291</v>
      </c>
      <c r="R20" s="2"/>
      <c r="S20" s="9">
        <f t="shared" si="13"/>
        <v>2.978270412</v>
      </c>
    </row>
    <row r="21">
      <c r="A21" s="11">
        <v>9.0</v>
      </c>
      <c r="B21" s="11">
        <v>1.41943478260869E9</v>
      </c>
      <c r="C21" s="2">
        <v>-102.4868774</v>
      </c>
      <c r="D21" s="3">
        <f t="shared" si="1"/>
        <v>-965217.3913</v>
      </c>
      <c r="E21" s="4">
        <f t="shared" si="2"/>
        <v>202.9434452</v>
      </c>
      <c r="F21" s="3">
        <f t="shared" si="3"/>
        <v>0.0002102567225</v>
      </c>
      <c r="G21" s="3">
        <f t="shared" si="4"/>
        <v>0</v>
      </c>
      <c r="H21" s="2">
        <f t="shared" si="5"/>
        <v>0</v>
      </c>
      <c r="I21" s="3">
        <f t="shared" si="6"/>
        <v>0</v>
      </c>
      <c r="J21" s="3">
        <f t="shared" si="7"/>
        <v>0</v>
      </c>
      <c r="K21" s="3"/>
      <c r="L21" s="3">
        <f t="shared" si="8"/>
        <v>428.9616107</v>
      </c>
      <c r="M21" s="14">
        <f t="shared" si="9"/>
        <v>430.9985282</v>
      </c>
      <c r="N21" s="14">
        <f t="shared" si="10"/>
        <v>-2.036917516</v>
      </c>
      <c r="O21" s="3"/>
      <c r="P21" s="23">
        <f t="shared" si="11"/>
        <v>202.9434452</v>
      </c>
      <c r="Q21" s="14">
        <f t="shared" si="12"/>
        <v>428.9616107</v>
      </c>
      <c r="R21" s="2"/>
      <c r="S21" s="9">
        <f t="shared" si="13"/>
        <v>-1.870493478</v>
      </c>
    </row>
    <row r="22">
      <c r="A22" s="11">
        <v>10.0</v>
      </c>
      <c r="B22" s="11">
        <v>1.41943913043478E9</v>
      </c>
      <c r="C22" s="2">
        <v>-102.547287</v>
      </c>
      <c r="D22" s="3">
        <f t="shared" si="1"/>
        <v>-960869.5652</v>
      </c>
      <c r="E22" s="4">
        <f t="shared" si="2"/>
        <v>202.0251491</v>
      </c>
      <c r="F22" s="3">
        <f t="shared" si="3"/>
        <v>0.0002102524176</v>
      </c>
      <c r="G22" s="3">
        <f t="shared" si="4"/>
        <v>0</v>
      </c>
      <c r="H22" s="2">
        <f t="shared" si="5"/>
        <v>0</v>
      </c>
      <c r="I22" s="3">
        <f t="shared" si="6"/>
        <v>0</v>
      </c>
      <c r="J22" s="3">
        <f t="shared" si="7"/>
        <v>0</v>
      </c>
      <c r="K22" s="3"/>
      <c r="L22" s="3">
        <f t="shared" si="8"/>
        <v>423.0361367</v>
      </c>
      <c r="M22" s="14">
        <f t="shared" si="9"/>
        <v>430.9145548</v>
      </c>
      <c r="N22" s="14">
        <f t="shared" si="10"/>
        <v>-7.878418143</v>
      </c>
      <c r="O22" s="3"/>
      <c r="P22" s="23">
        <f t="shared" si="11"/>
        <v>202.0251491</v>
      </c>
      <c r="Q22" s="14">
        <f t="shared" si="12"/>
        <v>423.0361367</v>
      </c>
      <c r="R22" s="2"/>
      <c r="S22" s="9">
        <f t="shared" si="13"/>
        <v>-7.234720897</v>
      </c>
      <c r="U22" s="11">
        <v>1.0</v>
      </c>
    </row>
    <row r="23">
      <c r="A23" s="11">
        <v>11.0</v>
      </c>
      <c r="B23" s="11">
        <v>1.41944347826087E9</v>
      </c>
      <c r="C23" s="2">
        <v>-102.4325562</v>
      </c>
      <c r="D23" s="3">
        <f t="shared" si="1"/>
        <v>-956521.7391</v>
      </c>
      <c r="E23" s="4">
        <f t="shared" si="2"/>
        <v>201.1068529</v>
      </c>
      <c r="F23" s="3">
        <f t="shared" si="3"/>
        <v>0.0002102480735</v>
      </c>
      <c r="G23" s="3">
        <f t="shared" si="4"/>
        <v>0</v>
      </c>
      <c r="H23" s="2">
        <f t="shared" si="5"/>
        <v>0</v>
      </c>
      <c r="I23" s="3">
        <f t="shared" si="6"/>
        <v>0</v>
      </c>
      <c r="J23" s="3">
        <f t="shared" si="7"/>
        <v>0</v>
      </c>
      <c r="K23" s="3"/>
      <c r="L23" s="3">
        <f t="shared" si="8"/>
        <v>434.360723</v>
      </c>
      <c r="M23" s="14">
        <f t="shared" si="9"/>
        <v>430.8304527</v>
      </c>
      <c r="N23" s="14">
        <f t="shared" si="10"/>
        <v>3.53027029</v>
      </c>
      <c r="O23" s="3"/>
      <c r="P23" s="23">
        <f t="shared" si="11"/>
        <v>201.1068529</v>
      </c>
      <c r="Q23" s="14">
        <f t="shared" si="12"/>
        <v>434.360723</v>
      </c>
      <c r="R23" s="2"/>
      <c r="S23" s="9">
        <f t="shared" si="13"/>
        <v>3.241833555</v>
      </c>
    </row>
    <row r="24">
      <c r="A24" s="11">
        <v>12.0</v>
      </c>
      <c r="B24" s="11">
        <v>1.41944782608695E9</v>
      </c>
      <c r="C24" s="2">
        <v>-102.4794159</v>
      </c>
      <c r="D24" s="3">
        <f t="shared" si="1"/>
        <v>-952173.913</v>
      </c>
      <c r="E24" s="4">
        <f t="shared" si="2"/>
        <v>200.1885568</v>
      </c>
      <c r="F24" s="3">
        <f t="shared" si="3"/>
        <v>0.0002102436898</v>
      </c>
      <c r="G24" s="3">
        <f t="shared" si="4"/>
        <v>0</v>
      </c>
      <c r="H24" s="2">
        <f t="shared" si="5"/>
        <v>0</v>
      </c>
      <c r="I24" s="3">
        <f t="shared" si="6"/>
        <v>0</v>
      </c>
      <c r="J24" s="3">
        <f t="shared" si="7"/>
        <v>0</v>
      </c>
      <c r="K24" s="3"/>
      <c r="L24" s="3">
        <f t="shared" si="8"/>
        <v>429.6992319</v>
      </c>
      <c r="M24" s="14">
        <f t="shared" si="9"/>
        <v>430.7462227</v>
      </c>
      <c r="N24" s="14">
        <f t="shared" si="10"/>
        <v>-1.04699084</v>
      </c>
      <c r="O24" s="3"/>
      <c r="P24" s="23">
        <f t="shared" si="11"/>
        <v>200.1885568</v>
      </c>
      <c r="Q24" s="14">
        <f t="shared" si="12"/>
        <v>429.6992319</v>
      </c>
      <c r="R24" s="2"/>
      <c r="S24" s="9">
        <f t="shared" si="13"/>
        <v>-0.9614476392</v>
      </c>
    </row>
    <row r="25">
      <c r="A25" s="11">
        <v>13.0</v>
      </c>
      <c r="B25" s="11">
        <v>1.41945217391304E9</v>
      </c>
      <c r="C25" s="2">
        <v>-102.525177</v>
      </c>
      <c r="D25" s="3">
        <f t="shared" si="1"/>
        <v>-947826.087</v>
      </c>
      <c r="E25" s="4">
        <f t="shared" si="2"/>
        <v>199.2702607</v>
      </c>
      <c r="F25" s="3">
        <f t="shared" si="3"/>
        <v>0.0002102392658</v>
      </c>
      <c r="G25" s="3">
        <f t="shared" si="4"/>
        <v>0</v>
      </c>
      <c r="H25" s="2">
        <f t="shared" si="5"/>
        <v>0</v>
      </c>
      <c r="I25" s="3">
        <f t="shared" si="6"/>
        <v>0</v>
      </c>
      <c r="J25" s="3">
        <f t="shared" si="7"/>
        <v>0</v>
      </c>
      <c r="K25" s="3"/>
      <c r="L25" s="3">
        <f t="shared" si="8"/>
        <v>425.1953118</v>
      </c>
      <c r="M25" s="14">
        <f t="shared" si="9"/>
        <v>430.6618657</v>
      </c>
      <c r="N25" s="14">
        <f t="shared" si="10"/>
        <v>-5.466553877</v>
      </c>
      <c r="O25" s="3"/>
      <c r="P25" s="23">
        <f t="shared" si="11"/>
        <v>199.2702607</v>
      </c>
      <c r="Q25" s="14">
        <f t="shared" si="12"/>
        <v>425.1953118</v>
      </c>
      <c r="R25" s="2"/>
      <c r="S25" s="9">
        <f t="shared" si="13"/>
        <v>-5.019915273</v>
      </c>
    </row>
    <row r="26">
      <c r="A26" s="11">
        <v>14.0</v>
      </c>
      <c r="B26" s="11">
        <v>1.41945652173913E9</v>
      </c>
      <c r="C26" s="2">
        <v>-102.4480743</v>
      </c>
      <c r="D26" s="3">
        <f t="shared" si="1"/>
        <v>-943478.2609</v>
      </c>
      <c r="E26" s="4">
        <f t="shared" si="2"/>
        <v>198.3519645</v>
      </c>
      <c r="F26" s="3">
        <f t="shared" si="3"/>
        <v>0.0002102348011</v>
      </c>
      <c r="G26" s="3">
        <f t="shared" si="4"/>
        <v>0</v>
      </c>
      <c r="H26" s="2">
        <f t="shared" si="5"/>
        <v>0</v>
      </c>
      <c r="I26" s="3">
        <f t="shared" si="6"/>
        <v>0</v>
      </c>
      <c r="J26" s="3">
        <f t="shared" si="7"/>
        <v>0</v>
      </c>
      <c r="K26" s="3"/>
      <c r="L26" s="3">
        <f t="shared" si="8"/>
        <v>432.8114459</v>
      </c>
      <c r="M26" s="14">
        <f t="shared" si="9"/>
        <v>430.5773825</v>
      </c>
      <c r="N26" s="14">
        <f t="shared" si="10"/>
        <v>2.234063457</v>
      </c>
      <c r="O26" s="3"/>
      <c r="P26" s="23">
        <f t="shared" si="11"/>
        <v>198.3519645</v>
      </c>
      <c r="Q26" s="14">
        <f t="shared" si="12"/>
        <v>432.8114459</v>
      </c>
      <c r="R26" s="2"/>
      <c r="S26" s="9">
        <f t="shared" si="13"/>
        <v>2.051531833</v>
      </c>
    </row>
    <row r="27">
      <c r="A27" s="11">
        <v>15.0</v>
      </c>
      <c r="B27" s="11">
        <v>1.41946086956521E9</v>
      </c>
      <c r="C27" s="2">
        <v>-102.4651718</v>
      </c>
      <c r="D27" s="3">
        <f t="shared" si="1"/>
        <v>-939130.4348</v>
      </c>
      <c r="E27" s="4">
        <f t="shared" si="2"/>
        <v>197.4336684</v>
      </c>
      <c r="F27" s="3">
        <f t="shared" si="3"/>
        <v>0.0002102302951</v>
      </c>
      <c r="G27" s="3">
        <f t="shared" si="4"/>
        <v>0</v>
      </c>
      <c r="H27" s="2">
        <f t="shared" si="5"/>
        <v>0</v>
      </c>
      <c r="I27" s="3">
        <f t="shared" si="6"/>
        <v>0</v>
      </c>
      <c r="J27" s="3">
        <f t="shared" si="7"/>
        <v>0</v>
      </c>
      <c r="K27" s="3"/>
      <c r="L27" s="3">
        <f t="shared" si="8"/>
        <v>431.110884</v>
      </c>
      <c r="M27" s="14">
        <f t="shared" si="9"/>
        <v>430.4927738</v>
      </c>
      <c r="N27" s="14">
        <f t="shared" si="10"/>
        <v>0.6181101831</v>
      </c>
      <c r="O27" s="3"/>
      <c r="P27" s="23">
        <f t="shared" si="11"/>
        <v>197.4336684</v>
      </c>
      <c r="Q27" s="14">
        <f t="shared" si="12"/>
        <v>431.110884</v>
      </c>
      <c r="R27" s="2"/>
      <c r="S27" s="9">
        <f t="shared" si="13"/>
        <v>0.5676081908</v>
      </c>
    </row>
    <row r="28">
      <c r="A28" s="11">
        <v>16.0</v>
      </c>
      <c r="B28" s="11">
        <v>1.4194652173913E9</v>
      </c>
      <c r="C28" s="2">
        <v>-102.4200668</v>
      </c>
      <c r="D28" s="3">
        <f t="shared" si="1"/>
        <v>-934782.6087</v>
      </c>
      <c r="E28" s="4">
        <f t="shared" si="2"/>
        <v>196.5153723</v>
      </c>
      <c r="F28" s="3">
        <f t="shared" si="3"/>
        <v>0.0002102257471</v>
      </c>
      <c r="G28" s="3">
        <f t="shared" si="4"/>
        <v>0</v>
      </c>
      <c r="H28" s="2">
        <f t="shared" si="5"/>
        <v>0</v>
      </c>
      <c r="I28" s="3">
        <f t="shared" si="6"/>
        <v>0</v>
      </c>
      <c r="J28" s="3">
        <f t="shared" si="7"/>
        <v>0</v>
      </c>
      <c r="K28" s="3"/>
      <c r="L28" s="3">
        <f t="shared" si="8"/>
        <v>435.6116514</v>
      </c>
      <c r="M28" s="14">
        <f t="shared" si="9"/>
        <v>430.4080407</v>
      </c>
      <c r="N28" s="14">
        <f t="shared" si="10"/>
        <v>5.203610696</v>
      </c>
      <c r="O28" s="3"/>
      <c r="P28" s="23">
        <f t="shared" si="11"/>
        <v>196.5153723</v>
      </c>
      <c r="Q28" s="14">
        <f t="shared" si="12"/>
        <v>435.6116514</v>
      </c>
      <c r="R28" s="2"/>
      <c r="S28" s="9">
        <f t="shared" si="13"/>
        <v>4.778455567</v>
      </c>
    </row>
    <row r="29">
      <c r="A29" s="11">
        <v>17.0</v>
      </c>
      <c r="B29" s="11">
        <v>1.41946956521739E9</v>
      </c>
      <c r="C29" s="2">
        <v>-102.4202347</v>
      </c>
      <c r="D29" s="3">
        <f t="shared" si="1"/>
        <v>-930434.7826</v>
      </c>
      <c r="E29" s="4">
        <f t="shared" si="2"/>
        <v>195.5970761</v>
      </c>
      <c r="F29" s="3">
        <f t="shared" si="3"/>
        <v>0.0002102211566</v>
      </c>
      <c r="G29" s="3">
        <f t="shared" si="4"/>
        <v>0</v>
      </c>
      <c r="H29" s="2">
        <f t="shared" si="5"/>
        <v>0</v>
      </c>
      <c r="I29" s="3">
        <f t="shared" si="6"/>
        <v>0</v>
      </c>
      <c r="J29" s="3">
        <f t="shared" si="7"/>
        <v>0</v>
      </c>
      <c r="K29" s="3"/>
      <c r="L29" s="3">
        <f t="shared" si="8"/>
        <v>435.5948108</v>
      </c>
      <c r="M29" s="14">
        <f t="shared" si="9"/>
        <v>430.3231838</v>
      </c>
      <c r="N29" s="14">
        <f t="shared" si="10"/>
        <v>5.271626946</v>
      </c>
      <c r="O29" s="3"/>
      <c r="P29" s="23">
        <f t="shared" si="11"/>
        <v>195.5970761</v>
      </c>
      <c r="Q29" s="14">
        <f t="shared" si="12"/>
        <v>435.5948108</v>
      </c>
      <c r="R29" s="2"/>
      <c r="S29" s="9">
        <f t="shared" si="13"/>
        <v>4.840914638</v>
      </c>
    </row>
    <row r="30">
      <c r="A30" s="11">
        <v>18.0</v>
      </c>
      <c r="B30" s="11">
        <v>1.41947391304347E9</v>
      </c>
      <c r="C30" s="2">
        <v>-102.482811</v>
      </c>
      <c r="D30" s="3">
        <f t="shared" si="1"/>
        <v>-926086.9565</v>
      </c>
      <c r="E30" s="4">
        <f t="shared" si="2"/>
        <v>194.67878</v>
      </c>
      <c r="F30" s="3">
        <f t="shared" si="3"/>
        <v>0.000210216523</v>
      </c>
      <c r="G30" s="3">
        <f t="shared" si="4"/>
        <v>0</v>
      </c>
      <c r="H30" s="2">
        <f t="shared" si="5"/>
        <v>0</v>
      </c>
      <c r="I30" s="3">
        <f t="shared" si="6"/>
        <v>0</v>
      </c>
      <c r="J30" s="3">
        <f t="shared" si="7"/>
        <v>0</v>
      </c>
      <c r="K30" s="3"/>
      <c r="L30" s="3">
        <f t="shared" si="8"/>
        <v>429.3634455</v>
      </c>
      <c r="M30" s="14">
        <f t="shared" si="9"/>
        <v>430.2382041</v>
      </c>
      <c r="N30" s="14">
        <f t="shared" si="10"/>
        <v>-0.8747586119</v>
      </c>
      <c r="O30" s="3"/>
      <c r="P30" s="23">
        <f t="shared" si="11"/>
        <v>194.67878</v>
      </c>
      <c r="Q30" s="14">
        <f t="shared" si="12"/>
        <v>429.3634455</v>
      </c>
      <c r="R30" s="2"/>
      <c r="S30" s="9">
        <f t="shared" si="13"/>
        <v>-0.8032874504</v>
      </c>
    </row>
    <row r="31">
      <c r="A31" s="11">
        <v>19.0</v>
      </c>
      <c r="B31" s="11">
        <v>1.41947826086956E9</v>
      </c>
      <c r="C31" s="2">
        <v>-102.4279327</v>
      </c>
      <c r="D31" s="3">
        <f t="shared" si="1"/>
        <v>-921739.1304</v>
      </c>
      <c r="E31" s="4">
        <f t="shared" si="2"/>
        <v>193.7604839</v>
      </c>
      <c r="F31" s="3">
        <f t="shared" si="3"/>
        <v>0.0002102118457</v>
      </c>
      <c r="G31" s="3">
        <f t="shared" si="4"/>
        <v>0</v>
      </c>
      <c r="H31" s="2">
        <f t="shared" si="5"/>
        <v>0</v>
      </c>
      <c r="I31" s="3">
        <f t="shared" si="6"/>
        <v>0</v>
      </c>
      <c r="J31" s="3">
        <f t="shared" si="7"/>
        <v>0</v>
      </c>
      <c r="K31" s="3"/>
      <c r="L31" s="3">
        <f t="shared" si="8"/>
        <v>434.8233898</v>
      </c>
      <c r="M31" s="14">
        <f t="shared" si="9"/>
        <v>430.1531024</v>
      </c>
      <c r="N31" s="14">
        <f t="shared" si="10"/>
        <v>4.670287373</v>
      </c>
      <c r="O31" s="3"/>
      <c r="P31" s="23">
        <f t="shared" si="11"/>
        <v>193.7604839</v>
      </c>
      <c r="Q31" s="14">
        <f t="shared" si="12"/>
        <v>434.8233898</v>
      </c>
      <c r="R31" s="2"/>
      <c r="S31" s="9">
        <f t="shared" si="13"/>
        <v>4.288706824</v>
      </c>
    </row>
    <row r="32">
      <c r="A32" s="11">
        <v>20.0</v>
      </c>
      <c r="B32" s="11">
        <v>1.41948260869565E9</v>
      </c>
      <c r="C32" s="2">
        <v>-102.4191513</v>
      </c>
      <c r="D32" s="3">
        <f t="shared" si="1"/>
        <v>-917391.3043</v>
      </c>
      <c r="E32" s="4">
        <f t="shared" si="2"/>
        <v>192.8421878</v>
      </c>
      <c r="F32" s="3">
        <f t="shared" si="3"/>
        <v>0.0002102071241</v>
      </c>
      <c r="G32" s="3">
        <f t="shared" si="4"/>
        <v>0</v>
      </c>
      <c r="H32" s="2">
        <f t="shared" si="5"/>
        <v>0</v>
      </c>
      <c r="I32" s="3">
        <f t="shared" si="6"/>
        <v>0</v>
      </c>
      <c r="J32" s="3">
        <f t="shared" si="7"/>
        <v>0</v>
      </c>
      <c r="K32" s="3"/>
      <c r="L32" s="3">
        <f t="shared" si="8"/>
        <v>435.7034887</v>
      </c>
      <c r="M32" s="14">
        <f t="shared" si="9"/>
        <v>430.0678795</v>
      </c>
      <c r="N32" s="14">
        <f t="shared" si="10"/>
        <v>5.635609186</v>
      </c>
      <c r="O32" s="3"/>
      <c r="P32" s="23">
        <f t="shared" si="11"/>
        <v>192.8421878</v>
      </c>
      <c r="Q32" s="14">
        <f t="shared" si="12"/>
        <v>435.7034887</v>
      </c>
      <c r="R32" s="2"/>
      <c r="S32" s="9">
        <f t="shared" si="13"/>
        <v>5.175158122</v>
      </c>
    </row>
    <row r="33">
      <c r="A33" s="11">
        <v>21.0</v>
      </c>
      <c r="B33" s="11">
        <v>1.41948695652173E9</v>
      </c>
      <c r="C33" s="2">
        <v>-102.4186401</v>
      </c>
      <c r="D33" s="3">
        <f t="shared" si="1"/>
        <v>-913043.4783</v>
      </c>
      <c r="E33" s="4">
        <f t="shared" si="2"/>
        <v>191.9238916</v>
      </c>
      <c r="F33" s="3">
        <f t="shared" si="3"/>
        <v>0.0002102023575</v>
      </c>
      <c r="G33" s="3">
        <f t="shared" si="4"/>
        <v>0</v>
      </c>
      <c r="H33" s="2">
        <f t="shared" si="5"/>
        <v>0</v>
      </c>
      <c r="I33" s="3">
        <f t="shared" si="6"/>
        <v>0</v>
      </c>
      <c r="J33" s="3">
        <f t="shared" si="7"/>
        <v>0</v>
      </c>
      <c r="K33" s="3"/>
      <c r="L33" s="3">
        <f t="shared" si="8"/>
        <v>435.7547776</v>
      </c>
      <c r="M33" s="14">
        <f t="shared" si="9"/>
        <v>429.9825363</v>
      </c>
      <c r="N33" s="14">
        <f t="shared" si="10"/>
        <v>5.772241281</v>
      </c>
      <c r="O33" s="3"/>
      <c r="P33" s="23">
        <f t="shared" si="11"/>
        <v>191.9238916</v>
      </c>
      <c r="Q33" s="14">
        <f t="shared" si="12"/>
        <v>435.7547776</v>
      </c>
      <c r="R33" s="2"/>
      <c r="S33" s="9">
        <f t="shared" si="13"/>
        <v>5.300626846</v>
      </c>
    </row>
    <row r="34">
      <c r="A34" s="11">
        <v>22.0</v>
      </c>
      <c r="B34" s="11">
        <v>1.41949130434782E9</v>
      </c>
      <c r="C34" s="2">
        <v>-102.4312897</v>
      </c>
      <c r="D34" s="3">
        <f t="shared" si="1"/>
        <v>-908695.6522</v>
      </c>
      <c r="E34" s="4">
        <f t="shared" si="2"/>
        <v>191.0055955</v>
      </c>
      <c r="F34" s="3">
        <f t="shared" si="3"/>
        <v>0.0002101975453</v>
      </c>
      <c r="G34" s="3">
        <f t="shared" si="4"/>
        <v>0</v>
      </c>
      <c r="H34" s="2">
        <f t="shared" si="5"/>
        <v>0</v>
      </c>
      <c r="I34" s="3">
        <f t="shared" si="6"/>
        <v>0</v>
      </c>
      <c r="J34" s="3">
        <f t="shared" si="7"/>
        <v>0</v>
      </c>
      <c r="K34" s="3"/>
      <c r="L34" s="3">
        <f t="shared" si="8"/>
        <v>434.4874108</v>
      </c>
      <c r="M34" s="14">
        <f t="shared" si="9"/>
        <v>429.8970736</v>
      </c>
      <c r="N34" s="14">
        <f t="shared" si="10"/>
        <v>4.590337243</v>
      </c>
      <c r="O34" s="3"/>
      <c r="P34" s="23">
        <f t="shared" si="11"/>
        <v>191.0055955</v>
      </c>
      <c r="Q34" s="14">
        <f t="shared" si="12"/>
        <v>434.4874108</v>
      </c>
      <c r="R34" s="2"/>
      <c r="S34" s="9">
        <f t="shared" si="13"/>
        <v>4.215288939</v>
      </c>
    </row>
    <row r="35">
      <c r="A35" s="11">
        <v>23.0</v>
      </c>
      <c r="B35" s="11">
        <v>1.41949565217391E9</v>
      </c>
      <c r="C35" s="2">
        <v>-102.5204773</v>
      </c>
      <c r="D35" s="3">
        <f t="shared" si="1"/>
        <v>-904347.8261</v>
      </c>
      <c r="E35" s="4">
        <f t="shared" si="2"/>
        <v>190.0872994</v>
      </c>
      <c r="F35" s="3">
        <f t="shared" si="3"/>
        <v>0.0002101926868</v>
      </c>
      <c r="G35" s="3">
        <f t="shared" si="4"/>
        <v>0</v>
      </c>
      <c r="H35" s="2">
        <f t="shared" si="5"/>
        <v>0</v>
      </c>
      <c r="I35" s="3">
        <f t="shared" si="6"/>
        <v>0</v>
      </c>
      <c r="J35" s="3">
        <f t="shared" si="7"/>
        <v>0</v>
      </c>
      <c r="K35" s="3"/>
      <c r="L35" s="3">
        <f t="shared" si="8"/>
        <v>425.6556842</v>
      </c>
      <c r="M35" s="14">
        <f t="shared" si="9"/>
        <v>429.8114922</v>
      </c>
      <c r="N35" s="14">
        <f t="shared" si="10"/>
        <v>-4.155807951</v>
      </c>
      <c r="O35" s="3"/>
      <c r="P35" s="23">
        <f t="shared" si="11"/>
        <v>190.0872994</v>
      </c>
      <c r="Q35" s="14">
        <f t="shared" si="12"/>
        <v>425.6556842</v>
      </c>
      <c r="R35" s="2"/>
      <c r="S35" s="9">
        <f t="shared" si="13"/>
        <v>-3.816262361</v>
      </c>
    </row>
    <row r="36">
      <c r="A36" s="11">
        <v>24.0</v>
      </c>
      <c r="B36" s="11">
        <v>1.4195E9</v>
      </c>
      <c r="C36" s="2">
        <v>-102.5042114</v>
      </c>
      <c r="D36" s="3">
        <f t="shared" si="1"/>
        <v>-900000</v>
      </c>
      <c r="E36" s="4">
        <f t="shared" si="2"/>
        <v>189.1690032</v>
      </c>
      <c r="F36" s="3">
        <f t="shared" si="3"/>
        <v>0.0002101877814</v>
      </c>
      <c r="G36" s="3">
        <f t="shared" si="4"/>
        <v>0</v>
      </c>
      <c r="H36" s="2">
        <f t="shared" si="5"/>
        <v>0</v>
      </c>
      <c r="I36" s="3">
        <f t="shared" si="6"/>
        <v>0</v>
      </c>
      <c r="J36" s="3">
        <f t="shared" si="7"/>
        <v>0</v>
      </c>
      <c r="K36" s="3"/>
      <c r="L36" s="3">
        <f t="shared" si="8"/>
        <v>427.252908</v>
      </c>
      <c r="M36" s="14">
        <f t="shared" si="9"/>
        <v>429.725793</v>
      </c>
      <c r="N36" s="14">
        <f t="shared" si="10"/>
        <v>-2.472884954</v>
      </c>
      <c r="O36" s="3"/>
      <c r="P36" s="23">
        <f t="shared" si="11"/>
        <v>189.1690032</v>
      </c>
      <c r="Q36" s="14">
        <f t="shared" si="12"/>
        <v>427.252908</v>
      </c>
      <c r="R36" s="2"/>
      <c r="S36" s="9">
        <f t="shared" si="13"/>
        <v>-2.27084069</v>
      </c>
    </row>
    <row r="37">
      <c r="A37" s="11">
        <v>25.0</v>
      </c>
      <c r="B37" s="11">
        <v>1.41950434782608E9</v>
      </c>
      <c r="C37" s="2">
        <v>-102.4683609</v>
      </c>
      <c r="D37" s="3">
        <f t="shared" si="1"/>
        <v>-895652.1739</v>
      </c>
      <c r="E37" s="4">
        <f t="shared" si="2"/>
        <v>188.2507071</v>
      </c>
      <c r="F37" s="3">
        <f t="shared" si="3"/>
        <v>0.0002101828283</v>
      </c>
      <c r="G37" s="3">
        <f t="shared" si="4"/>
        <v>0</v>
      </c>
      <c r="H37" s="2">
        <f t="shared" si="5"/>
        <v>0</v>
      </c>
      <c r="I37" s="3">
        <f t="shared" si="6"/>
        <v>0</v>
      </c>
      <c r="J37" s="3">
        <f t="shared" si="7"/>
        <v>0</v>
      </c>
      <c r="K37" s="3"/>
      <c r="L37" s="3">
        <f t="shared" si="8"/>
        <v>430.794428</v>
      </c>
      <c r="M37" s="14">
        <f t="shared" si="9"/>
        <v>429.6399768</v>
      </c>
      <c r="N37" s="14">
        <f t="shared" si="10"/>
        <v>1.154451162</v>
      </c>
      <c r="O37" s="3"/>
      <c r="P37" s="23">
        <f t="shared" si="11"/>
        <v>188.2507071</v>
      </c>
      <c r="Q37" s="14">
        <f t="shared" si="12"/>
        <v>430.794428</v>
      </c>
      <c r="R37" s="2"/>
      <c r="S37" s="9">
        <f t="shared" si="13"/>
        <v>1.060128038</v>
      </c>
    </row>
    <row r="38">
      <c r="A38" s="11">
        <v>26.0</v>
      </c>
      <c r="B38" s="11">
        <v>1.41950869565217E9</v>
      </c>
      <c r="C38" s="2">
        <v>-102.4613647</v>
      </c>
      <c r="D38" s="3">
        <f t="shared" si="1"/>
        <v>-891304.3478</v>
      </c>
      <c r="E38" s="4">
        <f t="shared" si="2"/>
        <v>187.332411</v>
      </c>
      <c r="F38" s="3">
        <f t="shared" si="3"/>
        <v>0.0002101778269</v>
      </c>
      <c r="G38" s="3">
        <f t="shared" si="4"/>
        <v>0</v>
      </c>
      <c r="H38" s="2">
        <f t="shared" si="5"/>
        <v>0</v>
      </c>
      <c r="I38" s="3">
        <f t="shared" si="6"/>
        <v>0</v>
      </c>
      <c r="J38" s="3">
        <f t="shared" si="7"/>
        <v>0</v>
      </c>
      <c r="K38" s="3"/>
      <c r="L38" s="3">
        <f t="shared" si="8"/>
        <v>431.4889689</v>
      </c>
      <c r="M38" s="14">
        <f t="shared" si="9"/>
        <v>429.5540445</v>
      </c>
      <c r="N38" s="14">
        <f t="shared" si="10"/>
        <v>1.934924402</v>
      </c>
      <c r="O38" s="3"/>
      <c r="P38" s="23">
        <f t="shared" si="11"/>
        <v>187.332411</v>
      </c>
      <c r="Q38" s="14">
        <f t="shared" si="12"/>
        <v>431.4889689</v>
      </c>
      <c r="R38" s="2"/>
      <c r="S38" s="9">
        <f t="shared" si="13"/>
        <v>1.776833591</v>
      </c>
    </row>
    <row r="39">
      <c r="A39" s="11">
        <v>27.0</v>
      </c>
      <c r="B39" s="11">
        <v>1.41951304347826E9</v>
      </c>
      <c r="C39" s="2">
        <v>-102.4464722</v>
      </c>
      <c r="D39" s="3">
        <f t="shared" si="1"/>
        <v>-886956.5217</v>
      </c>
      <c r="E39" s="4">
        <f t="shared" si="2"/>
        <v>186.4141148</v>
      </c>
      <c r="F39" s="3">
        <f t="shared" si="3"/>
        <v>0.0002101727765</v>
      </c>
      <c r="G39" s="3">
        <f t="shared" si="4"/>
        <v>0</v>
      </c>
      <c r="H39" s="2">
        <f t="shared" si="5"/>
        <v>0</v>
      </c>
      <c r="I39" s="3">
        <f t="shared" si="6"/>
        <v>0</v>
      </c>
      <c r="J39" s="3">
        <f t="shared" si="7"/>
        <v>0</v>
      </c>
      <c r="K39" s="3"/>
      <c r="L39" s="3">
        <f t="shared" si="8"/>
        <v>432.9711383</v>
      </c>
      <c r="M39" s="14">
        <f t="shared" si="9"/>
        <v>429.4679969</v>
      </c>
      <c r="N39" s="14">
        <f t="shared" si="10"/>
        <v>3.503141385</v>
      </c>
      <c r="O39" s="3"/>
      <c r="P39" s="23">
        <f t="shared" si="11"/>
        <v>186.4141148</v>
      </c>
      <c r="Q39" s="14">
        <f t="shared" si="12"/>
        <v>432.9711383</v>
      </c>
      <c r="R39" s="2"/>
      <c r="S39" s="9">
        <f t="shared" si="13"/>
        <v>3.216921187</v>
      </c>
    </row>
    <row r="40">
      <c r="A40" s="11">
        <v>28.0</v>
      </c>
      <c r="B40" s="11">
        <v>1.41951739130434E9</v>
      </c>
      <c r="C40" s="2">
        <v>-102.487587</v>
      </c>
      <c r="D40" s="3">
        <f t="shared" si="1"/>
        <v>-882608.6957</v>
      </c>
      <c r="E40" s="4">
        <f t="shared" si="2"/>
        <v>185.4958187</v>
      </c>
      <c r="F40" s="3">
        <f t="shared" si="3"/>
        <v>0.0002101676763</v>
      </c>
      <c r="G40" s="3">
        <f t="shared" si="4"/>
        <v>0</v>
      </c>
      <c r="H40" s="2">
        <f t="shared" si="5"/>
        <v>0</v>
      </c>
      <c r="I40" s="3">
        <f t="shared" si="6"/>
        <v>0</v>
      </c>
      <c r="J40" s="3">
        <f t="shared" si="7"/>
        <v>0</v>
      </c>
      <c r="K40" s="3"/>
      <c r="L40" s="3">
        <f t="shared" si="8"/>
        <v>428.8915278</v>
      </c>
      <c r="M40" s="14">
        <f t="shared" si="9"/>
        <v>429.3818348</v>
      </c>
      <c r="N40" s="14">
        <f t="shared" si="10"/>
        <v>-0.4903070248</v>
      </c>
      <c r="O40" s="3"/>
      <c r="P40" s="23">
        <f t="shared" si="11"/>
        <v>185.4958187</v>
      </c>
      <c r="Q40" s="14">
        <f t="shared" si="12"/>
        <v>428.8915278</v>
      </c>
      <c r="R40" s="2"/>
      <c r="S40" s="9">
        <f t="shared" si="13"/>
        <v>-0.4502470448</v>
      </c>
    </row>
    <row r="41">
      <c r="A41" s="11">
        <v>29.0</v>
      </c>
      <c r="B41" s="11">
        <v>1.41952173913043E9</v>
      </c>
      <c r="C41" s="2">
        <v>-102.5532227</v>
      </c>
      <c r="D41" s="3">
        <f t="shared" si="1"/>
        <v>-878260.8696</v>
      </c>
      <c r="E41" s="4">
        <f t="shared" si="2"/>
        <v>184.5775226</v>
      </c>
      <c r="F41" s="3">
        <f t="shared" si="3"/>
        <v>0.0002101625257</v>
      </c>
      <c r="G41" s="3">
        <f t="shared" si="4"/>
        <v>0</v>
      </c>
      <c r="H41" s="2">
        <f t="shared" si="5"/>
        <v>0</v>
      </c>
      <c r="I41" s="3">
        <f t="shared" si="6"/>
        <v>0</v>
      </c>
      <c r="J41" s="3">
        <f t="shared" si="7"/>
        <v>0</v>
      </c>
      <c r="K41" s="3"/>
      <c r="L41" s="3">
        <f t="shared" si="8"/>
        <v>422.4583489</v>
      </c>
      <c r="M41" s="14">
        <f t="shared" si="9"/>
        <v>429.2955591</v>
      </c>
      <c r="N41" s="14">
        <f t="shared" si="10"/>
        <v>-6.837210173</v>
      </c>
      <c r="O41" s="3"/>
      <c r="P41" s="23">
        <f t="shared" si="11"/>
        <v>184.5775226</v>
      </c>
      <c r="Q41" s="14">
        <f t="shared" si="12"/>
        <v>422.4583489</v>
      </c>
      <c r="R41" s="2"/>
      <c r="S41" s="9">
        <f t="shared" si="13"/>
        <v>-6.278583646</v>
      </c>
    </row>
    <row r="42">
      <c r="A42" s="11">
        <v>30.0</v>
      </c>
      <c r="B42" s="11">
        <v>1.41952608695652E9</v>
      </c>
      <c r="C42" s="2">
        <v>-102.4911575</v>
      </c>
      <c r="D42" s="3">
        <f t="shared" si="1"/>
        <v>-873913.0435</v>
      </c>
      <c r="E42" s="4">
        <f t="shared" si="2"/>
        <v>183.6592264</v>
      </c>
      <c r="F42" s="3">
        <f t="shared" si="3"/>
        <v>0.0002101573238</v>
      </c>
      <c r="G42" s="3">
        <f t="shared" si="4"/>
        <v>0</v>
      </c>
      <c r="H42" s="2">
        <f t="shared" si="5"/>
        <v>0</v>
      </c>
      <c r="I42" s="3">
        <f t="shared" si="6"/>
        <v>0</v>
      </c>
      <c r="J42" s="3">
        <f t="shared" si="7"/>
        <v>0</v>
      </c>
      <c r="K42" s="3"/>
      <c r="L42" s="3">
        <f t="shared" si="8"/>
        <v>428.5390647</v>
      </c>
      <c r="M42" s="14">
        <f t="shared" si="9"/>
        <v>429.2091706</v>
      </c>
      <c r="N42" s="14">
        <f t="shared" si="10"/>
        <v>-0.6701059536</v>
      </c>
      <c r="O42" s="3"/>
      <c r="P42" s="23">
        <f t="shared" si="11"/>
        <v>183.6592264</v>
      </c>
      <c r="Q42" s="14">
        <f t="shared" si="12"/>
        <v>428.5390647</v>
      </c>
      <c r="R42" s="2"/>
      <c r="S42" s="9">
        <f t="shared" si="13"/>
        <v>-0.6153557057</v>
      </c>
    </row>
    <row r="43">
      <c r="A43" s="11">
        <v>31.0</v>
      </c>
      <c r="B43" s="11">
        <v>1.4195304347826E9</v>
      </c>
      <c r="C43" s="2">
        <v>-102.5165405</v>
      </c>
      <c r="D43" s="3">
        <f t="shared" si="1"/>
        <v>-869565.2174</v>
      </c>
      <c r="E43" s="4">
        <f t="shared" si="2"/>
        <v>182.7409303</v>
      </c>
      <c r="F43" s="3">
        <f t="shared" si="3"/>
        <v>0.0002101520698</v>
      </c>
      <c r="G43" s="3">
        <f t="shared" si="4"/>
        <v>0</v>
      </c>
      <c r="H43" s="2">
        <f t="shared" si="5"/>
        <v>0</v>
      </c>
      <c r="I43" s="3">
        <f t="shared" si="6"/>
        <v>0</v>
      </c>
      <c r="J43" s="3">
        <f t="shared" si="7"/>
        <v>0</v>
      </c>
      <c r="K43" s="3"/>
      <c r="L43" s="3">
        <f t="shared" si="8"/>
        <v>426.0417083</v>
      </c>
      <c r="M43" s="14">
        <f t="shared" si="9"/>
        <v>429.1226702</v>
      </c>
      <c r="N43" s="14">
        <f t="shared" si="10"/>
        <v>-3.080961914</v>
      </c>
      <c r="O43" s="3"/>
      <c r="P43" s="23">
        <f t="shared" si="11"/>
        <v>182.7409303</v>
      </c>
      <c r="Q43" s="14">
        <f t="shared" si="12"/>
        <v>426.0417083</v>
      </c>
      <c r="R43" s="2"/>
      <c r="S43" s="9">
        <f t="shared" si="13"/>
        <v>-2.82923541</v>
      </c>
    </row>
    <row r="44">
      <c r="A44" s="11">
        <v>32.0</v>
      </c>
      <c r="B44" s="11">
        <v>1.41953478260869E9</v>
      </c>
      <c r="C44" s="2">
        <v>-102.5410767</v>
      </c>
      <c r="D44" s="3">
        <f t="shared" si="1"/>
        <v>-865217.3913</v>
      </c>
      <c r="E44" s="4">
        <f t="shared" si="2"/>
        <v>181.8226342</v>
      </c>
      <c r="F44" s="3">
        <f t="shared" si="3"/>
        <v>0.0002101467631</v>
      </c>
      <c r="G44" s="3">
        <f t="shared" si="4"/>
        <v>0</v>
      </c>
      <c r="H44" s="2">
        <f t="shared" si="5"/>
        <v>0</v>
      </c>
      <c r="I44" s="3">
        <f t="shared" si="6"/>
        <v>0</v>
      </c>
      <c r="J44" s="3">
        <f t="shared" si="7"/>
        <v>0</v>
      </c>
      <c r="K44" s="3"/>
      <c r="L44" s="3">
        <f t="shared" si="8"/>
        <v>423.6415003</v>
      </c>
      <c r="M44" s="14">
        <f t="shared" si="9"/>
        <v>429.0360586</v>
      </c>
      <c r="N44" s="14">
        <f t="shared" si="10"/>
        <v>-5.394558363</v>
      </c>
      <c r="O44" s="3"/>
      <c r="P44" s="23">
        <f t="shared" si="11"/>
        <v>181.8226342</v>
      </c>
      <c r="Q44" s="14">
        <f t="shared" si="12"/>
        <v>423.6415003</v>
      </c>
      <c r="R44" s="2"/>
      <c r="S44" s="9">
        <f t="shared" si="13"/>
        <v>-4.953802083</v>
      </c>
    </row>
    <row r="45">
      <c r="A45" s="11">
        <v>33.0</v>
      </c>
      <c r="B45" s="11">
        <v>1.41953913043478E9</v>
      </c>
      <c r="C45" s="2">
        <v>-102.4666367</v>
      </c>
      <c r="D45" s="3">
        <f t="shared" si="1"/>
        <v>-860869.5652</v>
      </c>
      <c r="E45" s="4">
        <f t="shared" si="2"/>
        <v>180.904338</v>
      </c>
      <c r="F45" s="3">
        <f t="shared" si="3"/>
        <v>0.0002101414028</v>
      </c>
      <c r="G45" s="3">
        <f t="shared" si="4"/>
        <v>0</v>
      </c>
      <c r="H45" s="2">
        <f t="shared" si="5"/>
        <v>0</v>
      </c>
      <c r="I45" s="3">
        <f t="shared" si="6"/>
        <v>0</v>
      </c>
      <c r="J45" s="3">
        <f t="shared" si="7"/>
        <v>0</v>
      </c>
      <c r="K45" s="3"/>
      <c r="L45" s="3">
        <f t="shared" si="8"/>
        <v>430.9654924</v>
      </c>
      <c r="M45" s="14">
        <f t="shared" si="9"/>
        <v>428.9493368</v>
      </c>
      <c r="N45" s="14">
        <f t="shared" si="10"/>
        <v>2.016155537</v>
      </c>
      <c r="O45" s="3"/>
      <c r="P45" s="23">
        <f t="shared" si="11"/>
        <v>180.904338</v>
      </c>
      <c r="Q45" s="14">
        <f t="shared" si="12"/>
        <v>430.9654924</v>
      </c>
      <c r="R45" s="2"/>
      <c r="S45" s="9">
        <f t="shared" si="13"/>
        <v>1.851427828</v>
      </c>
    </row>
    <row r="46">
      <c r="A46" s="11">
        <v>34.0</v>
      </c>
      <c r="B46" s="11">
        <v>1.41954347826087E9</v>
      </c>
      <c r="C46" s="2">
        <v>-102.475647</v>
      </c>
      <c r="D46" s="3">
        <f t="shared" si="1"/>
        <v>-856521.7391</v>
      </c>
      <c r="E46" s="4">
        <f t="shared" si="2"/>
        <v>179.9860419</v>
      </c>
      <c r="F46" s="3">
        <f t="shared" si="3"/>
        <v>0.000210135988</v>
      </c>
      <c r="G46" s="3">
        <f t="shared" si="4"/>
        <v>0</v>
      </c>
      <c r="H46" s="2">
        <f t="shared" si="5"/>
        <v>0</v>
      </c>
      <c r="I46" s="3">
        <f t="shared" si="6"/>
        <v>0</v>
      </c>
      <c r="J46" s="3">
        <f t="shared" si="7"/>
        <v>0</v>
      </c>
      <c r="K46" s="3"/>
      <c r="L46" s="3">
        <f t="shared" si="8"/>
        <v>430.0722959</v>
      </c>
      <c r="M46" s="14">
        <f t="shared" si="9"/>
        <v>428.8625056</v>
      </c>
      <c r="N46" s="14">
        <f t="shared" si="10"/>
        <v>1.209790294</v>
      </c>
      <c r="O46" s="3"/>
      <c r="P46" s="23">
        <f t="shared" si="11"/>
        <v>179.9860419</v>
      </c>
      <c r="Q46" s="14">
        <f t="shared" si="12"/>
        <v>430.0722959</v>
      </c>
      <c r="R46" s="2"/>
      <c r="S46" s="9">
        <f t="shared" si="13"/>
        <v>1.110945748</v>
      </c>
    </row>
    <row r="47">
      <c r="A47" s="11">
        <v>35.0</v>
      </c>
      <c r="B47" s="11">
        <v>1.41954782608695E9</v>
      </c>
      <c r="C47" s="2">
        <v>-102.4621811</v>
      </c>
      <c r="D47" s="3">
        <f t="shared" si="1"/>
        <v>-852173.913</v>
      </c>
      <c r="E47" s="4">
        <f t="shared" si="2"/>
        <v>179.0677458</v>
      </c>
      <c r="F47" s="3">
        <f t="shared" si="3"/>
        <v>0.000210130518</v>
      </c>
      <c r="G47" s="3">
        <f t="shared" si="4"/>
        <v>0</v>
      </c>
      <c r="H47" s="2">
        <f t="shared" si="5"/>
        <v>0</v>
      </c>
      <c r="I47" s="3">
        <f t="shared" si="6"/>
        <v>0</v>
      </c>
      <c r="J47" s="3">
        <f t="shared" si="7"/>
        <v>0</v>
      </c>
      <c r="K47" s="3"/>
      <c r="L47" s="3">
        <f t="shared" si="8"/>
        <v>431.4078639</v>
      </c>
      <c r="M47" s="14">
        <f t="shared" si="9"/>
        <v>428.7755658</v>
      </c>
      <c r="N47" s="14">
        <f t="shared" si="10"/>
        <v>2.63229813</v>
      </c>
      <c r="O47" s="3"/>
      <c r="P47" s="23">
        <f t="shared" si="11"/>
        <v>179.0677458</v>
      </c>
      <c r="Q47" s="14">
        <f t="shared" si="12"/>
        <v>431.4078639</v>
      </c>
      <c r="R47" s="2"/>
      <c r="S47" s="9">
        <f t="shared" si="13"/>
        <v>2.417229193</v>
      </c>
    </row>
    <row r="48">
      <c r="A48" s="11">
        <v>36.0</v>
      </c>
      <c r="B48" s="11">
        <v>1.41955217391304E9</v>
      </c>
      <c r="C48" s="2">
        <v>-102.4596176</v>
      </c>
      <c r="D48" s="3">
        <f t="shared" si="1"/>
        <v>-847826.087</v>
      </c>
      <c r="E48" s="4">
        <f t="shared" si="2"/>
        <v>178.1494496</v>
      </c>
      <c r="F48" s="3">
        <f t="shared" si="3"/>
        <v>0.0002101249919</v>
      </c>
      <c r="G48" s="3">
        <f t="shared" si="4"/>
        <v>0</v>
      </c>
      <c r="H48" s="2">
        <f t="shared" si="5"/>
        <v>0</v>
      </c>
      <c r="I48" s="3">
        <f t="shared" si="6"/>
        <v>0</v>
      </c>
      <c r="J48" s="3">
        <f t="shared" si="7"/>
        <v>0</v>
      </c>
      <c r="K48" s="3"/>
      <c r="L48" s="3">
        <f t="shared" si="8"/>
        <v>431.6625852</v>
      </c>
      <c r="M48" s="14">
        <f t="shared" si="9"/>
        <v>428.6885182</v>
      </c>
      <c r="N48" s="14">
        <f t="shared" si="10"/>
        <v>2.974066992</v>
      </c>
      <c r="O48" s="3"/>
      <c r="P48" s="23">
        <f t="shared" si="11"/>
        <v>178.1494496</v>
      </c>
      <c r="Q48" s="14">
        <f t="shared" si="12"/>
        <v>431.6625852</v>
      </c>
      <c r="R48" s="2"/>
      <c r="S48" s="9">
        <f t="shared" si="13"/>
        <v>2.731074211</v>
      </c>
    </row>
    <row r="49">
      <c r="A49" s="11">
        <v>37.0</v>
      </c>
      <c r="B49" s="11">
        <v>1.41955652173913E9</v>
      </c>
      <c r="C49" s="2">
        <v>-102.5039444</v>
      </c>
      <c r="D49" s="3">
        <f t="shared" si="1"/>
        <v>-843478.2609</v>
      </c>
      <c r="E49" s="4">
        <f t="shared" si="2"/>
        <v>177.2311535</v>
      </c>
      <c r="F49" s="3">
        <f t="shared" si="3"/>
        <v>0.0002101194088</v>
      </c>
      <c r="G49" s="3">
        <f t="shared" si="4"/>
        <v>0</v>
      </c>
      <c r="H49" s="2">
        <f t="shared" si="5"/>
        <v>0</v>
      </c>
      <c r="I49" s="3">
        <f t="shared" si="6"/>
        <v>0</v>
      </c>
      <c r="J49" s="3">
        <f t="shared" si="7"/>
        <v>0</v>
      </c>
      <c r="K49" s="3"/>
      <c r="L49" s="3">
        <f t="shared" si="8"/>
        <v>427.2791759</v>
      </c>
      <c r="M49" s="14">
        <f t="shared" si="9"/>
        <v>428.6013637</v>
      </c>
      <c r="N49" s="14">
        <f t="shared" si="10"/>
        <v>-1.322187796</v>
      </c>
      <c r="O49" s="3"/>
      <c r="P49" s="23">
        <f t="shared" si="11"/>
        <v>177.2311535</v>
      </c>
      <c r="Q49" s="14">
        <f t="shared" si="12"/>
        <v>427.2791759</v>
      </c>
      <c r="R49" s="2"/>
      <c r="S49" s="9">
        <f t="shared" si="13"/>
        <v>-1.21415994</v>
      </c>
    </row>
    <row r="50">
      <c r="A50" s="11">
        <v>38.0</v>
      </c>
      <c r="B50" s="11">
        <v>1.41956086956521E9</v>
      </c>
      <c r="C50" s="2">
        <v>-102.5027542</v>
      </c>
      <c r="D50" s="3">
        <f t="shared" si="1"/>
        <v>-839130.4348</v>
      </c>
      <c r="E50" s="4">
        <f t="shared" si="2"/>
        <v>176.3128574</v>
      </c>
      <c r="F50" s="3">
        <f t="shared" si="3"/>
        <v>0.0002101137678</v>
      </c>
      <c r="G50" s="3">
        <f t="shared" si="4"/>
        <v>0</v>
      </c>
      <c r="H50" s="2">
        <f t="shared" si="5"/>
        <v>0</v>
      </c>
      <c r="I50" s="3">
        <f t="shared" si="6"/>
        <v>0</v>
      </c>
      <c r="J50" s="3">
        <f t="shared" si="7"/>
        <v>0</v>
      </c>
      <c r="K50" s="3"/>
      <c r="L50" s="3">
        <f t="shared" si="8"/>
        <v>427.3962894</v>
      </c>
      <c r="M50" s="14">
        <f t="shared" si="9"/>
        <v>428.5141032</v>
      </c>
      <c r="N50" s="14">
        <f t="shared" si="10"/>
        <v>-1.117813769</v>
      </c>
      <c r="O50" s="3"/>
      <c r="P50" s="23">
        <f t="shared" si="11"/>
        <v>176.3128574</v>
      </c>
      <c r="Q50" s="14">
        <f t="shared" si="12"/>
        <v>427.3962894</v>
      </c>
      <c r="R50" s="2"/>
      <c r="S50" s="9">
        <f t="shared" si="13"/>
        <v>-1.026484061</v>
      </c>
    </row>
    <row r="51">
      <c r="A51" s="11">
        <v>39.0</v>
      </c>
      <c r="B51" s="11">
        <v>1.4195652173913E9</v>
      </c>
      <c r="C51" s="2">
        <v>-102.4529419</v>
      </c>
      <c r="D51" s="3">
        <f t="shared" si="1"/>
        <v>-834782.6087</v>
      </c>
      <c r="E51" s="4">
        <f t="shared" si="2"/>
        <v>175.3945612</v>
      </c>
      <c r="F51" s="3">
        <f t="shared" si="3"/>
        <v>0.0002101080681</v>
      </c>
      <c r="G51" s="3">
        <f t="shared" si="4"/>
        <v>0</v>
      </c>
      <c r="H51" s="2">
        <f t="shared" si="5"/>
        <v>0</v>
      </c>
      <c r="I51" s="3">
        <f t="shared" si="6"/>
        <v>0</v>
      </c>
      <c r="J51" s="3">
        <f t="shared" si="7"/>
        <v>0</v>
      </c>
      <c r="K51" s="3"/>
      <c r="L51" s="3">
        <f t="shared" si="8"/>
        <v>432.3266199</v>
      </c>
      <c r="M51" s="14">
        <f t="shared" si="9"/>
        <v>428.4267374</v>
      </c>
      <c r="N51" s="14">
        <f t="shared" si="10"/>
        <v>3.899882444</v>
      </c>
      <c r="O51" s="3"/>
      <c r="P51" s="23">
        <f t="shared" si="11"/>
        <v>175.3945612</v>
      </c>
      <c r="Q51" s="14">
        <f t="shared" si="12"/>
        <v>432.3266199</v>
      </c>
      <c r="R51" s="2"/>
      <c r="S51" s="9">
        <f t="shared" si="13"/>
        <v>3.581246958</v>
      </c>
    </row>
    <row r="52">
      <c r="A52" s="11">
        <v>40.0</v>
      </c>
      <c r="B52" s="11">
        <v>1.41956956521739E9</v>
      </c>
      <c r="C52" s="2">
        <v>-102.4502182</v>
      </c>
      <c r="D52" s="3">
        <f t="shared" si="1"/>
        <v>-830434.7826</v>
      </c>
      <c r="E52" s="4">
        <f t="shared" si="2"/>
        <v>174.4762651</v>
      </c>
      <c r="F52" s="3">
        <f t="shared" si="3"/>
        <v>0.0002101023088</v>
      </c>
      <c r="G52" s="3">
        <f t="shared" si="4"/>
        <v>0</v>
      </c>
      <c r="H52" s="2">
        <f t="shared" si="5"/>
        <v>0</v>
      </c>
      <c r="I52" s="3">
        <f t="shared" si="6"/>
        <v>0</v>
      </c>
      <c r="J52" s="3">
        <f t="shared" si="7"/>
        <v>0</v>
      </c>
      <c r="K52" s="3"/>
      <c r="L52" s="3">
        <f t="shared" si="8"/>
        <v>432.5978407</v>
      </c>
      <c r="M52" s="14">
        <f t="shared" si="9"/>
        <v>428.3392672</v>
      </c>
      <c r="N52" s="14">
        <f t="shared" si="10"/>
        <v>4.258573504</v>
      </c>
      <c r="O52" s="3"/>
      <c r="P52" s="23">
        <f t="shared" si="11"/>
        <v>174.4762651</v>
      </c>
      <c r="Q52" s="14">
        <f t="shared" si="12"/>
        <v>432.5978407</v>
      </c>
      <c r="R52" s="2"/>
      <c r="S52" s="9">
        <f t="shared" si="13"/>
        <v>3.91063158</v>
      </c>
    </row>
    <row r="53">
      <c r="A53" s="11">
        <v>41.0</v>
      </c>
      <c r="B53" s="11">
        <v>1.41957391304347E9</v>
      </c>
      <c r="C53" s="2">
        <v>-102.5125885</v>
      </c>
      <c r="D53" s="3">
        <f t="shared" si="1"/>
        <v>-826086.9565</v>
      </c>
      <c r="E53" s="4">
        <f t="shared" si="2"/>
        <v>173.557969</v>
      </c>
      <c r="F53" s="3">
        <f t="shared" si="3"/>
        <v>0.0002100964888</v>
      </c>
      <c r="G53" s="3">
        <f t="shared" si="4"/>
        <v>0</v>
      </c>
      <c r="H53" s="2">
        <f t="shared" si="5"/>
        <v>0</v>
      </c>
      <c r="I53" s="3">
        <f t="shared" si="6"/>
        <v>0</v>
      </c>
      <c r="J53" s="3">
        <f t="shared" si="7"/>
        <v>0</v>
      </c>
      <c r="K53" s="3"/>
      <c r="L53" s="3">
        <f t="shared" si="8"/>
        <v>426.4295748</v>
      </c>
      <c r="M53" s="14">
        <f t="shared" si="9"/>
        <v>428.2516935</v>
      </c>
      <c r="N53" s="14">
        <f t="shared" si="10"/>
        <v>-1.822118657</v>
      </c>
      <c r="O53" s="3"/>
      <c r="P53" s="23">
        <f t="shared" si="11"/>
        <v>173.557969</v>
      </c>
      <c r="Q53" s="14">
        <f t="shared" si="12"/>
        <v>426.4295748</v>
      </c>
      <c r="R53" s="2"/>
      <c r="S53" s="9">
        <f t="shared" si="13"/>
        <v>-1.673244517</v>
      </c>
    </row>
    <row r="54">
      <c r="A54" s="11">
        <v>42.0</v>
      </c>
      <c r="B54" s="11">
        <v>1.41957826086956E9</v>
      </c>
      <c r="C54" s="2">
        <v>-102.500145</v>
      </c>
      <c r="D54" s="3">
        <f t="shared" si="1"/>
        <v>-821739.1304</v>
      </c>
      <c r="E54" s="4">
        <f t="shared" si="2"/>
        <v>172.6396728</v>
      </c>
      <c r="F54" s="3">
        <f t="shared" si="3"/>
        <v>0.0002100906072</v>
      </c>
      <c r="G54" s="3">
        <f t="shared" si="4"/>
        <v>0</v>
      </c>
      <c r="H54" s="2">
        <f t="shared" si="5"/>
        <v>0</v>
      </c>
      <c r="I54" s="3">
        <f t="shared" si="6"/>
        <v>0</v>
      </c>
      <c r="J54" s="3">
        <f t="shared" si="7"/>
        <v>0</v>
      </c>
      <c r="K54" s="3"/>
      <c r="L54" s="3">
        <f t="shared" si="8"/>
        <v>427.6531422</v>
      </c>
      <c r="M54" s="14">
        <f t="shared" si="9"/>
        <v>428.1640171</v>
      </c>
      <c r="N54" s="14">
        <f t="shared" si="10"/>
        <v>-0.5108748579</v>
      </c>
      <c r="O54" s="3"/>
      <c r="P54" s="23">
        <f t="shared" si="11"/>
        <v>172.6396728</v>
      </c>
      <c r="Q54" s="14">
        <f t="shared" si="12"/>
        <v>427.6531422</v>
      </c>
      <c r="R54" s="2"/>
      <c r="S54" s="9">
        <f t="shared" si="13"/>
        <v>-0.4691344052</v>
      </c>
    </row>
    <row r="55">
      <c r="A55" s="11">
        <v>43.0</v>
      </c>
      <c r="B55" s="11">
        <v>1.41958260869565E9</v>
      </c>
      <c r="C55" s="2">
        <v>-102.5447617</v>
      </c>
      <c r="D55" s="3">
        <f t="shared" si="1"/>
        <v>-817391.3043</v>
      </c>
      <c r="E55" s="4">
        <f t="shared" si="2"/>
        <v>171.7213767</v>
      </c>
      <c r="F55" s="3">
        <f t="shared" si="3"/>
        <v>0.000210084663</v>
      </c>
      <c r="G55" s="3">
        <f t="shared" si="4"/>
        <v>0</v>
      </c>
      <c r="H55" s="2">
        <f t="shared" si="5"/>
        <v>0</v>
      </c>
      <c r="I55" s="3">
        <f t="shared" si="6"/>
        <v>0</v>
      </c>
      <c r="J55" s="3">
        <f t="shared" si="7"/>
        <v>0</v>
      </c>
      <c r="K55" s="3"/>
      <c r="L55" s="3">
        <f t="shared" si="8"/>
        <v>423.2821918</v>
      </c>
      <c r="M55" s="14">
        <f t="shared" si="9"/>
        <v>428.0762387</v>
      </c>
      <c r="N55" s="14">
        <f t="shared" si="10"/>
        <v>-4.794046918</v>
      </c>
      <c r="O55" s="3"/>
      <c r="P55" s="23">
        <f t="shared" si="11"/>
        <v>171.7213767</v>
      </c>
      <c r="Q55" s="14">
        <f t="shared" si="12"/>
        <v>423.2821918</v>
      </c>
      <c r="R55" s="2"/>
      <c r="S55" s="9">
        <f t="shared" si="13"/>
        <v>-4.402354745</v>
      </c>
    </row>
    <row r="56">
      <c r="A56" s="11">
        <v>44.0</v>
      </c>
      <c r="B56" s="11">
        <v>1.41958695652173E9</v>
      </c>
      <c r="C56" s="2">
        <v>-102.44207</v>
      </c>
      <c r="D56" s="3">
        <f t="shared" si="1"/>
        <v>-813043.4783</v>
      </c>
      <c r="E56" s="4">
        <f t="shared" si="2"/>
        <v>170.8030806</v>
      </c>
      <c r="F56" s="3">
        <f t="shared" si="3"/>
        <v>0.0002100786553</v>
      </c>
      <c r="G56" s="3">
        <f t="shared" si="4"/>
        <v>0</v>
      </c>
      <c r="H56" s="2">
        <f t="shared" si="5"/>
        <v>0</v>
      </c>
      <c r="I56" s="3">
        <f t="shared" si="6"/>
        <v>0</v>
      </c>
      <c r="J56" s="3">
        <f t="shared" si="7"/>
        <v>0</v>
      </c>
      <c r="K56" s="3"/>
      <c r="L56" s="3">
        <f t="shared" si="8"/>
        <v>433.4102394</v>
      </c>
      <c r="M56" s="14">
        <f t="shared" si="9"/>
        <v>427.9883594</v>
      </c>
      <c r="N56" s="14">
        <f t="shared" si="10"/>
        <v>5.421879995</v>
      </c>
      <c r="O56" s="3"/>
      <c r="P56" s="23">
        <f t="shared" si="11"/>
        <v>170.8030806</v>
      </c>
      <c r="Q56" s="14">
        <f t="shared" si="12"/>
        <v>433.4102394</v>
      </c>
      <c r="R56" s="2"/>
      <c r="S56" s="9">
        <f t="shared" si="13"/>
        <v>4.978891432</v>
      </c>
    </row>
    <row r="57">
      <c r="A57" s="11">
        <v>45.0</v>
      </c>
      <c r="B57" s="11">
        <v>1.41959130434782E9</v>
      </c>
      <c r="C57" s="2">
        <v>-102.475914</v>
      </c>
      <c r="D57" s="3">
        <f t="shared" si="1"/>
        <v>-808695.6522</v>
      </c>
      <c r="E57" s="4">
        <f t="shared" si="2"/>
        <v>169.8847844</v>
      </c>
      <c r="F57" s="3">
        <f t="shared" si="3"/>
        <v>0.0002100725829</v>
      </c>
      <c r="G57" s="3">
        <f t="shared" si="4"/>
        <v>0</v>
      </c>
      <c r="H57" s="2">
        <f t="shared" si="5"/>
        <v>0</v>
      </c>
      <c r="I57" s="3">
        <f t="shared" si="6"/>
        <v>0</v>
      </c>
      <c r="J57" s="3">
        <f t="shared" si="7"/>
        <v>0</v>
      </c>
      <c r="K57" s="3"/>
      <c r="L57" s="3">
        <f t="shared" si="8"/>
        <v>430.0458563</v>
      </c>
      <c r="M57" s="14">
        <f t="shared" si="9"/>
        <v>427.9003798</v>
      </c>
      <c r="N57" s="14">
        <f t="shared" si="10"/>
        <v>2.145476459</v>
      </c>
      <c r="O57" s="3"/>
      <c r="P57" s="23">
        <f t="shared" si="11"/>
        <v>169.8847844</v>
      </c>
      <c r="Q57" s="14">
        <f t="shared" si="12"/>
        <v>430.0458563</v>
      </c>
      <c r="R57" s="2"/>
      <c r="S57" s="9">
        <f t="shared" si="13"/>
        <v>1.970182735</v>
      </c>
    </row>
    <row r="58">
      <c r="A58" s="11">
        <v>46.0</v>
      </c>
      <c r="B58" s="11">
        <v>1.41959565217391E9</v>
      </c>
      <c r="C58" s="2">
        <v>-102.4947662</v>
      </c>
      <c r="D58" s="3">
        <f t="shared" si="1"/>
        <v>-804347.8261</v>
      </c>
      <c r="E58" s="4">
        <f t="shared" si="2"/>
        <v>168.9664883</v>
      </c>
      <c r="F58" s="3">
        <f t="shared" si="3"/>
        <v>0.0002100664449</v>
      </c>
      <c r="G58" s="3">
        <f t="shared" si="4"/>
        <v>0</v>
      </c>
      <c r="H58" s="2">
        <f t="shared" si="5"/>
        <v>0</v>
      </c>
      <c r="I58" s="3">
        <f t="shared" si="6"/>
        <v>0</v>
      </c>
      <c r="J58" s="3">
        <f t="shared" si="7"/>
        <v>0</v>
      </c>
      <c r="K58" s="3"/>
      <c r="L58" s="3">
        <f t="shared" si="8"/>
        <v>428.1831249</v>
      </c>
      <c r="M58" s="14">
        <f t="shared" si="9"/>
        <v>427.8123009</v>
      </c>
      <c r="N58" s="14">
        <f t="shared" si="10"/>
        <v>0.3708240122</v>
      </c>
      <c r="O58" s="3"/>
      <c r="P58" s="23">
        <f t="shared" si="11"/>
        <v>168.9664883</v>
      </c>
      <c r="Q58" s="14">
        <f t="shared" si="12"/>
        <v>428.1831249</v>
      </c>
      <c r="R58" s="2"/>
      <c r="S58" s="9">
        <f t="shared" si="13"/>
        <v>0.3405262555</v>
      </c>
    </row>
    <row r="59">
      <c r="A59" s="11">
        <v>47.0</v>
      </c>
      <c r="B59" s="11">
        <v>1.4196E9</v>
      </c>
      <c r="C59" s="2">
        <v>-102.5180664</v>
      </c>
      <c r="D59" s="3">
        <f t="shared" si="1"/>
        <v>-800000</v>
      </c>
      <c r="E59" s="4">
        <f t="shared" si="2"/>
        <v>168.0481922</v>
      </c>
      <c r="F59" s="3">
        <f t="shared" si="3"/>
        <v>0.0002100602402</v>
      </c>
      <c r="G59" s="3">
        <f t="shared" si="4"/>
        <v>0</v>
      </c>
      <c r="H59" s="2">
        <f t="shared" si="5"/>
        <v>0</v>
      </c>
      <c r="I59" s="3">
        <f t="shared" si="6"/>
        <v>0</v>
      </c>
      <c r="J59" s="3">
        <f t="shared" si="7"/>
        <v>0</v>
      </c>
      <c r="K59" s="3"/>
      <c r="L59" s="3">
        <f t="shared" si="8"/>
        <v>425.8920442</v>
      </c>
      <c r="M59" s="14">
        <f t="shared" si="9"/>
        <v>427.7241235</v>
      </c>
      <c r="N59" s="14">
        <f t="shared" si="10"/>
        <v>-1.832079305</v>
      </c>
      <c r="O59" s="3"/>
      <c r="P59" s="23">
        <f t="shared" si="11"/>
        <v>168.0481922</v>
      </c>
      <c r="Q59" s="14">
        <f t="shared" si="12"/>
        <v>425.8920442</v>
      </c>
      <c r="R59" s="2"/>
      <c r="S59" s="9">
        <f t="shared" si="13"/>
        <v>-1.682391341</v>
      </c>
    </row>
    <row r="60">
      <c r="A60" s="11">
        <v>48.0</v>
      </c>
      <c r="B60" s="11">
        <v>1.41960434782608E9</v>
      </c>
      <c r="C60" s="2">
        <v>-102.4865265</v>
      </c>
      <c r="D60" s="3">
        <f t="shared" si="1"/>
        <v>-795652.1739</v>
      </c>
      <c r="E60" s="4">
        <f t="shared" si="2"/>
        <v>167.129896</v>
      </c>
      <c r="F60" s="3">
        <f t="shared" si="3"/>
        <v>0.0002100539677</v>
      </c>
      <c r="G60" s="3">
        <f t="shared" si="4"/>
        <v>0</v>
      </c>
      <c r="H60" s="2">
        <f t="shared" si="5"/>
        <v>0</v>
      </c>
      <c r="I60" s="3">
        <f t="shared" si="6"/>
        <v>0</v>
      </c>
      <c r="J60" s="3">
        <f t="shared" si="7"/>
        <v>0</v>
      </c>
      <c r="K60" s="3"/>
      <c r="L60" s="3">
        <f t="shared" si="8"/>
        <v>428.9962712</v>
      </c>
      <c r="M60" s="14">
        <f t="shared" si="9"/>
        <v>427.6358484</v>
      </c>
      <c r="N60" s="14">
        <f t="shared" si="10"/>
        <v>1.360422844</v>
      </c>
      <c r="O60" s="3"/>
      <c r="P60" s="23">
        <f t="shared" si="11"/>
        <v>167.129896</v>
      </c>
      <c r="Q60" s="14">
        <f t="shared" si="12"/>
        <v>428.9962712</v>
      </c>
      <c r="R60" s="2"/>
      <c r="S60" s="9">
        <f t="shared" si="13"/>
        <v>1.249271036</v>
      </c>
    </row>
    <row r="61">
      <c r="A61" s="11">
        <v>49.0</v>
      </c>
      <c r="B61" s="11">
        <v>1.41960869565217E9</v>
      </c>
      <c r="C61" s="2">
        <v>-102.480629</v>
      </c>
      <c r="D61" s="3">
        <f t="shared" si="1"/>
        <v>-791304.3478</v>
      </c>
      <c r="E61" s="4">
        <f t="shared" si="2"/>
        <v>166.2115999</v>
      </c>
      <c r="F61" s="3">
        <f t="shared" si="3"/>
        <v>0.0002100476263</v>
      </c>
      <c r="G61" s="3">
        <f t="shared" si="4"/>
        <v>0</v>
      </c>
      <c r="H61" s="2">
        <f t="shared" si="5"/>
        <v>0</v>
      </c>
      <c r="I61" s="3">
        <f t="shared" si="6"/>
        <v>0</v>
      </c>
      <c r="J61" s="3">
        <f t="shared" si="7"/>
        <v>0</v>
      </c>
      <c r="K61" s="3"/>
      <c r="L61" s="3">
        <f t="shared" si="8"/>
        <v>429.5792222</v>
      </c>
      <c r="M61" s="14">
        <f t="shared" si="9"/>
        <v>427.5474764</v>
      </c>
      <c r="N61" s="14">
        <f t="shared" si="10"/>
        <v>2.031745811</v>
      </c>
      <c r="O61" s="3"/>
      <c r="P61" s="23">
        <f t="shared" si="11"/>
        <v>166.2115999</v>
      </c>
      <c r="Q61" s="14">
        <f t="shared" si="12"/>
        <v>429.5792222</v>
      </c>
      <c r="R61" s="2"/>
      <c r="S61" s="9">
        <f t="shared" si="13"/>
        <v>1.865744316</v>
      </c>
    </row>
    <row r="62">
      <c r="A62" s="11">
        <v>50.0</v>
      </c>
      <c r="B62" s="11">
        <v>1.41961304347826E9</v>
      </c>
      <c r="C62" s="2">
        <v>-102.5368881</v>
      </c>
      <c r="D62" s="3">
        <f t="shared" si="1"/>
        <v>-786956.5217</v>
      </c>
      <c r="E62" s="4">
        <f t="shared" si="2"/>
        <v>165.2933038</v>
      </c>
      <c r="F62" s="3">
        <f t="shared" si="3"/>
        <v>0.0002100412148</v>
      </c>
      <c r="G62" s="3">
        <f t="shared" si="4"/>
        <v>0</v>
      </c>
      <c r="H62" s="2">
        <f t="shared" si="5"/>
        <v>0</v>
      </c>
      <c r="I62" s="3">
        <f t="shared" si="6"/>
        <v>0</v>
      </c>
      <c r="J62" s="3">
        <f t="shared" si="7"/>
        <v>0</v>
      </c>
      <c r="K62" s="3"/>
      <c r="L62" s="3">
        <f t="shared" si="8"/>
        <v>424.050283</v>
      </c>
      <c r="M62" s="14">
        <f t="shared" si="9"/>
        <v>427.4590085</v>
      </c>
      <c r="N62" s="14">
        <f t="shared" si="10"/>
        <v>-3.408725486</v>
      </c>
      <c r="O62" s="3"/>
      <c r="P62" s="23">
        <f t="shared" si="11"/>
        <v>165.2933038</v>
      </c>
      <c r="Q62" s="14">
        <f t="shared" si="12"/>
        <v>424.050283</v>
      </c>
      <c r="R62" s="2"/>
      <c r="S62" s="9">
        <f t="shared" si="13"/>
        <v>-3.130219431</v>
      </c>
    </row>
    <row r="63">
      <c r="A63" s="11">
        <v>51.0</v>
      </c>
      <c r="B63" s="11">
        <v>1.41961739130434E9</v>
      </c>
      <c r="C63" s="2">
        <v>-102.5122299</v>
      </c>
      <c r="D63" s="3">
        <f t="shared" si="1"/>
        <v>-782608.6957</v>
      </c>
      <c r="E63" s="4">
        <f t="shared" si="2"/>
        <v>164.3750077</v>
      </c>
      <c r="F63" s="3">
        <f t="shared" si="3"/>
        <v>0.000210034732</v>
      </c>
      <c r="G63" s="3">
        <f t="shared" si="4"/>
        <v>0</v>
      </c>
      <c r="H63" s="2">
        <f t="shared" si="5"/>
        <v>0</v>
      </c>
      <c r="I63" s="3">
        <f t="shared" si="6"/>
        <v>0</v>
      </c>
      <c r="J63" s="3">
        <f t="shared" si="7"/>
        <v>0</v>
      </c>
      <c r="K63" s="3"/>
      <c r="L63" s="3">
        <f t="shared" si="8"/>
        <v>426.4647869</v>
      </c>
      <c r="M63" s="14">
        <f t="shared" si="9"/>
        <v>427.3704454</v>
      </c>
      <c r="N63" s="14">
        <f t="shared" si="10"/>
        <v>-0.9056584766</v>
      </c>
      <c r="O63" s="3"/>
      <c r="P63" s="23">
        <f t="shared" si="11"/>
        <v>164.3750077</v>
      </c>
      <c r="Q63" s="14">
        <f t="shared" si="12"/>
        <v>426.4647869</v>
      </c>
      <c r="R63" s="2"/>
      <c r="S63" s="9">
        <f t="shared" si="13"/>
        <v>-0.8316626767</v>
      </c>
    </row>
    <row r="64">
      <c r="A64" s="11">
        <v>52.0</v>
      </c>
      <c r="B64" s="11">
        <v>1.41962173913043E9</v>
      </c>
      <c r="C64" s="2">
        <v>-102.5545425</v>
      </c>
      <c r="D64" s="3">
        <f t="shared" si="1"/>
        <v>-778260.8696</v>
      </c>
      <c r="E64" s="4">
        <f t="shared" si="2"/>
        <v>163.4567115</v>
      </c>
      <c r="F64" s="3">
        <f t="shared" si="3"/>
        <v>0.0002100281768</v>
      </c>
      <c r="G64" s="3">
        <f t="shared" si="4"/>
        <v>0</v>
      </c>
      <c r="H64" s="2">
        <f t="shared" si="5"/>
        <v>0</v>
      </c>
      <c r="I64" s="3">
        <f t="shared" si="6"/>
        <v>0</v>
      </c>
      <c r="J64" s="3">
        <f t="shared" si="7"/>
        <v>0</v>
      </c>
      <c r="K64" s="3"/>
      <c r="L64" s="3">
        <f t="shared" si="8"/>
        <v>422.3299854</v>
      </c>
      <c r="M64" s="14">
        <f t="shared" si="9"/>
        <v>427.2817879</v>
      </c>
      <c r="N64" s="14">
        <f t="shared" si="10"/>
        <v>-4.951802548</v>
      </c>
      <c r="O64" s="3"/>
      <c r="P64" s="23">
        <f t="shared" si="11"/>
        <v>163.4567115</v>
      </c>
      <c r="Q64" s="14">
        <f t="shared" si="12"/>
        <v>422.3299854</v>
      </c>
      <c r="R64" s="2"/>
      <c r="S64" s="9">
        <f t="shared" si="13"/>
        <v>-4.54722112</v>
      </c>
    </row>
    <row r="65">
      <c r="A65" s="11">
        <v>53.0</v>
      </c>
      <c r="B65" s="11">
        <v>1.41962608695652E9</v>
      </c>
      <c r="C65" s="2">
        <v>-102.5490265</v>
      </c>
      <c r="D65" s="3">
        <f t="shared" si="1"/>
        <v>-773913.0435</v>
      </c>
      <c r="E65" s="4">
        <f t="shared" si="2"/>
        <v>162.5384154</v>
      </c>
      <c r="F65" s="3">
        <f t="shared" si="3"/>
        <v>0.000210021548</v>
      </c>
      <c r="G65" s="3">
        <f t="shared" si="4"/>
        <v>0</v>
      </c>
      <c r="H65" s="2">
        <f t="shared" si="5"/>
        <v>0</v>
      </c>
      <c r="I65" s="3">
        <f t="shared" si="6"/>
        <v>0</v>
      </c>
      <c r="J65" s="3">
        <f t="shared" si="7"/>
        <v>0</v>
      </c>
      <c r="K65" s="3"/>
      <c r="L65" s="3">
        <f t="shared" si="8"/>
        <v>422.86673</v>
      </c>
      <c r="M65" s="14">
        <f t="shared" si="9"/>
        <v>427.193037</v>
      </c>
      <c r="N65" s="14">
        <f t="shared" si="10"/>
        <v>-4.326307014</v>
      </c>
      <c r="O65" s="3"/>
      <c r="P65" s="23">
        <f t="shared" si="11"/>
        <v>162.5384154</v>
      </c>
      <c r="Q65" s="14">
        <f t="shared" si="12"/>
        <v>422.86673</v>
      </c>
      <c r="R65" s="2"/>
      <c r="S65" s="9">
        <f t="shared" si="13"/>
        <v>-3.972831001</v>
      </c>
    </row>
    <row r="66">
      <c r="A66" s="11">
        <v>54.0</v>
      </c>
      <c r="B66" s="11">
        <v>1.4196304347826E9</v>
      </c>
      <c r="C66" s="2">
        <v>-102.5265198</v>
      </c>
      <c r="D66" s="3">
        <f t="shared" si="1"/>
        <v>-769565.2174</v>
      </c>
      <c r="E66" s="4">
        <f t="shared" si="2"/>
        <v>161.6201193</v>
      </c>
      <c r="F66" s="3">
        <f t="shared" si="3"/>
        <v>0.0002100148442</v>
      </c>
      <c r="G66" s="3">
        <f t="shared" si="4"/>
        <v>0</v>
      </c>
      <c r="H66" s="2">
        <f t="shared" si="5"/>
        <v>0</v>
      </c>
      <c r="I66" s="3">
        <f t="shared" si="6"/>
        <v>0</v>
      </c>
      <c r="J66" s="3">
        <f t="shared" si="7"/>
        <v>0</v>
      </c>
      <c r="K66" s="3"/>
      <c r="L66" s="3">
        <f t="shared" si="8"/>
        <v>425.0638655</v>
      </c>
      <c r="M66" s="14">
        <f t="shared" si="9"/>
        <v>427.1041934</v>
      </c>
      <c r="N66" s="14">
        <f t="shared" si="10"/>
        <v>-2.040327906</v>
      </c>
      <c r="O66" s="3"/>
      <c r="P66" s="23">
        <f t="shared" si="11"/>
        <v>161.6201193</v>
      </c>
      <c r="Q66" s="14">
        <f t="shared" si="12"/>
        <v>425.0638655</v>
      </c>
      <c r="R66" s="2"/>
      <c r="S66" s="9">
        <f t="shared" si="13"/>
        <v>-1.873625226</v>
      </c>
    </row>
    <row r="67">
      <c r="A67" s="11">
        <v>55.0</v>
      </c>
      <c r="B67" s="11">
        <v>1.41963478260869E9</v>
      </c>
      <c r="C67" s="2">
        <v>-102.4767456</v>
      </c>
      <c r="D67" s="3">
        <f t="shared" si="1"/>
        <v>-765217.3913</v>
      </c>
      <c r="E67" s="4">
        <f t="shared" si="2"/>
        <v>160.7018231</v>
      </c>
      <c r="F67" s="3">
        <f t="shared" si="3"/>
        <v>0.0002100080643</v>
      </c>
      <c r="G67" s="3">
        <f t="shared" si="4"/>
        <v>0</v>
      </c>
      <c r="H67" s="2">
        <f t="shared" si="5"/>
        <v>0</v>
      </c>
      <c r="I67" s="3">
        <f t="shared" si="6"/>
        <v>0</v>
      </c>
      <c r="J67" s="3">
        <f t="shared" si="7"/>
        <v>0</v>
      </c>
      <c r="K67" s="3"/>
      <c r="L67" s="3">
        <f t="shared" si="8"/>
        <v>429.9635177</v>
      </c>
      <c r="M67" s="14">
        <f t="shared" si="9"/>
        <v>427.0152581</v>
      </c>
      <c r="N67" s="14">
        <f t="shared" si="10"/>
        <v>2.948259653</v>
      </c>
      <c r="O67" s="3"/>
      <c r="P67" s="23">
        <f t="shared" si="11"/>
        <v>160.7018231</v>
      </c>
      <c r="Q67" s="14">
        <f t="shared" si="12"/>
        <v>429.9635177</v>
      </c>
      <c r="R67" s="2"/>
      <c r="S67" s="9">
        <f t="shared" si="13"/>
        <v>2.707375438</v>
      </c>
    </row>
    <row r="68">
      <c r="A68" s="11">
        <v>56.0</v>
      </c>
      <c r="B68" s="11">
        <v>1.41963913043478E9</v>
      </c>
      <c r="C68" s="2">
        <v>-102.5774765</v>
      </c>
      <c r="D68" s="24">
        <f t="shared" si="1"/>
        <v>-760869.5652</v>
      </c>
      <c r="E68" s="25">
        <f t="shared" si="2"/>
        <v>159.783527</v>
      </c>
      <c r="F68" s="24">
        <f t="shared" si="3"/>
        <v>0.0002100012069</v>
      </c>
      <c r="G68" s="24">
        <f t="shared" si="4"/>
        <v>0</v>
      </c>
      <c r="H68" s="26">
        <f t="shared" si="5"/>
        <v>0</v>
      </c>
      <c r="I68" s="24">
        <f t="shared" si="6"/>
        <v>0</v>
      </c>
      <c r="J68" s="24">
        <f t="shared" si="7"/>
        <v>0</v>
      </c>
      <c r="K68" s="24"/>
      <c r="L68" s="24">
        <f t="shared" si="8"/>
        <v>420.1056451</v>
      </c>
      <c r="M68" s="14">
        <f t="shared" si="9"/>
        <v>426.9262317</v>
      </c>
      <c r="N68" s="27">
        <f t="shared" si="10"/>
        <v>-6.820586583</v>
      </c>
      <c r="O68" s="24"/>
      <c r="P68" s="28">
        <f t="shared" ref="P68:P123" si="14">-((B418-$B$4)/$B$4)*(3*10^5)</f>
        <v>-160.7018231</v>
      </c>
      <c r="Q68" s="27">
        <f t="shared" ref="Q68:Q123" si="15">(1/(2*$K$13))*(I417)</f>
        <v>399.088522</v>
      </c>
      <c r="R68" s="26"/>
      <c r="S68" s="9">
        <f t="shared" si="13"/>
        <v>-6.263318268</v>
      </c>
    </row>
    <row r="69">
      <c r="A69" s="11">
        <v>57.0</v>
      </c>
      <c r="B69" s="11">
        <v>1.41964347826087E9</v>
      </c>
      <c r="C69" s="2">
        <v>-102.4914932</v>
      </c>
      <c r="D69" s="24">
        <f t="shared" si="1"/>
        <v>-756521.7391</v>
      </c>
      <c r="E69" s="25">
        <f t="shared" si="2"/>
        <v>158.8652309</v>
      </c>
      <c r="F69" s="24">
        <f t="shared" si="3"/>
        <v>0.0002099942707</v>
      </c>
      <c r="G69" s="24">
        <f t="shared" si="4"/>
        <v>0</v>
      </c>
      <c r="H69" s="26">
        <f t="shared" si="5"/>
        <v>0</v>
      </c>
      <c r="I69" s="24">
        <f t="shared" si="6"/>
        <v>0</v>
      </c>
      <c r="J69" s="24">
        <f t="shared" si="7"/>
        <v>0</v>
      </c>
      <c r="K69" s="24"/>
      <c r="L69" s="24">
        <f t="shared" si="8"/>
        <v>428.5059408</v>
      </c>
      <c r="M69" s="14">
        <f t="shared" si="9"/>
        <v>426.8371153</v>
      </c>
      <c r="N69" s="27">
        <f t="shared" si="10"/>
        <v>1.668825572</v>
      </c>
      <c r="O69" s="24"/>
      <c r="P69" s="28">
        <f t="shared" si="14"/>
        <v>-161.6201193</v>
      </c>
      <c r="Q69" s="27">
        <f t="shared" si="15"/>
        <v>397.5309416</v>
      </c>
      <c r="R69" s="26"/>
      <c r="S69" s="9">
        <f t="shared" si="13"/>
        <v>1.532476069</v>
      </c>
    </row>
    <row r="70">
      <c r="A70" s="11">
        <v>58.0</v>
      </c>
      <c r="B70" s="11">
        <v>1.41964782608695E9</v>
      </c>
      <c r="C70" s="2">
        <v>-102.5159149</v>
      </c>
      <c r="D70" s="24">
        <f t="shared" si="1"/>
        <v>-752173.913</v>
      </c>
      <c r="E70" s="25">
        <f t="shared" si="2"/>
        <v>157.9469347</v>
      </c>
      <c r="F70" s="24">
        <f t="shared" si="3"/>
        <v>0.0002099872543</v>
      </c>
      <c r="G70" s="24">
        <f t="shared" si="4"/>
        <v>0</v>
      </c>
      <c r="H70" s="26">
        <f t="shared" si="5"/>
        <v>0</v>
      </c>
      <c r="I70" s="24">
        <f t="shared" si="6"/>
        <v>0</v>
      </c>
      <c r="J70" s="24">
        <f t="shared" si="7"/>
        <v>0</v>
      </c>
      <c r="K70" s="24"/>
      <c r="L70" s="24">
        <f t="shared" si="8"/>
        <v>426.1030839</v>
      </c>
      <c r="M70" s="14">
        <f t="shared" si="9"/>
        <v>426.7479095</v>
      </c>
      <c r="N70" s="27">
        <f t="shared" si="10"/>
        <v>-0.6448256127</v>
      </c>
      <c r="O70" s="24"/>
      <c r="P70" s="28">
        <f t="shared" si="14"/>
        <v>-162.5384154</v>
      </c>
      <c r="Q70" s="27">
        <f t="shared" si="15"/>
        <v>396.8499294</v>
      </c>
      <c r="R70" s="26"/>
      <c r="S70" s="9">
        <f t="shared" si="13"/>
        <v>-0.5921408665</v>
      </c>
    </row>
    <row r="71">
      <c r="A71" s="11">
        <v>59.0</v>
      </c>
      <c r="B71" s="11">
        <v>1.41965217391304E9</v>
      </c>
      <c r="C71" s="2">
        <v>-102.4320145</v>
      </c>
      <c r="D71" s="24">
        <f t="shared" si="1"/>
        <v>-747826.087</v>
      </c>
      <c r="E71" s="25">
        <f t="shared" si="2"/>
        <v>157.0286386</v>
      </c>
      <c r="F71" s="24">
        <f t="shared" si="3"/>
        <v>0.0002099801563</v>
      </c>
      <c r="G71" s="24">
        <f t="shared" si="4"/>
        <v>0</v>
      </c>
      <c r="H71" s="26">
        <f t="shared" si="5"/>
        <v>0</v>
      </c>
      <c r="I71" s="24">
        <f t="shared" si="6"/>
        <v>0</v>
      </c>
      <c r="J71" s="24">
        <f t="shared" si="7"/>
        <v>0</v>
      </c>
      <c r="K71" s="24"/>
      <c r="L71" s="24">
        <f t="shared" si="8"/>
        <v>434.4149047</v>
      </c>
      <c r="M71" s="14">
        <f t="shared" si="9"/>
        <v>426.6586153</v>
      </c>
      <c r="N71" s="27">
        <f t="shared" si="10"/>
        <v>7.756289387</v>
      </c>
      <c r="O71" s="24"/>
      <c r="P71" s="28">
        <f t="shared" si="14"/>
        <v>-163.4567115</v>
      </c>
      <c r="Q71" s="27">
        <f t="shared" si="15"/>
        <v>396.8938573</v>
      </c>
      <c r="R71" s="26"/>
      <c r="S71" s="9">
        <f t="shared" si="13"/>
        <v>7.122570532</v>
      </c>
    </row>
    <row r="72">
      <c r="A72" s="11">
        <v>60.0</v>
      </c>
      <c r="B72" s="11">
        <v>1.41965652173913E9</v>
      </c>
      <c r="C72" s="2">
        <v>-102.4763031</v>
      </c>
      <c r="D72" s="24">
        <f t="shared" si="1"/>
        <v>-743478.2609</v>
      </c>
      <c r="E72" s="25">
        <f t="shared" si="2"/>
        <v>156.1103425</v>
      </c>
      <c r="F72" s="24">
        <f t="shared" si="3"/>
        <v>0.0002099729752</v>
      </c>
      <c r="G72" s="24">
        <f t="shared" si="4"/>
        <v>0</v>
      </c>
      <c r="H72" s="26">
        <f t="shared" si="5"/>
        <v>0</v>
      </c>
      <c r="I72" s="24">
        <f t="shared" si="6"/>
        <v>0</v>
      </c>
      <c r="J72" s="24">
        <f t="shared" si="7"/>
        <v>0</v>
      </c>
      <c r="K72" s="24"/>
      <c r="L72" s="24">
        <f t="shared" si="8"/>
        <v>430.0073287</v>
      </c>
      <c r="M72" s="14">
        <f t="shared" si="9"/>
        <v>426.5692335</v>
      </c>
      <c r="N72" s="27">
        <f t="shared" si="10"/>
        <v>3.438095201</v>
      </c>
      <c r="O72" s="24"/>
      <c r="P72" s="28">
        <f t="shared" si="14"/>
        <v>-164.3750077</v>
      </c>
      <c r="Q72" s="27">
        <f t="shared" si="15"/>
        <v>398.7976747</v>
      </c>
      <c r="R72" s="26"/>
      <c r="S72" s="9">
        <f t="shared" si="13"/>
        <v>3.157189527</v>
      </c>
    </row>
    <row r="73">
      <c r="A73" s="11">
        <v>61.0</v>
      </c>
      <c r="B73" s="11">
        <v>1.41966086956521E9</v>
      </c>
      <c r="C73" s="2">
        <v>-102.5139465</v>
      </c>
      <c r="D73" s="24">
        <f t="shared" si="1"/>
        <v>-739130.4348</v>
      </c>
      <c r="E73" s="25">
        <f t="shared" si="2"/>
        <v>155.1920463</v>
      </c>
      <c r="F73" s="24">
        <f t="shared" si="3"/>
        <v>0.0002099657097</v>
      </c>
      <c r="G73" s="24">
        <f t="shared" si="4"/>
        <v>0</v>
      </c>
      <c r="H73" s="26">
        <f t="shared" si="5"/>
        <v>0</v>
      </c>
      <c r="I73" s="24">
        <f t="shared" si="6"/>
        <v>0</v>
      </c>
      <c r="J73" s="24">
        <f t="shared" si="7"/>
        <v>0</v>
      </c>
      <c r="K73" s="24"/>
      <c r="L73" s="24">
        <f t="shared" si="8"/>
        <v>426.296255</v>
      </c>
      <c r="M73" s="14">
        <f t="shared" si="9"/>
        <v>426.4797649</v>
      </c>
      <c r="N73" s="27">
        <f t="shared" si="10"/>
        <v>-0.1835098989</v>
      </c>
      <c r="O73" s="24"/>
      <c r="P73" s="28">
        <f t="shared" si="14"/>
        <v>-165.2933038</v>
      </c>
      <c r="Q73" s="27">
        <f t="shared" si="15"/>
        <v>394.6751997</v>
      </c>
      <c r="R73" s="26"/>
      <c r="S73" s="9">
        <f t="shared" si="13"/>
        <v>-0.1685164305</v>
      </c>
    </row>
    <row r="74">
      <c r="A74" s="11">
        <v>62.0</v>
      </c>
      <c r="B74" s="11">
        <v>1.4196652173913E9</v>
      </c>
      <c r="C74" s="2">
        <v>-102.5206909</v>
      </c>
      <c r="D74" s="24">
        <f t="shared" si="1"/>
        <v>-734782.6087</v>
      </c>
      <c r="E74" s="25">
        <f t="shared" si="2"/>
        <v>154.2737502</v>
      </c>
      <c r="F74" s="24">
        <f t="shared" si="3"/>
        <v>0.0002099583583</v>
      </c>
      <c r="G74" s="24">
        <f t="shared" si="4"/>
        <v>0</v>
      </c>
      <c r="H74" s="26">
        <f t="shared" si="5"/>
        <v>0</v>
      </c>
      <c r="I74" s="24">
        <f t="shared" si="6"/>
        <v>0</v>
      </c>
      <c r="J74" s="24">
        <f t="shared" si="7"/>
        <v>0</v>
      </c>
      <c r="K74" s="24"/>
      <c r="L74" s="24">
        <f t="shared" si="8"/>
        <v>425.6347496</v>
      </c>
      <c r="M74" s="14">
        <f t="shared" si="9"/>
        <v>426.3902104</v>
      </c>
      <c r="N74" s="27">
        <f t="shared" si="10"/>
        <v>-0.7554607086</v>
      </c>
      <c r="O74" s="24"/>
      <c r="P74" s="28">
        <f t="shared" si="14"/>
        <v>-166.2115999</v>
      </c>
      <c r="Q74" s="27">
        <f t="shared" si="15"/>
        <v>393.1852591</v>
      </c>
      <c r="R74" s="26"/>
      <c r="S74" s="9">
        <f t="shared" si="13"/>
        <v>-0.6937366456</v>
      </c>
    </row>
    <row r="75">
      <c r="A75" s="11">
        <v>63.0</v>
      </c>
      <c r="B75" s="11">
        <v>1.41966956521739E9</v>
      </c>
      <c r="C75" s="2">
        <v>-102.5210495</v>
      </c>
      <c r="D75" s="24">
        <f t="shared" si="1"/>
        <v>-730434.7826</v>
      </c>
      <c r="E75" s="25">
        <f t="shared" si="2"/>
        <v>153.3554541</v>
      </c>
      <c r="F75" s="24">
        <f t="shared" si="3"/>
        <v>0.0002099509193</v>
      </c>
      <c r="G75" s="24">
        <f t="shared" si="4"/>
        <v>0</v>
      </c>
      <c r="H75" s="26">
        <f t="shared" si="5"/>
        <v>0</v>
      </c>
      <c r="I75" s="24">
        <f t="shared" si="6"/>
        <v>0</v>
      </c>
      <c r="J75" s="24">
        <f t="shared" si="7"/>
        <v>0</v>
      </c>
      <c r="K75" s="24"/>
      <c r="L75" s="24">
        <f t="shared" si="8"/>
        <v>425.5996061</v>
      </c>
      <c r="M75" s="14">
        <f t="shared" si="9"/>
        <v>426.3005707</v>
      </c>
      <c r="N75" s="27">
        <f t="shared" si="10"/>
        <v>-0.7009646017</v>
      </c>
      <c r="O75" s="24"/>
      <c r="P75" s="28">
        <f t="shared" si="14"/>
        <v>-167.129896</v>
      </c>
      <c r="Q75" s="27">
        <f t="shared" si="15"/>
        <v>396.6262076</v>
      </c>
      <c r="R75" s="26"/>
      <c r="S75" s="9">
        <f t="shared" si="13"/>
        <v>-0.643693083</v>
      </c>
    </row>
    <row r="76">
      <c r="A76" s="11">
        <v>64.0</v>
      </c>
      <c r="B76" s="11">
        <v>1.41967391304347E9</v>
      </c>
      <c r="C76" s="2">
        <v>-102.4846344</v>
      </c>
      <c r="D76" s="24">
        <f t="shared" si="1"/>
        <v>-726086.9565</v>
      </c>
      <c r="E76" s="25">
        <f t="shared" si="2"/>
        <v>152.4371579</v>
      </c>
      <c r="F76" s="24">
        <f t="shared" si="3"/>
        <v>0.0002099433912</v>
      </c>
      <c r="G76" s="24">
        <f t="shared" si="4"/>
        <v>0</v>
      </c>
      <c r="H76" s="26">
        <f t="shared" si="5"/>
        <v>0</v>
      </c>
      <c r="I76" s="24">
        <f t="shared" si="6"/>
        <v>0</v>
      </c>
      <c r="J76" s="24">
        <f t="shared" si="7"/>
        <v>0</v>
      </c>
      <c r="K76" s="24"/>
      <c r="L76" s="24">
        <f t="shared" si="8"/>
        <v>429.1832137</v>
      </c>
      <c r="M76" s="14">
        <f t="shared" si="9"/>
        <v>426.2108469</v>
      </c>
      <c r="N76" s="27">
        <f t="shared" si="10"/>
        <v>2.972366797</v>
      </c>
      <c r="O76" s="24"/>
      <c r="P76" s="28">
        <f t="shared" si="14"/>
        <v>-168.0481922</v>
      </c>
      <c r="Q76" s="27">
        <f t="shared" si="15"/>
        <v>395.0837865</v>
      </c>
      <c r="R76" s="26"/>
      <c r="S76" s="9">
        <f t="shared" si="13"/>
        <v>2.729512935</v>
      </c>
    </row>
    <row r="77">
      <c r="A77" s="11">
        <v>65.0</v>
      </c>
      <c r="B77" s="11">
        <v>1.41967826086956E9</v>
      </c>
      <c r="C77" s="2">
        <v>-102.5576172</v>
      </c>
      <c r="D77" s="24">
        <f t="shared" si="1"/>
        <v>-721739.1304</v>
      </c>
      <c r="E77" s="25">
        <f t="shared" si="2"/>
        <v>151.5188618</v>
      </c>
      <c r="F77" s="24">
        <f t="shared" si="3"/>
        <v>0.0002099357724</v>
      </c>
      <c r="G77" s="24">
        <f t="shared" si="4"/>
        <v>0</v>
      </c>
      <c r="H77" s="26">
        <f t="shared" si="5"/>
        <v>0</v>
      </c>
      <c r="I77" s="24">
        <f t="shared" si="6"/>
        <v>0</v>
      </c>
      <c r="J77" s="24">
        <f t="shared" si="7"/>
        <v>0</v>
      </c>
      <c r="K77" s="24"/>
      <c r="L77" s="24">
        <f t="shared" si="8"/>
        <v>422.0310918</v>
      </c>
      <c r="M77" s="14">
        <f t="shared" si="9"/>
        <v>426.1210396</v>
      </c>
      <c r="N77" s="27">
        <f t="shared" si="10"/>
        <v>-4.089947811</v>
      </c>
      <c r="O77" s="24"/>
      <c r="P77" s="28">
        <f t="shared" si="14"/>
        <v>-168.9664883</v>
      </c>
      <c r="Q77" s="27">
        <f t="shared" si="15"/>
        <v>391.6225017</v>
      </c>
      <c r="R77" s="26"/>
      <c r="S77" s="9">
        <f t="shared" si="13"/>
        <v>-3.755783249</v>
      </c>
    </row>
    <row r="78">
      <c r="A78" s="11">
        <v>66.0</v>
      </c>
      <c r="B78" s="11">
        <v>1.41968260869565E9</v>
      </c>
      <c r="C78" s="2">
        <v>-102.5089722</v>
      </c>
      <c r="D78" s="24">
        <f t="shared" si="1"/>
        <v>-717391.3043</v>
      </c>
      <c r="E78" s="25">
        <f t="shared" si="2"/>
        <v>150.6005657</v>
      </c>
      <c r="F78" s="24">
        <f t="shared" si="3"/>
        <v>0.0002099280612</v>
      </c>
      <c r="G78" s="24">
        <f t="shared" si="4"/>
        <v>0</v>
      </c>
      <c r="H78" s="26">
        <f t="shared" si="5"/>
        <v>0</v>
      </c>
      <c r="I78" s="24">
        <f t="shared" si="6"/>
        <v>0</v>
      </c>
      <c r="J78" s="24">
        <f t="shared" si="7"/>
        <v>0</v>
      </c>
      <c r="K78" s="24"/>
      <c r="L78" s="24">
        <f t="shared" si="8"/>
        <v>426.7848037</v>
      </c>
      <c r="M78" s="14">
        <f t="shared" si="9"/>
        <v>426.0311497</v>
      </c>
      <c r="N78" s="27">
        <f t="shared" si="10"/>
        <v>0.7536540206</v>
      </c>
      <c r="O78" s="24"/>
      <c r="P78" s="28">
        <f t="shared" si="14"/>
        <v>-169.8847844</v>
      </c>
      <c r="Q78" s="27">
        <f t="shared" si="15"/>
        <v>391.0883124</v>
      </c>
      <c r="R78" s="26"/>
      <c r="S78" s="9">
        <f t="shared" si="13"/>
        <v>0.6920775725</v>
      </c>
    </row>
    <row r="79">
      <c r="A79" s="11">
        <v>67.0</v>
      </c>
      <c r="B79" s="11">
        <v>1.41968695652173E9</v>
      </c>
      <c r="C79" s="2">
        <v>-102.5150146</v>
      </c>
      <c r="D79" s="24">
        <f t="shared" si="1"/>
        <v>-713043.4783</v>
      </c>
      <c r="E79" s="25">
        <f t="shared" si="2"/>
        <v>149.6822695</v>
      </c>
      <c r="F79" s="24">
        <f t="shared" si="3"/>
        <v>0.0002099202561</v>
      </c>
      <c r="G79" s="24">
        <f t="shared" si="4"/>
        <v>0</v>
      </c>
      <c r="H79" s="26">
        <f t="shared" si="5"/>
        <v>0</v>
      </c>
      <c r="I79" s="24">
        <f t="shared" si="6"/>
        <v>0</v>
      </c>
      <c r="J79" s="24">
        <f t="shared" si="7"/>
        <v>0</v>
      </c>
      <c r="K79" s="24"/>
      <c r="L79" s="24">
        <f t="shared" si="8"/>
        <v>426.1914249</v>
      </c>
      <c r="M79" s="14">
        <f t="shared" si="9"/>
        <v>425.9411781</v>
      </c>
      <c r="N79" s="27">
        <f t="shared" si="10"/>
        <v>0.2502468232</v>
      </c>
      <c r="O79" s="24"/>
      <c r="P79" s="28">
        <f t="shared" si="14"/>
        <v>-170.8030806</v>
      </c>
      <c r="Q79" s="27">
        <f t="shared" si="15"/>
        <v>399.1621447</v>
      </c>
      <c r="R79" s="26"/>
      <c r="S79" s="9">
        <f t="shared" si="13"/>
        <v>0.22980069</v>
      </c>
    </row>
    <row r="80">
      <c r="A80" s="11">
        <v>68.0</v>
      </c>
      <c r="B80" s="11">
        <v>1.41969130434782E9</v>
      </c>
      <c r="C80" s="2">
        <v>-102.4629822</v>
      </c>
      <c r="D80" s="24">
        <f t="shared" si="1"/>
        <v>-708695.6522</v>
      </c>
      <c r="E80" s="25">
        <f t="shared" si="2"/>
        <v>148.7639734</v>
      </c>
      <c r="F80" s="24">
        <f t="shared" si="3"/>
        <v>0.0002099123551</v>
      </c>
      <c r="G80" s="24">
        <f t="shared" si="4"/>
        <v>0</v>
      </c>
      <c r="H80" s="26">
        <f t="shared" si="5"/>
        <v>0</v>
      </c>
      <c r="I80" s="24">
        <f t="shared" si="6"/>
        <v>0</v>
      </c>
      <c r="J80" s="24">
        <f t="shared" si="7"/>
        <v>0</v>
      </c>
      <c r="K80" s="24"/>
      <c r="L80" s="24">
        <f t="shared" si="8"/>
        <v>431.3282937</v>
      </c>
      <c r="M80" s="14">
        <f t="shared" si="9"/>
        <v>425.8511256</v>
      </c>
      <c r="N80" s="27">
        <f t="shared" si="10"/>
        <v>5.477168098</v>
      </c>
      <c r="O80" s="24"/>
      <c r="P80" s="28">
        <f t="shared" si="14"/>
        <v>-171.7213767</v>
      </c>
      <c r="Q80" s="27">
        <f t="shared" si="15"/>
        <v>394.7445361</v>
      </c>
      <c r="R80" s="26"/>
      <c r="S80" s="9">
        <f t="shared" si="13"/>
        <v>5.029662283</v>
      </c>
    </row>
    <row r="81">
      <c r="A81" s="11">
        <v>69.0</v>
      </c>
      <c r="B81" s="11">
        <v>1.41969565217391E9</v>
      </c>
      <c r="C81" s="2">
        <v>-102.4999924</v>
      </c>
      <c r="D81" s="24">
        <f t="shared" si="1"/>
        <v>-704347.8261</v>
      </c>
      <c r="E81" s="25">
        <f t="shared" si="2"/>
        <v>147.8456773</v>
      </c>
      <c r="F81" s="24">
        <f t="shared" si="3"/>
        <v>0.0002099043566</v>
      </c>
      <c r="G81" s="24">
        <f t="shared" si="4"/>
        <v>0</v>
      </c>
      <c r="H81" s="26">
        <f t="shared" si="5"/>
        <v>0</v>
      </c>
      <c r="I81" s="24">
        <f t="shared" si="6"/>
        <v>0</v>
      </c>
      <c r="J81" s="24">
        <f t="shared" si="7"/>
        <v>0</v>
      </c>
      <c r="K81" s="24"/>
      <c r="L81" s="24">
        <f t="shared" si="8"/>
        <v>427.6681691</v>
      </c>
      <c r="M81" s="14">
        <f t="shared" si="9"/>
        <v>425.7609931</v>
      </c>
      <c r="N81" s="27">
        <f t="shared" si="10"/>
        <v>1.907176035</v>
      </c>
      <c r="O81" s="24"/>
      <c r="P81" s="28">
        <f t="shared" si="14"/>
        <v>-172.6396728</v>
      </c>
      <c r="Q81" s="27">
        <f t="shared" si="15"/>
        <v>395.7805406</v>
      </c>
      <c r="R81" s="26"/>
      <c r="S81" s="9">
        <f t="shared" si="13"/>
        <v>1.751352374</v>
      </c>
    </row>
    <row r="82">
      <c r="A82" s="11">
        <v>70.0</v>
      </c>
      <c r="B82" s="11">
        <v>1.4197E9</v>
      </c>
      <c r="C82" s="2">
        <v>-102.5308075</v>
      </c>
      <c r="D82" s="24">
        <f t="shared" si="1"/>
        <v>-700000</v>
      </c>
      <c r="E82" s="25">
        <f t="shared" si="2"/>
        <v>146.9273811</v>
      </c>
      <c r="F82" s="24">
        <f t="shared" si="3"/>
        <v>0.0002098962588</v>
      </c>
      <c r="G82" s="24">
        <f t="shared" si="4"/>
        <v>0</v>
      </c>
      <c r="H82" s="26">
        <f t="shared" si="5"/>
        <v>0</v>
      </c>
      <c r="I82" s="24">
        <f t="shared" si="6"/>
        <v>0</v>
      </c>
      <c r="J82" s="24">
        <f t="shared" si="7"/>
        <v>0</v>
      </c>
      <c r="K82" s="24"/>
      <c r="L82" s="24">
        <f t="shared" si="8"/>
        <v>424.6444158</v>
      </c>
      <c r="M82" s="14">
        <f t="shared" si="9"/>
        <v>425.6707813</v>
      </c>
      <c r="N82" s="27">
        <f t="shared" si="10"/>
        <v>-1.026365478</v>
      </c>
      <c r="O82" s="24"/>
      <c r="P82" s="28">
        <f t="shared" si="14"/>
        <v>-173.557969</v>
      </c>
      <c r="Q82" s="27">
        <f t="shared" si="15"/>
        <v>397.3193967</v>
      </c>
      <c r="R82" s="26"/>
      <c r="S82" s="9">
        <f t="shared" si="13"/>
        <v>-0.9425074493</v>
      </c>
    </row>
    <row r="83">
      <c r="A83" s="11">
        <v>71.0</v>
      </c>
      <c r="B83" s="11">
        <v>1.41970434782608E9</v>
      </c>
      <c r="C83" s="2">
        <v>-102.5697479</v>
      </c>
      <c r="D83" s="24">
        <f t="shared" si="1"/>
        <v>-695652.1739</v>
      </c>
      <c r="E83" s="25">
        <f t="shared" si="2"/>
        <v>146.009085</v>
      </c>
      <c r="F83" s="24">
        <f t="shared" si="3"/>
        <v>0.0002098880597</v>
      </c>
      <c r="G83" s="24">
        <f t="shared" si="4"/>
        <v>0</v>
      </c>
      <c r="H83" s="26">
        <f t="shared" si="5"/>
        <v>0</v>
      </c>
      <c r="I83" s="24">
        <f t="shared" si="6"/>
        <v>0</v>
      </c>
      <c r="J83" s="24">
        <f t="shared" si="7"/>
        <v>0</v>
      </c>
      <c r="K83" s="24"/>
      <c r="L83" s="24">
        <f t="shared" si="8"/>
        <v>420.8539206</v>
      </c>
      <c r="M83" s="14">
        <f t="shared" si="9"/>
        <v>425.5804911</v>
      </c>
      <c r="N83" s="27">
        <f t="shared" si="10"/>
        <v>-4.726570507</v>
      </c>
      <c r="O83" s="24"/>
      <c r="P83" s="28">
        <f t="shared" si="14"/>
        <v>-174.4762651</v>
      </c>
      <c r="Q83" s="27">
        <f t="shared" si="15"/>
        <v>394.2137039</v>
      </c>
      <c r="R83" s="26"/>
      <c r="S83" s="9">
        <f t="shared" si="13"/>
        <v>-4.340391418</v>
      </c>
    </row>
    <row r="84">
      <c r="A84" s="11">
        <v>72.0</v>
      </c>
      <c r="B84" s="11">
        <v>1.41970869565217E9</v>
      </c>
      <c r="C84" s="2">
        <v>-102.5177917</v>
      </c>
      <c r="D84" s="24">
        <f t="shared" si="1"/>
        <v>-691304.3478</v>
      </c>
      <c r="E84" s="25">
        <f t="shared" si="2"/>
        <v>145.0907889</v>
      </c>
      <c r="F84" s="24">
        <f t="shared" si="3"/>
        <v>0.0002098797575</v>
      </c>
      <c r="G84" s="24">
        <f t="shared" si="4"/>
        <v>0</v>
      </c>
      <c r="H84" s="26">
        <f t="shared" si="5"/>
        <v>0</v>
      </c>
      <c r="I84" s="24">
        <f t="shared" si="6"/>
        <v>0</v>
      </c>
      <c r="J84" s="24">
        <f t="shared" si="7"/>
        <v>0</v>
      </c>
      <c r="K84" s="24"/>
      <c r="L84" s="24">
        <f t="shared" si="8"/>
        <v>425.9189836</v>
      </c>
      <c r="M84" s="14">
        <f t="shared" si="9"/>
        <v>425.4901234</v>
      </c>
      <c r="N84" s="27">
        <f t="shared" si="10"/>
        <v>0.4288601225</v>
      </c>
      <c r="O84" s="24"/>
      <c r="P84" s="28">
        <f t="shared" si="14"/>
        <v>-175.3945612</v>
      </c>
      <c r="Q84" s="27">
        <f t="shared" si="15"/>
        <v>392.6882508</v>
      </c>
      <c r="R84" s="26"/>
      <c r="S84" s="9">
        <f t="shared" si="13"/>
        <v>0.3938205911</v>
      </c>
    </row>
    <row r="85">
      <c r="A85" s="11">
        <v>73.0</v>
      </c>
      <c r="B85" s="11">
        <v>1.41971304347826E9</v>
      </c>
      <c r="C85" s="2">
        <v>-102.5233765</v>
      </c>
      <c r="D85" s="24">
        <f t="shared" si="1"/>
        <v>-686956.5217</v>
      </c>
      <c r="E85" s="25">
        <f t="shared" si="2"/>
        <v>144.1724927</v>
      </c>
      <c r="F85" s="24">
        <f t="shared" si="3"/>
        <v>0.0002098713502</v>
      </c>
      <c r="G85" s="24">
        <f t="shared" si="4"/>
        <v>0</v>
      </c>
      <c r="H85" s="26">
        <f t="shared" si="5"/>
        <v>0</v>
      </c>
      <c r="I85" s="24">
        <f t="shared" si="6"/>
        <v>0</v>
      </c>
      <c r="J85" s="24">
        <f t="shared" si="7"/>
        <v>0</v>
      </c>
      <c r="K85" s="24"/>
      <c r="L85" s="24">
        <f t="shared" si="8"/>
        <v>425.371626</v>
      </c>
      <c r="M85" s="14">
        <f t="shared" si="9"/>
        <v>425.3996791</v>
      </c>
      <c r="N85" s="27">
        <f t="shared" si="10"/>
        <v>-0.02805301409</v>
      </c>
      <c r="O85" s="24"/>
      <c r="P85" s="28">
        <f t="shared" si="14"/>
        <v>-176.3128574</v>
      </c>
      <c r="Q85" s="27">
        <f t="shared" si="15"/>
        <v>397.12959</v>
      </c>
      <c r="R85" s="26"/>
      <c r="S85" s="9">
        <f t="shared" si="13"/>
        <v>-0.02576097435</v>
      </c>
    </row>
    <row r="86">
      <c r="A86" s="11">
        <v>74.0</v>
      </c>
      <c r="B86" s="11">
        <v>1.41971739130434E9</v>
      </c>
      <c r="C86" s="2">
        <v>-102.6014709</v>
      </c>
      <c r="D86" s="24">
        <f t="shared" si="1"/>
        <v>-682608.6957</v>
      </c>
      <c r="E86" s="25">
        <f t="shared" si="2"/>
        <v>143.2541966</v>
      </c>
      <c r="F86" s="24">
        <f t="shared" si="3"/>
        <v>0.0002098628358</v>
      </c>
      <c r="G86" s="24">
        <f t="shared" si="4"/>
        <v>0</v>
      </c>
      <c r="H86" s="26">
        <f t="shared" si="5"/>
        <v>0</v>
      </c>
      <c r="I86" s="24">
        <f t="shared" si="6"/>
        <v>0</v>
      </c>
      <c r="J86" s="24">
        <f t="shared" si="7"/>
        <v>0</v>
      </c>
      <c r="K86" s="24"/>
      <c r="L86" s="24">
        <f t="shared" si="8"/>
        <v>417.7909973</v>
      </c>
      <c r="M86" s="14">
        <f t="shared" si="9"/>
        <v>425.3091588</v>
      </c>
      <c r="N86" s="27">
        <f t="shared" si="10"/>
        <v>-7.51816153</v>
      </c>
      <c r="O86" s="24"/>
      <c r="P86" s="28">
        <f t="shared" si="14"/>
        <v>-177.2311535</v>
      </c>
      <c r="Q86" s="27">
        <f t="shared" si="15"/>
        <v>394.6717282</v>
      </c>
      <c r="R86" s="26"/>
      <c r="S86" s="9">
        <f t="shared" si="13"/>
        <v>-6.903898659</v>
      </c>
    </row>
    <row r="87">
      <c r="A87" s="11">
        <v>75.0</v>
      </c>
      <c r="B87" s="11">
        <v>1.41972173913043E9</v>
      </c>
      <c r="C87" s="2">
        <v>-102.5298004</v>
      </c>
      <c r="D87" s="24">
        <f t="shared" si="1"/>
        <v>-678260.8696</v>
      </c>
      <c r="E87" s="25">
        <f t="shared" si="2"/>
        <v>142.3359005</v>
      </c>
      <c r="F87" s="24">
        <f t="shared" si="3"/>
        <v>0.0002098542122</v>
      </c>
      <c r="G87" s="24">
        <f t="shared" si="4"/>
        <v>0</v>
      </c>
      <c r="H87" s="26">
        <f t="shared" si="5"/>
        <v>0</v>
      </c>
      <c r="I87" s="24">
        <f t="shared" si="6"/>
        <v>0</v>
      </c>
      <c r="J87" s="24">
        <f t="shared" si="7"/>
        <v>0</v>
      </c>
      <c r="K87" s="24"/>
      <c r="L87" s="24">
        <f t="shared" si="8"/>
        <v>424.7428995</v>
      </c>
      <c r="M87" s="14">
        <f t="shared" si="9"/>
        <v>425.2185635</v>
      </c>
      <c r="N87" s="27">
        <f t="shared" si="10"/>
        <v>-0.4756640487</v>
      </c>
      <c r="O87" s="24"/>
      <c r="P87" s="28">
        <f t="shared" si="14"/>
        <v>-178.1494496</v>
      </c>
      <c r="Q87" s="27">
        <f t="shared" si="15"/>
        <v>393.3386269</v>
      </c>
      <c r="R87" s="26"/>
      <c r="S87" s="9">
        <f t="shared" si="13"/>
        <v>-0.4368004554</v>
      </c>
    </row>
    <row r="88">
      <c r="A88" s="11">
        <v>76.0</v>
      </c>
      <c r="B88" s="11">
        <v>1.41972608695652E9</v>
      </c>
      <c r="C88" s="2">
        <v>-102.5047531</v>
      </c>
      <c r="D88" s="24">
        <f t="shared" si="1"/>
        <v>-673913.0435</v>
      </c>
      <c r="E88" s="25">
        <f t="shared" si="2"/>
        <v>141.4176044</v>
      </c>
      <c r="F88" s="24">
        <f t="shared" si="3"/>
        <v>0.0002098454774</v>
      </c>
      <c r="G88" s="24">
        <f t="shared" si="4"/>
        <v>0</v>
      </c>
      <c r="H88" s="26">
        <f t="shared" si="5"/>
        <v>0</v>
      </c>
      <c r="I88" s="24">
        <f t="shared" si="6"/>
        <v>0</v>
      </c>
      <c r="J88" s="24">
        <f t="shared" si="7"/>
        <v>0</v>
      </c>
      <c r="K88" s="24"/>
      <c r="L88" s="24">
        <f t="shared" si="8"/>
        <v>427.1996197</v>
      </c>
      <c r="M88" s="14">
        <f t="shared" si="9"/>
        <v>425.127894</v>
      </c>
      <c r="N88" s="27">
        <f t="shared" si="10"/>
        <v>2.071725643</v>
      </c>
      <c r="O88" s="24"/>
      <c r="P88" s="28">
        <f t="shared" si="14"/>
        <v>-179.0677458</v>
      </c>
      <c r="Q88" s="27">
        <f t="shared" si="15"/>
        <v>398.1949312</v>
      </c>
      <c r="R88" s="26"/>
      <c r="S88" s="9">
        <f t="shared" si="13"/>
        <v>1.902457646</v>
      </c>
    </row>
    <row r="89">
      <c r="A89" s="11">
        <v>77.0</v>
      </c>
      <c r="B89" s="11">
        <v>1.4197304347826E9</v>
      </c>
      <c r="C89" s="2">
        <v>-102.5103302</v>
      </c>
      <c r="D89" s="24">
        <f t="shared" si="1"/>
        <v>-669565.2174</v>
      </c>
      <c r="E89" s="25">
        <f t="shared" si="2"/>
        <v>140.4993082</v>
      </c>
      <c r="F89" s="24">
        <f t="shared" si="3"/>
        <v>0.0002098366292</v>
      </c>
      <c r="G89" s="24">
        <f t="shared" si="4"/>
        <v>0</v>
      </c>
      <c r="H89" s="26">
        <f t="shared" si="5"/>
        <v>0</v>
      </c>
      <c r="I89" s="24">
        <f t="shared" si="6"/>
        <v>0</v>
      </c>
      <c r="J89" s="24">
        <f t="shared" si="7"/>
        <v>0</v>
      </c>
      <c r="K89" s="24"/>
      <c r="L89" s="24">
        <f t="shared" si="8"/>
        <v>426.6513728</v>
      </c>
      <c r="M89" s="14">
        <f t="shared" si="9"/>
        <v>425.0371512</v>
      </c>
      <c r="N89" s="27">
        <f t="shared" si="10"/>
        <v>1.6142216</v>
      </c>
      <c r="O89" s="24"/>
      <c r="P89" s="28">
        <f t="shared" si="14"/>
        <v>-179.9860419</v>
      </c>
      <c r="Q89" s="27">
        <f t="shared" si="15"/>
        <v>392.7144644</v>
      </c>
      <c r="R89" s="26"/>
      <c r="S89" s="9">
        <f t="shared" si="13"/>
        <v>1.482333453</v>
      </c>
    </row>
    <row r="90">
      <c r="A90" s="11">
        <v>78.0</v>
      </c>
      <c r="B90" s="11">
        <v>1.41973478260869E9</v>
      </c>
      <c r="C90" s="2">
        <v>-102.5013123</v>
      </c>
      <c r="D90" s="24">
        <f t="shared" si="1"/>
        <v>-665217.3913</v>
      </c>
      <c r="E90" s="25">
        <f t="shared" si="2"/>
        <v>139.5810121</v>
      </c>
      <c r="F90" s="24">
        <f t="shared" si="3"/>
        <v>0.0002098276652</v>
      </c>
      <c r="G90" s="24">
        <f t="shared" si="4"/>
        <v>0</v>
      </c>
      <c r="H90" s="26">
        <f t="shared" si="5"/>
        <v>0</v>
      </c>
      <c r="I90" s="24">
        <f t="shared" si="6"/>
        <v>0</v>
      </c>
      <c r="J90" s="24">
        <f t="shared" si="7"/>
        <v>0</v>
      </c>
      <c r="K90" s="24"/>
      <c r="L90" s="24">
        <f t="shared" si="8"/>
        <v>427.5382127</v>
      </c>
      <c r="M90" s="14">
        <f t="shared" si="9"/>
        <v>424.9463359</v>
      </c>
      <c r="N90" s="27">
        <f t="shared" si="10"/>
        <v>2.591876823</v>
      </c>
      <c r="O90" s="24"/>
      <c r="P90" s="28">
        <f t="shared" si="14"/>
        <v>-180.904338</v>
      </c>
      <c r="Q90" s="27">
        <f t="shared" si="15"/>
        <v>395.3573412</v>
      </c>
      <c r="R90" s="26"/>
      <c r="S90" s="9">
        <f t="shared" si="13"/>
        <v>2.380110463</v>
      </c>
    </row>
    <row r="91">
      <c r="A91" s="11">
        <v>79.0</v>
      </c>
      <c r="B91" s="11">
        <v>1.41973913043478E9</v>
      </c>
      <c r="C91" s="2">
        <v>-102.5421982</v>
      </c>
      <c r="D91" s="24">
        <f t="shared" si="1"/>
        <v>-660869.5652</v>
      </c>
      <c r="E91" s="25">
        <f t="shared" si="2"/>
        <v>138.662716</v>
      </c>
      <c r="F91" s="24">
        <f t="shared" si="3"/>
        <v>0.0002098185833</v>
      </c>
      <c r="G91" s="24">
        <f t="shared" si="4"/>
        <v>0</v>
      </c>
      <c r="H91" s="26">
        <f t="shared" si="5"/>
        <v>0</v>
      </c>
      <c r="I91" s="24">
        <f t="shared" si="6"/>
        <v>0</v>
      </c>
      <c r="J91" s="24">
        <f t="shared" si="7"/>
        <v>0</v>
      </c>
      <c r="K91" s="24"/>
      <c r="L91" s="24">
        <f t="shared" si="8"/>
        <v>423.5321154</v>
      </c>
      <c r="M91" s="14">
        <f t="shared" si="9"/>
        <v>424.8554489</v>
      </c>
      <c r="N91" s="27">
        <f t="shared" si="10"/>
        <v>-1.323333521</v>
      </c>
      <c r="O91" s="24"/>
      <c r="P91" s="28">
        <f t="shared" si="14"/>
        <v>-181.8226342</v>
      </c>
      <c r="Q91" s="27">
        <f t="shared" si="15"/>
        <v>391.8936598</v>
      </c>
      <c r="R91" s="26"/>
      <c r="S91" s="9">
        <f t="shared" si="13"/>
        <v>-1.215212052</v>
      </c>
    </row>
    <row r="92">
      <c r="A92" s="11">
        <v>80.0</v>
      </c>
      <c r="B92" s="11">
        <v>1.41974347826087E9</v>
      </c>
      <c r="C92" s="2">
        <v>-102.4692917</v>
      </c>
      <c r="D92" s="24">
        <f t="shared" si="1"/>
        <v>-656521.7391</v>
      </c>
      <c r="E92" s="25">
        <f t="shared" si="2"/>
        <v>137.7444198</v>
      </c>
      <c r="F92" s="24">
        <f t="shared" si="3"/>
        <v>0.0002098093812</v>
      </c>
      <c r="G92" s="24">
        <f t="shared" si="4"/>
        <v>0</v>
      </c>
      <c r="H92" s="26">
        <f t="shared" si="5"/>
        <v>0</v>
      </c>
      <c r="I92" s="24">
        <f t="shared" si="6"/>
        <v>0</v>
      </c>
      <c r="J92" s="24">
        <f t="shared" si="7"/>
        <v>0</v>
      </c>
      <c r="K92" s="24"/>
      <c r="L92" s="24">
        <f t="shared" si="8"/>
        <v>430.702108</v>
      </c>
      <c r="M92" s="14">
        <f t="shared" si="9"/>
        <v>424.7644911</v>
      </c>
      <c r="N92" s="27">
        <f t="shared" si="10"/>
        <v>5.937616947</v>
      </c>
      <c r="O92" s="24"/>
      <c r="P92" s="28">
        <f t="shared" si="14"/>
        <v>-182.7409303</v>
      </c>
      <c r="Q92" s="27">
        <f t="shared" si="15"/>
        <v>392.1167888</v>
      </c>
      <c r="R92" s="26"/>
      <c r="S92" s="9">
        <f t="shared" si="13"/>
        <v>5.45249068</v>
      </c>
    </row>
    <row r="93">
      <c r="A93" s="11">
        <v>81.0</v>
      </c>
      <c r="B93" s="11">
        <v>1.41974782608695E9</v>
      </c>
      <c r="C93" s="2">
        <v>-102.5326004</v>
      </c>
      <c r="D93" s="24">
        <f t="shared" si="1"/>
        <v>-652173.913</v>
      </c>
      <c r="E93" s="25">
        <f t="shared" si="2"/>
        <v>136.8261237</v>
      </c>
      <c r="F93" s="24">
        <f t="shared" si="3"/>
        <v>0.0002098000563</v>
      </c>
      <c r="G93" s="24">
        <f t="shared" si="4"/>
        <v>0</v>
      </c>
      <c r="H93" s="26">
        <f t="shared" si="5"/>
        <v>0</v>
      </c>
      <c r="I93" s="24">
        <f t="shared" si="6"/>
        <v>0</v>
      </c>
      <c r="J93" s="24">
        <f t="shared" si="7"/>
        <v>0</v>
      </c>
      <c r="K93" s="24"/>
      <c r="L93" s="24">
        <f t="shared" si="8"/>
        <v>424.4691458</v>
      </c>
      <c r="M93" s="14">
        <f t="shared" si="9"/>
        <v>424.6734633</v>
      </c>
      <c r="N93" s="27">
        <f t="shared" si="10"/>
        <v>-0.2043174291</v>
      </c>
      <c r="O93" s="24"/>
      <c r="P93" s="28">
        <f t="shared" si="14"/>
        <v>-183.6592264</v>
      </c>
      <c r="Q93" s="27">
        <f t="shared" si="15"/>
        <v>392.8421212</v>
      </c>
      <c r="R93" s="26"/>
      <c r="S93" s="9">
        <f t="shared" si="13"/>
        <v>-0.187623905</v>
      </c>
    </row>
    <row r="94">
      <c r="A94" s="11">
        <v>82.0</v>
      </c>
      <c r="B94" s="11">
        <v>1.41975217391304E9</v>
      </c>
      <c r="C94" s="2">
        <v>-102.5131454</v>
      </c>
      <c r="D94" s="24">
        <f t="shared" si="1"/>
        <v>-647826.087</v>
      </c>
      <c r="E94" s="25">
        <f t="shared" si="2"/>
        <v>135.9078276</v>
      </c>
      <c r="F94" s="24">
        <f t="shared" si="3"/>
        <v>0.0002097906063</v>
      </c>
      <c r="G94" s="24">
        <f t="shared" si="4"/>
        <v>0</v>
      </c>
      <c r="H94" s="26">
        <f t="shared" si="5"/>
        <v>0</v>
      </c>
      <c r="I94" s="24">
        <f t="shared" si="6"/>
        <v>0</v>
      </c>
      <c r="J94" s="24">
        <f t="shared" si="7"/>
        <v>0</v>
      </c>
      <c r="K94" s="24"/>
      <c r="L94" s="24">
        <f t="shared" si="8"/>
        <v>426.3748969</v>
      </c>
      <c r="M94" s="14">
        <f t="shared" si="9"/>
        <v>424.5823663</v>
      </c>
      <c r="N94" s="27">
        <f t="shared" si="10"/>
        <v>1.792530565</v>
      </c>
      <c r="O94" s="24"/>
      <c r="P94" s="28">
        <f t="shared" si="14"/>
        <v>-184.5775226</v>
      </c>
      <c r="Q94" s="27">
        <f t="shared" si="15"/>
        <v>391.106179</v>
      </c>
      <c r="R94" s="26"/>
      <c r="S94" s="9">
        <f t="shared" si="13"/>
        <v>1.646073882</v>
      </c>
    </row>
    <row r="95">
      <c r="A95" s="11">
        <v>83.0</v>
      </c>
      <c r="B95" s="11">
        <v>1.41975652173913E9</v>
      </c>
      <c r="C95" s="2">
        <v>-102.4663544</v>
      </c>
      <c r="D95" s="24">
        <f t="shared" si="1"/>
        <v>-643478.2609</v>
      </c>
      <c r="E95" s="25">
        <f t="shared" si="2"/>
        <v>134.9895314</v>
      </c>
      <c r="F95" s="24">
        <f t="shared" si="3"/>
        <v>0.0002097810286</v>
      </c>
      <c r="G95" s="24">
        <f t="shared" si="4"/>
        <v>0</v>
      </c>
      <c r="H95" s="26">
        <f t="shared" si="5"/>
        <v>0</v>
      </c>
      <c r="I95" s="24">
        <f t="shared" si="6"/>
        <v>0</v>
      </c>
      <c r="J95" s="24">
        <f t="shared" si="7"/>
        <v>0</v>
      </c>
      <c r="K95" s="24"/>
      <c r="L95" s="24">
        <f t="shared" si="8"/>
        <v>430.9935069</v>
      </c>
      <c r="M95" s="14">
        <f t="shared" si="9"/>
        <v>424.491201</v>
      </c>
      <c r="N95" s="27">
        <f t="shared" si="10"/>
        <v>6.502305856</v>
      </c>
      <c r="O95" s="24"/>
      <c r="P95" s="28">
        <f t="shared" si="14"/>
        <v>-185.4958187</v>
      </c>
      <c r="Q95" s="27">
        <f t="shared" si="15"/>
        <v>392.492387</v>
      </c>
      <c r="R95" s="26"/>
      <c r="S95" s="9">
        <f t="shared" si="13"/>
        <v>5.971042322</v>
      </c>
    </row>
    <row r="96">
      <c r="A96" s="11">
        <v>84.0</v>
      </c>
      <c r="B96" s="11">
        <v>1.41976086956521E9</v>
      </c>
      <c r="C96" s="2">
        <v>-102.5555801</v>
      </c>
      <c r="D96" s="24">
        <f t="shared" si="1"/>
        <v>-639130.4348</v>
      </c>
      <c r="E96" s="25">
        <f t="shared" si="2"/>
        <v>134.0712353</v>
      </c>
      <c r="F96" s="24">
        <f t="shared" si="3"/>
        <v>0.0002097713205</v>
      </c>
      <c r="G96" s="24">
        <f t="shared" si="4"/>
        <v>0</v>
      </c>
      <c r="H96" s="26">
        <f t="shared" si="5"/>
        <v>0</v>
      </c>
      <c r="I96" s="24">
        <f t="shared" si="6"/>
        <v>0</v>
      </c>
      <c r="J96" s="24">
        <f t="shared" si="7"/>
        <v>0</v>
      </c>
      <c r="K96" s="24"/>
      <c r="L96" s="24">
        <f t="shared" si="8"/>
        <v>422.2290959</v>
      </c>
      <c r="M96" s="14">
        <f t="shared" si="9"/>
        <v>424.3999683</v>
      </c>
      <c r="N96" s="27">
        <f t="shared" si="10"/>
        <v>-2.170872354</v>
      </c>
      <c r="O96" s="24"/>
      <c r="P96" s="28">
        <f t="shared" si="14"/>
        <v>-186.4141148</v>
      </c>
      <c r="Q96" s="27">
        <f t="shared" si="15"/>
        <v>397.6741279</v>
      </c>
      <c r="R96" s="26"/>
      <c r="S96" s="9">
        <f t="shared" si="13"/>
        <v>-1.993503688</v>
      </c>
    </row>
    <row r="97">
      <c r="A97" s="11">
        <v>85.0</v>
      </c>
      <c r="B97" s="11">
        <v>1.4197652173913E9</v>
      </c>
      <c r="C97" s="2">
        <v>-102.5236588</v>
      </c>
      <c r="D97" s="24">
        <f t="shared" si="1"/>
        <v>-634782.6087</v>
      </c>
      <c r="E97" s="25">
        <f t="shared" si="2"/>
        <v>133.1529392</v>
      </c>
      <c r="F97" s="24">
        <f t="shared" si="3"/>
        <v>0.0002097614795</v>
      </c>
      <c r="G97" s="24">
        <f t="shared" si="4"/>
        <v>0</v>
      </c>
      <c r="H97" s="26">
        <f t="shared" si="5"/>
        <v>0</v>
      </c>
      <c r="I97" s="24">
        <f t="shared" si="6"/>
        <v>0</v>
      </c>
      <c r="J97" s="24">
        <f t="shared" si="7"/>
        <v>0</v>
      </c>
      <c r="K97" s="24"/>
      <c r="L97" s="24">
        <f t="shared" si="8"/>
        <v>425.3439769</v>
      </c>
      <c r="M97" s="14">
        <f t="shared" si="9"/>
        <v>424.3086689</v>
      </c>
      <c r="N97" s="27">
        <f t="shared" si="10"/>
        <v>1.035308012</v>
      </c>
      <c r="O97" s="24"/>
      <c r="P97" s="28">
        <f t="shared" si="14"/>
        <v>-187.332411</v>
      </c>
      <c r="Q97" s="27">
        <f t="shared" si="15"/>
        <v>396.9838117</v>
      </c>
      <c r="R97" s="26"/>
      <c r="S97" s="9">
        <f t="shared" si="13"/>
        <v>0.9507193417</v>
      </c>
    </row>
    <row r="98">
      <c r="A98" s="11">
        <v>86.0</v>
      </c>
      <c r="B98" s="11">
        <v>1.41976956521739E9</v>
      </c>
      <c r="C98" s="2">
        <v>-102.502037</v>
      </c>
      <c r="D98" s="24">
        <f t="shared" si="1"/>
        <v>-630434.7826</v>
      </c>
      <c r="E98" s="25">
        <f t="shared" si="2"/>
        <v>132.234643</v>
      </c>
      <c r="F98" s="24">
        <f t="shared" si="3"/>
        <v>0.0002097515027</v>
      </c>
      <c r="G98" s="24">
        <f t="shared" si="4"/>
        <v>0</v>
      </c>
      <c r="H98" s="26">
        <f t="shared" si="5"/>
        <v>0</v>
      </c>
      <c r="I98" s="24">
        <f t="shared" si="6"/>
        <v>0</v>
      </c>
      <c r="J98" s="24">
        <f t="shared" si="7"/>
        <v>0</v>
      </c>
      <c r="K98" s="24"/>
      <c r="L98" s="24">
        <f t="shared" si="8"/>
        <v>427.4668761</v>
      </c>
      <c r="M98" s="14">
        <f t="shared" si="9"/>
        <v>424.2173038</v>
      </c>
      <c r="N98" s="27">
        <f t="shared" si="10"/>
        <v>3.249572318</v>
      </c>
      <c r="O98" s="24"/>
      <c r="P98" s="28">
        <f t="shared" si="14"/>
        <v>-188.2507071</v>
      </c>
      <c r="Q98" s="27">
        <f t="shared" si="15"/>
        <v>395.9697026</v>
      </c>
      <c r="R98" s="26"/>
      <c r="S98" s="9">
        <f t="shared" si="13"/>
        <v>2.984069693</v>
      </c>
    </row>
    <row r="99">
      <c r="A99" s="11">
        <v>87.0</v>
      </c>
      <c r="B99" s="11">
        <v>1.41977391304347E9</v>
      </c>
      <c r="C99" s="2">
        <v>-102.5110092</v>
      </c>
      <c r="D99" s="24">
        <f t="shared" si="1"/>
        <v>-626086.9565</v>
      </c>
      <c r="E99" s="25">
        <f t="shared" si="2"/>
        <v>131.3163469</v>
      </c>
      <c r="F99" s="24">
        <f t="shared" si="3"/>
        <v>0.0002097413874</v>
      </c>
      <c r="G99" s="24">
        <f t="shared" si="4"/>
        <v>0</v>
      </c>
      <c r="H99" s="26">
        <f t="shared" si="5"/>
        <v>0</v>
      </c>
      <c r="I99" s="24">
        <f t="shared" si="6"/>
        <v>0</v>
      </c>
      <c r="J99" s="24">
        <f t="shared" si="7"/>
        <v>0</v>
      </c>
      <c r="K99" s="24"/>
      <c r="L99" s="24">
        <f t="shared" si="8"/>
        <v>426.584673</v>
      </c>
      <c r="M99" s="14">
        <f t="shared" si="9"/>
        <v>424.1258736</v>
      </c>
      <c r="N99" s="27">
        <f t="shared" si="10"/>
        <v>2.458799363</v>
      </c>
      <c r="O99" s="24"/>
      <c r="P99" s="28">
        <f t="shared" si="14"/>
        <v>-189.1690032</v>
      </c>
      <c r="Q99" s="27">
        <f t="shared" si="15"/>
        <v>391.3969142</v>
      </c>
      <c r="R99" s="26"/>
      <c r="S99" s="9">
        <f t="shared" si="13"/>
        <v>2.257905947</v>
      </c>
    </row>
    <row r="100">
      <c r="A100" s="11">
        <v>88.0</v>
      </c>
      <c r="B100" s="11">
        <v>1.41977826086956E9</v>
      </c>
      <c r="C100" s="2">
        <v>-102.5102844</v>
      </c>
      <c r="D100" s="24">
        <f t="shared" si="1"/>
        <v>-621739.1304</v>
      </c>
      <c r="E100" s="25">
        <f t="shared" si="2"/>
        <v>130.3980508</v>
      </c>
      <c r="F100" s="24">
        <f t="shared" si="3"/>
        <v>0.0002097311306</v>
      </c>
      <c r="G100" s="24">
        <f t="shared" si="4"/>
        <v>0</v>
      </c>
      <c r="H100" s="26">
        <f t="shared" si="5"/>
        <v>0</v>
      </c>
      <c r="I100" s="24">
        <f t="shared" si="6"/>
        <v>0</v>
      </c>
      <c r="J100" s="24">
        <f t="shared" si="7"/>
        <v>0</v>
      </c>
      <c r="K100" s="24"/>
      <c r="L100" s="24">
        <f t="shared" si="8"/>
        <v>426.6558722</v>
      </c>
      <c r="M100" s="14">
        <f t="shared" si="9"/>
        <v>424.0343794</v>
      </c>
      <c r="N100" s="27">
        <f t="shared" si="10"/>
        <v>2.621492844</v>
      </c>
      <c r="O100" s="24"/>
      <c r="P100" s="28">
        <f t="shared" si="14"/>
        <v>-190.0872994</v>
      </c>
      <c r="Q100" s="27">
        <f t="shared" si="15"/>
        <v>393.6330972</v>
      </c>
      <c r="R100" s="26"/>
      <c r="S100" s="9">
        <f t="shared" si="13"/>
        <v>2.407306735</v>
      </c>
    </row>
    <row r="101">
      <c r="A101" s="11">
        <v>89.0</v>
      </c>
      <c r="B101" s="11">
        <v>1.41978260869565E9</v>
      </c>
      <c r="C101" s="2">
        <v>-102.5505371</v>
      </c>
      <c r="D101" s="24">
        <f t="shared" si="1"/>
        <v>-617391.3043</v>
      </c>
      <c r="E101" s="25">
        <f t="shared" si="2"/>
        <v>129.4797546</v>
      </c>
      <c r="F101" s="24">
        <f t="shared" si="3"/>
        <v>0.0002097207293</v>
      </c>
      <c r="G101" s="24">
        <f t="shared" si="4"/>
        <v>0</v>
      </c>
      <c r="H101" s="26">
        <f t="shared" si="5"/>
        <v>0</v>
      </c>
      <c r="I101" s="24">
        <f t="shared" si="6"/>
        <v>0</v>
      </c>
      <c r="J101" s="24">
        <f t="shared" si="7"/>
        <v>0</v>
      </c>
      <c r="K101" s="24"/>
      <c r="L101" s="24">
        <f t="shared" si="8"/>
        <v>422.7196705</v>
      </c>
      <c r="M101" s="14">
        <f t="shared" si="9"/>
        <v>423.9428219</v>
      </c>
      <c r="N101" s="27">
        <f t="shared" si="10"/>
        <v>-1.223151409</v>
      </c>
      <c r="O101" s="24"/>
      <c r="P101" s="28">
        <f t="shared" si="14"/>
        <v>-191.0055955</v>
      </c>
      <c r="Q101" s="27">
        <f t="shared" si="15"/>
        <v>394.2102364</v>
      </c>
      <c r="R101" s="26"/>
      <c r="S101" s="9">
        <f t="shared" si="13"/>
        <v>-1.123215208</v>
      </c>
    </row>
    <row r="102">
      <c r="A102" s="11">
        <v>90.0</v>
      </c>
      <c r="B102" s="11">
        <v>1.41978695652173E9</v>
      </c>
      <c r="C102" s="2">
        <v>-102.4810104</v>
      </c>
      <c r="D102" s="24">
        <f t="shared" si="1"/>
        <v>-613043.4783</v>
      </c>
      <c r="E102" s="25">
        <f t="shared" si="2"/>
        <v>128.5614585</v>
      </c>
      <c r="F102" s="24">
        <f t="shared" si="3"/>
        <v>0.0002097101805</v>
      </c>
      <c r="G102" s="24">
        <f t="shared" si="4"/>
        <v>0</v>
      </c>
      <c r="H102" s="26">
        <f t="shared" si="5"/>
        <v>0</v>
      </c>
      <c r="I102" s="24">
        <f t="shared" si="6"/>
        <v>0</v>
      </c>
      <c r="J102" s="24">
        <f t="shared" si="7"/>
        <v>0</v>
      </c>
      <c r="K102" s="24"/>
      <c r="L102" s="24">
        <f t="shared" si="8"/>
        <v>429.541498</v>
      </c>
      <c r="M102" s="14">
        <f t="shared" si="9"/>
        <v>423.8512019</v>
      </c>
      <c r="N102" s="27">
        <f t="shared" si="10"/>
        <v>5.690296077</v>
      </c>
      <c r="O102" s="24"/>
      <c r="P102" s="28">
        <f t="shared" si="14"/>
        <v>-191.9238916</v>
      </c>
      <c r="Q102" s="27">
        <f t="shared" si="15"/>
        <v>394.2698044</v>
      </c>
      <c r="R102" s="26"/>
      <c r="S102" s="9">
        <f t="shared" si="13"/>
        <v>5.225376882</v>
      </c>
    </row>
    <row r="103">
      <c r="A103" s="11">
        <v>91.0</v>
      </c>
      <c r="B103" s="11">
        <v>1.41979130434782E9</v>
      </c>
      <c r="C103" s="2">
        <v>-102.4497757</v>
      </c>
      <c r="D103" s="24">
        <f t="shared" si="1"/>
        <v>-608695.6522</v>
      </c>
      <c r="E103" s="25">
        <f t="shared" si="2"/>
        <v>127.6431624</v>
      </c>
      <c r="F103" s="24">
        <f t="shared" si="3"/>
        <v>0.000209699481</v>
      </c>
      <c r="G103" s="24">
        <f t="shared" si="4"/>
        <v>0</v>
      </c>
      <c r="H103" s="26">
        <f t="shared" si="5"/>
        <v>0</v>
      </c>
      <c r="I103" s="24">
        <f t="shared" si="6"/>
        <v>0</v>
      </c>
      <c r="J103" s="24">
        <f t="shared" si="7"/>
        <v>0</v>
      </c>
      <c r="K103" s="24"/>
      <c r="L103" s="24">
        <f t="shared" si="8"/>
        <v>432.6419201</v>
      </c>
      <c r="M103" s="14">
        <f t="shared" si="9"/>
        <v>423.7595204</v>
      </c>
      <c r="N103" s="27">
        <f t="shared" si="10"/>
        <v>8.882399745</v>
      </c>
      <c r="O103" s="24"/>
      <c r="P103" s="28">
        <f t="shared" si="14"/>
        <v>-192.8421877</v>
      </c>
      <c r="Q103" s="27">
        <f t="shared" si="15"/>
        <v>396.1666083</v>
      </c>
      <c r="R103" s="26"/>
      <c r="S103" s="9">
        <f t="shared" si="13"/>
        <v>8.156673336</v>
      </c>
    </row>
    <row r="104">
      <c r="A104" s="11">
        <v>92.0</v>
      </c>
      <c r="B104" s="11">
        <v>1.41979565217391E9</v>
      </c>
      <c r="C104" s="2">
        <v>-102.5168686</v>
      </c>
      <c r="D104" s="24">
        <f t="shared" si="1"/>
        <v>-604347.8261</v>
      </c>
      <c r="E104" s="25">
        <f t="shared" si="2"/>
        <v>126.7248662</v>
      </c>
      <c r="F104" s="24">
        <f t="shared" si="3"/>
        <v>0.0002096886276</v>
      </c>
      <c r="G104" s="24">
        <f t="shared" si="4"/>
        <v>0</v>
      </c>
      <c r="H104" s="26">
        <f t="shared" si="5"/>
        <v>0</v>
      </c>
      <c r="I104" s="24">
        <f t="shared" si="6"/>
        <v>0</v>
      </c>
      <c r="J104" s="24">
        <f t="shared" si="7"/>
        <v>0</v>
      </c>
      <c r="K104" s="24"/>
      <c r="L104" s="24">
        <f t="shared" si="8"/>
        <v>426.009523</v>
      </c>
      <c r="M104" s="14">
        <f t="shared" si="9"/>
        <v>423.6677781</v>
      </c>
      <c r="N104" s="27">
        <f t="shared" si="10"/>
        <v>2.341744908</v>
      </c>
      <c r="O104" s="24"/>
      <c r="P104" s="28">
        <f t="shared" si="14"/>
        <v>-193.7604839</v>
      </c>
      <c r="Q104" s="27">
        <f t="shared" si="15"/>
        <v>395.2885889</v>
      </c>
      <c r="R104" s="26"/>
      <c r="S104" s="9">
        <f t="shared" si="13"/>
        <v>2.150415288</v>
      </c>
    </row>
    <row r="105">
      <c r="A105" s="11">
        <v>93.0</v>
      </c>
      <c r="B105" s="11">
        <v>1.4198E9</v>
      </c>
      <c r="C105" s="2">
        <v>-102.622818</v>
      </c>
      <c r="D105" s="24">
        <f t="shared" si="1"/>
        <v>-600000</v>
      </c>
      <c r="E105" s="25">
        <f t="shared" si="2"/>
        <v>125.8065701</v>
      </c>
      <c r="F105" s="24">
        <f t="shared" si="3"/>
        <v>0.0002096776168</v>
      </c>
      <c r="G105" s="24">
        <f t="shared" si="4"/>
        <v>0</v>
      </c>
      <c r="H105" s="26">
        <f t="shared" si="5"/>
        <v>0</v>
      </c>
      <c r="I105" s="24">
        <f t="shared" si="6"/>
        <v>0</v>
      </c>
      <c r="J105" s="24">
        <f t="shared" si="7"/>
        <v>0</v>
      </c>
      <c r="K105" s="24"/>
      <c r="L105" s="24">
        <f t="shared" si="8"/>
        <v>415.7424465</v>
      </c>
      <c r="M105" s="14">
        <f t="shared" si="9"/>
        <v>423.5759758</v>
      </c>
      <c r="N105" s="27">
        <f t="shared" si="10"/>
        <v>-7.833529344</v>
      </c>
      <c r="O105" s="24"/>
      <c r="P105" s="28">
        <f t="shared" si="14"/>
        <v>-194.67878</v>
      </c>
      <c r="Q105" s="27">
        <f t="shared" si="15"/>
        <v>398.6519818</v>
      </c>
      <c r="R105" s="26"/>
      <c r="S105" s="9">
        <f t="shared" si="13"/>
        <v>-7.193499703</v>
      </c>
    </row>
    <row r="106">
      <c r="A106" s="11">
        <v>94.0</v>
      </c>
      <c r="B106" s="11">
        <v>1.41980434782608E9</v>
      </c>
      <c r="C106" s="2">
        <v>-102.5510941</v>
      </c>
      <c r="D106" s="24">
        <f t="shared" si="1"/>
        <v>-595652.1739</v>
      </c>
      <c r="E106" s="25">
        <f t="shared" si="2"/>
        <v>124.888274</v>
      </c>
      <c r="F106" s="24">
        <f t="shared" si="3"/>
        <v>0.0002096664454</v>
      </c>
      <c r="G106" s="24">
        <f t="shared" si="4"/>
        <v>0</v>
      </c>
      <c r="H106" s="26">
        <f t="shared" si="5"/>
        <v>0</v>
      </c>
      <c r="I106" s="24">
        <f t="shared" si="6"/>
        <v>0</v>
      </c>
      <c r="J106" s="24">
        <f t="shared" si="7"/>
        <v>0</v>
      </c>
      <c r="K106" s="24"/>
      <c r="L106" s="24">
        <f t="shared" si="8"/>
        <v>422.6654585</v>
      </c>
      <c r="M106" s="14">
        <f t="shared" si="9"/>
        <v>423.4841145</v>
      </c>
      <c r="N106" s="27">
        <f t="shared" si="10"/>
        <v>-0.8186560549</v>
      </c>
      <c r="O106" s="24"/>
      <c r="P106" s="28">
        <f t="shared" si="14"/>
        <v>-195.5970761</v>
      </c>
      <c r="Q106" s="27">
        <f t="shared" si="15"/>
        <v>395.9898711</v>
      </c>
      <c r="R106" s="26"/>
      <c r="S106" s="9">
        <f t="shared" si="13"/>
        <v>-0.7517686893</v>
      </c>
    </row>
    <row r="107">
      <c r="A107" s="11">
        <v>95.0</v>
      </c>
      <c r="B107" s="11">
        <v>1.41980869565217E9</v>
      </c>
      <c r="C107" s="2">
        <v>-102.5553665</v>
      </c>
      <c r="D107" s="24">
        <f t="shared" si="1"/>
        <v>-591304.3478</v>
      </c>
      <c r="E107" s="25">
        <f t="shared" si="2"/>
        <v>123.9699778</v>
      </c>
      <c r="F107" s="24">
        <f t="shared" si="3"/>
        <v>0.0002096551096</v>
      </c>
      <c r="G107" s="24">
        <f t="shared" si="4"/>
        <v>0</v>
      </c>
      <c r="H107" s="26">
        <f t="shared" si="5"/>
        <v>0</v>
      </c>
      <c r="I107" s="24">
        <f t="shared" si="6"/>
        <v>0</v>
      </c>
      <c r="J107" s="24">
        <f t="shared" si="7"/>
        <v>0</v>
      </c>
      <c r="K107" s="24"/>
      <c r="L107" s="24">
        <f t="shared" si="8"/>
        <v>422.249863</v>
      </c>
      <c r="M107" s="14">
        <f t="shared" si="9"/>
        <v>423.392195</v>
      </c>
      <c r="N107" s="27">
        <f t="shared" si="10"/>
        <v>-1.142331918</v>
      </c>
      <c r="O107" s="24"/>
      <c r="P107" s="28">
        <f t="shared" si="14"/>
        <v>-196.5153723</v>
      </c>
      <c r="Q107" s="27">
        <f t="shared" si="15"/>
        <v>392.6875636</v>
      </c>
      <c r="R107" s="26"/>
      <c r="S107" s="9">
        <f t="shared" si="13"/>
        <v>-1.04899898</v>
      </c>
    </row>
    <row r="108">
      <c r="A108" s="11">
        <v>96.0</v>
      </c>
      <c r="B108" s="11">
        <v>1.41981304347826E9</v>
      </c>
      <c r="C108" s="2">
        <v>-102.4861145</v>
      </c>
      <c r="D108" s="24">
        <f t="shared" si="1"/>
        <v>-586956.5217</v>
      </c>
      <c r="E108" s="25">
        <f t="shared" si="2"/>
        <v>123.0516817</v>
      </c>
      <c r="F108" s="24">
        <f t="shared" si="3"/>
        <v>0.0002096436059</v>
      </c>
      <c r="G108" s="24">
        <f t="shared" si="4"/>
        <v>0</v>
      </c>
      <c r="H108" s="26">
        <f t="shared" si="5"/>
        <v>0</v>
      </c>
      <c r="I108" s="24">
        <f t="shared" si="6"/>
        <v>0</v>
      </c>
      <c r="J108" s="24">
        <f t="shared" si="7"/>
        <v>0</v>
      </c>
      <c r="K108" s="24"/>
      <c r="L108" s="24">
        <f t="shared" si="8"/>
        <v>429.0369705</v>
      </c>
      <c r="M108" s="14">
        <f t="shared" si="9"/>
        <v>423.300218</v>
      </c>
      <c r="N108" s="27">
        <f t="shared" si="10"/>
        <v>5.736752534</v>
      </c>
      <c r="O108" s="24"/>
      <c r="P108" s="28">
        <f t="shared" si="14"/>
        <v>-197.4336684</v>
      </c>
      <c r="Q108" s="27">
        <f t="shared" si="15"/>
        <v>392.5716898</v>
      </c>
      <c r="R108" s="26"/>
      <c r="S108" s="9">
        <f t="shared" si="13"/>
        <v>5.268037666</v>
      </c>
    </row>
    <row r="109">
      <c r="A109" s="11">
        <v>97.0</v>
      </c>
      <c r="B109" s="11">
        <v>1.41981739130434E9</v>
      </c>
      <c r="C109" s="2">
        <v>-102.6170654</v>
      </c>
      <c r="D109" s="24">
        <f t="shared" si="1"/>
        <v>-582608.6957</v>
      </c>
      <c r="E109" s="25">
        <f t="shared" si="2"/>
        <v>122.1333856</v>
      </c>
      <c r="F109" s="24">
        <f t="shared" si="3"/>
        <v>0.0002096319305</v>
      </c>
      <c r="G109" s="24">
        <f t="shared" si="4"/>
        <v>0</v>
      </c>
      <c r="H109" s="26">
        <f t="shared" si="5"/>
        <v>0</v>
      </c>
      <c r="I109" s="24">
        <f t="shared" si="6"/>
        <v>0</v>
      </c>
      <c r="J109" s="24">
        <f t="shared" si="7"/>
        <v>0</v>
      </c>
      <c r="K109" s="24"/>
      <c r="L109" s="24">
        <f t="shared" si="8"/>
        <v>416.2934976</v>
      </c>
      <c r="M109" s="14">
        <f t="shared" si="9"/>
        <v>423.2081845</v>
      </c>
      <c r="N109" s="27">
        <f t="shared" si="10"/>
        <v>-6.914686873</v>
      </c>
      <c r="O109" s="24"/>
      <c r="P109" s="28">
        <f t="shared" si="14"/>
        <v>-198.3519645</v>
      </c>
      <c r="Q109" s="27">
        <f t="shared" si="15"/>
        <v>394.8582782</v>
      </c>
      <c r="R109" s="26"/>
      <c r="S109" s="9">
        <f t="shared" si="13"/>
        <v>-6.349730215</v>
      </c>
    </row>
    <row r="110">
      <c r="A110" s="11">
        <v>98.0</v>
      </c>
      <c r="B110" s="11">
        <v>1.41982173913043E9</v>
      </c>
      <c r="C110" s="2">
        <v>-102.5365601</v>
      </c>
      <c r="D110" s="24">
        <f t="shared" si="1"/>
        <v>-578260.8696</v>
      </c>
      <c r="E110" s="25">
        <f t="shared" si="2"/>
        <v>121.2150894</v>
      </c>
      <c r="F110" s="24">
        <f t="shared" si="3"/>
        <v>0.0002096200795</v>
      </c>
      <c r="G110" s="24">
        <f t="shared" si="4"/>
        <v>0</v>
      </c>
      <c r="H110" s="26">
        <f t="shared" si="5"/>
        <v>0</v>
      </c>
      <c r="I110" s="24">
        <f t="shared" si="6"/>
        <v>0</v>
      </c>
      <c r="J110" s="24">
        <f t="shared" si="7"/>
        <v>0</v>
      </c>
      <c r="K110" s="24"/>
      <c r="L110" s="24">
        <f t="shared" si="8"/>
        <v>424.0823105</v>
      </c>
      <c r="M110" s="14">
        <f t="shared" si="9"/>
        <v>423.1160952</v>
      </c>
      <c r="N110" s="27">
        <f t="shared" si="10"/>
        <v>0.966215279</v>
      </c>
      <c r="O110" s="24"/>
      <c r="P110" s="28">
        <f t="shared" si="14"/>
        <v>-199.2702607</v>
      </c>
      <c r="Q110" s="27">
        <f t="shared" si="15"/>
        <v>395.5574125</v>
      </c>
      <c r="R110" s="26"/>
      <c r="S110" s="9">
        <f t="shared" si="13"/>
        <v>0.887271752</v>
      </c>
    </row>
    <row r="111">
      <c r="A111" s="11">
        <v>99.0</v>
      </c>
      <c r="B111" s="11">
        <v>1.41982608695652E9</v>
      </c>
      <c r="C111" s="2">
        <v>-102.5069656</v>
      </c>
      <c r="D111" s="24">
        <f t="shared" si="1"/>
        <v>-573913.0435</v>
      </c>
      <c r="E111" s="25">
        <f t="shared" si="2"/>
        <v>120.2967933</v>
      </c>
      <c r="F111" s="24">
        <f t="shared" si="3"/>
        <v>0.000209608049</v>
      </c>
      <c r="G111" s="24">
        <f t="shared" si="4"/>
        <v>0</v>
      </c>
      <c r="H111" s="26">
        <f t="shared" si="5"/>
        <v>0</v>
      </c>
      <c r="I111" s="24">
        <f t="shared" si="6"/>
        <v>0</v>
      </c>
      <c r="J111" s="24">
        <f t="shared" si="7"/>
        <v>0</v>
      </c>
      <c r="K111" s="24"/>
      <c r="L111" s="24">
        <f t="shared" si="8"/>
        <v>426.9820396</v>
      </c>
      <c r="M111" s="14">
        <f t="shared" si="9"/>
        <v>423.0239511</v>
      </c>
      <c r="N111" s="27">
        <f t="shared" si="10"/>
        <v>3.958088452</v>
      </c>
      <c r="O111" s="24"/>
      <c r="P111" s="28">
        <f t="shared" si="14"/>
        <v>-200.1885568</v>
      </c>
      <c r="Q111" s="27">
        <f t="shared" si="15"/>
        <v>390.6042527</v>
      </c>
      <c r="R111" s="26"/>
      <c r="S111" s="9">
        <f t="shared" si="13"/>
        <v>3.634697319</v>
      </c>
    </row>
    <row r="112">
      <c r="A112" s="11">
        <v>100.0</v>
      </c>
      <c r="B112" s="11">
        <v>1.4198304347826E9</v>
      </c>
      <c r="C112" s="2">
        <v>-102.5647507</v>
      </c>
      <c r="D112" s="24">
        <f t="shared" si="1"/>
        <v>-569565.2174</v>
      </c>
      <c r="E112" s="25">
        <f t="shared" si="2"/>
        <v>119.3784972</v>
      </c>
      <c r="F112" s="24">
        <f t="shared" si="3"/>
        <v>0.0002095958347</v>
      </c>
      <c r="G112" s="24">
        <f t="shared" si="4"/>
        <v>0</v>
      </c>
      <c r="H112" s="26">
        <f t="shared" si="5"/>
        <v>0</v>
      </c>
      <c r="I112" s="24">
        <f t="shared" si="6"/>
        <v>0</v>
      </c>
      <c r="J112" s="24">
        <f t="shared" si="7"/>
        <v>0</v>
      </c>
      <c r="K112" s="24"/>
      <c r="L112" s="24">
        <f t="shared" si="8"/>
        <v>421.338454</v>
      </c>
      <c r="M112" s="14">
        <f t="shared" si="9"/>
        <v>422.9317529</v>
      </c>
      <c r="N112" s="27">
        <f t="shared" si="10"/>
        <v>-1.593298933</v>
      </c>
      <c r="O112" s="24"/>
      <c r="P112" s="28">
        <f t="shared" si="14"/>
        <v>-201.1068529</v>
      </c>
      <c r="Q112" s="27">
        <f t="shared" si="15"/>
        <v>397.9124314</v>
      </c>
      <c r="R112" s="26"/>
      <c r="S112" s="9">
        <f t="shared" si="13"/>
        <v>-1.463120249</v>
      </c>
      <c r="U112" s="21"/>
      <c r="V112" s="21"/>
    </row>
    <row r="113">
      <c r="A113" s="11">
        <v>101.0</v>
      </c>
      <c r="B113" s="11">
        <v>1.41983478260869E9</v>
      </c>
      <c r="C113" s="2">
        <v>-102.5372009</v>
      </c>
      <c r="D113" s="24">
        <f t="shared" si="1"/>
        <v>-565217.3913</v>
      </c>
      <c r="E113" s="25">
        <f t="shared" si="2"/>
        <v>118.460201</v>
      </c>
      <c r="F113" s="24">
        <f t="shared" si="3"/>
        <v>0.0002095834326</v>
      </c>
      <c r="G113" s="24">
        <f t="shared" si="4"/>
        <v>0</v>
      </c>
      <c r="H113" s="26">
        <f t="shared" si="5"/>
        <v>0</v>
      </c>
      <c r="I113" s="24">
        <f t="shared" si="6"/>
        <v>0</v>
      </c>
      <c r="J113" s="24">
        <f t="shared" si="7"/>
        <v>0</v>
      </c>
      <c r="K113" s="24"/>
      <c r="L113" s="24">
        <f t="shared" si="8"/>
        <v>424.0197419</v>
      </c>
      <c r="M113" s="14">
        <f t="shared" si="9"/>
        <v>422.8395015</v>
      </c>
      <c r="N113" s="27">
        <f t="shared" si="10"/>
        <v>1.180240391</v>
      </c>
      <c r="O113" s="24"/>
      <c r="P113" s="28">
        <f t="shared" si="14"/>
        <v>-202.0251491</v>
      </c>
      <c r="Q113" s="27">
        <f t="shared" si="15"/>
        <v>389.6550394</v>
      </c>
      <c r="R113" s="26"/>
      <c r="S113" s="9">
        <f t="shared" si="13"/>
        <v>1.083810186</v>
      </c>
      <c r="U113" s="21"/>
      <c r="V113" s="21"/>
    </row>
    <row r="114">
      <c r="A114" s="11">
        <v>102.0</v>
      </c>
      <c r="B114" s="11">
        <v>1.41983913043478E9</v>
      </c>
      <c r="C114" s="2">
        <v>-102.5637665</v>
      </c>
      <c r="D114" s="24">
        <f t="shared" si="1"/>
        <v>-560869.5652</v>
      </c>
      <c r="E114" s="25">
        <f t="shared" si="2"/>
        <v>117.5419049</v>
      </c>
      <c r="F114" s="24">
        <f t="shared" si="3"/>
        <v>0.0002095708382</v>
      </c>
      <c r="G114" s="24">
        <f t="shared" si="4"/>
        <v>0</v>
      </c>
      <c r="H114" s="26">
        <f t="shared" si="5"/>
        <v>0</v>
      </c>
      <c r="I114" s="24">
        <f t="shared" si="6"/>
        <v>0</v>
      </c>
      <c r="J114" s="24">
        <f t="shared" si="7"/>
        <v>0</v>
      </c>
      <c r="K114" s="24"/>
      <c r="L114" s="24">
        <f t="shared" si="8"/>
        <v>421.4339487</v>
      </c>
      <c r="M114" s="14">
        <f t="shared" si="9"/>
        <v>422.7471978</v>
      </c>
      <c r="N114" s="27">
        <f t="shared" si="10"/>
        <v>-1.313249076</v>
      </c>
      <c r="O114" s="24"/>
      <c r="P114" s="28">
        <f t="shared" si="14"/>
        <v>-202.9434452</v>
      </c>
      <c r="Q114" s="27">
        <f t="shared" si="15"/>
        <v>399.4069497</v>
      </c>
      <c r="R114" s="26"/>
      <c r="S114" s="9">
        <f t="shared" si="13"/>
        <v>-1.205951545</v>
      </c>
      <c r="U114" s="21"/>
      <c r="V114" s="21"/>
    </row>
    <row r="115">
      <c r="A115" s="11">
        <v>103.0</v>
      </c>
      <c r="B115" s="11">
        <v>1.41984347826087E9</v>
      </c>
      <c r="C115" s="2">
        <v>-102.5692596</v>
      </c>
      <c r="D115" s="24">
        <f t="shared" si="1"/>
        <v>-556521.7391</v>
      </c>
      <c r="E115" s="25">
        <f t="shared" si="2"/>
        <v>116.6236088</v>
      </c>
      <c r="F115" s="24">
        <f t="shared" si="3"/>
        <v>0.000209558047</v>
      </c>
      <c r="G115" s="24">
        <f t="shared" si="4"/>
        <v>0</v>
      </c>
      <c r="H115" s="26">
        <f t="shared" si="5"/>
        <v>0</v>
      </c>
      <c r="I115" s="24">
        <f t="shared" si="6"/>
        <v>0</v>
      </c>
      <c r="J115" s="24">
        <f t="shared" si="7"/>
        <v>0</v>
      </c>
      <c r="K115" s="24"/>
      <c r="L115" s="24">
        <f t="shared" si="8"/>
        <v>420.9012421</v>
      </c>
      <c r="M115" s="14">
        <f t="shared" si="9"/>
        <v>422.6548425</v>
      </c>
      <c r="N115" s="27">
        <f t="shared" si="10"/>
        <v>-1.753600404</v>
      </c>
      <c r="O115" s="24"/>
      <c r="P115" s="28">
        <f t="shared" si="14"/>
        <v>-203.8617413</v>
      </c>
      <c r="Q115" s="27">
        <f t="shared" si="15"/>
        <v>390.9179633</v>
      </c>
      <c r="R115" s="26"/>
      <c r="S115" s="9">
        <f t="shared" si="13"/>
        <v>-1.610324469</v>
      </c>
      <c r="U115" s="21"/>
      <c r="V115" s="21"/>
    </row>
    <row r="116">
      <c r="A116" s="11">
        <v>104.0</v>
      </c>
      <c r="B116" s="11">
        <v>1.41984782608695E9</v>
      </c>
      <c r="C116" s="2">
        <v>-102.5079193</v>
      </c>
      <c r="D116" s="24">
        <f t="shared" si="1"/>
        <v>-552173.913</v>
      </c>
      <c r="E116" s="25">
        <f t="shared" si="2"/>
        <v>115.7053126</v>
      </c>
      <c r="F116" s="24">
        <f t="shared" si="3"/>
        <v>0.0002095450544</v>
      </c>
      <c r="G116" s="24">
        <f t="shared" si="4"/>
        <v>0</v>
      </c>
      <c r="H116" s="26">
        <f t="shared" si="5"/>
        <v>0</v>
      </c>
      <c r="I116" s="24">
        <f t="shared" si="6"/>
        <v>0</v>
      </c>
      <c r="J116" s="24">
        <f t="shared" si="7"/>
        <v>0</v>
      </c>
      <c r="K116" s="24"/>
      <c r="L116" s="24">
        <f t="shared" si="8"/>
        <v>426.8882856</v>
      </c>
      <c r="M116" s="14">
        <f t="shared" si="9"/>
        <v>422.5624365</v>
      </c>
      <c r="N116" s="27">
        <f t="shared" si="10"/>
        <v>4.32584911</v>
      </c>
      <c r="O116" s="24"/>
      <c r="P116" s="28">
        <f t="shared" si="14"/>
        <v>-204.7800375</v>
      </c>
      <c r="Q116" s="27">
        <f t="shared" si="15"/>
        <v>393.5452885</v>
      </c>
      <c r="R116" s="26"/>
      <c r="S116" s="9">
        <f t="shared" si="13"/>
        <v>3.972410509</v>
      </c>
      <c r="U116" s="21"/>
      <c r="V116" s="21"/>
    </row>
    <row r="117">
      <c r="A117" s="11">
        <v>105.0</v>
      </c>
      <c r="B117" s="11">
        <v>1.41985217391304E9</v>
      </c>
      <c r="C117" s="2">
        <v>-102.4794388</v>
      </c>
      <c r="D117" s="24">
        <f t="shared" si="1"/>
        <v>-547826.087</v>
      </c>
      <c r="E117" s="25">
        <f t="shared" si="2"/>
        <v>114.7870165</v>
      </c>
      <c r="F117" s="24">
        <f t="shared" si="3"/>
        <v>0.0002095318555</v>
      </c>
      <c r="G117" s="24">
        <f t="shared" si="4"/>
        <v>0</v>
      </c>
      <c r="H117" s="26">
        <f t="shared" si="5"/>
        <v>0</v>
      </c>
      <c r="I117" s="24">
        <f t="shared" si="6"/>
        <v>0</v>
      </c>
      <c r="J117" s="24">
        <f t="shared" si="7"/>
        <v>0</v>
      </c>
      <c r="K117" s="24"/>
      <c r="L117" s="24">
        <f t="shared" si="8"/>
        <v>429.6969661</v>
      </c>
      <c r="M117" s="14">
        <f t="shared" si="9"/>
        <v>422.4699807</v>
      </c>
      <c r="N117" s="27">
        <f t="shared" si="10"/>
        <v>7.226985431</v>
      </c>
      <c r="O117" s="24"/>
      <c r="P117" s="28">
        <f t="shared" si="14"/>
        <v>-205.6983336</v>
      </c>
      <c r="Q117" s="27">
        <f t="shared" si="15"/>
        <v>396.2856328</v>
      </c>
      <c r="R117" s="26"/>
      <c r="S117" s="9">
        <f t="shared" si="13"/>
        <v>6.636512758</v>
      </c>
      <c r="U117" s="21"/>
      <c r="V117" s="21"/>
    </row>
    <row r="118">
      <c r="A118" s="11">
        <v>106.0</v>
      </c>
      <c r="B118" s="11">
        <v>1.41985652173913E9</v>
      </c>
      <c r="C118" s="2">
        <v>-102.505394</v>
      </c>
      <c r="D118" s="24">
        <f t="shared" si="1"/>
        <v>-543478.2609</v>
      </c>
      <c r="E118" s="25">
        <f t="shared" si="2"/>
        <v>113.8687204</v>
      </c>
      <c r="F118" s="24">
        <f t="shared" si="3"/>
        <v>0.0002095184455</v>
      </c>
      <c r="G118" s="24">
        <f t="shared" si="4"/>
        <v>0</v>
      </c>
      <c r="H118" s="26">
        <f t="shared" si="5"/>
        <v>0</v>
      </c>
      <c r="I118" s="24">
        <f t="shared" si="6"/>
        <v>0</v>
      </c>
      <c r="J118" s="24">
        <f t="shared" si="7"/>
        <v>0</v>
      </c>
      <c r="K118" s="24"/>
      <c r="L118" s="24">
        <f t="shared" si="8"/>
        <v>427.1365813</v>
      </c>
      <c r="M118" s="14">
        <f t="shared" si="9"/>
        <v>422.3774759</v>
      </c>
      <c r="N118" s="27">
        <f t="shared" si="10"/>
        <v>4.759105455</v>
      </c>
      <c r="O118" s="24"/>
      <c r="P118" s="28">
        <f t="shared" si="14"/>
        <v>-206.6166297</v>
      </c>
      <c r="Q118" s="27">
        <f t="shared" si="15"/>
        <v>392.4648056</v>
      </c>
      <c r="R118" s="26"/>
      <c r="S118" s="9">
        <f t="shared" si="13"/>
        <v>4.370268134</v>
      </c>
      <c r="U118" s="21"/>
      <c r="V118" s="21"/>
    </row>
    <row r="119">
      <c r="A119" s="11">
        <v>107.0</v>
      </c>
      <c r="B119" s="11">
        <v>1.41986086956521E9</v>
      </c>
      <c r="C119" s="2">
        <v>-102.501152</v>
      </c>
      <c r="D119" s="24">
        <f t="shared" si="1"/>
        <v>-539130.4348</v>
      </c>
      <c r="E119" s="25">
        <f t="shared" si="2"/>
        <v>112.9504243</v>
      </c>
      <c r="F119" s="24">
        <f t="shared" si="3"/>
        <v>0.0002095048192</v>
      </c>
      <c r="G119" s="24">
        <f t="shared" si="4"/>
        <v>0</v>
      </c>
      <c r="H119" s="26">
        <f t="shared" si="5"/>
        <v>0</v>
      </c>
      <c r="I119" s="24">
        <f t="shared" si="6"/>
        <v>0</v>
      </c>
      <c r="J119" s="24">
        <f t="shared" si="7"/>
        <v>0</v>
      </c>
      <c r="K119" s="24"/>
      <c r="L119" s="24">
        <f t="shared" si="8"/>
        <v>427.5539936</v>
      </c>
      <c r="M119" s="14">
        <f t="shared" si="9"/>
        <v>422.2849229</v>
      </c>
      <c r="N119" s="27">
        <f t="shared" si="10"/>
        <v>5.269070757</v>
      </c>
      <c r="O119" s="24"/>
      <c r="P119" s="28">
        <f t="shared" si="14"/>
        <v>-207.5349259</v>
      </c>
      <c r="Q119" s="27">
        <f t="shared" si="15"/>
        <v>392.0919874</v>
      </c>
      <c r="R119" s="26"/>
      <c r="S119" s="9">
        <f t="shared" si="13"/>
        <v>4.8385673</v>
      </c>
      <c r="U119" s="21"/>
      <c r="V119" s="21"/>
    </row>
    <row r="120">
      <c r="A120" s="11">
        <v>108.0</v>
      </c>
      <c r="B120" s="11">
        <v>1.4198652173913E9</v>
      </c>
      <c r="C120" s="2">
        <v>-102.539238</v>
      </c>
      <c r="D120" s="24">
        <f t="shared" si="1"/>
        <v>-534782.6087</v>
      </c>
      <c r="E120" s="25">
        <f t="shared" si="2"/>
        <v>112.0321281</v>
      </c>
      <c r="F120" s="24">
        <f t="shared" si="3"/>
        <v>0.0002094909713</v>
      </c>
      <c r="G120" s="24">
        <f t="shared" si="4"/>
        <v>0</v>
      </c>
      <c r="H120" s="26">
        <f t="shared" si="5"/>
        <v>0</v>
      </c>
      <c r="I120" s="24">
        <f t="shared" si="6"/>
        <v>0</v>
      </c>
      <c r="J120" s="24">
        <f t="shared" si="7"/>
        <v>0</v>
      </c>
      <c r="K120" s="24"/>
      <c r="L120" s="24">
        <f t="shared" si="8"/>
        <v>423.820898</v>
      </c>
      <c r="M120" s="14">
        <f t="shared" si="9"/>
        <v>422.1923225</v>
      </c>
      <c r="N120" s="27">
        <f t="shared" si="10"/>
        <v>1.628575506</v>
      </c>
      <c r="O120" s="24"/>
      <c r="P120" s="28">
        <f t="shared" si="14"/>
        <v>-208.453222</v>
      </c>
      <c r="Q120" s="27">
        <f t="shared" si="15"/>
        <v>389.6434028</v>
      </c>
      <c r="R120" s="26"/>
      <c r="S120" s="9">
        <f t="shared" si="13"/>
        <v>1.495514586</v>
      </c>
      <c r="U120" s="21"/>
      <c r="V120" s="21"/>
    </row>
    <row r="121">
      <c r="A121" s="11">
        <v>109.0</v>
      </c>
      <c r="B121" s="11">
        <v>1.41986956521739E9</v>
      </c>
      <c r="C121" s="2">
        <v>-102.564476</v>
      </c>
      <c r="D121" s="24">
        <f t="shared" si="1"/>
        <v>-530434.7826</v>
      </c>
      <c r="E121" s="25">
        <f t="shared" si="2"/>
        <v>111.113832</v>
      </c>
      <c r="F121" s="24">
        <f t="shared" si="3"/>
        <v>0.0002094768964</v>
      </c>
      <c r="G121" s="24">
        <f t="shared" si="4"/>
        <v>0</v>
      </c>
      <c r="H121" s="26">
        <f t="shared" si="5"/>
        <v>0</v>
      </c>
      <c r="I121" s="24">
        <f t="shared" si="6"/>
        <v>0</v>
      </c>
      <c r="J121" s="24">
        <f t="shared" si="7"/>
        <v>0</v>
      </c>
      <c r="K121" s="24"/>
      <c r="L121" s="24">
        <f t="shared" si="8"/>
        <v>421.3651053</v>
      </c>
      <c r="M121" s="14">
        <f t="shared" si="9"/>
        <v>422.0996757</v>
      </c>
      <c r="N121" s="27">
        <f t="shared" si="10"/>
        <v>-0.7345703537</v>
      </c>
      <c r="O121" s="24"/>
      <c r="P121" s="28">
        <f t="shared" si="14"/>
        <v>-209.3715181</v>
      </c>
      <c r="Q121" s="27">
        <f t="shared" si="15"/>
        <v>388.3920998</v>
      </c>
      <c r="R121" s="26"/>
      <c r="S121" s="9">
        <f t="shared" si="13"/>
        <v>-0.6745531151</v>
      </c>
      <c r="U121" s="21"/>
      <c r="V121" s="21"/>
    </row>
    <row r="122">
      <c r="A122" s="11">
        <v>110.0</v>
      </c>
      <c r="B122" s="11">
        <v>1.41987391304347E9</v>
      </c>
      <c r="C122" s="2">
        <v>-102.5146637</v>
      </c>
      <c r="D122" s="24">
        <f t="shared" si="1"/>
        <v>-526086.9565</v>
      </c>
      <c r="E122" s="25">
        <f t="shared" si="2"/>
        <v>110.1955359</v>
      </c>
      <c r="F122" s="24">
        <f t="shared" si="3"/>
        <v>0.0002094625888</v>
      </c>
      <c r="G122" s="24">
        <f t="shared" si="4"/>
        <v>0</v>
      </c>
      <c r="H122" s="26">
        <f t="shared" si="5"/>
        <v>0</v>
      </c>
      <c r="I122" s="24">
        <f t="shared" si="6"/>
        <v>0</v>
      </c>
      <c r="J122" s="24">
        <f t="shared" si="7"/>
        <v>0</v>
      </c>
      <c r="K122" s="24"/>
      <c r="L122" s="24">
        <f t="shared" si="8"/>
        <v>426.2258616</v>
      </c>
      <c r="M122" s="14">
        <f t="shared" si="9"/>
        <v>422.0069832</v>
      </c>
      <c r="N122" s="27">
        <f t="shared" si="10"/>
        <v>4.218878425</v>
      </c>
      <c r="O122" s="24"/>
      <c r="P122" s="28">
        <f t="shared" si="14"/>
        <v>-210.2898143</v>
      </c>
      <c r="Q122" s="27">
        <f t="shared" si="15"/>
        <v>393.2191023</v>
      </c>
      <c r="R122" s="26"/>
      <c r="S122" s="9">
        <f t="shared" si="13"/>
        <v>3.874179742</v>
      </c>
      <c r="U122" s="21"/>
      <c r="V122" s="21"/>
    </row>
    <row r="123">
      <c r="A123" s="11">
        <v>111.0</v>
      </c>
      <c r="B123" s="11">
        <v>1.41987826086956E9</v>
      </c>
      <c r="C123" s="2">
        <v>-102.555275</v>
      </c>
      <c r="D123" s="24">
        <f t="shared" si="1"/>
        <v>-521739.1304</v>
      </c>
      <c r="E123" s="25">
        <f t="shared" si="2"/>
        <v>109.2772397</v>
      </c>
      <c r="F123" s="24">
        <f t="shared" si="3"/>
        <v>0.0002094480428</v>
      </c>
      <c r="G123" s="24">
        <f t="shared" si="4"/>
        <v>0</v>
      </c>
      <c r="H123" s="26">
        <f t="shared" si="5"/>
        <v>0</v>
      </c>
      <c r="I123" s="24">
        <f t="shared" si="6"/>
        <v>0</v>
      </c>
      <c r="J123" s="24">
        <f t="shared" si="7"/>
        <v>0</v>
      </c>
      <c r="K123" s="24"/>
      <c r="L123" s="24">
        <f t="shared" si="8"/>
        <v>422.2587594</v>
      </c>
      <c r="M123" s="14">
        <f t="shared" si="9"/>
        <v>421.9142459</v>
      </c>
      <c r="N123" s="27">
        <f t="shared" si="10"/>
        <v>0.3445134731</v>
      </c>
      <c r="O123" s="24"/>
      <c r="P123" s="28">
        <f t="shared" si="14"/>
        <v>-211.2081104</v>
      </c>
      <c r="Q123" s="27">
        <f t="shared" si="15"/>
        <v>392.9014733</v>
      </c>
      <c r="R123" s="26"/>
      <c r="S123" s="9">
        <f t="shared" si="13"/>
        <v>0.3163653893</v>
      </c>
      <c r="U123" s="21"/>
      <c r="V123" s="21"/>
    </row>
    <row r="124">
      <c r="A124" s="11">
        <v>112.0</v>
      </c>
      <c r="B124" s="11">
        <v>1.41988260869565E9</v>
      </c>
      <c r="C124" s="2">
        <v>-102.5531693</v>
      </c>
      <c r="D124" s="24">
        <f t="shared" si="1"/>
        <v>-517391.3043</v>
      </c>
      <c r="E124" s="25">
        <f t="shared" si="2"/>
        <v>108.3589436</v>
      </c>
      <c r="F124" s="24">
        <f t="shared" si="3"/>
        <v>0.0002094332523</v>
      </c>
      <c r="G124" s="24">
        <f t="shared" si="4"/>
        <v>0</v>
      </c>
      <c r="H124" s="26">
        <f t="shared" si="5"/>
        <v>0</v>
      </c>
      <c r="I124" s="24">
        <f t="shared" si="6"/>
        <v>0</v>
      </c>
      <c r="J124" s="24">
        <f t="shared" si="7"/>
        <v>0</v>
      </c>
      <c r="K124" s="24"/>
      <c r="L124" s="24">
        <f t="shared" si="8"/>
        <v>422.4635434</v>
      </c>
      <c r="M124" s="14">
        <f t="shared" si="9"/>
        <v>421.8214646</v>
      </c>
      <c r="N124" s="27">
        <f t="shared" si="10"/>
        <v>0.6420788136</v>
      </c>
      <c r="O124" s="24"/>
      <c r="P124" s="28"/>
      <c r="Q124" s="27"/>
      <c r="R124" s="26"/>
      <c r="S124" s="9">
        <f t="shared" si="13"/>
        <v>0.5896184915</v>
      </c>
      <c r="U124" s="21"/>
      <c r="V124" s="21"/>
    </row>
    <row r="125">
      <c r="A125" s="11">
        <v>113.0</v>
      </c>
      <c r="B125" s="11">
        <v>1.41988695652173E9</v>
      </c>
      <c r="C125" s="2">
        <v>-102.51828</v>
      </c>
      <c r="D125" s="24">
        <f t="shared" si="1"/>
        <v>-513043.4783</v>
      </c>
      <c r="E125" s="25">
        <f t="shared" si="2"/>
        <v>107.4406475</v>
      </c>
      <c r="F125" s="24">
        <f t="shared" si="3"/>
        <v>0.0002094182111</v>
      </c>
      <c r="G125" s="24">
        <f t="shared" si="4"/>
        <v>0</v>
      </c>
      <c r="H125" s="26">
        <f t="shared" si="5"/>
        <v>0</v>
      </c>
      <c r="I125" s="24">
        <f t="shared" si="6"/>
        <v>0</v>
      </c>
      <c r="J125" s="24">
        <f t="shared" si="7"/>
        <v>0</v>
      </c>
      <c r="K125" s="24"/>
      <c r="L125" s="24">
        <f t="shared" si="8"/>
        <v>425.871098</v>
      </c>
      <c r="M125" s="14">
        <f t="shared" si="9"/>
        <v>421.7286402</v>
      </c>
      <c r="N125" s="27">
        <f t="shared" si="10"/>
        <v>4.14245777</v>
      </c>
      <c r="O125" s="24"/>
      <c r="P125" s="24"/>
      <c r="Q125" s="24"/>
      <c r="R125" s="26"/>
      <c r="S125" s="9">
        <f t="shared" si="13"/>
        <v>3.80400295</v>
      </c>
      <c r="U125" s="21"/>
      <c r="V125" s="21"/>
    </row>
    <row r="126">
      <c r="A126" s="11">
        <v>114.0</v>
      </c>
      <c r="B126" s="11">
        <v>1.41989130434782E9</v>
      </c>
      <c r="C126" s="2">
        <v>-102.5931473</v>
      </c>
      <c r="D126" s="24">
        <f t="shared" si="1"/>
        <v>-508695.6522</v>
      </c>
      <c r="E126" s="25">
        <f t="shared" si="2"/>
        <v>106.5223513</v>
      </c>
      <c r="F126" s="24">
        <f t="shared" si="3"/>
        <v>0.0002094029129</v>
      </c>
      <c r="G126" s="24">
        <f t="shared" si="4"/>
        <v>0</v>
      </c>
      <c r="H126" s="26">
        <f t="shared" si="5"/>
        <v>0</v>
      </c>
      <c r="I126" s="24">
        <f t="shared" si="6"/>
        <v>0</v>
      </c>
      <c r="J126" s="24">
        <f t="shared" si="7"/>
        <v>0</v>
      </c>
      <c r="K126" s="24"/>
      <c r="L126" s="24">
        <f t="shared" si="8"/>
        <v>418.5924948</v>
      </c>
      <c r="M126" s="14">
        <f t="shared" si="9"/>
        <v>421.6357735</v>
      </c>
      <c r="N126" s="27">
        <f t="shared" si="10"/>
        <v>-3.043278638</v>
      </c>
      <c r="O126" s="24"/>
      <c r="P126" s="24"/>
      <c r="Q126" s="24"/>
      <c r="R126" s="26"/>
      <c r="S126" s="9">
        <f t="shared" si="13"/>
        <v>-2.794631004</v>
      </c>
      <c r="U126" s="21"/>
      <c r="V126" s="21"/>
    </row>
    <row r="127">
      <c r="A127" s="11">
        <v>115.0</v>
      </c>
      <c r="B127" s="11">
        <v>1.41989565217391E9</v>
      </c>
      <c r="C127" s="2">
        <v>-102.5620956</v>
      </c>
      <c r="D127" s="24">
        <f t="shared" si="1"/>
        <v>-504347.8261</v>
      </c>
      <c r="E127" s="25">
        <f t="shared" si="2"/>
        <v>105.6040552</v>
      </c>
      <c r="F127" s="24">
        <f t="shared" si="3"/>
        <v>0.0002093873508</v>
      </c>
      <c r="G127" s="24">
        <f t="shared" si="4"/>
        <v>0</v>
      </c>
      <c r="H127" s="26">
        <f t="shared" si="5"/>
        <v>0</v>
      </c>
      <c r="I127" s="24">
        <f t="shared" si="6"/>
        <v>0</v>
      </c>
      <c r="J127" s="24">
        <f t="shared" si="7"/>
        <v>0</v>
      </c>
      <c r="K127" s="24"/>
      <c r="L127" s="24">
        <f t="shared" si="8"/>
        <v>421.596122</v>
      </c>
      <c r="M127" s="14">
        <f t="shared" si="9"/>
        <v>421.5428653</v>
      </c>
      <c r="N127" s="27">
        <f t="shared" si="10"/>
        <v>0.05325666875</v>
      </c>
      <c r="O127" s="24"/>
      <c r="P127" s="24"/>
      <c r="Q127" s="24"/>
      <c r="R127" s="26"/>
      <c r="S127" s="9">
        <f t="shared" si="13"/>
        <v>0.04890539284</v>
      </c>
      <c r="U127" s="21"/>
      <c r="V127" s="21"/>
    </row>
    <row r="128">
      <c r="A128" s="11">
        <v>116.0</v>
      </c>
      <c r="B128" s="11">
        <v>1.4199E9</v>
      </c>
      <c r="C128" s="2">
        <v>-102.5912399</v>
      </c>
      <c r="D128" s="24">
        <f t="shared" si="1"/>
        <v>-500000</v>
      </c>
      <c r="E128" s="25">
        <f t="shared" si="2"/>
        <v>104.6857591</v>
      </c>
      <c r="F128" s="24">
        <f t="shared" si="3"/>
        <v>0.0002093715181</v>
      </c>
      <c r="G128" s="24">
        <f t="shared" si="4"/>
        <v>0</v>
      </c>
      <c r="H128" s="26">
        <f t="shared" si="5"/>
        <v>0</v>
      </c>
      <c r="I128" s="24">
        <f t="shared" si="6"/>
        <v>0</v>
      </c>
      <c r="J128" s="24">
        <f t="shared" si="7"/>
        <v>0</v>
      </c>
      <c r="K128" s="24"/>
      <c r="L128" s="24">
        <f t="shared" si="8"/>
        <v>418.776379</v>
      </c>
      <c r="M128" s="14">
        <f t="shared" si="9"/>
        <v>421.4499165</v>
      </c>
      <c r="N128" s="27">
        <f t="shared" si="10"/>
        <v>-2.673537514</v>
      </c>
      <c r="O128" s="24"/>
      <c r="P128" s="24"/>
      <c r="Q128" s="24"/>
      <c r="R128" s="26"/>
      <c r="S128" s="9">
        <f t="shared" si="13"/>
        <v>-2.45509916</v>
      </c>
      <c r="U128" s="21"/>
      <c r="V128" s="21"/>
    </row>
    <row r="129">
      <c r="A129" s="11">
        <v>117.0</v>
      </c>
      <c r="B129" s="11">
        <v>1.41990434782608E9</v>
      </c>
      <c r="C129" s="2">
        <v>-102.5310669</v>
      </c>
      <c r="D129" s="24">
        <f t="shared" si="1"/>
        <v>-495652.1739</v>
      </c>
      <c r="E129" s="25">
        <f t="shared" si="2"/>
        <v>103.7674629</v>
      </c>
      <c r="F129" s="24">
        <f t="shared" si="3"/>
        <v>0.0002093554077</v>
      </c>
      <c r="G129" s="24">
        <f t="shared" si="4"/>
        <v>0</v>
      </c>
      <c r="H129" s="26">
        <f t="shared" si="5"/>
        <v>0</v>
      </c>
      <c r="I129" s="24">
        <f t="shared" si="6"/>
        <v>0</v>
      </c>
      <c r="J129" s="24">
        <f t="shared" si="7"/>
        <v>0</v>
      </c>
      <c r="K129" s="24"/>
      <c r="L129" s="24">
        <f t="shared" si="8"/>
        <v>424.619053</v>
      </c>
      <c r="M129" s="14">
        <f t="shared" si="9"/>
        <v>421.3569279</v>
      </c>
      <c r="N129" s="27">
        <f t="shared" si="10"/>
        <v>3.262125059</v>
      </c>
      <c r="O129" s="24"/>
      <c r="P129" s="24"/>
      <c r="Q129" s="24"/>
      <c r="R129" s="26"/>
      <c r="S129" s="9">
        <f t="shared" si="13"/>
        <v>2.995596826</v>
      </c>
      <c r="U129" s="21"/>
      <c r="V129" s="21"/>
    </row>
    <row r="130">
      <c r="A130" s="11">
        <v>118.0</v>
      </c>
      <c r="B130" s="11">
        <v>1.41990869565217E9</v>
      </c>
      <c r="C130" s="2">
        <v>-102.6117477</v>
      </c>
      <c r="D130" s="24">
        <f t="shared" si="1"/>
        <v>-491304.3478</v>
      </c>
      <c r="E130" s="25">
        <f t="shared" si="2"/>
        <v>102.8491668</v>
      </c>
      <c r="F130" s="24">
        <f t="shared" si="3"/>
        <v>0.0002093390121</v>
      </c>
      <c r="G130" s="24">
        <f t="shared" si="4"/>
        <v>0</v>
      </c>
      <c r="H130" s="26">
        <f t="shared" si="5"/>
        <v>0</v>
      </c>
      <c r="I130" s="24">
        <f t="shared" si="6"/>
        <v>0</v>
      </c>
      <c r="J130" s="24">
        <f t="shared" si="7"/>
        <v>0</v>
      </c>
      <c r="K130" s="24"/>
      <c r="L130" s="24">
        <f t="shared" si="8"/>
        <v>416.8035386</v>
      </c>
      <c r="M130" s="14">
        <f t="shared" si="9"/>
        <v>421.2639004</v>
      </c>
      <c r="N130" s="27">
        <f t="shared" si="10"/>
        <v>-4.460361807</v>
      </c>
      <c r="O130" s="24"/>
      <c r="P130" s="24"/>
      <c r="Q130" s="24"/>
      <c r="R130" s="26"/>
      <c r="S130" s="9">
        <f t="shared" si="13"/>
        <v>-4.095932988</v>
      </c>
      <c r="U130" s="21"/>
      <c r="V130" s="21"/>
    </row>
    <row r="131">
      <c r="A131" s="11">
        <v>119.0</v>
      </c>
      <c r="B131" s="11">
        <v>1.41991304347826E9</v>
      </c>
      <c r="C131" s="2">
        <v>-102.5224609</v>
      </c>
      <c r="D131" s="24">
        <f t="shared" si="1"/>
        <v>-486956.5217</v>
      </c>
      <c r="E131" s="25">
        <f t="shared" si="2"/>
        <v>101.9308707</v>
      </c>
      <c r="F131" s="24">
        <f t="shared" si="3"/>
        <v>0.0002093223237</v>
      </c>
      <c r="G131" s="24">
        <f t="shared" si="4"/>
        <v>0</v>
      </c>
      <c r="H131" s="26">
        <f t="shared" si="5"/>
        <v>0</v>
      </c>
      <c r="I131" s="24">
        <f t="shared" si="6"/>
        <v>0</v>
      </c>
      <c r="J131" s="24">
        <f t="shared" si="7"/>
        <v>0</v>
      </c>
      <c r="K131" s="24"/>
      <c r="L131" s="24">
        <f t="shared" si="8"/>
        <v>425.4613143</v>
      </c>
      <c r="M131" s="14">
        <f t="shared" si="9"/>
        <v>421.1708348</v>
      </c>
      <c r="N131" s="27">
        <f t="shared" si="10"/>
        <v>4.290479576</v>
      </c>
      <c r="O131" s="24"/>
      <c r="P131" s="24"/>
      <c r="Q131" s="24"/>
      <c r="R131" s="26"/>
      <c r="S131" s="9">
        <f t="shared" si="13"/>
        <v>3.939930802</v>
      </c>
      <c r="U131" s="21"/>
      <c r="V131" s="21"/>
    </row>
    <row r="132">
      <c r="A132" s="11">
        <v>120.0</v>
      </c>
      <c r="B132" s="11">
        <v>1.41991739130434E9</v>
      </c>
      <c r="C132" s="2">
        <v>-102.5033722</v>
      </c>
      <c r="D132" s="24">
        <f t="shared" si="1"/>
        <v>-482608.6957</v>
      </c>
      <c r="E132" s="25">
        <f t="shared" si="2"/>
        <v>101.0125745</v>
      </c>
      <c r="F132" s="24">
        <f t="shared" si="3"/>
        <v>0.0002093053346</v>
      </c>
      <c r="G132" s="24">
        <f t="shared" si="4"/>
        <v>0</v>
      </c>
      <c r="H132" s="26">
        <f t="shared" si="5"/>
        <v>0</v>
      </c>
      <c r="I132" s="24">
        <f t="shared" si="6"/>
        <v>0</v>
      </c>
      <c r="J132" s="24">
        <f t="shared" si="7"/>
        <v>0</v>
      </c>
      <c r="K132" s="24"/>
      <c r="L132" s="24">
        <f t="shared" si="8"/>
        <v>427.3354754</v>
      </c>
      <c r="M132" s="14">
        <f t="shared" si="9"/>
        <v>421.0777319</v>
      </c>
      <c r="N132" s="27">
        <f t="shared" si="10"/>
        <v>6.257743499</v>
      </c>
      <c r="O132" s="24"/>
      <c r="P132" s="24"/>
      <c r="Q132" s="24"/>
      <c r="R132" s="26"/>
      <c r="S132" s="9">
        <f t="shared" si="13"/>
        <v>5.746461655</v>
      </c>
      <c r="U132" s="21"/>
      <c r="V132" s="21"/>
    </row>
    <row r="133">
      <c r="A133" s="11">
        <v>121.0</v>
      </c>
      <c r="B133" s="11">
        <v>1.41992173913043E9</v>
      </c>
      <c r="C133" s="2">
        <v>-102.5371552</v>
      </c>
      <c r="D133" s="24">
        <f t="shared" si="1"/>
        <v>-478260.8696</v>
      </c>
      <c r="E133" s="25">
        <f t="shared" si="2"/>
        <v>100.0942784</v>
      </c>
      <c r="F133" s="24">
        <f t="shared" si="3"/>
        <v>0.0002092880367</v>
      </c>
      <c r="G133" s="24">
        <f t="shared" si="4"/>
        <v>0</v>
      </c>
      <c r="H133" s="26">
        <f t="shared" si="5"/>
        <v>0</v>
      </c>
      <c r="I133" s="24">
        <f t="shared" si="6"/>
        <v>0</v>
      </c>
      <c r="J133" s="24">
        <f t="shared" si="7"/>
        <v>0</v>
      </c>
      <c r="K133" s="24"/>
      <c r="L133" s="24">
        <f t="shared" si="8"/>
        <v>424.0242038</v>
      </c>
      <c r="M133" s="14">
        <f t="shared" si="9"/>
        <v>420.9845925</v>
      </c>
      <c r="N133" s="27">
        <f t="shared" si="10"/>
        <v>3.039611293</v>
      </c>
      <c r="O133" s="24"/>
      <c r="P133" s="24"/>
      <c r="Q133" s="24"/>
      <c r="R133" s="26"/>
      <c r="S133" s="9">
        <f t="shared" si="13"/>
        <v>2.791263289</v>
      </c>
      <c r="U133" s="21"/>
      <c r="V133" s="21"/>
    </row>
    <row r="134">
      <c r="A134" s="11">
        <v>122.0</v>
      </c>
      <c r="B134" s="11">
        <v>1.41992608695652E9</v>
      </c>
      <c r="C134" s="2">
        <v>-102.5779572</v>
      </c>
      <c r="D134" s="24">
        <f t="shared" si="1"/>
        <v>-473913.0435</v>
      </c>
      <c r="E134" s="25">
        <f t="shared" si="2"/>
        <v>99.17598227</v>
      </c>
      <c r="F134" s="24">
        <f t="shared" si="3"/>
        <v>0.0002092704213</v>
      </c>
      <c r="G134" s="24">
        <f t="shared" si="4"/>
        <v>0</v>
      </c>
      <c r="H134" s="26">
        <f t="shared" si="5"/>
        <v>0</v>
      </c>
      <c r="I134" s="24">
        <f t="shared" si="6"/>
        <v>0</v>
      </c>
      <c r="J134" s="24">
        <f t="shared" si="7"/>
        <v>0</v>
      </c>
      <c r="K134" s="24"/>
      <c r="L134" s="24">
        <f t="shared" si="8"/>
        <v>420.0591482</v>
      </c>
      <c r="M134" s="14">
        <f t="shared" si="9"/>
        <v>420.8914176</v>
      </c>
      <c r="N134" s="27">
        <f t="shared" si="10"/>
        <v>-0.8322694325</v>
      </c>
      <c r="O134" s="24"/>
      <c r="P134" s="24"/>
      <c r="Q134" s="24"/>
      <c r="R134" s="26"/>
      <c r="S134" s="9">
        <f t="shared" si="13"/>
        <v>-0.7642698013</v>
      </c>
      <c r="U134" s="21"/>
      <c r="V134" s="21"/>
    </row>
    <row r="135">
      <c r="A135" s="11">
        <v>123.0</v>
      </c>
      <c r="B135" s="11">
        <v>1.4199304347826E9</v>
      </c>
      <c r="C135" s="2">
        <v>-102.5823364</v>
      </c>
      <c r="D135" s="24">
        <f t="shared" si="1"/>
        <v>-469565.2174</v>
      </c>
      <c r="E135" s="25">
        <f t="shared" si="2"/>
        <v>98.25768614</v>
      </c>
      <c r="F135" s="24">
        <f t="shared" si="3"/>
        <v>0.0002092524797</v>
      </c>
      <c r="G135" s="24">
        <f t="shared" si="4"/>
        <v>0</v>
      </c>
      <c r="H135" s="26">
        <f t="shared" si="5"/>
        <v>0</v>
      </c>
      <c r="I135" s="24">
        <f t="shared" si="6"/>
        <v>0</v>
      </c>
      <c r="J135" s="24">
        <f t="shared" si="7"/>
        <v>0</v>
      </c>
      <c r="K135" s="24"/>
      <c r="L135" s="24">
        <f t="shared" si="8"/>
        <v>419.6357959</v>
      </c>
      <c r="M135" s="14">
        <f t="shared" si="9"/>
        <v>420.798208</v>
      </c>
      <c r="N135" s="27">
        <f t="shared" si="10"/>
        <v>-1.162412131</v>
      </c>
      <c r="O135" s="24"/>
      <c r="P135" s="24"/>
      <c r="Q135" s="24"/>
      <c r="R135" s="26"/>
      <c r="S135" s="9">
        <f t="shared" si="13"/>
        <v>-1.067438565</v>
      </c>
      <c r="U135" s="21"/>
      <c r="V135" s="21"/>
    </row>
    <row r="136">
      <c r="A136" s="11">
        <v>124.0</v>
      </c>
      <c r="B136" s="11">
        <v>1.41993478260869E9</v>
      </c>
      <c r="C136" s="2">
        <v>-102.5677872</v>
      </c>
      <c r="D136" s="24">
        <f t="shared" si="1"/>
        <v>-465217.3913</v>
      </c>
      <c r="E136" s="25">
        <f t="shared" si="2"/>
        <v>97.33939001</v>
      </c>
      <c r="F136" s="24">
        <f t="shared" si="3"/>
        <v>0.0002092342028</v>
      </c>
      <c r="G136" s="24">
        <f t="shared" si="4"/>
        <v>0</v>
      </c>
      <c r="H136" s="26">
        <f t="shared" si="5"/>
        <v>0</v>
      </c>
      <c r="I136" s="24">
        <f t="shared" si="6"/>
        <v>0</v>
      </c>
      <c r="J136" s="24">
        <f t="shared" si="7"/>
        <v>0</v>
      </c>
      <c r="K136" s="24"/>
      <c r="L136" s="24">
        <f t="shared" si="8"/>
        <v>421.0439656</v>
      </c>
      <c r="M136" s="14">
        <f t="shared" si="9"/>
        <v>420.7049644</v>
      </c>
      <c r="N136" s="27">
        <f t="shared" si="10"/>
        <v>0.3390011205</v>
      </c>
      <c r="O136" s="24"/>
      <c r="P136" s="24"/>
      <c r="Q136" s="24"/>
      <c r="R136" s="26"/>
      <c r="S136" s="9">
        <f t="shared" si="13"/>
        <v>0.311303418</v>
      </c>
      <c r="U136" s="21"/>
      <c r="V136" s="21"/>
    </row>
    <row r="137">
      <c r="A137" s="11">
        <v>125.0</v>
      </c>
      <c r="B137" s="11">
        <v>1.41993913043478E9</v>
      </c>
      <c r="C137" s="2">
        <v>-102.5526047</v>
      </c>
      <c r="D137" s="24">
        <f t="shared" si="1"/>
        <v>-460869.5652</v>
      </c>
      <c r="E137" s="25">
        <f t="shared" si="2"/>
        <v>96.42109387</v>
      </c>
      <c r="F137" s="24">
        <f t="shared" si="3"/>
        <v>0.000209215581</v>
      </c>
      <c r="G137" s="24">
        <f t="shared" si="4"/>
        <v>0</v>
      </c>
      <c r="H137" s="26">
        <f t="shared" si="5"/>
        <v>0</v>
      </c>
      <c r="I137" s="24">
        <f t="shared" si="6"/>
        <v>0</v>
      </c>
      <c r="J137" s="24">
        <f t="shared" si="7"/>
        <v>0</v>
      </c>
      <c r="K137" s="24"/>
      <c r="L137" s="24">
        <f t="shared" si="8"/>
        <v>422.5184689</v>
      </c>
      <c r="M137" s="14">
        <f t="shared" si="9"/>
        <v>420.6116878</v>
      </c>
      <c r="N137" s="27">
        <f t="shared" si="10"/>
        <v>1.906781127</v>
      </c>
      <c r="O137" s="24"/>
      <c r="P137" s="24"/>
      <c r="Q137" s="24"/>
      <c r="R137" s="26"/>
      <c r="S137" s="9">
        <f t="shared" si="13"/>
        <v>1.750989731</v>
      </c>
      <c r="U137" s="21"/>
      <c r="V137" s="21"/>
    </row>
    <row r="138">
      <c r="A138" s="11">
        <v>126.0</v>
      </c>
      <c r="B138" s="11">
        <v>1.41994347826087E9</v>
      </c>
      <c r="C138" s="2">
        <v>-102.6112137</v>
      </c>
      <c r="D138" s="24">
        <f t="shared" si="1"/>
        <v>-456521.7391</v>
      </c>
      <c r="E138" s="25">
        <f t="shared" si="2"/>
        <v>95.50279774</v>
      </c>
      <c r="F138" s="24">
        <f t="shared" si="3"/>
        <v>0.0002091966046</v>
      </c>
      <c r="G138" s="24">
        <f t="shared" si="4"/>
        <v>0</v>
      </c>
      <c r="H138" s="26">
        <f t="shared" si="5"/>
        <v>0</v>
      </c>
      <c r="I138" s="24">
        <f t="shared" si="6"/>
        <v>0</v>
      </c>
      <c r="J138" s="24">
        <f t="shared" si="7"/>
        <v>0</v>
      </c>
      <c r="K138" s="24"/>
      <c r="L138" s="24">
        <f t="shared" si="8"/>
        <v>416.8547911</v>
      </c>
      <c r="M138" s="14">
        <f t="shared" si="9"/>
        <v>420.5183789</v>
      </c>
      <c r="N138" s="27">
        <f t="shared" si="10"/>
        <v>-3.663587871</v>
      </c>
      <c r="O138" s="24"/>
      <c r="P138" s="24"/>
      <c r="Q138" s="24"/>
      <c r="R138" s="26"/>
      <c r="S138" s="9">
        <f t="shared" si="13"/>
        <v>-3.364258574</v>
      </c>
      <c r="U138" s="21"/>
      <c r="V138" s="21"/>
    </row>
    <row r="139">
      <c r="A139" s="11">
        <v>127.0</v>
      </c>
      <c r="B139" s="11">
        <v>1.41994782608695E9</v>
      </c>
      <c r="C139" s="2">
        <v>-102.586586</v>
      </c>
      <c r="D139" s="24">
        <f t="shared" si="1"/>
        <v>-452173.913</v>
      </c>
      <c r="E139" s="25">
        <f t="shared" si="2"/>
        <v>94.58450161</v>
      </c>
      <c r="F139" s="24">
        <f t="shared" si="3"/>
        <v>0.0002091772632</v>
      </c>
      <c r="G139" s="24">
        <f t="shared" si="4"/>
        <v>0</v>
      </c>
      <c r="H139" s="26">
        <f t="shared" si="5"/>
        <v>0</v>
      </c>
      <c r="I139" s="24">
        <f t="shared" si="6"/>
        <v>0</v>
      </c>
      <c r="J139" s="24">
        <f t="shared" si="7"/>
        <v>0</v>
      </c>
      <c r="K139" s="24"/>
      <c r="L139" s="24">
        <f t="shared" si="8"/>
        <v>419.2253803</v>
      </c>
      <c r="M139" s="14">
        <f t="shared" si="9"/>
        <v>420.4250387</v>
      </c>
      <c r="N139" s="27">
        <f t="shared" si="10"/>
        <v>-1.19965839</v>
      </c>
      <c r="O139" s="24"/>
      <c r="P139" s="24"/>
      <c r="Q139" s="24"/>
      <c r="R139" s="26"/>
      <c r="S139" s="9">
        <f t="shared" si="13"/>
        <v>-1.101641661</v>
      </c>
      <c r="U139" s="21"/>
      <c r="V139" s="21"/>
    </row>
    <row r="140">
      <c r="A140" s="11">
        <v>128.0</v>
      </c>
      <c r="B140" s="11">
        <v>1.41995217391304E9</v>
      </c>
      <c r="C140" s="2">
        <v>-102.5617905</v>
      </c>
      <c r="D140" s="24">
        <f t="shared" si="1"/>
        <v>-447826.087</v>
      </c>
      <c r="E140" s="25">
        <f t="shared" si="2"/>
        <v>93.66620548</v>
      </c>
      <c r="F140" s="24">
        <f t="shared" si="3"/>
        <v>0.0002091575462</v>
      </c>
      <c r="G140" s="24">
        <f t="shared" si="4"/>
        <v>0</v>
      </c>
      <c r="H140" s="26">
        <f t="shared" si="5"/>
        <v>0</v>
      </c>
      <c r="I140" s="24">
        <f t="shared" si="6"/>
        <v>0</v>
      </c>
      <c r="J140" s="24">
        <f t="shared" si="7"/>
        <v>0</v>
      </c>
      <c r="K140" s="24"/>
      <c r="L140" s="24">
        <f t="shared" si="8"/>
        <v>421.6257409</v>
      </c>
      <c r="M140" s="14">
        <f t="shared" si="9"/>
        <v>420.3316679</v>
      </c>
      <c r="N140" s="27">
        <f t="shared" si="10"/>
        <v>1.294073018</v>
      </c>
      <c r="O140" s="24"/>
      <c r="P140" s="24"/>
      <c r="Q140" s="24"/>
      <c r="R140" s="26"/>
      <c r="S140" s="9">
        <f t="shared" si="13"/>
        <v>1.188342245</v>
      </c>
      <c r="U140" s="21"/>
      <c r="V140" s="21"/>
    </row>
    <row r="141">
      <c r="A141" s="11">
        <v>129.0</v>
      </c>
      <c r="B141" s="11">
        <v>1.41995652173913E9</v>
      </c>
      <c r="C141" s="2">
        <v>-102.5234528</v>
      </c>
      <c r="D141" s="24">
        <f t="shared" si="1"/>
        <v>-443478.2609</v>
      </c>
      <c r="E141" s="25">
        <f t="shared" si="2"/>
        <v>92.74790935</v>
      </c>
      <c r="F141" s="24">
        <f t="shared" si="3"/>
        <v>0.0002091374426</v>
      </c>
      <c r="G141" s="24">
        <f t="shared" si="4"/>
        <v>0</v>
      </c>
      <c r="H141" s="26">
        <f t="shared" si="5"/>
        <v>0</v>
      </c>
      <c r="I141" s="24">
        <f t="shared" si="6"/>
        <v>0</v>
      </c>
      <c r="J141" s="24">
        <f t="shared" si="7"/>
        <v>0</v>
      </c>
      <c r="K141" s="24"/>
      <c r="L141" s="24">
        <f t="shared" si="8"/>
        <v>425.3641529</v>
      </c>
      <c r="M141" s="14">
        <f t="shared" si="9"/>
        <v>420.2382674</v>
      </c>
      <c r="N141" s="27">
        <f t="shared" si="10"/>
        <v>5.125885475</v>
      </c>
      <c r="O141" s="24"/>
      <c r="P141" s="24"/>
      <c r="Q141" s="24"/>
      <c r="R141" s="26"/>
      <c r="S141" s="9">
        <f t="shared" si="13"/>
        <v>4.707080808</v>
      </c>
      <c r="U141" s="21"/>
      <c r="V141" s="21"/>
    </row>
    <row r="142">
      <c r="A142" s="11">
        <v>130.0</v>
      </c>
      <c r="B142" s="11">
        <v>1.41996086956521E9</v>
      </c>
      <c r="C142" s="2">
        <v>-102.5944748</v>
      </c>
      <c r="D142" s="24">
        <f t="shared" si="1"/>
        <v>-439130.4348</v>
      </c>
      <c r="E142" s="25">
        <f t="shared" si="2"/>
        <v>91.82961321</v>
      </c>
      <c r="F142" s="24">
        <f t="shared" si="3"/>
        <v>0.000209116941</v>
      </c>
      <c r="G142" s="24">
        <f t="shared" si="4"/>
        <v>0</v>
      </c>
      <c r="H142" s="26">
        <f t="shared" si="5"/>
        <v>0</v>
      </c>
      <c r="I142" s="24">
        <f t="shared" si="6"/>
        <v>0</v>
      </c>
      <c r="J142" s="24">
        <f t="shared" si="7"/>
        <v>0</v>
      </c>
      <c r="K142" s="24"/>
      <c r="L142" s="24">
        <f t="shared" si="8"/>
        <v>418.464564</v>
      </c>
      <c r="M142" s="14">
        <f t="shared" si="9"/>
        <v>420.144838</v>
      </c>
      <c r="N142" s="27">
        <f t="shared" si="10"/>
        <v>-1.680274019</v>
      </c>
      <c r="O142" s="24"/>
      <c r="P142" s="24"/>
      <c r="Q142" s="24"/>
      <c r="R142" s="26"/>
      <c r="S142" s="9">
        <f t="shared" si="13"/>
        <v>-1.542989134</v>
      </c>
      <c r="U142" s="21"/>
      <c r="V142" s="21"/>
    </row>
    <row r="143">
      <c r="A143" s="11">
        <v>131.0</v>
      </c>
      <c r="B143" s="11">
        <v>1.4199652173913E9</v>
      </c>
      <c r="C143" s="2">
        <v>-102.6464386</v>
      </c>
      <c r="D143" s="24">
        <f t="shared" si="1"/>
        <v>-434782.6087</v>
      </c>
      <c r="E143" s="25">
        <f t="shared" si="2"/>
        <v>90.91131708</v>
      </c>
      <c r="F143" s="24">
        <f t="shared" si="3"/>
        <v>0.0002090960293</v>
      </c>
      <c r="G143" s="24">
        <f t="shared" si="4"/>
        <v>0</v>
      </c>
      <c r="H143" s="26">
        <f t="shared" si="5"/>
        <v>0</v>
      </c>
      <c r="I143" s="24">
        <f t="shared" si="6"/>
        <v>0</v>
      </c>
      <c r="J143" s="24">
        <f t="shared" si="7"/>
        <v>0</v>
      </c>
      <c r="K143" s="24"/>
      <c r="L143" s="24">
        <f t="shared" si="8"/>
        <v>413.487426</v>
      </c>
      <c r="M143" s="14">
        <f t="shared" si="9"/>
        <v>420.0513806</v>
      </c>
      <c r="N143" s="27">
        <f t="shared" si="10"/>
        <v>-6.563954564</v>
      </c>
      <c r="O143" s="24"/>
      <c r="P143" s="24"/>
      <c r="Q143" s="24"/>
      <c r="R143" s="26"/>
      <c r="S143" s="9">
        <f t="shared" si="13"/>
        <v>-6.027654078</v>
      </c>
      <c r="U143" s="21"/>
      <c r="V143" s="21"/>
    </row>
    <row r="144">
      <c r="A144" s="11">
        <v>132.0</v>
      </c>
      <c r="B144" s="11">
        <v>1.41996956521739E9</v>
      </c>
      <c r="C144" s="2">
        <v>-102.5751114</v>
      </c>
      <c r="D144" s="24">
        <f t="shared" si="1"/>
        <v>-430434.7826</v>
      </c>
      <c r="E144" s="25">
        <f t="shared" si="2"/>
        <v>89.99302095</v>
      </c>
      <c r="F144" s="24">
        <f t="shared" si="3"/>
        <v>0.0002090746951</v>
      </c>
      <c r="G144" s="24">
        <f t="shared" si="4"/>
        <v>0</v>
      </c>
      <c r="H144" s="26">
        <f t="shared" si="5"/>
        <v>0</v>
      </c>
      <c r="I144" s="24">
        <f t="shared" si="6"/>
        <v>0</v>
      </c>
      <c r="J144" s="24">
        <f t="shared" si="7"/>
        <v>0</v>
      </c>
      <c r="K144" s="24"/>
      <c r="L144" s="24">
        <f t="shared" si="8"/>
        <v>420.3344904</v>
      </c>
      <c r="M144" s="14">
        <f t="shared" si="9"/>
        <v>419.957896</v>
      </c>
      <c r="N144" s="27">
        <f t="shared" si="10"/>
        <v>0.3765944545</v>
      </c>
      <c r="O144" s="24"/>
      <c r="P144" s="24"/>
      <c r="Q144" s="24"/>
      <c r="R144" s="26"/>
      <c r="S144" s="9">
        <f t="shared" si="13"/>
        <v>0.3458252312</v>
      </c>
      <c r="U144" s="21"/>
      <c r="V144" s="21"/>
    </row>
    <row r="145">
      <c r="A145" s="11">
        <v>133.0</v>
      </c>
      <c r="B145" s="11">
        <v>1.41997391304347E9</v>
      </c>
      <c r="C145" s="2">
        <v>-102.5759506</v>
      </c>
      <c r="D145" s="24">
        <f t="shared" si="1"/>
        <v>-426086.9565</v>
      </c>
      <c r="E145" s="25">
        <f t="shared" si="2"/>
        <v>89.07472482</v>
      </c>
      <c r="F145" s="24">
        <f t="shared" si="3"/>
        <v>0.0002090529256</v>
      </c>
      <c r="G145" s="24">
        <f t="shared" si="4"/>
        <v>0</v>
      </c>
      <c r="H145" s="26">
        <f t="shared" si="5"/>
        <v>0</v>
      </c>
      <c r="I145" s="24">
        <f t="shared" si="6"/>
        <v>0</v>
      </c>
      <c r="J145" s="24">
        <f t="shared" si="7"/>
        <v>0</v>
      </c>
      <c r="K145" s="24"/>
      <c r="L145" s="24">
        <f t="shared" si="8"/>
        <v>420.2532758</v>
      </c>
      <c r="M145" s="14">
        <f t="shared" si="9"/>
        <v>419.864385</v>
      </c>
      <c r="N145" s="27">
        <f t="shared" si="10"/>
        <v>0.3888908009</v>
      </c>
      <c r="O145" s="24"/>
      <c r="P145" s="24"/>
      <c r="Q145" s="24"/>
      <c r="R145" s="26"/>
      <c r="S145" s="9">
        <f t="shared" si="13"/>
        <v>0.3571169185</v>
      </c>
      <c r="U145" s="21"/>
      <c r="V145" s="21"/>
    </row>
    <row r="146">
      <c r="A146" s="11">
        <v>134.0</v>
      </c>
      <c r="B146" s="11">
        <v>1.41997826086956E9</v>
      </c>
      <c r="C146" s="2">
        <v>-102.5657654</v>
      </c>
      <c r="D146" s="24">
        <f t="shared" si="1"/>
        <v>-421739.1304</v>
      </c>
      <c r="E146" s="25">
        <f t="shared" si="2"/>
        <v>88.15642869</v>
      </c>
      <c r="F146" s="24">
        <f t="shared" si="3"/>
        <v>0.0002090307072</v>
      </c>
      <c r="G146" s="24">
        <f t="shared" si="4"/>
        <v>0</v>
      </c>
      <c r="H146" s="26">
        <f t="shared" si="5"/>
        <v>0</v>
      </c>
      <c r="I146" s="24">
        <f t="shared" si="6"/>
        <v>0</v>
      </c>
      <c r="J146" s="24">
        <f t="shared" si="7"/>
        <v>0</v>
      </c>
      <c r="K146" s="24"/>
      <c r="L146" s="24">
        <f t="shared" si="8"/>
        <v>421.2400226</v>
      </c>
      <c r="M146" s="14">
        <f t="shared" si="9"/>
        <v>419.7708485</v>
      </c>
      <c r="N146" s="27">
        <f t="shared" si="10"/>
        <v>1.469174065</v>
      </c>
      <c r="O146" s="24"/>
      <c r="P146" s="24"/>
      <c r="Q146" s="24"/>
      <c r="R146" s="26"/>
      <c r="S146" s="9">
        <f t="shared" si="13"/>
        <v>1.349136859</v>
      </c>
      <c r="U146" s="21"/>
      <c r="V146" s="21"/>
    </row>
    <row r="147">
      <c r="A147" s="11">
        <v>135.0</v>
      </c>
      <c r="B147" s="11">
        <v>1.41998260869565E9</v>
      </c>
      <c r="C147" s="2">
        <v>-102.5756302</v>
      </c>
      <c r="D147" s="24">
        <f t="shared" si="1"/>
        <v>-417391.3043</v>
      </c>
      <c r="E147" s="25">
        <f t="shared" si="2"/>
        <v>87.23813255</v>
      </c>
      <c r="F147" s="24">
        <f t="shared" si="3"/>
        <v>0.0002090080259</v>
      </c>
      <c r="G147" s="24">
        <f t="shared" si="4"/>
        <v>0</v>
      </c>
      <c r="H147" s="26">
        <f t="shared" si="5"/>
        <v>0</v>
      </c>
      <c r="I147" s="24">
        <f t="shared" si="6"/>
        <v>0</v>
      </c>
      <c r="J147" s="24">
        <f t="shared" si="7"/>
        <v>0</v>
      </c>
      <c r="K147" s="24"/>
      <c r="L147" s="24">
        <f t="shared" si="8"/>
        <v>420.2842811</v>
      </c>
      <c r="M147" s="14">
        <f t="shared" si="9"/>
        <v>419.6772874</v>
      </c>
      <c r="N147" s="27">
        <f t="shared" si="10"/>
        <v>0.6069937066</v>
      </c>
      <c r="O147" s="24"/>
      <c r="P147" s="24"/>
      <c r="Q147" s="24"/>
      <c r="R147" s="26"/>
      <c r="S147" s="9">
        <f t="shared" si="13"/>
        <v>0.5573999734</v>
      </c>
      <c r="U147" s="21"/>
      <c r="V147" s="21"/>
    </row>
    <row r="148">
      <c r="A148" s="11">
        <v>136.0</v>
      </c>
      <c r="B148" s="11">
        <v>1.41998695652173E9</v>
      </c>
      <c r="C148" s="2">
        <v>-102.6088257</v>
      </c>
      <c r="D148" s="24">
        <f t="shared" si="1"/>
        <v>-413043.4783</v>
      </c>
      <c r="E148" s="25">
        <f t="shared" si="2"/>
        <v>86.31983642</v>
      </c>
      <c r="F148" s="24">
        <f t="shared" si="3"/>
        <v>0.0002089848671</v>
      </c>
      <c r="G148" s="24">
        <f t="shared" si="4"/>
        <v>0</v>
      </c>
      <c r="H148" s="26">
        <f t="shared" si="5"/>
        <v>0</v>
      </c>
      <c r="I148" s="24">
        <f t="shared" si="6"/>
        <v>0</v>
      </c>
      <c r="J148" s="24">
        <f t="shared" si="7"/>
        <v>0</v>
      </c>
      <c r="K148" s="24"/>
      <c r="L148" s="24">
        <f t="shared" si="8"/>
        <v>417.0840648</v>
      </c>
      <c r="M148" s="14">
        <f t="shared" si="9"/>
        <v>419.5837024</v>
      </c>
      <c r="N148" s="27">
        <f t="shared" si="10"/>
        <v>-2.49963759</v>
      </c>
      <c r="O148" s="24"/>
      <c r="P148" s="24"/>
      <c r="Q148" s="24"/>
      <c r="R148" s="26"/>
      <c r="S148" s="9">
        <f t="shared" si="13"/>
        <v>-2.295407532</v>
      </c>
      <c r="U148" s="21"/>
      <c r="V148" s="21"/>
    </row>
    <row r="149">
      <c r="A149" s="11">
        <v>137.0</v>
      </c>
      <c r="B149" s="11">
        <v>1.41999130434782E9</v>
      </c>
      <c r="C149" s="2">
        <v>-102.5037079</v>
      </c>
      <c r="D149" s="24">
        <f t="shared" si="1"/>
        <v>-408695.6522</v>
      </c>
      <c r="E149" s="25">
        <f t="shared" si="2"/>
        <v>85.40154029</v>
      </c>
      <c r="F149" s="24">
        <f t="shared" si="3"/>
        <v>0.0002089612156</v>
      </c>
      <c r="G149" s="24">
        <f t="shared" si="4"/>
        <v>0</v>
      </c>
      <c r="H149" s="26">
        <f t="shared" si="5"/>
        <v>0</v>
      </c>
      <c r="I149" s="24">
        <f t="shared" si="6"/>
        <v>0</v>
      </c>
      <c r="J149" s="24">
        <f t="shared" si="7"/>
        <v>0</v>
      </c>
      <c r="K149" s="24"/>
      <c r="L149" s="24">
        <f t="shared" si="8"/>
        <v>427.3024446</v>
      </c>
      <c r="M149" s="14">
        <f t="shared" si="9"/>
        <v>419.4900944</v>
      </c>
      <c r="N149" s="27">
        <f t="shared" si="10"/>
        <v>7.812350203</v>
      </c>
      <c r="O149" s="24"/>
      <c r="P149" s="24"/>
      <c r="Q149" s="24"/>
      <c r="R149" s="26"/>
      <c r="S149" s="9">
        <f t="shared" si="13"/>
        <v>7.174050979</v>
      </c>
      <c r="U149" s="21"/>
      <c r="V149" s="21"/>
    </row>
    <row r="150">
      <c r="A150" s="11">
        <v>138.0</v>
      </c>
      <c r="B150" s="11">
        <v>1.41999565217391E9</v>
      </c>
      <c r="C150" s="2">
        <v>-102.540062</v>
      </c>
      <c r="D150" s="24">
        <f t="shared" si="1"/>
        <v>-404347.8261</v>
      </c>
      <c r="E150" s="25">
        <f t="shared" si="2"/>
        <v>84.48324416</v>
      </c>
      <c r="F150" s="24">
        <f t="shared" si="3"/>
        <v>0.0002089370554</v>
      </c>
      <c r="G150" s="24">
        <f t="shared" si="4"/>
        <v>0</v>
      </c>
      <c r="H150" s="26">
        <f t="shared" si="5"/>
        <v>0</v>
      </c>
      <c r="I150" s="24">
        <f t="shared" si="6"/>
        <v>0</v>
      </c>
      <c r="J150" s="24">
        <f t="shared" si="7"/>
        <v>0</v>
      </c>
      <c r="K150" s="24"/>
      <c r="L150" s="24">
        <f t="shared" si="8"/>
        <v>423.7404929</v>
      </c>
      <c r="M150" s="14">
        <f t="shared" si="9"/>
        <v>419.3964642</v>
      </c>
      <c r="N150" s="27">
        <f t="shared" si="10"/>
        <v>4.344028661</v>
      </c>
      <c r="O150" s="24"/>
      <c r="P150" s="24"/>
      <c r="Q150" s="24"/>
      <c r="R150" s="26"/>
      <c r="S150" s="9">
        <f t="shared" si="13"/>
        <v>3.989104711</v>
      </c>
      <c r="U150" s="21"/>
      <c r="V150" s="21"/>
    </row>
    <row r="151">
      <c r="A151" s="11">
        <v>139.0</v>
      </c>
      <c r="B151" s="11">
        <v>1.42E9</v>
      </c>
      <c r="C151" s="2">
        <v>-102.5775604</v>
      </c>
      <c r="D151" s="24">
        <f t="shared" si="1"/>
        <v>-400000</v>
      </c>
      <c r="E151" s="25">
        <f t="shared" si="2"/>
        <v>83.56494803</v>
      </c>
      <c r="F151" s="24">
        <f t="shared" si="3"/>
        <v>0.0002089123701</v>
      </c>
      <c r="G151" s="24">
        <f t="shared" si="4"/>
        <v>0</v>
      </c>
      <c r="H151" s="26">
        <f t="shared" si="5"/>
        <v>0</v>
      </c>
      <c r="I151" s="24">
        <f t="shared" si="6"/>
        <v>0</v>
      </c>
      <c r="J151" s="24">
        <f t="shared" si="7"/>
        <v>0</v>
      </c>
      <c r="K151" s="24"/>
      <c r="L151" s="24">
        <f t="shared" si="8"/>
        <v>420.0975293</v>
      </c>
      <c r="M151" s="14">
        <f t="shared" si="9"/>
        <v>419.3028127</v>
      </c>
      <c r="N151" s="27">
        <f t="shared" si="10"/>
        <v>0.7947166224</v>
      </c>
      <c r="O151" s="24"/>
      <c r="P151" s="24"/>
      <c r="Q151" s="24"/>
      <c r="R151" s="26"/>
      <c r="S151" s="9">
        <f t="shared" si="13"/>
        <v>0.729785201</v>
      </c>
      <c r="U151" s="21"/>
      <c r="V151" s="21"/>
    </row>
    <row r="152">
      <c r="A152" s="11">
        <v>140.0</v>
      </c>
      <c r="B152" s="11">
        <v>1.42000434782608E9</v>
      </c>
      <c r="C152" s="2">
        <v>-102.6368027</v>
      </c>
      <c r="D152" s="24">
        <f t="shared" si="1"/>
        <v>-395652.1739</v>
      </c>
      <c r="E152" s="25">
        <f t="shared" si="2"/>
        <v>82.64665189</v>
      </c>
      <c r="F152" s="24">
        <f t="shared" si="3"/>
        <v>0.0002088871421</v>
      </c>
      <c r="G152" s="24">
        <f t="shared" si="4"/>
        <v>0</v>
      </c>
      <c r="H152" s="26">
        <f t="shared" si="5"/>
        <v>0</v>
      </c>
      <c r="I152" s="24">
        <f t="shared" si="6"/>
        <v>0</v>
      </c>
      <c r="J152" s="24">
        <f t="shared" si="7"/>
        <v>0</v>
      </c>
      <c r="K152" s="24"/>
      <c r="L152" s="24">
        <f t="shared" si="8"/>
        <v>414.4058689</v>
      </c>
      <c r="M152" s="14">
        <f t="shared" si="9"/>
        <v>419.2091407</v>
      </c>
      <c r="N152" s="27">
        <f t="shared" si="10"/>
        <v>-4.80327181</v>
      </c>
      <c r="O152" s="24"/>
      <c r="P152" s="24"/>
      <c r="Q152" s="24"/>
      <c r="R152" s="26"/>
      <c r="S152" s="9">
        <f t="shared" si="13"/>
        <v>-4.410825928</v>
      </c>
      <c r="U152" s="21"/>
      <c r="V152" s="21"/>
    </row>
    <row r="153">
      <c r="A153" s="11">
        <v>141.0</v>
      </c>
      <c r="B153" s="11">
        <v>1.42000869565217E9</v>
      </c>
      <c r="C153" s="2">
        <v>-102.6338806</v>
      </c>
      <c r="D153" s="24">
        <f t="shared" si="1"/>
        <v>-391304.3478</v>
      </c>
      <c r="E153" s="25">
        <f t="shared" si="2"/>
        <v>81.72835576</v>
      </c>
      <c r="F153" s="24">
        <f t="shared" si="3"/>
        <v>0.0002088613536</v>
      </c>
      <c r="G153" s="24">
        <f t="shared" si="4"/>
        <v>0</v>
      </c>
      <c r="H153" s="26">
        <f t="shared" si="5"/>
        <v>0</v>
      </c>
      <c r="I153" s="24">
        <f t="shared" si="6"/>
        <v>0</v>
      </c>
      <c r="J153" s="24">
        <f t="shared" si="7"/>
        <v>0</v>
      </c>
      <c r="K153" s="24"/>
      <c r="L153" s="24">
        <f t="shared" si="8"/>
        <v>414.6847909</v>
      </c>
      <c r="M153" s="14">
        <f t="shared" si="9"/>
        <v>419.1154491</v>
      </c>
      <c r="N153" s="27">
        <f t="shared" si="10"/>
        <v>-4.4306582</v>
      </c>
      <c r="O153" s="24"/>
      <c r="P153" s="24"/>
      <c r="Q153" s="24"/>
      <c r="R153" s="26"/>
      <c r="S153" s="9">
        <f t="shared" si="13"/>
        <v>-4.068656281</v>
      </c>
      <c r="U153" s="21"/>
      <c r="V153" s="21"/>
    </row>
    <row r="154">
      <c r="A154" s="11">
        <v>142.0</v>
      </c>
      <c r="B154" s="11">
        <v>1.42001304347826E9</v>
      </c>
      <c r="C154" s="2">
        <v>-102.6391602</v>
      </c>
      <c r="D154" s="24">
        <f t="shared" si="1"/>
        <v>-386956.5217</v>
      </c>
      <c r="E154" s="25">
        <f t="shared" si="2"/>
        <v>80.81005963</v>
      </c>
      <c r="F154" s="24">
        <f t="shared" si="3"/>
        <v>0.0002088349856</v>
      </c>
      <c r="G154" s="24">
        <f t="shared" si="4"/>
        <v>0</v>
      </c>
      <c r="H154" s="26">
        <f t="shared" si="5"/>
        <v>0</v>
      </c>
      <c r="I154" s="24">
        <f t="shared" si="6"/>
        <v>0</v>
      </c>
      <c r="J154" s="24">
        <f t="shared" si="7"/>
        <v>0</v>
      </c>
      <c r="K154" s="24"/>
      <c r="L154" s="24">
        <f t="shared" si="8"/>
        <v>414.1809762</v>
      </c>
      <c r="M154" s="14">
        <f t="shared" si="9"/>
        <v>419.0217387</v>
      </c>
      <c r="N154" s="27">
        <f t="shared" si="10"/>
        <v>-4.840762521</v>
      </c>
      <c r="O154" s="24"/>
      <c r="P154" s="24"/>
      <c r="Q154" s="24"/>
      <c r="R154" s="26"/>
      <c r="S154" s="9">
        <f t="shared" si="13"/>
        <v>-4.445253503</v>
      </c>
      <c r="U154" s="21"/>
      <c r="V154" s="21"/>
    </row>
    <row r="155">
      <c r="A155" s="11">
        <v>143.0</v>
      </c>
      <c r="B155" s="11">
        <v>1.42001739130434E9</v>
      </c>
      <c r="C155" s="2">
        <v>-102.589653</v>
      </c>
      <c r="D155" s="24">
        <f t="shared" si="1"/>
        <v>-382608.6957</v>
      </c>
      <c r="E155" s="25">
        <f t="shared" si="2"/>
        <v>79.8917635</v>
      </c>
      <c r="F155" s="24">
        <f t="shared" si="3"/>
        <v>0.0002088080182</v>
      </c>
      <c r="G155" s="24">
        <f t="shared" si="4"/>
        <v>0</v>
      </c>
      <c r="H155" s="26">
        <f t="shared" si="5"/>
        <v>0</v>
      </c>
      <c r="I155" s="24">
        <f t="shared" si="6"/>
        <v>0</v>
      </c>
      <c r="J155" s="24">
        <f t="shared" si="7"/>
        <v>0</v>
      </c>
      <c r="K155" s="24"/>
      <c r="L155" s="24">
        <f t="shared" si="8"/>
        <v>418.9294267</v>
      </c>
      <c r="M155" s="14">
        <f t="shared" si="9"/>
        <v>418.9280103</v>
      </c>
      <c r="N155" s="27">
        <f t="shared" si="10"/>
        <v>0.001416322537</v>
      </c>
      <c r="O155" s="24"/>
      <c r="P155" s="24"/>
      <c r="Q155" s="24"/>
      <c r="R155" s="26"/>
      <c r="S155" s="9">
        <f t="shared" si="13"/>
        <v>0.001300603509</v>
      </c>
      <c r="U155" s="21"/>
      <c r="V155" s="21"/>
    </row>
    <row r="156">
      <c r="A156" s="11">
        <v>144.0</v>
      </c>
      <c r="B156" s="11">
        <v>1.42002173913043E9</v>
      </c>
      <c r="C156" s="2">
        <v>-102.6179962</v>
      </c>
      <c r="D156" s="24">
        <f t="shared" si="1"/>
        <v>-378260.8696</v>
      </c>
      <c r="E156" s="25">
        <f t="shared" si="2"/>
        <v>78.97346736</v>
      </c>
      <c r="F156" s="24">
        <f t="shared" si="3"/>
        <v>0.000208780431</v>
      </c>
      <c r="G156" s="24">
        <f t="shared" si="4"/>
        <v>0</v>
      </c>
      <c r="H156" s="26">
        <f t="shared" si="5"/>
        <v>0</v>
      </c>
      <c r="I156" s="24">
        <f t="shared" si="6"/>
        <v>0</v>
      </c>
      <c r="J156" s="24">
        <f t="shared" si="7"/>
        <v>0</v>
      </c>
      <c r="K156" s="24"/>
      <c r="L156" s="24">
        <f t="shared" si="8"/>
        <v>416.2042852</v>
      </c>
      <c r="M156" s="14">
        <f t="shared" si="9"/>
        <v>418.8342648</v>
      </c>
      <c r="N156" s="27">
        <f t="shared" si="10"/>
        <v>-2.629979616</v>
      </c>
      <c r="O156" s="24"/>
      <c r="P156" s="24"/>
      <c r="Q156" s="24"/>
      <c r="R156" s="26"/>
      <c r="S156" s="9">
        <f t="shared" si="13"/>
        <v>-2.415100105</v>
      </c>
      <c r="U156" s="21"/>
      <c r="V156" s="21"/>
    </row>
    <row r="157">
      <c r="A157" s="11">
        <v>145.0</v>
      </c>
      <c r="B157" s="11">
        <v>1.42002608695652E9</v>
      </c>
      <c r="C157" s="2">
        <v>-102.5865173</v>
      </c>
      <c r="D157" s="24">
        <f t="shared" si="1"/>
        <v>-373913.0435</v>
      </c>
      <c r="E157" s="25">
        <f t="shared" si="2"/>
        <v>78.05517123</v>
      </c>
      <c r="F157" s="24">
        <f t="shared" si="3"/>
        <v>0.0002087522021</v>
      </c>
      <c r="G157" s="24">
        <f t="shared" si="4"/>
        <v>0</v>
      </c>
      <c r="H157" s="26">
        <f t="shared" si="5"/>
        <v>0</v>
      </c>
      <c r="I157" s="24">
        <f t="shared" si="6"/>
        <v>0</v>
      </c>
      <c r="J157" s="24">
        <f t="shared" si="7"/>
        <v>0</v>
      </c>
      <c r="K157" s="24"/>
      <c r="L157" s="24">
        <f t="shared" si="8"/>
        <v>419.232012</v>
      </c>
      <c r="M157" s="14">
        <f t="shared" si="9"/>
        <v>418.7405031</v>
      </c>
      <c r="N157" s="27">
        <f t="shared" si="10"/>
        <v>0.4915089359</v>
      </c>
      <c r="O157" s="24"/>
      <c r="P157" s="24"/>
      <c r="Q157" s="24"/>
      <c r="R157" s="26"/>
      <c r="S157" s="9">
        <f t="shared" si="13"/>
        <v>0.451350755</v>
      </c>
      <c r="U157" s="21"/>
      <c r="V157" s="21"/>
    </row>
    <row r="158">
      <c r="A158" s="11">
        <v>146.0</v>
      </c>
      <c r="B158" s="11">
        <v>1.4200304347826E9</v>
      </c>
      <c r="C158" s="2">
        <v>-102.5625763</v>
      </c>
      <c r="D158" s="24">
        <f t="shared" si="1"/>
        <v>-369565.2174</v>
      </c>
      <c r="E158" s="25">
        <f t="shared" si="2"/>
        <v>77.1368751</v>
      </c>
      <c r="F158" s="24">
        <f t="shared" si="3"/>
        <v>0.0002087233091</v>
      </c>
      <c r="G158" s="24">
        <f t="shared" si="4"/>
        <v>0</v>
      </c>
      <c r="H158" s="26">
        <f t="shared" si="5"/>
        <v>0</v>
      </c>
      <c r="I158" s="24">
        <f t="shared" si="6"/>
        <v>0</v>
      </c>
      <c r="J158" s="24">
        <f t="shared" si="7"/>
        <v>0</v>
      </c>
      <c r="K158" s="24"/>
      <c r="L158" s="24">
        <f t="shared" si="8"/>
        <v>421.5494601</v>
      </c>
      <c r="M158" s="14">
        <f t="shared" si="9"/>
        <v>418.6467258</v>
      </c>
      <c r="N158" s="27">
        <f t="shared" si="10"/>
        <v>2.902734251</v>
      </c>
      <c r="O158" s="24"/>
      <c r="P158" s="24"/>
      <c r="Q158" s="24"/>
      <c r="R158" s="26"/>
      <c r="S158" s="9">
        <f t="shared" si="13"/>
        <v>2.665569637</v>
      </c>
      <c r="U158" s="21"/>
      <c r="V158" s="21"/>
    </row>
    <row r="159">
      <c r="A159" s="11">
        <v>147.0</v>
      </c>
      <c r="B159" s="11">
        <v>1.42003478260869E9</v>
      </c>
      <c r="C159" s="2">
        <v>-102.5866928</v>
      </c>
      <c r="D159" s="24">
        <f t="shared" si="1"/>
        <v>-365217.3913</v>
      </c>
      <c r="E159" s="25">
        <f t="shared" si="2"/>
        <v>76.21857897</v>
      </c>
      <c r="F159" s="24">
        <f t="shared" si="3"/>
        <v>0.0002086937281</v>
      </c>
      <c r="G159" s="24">
        <f t="shared" si="4"/>
        <v>0</v>
      </c>
      <c r="H159" s="26">
        <f t="shared" si="5"/>
        <v>0</v>
      </c>
      <c r="I159" s="24">
        <f t="shared" si="6"/>
        <v>0</v>
      </c>
      <c r="J159" s="24">
        <f t="shared" si="7"/>
        <v>0</v>
      </c>
      <c r="K159" s="24"/>
      <c r="L159" s="24">
        <f t="shared" si="8"/>
        <v>419.215071</v>
      </c>
      <c r="M159" s="14">
        <f t="shared" si="9"/>
        <v>418.552934</v>
      </c>
      <c r="N159" s="27">
        <f t="shared" si="10"/>
        <v>0.66213704</v>
      </c>
      <c r="O159" s="24"/>
      <c r="P159" s="24"/>
      <c r="Q159" s="24"/>
      <c r="R159" s="26"/>
      <c r="S159" s="9">
        <f t="shared" si="13"/>
        <v>0.6080378832</v>
      </c>
      <c r="U159" s="21"/>
      <c r="V159" s="21"/>
    </row>
    <row r="160">
      <c r="A160" s="11">
        <v>148.0</v>
      </c>
      <c r="B160" s="11">
        <v>1.42003913043478E9</v>
      </c>
      <c r="C160" s="2">
        <v>-102.6156464</v>
      </c>
      <c r="D160" s="24">
        <f t="shared" si="1"/>
        <v>-360869.5652</v>
      </c>
      <c r="E160" s="25">
        <f t="shared" si="2"/>
        <v>75.30028284</v>
      </c>
      <c r="F160" s="24">
        <f t="shared" si="3"/>
        <v>0.0002086634344</v>
      </c>
      <c r="G160" s="24">
        <f t="shared" si="4"/>
        <v>0</v>
      </c>
      <c r="H160" s="26">
        <f t="shared" si="5"/>
        <v>0</v>
      </c>
      <c r="I160" s="24">
        <f t="shared" si="6"/>
        <v>0</v>
      </c>
      <c r="J160" s="24">
        <f t="shared" si="7"/>
        <v>0</v>
      </c>
      <c r="K160" s="24"/>
      <c r="L160" s="24">
        <f t="shared" si="8"/>
        <v>416.4295382</v>
      </c>
      <c r="M160" s="14">
        <f t="shared" si="9"/>
        <v>418.4591284</v>
      </c>
      <c r="N160" s="27">
        <f t="shared" si="10"/>
        <v>-2.029590106</v>
      </c>
      <c r="O160" s="24"/>
      <c r="P160" s="24"/>
      <c r="Q160" s="24"/>
      <c r="R160" s="26"/>
      <c r="S160" s="9">
        <f t="shared" si="13"/>
        <v>-1.863764742</v>
      </c>
      <c r="U160" s="21"/>
      <c r="V160" s="21"/>
    </row>
    <row r="161">
      <c r="A161" s="11">
        <v>149.0</v>
      </c>
      <c r="B161" s="11">
        <v>1.42004347826087E9</v>
      </c>
      <c r="C161" s="2">
        <v>-102.5755157</v>
      </c>
      <c r="D161" s="24">
        <f t="shared" si="1"/>
        <v>-356521.7391</v>
      </c>
      <c r="E161" s="25">
        <f t="shared" si="2"/>
        <v>74.3819867</v>
      </c>
      <c r="F161" s="24">
        <f t="shared" si="3"/>
        <v>0.0002086324017</v>
      </c>
      <c r="G161" s="24">
        <f t="shared" si="4"/>
        <v>0</v>
      </c>
      <c r="H161" s="26">
        <f t="shared" si="5"/>
        <v>0</v>
      </c>
      <c r="I161" s="24">
        <f t="shared" si="6"/>
        <v>0</v>
      </c>
      <c r="J161" s="24">
        <f t="shared" si="7"/>
        <v>0</v>
      </c>
      <c r="K161" s="24"/>
      <c r="L161" s="24">
        <f t="shared" si="8"/>
        <v>420.2953618</v>
      </c>
      <c r="M161" s="14">
        <f t="shared" si="9"/>
        <v>418.3653098</v>
      </c>
      <c r="N161" s="27">
        <f t="shared" si="10"/>
        <v>1.930052023</v>
      </c>
      <c r="O161" s="24"/>
      <c r="P161" s="24"/>
      <c r="Q161" s="24"/>
      <c r="R161" s="26"/>
      <c r="S161" s="9">
        <f t="shared" si="13"/>
        <v>1.772359309</v>
      </c>
      <c r="U161" s="21"/>
      <c r="V161" s="21"/>
    </row>
    <row r="162">
      <c r="A162" s="11">
        <v>150.0</v>
      </c>
      <c r="B162" s="11">
        <v>1.42004782608695E9</v>
      </c>
      <c r="C162" s="2">
        <v>-102.5662155</v>
      </c>
      <c r="D162" s="24">
        <f t="shared" si="1"/>
        <v>-352173.913</v>
      </c>
      <c r="E162" s="25">
        <f t="shared" si="2"/>
        <v>73.46369057</v>
      </c>
      <c r="F162" s="24">
        <f t="shared" si="3"/>
        <v>0.0002086006029</v>
      </c>
      <c r="G162" s="24">
        <f t="shared" si="4"/>
        <v>0</v>
      </c>
      <c r="H162" s="26">
        <f t="shared" si="5"/>
        <v>0</v>
      </c>
      <c r="I162" s="24">
        <f t="shared" si="6"/>
        <v>0</v>
      </c>
      <c r="J162" s="24">
        <f t="shared" si="7"/>
        <v>0</v>
      </c>
      <c r="K162" s="24"/>
      <c r="L162" s="24">
        <f t="shared" si="8"/>
        <v>421.1963678</v>
      </c>
      <c r="M162" s="14">
        <f t="shared" si="9"/>
        <v>418.2714792</v>
      </c>
      <c r="N162" s="27">
        <f t="shared" si="10"/>
        <v>2.924888626</v>
      </c>
      <c r="O162" s="24"/>
      <c r="P162" s="24"/>
      <c r="Q162" s="24"/>
      <c r="R162" s="26"/>
      <c r="S162" s="9">
        <f t="shared" si="13"/>
        <v>2.685913914</v>
      </c>
      <c r="U162" s="21"/>
      <c r="V162" s="21"/>
    </row>
    <row r="163">
      <c r="A163" s="11">
        <v>151.0</v>
      </c>
      <c r="B163" s="11">
        <v>1.42005217391304E9</v>
      </c>
      <c r="C163" s="2">
        <v>-102.5433197</v>
      </c>
      <c r="D163" s="24">
        <f t="shared" si="1"/>
        <v>-347826.087</v>
      </c>
      <c r="E163" s="25">
        <f t="shared" si="2"/>
        <v>72.54539444</v>
      </c>
      <c r="F163" s="24">
        <f t="shared" si="3"/>
        <v>0.000208568009</v>
      </c>
      <c r="G163" s="24">
        <f t="shared" si="4"/>
        <v>0</v>
      </c>
      <c r="H163" s="26">
        <f t="shared" si="5"/>
        <v>0</v>
      </c>
      <c r="I163" s="24">
        <f t="shared" si="6"/>
        <v>0</v>
      </c>
      <c r="J163" s="24">
        <f t="shared" si="7"/>
        <v>0</v>
      </c>
      <c r="K163" s="24"/>
      <c r="L163" s="24">
        <f t="shared" si="8"/>
        <v>423.4227587</v>
      </c>
      <c r="M163" s="14">
        <f t="shared" si="9"/>
        <v>418.1776373</v>
      </c>
      <c r="N163" s="27">
        <f t="shared" si="10"/>
        <v>5.245121432</v>
      </c>
      <c r="O163" s="24"/>
      <c r="P163" s="24"/>
      <c r="Q163" s="24"/>
      <c r="R163" s="26"/>
      <c r="S163" s="9">
        <f t="shared" si="13"/>
        <v>4.816574716</v>
      </c>
      <c r="U163" s="21"/>
      <c r="V163" s="21"/>
    </row>
    <row r="164">
      <c r="A164" s="11">
        <v>152.0</v>
      </c>
      <c r="B164" s="11">
        <v>1.42005652173913E9</v>
      </c>
      <c r="C164" s="2">
        <v>-102.5382538</v>
      </c>
      <c r="D164" s="24">
        <f t="shared" si="1"/>
        <v>-343478.2609</v>
      </c>
      <c r="E164" s="25">
        <f t="shared" si="2"/>
        <v>71.62709831</v>
      </c>
      <c r="F164" s="24">
        <f t="shared" si="3"/>
        <v>0.00020853459</v>
      </c>
      <c r="G164" s="24">
        <f t="shared" si="4"/>
        <v>0</v>
      </c>
      <c r="H164" s="26">
        <f t="shared" si="5"/>
        <v>0</v>
      </c>
      <c r="I164" s="24">
        <f t="shared" si="6"/>
        <v>0</v>
      </c>
      <c r="J164" s="24">
        <f t="shared" si="7"/>
        <v>0</v>
      </c>
      <c r="K164" s="24"/>
      <c r="L164" s="24">
        <f t="shared" si="8"/>
        <v>423.9169554</v>
      </c>
      <c r="M164" s="14">
        <f t="shared" si="9"/>
        <v>418.083785</v>
      </c>
      <c r="N164" s="27">
        <f t="shared" si="10"/>
        <v>5.833170406</v>
      </c>
      <c r="O164" s="24"/>
      <c r="P164" s="24"/>
      <c r="Q164" s="24"/>
      <c r="R164" s="26"/>
      <c r="S164" s="9">
        <f t="shared" si="13"/>
        <v>5.356577826</v>
      </c>
      <c r="U164" s="21"/>
      <c r="V164" s="21"/>
    </row>
    <row r="165">
      <c r="A165" s="11">
        <v>153.0</v>
      </c>
      <c r="B165" s="11">
        <v>1.42006086956521E9</v>
      </c>
      <c r="C165" s="2">
        <v>-102.5363464</v>
      </c>
      <c r="D165" s="24">
        <f t="shared" si="1"/>
        <v>-339130.4348</v>
      </c>
      <c r="E165" s="25">
        <f t="shared" si="2"/>
        <v>70.70880218</v>
      </c>
      <c r="F165" s="24">
        <f t="shared" si="3"/>
        <v>0.0002085003141</v>
      </c>
      <c r="G165" s="24">
        <f t="shared" si="4"/>
        <v>0</v>
      </c>
      <c r="H165" s="26">
        <f t="shared" si="5"/>
        <v>0</v>
      </c>
      <c r="I165" s="24">
        <f t="shared" si="6"/>
        <v>0</v>
      </c>
      <c r="J165" s="24">
        <f t="shared" si="7"/>
        <v>0</v>
      </c>
      <c r="K165" s="24"/>
      <c r="L165" s="24">
        <f t="shared" si="8"/>
        <v>424.1031785</v>
      </c>
      <c r="M165" s="14">
        <f t="shared" si="9"/>
        <v>417.9899231</v>
      </c>
      <c r="N165" s="27">
        <f t="shared" si="10"/>
        <v>6.113255413</v>
      </c>
      <c r="O165" s="24"/>
      <c r="P165" s="24"/>
      <c r="Q165" s="24"/>
      <c r="R165" s="26"/>
      <c r="S165" s="9">
        <f t="shared" si="13"/>
        <v>5.613778804</v>
      </c>
      <c r="U165" s="21"/>
      <c r="V165" s="21"/>
    </row>
    <row r="166">
      <c r="A166" s="11">
        <v>154.0</v>
      </c>
      <c r="B166" s="11">
        <v>1.4200652173913E9</v>
      </c>
      <c r="C166" s="2">
        <v>-102.5709991</v>
      </c>
      <c r="D166" s="24">
        <f t="shared" si="1"/>
        <v>-334782.6087</v>
      </c>
      <c r="E166" s="25">
        <f t="shared" si="2"/>
        <v>69.79050604</v>
      </c>
      <c r="F166" s="24">
        <f t="shared" si="3"/>
        <v>0.0002084651479</v>
      </c>
      <c r="G166" s="24">
        <f t="shared" si="4"/>
        <v>0</v>
      </c>
      <c r="H166" s="26">
        <f t="shared" si="5"/>
        <v>0</v>
      </c>
      <c r="I166" s="24">
        <f t="shared" si="6"/>
        <v>0</v>
      </c>
      <c r="J166" s="24">
        <f t="shared" si="7"/>
        <v>0</v>
      </c>
      <c r="K166" s="24"/>
      <c r="L166" s="24">
        <f t="shared" si="8"/>
        <v>420.7326903</v>
      </c>
      <c r="M166" s="14">
        <f t="shared" si="9"/>
        <v>417.8960525</v>
      </c>
      <c r="N166" s="27">
        <f t="shared" si="10"/>
        <v>2.836637815</v>
      </c>
      <c r="O166" s="24"/>
      <c r="P166" s="24"/>
      <c r="Q166" s="24"/>
      <c r="R166" s="26"/>
      <c r="S166" s="9">
        <f t="shared" si="13"/>
        <v>2.604873529</v>
      </c>
      <c r="U166" s="21"/>
      <c r="V166" s="21"/>
    </row>
    <row r="167">
      <c r="A167" s="11">
        <v>155.0</v>
      </c>
      <c r="B167" s="11">
        <v>1.42006956521739E9</v>
      </c>
      <c r="C167" s="2">
        <v>-102.5646591</v>
      </c>
      <c r="D167" s="24">
        <f t="shared" si="1"/>
        <v>-330434.7826</v>
      </c>
      <c r="E167" s="25">
        <f t="shared" si="2"/>
        <v>68.87220991</v>
      </c>
      <c r="F167" s="24">
        <f t="shared" si="3"/>
        <v>0.0002084290563</v>
      </c>
      <c r="G167" s="24">
        <f t="shared" si="4"/>
        <v>0</v>
      </c>
      <c r="H167" s="26">
        <f t="shared" si="5"/>
        <v>0</v>
      </c>
      <c r="I167" s="24">
        <f t="shared" si="6"/>
        <v>0</v>
      </c>
      <c r="J167" s="24">
        <f t="shared" si="7"/>
        <v>0</v>
      </c>
      <c r="K167" s="24"/>
      <c r="L167" s="24">
        <f t="shared" si="8"/>
        <v>421.3473408</v>
      </c>
      <c r="M167" s="14">
        <f t="shared" si="9"/>
        <v>417.802174</v>
      </c>
      <c r="N167" s="27">
        <f t="shared" si="10"/>
        <v>3.545166823</v>
      </c>
      <c r="O167" s="24"/>
      <c r="P167" s="24"/>
      <c r="Q167" s="24"/>
      <c r="R167" s="26"/>
      <c r="S167" s="9">
        <f t="shared" si="13"/>
        <v>3.255512984</v>
      </c>
      <c r="U167" s="21"/>
      <c r="V167" s="21"/>
    </row>
    <row r="168">
      <c r="A168" s="11">
        <v>156.0</v>
      </c>
      <c r="B168" s="11">
        <v>1.42007391304347E9</v>
      </c>
      <c r="C168" s="2">
        <v>-102.4645462</v>
      </c>
      <c r="D168" s="24">
        <f t="shared" si="1"/>
        <v>-326086.9565</v>
      </c>
      <c r="E168" s="25">
        <f t="shared" si="2"/>
        <v>67.95391378</v>
      </c>
      <c r="F168" s="24">
        <f t="shared" si="3"/>
        <v>0.0002083920023</v>
      </c>
      <c r="G168" s="24">
        <f t="shared" si="4"/>
        <v>0</v>
      </c>
      <c r="H168" s="26">
        <f t="shared" si="5"/>
        <v>0</v>
      </c>
      <c r="I168" s="24">
        <f t="shared" si="6"/>
        <v>0</v>
      </c>
      <c r="J168" s="24">
        <f t="shared" si="7"/>
        <v>0</v>
      </c>
      <c r="K168" s="24"/>
      <c r="L168" s="24">
        <f t="shared" si="8"/>
        <v>431.1729899</v>
      </c>
      <c r="M168" s="14">
        <f t="shared" si="9"/>
        <v>417.7082884</v>
      </c>
      <c r="N168" s="27">
        <f t="shared" si="10"/>
        <v>13.46470145</v>
      </c>
      <c r="O168" s="24"/>
      <c r="P168" s="24"/>
      <c r="Q168" s="24"/>
      <c r="R168" s="26"/>
      <c r="S168" s="9">
        <f t="shared" si="13"/>
        <v>12.36458327</v>
      </c>
      <c r="U168" s="21"/>
      <c r="V168" s="21"/>
    </row>
    <row r="169">
      <c r="A169" s="11">
        <v>157.0</v>
      </c>
      <c r="B169" s="11">
        <v>1.42007826086956E9</v>
      </c>
      <c r="C169" s="2">
        <v>-102.5414658</v>
      </c>
      <c r="D169" s="24">
        <f t="shared" si="1"/>
        <v>-321739.1304</v>
      </c>
      <c r="E169" s="25">
        <f t="shared" si="2"/>
        <v>67.03561765</v>
      </c>
      <c r="F169" s="24">
        <f t="shared" si="3"/>
        <v>0.0002083539467</v>
      </c>
      <c r="G169" s="24">
        <f t="shared" si="4"/>
        <v>0</v>
      </c>
      <c r="H169" s="26">
        <f t="shared" si="5"/>
        <v>0</v>
      </c>
      <c r="I169" s="24">
        <f t="shared" si="6"/>
        <v>0</v>
      </c>
      <c r="J169" s="24">
        <f t="shared" si="7"/>
        <v>0</v>
      </c>
      <c r="K169" s="24"/>
      <c r="L169" s="24">
        <f t="shared" si="8"/>
        <v>423.6035464</v>
      </c>
      <c r="M169" s="14">
        <f t="shared" si="9"/>
        <v>417.6143967</v>
      </c>
      <c r="N169" s="27">
        <f t="shared" si="10"/>
        <v>5.989149761</v>
      </c>
      <c r="O169" s="24"/>
      <c r="P169" s="24"/>
      <c r="Q169" s="24"/>
      <c r="R169" s="26"/>
      <c r="S169" s="9">
        <f t="shared" si="13"/>
        <v>5.499813051</v>
      </c>
      <c r="U169" s="21"/>
      <c r="V169" s="21"/>
    </row>
    <row r="170">
      <c r="A170" s="11">
        <v>158.0</v>
      </c>
      <c r="B170" s="11">
        <v>1.42008260869565E9</v>
      </c>
      <c r="C170" s="2">
        <v>-102.5343704</v>
      </c>
      <c r="D170" s="24">
        <f t="shared" si="1"/>
        <v>-317391.3043</v>
      </c>
      <c r="E170" s="25">
        <f t="shared" si="2"/>
        <v>66.11732152</v>
      </c>
      <c r="F170" s="24">
        <f t="shared" si="3"/>
        <v>0.0002083148486</v>
      </c>
      <c r="G170" s="24">
        <f t="shared" si="4"/>
        <v>0</v>
      </c>
      <c r="H170" s="26">
        <f t="shared" si="5"/>
        <v>0</v>
      </c>
      <c r="I170" s="24">
        <f t="shared" si="6"/>
        <v>0</v>
      </c>
      <c r="J170" s="24">
        <f t="shared" si="7"/>
        <v>0</v>
      </c>
      <c r="K170" s="24"/>
      <c r="L170" s="24">
        <f t="shared" si="8"/>
        <v>424.2961855</v>
      </c>
      <c r="M170" s="14">
        <f t="shared" si="9"/>
        <v>417.5204995</v>
      </c>
      <c r="N170" s="27">
        <f t="shared" si="10"/>
        <v>6.775685975</v>
      </c>
      <c r="O170" s="24"/>
      <c r="P170" s="24"/>
      <c r="Q170" s="24"/>
      <c r="R170" s="26"/>
      <c r="S170" s="9">
        <f t="shared" si="13"/>
        <v>6.222086228</v>
      </c>
      <c r="U170" s="21"/>
      <c r="V170" s="21"/>
    </row>
    <row r="171">
      <c r="A171" s="11">
        <v>159.0</v>
      </c>
      <c r="B171" s="11">
        <v>1.42008695652173E9</v>
      </c>
      <c r="C171" s="2">
        <v>-102.5540848</v>
      </c>
      <c r="D171" s="24">
        <f t="shared" si="1"/>
        <v>-313043.4783</v>
      </c>
      <c r="E171" s="25">
        <f t="shared" si="2"/>
        <v>65.19902538</v>
      </c>
      <c r="F171" s="24">
        <f t="shared" si="3"/>
        <v>0.0002082746644</v>
      </c>
      <c r="G171" s="24">
        <f t="shared" si="4"/>
        <v>0</v>
      </c>
      <c r="H171" s="26">
        <f t="shared" si="5"/>
        <v>0</v>
      </c>
      <c r="I171" s="24">
        <f t="shared" si="6"/>
        <v>0</v>
      </c>
      <c r="J171" s="24">
        <f t="shared" si="7"/>
        <v>0</v>
      </c>
      <c r="K171" s="24"/>
      <c r="L171" s="24">
        <f t="shared" si="8"/>
        <v>422.3744968</v>
      </c>
      <c r="M171" s="14">
        <f t="shared" si="9"/>
        <v>417.4265978</v>
      </c>
      <c r="N171" s="27">
        <f t="shared" si="10"/>
        <v>4.947898985</v>
      </c>
      <c r="O171" s="24"/>
      <c r="P171" s="24"/>
      <c r="Q171" s="24"/>
      <c r="R171" s="26"/>
      <c r="S171" s="9">
        <f t="shared" si="13"/>
        <v>4.543636504</v>
      </c>
      <c r="U171" s="21"/>
      <c r="V171" s="21"/>
    </row>
    <row r="172">
      <c r="A172" s="11">
        <v>160.0</v>
      </c>
      <c r="B172" s="11">
        <v>1.42009130434782E9</v>
      </c>
      <c r="C172" s="2">
        <v>-102.572998</v>
      </c>
      <c r="D172" s="24">
        <f t="shared" si="1"/>
        <v>-308695.6522</v>
      </c>
      <c r="E172" s="25">
        <f t="shared" si="2"/>
        <v>64.28072925</v>
      </c>
      <c r="F172" s="24">
        <f t="shared" si="3"/>
        <v>0.0002082333483</v>
      </c>
      <c r="G172" s="24">
        <f t="shared" si="4"/>
        <v>0</v>
      </c>
      <c r="H172" s="26">
        <f t="shared" si="5"/>
        <v>0</v>
      </c>
      <c r="I172" s="24">
        <f t="shared" si="6"/>
        <v>0</v>
      </c>
      <c r="J172" s="24">
        <f t="shared" si="7"/>
        <v>0</v>
      </c>
      <c r="K172" s="24"/>
      <c r="L172" s="24">
        <f t="shared" si="8"/>
        <v>420.5390869</v>
      </c>
      <c r="M172" s="14">
        <f t="shared" si="9"/>
        <v>417.3326924</v>
      </c>
      <c r="N172" s="27">
        <f t="shared" si="10"/>
        <v>3.206394462</v>
      </c>
      <c r="O172" s="24"/>
      <c r="P172" s="24"/>
      <c r="Q172" s="24"/>
      <c r="R172" s="26"/>
      <c r="S172" s="9">
        <f t="shared" si="13"/>
        <v>2.944419634</v>
      </c>
      <c r="U172" s="21"/>
      <c r="V172" s="21"/>
    </row>
    <row r="173">
      <c r="A173" s="11">
        <v>161.0</v>
      </c>
      <c r="B173" s="11">
        <v>1.42009565217391E9</v>
      </c>
      <c r="C173" s="2">
        <v>-102.4955673</v>
      </c>
      <c r="D173" s="24">
        <f t="shared" si="1"/>
        <v>-304347.8261</v>
      </c>
      <c r="E173" s="25">
        <f t="shared" si="2"/>
        <v>63.36243312</v>
      </c>
      <c r="F173" s="24">
        <f t="shared" si="3"/>
        <v>0.0002081908517</v>
      </c>
      <c r="G173" s="24">
        <f t="shared" si="4"/>
        <v>0</v>
      </c>
      <c r="H173" s="26">
        <f t="shared" si="5"/>
        <v>0</v>
      </c>
      <c r="I173" s="24">
        <f t="shared" si="6"/>
        <v>0</v>
      </c>
      <c r="J173" s="24">
        <f t="shared" si="7"/>
        <v>0</v>
      </c>
      <c r="K173" s="24"/>
      <c r="L173" s="24">
        <f t="shared" si="8"/>
        <v>428.1041495</v>
      </c>
      <c r="M173" s="14">
        <f t="shared" si="9"/>
        <v>417.2387842</v>
      </c>
      <c r="N173" s="27">
        <f t="shared" si="10"/>
        <v>10.86536536</v>
      </c>
      <c r="O173" s="24"/>
      <c r="P173" s="24"/>
      <c r="Q173" s="24"/>
      <c r="R173" s="26"/>
      <c r="S173" s="9">
        <f t="shared" si="13"/>
        <v>9.977622971</v>
      </c>
      <c r="U173" s="21"/>
      <c r="V173" s="21"/>
    </row>
    <row r="174">
      <c r="A174" s="11">
        <v>162.0</v>
      </c>
      <c r="B174" s="11">
        <v>1.4201E9</v>
      </c>
      <c r="C174" s="2">
        <v>-102.55056</v>
      </c>
      <c r="D174" s="24">
        <f t="shared" si="1"/>
        <v>-300000</v>
      </c>
      <c r="E174" s="25">
        <f t="shared" si="2"/>
        <v>62.44413699</v>
      </c>
      <c r="F174" s="24">
        <f t="shared" si="3"/>
        <v>0.0002081471233</v>
      </c>
      <c r="G174" s="24">
        <f t="shared" si="4"/>
        <v>0</v>
      </c>
      <c r="H174" s="26">
        <f t="shared" si="5"/>
        <v>0</v>
      </c>
      <c r="I174" s="24">
        <f t="shared" si="6"/>
        <v>0</v>
      </c>
      <c r="J174" s="24">
        <f t="shared" si="7"/>
        <v>0</v>
      </c>
      <c r="K174" s="24"/>
      <c r="L174" s="24">
        <f t="shared" si="8"/>
        <v>422.7174415</v>
      </c>
      <c r="M174" s="14">
        <f t="shared" si="9"/>
        <v>417.1448739</v>
      </c>
      <c r="N174" s="27">
        <f t="shared" si="10"/>
        <v>5.572567624</v>
      </c>
      <c r="O174" s="24"/>
      <c r="P174" s="24"/>
      <c r="Q174" s="24"/>
      <c r="R174" s="26"/>
      <c r="S174" s="9">
        <f t="shared" si="13"/>
        <v>5.117267298</v>
      </c>
      <c r="U174" s="21"/>
      <c r="V174" s="21"/>
    </row>
    <row r="175">
      <c r="A175" s="11">
        <v>163.0</v>
      </c>
      <c r="B175" s="11">
        <v>1.42010434782608E9</v>
      </c>
      <c r="C175" s="2">
        <v>-102.5446091</v>
      </c>
      <c r="D175" s="24">
        <f t="shared" si="1"/>
        <v>-295652.1739</v>
      </c>
      <c r="E175" s="25">
        <f t="shared" si="2"/>
        <v>61.52584085</v>
      </c>
      <c r="F175" s="24">
        <f t="shared" si="3"/>
        <v>0.0002081021088</v>
      </c>
      <c r="G175" s="24">
        <f t="shared" si="4"/>
        <v>0</v>
      </c>
      <c r="H175" s="26">
        <f t="shared" si="5"/>
        <v>0</v>
      </c>
      <c r="I175" s="24">
        <f t="shared" si="6"/>
        <v>0</v>
      </c>
      <c r="J175" s="24">
        <f t="shared" si="7"/>
        <v>0</v>
      </c>
      <c r="K175" s="24"/>
      <c r="L175" s="24">
        <f t="shared" si="8"/>
        <v>423.2970651</v>
      </c>
      <c r="M175" s="14">
        <f t="shared" si="9"/>
        <v>417.0509624</v>
      </c>
      <c r="N175" s="27">
        <f t="shared" si="10"/>
        <v>6.246102721</v>
      </c>
      <c r="O175" s="24"/>
      <c r="P175" s="24"/>
      <c r="Q175" s="24"/>
      <c r="R175" s="26"/>
      <c r="S175" s="9">
        <f t="shared" si="13"/>
        <v>5.735771974</v>
      </c>
      <c r="U175" s="21"/>
      <c r="V175" s="21"/>
    </row>
    <row r="176">
      <c r="A176" s="11">
        <v>164.0</v>
      </c>
      <c r="B176" s="11">
        <v>1.42010869565217E9</v>
      </c>
      <c r="C176" s="2">
        <v>-102.560463</v>
      </c>
      <c r="D176" s="24">
        <f t="shared" si="1"/>
        <v>-291304.3478</v>
      </c>
      <c r="E176" s="25">
        <f t="shared" si="2"/>
        <v>60.60754472</v>
      </c>
      <c r="F176" s="24">
        <f t="shared" si="3"/>
        <v>0.0002080557505</v>
      </c>
      <c r="G176" s="24">
        <f t="shared" si="4"/>
        <v>0</v>
      </c>
      <c r="H176" s="26">
        <f t="shared" si="5"/>
        <v>0</v>
      </c>
      <c r="I176" s="24">
        <f t="shared" si="6"/>
        <v>0</v>
      </c>
      <c r="J176" s="24">
        <f t="shared" si="7"/>
        <v>0</v>
      </c>
      <c r="K176" s="24"/>
      <c r="L176" s="24">
        <f t="shared" si="8"/>
        <v>421.7546382</v>
      </c>
      <c r="M176" s="14">
        <f t="shared" si="9"/>
        <v>416.9570506</v>
      </c>
      <c r="N176" s="27">
        <f t="shared" si="10"/>
        <v>4.797587568</v>
      </c>
      <c r="O176" s="24"/>
      <c r="P176" s="24"/>
      <c r="Q176" s="24"/>
      <c r="R176" s="26"/>
      <c r="S176" s="9">
        <f t="shared" si="13"/>
        <v>4.4056061</v>
      </c>
      <c r="U176" s="21"/>
      <c r="V176" s="21"/>
    </row>
    <row r="177">
      <c r="A177" s="11">
        <v>165.0</v>
      </c>
      <c r="B177" s="11">
        <v>1.42011304347826E9</v>
      </c>
      <c r="C177" s="2">
        <v>-102.5056</v>
      </c>
      <c r="D177" s="24">
        <f t="shared" si="1"/>
        <v>-286956.5217</v>
      </c>
      <c r="E177" s="25">
        <f t="shared" si="2"/>
        <v>59.68924859</v>
      </c>
      <c r="F177" s="24">
        <f t="shared" si="3"/>
        <v>0.0002080079875</v>
      </c>
      <c r="G177" s="24">
        <f t="shared" si="4"/>
        <v>0</v>
      </c>
      <c r="H177" s="26">
        <f t="shared" si="5"/>
        <v>0</v>
      </c>
      <c r="I177" s="24">
        <f t="shared" si="6"/>
        <v>0</v>
      </c>
      <c r="J177" s="24">
        <f t="shared" si="7"/>
        <v>0</v>
      </c>
      <c r="K177" s="24"/>
      <c r="L177" s="24">
        <f t="shared" si="8"/>
        <v>427.1163213</v>
      </c>
      <c r="M177" s="14">
        <f t="shared" si="9"/>
        <v>416.8631393</v>
      </c>
      <c r="N177" s="27">
        <f t="shared" si="10"/>
        <v>10.25318203</v>
      </c>
      <c r="O177" s="24"/>
      <c r="P177" s="24"/>
      <c r="Q177" s="24"/>
      <c r="R177" s="26"/>
      <c r="S177" s="9">
        <f t="shared" si="13"/>
        <v>9.415457404</v>
      </c>
      <c r="U177" s="21"/>
      <c r="V177" s="21"/>
    </row>
    <row r="178">
      <c r="A178" s="11">
        <v>166.0</v>
      </c>
      <c r="B178" s="11">
        <v>1.42011739130434E9</v>
      </c>
      <c r="C178" s="2">
        <v>-102.5433197</v>
      </c>
      <c r="D178" s="24">
        <f t="shared" si="1"/>
        <v>-282608.6957</v>
      </c>
      <c r="E178" s="25">
        <f t="shared" si="2"/>
        <v>58.77095246</v>
      </c>
      <c r="F178" s="24">
        <f t="shared" si="3"/>
        <v>0.0002079587548</v>
      </c>
      <c r="G178" s="24">
        <f t="shared" si="4"/>
        <v>0</v>
      </c>
      <c r="H178" s="26">
        <f t="shared" si="5"/>
        <v>0</v>
      </c>
      <c r="I178" s="24">
        <f t="shared" si="6"/>
        <v>0</v>
      </c>
      <c r="J178" s="24">
        <f t="shared" si="7"/>
        <v>0</v>
      </c>
      <c r="K178" s="24"/>
      <c r="L178" s="24">
        <f t="shared" si="8"/>
        <v>423.4227587</v>
      </c>
      <c r="M178" s="14">
        <f t="shared" si="9"/>
        <v>416.7692293</v>
      </c>
      <c r="N178" s="27">
        <f t="shared" si="10"/>
        <v>6.653529383</v>
      </c>
      <c r="O178" s="24"/>
      <c r="P178" s="24"/>
      <c r="Q178" s="24"/>
      <c r="R178" s="26"/>
      <c r="S178" s="9">
        <f t="shared" si="13"/>
        <v>6.109910302</v>
      </c>
      <c r="U178" s="21"/>
      <c r="V178" s="21"/>
    </row>
    <row r="179">
      <c r="A179" s="11">
        <v>167.0</v>
      </c>
      <c r="B179" s="11">
        <v>1.42012173913043E9</v>
      </c>
      <c r="C179" s="2">
        <v>-102.4906998</v>
      </c>
      <c r="D179" s="24">
        <f t="shared" si="1"/>
        <v>-278260.8696</v>
      </c>
      <c r="E179" s="25">
        <f t="shared" si="2"/>
        <v>57.85265632</v>
      </c>
      <c r="F179" s="24">
        <f t="shared" si="3"/>
        <v>0.0002079079837</v>
      </c>
      <c r="G179" s="24">
        <f t="shared" si="4"/>
        <v>0</v>
      </c>
      <c r="H179" s="26">
        <f t="shared" si="5"/>
        <v>0</v>
      </c>
      <c r="I179" s="24">
        <f t="shared" si="6"/>
        <v>0</v>
      </c>
      <c r="J179" s="24">
        <f t="shared" si="7"/>
        <v>0</v>
      </c>
      <c r="K179" s="24"/>
      <c r="L179" s="24">
        <f t="shared" si="8"/>
        <v>428.5842305</v>
      </c>
      <c r="M179" s="14">
        <f t="shared" si="9"/>
        <v>416.6753215</v>
      </c>
      <c r="N179" s="27">
        <f t="shared" si="10"/>
        <v>11.90890895</v>
      </c>
      <c r="O179" s="24"/>
      <c r="P179" s="24"/>
      <c r="Q179" s="24"/>
      <c r="R179" s="26"/>
      <c r="S179" s="9">
        <f t="shared" si="13"/>
        <v>10.93590501</v>
      </c>
      <c r="U179" s="21"/>
      <c r="V179" s="21"/>
    </row>
    <row r="180">
      <c r="A180" s="11">
        <v>168.0</v>
      </c>
      <c r="B180" s="11">
        <v>1.42012608695652E9</v>
      </c>
      <c r="C180" s="2">
        <v>-102.4703827</v>
      </c>
      <c r="D180" s="24">
        <f t="shared" si="1"/>
        <v>-273913.0435</v>
      </c>
      <c r="E180" s="25">
        <f t="shared" si="2"/>
        <v>56.93436019</v>
      </c>
      <c r="F180" s="24">
        <f t="shared" si="3"/>
        <v>0.0002078556007</v>
      </c>
      <c r="G180" s="24">
        <f t="shared" si="4"/>
        <v>0</v>
      </c>
      <c r="H180" s="26">
        <f t="shared" si="5"/>
        <v>0</v>
      </c>
      <c r="I180" s="24">
        <f t="shared" si="6"/>
        <v>0</v>
      </c>
      <c r="J180" s="24">
        <f t="shared" si="7"/>
        <v>0</v>
      </c>
      <c r="K180" s="24"/>
      <c r="L180" s="24">
        <f t="shared" si="8"/>
        <v>430.5939241</v>
      </c>
      <c r="M180" s="14">
        <f t="shared" si="9"/>
        <v>416.5814168</v>
      </c>
      <c r="N180" s="27">
        <f t="shared" si="10"/>
        <v>14.01250732</v>
      </c>
      <c r="O180" s="24"/>
      <c r="P180" s="24"/>
      <c r="Q180" s="24"/>
      <c r="R180" s="26"/>
      <c r="S180" s="9">
        <f t="shared" si="13"/>
        <v>12.86763128</v>
      </c>
      <c r="U180" s="21"/>
      <c r="V180" s="21"/>
    </row>
    <row r="181">
      <c r="A181" s="11">
        <v>169.0</v>
      </c>
      <c r="B181" s="11">
        <v>1.4201304347826E9</v>
      </c>
      <c r="C181" s="2">
        <v>-102.5044708</v>
      </c>
      <c r="D181" s="24">
        <f t="shared" si="1"/>
        <v>-269565.2174</v>
      </c>
      <c r="E181" s="25">
        <f t="shared" si="2"/>
        <v>56.01606406</v>
      </c>
      <c r="F181" s="24">
        <f t="shared" si="3"/>
        <v>0.000207801528</v>
      </c>
      <c r="G181" s="24">
        <f t="shared" si="4"/>
        <v>0</v>
      </c>
      <c r="H181" s="26">
        <f t="shared" si="5"/>
        <v>0</v>
      </c>
      <c r="I181" s="24">
        <f t="shared" si="6"/>
        <v>0</v>
      </c>
      <c r="J181" s="24">
        <f t="shared" si="7"/>
        <v>0</v>
      </c>
      <c r="K181" s="24"/>
      <c r="L181" s="24">
        <f t="shared" si="8"/>
        <v>427.2273894</v>
      </c>
      <c r="M181" s="14">
        <f t="shared" si="9"/>
        <v>416.4875158</v>
      </c>
      <c r="N181" s="27">
        <f t="shared" si="10"/>
        <v>10.73987358</v>
      </c>
      <c r="O181" s="24"/>
      <c r="P181" s="24"/>
      <c r="Q181" s="24"/>
      <c r="R181" s="26"/>
      <c r="S181" s="9">
        <f t="shared" si="13"/>
        <v>9.862384377</v>
      </c>
      <c r="U181" s="21"/>
      <c r="V181" s="21"/>
    </row>
    <row r="182">
      <c r="A182" s="11">
        <v>170.0</v>
      </c>
      <c r="B182" s="11">
        <v>1.42013478260869E9</v>
      </c>
      <c r="C182" s="2">
        <v>-102.4478683</v>
      </c>
      <c r="D182" s="24">
        <f t="shared" si="1"/>
        <v>-265217.3913</v>
      </c>
      <c r="E182" s="25">
        <f t="shared" si="2"/>
        <v>55.09776793</v>
      </c>
      <c r="F182" s="24">
        <f t="shared" si="3"/>
        <v>0.0002077456823</v>
      </c>
      <c r="G182" s="24">
        <f t="shared" si="4"/>
        <v>0</v>
      </c>
      <c r="H182" s="26">
        <f t="shared" si="5"/>
        <v>0</v>
      </c>
      <c r="I182" s="24">
        <f t="shared" si="6"/>
        <v>0</v>
      </c>
      <c r="J182" s="24">
        <f t="shared" si="7"/>
        <v>0</v>
      </c>
      <c r="K182" s="24"/>
      <c r="L182" s="24">
        <f t="shared" si="8"/>
        <v>432.8319761</v>
      </c>
      <c r="M182" s="14">
        <f t="shared" si="9"/>
        <v>416.3936196</v>
      </c>
      <c r="N182" s="27">
        <f t="shared" si="10"/>
        <v>16.43835648</v>
      </c>
      <c r="O182" s="24"/>
      <c r="P182" s="24"/>
      <c r="Q182" s="24"/>
      <c r="R182" s="26"/>
      <c r="S182" s="9">
        <f t="shared" si="13"/>
        <v>15.09527919</v>
      </c>
      <c r="U182" s="21"/>
      <c r="V182" s="21"/>
    </row>
    <row r="183">
      <c r="A183" s="11">
        <v>171.0</v>
      </c>
      <c r="B183" s="11">
        <v>1.42013913043478E9</v>
      </c>
      <c r="C183" s="2">
        <v>-102.5283203</v>
      </c>
      <c r="D183" s="24">
        <f t="shared" si="1"/>
        <v>-260869.5652</v>
      </c>
      <c r="E183" s="25">
        <f t="shared" si="2"/>
        <v>54.1794718</v>
      </c>
      <c r="F183" s="24">
        <f t="shared" si="3"/>
        <v>0.0002076879752</v>
      </c>
      <c r="G183" s="24">
        <f t="shared" si="4"/>
        <v>0</v>
      </c>
      <c r="H183" s="26">
        <f t="shared" si="5"/>
        <v>0</v>
      </c>
      <c r="I183" s="24">
        <f t="shared" si="6"/>
        <v>0</v>
      </c>
      <c r="J183" s="24">
        <f t="shared" si="7"/>
        <v>0</v>
      </c>
      <c r="K183" s="24"/>
      <c r="L183" s="24">
        <f t="shared" si="8"/>
        <v>424.8876789</v>
      </c>
      <c r="M183" s="14">
        <f t="shared" si="9"/>
        <v>416.2997289</v>
      </c>
      <c r="N183" s="27">
        <f t="shared" si="10"/>
        <v>8.587950034</v>
      </c>
      <c r="O183" s="24"/>
      <c r="P183" s="24"/>
      <c r="Q183" s="24"/>
      <c r="R183" s="26"/>
      <c r="S183" s="9">
        <f t="shared" si="13"/>
        <v>7.886281286</v>
      </c>
      <c r="U183" s="21"/>
      <c r="V183" s="21"/>
    </row>
    <row r="184">
      <c r="A184" s="11">
        <v>172.0</v>
      </c>
      <c r="B184" s="11">
        <v>1.42014347826087E9</v>
      </c>
      <c r="C184" s="2">
        <v>-102.4577637</v>
      </c>
      <c r="D184" s="24">
        <f t="shared" si="1"/>
        <v>-256521.7391</v>
      </c>
      <c r="E184" s="25">
        <f t="shared" si="2"/>
        <v>53.26117567</v>
      </c>
      <c r="F184" s="24">
        <f t="shared" si="3"/>
        <v>0.0002076283119</v>
      </c>
      <c r="G184" s="24">
        <f t="shared" si="4"/>
        <v>0</v>
      </c>
      <c r="H184" s="26">
        <f t="shared" si="5"/>
        <v>0</v>
      </c>
      <c r="I184" s="24">
        <f t="shared" si="6"/>
        <v>0</v>
      </c>
      <c r="J184" s="24">
        <f t="shared" si="7"/>
        <v>0</v>
      </c>
      <c r="K184" s="24"/>
      <c r="L184" s="24">
        <f t="shared" si="8"/>
        <v>431.8468911</v>
      </c>
      <c r="M184" s="14">
        <f t="shared" si="9"/>
        <v>416.2058445</v>
      </c>
      <c r="N184" s="27">
        <f t="shared" si="10"/>
        <v>15.64104654</v>
      </c>
      <c r="O184" s="24"/>
      <c r="P184" s="24"/>
      <c r="Q184" s="24"/>
      <c r="R184" s="26"/>
      <c r="S184" s="9">
        <f t="shared" si="13"/>
        <v>14.36311255</v>
      </c>
      <c r="U184" s="21"/>
      <c r="V184" s="21"/>
    </row>
    <row r="185">
      <c r="A185" s="11">
        <v>173.0</v>
      </c>
      <c r="B185" s="11">
        <v>1.42014782608695E9</v>
      </c>
      <c r="C185" s="2">
        <v>-102.5332031</v>
      </c>
      <c r="D185" s="24">
        <f t="shared" si="1"/>
        <v>-252173.913</v>
      </c>
      <c r="E185" s="25">
        <f t="shared" si="2"/>
        <v>52.34287953</v>
      </c>
      <c r="F185" s="24">
        <f t="shared" si="3"/>
        <v>0.0002075665912</v>
      </c>
      <c r="G185" s="24">
        <f t="shared" si="4"/>
        <v>0</v>
      </c>
      <c r="H185" s="26">
        <f t="shared" si="5"/>
        <v>0</v>
      </c>
      <c r="I185" s="24">
        <f t="shared" si="6"/>
        <v>0</v>
      </c>
      <c r="J185" s="24">
        <f t="shared" si="7"/>
        <v>0</v>
      </c>
      <c r="K185" s="24"/>
      <c r="L185" s="24">
        <f t="shared" si="8"/>
        <v>424.4102435</v>
      </c>
      <c r="M185" s="14">
        <f t="shared" si="9"/>
        <v>416.1119674</v>
      </c>
      <c r="N185" s="27">
        <f t="shared" si="10"/>
        <v>8.298276084</v>
      </c>
      <c r="O185" s="24"/>
      <c r="P185" s="24"/>
      <c r="Q185" s="24"/>
      <c r="R185" s="26"/>
      <c r="S185" s="9">
        <f t="shared" si="13"/>
        <v>7.620274837</v>
      </c>
      <c r="U185" s="21"/>
      <c r="V185" s="21"/>
    </row>
    <row r="186">
      <c r="A186" s="11">
        <v>174.0</v>
      </c>
      <c r="B186" s="11">
        <v>1.42015217391304E9</v>
      </c>
      <c r="C186" s="2">
        <v>-102.49086</v>
      </c>
      <c r="D186" s="24">
        <f t="shared" si="1"/>
        <v>-247826.087</v>
      </c>
      <c r="E186" s="25">
        <f t="shared" si="2"/>
        <v>51.4245834</v>
      </c>
      <c r="F186" s="24">
        <f t="shared" si="3"/>
        <v>0.0002075027049</v>
      </c>
      <c r="G186" s="24">
        <f t="shared" si="4"/>
        <v>0</v>
      </c>
      <c r="H186" s="26">
        <f t="shared" si="5"/>
        <v>0</v>
      </c>
      <c r="I186" s="24">
        <f t="shared" si="6"/>
        <v>0</v>
      </c>
      <c r="J186" s="24">
        <f t="shared" si="7"/>
        <v>0</v>
      </c>
      <c r="K186" s="24"/>
      <c r="L186" s="24">
        <f t="shared" si="8"/>
        <v>428.5684214</v>
      </c>
      <c r="M186" s="14">
        <f t="shared" si="9"/>
        <v>416.0180983</v>
      </c>
      <c r="N186" s="27">
        <f t="shared" si="10"/>
        <v>12.55032313</v>
      </c>
      <c r="O186" s="24"/>
      <c r="P186" s="24"/>
      <c r="Q186" s="24"/>
      <c r="R186" s="26"/>
      <c r="S186" s="9">
        <f t="shared" si="13"/>
        <v>11.52491316</v>
      </c>
      <c r="U186" s="21"/>
      <c r="V186" s="21"/>
    </row>
    <row r="187">
      <c r="A187" s="11">
        <v>175.0</v>
      </c>
      <c r="B187" s="11">
        <v>1.42015652173913E9</v>
      </c>
      <c r="C187" s="2">
        <v>-102.5026093</v>
      </c>
      <c r="D187" s="24">
        <f t="shared" si="1"/>
        <v>-243478.2609</v>
      </c>
      <c r="E187" s="25">
        <f t="shared" si="2"/>
        <v>50.50628727</v>
      </c>
      <c r="F187" s="24">
        <f t="shared" si="3"/>
        <v>0.000207436537</v>
      </c>
      <c r="G187" s="24">
        <f t="shared" si="4"/>
        <v>0</v>
      </c>
      <c r="H187" s="26">
        <f t="shared" si="5"/>
        <v>0</v>
      </c>
      <c r="I187" s="24">
        <f t="shared" si="6"/>
        <v>0</v>
      </c>
      <c r="J187" s="24">
        <f t="shared" si="7"/>
        <v>0</v>
      </c>
      <c r="K187" s="24"/>
      <c r="L187" s="24">
        <f t="shared" si="8"/>
        <v>427.4105495</v>
      </c>
      <c r="M187" s="14">
        <f t="shared" si="9"/>
        <v>415.9242381</v>
      </c>
      <c r="N187" s="27">
        <f t="shared" si="10"/>
        <v>11.48631142</v>
      </c>
      <c r="O187" s="24"/>
      <c r="P187" s="24"/>
      <c r="Q187" s="24"/>
      <c r="R187" s="26"/>
      <c r="S187" s="9">
        <f t="shared" si="13"/>
        <v>10.54783536</v>
      </c>
      <c r="U187" s="21"/>
      <c r="V187" s="21"/>
    </row>
    <row r="188">
      <c r="A188" s="11">
        <v>176.0</v>
      </c>
      <c r="B188" s="11">
        <v>1.42016086956521E9</v>
      </c>
      <c r="C188" s="2">
        <v>-102.5179901</v>
      </c>
      <c r="D188" s="24">
        <f t="shared" si="1"/>
        <v>-239130.4348</v>
      </c>
      <c r="E188" s="25">
        <f t="shared" si="2"/>
        <v>49.58799114</v>
      </c>
      <c r="F188" s="24">
        <f t="shared" si="3"/>
        <v>0.0002073679629</v>
      </c>
      <c r="G188" s="24">
        <f t="shared" si="4"/>
        <v>0</v>
      </c>
      <c r="H188" s="26">
        <f t="shared" si="5"/>
        <v>0</v>
      </c>
      <c r="I188" s="24">
        <f t="shared" si="6"/>
        <v>0</v>
      </c>
      <c r="J188" s="24">
        <f t="shared" si="7"/>
        <v>0</v>
      </c>
      <c r="K188" s="24"/>
      <c r="L188" s="24">
        <f t="shared" si="8"/>
        <v>425.8995266</v>
      </c>
      <c r="M188" s="14">
        <f t="shared" si="9"/>
        <v>415.8303876</v>
      </c>
      <c r="N188" s="27">
        <f t="shared" si="10"/>
        <v>10.06913903</v>
      </c>
      <c r="O188" s="24"/>
      <c r="P188" s="24"/>
      <c r="Q188" s="24"/>
      <c r="R188" s="26"/>
      <c r="S188" s="9">
        <f t="shared" si="13"/>
        <v>9.246451428</v>
      </c>
      <c r="U188" s="21"/>
      <c r="V188" s="21"/>
    </row>
    <row r="189">
      <c r="A189" s="11">
        <v>177.0</v>
      </c>
      <c r="B189" s="11">
        <v>1.4201652173913E9</v>
      </c>
      <c r="C189" s="2">
        <v>-102.5559616</v>
      </c>
      <c r="D189" s="24">
        <f t="shared" si="1"/>
        <v>-234782.6087</v>
      </c>
      <c r="E189" s="25">
        <f t="shared" si="2"/>
        <v>48.669695</v>
      </c>
      <c r="F189" s="24">
        <f t="shared" si="3"/>
        <v>0.0002072968491</v>
      </c>
      <c r="G189" s="24">
        <f t="shared" si="4"/>
        <v>0</v>
      </c>
      <c r="H189" s="26">
        <f t="shared" si="5"/>
        <v>0</v>
      </c>
      <c r="I189" s="24">
        <f t="shared" si="6"/>
        <v>0</v>
      </c>
      <c r="J189" s="24">
        <f t="shared" si="7"/>
        <v>0</v>
      </c>
      <c r="K189" s="24"/>
      <c r="L189" s="24">
        <f t="shared" si="8"/>
        <v>422.1920074</v>
      </c>
      <c r="M189" s="14">
        <f t="shared" si="9"/>
        <v>415.7365477</v>
      </c>
      <c r="N189" s="27">
        <f t="shared" si="10"/>
        <v>6.455459745</v>
      </c>
      <c r="O189" s="24"/>
      <c r="P189" s="24"/>
      <c r="Q189" s="24"/>
      <c r="R189" s="26"/>
      <c r="S189" s="9">
        <f t="shared" si="13"/>
        <v>5.928023705</v>
      </c>
      <c r="U189" s="21"/>
      <c r="V189" s="21"/>
    </row>
    <row r="190">
      <c r="A190" s="11">
        <v>178.0</v>
      </c>
      <c r="B190" s="11">
        <v>1.42016956521739E9</v>
      </c>
      <c r="C190" s="2">
        <v>-102.5319366</v>
      </c>
      <c r="D190" s="24">
        <f t="shared" si="1"/>
        <v>-230434.7826</v>
      </c>
      <c r="E190" s="25">
        <f t="shared" si="2"/>
        <v>47.75139887</v>
      </c>
      <c r="F190" s="24">
        <f t="shared" si="3"/>
        <v>0.0002072230517</v>
      </c>
      <c r="G190" s="24">
        <f t="shared" si="4"/>
        <v>0</v>
      </c>
      <c r="H190" s="26">
        <f t="shared" si="5"/>
        <v>0</v>
      </c>
      <c r="I190" s="24">
        <f t="shared" si="6"/>
        <v>0</v>
      </c>
      <c r="J190" s="24">
        <f t="shared" si="7"/>
        <v>0</v>
      </c>
      <c r="K190" s="24"/>
      <c r="L190" s="24">
        <f t="shared" si="8"/>
        <v>424.534029</v>
      </c>
      <c r="M190" s="14">
        <f t="shared" si="9"/>
        <v>415.6427192</v>
      </c>
      <c r="N190" s="27">
        <f t="shared" si="10"/>
        <v>8.891309852</v>
      </c>
      <c r="O190" s="24"/>
      <c r="P190" s="24"/>
      <c r="Q190" s="24"/>
      <c r="R190" s="26"/>
      <c r="S190" s="9">
        <f t="shared" si="13"/>
        <v>8.164855453</v>
      </c>
      <c r="U190" s="21"/>
      <c r="V190" s="21"/>
    </row>
    <row r="191">
      <c r="A191" s="11">
        <v>179.0</v>
      </c>
      <c r="B191" s="11">
        <v>1.42017391304347E9</v>
      </c>
      <c r="C191" s="2">
        <v>-102.4613724</v>
      </c>
      <c r="D191" s="24">
        <f t="shared" si="1"/>
        <v>-226086.9565</v>
      </c>
      <c r="E191" s="25">
        <f t="shared" si="2"/>
        <v>46.83310274</v>
      </c>
      <c r="F191" s="24">
        <f t="shared" si="3"/>
        <v>0.000207146416</v>
      </c>
      <c r="G191" s="24">
        <f t="shared" si="4"/>
        <v>0</v>
      </c>
      <c r="H191" s="26">
        <f t="shared" si="5"/>
        <v>0</v>
      </c>
      <c r="I191" s="24">
        <f t="shared" si="6"/>
        <v>0</v>
      </c>
      <c r="J191" s="24">
        <f t="shared" si="7"/>
        <v>0</v>
      </c>
      <c r="K191" s="24"/>
      <c r="L191" s="24">
        <f t="shared" si="8"/>
        <v>431.4882039</v>
      </c>
      <c r="M191" s="14">
        <f t="shared" si="9"/>
        <v>415.5489029</v>
      </c>
      <c r="N191" s="27">
        <f t="shared" si="10"/>
        <v>15.93930096</v>
      </c>
      <c r="O191" s="24"/>
      <c r="P191" s="24"/>
      <c r="Q191" s="24"/>
      <c r="R191" s="26"/>
      <c r="S191" s="9">
        <f t="shared" si="13"/>
        <v>14.63699843</v>
      </c>
      <c r="U191" s="21"/>
      <c r="V191" s="21"/>
    </row>
    <row r="192">
      <c r="A192" s="11">
        <v>180.0</v>
      </c>
      <c r="B192" s="11">
        <v>1.42017826086956E9</v>
      </c>
      <c r="C192" s="2">
        <v>-102.5258026</v>
      </c>
      <c r="D192" s="24">
        <f t="shared" si="1"/>
        <v>-221739.1304</v>
      </c>
      <c r="E192" s="25">
        <f t="shared" si="2"/>
        <v>45.91480661</v>
      </c>
      <c r="F192" s="24">
        <f t="shared" si="3"/>
        <v>0.0002070667749</v>
      </c>
      <c r="G192" s="24">
        <f t="shared" si="4"/>
        <v>0</v>
      </c>
      <c r="H192" s="26">
        <f t="shared" si="5"/>
        <v>0</v>
      </c>
      <c r="I192" s="24">
        <f t="shared" si="6"/>
        <v>0</v>
      </c>
      <c r="J192" s="24">
        <f t="shared" si="7"/>
        <v>0</v>
      </c>
      <c r="K192" s="24"/>
      <c r="L192" s="24">
        <f t="shared" si="8"/>
        <v>425.134067</v>
      </c>
      <c r="M192" s="14">
        <f t="shared" si="9"/>
        <v>415.4550997</v>
      </c>
      <c r="N192" s="27">
        <f t="shared" si="10"/>
        <v>9.678967228</v>
      </c>
      <c r="O192" s="24"/>
      <c r="P192" s="24"/>
      <c r="Q192" s="24"/>
      <c r="R192" s="26"/>
      <c r="S192" s="9">
        <f t="shared" si="13"/>
        <v>8.888158154</v>
      </c>
      <c r="U192" s="21"/>
      <c r="V192" s="21"/>
    </row>
    <row r="193">
      <c r="A193" s="11">
        <v>181.0</v>
      </c>
      <c r="B193" s="11">
        <v>1.42018260869565E9</v>
      </c>
      <c r="C193" s="2">
        <v>-102.5109482</v>
      </c>
      <c r="D193" s="24">
        <f t="shared" si="1"/>
        <v>-217391.3043</v>
      </c>
      <c r="E193" s="25">
        <f t="shared" si="2"/>
        <v>44.99651048</v>
      </c>
      <c r="F193" s="24">
        <f t="shared" si="3"/>
        <v>0.0002069839482</v>
      </c>
      <c r="G193" s="24">
        <f t="shared" si="4"/>
        <v>0</v>
      </c>
      <c r="H193" s="26">
        <f t="shared" si="5"/>
        <v>0</v>
      </c>
      <c r="I193" s="24">
        <f t="shared" si="6"/>
        <v>0</v>
      </c>
      <c r="J193" s="24">
        <f t="shared" si="7"/>
        <v>0</v>
      </c>
      <c r="K193" s="24"/>
      <c r="L193" s="24">
        <f t="shared" si="8"/>
        <v>426.5906647</v>
      </c>
      <c r="M193" s="14">
        <f t="shared" si="9"/>
        <v>415.3613105</v>
      </c>
      <c r="N193" s="27">
        <f t="shared" si="10"/>
        <v>11.22935426</v>
      </c>
      <c r="O193" s="24"/>
      <c r="P193" s="24"/>
      <c r="Q193" s="24"/>
      <c r="R193" s="26"/>
      <c r="S193" s="9">
        <f t="shared" si="13"/>
        <v>10.31187259</v>
      </c>
      <c r="U193" s="21"/>
      <c r="V193" s="21"/>
    </row>
    <row r="194">
      <c r="A194" s="11">
        <v>182.0</v>
      </c>
      <c r="B194" s="11">
        <v>1.42018695652173E9</v>
      </c>
      <c r="C194" s="2">
        <v>-102.4845581</v>
      </c>
      <c r="D194" s="24">
        <f t="shared" si="1"/>
        <v>-213043.4783</v>
      </c>
      <c r="E194" s="25">
        <f t="shared" si="2"/>
        <v>44.07821434</v>
      </c>
      <c r="F194" s="24">
        <f t="shared" si="3"/>
        <v>0.0002068977408</v>
      </c>
      <c r="G194" s="24">
        <f t="shared" si="4"/>
        <v>0</v>
      </c>
      <c r="H194" s="26">
        <f t="shared" si="5"/>
        <v>0</v>
      </c>
      <c r="I194" s="24">
        <f t="shared" si="6"/>
        <v>0</v>
      </c>
      <c r="J194" s="24">
        <f t="shared" si="7"/>
        <v>0</v>
      </c>
      <c r="K194" s="24"/>
      <c r="L194" s="24">
        <f t="shared" si="8"/>
        <v>429.1907539</v>
      </c>
      <c r="M194" s="14">
        <f t="shared" si="9"/>
        <v>415.267536</v>
      </c>
      <c r="N194" s="27">
        <f t="shared" si="10"/>
        <v>13.92321795</v>
      </c>
      <c r="O194" s="24"/>
      <c r="P194" s="24"/>
      <c r="Q194" s="24"/>
      <c r="R194" s="26"/>
      <c r="S194" s="9">
        <f t="shared" si="13"/>
        <v>12.7856372</v>
      </c>
      <c r="U194" s="21"/>
      <c r="V194" s="21"/>
    </row>
    <row r="195">
      <c r="A195" s="11">
        <v>183.0</v>
      </c>
      <c r="B195" s="11">
        <v>1.42019130434782E9</v>
      </c>
      <c r="C195" s="2">
        <v>-102.4673996</v>
      </c>
      <c r="D195" s="24">
        <f t="shared" si="1"/>
        <v>-208695.6522</v>
      </c>
      <c r="E195" s="25">
        <f t="shared" si="2"/>
        <v>43.15991821</v>
      </c>
      <c r="F195" s="24">
        <f t="shared" si="3"/>
        <v>0.0002068079414</v>
      </c>
      <c r="G195" s="24">
        <f t="shared" si="4"/>
        <v>0</v>
      </c>
      <c r="H195" s="26">
        <f t="shared" si="5"/>
        <v>0</v>
      </c>
      <c r="I195" s="24">
        <f t="shared" si="6"/>
        <v>0</v>
      </c>
      <c r="J195" s="24">
        <f t="shared" si="7"/>
        <v>0</v>
      </c>
      <c r="K195" s="24"/>
      <c r="L195" s="24">
        <f t="shared" si="8"/>
        <v>430.8897938</v>
      </c>
      <c r="M195" s="14">
        <f t="shared" si="9"/>
        <v>415.1737771</v>
      </c>
      <c r="N195" s="27">
        <f t="shared" si="10"/>
        <v>15.71601673</v>
      </c>
      <c r="O195" s="24"/>
      <c r="P195" s="24"/>
      <c r="Q195" s="24"/>
      <c r="R195" s="26"/>
      <c r="S195" s="9">
        <f t="shared" si="13"/>
        <v>14.43195739</v>
      </c>
      <c r="U195" s="21"/>
      <c r="V195" s="21"/>
    </row>
    <row r="196">
      <c r="A196" s="11">
        <v>184.0</v>
      </c>
      <c r="B196" s="11">
        <v>1.42019565217391E9</v>
      </c>
      <c r="C196" s="2">
        <v>-102.425293</v>
      </c>
      <c r="D196" s="24">
        <f t="shared" si="1"/>
        <v>-204347.8261</v>
      </c>
      <c r="E196" s="25">
        <f t="shared" si="2"/>
        <v>42.24162208</v>
      </c>
      <c r="F196" s="24">
        <f t="shared" si="3"/>
        <v>0.0002067143208</v>
      </c>
      <c r="G196" s="24">
        <f t="shared" si="4"/>
        <v>0</v>
      </c>
      <c r="H196" s="26">
        <f t="shared" si="5"/>
        <v>0</v>
      </c>
      <c r="I196" s="24">
        <f t="shared" si="6"/>
        <v>0</v>
      </c>
      <c r="J196" s="24">
        <f t="shared" si="7"/>
        <v>0</v>
      </c>
      <c r="K196" s="24"/>
      <c r="L196" s="24">
        <f t="shared" si="8"/>
        <v>435.0877616</v>
      </c>
      <c r="M196" s="14">
        <f t="shared" si="9"/>
        <v>415.0800346</v>
      </c>
      <c r="N196" s="27">
        <f t="shared" si="10"/>
        <v>20.00772698</v>
      </c>
      <c r="O196" s="24"/>
      <c r="P196" s="24"/>
      <c r="Q196" s="24"/>
      <c r="R196" s="26"/>
      <c r="S196" s="9">
        <f t="shared" si="13"/>
        <v>18.37301827</v>
      </c>
      <c r="U196" s="21"/>
      <c r="V196" s="21"/>
    </row>
    <row r="197">
      <c r="A197" s="11">
        <v>185.0</v>
      </c>
      <c r="B197" s="11">
        <v>1.4202E9</v>
      </c>
      <c r="C197" s="2">
        <v>-102.4869843</v>
      </c>
      <c r="D197" s="24">
        <f t="shared" si="1"/>
        <v>-200000</v>
      </c>
      <c r="E197" s="25">
        <f t="shared" si="2"/>
        <v>41.32332595</v>
      </c>
      <c r="F197" s="24">
        <f t="shared" si="3"/>
        <v>0.0002066166297</v>
      </c>
      <c r="G197" s="24">
        <f t="shared" si="4"/>
        <v>0</v>
      </c>
      <c r="H197" s="26">
        <f t="shared" si="5"/>
        <v>0</v>
      </c>
      <c r="I197" s="24">
        <f t="shared" si="6"/>
        <v>0</v>
      </c>
      <c r="J197" s="24">
        <f t="shared" si="7"/>
        <v>0</v>
      </c>
      <c r="K197" s="24"/>
      <c r="L197" s="24">
        <f t="shared" si="8"/>
        <v>428.9510521</v>
      </c>
      <c r="M197" s="14">
        <f t="shared" si="9"/>
        <v>414.9863094</v>
      </c>
      <c r="N197" s="27">
        <f t="shared" si="10"/>
        <v>13.96474267</v>
      </c>
      <c r="O197" s="24"/>
      <c r="P197" s="24"/>
      <c r="Q197" s="24"/>
      <c r="R197" s="26"/>
      <c r="S197" s="9">
        <f t="shared" si="13"/>
        <v>12.82376919</v>
      </c>
      <c r="U197" s="21"/>
      <c r="V197" s="21"/>
    </row>
    <row r="198">
      <c r="A198" s="11">
        <v>186.0</v>
      </c>
      <c r="B198" s="11">
        <v>1.42020434782608E9</v>
      </c>
      <c r="C198" s="2">
        <v>-102.4741058</v>
      </c>
      <c r="D198" s="24">
        <f t="shared" si="1"/>
        <v>-195652.1739</v>
      </c>
      <c r="E198" s="25">
        <f t="shared" si="2"/>
        <v>40.40502981</v>
      </c>
      <c r="F198" s="24">
        <f t="shared" si="3"/>
        <v>0.0002065145968</v>
      </c>
      <c r="G198" s="24">
        <f t="shared" si="4"/>
        <v>0</v>
      </c>
      <c r="H198" s="26">
        <f t="shared" si="5"/>
        <v>0</v>
      </c>
      <c r="I198" s="24">
        <f t="shared" si="6"/>
        <v>0</v>
      </c>
      <c r="J198" s="24">
        <f t="shared" si="7"/>
        <v>0</v>
      </c>
      <c r="K198" s="24"/>
      <c r="L198" s="24">
        <f t="shared" si="8"/>
        <v>430.2249446</v>
      </c>
      <c r="M198" s="14">
        <f t="shared" si="9"/>
        <v>414.8926024</v>
      </c>
      <c r="N198" s="27">
        <f t="shared" si="10"/>
        <v>15.33234228</v>
      </c>
      <c r="O198" s="24"/>
      <c r="P198" s="24"/>
      <c r="Q198" s="24"/>
      <c r="R198" s="26"/>
      <c r="S198" s="9">
        <f t="shared" si="13"/>
        <v>14.07963062</v>
      </c>
      <c r="U198" s="21"/>
      <c r="V198" s="21"/>
    </row>
    <row r="199">
      <c r="A199" s="11">
        <v>187.0</v>
      </c>
      <c r="B199" s="11">
        <v>1.42020869565217E9</v>
      </c>
      <c r="C199" s="2">
        <v>-102.4239197</v>
      </c>
      <c r="D199" s="24">
        <f t="shared" si="1"/>
        <v>-191304.3478</v>
      </c>
      <c r="E199" s="25">
        <f t="shared" si="2"/>
        <v>39.48673368</v>
      </c>
      <c r="F199" s="24">
        <f t="shared" si="3"/>
        <v>0.0002064079261</v>
      </c>
      <c r="G199" s="24">
        <f t="shared" si="4"/>
        <v>0</v>
      </c>
      <c r="H199" s="26">
        <f t="shared" si="5"/>
        <v>0</v>
      </c>
      <c r="I199" s="24">
        <f t="shared" si="6"/>
        <v>0</v>
      </c>
      <c r="J199" s="24">
        <f t="shared" si="7"/>
        <v>0</v>
      </c>
      <c r="K199" s="24"/>
      <c r="L199" s="24">
        <f t="shared" si="8"/>
        <v>435.2253642</v>
      </c>
      <c r="M199" s="14">
        <f t="shared" si="9"/>
        <v>414.7989143</v>
      </c>
      <c r="N199" s="27">
        <f t="shared" si="10"/>
        <v>20.42644995</v>
      </c>
      <c r="O199" s="24"/>
      <c r="P199" s="24"/>
      <c r="Q199" s="24"/>
      <c r="R199" s="26"/>
      <c r="S199" s="9">
        <f t="shared" si="13"/>
        <v>18.75752995</v>
      </c>
      <c r="U199" s="21"/>
      <c r="V199" s="21"/>
    </row>
    <row r="200">
      <c r="A200" s="11">
        <v>188.0</v>
      </c>
      <c r="B200" s="11">
        <v>1.42021304347826E9</v>
      </c>
      <c r="C200" s="2">
        <v>-102.4107819</v>
      </c>
      <c r="D200" s="24">
        <f t="shared" si="1"/>
        <v>-186956.5217</v>
      </c>
      <c r="E200" s="25">
        <f t="shared" si="2"/>
        <v>38.56843755</v>
      </c>
      <c r="F200" s="24">
        <f t="shared" si="3"/>
        <v>0.0002062962939</v>
      </c>
      <c r="G200" s="24">
        <f t="shared" si="4"/>
        <v>0</v>
      </c>
      <c r="H200" s="26">
        <f t="shared" si="5"/>
        <v>0</v>
      </c>
      <c r="I200" s="24">
        <f t="shared" si="6"/>
        <v>0</v>
      </c>
      <c r="J200" s="24">
        <f t="shared" si="7"/>
        <v>0</v>
      </c>
      <c r="K200" s="24"/>
      <c r="L200" s="24">
        <f t="shared" si="8"/>
        <v>436.5439536</v>
      </c>
      <c r="M200" s="14">
        <f t="shared" si="9"/>
        <v>414.7052459</v>
      </c>
      <c r="N200" s="27">
        <f t="shared" si="10"/>
        <v>21.83870769</v>
      </c>
      <c r="O200" s="24"/>
      <c r="P200" s="24"/>
      <c r="Q200" s="24"/>
      <c r="R200" s="26"/>
      <c r="S200" s="9">
        <f t="shared" si="13"/>
        <v>20.05440081</v>
      </c>
      <c r="U200" s="21"/>
      <c r="V200" s="21"/>
    </row>
    <row r="201">
      <c r="A201" s="11">
        <v>189.0</v>
      </c>
      <c r="B201" s="11">
        <v>1.42021739130434E9</v>
      </c>
      <c r="C201" s="2">
        <v>-102.4714203</v>
      </c>
      <c r="D201" s="24">
        <f t="shared" si="1"/>
        <v>-182608.6957</v>
      </c>
      <c r="E201" s="25">
        <f t="shared" si="2"/>
        <v>37.65014142</v>
      </c>
      <c r="F201" s="24">
        <f t="shared" si="3"/>
        <v>0.0002061793459</v>
      </c>
      <c r="G201" s="24">
        <f t="shared" si="4"/>
        <v>0</v>
      </c>
      <c r="H201" s="26">
        <f t="shared" si="5"/>
        <v>0</v>
      </c>
      <c r="I201" s="24">
        <f t="shared" si="6"/>
        <v>0</v>
      </c>
      <c r="J201" s="24">
        <f t="shared" si="7"/>
        <v>0</v>
      </c>
      <c r="K201" s="24"/>
      <c r="L201" s="24">
        <f t="shared" si="8"/>
        <v>430.4910605</v>
      </c>
      <c r="M201" s="14">
        <f t="shared" si="9"/>
        <v>414.6115983</v>
      </c>
      <c r="N201" s="27">
        <f t="shared" si="10"/>
        <v>15.87946222</v>
      </c>
      <c r="O201" s="24"/>
      <c r="P201" s="24"/>
      <c r="Q201" s="24"/>
      <c r="R201" s="26"/>
      <c r="S201" s="9">
        <f t="shared" si="13"/>
        <v>14.58204875</v>
      </c>
      <c r="U201" s="21"/>
      <c r="V201" s="21"/>
    </row>
    <row r="202">
      <c r="A202" s="11">
        <v>190.0</v>
      </c>
      <c r="B202" s="11">
        <v>1.42022173913043E9</v>
      </c>
      <c r="C202" s="2">
        <v>-102.4005356</v>
      </c>
      <c r="D202" s="24">
        <f t="shared" si="1"/>
        <v>-178260.8696</v>
      </c>
      <c r="E202" s="25">
        <f t="shared" si="2"/>
        <v>36.73184529</v>
      </c>
      <c r="F202" s="24">
        <f t="shared" si="3"/>
        <v>0.0002060566931</v>
      </c>
      <c r="G202" s="24">
        <f t="shared" si="4"/>
        <v>0</v>
      </c>
      <c r="H202" s="26">
        <f t="shared" si="5"/>
        <v>0</v>
      </c>
      <c r="I202" s="24">
        <f t="shared" si="6"/>
        <v>0</v>
      </c>
      <c r="J202" s="24">
        <f t="shared" si="7"/>
        <v>0</v>
      </c>
      <c r="K202" s="24"/>
      <c r="L202" s="24">
        <f t="shared" si="8"/>
        <v>437.5751067</v>
      </c>
      <c r="M202" s="14">
        <f t="shared" si="9"/>
        <v>414.517972</v>
      </c>
      <c r="N202" s="27">
        <f t="shared" si="10"/>
        <v>23.05713467</v>
      </c>
      <c r="O202" s="24"/>
      <c r="P202" s="24"/>
      <c r="Q202" s="24"/>
      <c r="R202" s="26"/>
      <c r="S202" s="9">
        <f t="shared" si="13"/>
        <v>21.17327755</v>
      </c>
      <c r="U202" s="21"/>
      <c r="V202" s="21"/>
    </row>
    <row r="203">
      <c r="A203" s="11">
        <v>191.0</v>
      </c>
      <c r="B203" s="11">
        <v>1.42022608695652E9</v>
      </c>
      <c r="C203" s="2">
        <v>-102.3901215</v>
      </c>
      <c r="D203" s="24">
        <f t="shared" si="1"/>
        <v>-173913.0435</v>
      </c>
      <c r="E203" s="25">
        <f t="shared" si="2"/>
        <v>35.81354916</v>
      </c>
      <c r="F203" s="24">
        <f t="shared" si="3"/>
        <v>0.0002059279076</v>
      </c>
      <c r="G203" s="24">
        <f t="shared" si="4"/>
        <v>0</v>
      </c>
      <c r="H203" s="26">
        <f t="shared" si="5"/>
        <v>0</v>
      </c>
      <c r="I203" s="24">
        <f t="shared" si="6"/>
        <v>0</v>
      </c>
      <c r="J203" s="24">
        <f t="shared" si="7"/>
        <v>0</v>
      </c>
      <c r="K203" s="24"/>
      <c r="L203" s="24">
        <f t="shared" si="8"/>
        <v>438.6256425</v>
      </c>
      <c r="M203" s="14">
        <f t="shared" si="9"/>
        <v>414.4243681</v>
      </c>
      <c r="N203" s="27">
        <f t="shared" si="10"/>
        <v>24.20127435</v>
      </c>
      <c r="O203" s="24"/>
      <c r="P203" s="24"/>
      <c r="Q203" s="24"/>
      <c r="R203" s="26"/>
      <c r="S203" s="9">
        <f t="shared" si="13"/>
        <v>22.22393665</v>
      </c>
      <c r="U203" s="21"/>
      <c r="V203" s="21"/>
    </row>
    <row r="204">
      <c r="A204" s="11">
        <v>192.0</v>
      </c>
      <c r="B204" s="11">
        <v>1.4202304347826E9</v>
      </c>
      <c r="C204" s="2">
        <v>-102.4562912</v>
      </c>
      <c r="D204" s="24">
        <f t="shared" si="1"/>
        <v>-169565.2174</v>
      </c>
      <c r="E204" s="25">
        <f t="shared" si="2"/>
        <v>34.89525302</v>
      </c>
      <c r="F204" s="24">
        <f t="shared" si="3"/>
        <v>0.0002057925178</v>
      </c>
      <c r="G204" s="24">
        <f t="shared" si="4"/>
        <v>0</v>
      </c>
      <c r="H204" s="26">
        <f t="shared" si="5"/>
        <v>0</v>
      </c>
      <c r="I204" s="24">
        <f t="shared" si="6"/>
        <v>0</v>
      </c>
      <c r="J204" s="24">
        <f t="shared" si="7"/>
        <v>0</v>
      </c>
      <c r="K204" s="24"/>
      <c r="L204" s="24">
        <f t="shared" si="8"/>
        <v>431.993336</v>
      </c>
      <c r="M204" s="14">
        <f t="shared" si="9"/>
        <v>414.3307874</v>
      </c>
      <c r="N204" s="27">
        <f t="shared" si="10"/>
        <v>17.66254861</v>
      </c>
      <c r="O204" s="24"/>
      <c r="P204" s="24"/>
      <c r="Q204" s="24"/>
      <c r="R204" s="26"/>
      <c r="S204" s="9">
        <f t="shared" si="13"/>
        <v>16.21945008</v>
      </c>
      <c r="U204" s="21"/>
      <c r="V204" s="21"/>
    </row>
    <row r="205">
      <c r="A205" s="11">
        <v>193.0</v>
      </c>
      <c r="B205" s="11">
        <v>1.42023478260869E9</v>
      </c>
      <c r="C205" s="2">
        <v>-102.4074173</v>
      </c>
      <c r="D205" s="24">
        <f t="shared" si="1"/>
        <v>-165217.3913</v>
      </c>
      <c r="E205" s="25">
        <f t="shared" si="2"/>
        <v>33.97695689</v>
      </c>
      <c r="F205" s="24">
        <f t="shared" si="3"/>
        <v>0.0002056500022</v>
      </c>
      <c r="G205" s="24">
        <f t="shared" si="4"/>
        <v>0</v>
      </c>
      <c r="H205" s="26">
        <f t="shared" si="5"/>
        <v>0</v>
      </c>
      <c r="I205" s="24">
        <f t="shared" si="6"/>
        <v>0</v>
      </c>
      <c r="J205" s="24">
        <f t="shared" si="7"/>
        <v>0</v>
      </c>
      <c r="K205" s="24"/>
      <c r="L205" s="24">
        <f t="shared" si="8"/>
        <v>436.8822874</v>
      </c>
      <c r="M205" s="14">
        <f t="shared" si="9"/>
        <v>414.2372306</v>
      </c>
      <c r="N205" s="27">
        <f t="shared" si="10"/>
        <v>22.64505675</v>
      </c>
      <c r="O205" s="24"/>
      <c r="P205" s="24"/>
      <c r="Q205" s="24"/>
      <c r="R205" s="26"/>
      <c r="S205" s="9">
        <f t="shared" si="13"/>
        <v>20.79486804</v>
      </c>
      <c r="U205" s="21"/>
      <c r="V205" s="21"/>
    </row>
    <row r="206">
      <c r="A206" s="11">
        <v>194.0</v>
      </c>
      <c r="B206" s="11">
        <v>1.42023913043478E9</v>
      </c>
      <c r="C206" s="2">
        <v>-102.3971558</v>
      </c>
      <c r="D206" s="24">
        <f t="shared" si="1"/>
        <v>-160869.5652</v>
      </c>
      <c r="E206" s="25">
        <f t="shared" si="2"/>
        <v>33.05866076</v>
      </c>
      <c r="F206" s="24">
        <f t="shared" si="3"/>
        <v>0.0002054997831</v>
      </c>
      <c r="G206" s="24">
        <f t="shared" si="4"/>
        <v>0</v>
      </c>
      <c r="H206" s="26">
        <f t="shared" si="5"/>
        <v>0</v>
      </c>
      <c r="I206" s="24">
        <f t="shared" si="6"/>
        <v>0</v>
      </c>
      <c r="J206" s="24">
        <f t="shared" si="7"/>
        <v>0</v>
      </c>
      <c r="K206" s="24"/>
      <c r="L206" s="24">
        <f t="shared" si="8"/>
        <v>437.9157723</v>
      </c>
      <c r="M206" s="14">
        <f t="shared" si="9"/>
        <v>414.1436987</v>
      </c>
      <c r="N206" s="27">
        <f t="shared" si="10"/>
        <v>23.77207361</v>
      </c>
      <c r="O206" s="24"/>
      <c r="P206" s="24"/>
      <c r="Q206" s="24"/>
      <c r="R206" s="26"/>
      <c r="S206" s="9">
        <f t="shared" si="13"/>
        <v>21.82980322</v>
      </c>
      <c r="U206" s="21"/>
      <c r="V206" s="21"/>
    </row>
    <row r="207">
      <c r="A207" s="11">
        <v>195.0</v>
      </c>
      <c r="B207" s="11">
        <v>1.42024347826087E9</v>
      </c>
      <c r="C207" s="2">
        <v>-102.409935</v>
      </c>
      <c r="D207" s="24">
        <f t="shared" si="1"/>
        <v>-156521.7391</v>
      </c>
      <c r="E207" s="25">
        <f t="shared" si="2"/>
        <v>32.14036463</v>
      </c>
      <c r="F207" s="24">
        <f t="shared" si="3"/>
        <v>0.0002053412184</v>
      </c>
      <c r="G207" s="24">
        <f t="shared" si="4"/>
        <v>0</v>
      </c>
      <c r="H207" s="26">
        <f t="shared" si="5"/>
        <v>0</v>
      </c>
      <c r="I207" s="24">
        <f t="shared" si="6"/>
        <v>0</v>
      </c>
      <c r="J207" s="24">
        <f t="shared" si="7"/>
        <v>0</v>
      </c>
      <c r="K207" s="24"/>
      <c r="L207" s="24">
        <f t="shared" si="8"/>
        <v>436.6290906</v>
      </c>
      <c r="M207" s="14">
        <f t="shared" si="9"/>
        <v>414.0501925</v>
      </c>
      <c r="N207" s="27">
        <f t="shared" si="10"/>
        <v>22.57889812</v>
      </c>
      <c r="O207" s="24"/>
      <c r="P207" s="24"/>
      <c r="Q207" s="24"/>
      <c r="R207" s="26"/>
      <c r="S207" s="9">
        <f t="shared" si="13"/>
        <v>20.73411483</v>
      </c>
      <c r="U207" s="21"/>
      <c r="V207" s="21"/>
    </row>
    <row r="208">
      <c r="A208" s="11">
        <v>196.0</v>
      </c>
      <c r="B208" s="11">
        <v>1.42024782608695E9</v>
      </c>
      <c r="C208" s="2">
        <v>-102.4145966</v>
      </c>
      <c r="D208" s="24">
        <f t="shared" si="1"/>
        <v>-152173.913</v>
      </c>
      <c r="E208" s="25">
        <f t="shared" si="2"/>
        <v>31.22206849</v>
      </c>
      <c r="F208" s="24">
        <f t="shared" si="3"/>
        <v>0.0002051735929</v>
      </c>
      <c r="G208" s="24">
        <f t="shared" si="4"/>
        <v>0</v>
      </c>
      <c r="H208" s="26">
        <f t="shared" si="5"/>
        <v>0</v>
      </c>
      <c r="I208" s="24">
        <f t="shared" si="6"/>
        <v>0</v>
      </c>
      <c r="J208" s="24">
        <f t="shared" si="7"/>
        <v>0</v>
      </c>
      <c r="K208" s="24"/>
      <c r="L208" s="24">
        <f t="shared" si="8"/>
        <v>436.1606761</v>
      </c>
      <c r="M208" s="14">
        <f t="shared" si="9"/>
        <v>413.9567127</v>
      </c>
      <c r="N208" s="27">
        <f t="shared" si="10"/>
        <v>22.2039634</v>
      </c>
      <c r="O208" s="24"/>
      <c r="P208" s="24"/>
      <c r="Q208" s="24"/>
      <c r="R208" s="26"/>
      <c r="S208" s="9">
        <f t="shared" si="13"/>
        <v>20.38981372</v>
      </c>
      <c r="U208" s="21"/>
      <c r="V208" s="21"/>
    </row>
    <row r="209">
      <c r="A209" s="11">
        <v>197.0</v>
      </c>
      <c r="B209" s="11">
        <v>1.42025217391304E9</v>
      </c>
      <c r="C209" s="2">
        <v>-102.3779373</v>
      </c>
      <c r="D209" s="24">
        <f t="shared" si="1"/>
        <v>-147826.087</v>
      </c>
      <c r="E209" s="25">
        <f t="shared" si="2"/>
        <v>30.30377236</v>
      </c>
      <c r="F209" s="24">
        <f t="shared" si="3"/>
        <v>0.0002049961071</v>
      </c>
      <c r="G209" s="24">
        <f t="shared" si="4"/>
        <v>0</v>
      </c>
      <c r="H209" s="26">
        <f t="shared" si="5"/>
        <v>0</v>
      </c>
      <c r="I209" s="24">
        <f t="shared" si="6"/>
        <v>0</v>
      </c>
      <c r="J209" s="24">
        <f t="shared" si="7"/>
        <v>0</v>
      </c>
      <c r="K209" s="24"/>
      <c r="L209" s="24">
        <f t="shared" si="8"/>
        <v>439.8579414</v>
      </c>
      <c r="M209" s="14">
        <f t="shared" si="9"/>
        <v>413.8632603</v>
      </c>
      <c r="N209" s="27">
        <f t="shared" si="10"/>
        <v>25.99468113</v>
      </c>
      <c r="O209" s="24"/>
      <c r="P209" s="24"/>
      <c r="Q209" s="24"/>
      <c r="R209" s="26"/>
      <c r="S209" s="9">
        <f t="shared" si="13"/>
        <v>23.8708151</v>
      </c>
      <c r="U209" s="21"/>
      <c r="V209" s="21"/>
    </row>
    <row r="210">
      <c r="A210" s="11">
        <v>198.0</v>
      </c>
      <c r="B210" s="11">
        <v>1.42025652173913E9</v>
      </c>
      <c r="C210" s="2">
        <v>-102.3971634</v>
      </c>
      <c r="D210" s="24">
        <f t="shared" si="1"/>
        <v>-143478.2609</v>
      </c>
      <c r="E210" s="25">
        <f t="shared" si="2"/>
        <v>29.38547623</v>
      </c>
      <c r="F210" s="24">
        <f t="shared" si="3"/>
        <v>0.0002048078646</v>
      </c>
      <c r="G210" s="24">
        <f t="shared" si="4"/>
        <v>0</v>
      </c>
      <c r="H210" s="26">
        <f t="shared" si="5"/>
        <v>0</v>
      </c>
      <c r="I210" s="24">
        <f t="shared" si="6"/>
        <v>0</v>
      </c>
      <c r="J210" s="24">
        <f t="shared" si="7"/>
        <v>0</v>
      </c>
      <c r="K210" s="24"/>
      <c r="L210" s="24">
        <f t="shared" si="8"/>
        <v>437.915006</v>
      </c>
      <c r="M210" s="14">
        <f t="shared" si="9"/>
        <v>413.7698361</v>
      </c>
      <c r="N210" s="27">
        <f t="shared" si="10"/>
        <v>24.1451699</v>
      </c>
      <c r="O210" s="24"/>
      <c r="P210" s="24"/>
      <c r="Q210" s="24"/>
      <c r="R210" s="26"/>
      <c r="S210" s="9">
        <f t="shared" si="13"/>
        <v>22.17241614</v>
      </c>
      <c r="U210" s="21"/>
      <c r="V210" s="21"/>
    </row>
    <row r="211">
      <c r="A211" s="11">
        <v>199.0</v>
      </c>
      <c r="B211" s="11">
        <v>1.42026086956521E9</v>
      </c>
      <c r="C211" s="2">
        <v>-102.4138641</v>
      </c>
      <c r="D211" s="24">
        <f t="shared" si="1"/>
        <v>-139130.4348</v>
      </c>
      <c r="E211" s="25">
        <f t="shared" si="2"/>
        <v>28.4671801</v>
      </c>
      <c r="F211" s="24">
        <f t="shared" si="3"/>
        <v>0.0002046078569</v>
      </c>
      <c r="G211" s="24">
        <f t="shared" si="4"/>
        <v>0</v>
      </c>
      <c r="H211" s="26">
        <f t="shared" si="5"/>
        <v>0</v>
      </c>
      <c r="I211" s="24">
        <f t="shared" si="6"/>
        <v>0</v>
      </c>
      <c r="J211" s="24">
        <f t="shared" si="7"/>
        <v>0</v>
      </c>
      <c r="K211" s="24"/>
      <c r="L211" s="24">
        <f t="shared" si="8"/>
        <v>436.2342471</v>
      </c>
      <c r="M211" s="14">
        <f t="shared" si="9"/>
        <v>413.6764409</v>
      </c>
      <c r="N211" s="27">
        <f t="shared" si="10"/>
        <v>22.55780618</v>
      </c>
      <c r="O211" s="24"/>
      <c r="P211" s="24"/>
      <c r="Q211" s="24"/>
      <c r="R211" s="26"/>
      <c r="S211" s="9">
        <f t="shared" si="13"/>
        <v>20.71474618</v>
      </c>
      <c r="U211" s="21"/>
      <c r="V211" s="21"/>
    </row>
    <row r="212">
      <c r="A212" s="11">
        <v>200.0</v>
      </c>
      <c r="B212" s="11">
        <v>1.4202652173913E9</v>
      </c>
      <c r="C212" s="2">
        <v>-102.3421097</v>
      </c>
      <c r="D212" s="24">
        <f t="shared" si="1"/>
        <v>-134782.6087</v>
      </c>
      <c r="E212" s="25">
        <f t="shared" si="2"/>
        <v>27.54888396</v>
      </c>
      <c r="F212" s="24">
        <f t="shared" si="3"/>
        <v>0.0002043949455</v>
      </c>
      <c r="G212" s="24">
        <f t="shared" si="4"/>
        <v>0</v>
      </c>
      <c r="H212" s="26">
        <f t="shared" si="5"/>
        <v>0</v>
      </c>
      <c r="I212" s="24">
        <f t="shared" si="6"/>
        <v>0</v>
      </c>
      <c r="J212" s="24">
        <f t="shared" si="7"/>
        <v>0</v>
      </c>
      <c r="K212" s="24"/>
      <c r="L212" s="24">
        <f t="shared" si="8"/>
        <v>443.5016066</v>
      </c>
      <c r="M212" s="14">
        <f t="shared" si="9"/>
        <v>413.5830756</v>
      </c>
      <c r="N212" s="27">
        <f t="shared" si="10"/>
        <v>29.91853098</v>
      </c>
      <c r="O212" s="24"/>
      <c r="P212" s="24"/>
      <c r="Q212" s="24"/>
      <c r="R212" s="26"/>
      <c r="S212" s="9">
        <f t="shared" si="13"/>
        <v>27.47407123</v>
      </c>
      <c r="U212" s="21"/>
      <c r="V212" s="21"/>
    </row>
    <row r="213">
      <c r="A213" s="11">
        <v>201.0</v>
      </c>
      <c r="B213" s="11">
        <v>1.42026956521739E9</v>
      </c>
      <c r="C213" s="2">
        <v>-102.4195404</v>
      </c>
      <c r="D213" s="24">
        <f t="shared" si="1"/>
        <v>-130434.7826</v>
      </c>
      <c r="E213" s="25">
        <f t="shared" si="2"/>
        <v>26.63058783</v>
      </c>
      <c r="F213" s="24">
        <f t="shared" si="3"/>
        <v>0.0002041678401</v>
      </c>
      <c r="G213" s="24">
        <f t="shared" si="4"/>
        <v>0</v>
      </c>
      <c r="H213" s="26">
        <f t="shared" si="5"/>
        <v>0</v>
      </c>
      <c r="I213" s="24">
        <f t="shared" si="6"/>
        <v>0</v>
      </c>
      <c r="J213" s="24">
        <f t="shared" si="7"/>
        <v>0</v>
      </c>
      <c r="K213" s="24"/>
      <c r="L213" s="24">
        <f t="shared" si="8"/>
        <v>435.6644542</v>
      </c>
      <c r="M213" s="14">
        <f t="shared" si="9"/>
        <v>413.489741</v>
      </c>
      <c r="N213" s="27">
        <f t="shared" si="10"/>
        <v>22.17471327</v>
      </c>
      <c r="O213" s="24"/>
      <c r="P213" s="24"/>
      <c r="Q213" s="24"/>
      <c r="R213" s="26"/>
      <c r="S213" s="9">
        <f t="shared" si="13"/>
        <v>20.36295344</v>
      </c>
      <c r="U213" s="21"/>
      <c r="V213" s="21"/>
    </row>
    <row r="214">
      <c r="A214" s="11">
        <v>202.0</v>
      </c>
      <c r="B214" s="11">
        <v>1.42027391304347E9</v>
      </c>
      <c r="C214" s="2">
        <v>-102.3908539</v>
      </c>
      <c r="D214" s="24">
        <f t="shared" si="1"/>
        <v>-126086.9565</v>
      </c>
      <c r="E214" s="25">
        <f t="shared" si="2"/>
        <v>25.7122917</v>
      </c>
      <c r="F214" s="24">
        <f t="shared" si="3"/>
        <v>0.0002039250721</v>
      </c>
      <c r="G214" s="24">
        <f t="shared" si="4"/>
        <v>0</v>
      </c>
      <c r="H214" s="26">
        <f t="shared" si="5"/>
        <v>0</v>
      </c>
      <c r="I214" s="24">
        <f t="shared" si="6"/>
        <v>0</v>
      </c>
      <c r="J214" s="24">
        <f t="shared" si="7"/>
        <v>0</v>
      </c>
      <c r="K214" s="24"/>
      <c r="L214" s="24">
        <f t="shared" si="8"/>
        <v>438.5516783</v>
      </c>
      <c r="M214" s="14">
        <f t="shared" si="9"/>
        <v>413.3964379</v>
      </c>
      <c r="N214" s="27">
        <f t="shared" si="10"/>
        <v>25.15524045</v>
      </c>
      <c r="O214" s="24"/>
      <c r="P214" s="24"/>
      <c r="Q214" s="24"/>
      <c r="R214" s="26"/>
      <c r="S214" s="9">
        <f t="shared" si="13"/>
        <v>23.09996002</v>
      </c>
      <c r="U214" s="21"/>
      <c r="V214" s="21"/>
    </row>
    <row r="215">
      <c r="A215" s="11">
        <v>203.0</v>
      </c>
      <c r="B215" s="11">
        <v>1.42027826086956E9</v>
      </c>
      <c r="C215" s="2">
        <v>-102.3454742</v>
      </c>
      <c r="D215" s="24">
        <f t="shared" si="1"/>
        <v>-121739.1304</v>
      </c>
      <c r="E215" s="25">
        <f t="shared" si="2"/>
        <v>24.79399557</v>
      </c>
      <c r="F215" s="24">
        <f t="shared" si="3"/>
        <v>0.0002036649636</v>
      </c>
      <c r="G215" s="24">
        <f t="shared" si="4"/>
        <v>0</v>
      </c>
      <c r="H215" s="26">
        <f t="shared" si="5"/>
        <v>0</v>
      </c>
      <c r="I215" s="24">
        <f t="shared" si="6"/>
        <v>0</v>
      </c>
      <c r="J215" s="24">
        <f t="shared" si="7"/>
        <v>0</v>
      </c>
      <c r="K215" s="24"/>
      <c r="L215" s="24">
        <f t="shared" si="8"/>
        <v>443.1581568</v>
      </c>
      <c r="M215" s="14">
        <f t="shared" si="9"/>
        <v>413.3031672</v>
      </c>
      <c r="N215" s="27">
        <f t="shared" si="10"/>
        <v>29.85498963</v>
      </c>
      <c r="O215" s="24"/>
      <c r="P215" s="24"/>
      <c r="Q215" s="24"/>
      <c r="R215" s="26"/>
      <c r="S215" s="9">
        <f t="shared" si="13"/>
        <v>27.41572146</v>
      </c>
      <c r="U215" s="21"/>
      <c r="V215" s="21"/>
    </row>
    <row r="216">
      <c r="A216" s="11">
        <v>204.0</v>
      </c>
      <c r="B216" s="11">
        <v>1.42028260869565E9</v>
      </c>
      <c r="C216" s="2">
        <v>-102.3138123</v>
      </c>
      <c r="D216" s="24">
        <f t="shared" si="1"/>
        <v>-117391.3043</v>
      </c>
      <c r="E216" s="25">
        <f t="shared" si="2"/>
        <v>23.87569944</v>
      </c>
      <c r="F216" s="24">
        <f t="shared" si="3"/>
        <v>0.0002033855878</v>
      </c>
      <c r="G216" s="24">
        <f t="shared" si="4"/>
        <v>0</v>
      </c>
      <c r="H216" s="26">
        <f t="shared" si="5"/>
        <v>0</v>
      </c>
      <c r="I216" s="24">
        <f t="shared" si="6"/>
        <v>0</v>
      </c>
      <c r="J216" s="24">
        <f t="shared" si="7"/>
        <v>0</v>
      </c>
      <c r="K216" s="24"/>
      <c r="L216" s="24">
        <f t="shared" si="8"/>
        <v>446.4007724</v>
      </c>
      <c r="M216" s="14">
        <f t="shared" si="9"/>
        <v>413.2099297</v>
      </c>
      <c r="N216" s="27">
        <f t="shared" si="10"/>
        <v>33.1908427</v>
      </c>
      <c r="O216" s="24"/>
      <c r="P216" s="24"/>
      <c r="Q216" s="24"/>
      <c r="R216" s="26"/>
      <c r="S216" s="9">
        <f t="shared" si="13"/>
        <v>30.47902249</v>
      </c>
      <c r="U216" s="21"/>
      <c r="V216" s="21"/>
    </row>
    <row r="217">
      <c r="A217" s="11">
        <v>205.0</v>
      </c>
      <c r="B217" s="11">
        <v>1.42028695652173E9</v>
      </c>
      <c r="C217" s="2">
        <v>-102.317131</v>
      </c>
      <c r="D217" s="24">
        <f t="shared" si="1"/>
        <v>-113043.4783</v>
      </c>
      <c r="E217" s="25">
        <f t="shared" si="2"/>
        <v>22.9574033</v>
      </c>
      <c r="F217" s="24">
        <f t="shared" si="3"/>
        <v>0.0002030847215</v>
      </c>
      <c r="G217" s="24">
        <f t="shared" si="4"/>
        <v>0</v>
      </c>
      <c r="H217" s="26">
        <f t="shared" si="5"/>
        <v>0</v>
      </c>
      <c r="I217" s="24">
        <f t="shared" si="6"/>
        <v>0</v>
      </c>
      <c r="J217" s="24">
        <f t="shared" si="7"/>
        <v>0</v>
      </c>
      <c r="K217" s="24"/>
      <c r="L217" s="24">
        <f t="shared" si="8"/>
        <v>446.0597816</v>
      </c>
      <c r="M217" s="14">
        <f t="shared" si="9"/>
        <v>413.1167263</v>
      </c>
      <c r="N217" s="27">
        <f t="shared" si="10"/>
        <v>32.94305529</v>
      </c>
      <c r="O217" s="24"/>
      <c r="P217" s="24"/>
      <c r="Q217" s="24"/>
      <c r="R217" s="26"/>
      <c r="S217" s="9">
        <f t="shared" si="13"/>
        <v>30.25148027</v>
      </c>
      <c r="U217" s="21"/>
      <c r="V217" s="21"/>
    </row>
    <row r="218">
      <c r="A218" s="11">
        <v>206.0</v>
      </c>
      <c r="B218" s="11">
        <v>1.42029130434782E9</v>
      </c>
      <c r="C218" s="2">
        <v>-102.3292923</v>
      </c>
      <c r="D218" s="24">
        <f t="shared" si="1"/>
        <v>-108695.6522</v>
      </c>
      <c r="E218" s="25">
        <f t="shared" si="2"/>
        <v>22.03910717</v>
      </c>
      <c r="F218" s="24">
        <f t="shared" si="3"/>
        <v>0.000202759786</v>
      </c>
      <c r="G218" s="24">
        <f t="shared" si="4"/>
        <v>0</v>
      </c>
      <c r="H218" s="26">
        <f t="shared" si="5"/>
        <v>0</v>
      </c>
      <c r="I218" s="24">
        <f t="shared" si="6"/>
        <v>0</v>
      </c>
      <c r="J218" s="24">
        <f t="shared" si="7"/>
        <v>0</v>
      </c>
      <c r="K218" s="24"/>
      <c r="L218" s="24">
        <f t="shared" si="8"/>
        <v>444.8124531</v>
      </c>
      <c r="M218" s="14">
        <f t="shared" si="9"/>
        <v>413.0235578</v>
      </c>
      <c r="N218" s="27">
        <f t="shared" si="10"/>
        <v>31.78889534</v>
      </c>
      <c r="O218" s="24"/>
      <c r="P218" s="24"/>
      <c r="Q218" s="24"/>
      <c r="R218" s="26"/>
      <c r="S218" s="9">
        <f t="shared" si="13"/>
        <v>29.19161966</v>
      </c>
      <c r="U218" s="21"/>
      <c r="V218" s="21"/>
    </row>
    <row r="219">
      <c r="A219" s="11">
        <v>207.0</v>
      </c>
      <c r="B219" s="11">
        <v>1.42029565217391E9</v>
      </c>
      <c r="C219" s="2">
        <v>-102.3485413</v>
      </c>
      <c r="D219" s="24">
        <f t="shared" si="1"/>
        <v>-104347.8261</v>
      </c>
      <c r="E219" s="25">
        <f t="shared" si="2"/>
        <v>21.12081104</v>
      </c>
      <c r="F219" s="24">
        <f t="shared" si="3"/>
        <v>0.0002024077725</v>
      </c>
      <c r="G219" s="24">
        <f t="shared" si="4"/>
        <v>0</v>
      </c>
      <c r="H219" s="26">
        <f t="shared" si="5"/>
        <v>0</v>
      </c>
      <c r="I219" s="24">
        <f t="shared" si="6"/>
        <v>0</v>
      </c>
      <c r="J219" s="24">
        <f t="shared" si="7"/>
        <v>0</v>
      </c>
      <c r="K219" s="24"/>
      <c r="L219" s="24">
        <f t="shared" si="8"/>
        <v>442.8452975</v>
      </c>
      <c r="M219" s="14">
        <f t="shared" si="9"/>
        <v>412.930425</v>
      </c>
      <c r="N219" s="27">
        <f t="shared" si="10"/>
        <v>29.91487256</v>
      </c>
      <c r="O219" s="24"/>
      <c r="P219" s="24"/>
      <c r="Q219" s="24"/>
      <c r="R219" s="26"/>
      <c r="S219" s="9">
        <f t="shared" si="13"/>
        <v>27.47071172</v>
      </c>
      <c r="U219" s="21"/>
      <c r="V219" s="21"/>
    </row>
    <row r="220">
      <c r="A220" s="11">
        <v>208.0</v>
      </c>
      <c r="B220" s="11">
        <v>1.4203E9</v>
      </c>
      <c r="C220" s="2">
        <v>-102.3485947</v>
      </c>
      <c r="D220" s="24">
        <f t="shared" si="1"/>
        <v>-100000</v>
      </c>
      <c r="E220" s="25">
        <f t="shared" si="2"/>
        <v>20.20251491</v>
      </c>
      <c r="F220" s="24">
        <f t="shared" si="3"/>
        <v>0.0002020251491</v>
      </c>
      <c r="G220" s="24">
        <f t="shared" si="4"/>
        <v>0</v>
      </c>
      <c r="H220" s="26">
        <f t="shared" si="5"/>
        <v>0</v>
      </c>
      <c r="I220" s="24">
        <f t="shared" si="6"/>
        <v>0</v>
      </c>
      <c r="J220" s="24">
        <f t="shared" si="7"/>
        <v>0</v>
      </c>
      <c r="K220" s="24"/>
      <c r="L220" s="24">
        <f t="shared" si="8"/>
        <v>442.8398524</v>
      </c>
      <c r="M220" s="14">
        <f t="shared" si="9"/>
        <v>412.8373288</v>
      </c>
      <c r="N220" s="27">
        <f t="shared" si="10"/>
        <v>30.00252366</v>
      </c>
      <c r="O220" s="24"/>
      <c r="P220" s="24"/>
      <c r="Q220" s="24"/>
      <c r="R220" s="26"/>
      <c r="S220" s="9">
        <f t="shared" si="13"/>
        <v>27.55120145</v>
      </c>
      <c r="U220" s="21"/>
      <c r="V220" s="21"/>
    </row>
    <row r="221">
      <c r="A221" s="11">
        <v>209.0</v>
      </c>
      <c r="B221" s="11">
        <v>1.42030434782608E9</v>
      </c>
      <c r="C221" s="2">
        <v>-102.4098663</v>
      </c>
      <c r="D221" s="24">
        <f t="shared" si="1"/>
        <v>-95652.17392</v>
      </c>
      <c r="E221" s="25">
        <f t="shared" si="2"/>
        <v>19.28421878</v>
      </c>
      <c r="F221" s="24">
        <f t="shared" si="3"/>
        <v>0.0002016077417</v>
      </c>
      <c r="G221" s="24">
        <f t="shared" si="4"/>
        <v>0</v>
      </c>
      <c r="H221" s="26">
        <f t="shared" si="5"/>
        <v>0</v>
      </c>
      <c r="I221" s="24">
        <f t="shared" si="6"/>
        <v>0</v>
      </c>
      <c r="J221" s="24">
        <f t="shared" si="7"/>
        <v>0</v>
      </c>
      <c r="K221" s="24"/>
      <c r="L221" s="24">
        <f t="shared" si="8"/>
        <v>436.6359976</v>
      </c>
      <c r="M221" s="14">
        <f t="shared" si="9"/>
        <v>412.74427</v>
      </c>
      <c r="N221" s="27">
        <f t="shared" si="10"/>
        <v>23.89172758</v>
      </c>
      <c r="O221" s="24"/>
      <c r="P221" s="24"/>
      <c r="Q221" s="24"/>
      <c r="R221" s="26"/>
      <c r="S221" s="9">
        <f t="shared" si="13"/>
        <v>21.93968105</v>
      </c>
      <c r="U221" s="21"/>
      <c r="V221" s="21"/>
    </row>
    <row r="222">
      <c r="A222" s="11">
        <v>210.0</v>
      </c>
      <c r="B222" s="11">
        <v>1.42030869565217E9</v>
      </c>
      <c r="C222" s="2">
        <v>-102.329155</v>
      </c>
      <c r="D222" s="24">
        <f t="shared" si="1"/>
        <v>-91304.34783</v>
      </c>
      <c r="E222" s="25">
        <f t="shared" si="2"/>
        <v>18.36592264</v>
      </c>
      <c r="F222" s="24">
        <f t="shared" si="3"/>
        <v>0.0002011505813</v>
      </c>
      <c r="G222" s="24">
        <f t="shared" si="4"/>
        <v>0</v>
      </c>
      <c r="H222" s="26">
        <f t="shared" si="5"/>
        <v>0</v>
      </c>
      <c r="I222" s="24">
        <f t="shared" si="6"/>
        <v>0</v>
      </c>
      <c r="J222" s="24">
        <f t="shared" si="7"/>
        <v>0</v>
      </c>
      <c r="K222" s="24"/>
      <c r="L222" s="24">
        <f t="shared" si="8"/>
        <v>444.8265158</v>
      </c>
      <c r="M222" s="14">
        <f t="shared" si="9"/>
        <v>412.6512495</v>
      </c>
      <c r="N222" s="27">
        <f t="shared" si="10"/>
        <v>32.17526639</v>
      </c>
      <c r="O222" s="24"/>
      <c r="P222" s="24"/>
      <c r="Q222" s="24"/>
      <c r="R222" s="26"/>
      <c r="S222" s="9">
        <f t="shared" si="13"/>
        <v>29.54642263</v>
      </c>
      <c r="U222" s="21"/>
      <c r="V222" s="21"/>
    </row>
    <row r="223">
      <c r="A223" s="11">
        <v>211.0</v>
      </c>
      <c r="B223" s="11">
        <v>1.42031304347826E9</v>
      </c>
      <c r="C223" s="2">
        <v>-102.3349686</v>
      </c>
      <c r="D223" s="24">
        <f t="shared" si="1"/>
        <v>-86956.52174</v>
      </c>
      <c r="E223" s="25">
        <f t="shared" si="2"/>
        <v>17.44762651</v>
      </c>
      <c r="F223" s="24">
        <f t="shared" si="3"/>
        <v>0.0002006477049</v>
      </c>
      <c r="G223" s="24">
        <f t="shared" si="4"/>
        <v>0</v>
      </c>
      <c r="H223" s="26">
        <f t="shared" si="5"/>
        <v>0</v>
      </c>
      <c r="I223" s="24">
        <f t="shared" si="6"/>
        <v>0</v>
      </c>
      <c r="J223" s="24">
        <f t="shared" si="7"/>
        <v>0</v>
      </c>
      <c r="K223" s="24"/>
      <c r="L223" s="24">
        <f t="shared" si="8"/>
        <v>444.2314557</v>
      </c>
      <c r="M223" s="14">
        <f t="shared" si="9"/>
        <v>412.558268</v>
      </c>
      <c r="N223" s="27">
        <f t="shared" si="10"/>
        <v>31.67318769</v>
      </c>
      <c r="O223" s="24"/>
      <c r="P223" s="24"/>
      <c r="Q223" s="24"/>
      <c r="R223" s="26"/>
      <c r="S223" s="9">
        <f t="shared" si="13"/>
        <v>29.08536577</v>
      </c>
      <c r="U223" s="21"/>
      <c r="V223" s="21"/>
    </row>
    <row r="224">
      <c r="A224" s="11">
        <v>212.0</v>
      </c>
      <c r="B224" s="11">
        <v>1.42031739130434E9</v>
      </c>
      <c r="C224" s="2">
        <v>-102.2985992</v>
      </c>
      <c r="D224" s="24">
        <f t="shared" si="1"/>
        <v>-82608.69566</v>
      </c>
      <c r="E224" s="25">
        <f t="shared" si="2"/>
        <v>16.52933038</v>
      </c>
      <c r="F224" s="24">
        <f t="shared" si="3"/>
        <v>0.000200091894</v>
      </c>
      <c r="G224" s="24">
        <f t="shared" si="4"/>
        <v>0</v>
      </c>
      <c r="H224" s="26">
        <f t="shared" si="5"/>
        <v>0</v>
      </c>
      <c r="I224" s="24">
        <f t="shared" si="6"/>
        <v>0</v>
      </c>
      <c r="J224" s="24">
        <f t="shared" si="7"/>
        <v>0</v>
      </c>
      <c r="K224" s="24"/>
      <c r="L224" s="24">
        <f t="shared" si="8"/>
        <v>447.9672321</v>
      </c>
      <c r="M224" s="14">
        <f t="shared" si="9"/>
        <v>412.4653265</v>
      </c>
      <c r="N224" s="27">
        <f t="shared" si="10"/>
        <v>35.50190557</v>
      </c>
      <c r="O224" s="24"/>
      <c r="P224" s="24"/>
      <c r="Q224" s="24"/>
      <c r="R224" s="26"/>
      <c r="S224" s="9">
        <f t="shared" si="13"/>
        <v>32.60126259</v>
      </c>
      <c r="U224" s="21"/>
      <c r="V224" s="21"/>
    </row>
    <row r="225">
      <c r="A225" s="11">
        <v>213.0</v>
      </c>
      <c r="B225" s="11">
        <v>1.42032173913043E9</v>
      </c>
      <c r="C225" s="2">
        <v>-102.2901306</v>
      </c>
      <c r="D225" s="24">
        <f t="shared" si="1"/>
        <v>-78260.86957</v>
      </c>
      <c r="E225" s="25">
        <f t="shared" si="2"/>
        <v>15.61103425</v>
      </c>
      <c r="F225" s="24">
        <f t="shared" si="3"/>
        <v>0.0001994743265</v>
      </c>
      <c r="G225" s="24">
        <f t="shared" si="4"/>
        <v>0</v>
      </c>
      <c r="H225" s="26">
        <f t="shared" si="5"/>
        <v>0</v>
      </c>
      <c r="I225" s="24">
        <f t="shared" si="6"/>
        <v>0</v>
      </c>
      <c r="J225" s="24">
        <f t="shared" si="7"/>
        <v>0</v>
      </c>
      <c r="K225" s="24"/>
      <c r="L225" s="24">
        <f t="shared" si="8"/>
        <v>448.8416057</v>
      </c>
      <c r="M225" s="14">
        <f t="shared" si="9"/>
        <v>412.3724258</v>
      </c>
      <c r="N225" s="27">
        <f t="shared" si="10"/>
        <v>36.46917994</v>
      </c>
      <c r="O225" s="24"/>
      <c r="P225" s="24"/>
      <c r="Q225" s="24"/>
      <c r="R225" s="26"/>
      <c r="S225" s="9">
        <f t="shared" si="13"/>
        <v>33.48950683</v>
      </c>
      <c r="U225" s="21"/>
      <c r="V225" s="21"/>
    </row>
    <row r="226">
      <c r="A226" s="11">
        <v>214.0</v>
      </c>
      <c r="B226" s="11">
        <v>1.42032608695652E9</v>
      </c>
      <c r="C226" s="2">
        <v>-102.3157043</v>
      </c>
      <c r="D226" s="24">
        <f t="shared" si="1"/>
        <v>-73913.04348</v>
      </c>
      <c r="E226" s="25">
        <f t="shared" si="2"/>
        <v>14.69273812</v>
      </c>
      <c r="F226" s="24">
        <f t="shared" si="3"/>
        <v>0.0001987841039</v>
      </c>
      <c r="G226" s="24">
        <f t="shared" si="4"/>
        <v>0</v>
      </c>
      <c r="H226" s="26">
        <f t="shared" si="5"/>
        <v>0</v>
      </c>
      <c r="I226" s="24">
        <f t="shared" si="6"/>
        <v>0</v>
      </c>
      <c r="J226" s="24">
        <f t="shared" si="7"/>
        <v>0</v>
      </c>
      <c r="K226" s="24"/>
      <c r="L226" s="24">
        <f t="shared" si="8"/>
        <v>446.2063407</v>
      </c>
      <c r="M226" s="14">
        <f t="shared" si="9"/>
        <v>412.2795667</v>
      </c>
      <c r="N226" s="27">
        <f t="shared" si="10"/>
        <v>33.926774</v>
      </c>
      <c r="O226" s="24"/>
      <c r="P226" s="24"/>
      <c r="Q226" s="24"/>
      <c r="R226" s="26"/>
      <c r="S226" s="9">
        <f t="shared" si="13"/>
        <v>31.15482536</v>
      </c>
      <c r="U226" s="21"/>
      <c r="V226" s="21"/>
    </row>
    <row r="227">
      <c r="A227" s="11">
        <v>215.0</v>
      </c>
      <c r="B227" s="11">
        <v>1.4203304347826E9</v>
      </c>
      <c r="C227" s="2">
        <v>-102.3127975</v>
      </c>
      <c r="D227" s="24">
        <f t="shared" si="1"/>
        <v>-69565.2174</v>
      </c>
      <c r="E227" s="25">
        <f t="shared" si="2"/>
        <v>13.77444198</v>
      </c>
      <c r="F227" s="24">
        <f t="shared" si="3"/>
        <v>0.0001980076035</v>
      </c>
      <c r="G227" s="24">
        <f t="shared" si="4"/>
        <v>0</v>
      </c>
      <c r="H227" s="26">
        <f t="shared" si="5"/>
        <v>0</v>
      </c>
      <c r="I227" s="24">
        <f t="shared" si="6"/>
        <v>0</v>
      </c>
      <c r="J227" s="24">
        <f t="shared" si="7"/>
        <v>0</v>
      </c>
      <c r="K227" s="24"/>
      <c r="L227" s="24">
        <f t="shared" si="8"/>
        <v>446.5050934</v>
      </c>
      <c r="M227" s="14">
        <f t="shared" si="9"/>
        <v>412.18675</v>
      </c>
      <c r="N227" s="27">
        <f t="shared" si="10"/>
        <v>34.31834343</v>
      </c>
      <c r="O227" s="24"/>
      <c r="P227" s="24"/>
      <c r="Q227" s="24"/>
      <c r="R227" s="26"/>
      <c r="S227" s="9">
        <f t="shared" si="13"/>
        <v>31.51440205</v>
      </c>
      <c r="U227" s="21"/>
      <c r="V227" s="21"/>
    </row>
    <row r="228">
      <c r="A228" s="11">
        <v>216.0</v>
      </c>
      <c r="B228" s="11">
        <v>1.42033478260869E9</v>
      </c>
      <c r="C228" s="2">
        <v>-102.3046875</v>
      </c>
      <c r="D228" s="24">
        <f t="shared" si="1"/>
        <v>-65217.39131</v>
      </c>
      <c r="E228" s="25">
        <f t="shared" si="2"/>
        <v>12.85614585</v>
      </c>
      <c r="F228" s="24">
        <f t="shared" si="3"/>
        <v>0.0001971275697</v>
      </c>
      <c r="G228" s="24">
        <f t="shared" si="4"/>
        <v>0</v>
      </c>
      <c r="H228" s="26">
        <f t="shared" si="5"/>
        <v>0</v>
      </c>
      <c r="I228" s="24">
        <f t="shared" si="6"/>
        <v>0</v>
      </c>
      <c r="J228" s="24">
        <f t="shared" si="7"/>
        <v>0</v>
      </c>
      <c r="K228" s="24"/>
      <c r="L228" s="24">
        <f t="shared" si="8"/>
        <v>447.3396745</v>
      </c>
      <c r="M228" s="14">
        <f t="shared" si="9"/>
        <v>412.0939766</v>
      </c>
      <c r="N228" s="27">
        <f t="shared" si="10"/>
        <v>35.24569786</v>
      </c>
      <c r="O228" s="24"/>
      <c r="P228" s="24"/>
      <c r="Q228" s="24"/>
      <c r="R228" s="26"/>
      <c r="S228" s="9">
        <f t="shared" si="13"/>
        <v>32.36598805</v>
      </c>
      <c r="U228" s="21"/>
      <c r="V228" s="21"/>
    </row>
    <row r="229">
      <c r="A229" s="11">
        <v>217.0</v>
      </c>
      <c r="B229" s="11">
        <v>1.42033913043478E9</v>
      </c>
      <c r="C229" s="2">
        <v>-102.3108139</v>
      </c>
      <c r="D229" s="24">
        <f t="shared" si="1"/>
        <v>-60869.56522</v>
      </c>
      <c r="E229" s="25">
        <f t="shared" si="2"/>
        <v>11.93784972</v>
      </c>
      <c r="F229" s="24">
        <f t="shared" si="3"/>
        <v>0.0001961218168</v>
      </c>
      <c r="G229" s="24">
        <f t="shared" si="4"/>
        <v>0</v>
      </c>
      <c r="H229" s="26">
        <f t="shared" si="5"/>
        <v>0</v>
      </c>
      <c r="I229" s="24">
        <f t="shared" si="6"/>
        <v>0</v>
      </c>
      <c r="J229" s="24">
        <f t="shared" si="7"/>
        <v>0</v>
      </c>
      <c r="K229" s="24"/>
      <c r="L229" s="24">
        <f t="shared" si="8"/>
        <v>446.7090771</v>
      </c>
      <c r="M229" s="14">
        <f t="shared" si="9"/>
        <v>412.0012474</v>
      </c>
      <c r="N229" s="27">
        <f t="shared" si="10"/>
        <v>34.70782972</v>
      </c>
      <c r="O229" s="24"/>
      <c r="P229" s="24"/>
      <c r="Q229" s="24"/>
      <c r="R229" s="26"/>
      <c r="S229" s="9">
        <f t="shared" si="13"/>
        <v>31.87206574</v>
      </c>
      <c r="U229" s="21"/>
      <c r="V229" s="21"/>
    </row>
    <row r="230">
      <c r="A230" s="11">
        <v>218.0</v>
      </c>
      <c r="B230" s="11">
        <v>1.42034347826087E9</v>
      </c>
      <c r="C230" s="2">
        <v>-102.2612</v>
      </c>
      <c r="D230" s="24">
        <f t="shared" si="1"/>
        <v>-56521.73913</v>
      </c>
      <c r="E230" s="25">
        <f t="shared" si="2"/>
        <v>11.01955359</v>
      </c>
      <c r="F230" s="24">
        <f t="shared" si="3"/>
        <v>0.0001949613327</v>
      </c>
      <c r="G230" s="24">
        <f t="shared" si="4"/>
        <v>0</v>
      </c>
      <c r="H230" s="26">
        <f t="shared" si="5"/>
        <v>0</v>
      </c>
      <c r="I230" s="24">
        <f t="shared" si="6"/>
        <v>0</v>
      </c>
      <c r="J230" s="24">
        <f t="shared" si="7"/>
        <v>0</v>
      </c>
      <c r="K230" s="24"/>
      <c r="L230" s="24">
        <f t="shared" si="8"/>
        <v>451.8415526</v>
      </c>
      <c r="M230" s="14">
        <f t="shared" si="9"/>
        <v>411.9085631</v>
      </c>
      <c r="N230" s="27">
        <f t="shared" si="10"/>
        <v>39.93298956</v>
      </c>
      <c r="O230" s="24"/>
      <c r="P230" s="24"/>
      <c r="Q230" s="24"/>
      <c r="R230" s="26"/>
      <c r="S230" s="9">
        <f t="shared" si="13"/>
        <v>36.67030988</v>
      </c>
      <c r="U230" s="21"/>
      <c r="V230" s="21"/>
    </row>
    <row r="231">
      <c r="A231" s="11">
        <v>219.0</v>
      </c>
      <c r="B231" s="11">
        <v>1.42034782608695E9</v>
      </c>
      <c r="C231" s="2">
        <v>-102.3005447</v>
      </c>
      <c r="D231" s="24">
        <f t="shared" si="1"/>
        <v>-52173.91305</v>
      </c>
      <c r="E231" s="25">
        <f t="shared" si="2"/>
        <v>10.10125745</v>
      </c>
      <c r="F231" s="24">
        <f t="shared" si="3"/>
        <v>0.0001936074345</v>
      </c>
      <c r="G231" s="24">
        <f t="shared" si="4"/>
        <v>0</v>
      </c>
      <c r="H231" s="26">
        <f t="shared" si="5"/>
        <v>0</v>
      </c>
      <c r="I231" s="24">
        <f t="shared" si="6"/>
        <v>0</v>
      </c>
      <c r="J231" s="24">
        <f t="shared" si="7"/>
        <v>0</v>
      </c>
      <c r="K231" s="24"/>
      <c r="L231" s="24">
        <f t="shared" si="8"/>
        <v>447.7666021</v>
      </c>
      <c r="M231" s="14">
        <f t="shared" si="9"/>
        <v>411.8159246</v>
      </c>
      <c r="N231" s="27">
        <f t="shared" si="10"/>
        <v>35.95067747</v>
      </c>
      <c r="O231" s="24"/>
      <c r="P231" s="24"/>
      <c r="Q231" s="24"/>
      <c r="R231" s="26"/>
      <c r="S231" s="9">
        <f t="shared" si="13"/>
        <v>33.01336809</v>
      </c>
      <c r="U231" s="21"/>
      <c r="V231" s="21"/>
    </row>
    <row r="232">
      <c r="A232" s="11">
        <v>220.0</v>
      </c>
      <c r="B232" s="11">
        <v>1.42035217391304E9</v>
      </c>
      <c r="C232" s="2">
        <v>-102.3059387</v>
      </c>
      <c r="D232" s="24">
        <f t="shared" si="1"/>
        <v>-47826.08696</v>
      </c>
      <c r="E232" s="25">
        <f t="shared" si="2"/>
        <v>9.182961321</v>
      </c>
      <c r="F232" s="24">
        <f t="shared" si="3"/>
        <v>0.0001920073731</v>
      </c>
      <c r="G232" s="24">
        <f t="shared" si="4"/>
        <v>0</v>
      </c>
      <c r="H232" s="26">
        <f t="shared" si="5"/>
        <v>0</v>
      </c>
      <c r="I232" s="24">
        <f t="shared" si="6"/>
        <v>0</v>
      </c>
      <c r="J232" s="24">
        <f t="shared" si="7"/>
        <v>0</v>
      </c>
      <c r="K232" s="24"/>
      <c r="L232" s="24">
        <f t="shared" si="8"/>
        <v>447.2108147</v>
      </c>
      <c r="M232" s="14">
        <f t="shared" si="9"/>
        <v>411.7233328</v>
      </c>
      <c r="N232" s="27">
        <f t="shared" si="10"/>
        <v>35.48748195</v>
      </c>
      <c r="O232" s="24"/>
      <c r="P232" s="24"/>
      <c r="Q232" s="24"/>
      <c r="R232" s="26"/>
      <c r="S232" s="9">
        <f t="shared" si="13"/>
        <v>32.58801736</v>
      </c>
      <c r="U232" s="21"/>
      <c r="V232" s="21"/>
    </row>
    <row r="233">
      <c r="A233" s="11">
        <v>221.0</v>
      </c>
      <c r="B233" s="11">
        <v>1.42035652173913E9</v>
      </c>
      <c r="C233" s="2">
        <v>-102.2668152</v>
      </c>
      <c r="D233" s="24">
        <f t="shared" si="1"/>
        <v>-43478.26087</v>
      </c>
      <c r="E233" s="25">
        <f t="shared" si="2"/>
        <v>8.264665191</v>
      </c>
      <c r="F233" s="24">
        <f t="shared" si="3"/>
        <v>0.0001900872994</v>
      </c>
      <c r="G233" s="24">
        <f t="shared" si="4"/>
        <v>0</v>
      </c>
      <c r="H233" s="26">
        <f t="shared" si="5"/>
        <v>0</v>
      </c>
      <c r="I233" s="24">
        <f t="shared" si="6"/>
        <v>0</v>
      </c>
      <c r="J233" s="24">
        <f t="shared" si="7"/>
        <v>0</v>
      </c>
      <c r="K233" s="24"/>
      <c r="L233" s="24">
        <f t="shared" si="8"/>
        <v>451.2577227</v>
      </c>
      <c r="M233" s="14">
        <f t="shared" si="9"/>
        <v>411.6307884</v>
      </c>
      <c r="N233" s="27">
        <f t="shared" si="10"/>
        <v>39.62693427</v>
      </c>
      <c r="O233" s="24"/>
      <c r="P233" s="24"/>
      <c r="Q233" s="24"/>
      <c r="R233" s="26"/>
      <c r="S233" s="9">
        <f t="shared" si="13"/>
        <v>36.38926049</v>
      </c>
      <c r="U233" s="21"/>
      <c r="V233" s="21"/>
    </row>
    <row r="234">
      <c r="A234" s="11">
        <v>222.0</v>
      </c>
      <c r="B234" s="11">
        <v>1.42036086956521E9</v>
      </c>
      <c r="C234" s="2">
        <v>-102.2550659</v>
      </c>
      <c r="D234" s="24">
        <f t="shared" si="1"/>
        <v>-39130.43479</v>
      </c>
      <c r="E234" s="25">
        <f t="shared" si="2"/>
        <v>7.346369058</v>
      </c>
      <c r="F234" s="24">
        <f t="shared" si="3"/>
        <v>0.0001877405426</v>
      </c>
      <c r="G234" s="24">
        <f t="shared" si="4"/>
        <v>0</v>
      </c>
      <c r="H234" s="26">
        <f t="shared" si="5"/>
        <v>0</v>
      </c>
      <c r="I234" s="24">
        <f t="shared" si="6"/>
        <v>0</v>
      </c>
      <c r="J234" s="24">
        <f t="shared" si="7"/>
        <v>0</v>
      </c>
      <c r="K234" s="24"/>
      <c r="L234" s="24">
        <f t="shared" si="8"/>
        <v>452.4801975</v>
      </c>
      <c r="M234" s="14">
        <f t="shared" si="9"/>
        <v>411.5382924</v>
      </c>
      <c r="N234" s="27">
        <f t="shared" si="10"/>
        <v>40.94190512</v>
      </c>
      <c r="O234" s="24"/>
      <c r="P234" s="24"/>
      <c r="Q234" s="24"/>
      <c r="R234" s="26"/>
      <c r="S234" s="9">
        <f t="shared" si="13"/>
        <v>37.59679314</v>
      </c>
      <c r="U234" s="21"/>
      <c r="V234" s="21"/>
    </row>
    <row r="235">
      <c r="A235" s="11">
        <v>223.0</v>
      </c>
      <c r="B235" s="11">
        <v>1.4203652173913E9</v>
      </c>
      <c r="C235" s="2">
        <v>-102.2300873</v>
      </c>
      <c r="D235" s="24">
        <f t="shared" si="1"/>
        <v>-34782.6087</v>
      </c>
      <c r="E235" s="25">
        <f t="shared" si="2"/>
        <v>6.428072925</v>
      </c>
      <c r="F235" s="24">
        <f t="shared" si="3"/>
        <v>0.0001848070966</v>
      </c>
      <c r="G235" s="24">
        <f t="shared" si="4"/>
        <v>0</v>
      </c>
      <c r="H235" s="26">
        <f t="shared" si="5"/>
        <v>0</v>
      </c>
      <c r="I235" s="24">
        <f t="shared" si="6"/>
        <v>0</v>
      </c>
      <c r="J235" s="24">
        <f t="shared" si="7"/>
        <v>0</v>
      </c>
      <c r="K235" s="24"/>
      <c r="L235" s="24">
        <f t="shared" si="8"/>
        <v>455.0901517</v>
      </c>
      <c r="M235" s="14">
        <f t="shared" si="9"/>
        <v>411.4458456</v>
      </c>
      <c r="N235" s="27">
        <f t="shared" si="10"/>
        <v>43.64430619</v>
      </c>
      <c r="O235" s="24"/>
      <c r="P235" s="24"/>
      <c r="Q235" s="24"/>
      <c r="R235" s="26"/>
      <c r="S235" s="9">
        <f t="shared" si="13"/>
        <v>40.07839749</v>
      </c>
      <c r="U235" s="21"/>
      <c r="V235" s="21"/>
    </row>
    <row r="236">
      <c r="A236" s="11">
        <v>224.0</v>
      </c>
      <c r="B236" s="11">
        <v>1.42036956521739E9</v>
      </c>
      <c r="C236" s="2">
        <v>-102.2236633</v>
      </c>
      <c r="D236" s="24">
        <f t="shared" si="1"/>
        <v>-30434.78261</v>
      </c>
      <c r="E236" s="25">
        <f t="shared" si="2"/>
        <v>5.509776795</v>
      </c>
      <c r="F236" s="24">
        <f t="shared" si="3"/>
        <v>0.0001810355232</v>
      </c>
      <c r="G236" s="24">
        <f t="shared" si="4"/>
        <v>0</v>
      </c>
      <c r="H236" s="26">
        <f t="shared" si="5"/>
        <v>0</v>
      </c>
      <c r="I236" s="24">
        <f t="shared" si="6"/>
        <v>0</v>
      </c>
      <c r="J236" s="24">
        <f t="shared" si="7"/>
        <v>0</v>
      </c>
      <c r="K236" s="24"/>
      <c r="L236" s="24">
        <f t="shared" si="8"/>
        <v>455.7638104</v>
      </c>
      <c r="M236" s="14">
        <f t="shared" si="9"/>
        <v>411.3534487</v>
      </c>
      <c r="N236" s="27">
        <f t="shared" si="10"/>
        <v>44.4103617</v>
      </c>
      <c r="O236" s="24"/>
      <c r="P236" s="24"/>
      <c r="Q236" s="24"/>
      <c r="R236" s="26"/>
      <c r="S236" s="9">
        <f t="shared" si="13"/>
        <v>40.7818634</v>
      </c>
      <c r="U236" s="21"/>
      <c r="V236" s="21"/>
    </row>
    <row r="237">
      <c r="A237" s="11">
        <v>225.0</v>
      </c>
      <c r="B237" s="11">
        <v>1.42037391304347E9</v>
      </c>
      <c r="C237" s="2">
        <v>-102.1859665</v>
      </c>
      <c r="D237" s="24">
        <f t="shared" si="1"/>
        <v>-26086.95653</v>
      </c>
      <c r="E237" s="25">
        <f t="shared" si="2"/>
        <v>4.591480662</v>
      </c>
      <c r="F237" s="24">
        <f t="shared" si="3"/>
        <v>0.0001760067586</v>
      </c>
      <c r="G237" s="24">
        <f t="shared" si="4"/>
        <v>0</v>
      </c>
      <c r="H237" s="26">
        <f t="shared" si="5"/>
        <v>0</v>
      </c>
      <c r="I237" s="24">
        <f t="shared" si="6"/>
        <v>0</v>
      </c>
      <c r="J237" s="24">
        <f t="shared" si="7"/>
        <v>0</v>
      </c>
      <c r="K237" s="24"/>
      <c r="L237" s="24">
        <f t="shared" si="8"/>
        <v>459.7370634</v>
      </c>
      <c r="M237" s="14">
        <f t="shared" si="9"/>
        <v>411.2611027</v>
      </c>
      <c r="N237" s="27">
        <f t="shared" si="10"/>
        <v>48.47596066</v>
      </c>
      <c r="O237" s="24"/>
      <c r="P237" s="24"/>
      <c r="Q237" s="24"/>
      <c r="R237" s="26"/>
      <c r="S237" s="9">
        <f t="shared" si="13"/>
        <v>44.51528721</v>
      </c>
      <c r="U237" s="21"/>
      <c r="V237" s="21"/>
    </row>
    <row r="238">
      <c r="A238" s="11">
        <v>226.0</v>
      </c>
      <c r="B238" s="11">
        <v>1.42037826086956E9</v>
      </c>
      <c r="C238" s="2">
        <v>-102.1763687</v>
      </c>
      <c r="D238" s="24">
        <f t="shared" si="1"/>
        <v>-21739.13044</v>
      </c>
      <c r="E238" s="25">
        <f t="shared" si="2"/>
        <v>3.673184529</v>
      </c>
      <c r="F238" s="24">
        <f t="shared" si="3"/>
        <v>0.0001689664883</v>
      </c>
      <c r="G238" s="24">
        <f t="shared" si="4"/>
        <v>0</v>
      </c>
      <c r="H238" s="26">
        <f t="shared" si="5"/>
        <v>0</v>
      </c>
      <c r="I238" s="24">
        <f t="shared" si="6"/>
        <v>0</v>
      </c>
      <c r="J238" s="24">
        <f t="shared" si="7"/>
        <v>0</v>
      </c>
      <c r="K238" s="24"/>
      <c r="L238" s="24">
        <f t="shared" si="8"/>
        <v>460.7541943</v>
      </c>
      <c r="M238" s="14">
        <f t="shared" si="9"/>
        <v>411.1688084</v>
      </c>
      <c r="N238" s="27">
        <f t="shared" si="10"/>
        <v>49.58538596</v>
      </c>
      <c r="O238" s="24"/>
      <c r="P238" s="24"/>
      <c r="Q238" s="24"/>
      <c r="R238" s="26"/>
      <c r="S238" s="9">
        <f t="shared" si="13"/>
        <v>45.53406807</v>
      </c>
      <c r="U238" s="21"/>
      <c r="V238" s="21"/>
    </row>
    <row r="239">
      <c r="A239" s="11">
        <v>227.0</v>
      </c>
      <c r="B239" s="11">
        <v>1.42038260869565E9</v>
      </c>
      <c r="C239" s="2">
        <v>-102.237175</v>
      </c>
      <c r="D239" s="24">
        <f t="shared" si="1"/>
        <v>-17391.30435</v>
      </c>
      <c r="E239" s="25">
        <f t="shared" si="2"/>
        <v>2.754888398</v>
      </c>
      <c r="F239" s="24">
        <f t="shared" si="3"/>
        <v>0.0001584060829</v>
      </c>
      <c r="G239" s="24">
        <f t="shared" si="4"/>
        <v>0</v>
      </c>
      <c r="H239" s="26">
        <f t="shared" si="5"/>
        <v>0</v>
      </c>
      <c r="I239" s="24">
        <f t="shared" si="6"/>
        <v>0</v>
      </c>
      <c r="J239" s="24">
        <f t="shared" si="7"/>
        <v>0</v>
      </c>
      <c r="K239" s="24"/>
      <c r="L239" s="24">
        <f t="shared" si="8"/>
        <v>454.3480489</v>
      </c>
      <c r="M239" s="14">
        <f t="shared" si="9"/>
        <v>411.0765666</v>
      </c>
      <c r="N239" s="27">
        <f t="shared" si="10"/>
        <v>43.2714823</v>
      </c>
      <c r="O239" s="24"/>
      <c r="P239" s="24"/>
      <c r="Q239" s="24"/>
      <c r="R239" s="26"/>
      <c r="S239" s="9">
        <f t="shared" si="13"/>
        <v>39.73603486</v>
      </c>
      <c r="U239" s="21"/>
      <c r="V239" s="21"/>
    </row>
    <row r="240">
      <c r="A240" s="11">
        <v>228.0</v>
      </c>
      <c r="B240" s="11">
        <v>1.42038695652173E9</v>
      </c>
      <c r="C240" s="2">
        <v>-102.1672897</v>
      </c>
      <c r="D240" s="24">
        <f t="shared" si="1"/>
        <v>-13043.47827</v>
      </c>
      <c r="E240" s="25">
        <f t="shared" si="2"/>
        <v>1.836592266</v>
      </c>
      <c r="F240" s="24">
        <f t="shared" si="3"/>
        <v>0.0001408054069</v>
      </c>
      <c r="G240" s="24">
        <f t="shared" si="4"/>
        <v>0</v>
      </c>
      <c r="H240" s="26">
        <f t="shared" si="5"/>
        <v>0</v>
      </c>
      <c r="I240" s="24">
        <f t="shared" si="6"/>
        <v>0</v>
      </c>
      <c r="J240" s="24">
        <f t="shared" si="7"/>
        <v>0</v>
      </c>
      <c r="K240" s="24"/>
      <c r="L240" s="24">
        <f t="shared" si="8"/>
        <v>461.7184163</v>
      </c>
      <c r="M240" s="14">
        <f t="shared" si="9"/>
        <v>410.9843781</v>
      </c>
      <c r="N240" s="27">
        <f t="shared" si="10"/>
        <v>50.73403821</v>
      </c>
      <c r="O240" s="24"/>
      <c r="P240" s="24"/>
      <c r="Q240" s="24"/>
      <c r="R240" s="26"/>
      <c r="S240" s="9">
        <f t="shared" si="13"/>
        <v>46.58887109</v>
      </c>
      <c r="U240" s="21"/>
      <c r="V240" s="21"/>
    </row>
    <row r="241">
      <c r="A241" s="11">
        <v>229.0</v>
      </c>
      <c r="B241" s="11">
        <v>1.42039130434782E9</v>
      </c>
      <c r="C241" s="2">
        <v>-102.1400299</v>
      </c>
      <c r="D241" s="24">
        <f t="shared" si="1"/>
        <v>-8695.65218</v>
      </c>
      <c r="E241" s="25">
        <f t="shared" si="2"/>
        <v>0.9182961328</v>
      </c>
      <c r="F241" s="24">
        <f t="shared" si="3"/>
        <v>0.0001056040552</v>
      </c>
      <c r="G241" s="24">
        <f t="shared" si="4"/>
        <v>0</v>
      </c>
      <c r="H241" s="26">
        <f t="shared" si="5"/>
        <v>0</v>
      </c>
      <c r="I241" s="24">
        <f t="shared" si="6"/>
        <v>0</v>
      </c>
      <c r="J241" s="24">
        <f t="shared" si="7"/>
        <v>0</v>
      </c>
      <c r="K241" s="24"/>
      <c r="L241" s="24">
        <f t="shared" si="8"/>
        <v>464.6256454</v>
      </c>
      <c r="M241" s="14">
        <f t="shared" si="9"/>
        <v>410.8922439</v>
      </c>
      <c r="N241" s="27">
        <f t="shared" si="10"/>
        <v>53.73340154</v>
      </c>
      <c r="O241" s="24"/>
      <c r="P241" s="24"/>
      <c r="Q241" s="24"/>
      <c r="R241" s="26"/>
      <c r="S241" s="9">
        <f t="shared" si="13"/>
        <v>49.34317484</v>
      </c>
      <c r="U241" s="21"/>
      <c r="V241" s="21"/>
    </row>
    <row r="242">
      <c r="A242" s="11">
        <v>230.0</v>
      </c>
      <c r="B242" s="11">
        <v>1.42039565217391E9</v>
      </c>
      <c r="C242" s="2">
        <v>-102.0975266</v>
      </c>
      <c r="D242" s="24">
        <f t="shared" si="1"/>
        <v>-4347.82609</v>
      </c>
      <c r="E242" s="25">
        <f t="shared" si="2"/>
        <v>0</v>
      </c>
      <c r="F242" s="24">
        <f t="shared" si="3"/>
        <v>0</v>
      </c>
      <c r="G242" s="24">
        <f t="shared" si="4"/>
        <v>0</v>
      </c>
      <c r="H242" s="26">
        <f t="shared" si="5"/>
        <v>0</v>
      </c>
      <c r="I242" s="24">
        <f t="shared" si="6"/>
        <v>0</v>
      </c>
      <c r="J242" s="24" t="str">
        <f t="shared" si="7"/>
        <v>#DIV/0!</v>
      </c>
      <c r="K242" s="24"/>
      <c r="L242" s="24">
        <f t="shared" si="8"/>
        <v>469.1951426</v>
      </c>
      <c r="M242" s="14">
        <f t="shared" si="9"/>
        <v>410.8001647</v>
      </c>
      <c r="N242" s="27">
        <f t="shared" si="10"/>
        <v>58.39497795</v>
      </c>
      <c r="O242" s="24"/>
      <c r="P242" s="24"/>
      <c r="Q242" s="24"/>
      <c r="R242" s="26"/>
      <c r="S242" s="9">
        <f t="shared" si="13"/>
        <v>53.6238823</v>
      </c>
      <c r="U242" s="21"/>
      <c r="V242" s="21"/>
    </row>
    <row r="243">
      <c r="A243" s="11">
        <v>231.0</v>
      </c>
      <c r="B243" s="11">
        <v>1.4204E9</v>
      </c>
      <c r="C243" s="2">
        <v>-102.0802231</v>
      </c>
      <c r="D243" s="24">
        <f t="shared" si="1"/>
        <v>0</v>
      </c>
      <c r="E243" s="25">
        <f t="shared" si="2"/>
        <v>-0.9182961307</v>
      </c>
      <c r="F243" s="24" t="str">
        <f t="shared" si="3"/>
        <v>#DIV/0!</v>
      </c>
      <c r="G243" s="24">
        <f t="shared" si="4"/>
        <v>0</v>
      </c>
      <c r="H243" s="26">
        <f t="shared" si="5"/>
        <v>0</v>
      </c>
      <c r="I243" s="24">
        <f t="shared" si="6"/>
        <v>0</v>
      </c>
      <c r="J243" s="24" t="str">
        <f t="shared" si="7"/>
        <v>#DIV/0!</v>
      </c>
      <c r="K243" s="24"/>
      <c r="L243" s="24">
        <f t="shared" si="8"/>
        <v>471.0682756</v>
      </c>
      <c r="M243" s="14">
        <f t="shared" si="9"/>
        <v>410.7081413</v>
      </c>
      <c r="N243" s="27">
        <f t="shared" si="10"/>
        <v>60.36013428</v>
      </c>
      <c r="O243" s="24"/>
      <c r="P243" s="24"/>
      <c r="Q243" s="24"/>
      <c r="R243" s="26"/>
      <c r="S243" s="9">
        <f t="shared" si="13"/>
        <v>55.42847789</v>
      </c>
      <c r="U243" s="21"/>
      <c r="V243" s="21"/>
    </row>
    <row r="244">
      <c r="A244" s="11">
        <v>232.0</v>
      </c>
      <c r="B244" s="11">
        <v>1.42040434782608E9</v>
      </c>
      <c r="C244" s="2">
        <v>-102.0400238</v>
      </c>
      <c r="D244" s="24">
        <f t="shared" si="1"/>
        <v>4347.82608</v>
      </c>
      <c r="E244" s="25">
        <f t="shared" si="2"/>
        <v>-1.836592263</v>
      </c>
      <c r="F244" s="24">
        <f t="shared" si="3"/>
        <v>0.0004224162213</v>
      </c>
      <c r="G244" s="24">
        <f t="shared" si="4"/>
        <v>0</v>
      </c>
      <c r="H244" s="26">
        <f t="shared" si="5"/>
        <v>0</v>
      </c>
      <c r="I244" s="24">
        <f t="shared" si="6"/>
        <v>0</v>
      </c>
      <c r="J244" s="24">
        <f t="shared" si="7"/>
        <v>0</v>
      </c>
      <c r="K244" s="24"/>
      <c r="L244" s="24">
        <f t="shared" si="8"/>
        <v>475.4488348</v>
      </c>
      <c r="M244" s="14">
        <f t="shared" si="9"/>
        <v>410.6161747</v>
      </c>
      <c r="N244" s="27">
        <f t="shared" si="10"/>
        <v>64.83266009</v>
      </c>
      <c r="O244" s="24"/>
      <c r="P244" s="24"/>
      <c r="Q244" s="24"/>
      <c r="R244" s="26"/>
      <c r="S244" s="9">
        <f t="shared" si="13"/>
        <v>59.53558104</v>
      </c>
      <c r="U244" s="21"/>
      <c r="V244" s="21"/>
    </row>
    <row r="245">
      <c r="A245" s="11">
        <v>233.0</v>
      </c>
      <c r="B245" s="11">
        <v>1.42040869565217E9</v>
      </c>
      <c r="C245" s="2">
        <v>-101.9594498</v>
      </c>
      <c r="D245" s="24">
        <f t="shared" si="1"/>
        <v>8695.65217</v>
      </c>
      <c r="E245" s="25">
        <f t="shared" si="2"/>
        <v>-2.754888396</v>
      </c>
      <c r="F245" s="24">
        <f t="shared" si="3"/>
        <v>0.0003168121657</v>
      </c>
      <c r="G245" s="24">
        <f t="shared" si="4"/>
        <v>0</v>
      </c>
      <c r="H245" s="26">
        <f t="shared" si="5"/>
        <v>0</v>
      </c>
      <c r="I245" s="24">
        <f t="shared" si="6"/>
        <v>0</v>
      </c>
      <c r="J245" s="24">
        <f t="shared" si="7"/>
        <v>0</v>
      </c>
      <c r="K245" s="24"/>
      <c r="L245" s="24">
        <f t="shared" si="8"/>
        <v>484.3521004</v>
      </c>
      <c r="M245" s="14">
        <f t="shared" si="9"/>
        <v>410.5242656</v>
      </c>
      <c r="N245" s="27">
        <f t="shared" si="10"/>
        <v>73.82783474</v>
      </c>
      <c r="O245" s="24"/>
      <c r="P245" s="24"/>
      <c r="Q245" s="24"/>
      <c r="R245" s="26"/>
      <c r="S245" s="9">
        <f t="shared" si="13"/>
        <v>67.79581498</v>
      </c>
      <c r="U245" s="21"/>
      <c r="V245" s="21"/>
    </row>
    <row r="246">
      <c r="A246" s="11">
        <v>234.0</v>
      </c>
      <c r="B246" s="11">
        <v>1.42041304347826E9</v>
      </c>
      <c r="C246" s="2">
        <v>-101.8533249</v>
      </c>
      <c r="D246" s="24">
        <f t="shared" si="1"/>
        <v>13043.47826</v>
      </c>
      <c r="E246" s="25">
        <f t="shared" si="2"/>
        <v>-3.673184527</v>
      </c>
      <c r="F246" s="24">
        <f t="shared" si="3"/>
        <v>0.0002816108137</v>
      </c>
      <c r="G246" s="24">
        <f t="shared" si="4"/>
        <v>0</v>
      </c>
      <c r="H246" s="26">
        <f t="shared" si="5"/>
        <v>0</v>
      </c>
      <c r="I246" s="24">
        <f t="shared" si="6"/>
        <v>0</v>
      </c>
      <c r="J246" s="24">
        <f t="shared" si="7"/>
        <v>0</v>
      </c>
      <c r="K246" s="24"/>
      <c r="L246" s="24">
        <f t="shared" si="8"/>
        <v>496.3336012</v>
      </c>
      <c r="M246" s="14">
        <f t="shared" si="9"/>
        <v>410.432415</v>
      </c>
      <c r="N246" s="27">
        <f t="shared" si="10"/>
        <v>85.9011862</v>
      </c>
      <c r="O246" s="24"/>
      <c r="P246" s="24"/>
      <c r="Q246" s="24"/>
      <c r="R246" s="26"/>
      <c r="S246" s="9">
        <f t="shared" si="13"/>
        <v>78.88272709</v>
      </c>
      <c r="U246" s="21"/>
      <c r="V246" s="21"/>
    </row>
    <row r="247">
      <c r="A247" s="11">
        <v>235.0</v>
      </c>
      <c r="B247" s="11">
        <v>1.42041739130434E9</v>
      </c>
      <c r="C247" s="2">
        <v>-101.7984695</v>
      </c>
      <c r="D247" s="24">
        <f t="shared" si="1"/>
        <v>17391.30434</v>
      </c>
      <c r="E247" s="25">
        <f t="shared" si="2"/>
        <v>-4.59148066</v>
      </c>
      <c r="F247" s="24">
        <f t="shared" si="3"/>
        <v>0.0002640101381</v>
      </c>
      <c r="G247" s="24">
        <f t="shared" si="4"/>
        <v>0</v>
      </c>
      <c r="H247" s="26">
        <f t="shared" si="5"/>
        <v>0</v>
      </c>
      <c r="I247" s="24">
        <f t="shared" si="6"/>
        <v>0</v>
      </c>
      <c r="J247" s="24">
        <f t="shared" si="7"/>
        <v>0</v>
      </c>
      <c r="K247" s="24"/>
      <c r="L247" s="24">
        <f t="shared" si="8"/>
        <v>502.6425123</v>
      </c>
      <c r="M247" s="14">
        <f t="shared" si="9"/>
        <v>410.3406235</v>
      </c>
      <c r="N247" s="27">
        <f t="shared" si="10"/>
        <v>92.30188876</v>
      </c>
      <c r="O247" s="24"/>
      <c r="P247" s="24"/>
      <c r="Q247" s="24"/>
      <c r="R247" s="26"/>
      <c r="S247" s="9">
        <f t="shared" si="13"/>
        <v>84.7604675</v>
      </c>
      <c r="U247" s="21"/>
      <c r="V247" s="21"/>
    </row>
    <row r="248">
      <c r="A248" s="11">
        <v>236.0</v>
      </c>
      <c r="B248" s="11">
        <v>1.42042173913043E9</v>
      </c>
      <c r="C248" s="2">
        <v>-101.7967072</v>
      </c>
      <c r="D248" s="24">
        <f t="shared" si="1"/>
        <v>21739.13043</v>
      </c>
      <c r="E248" s="25">
        <f t="shared" si="2"/>
        <v>-5.509776792</v>
      </c>
      <c r="F248" s="24">
        <f t="shared" si="3"/>
        <v>0.0002534497325</v>
      </c>
      <c r="G248" s="24">
        <f t="shared" si="4"/>
        <v>0</v>
      </c>
      <c r="H248" s="26">
        <f t="shared" si="5"/>
        <v>0</v>
      </c>
      <c r="I248" s="24">
        <f t="shared" si="6"/>
        <v>0</v>
      </c>
      <c r="J248" s="24">
        <f t="shared" si="7"/>
        <v>0</v>
      </c>
      <c r="K248" s="24"/>
      <c r="L248" s="24">
        <f t="shared" si="8"/>
        <v>502.8465182</v>
      </c>
      <c r="M248" s="14">
        <f t="shared" si="9"/>
        <v>410.2488922</v>
      </c>
      <c r="N248" s="27">
        <f t="shared" si="10"/>
        <v>92.59762609</v>
      </c>
      <c r="O248" s="24"/>
      <c r="P248" s="24"/>
      <c r="Q248" s="24"/>
      <c r="R248" s="26"/>
      <c r="S248" s="9">
        <f t="shared" si="13"/>
        <v>85.03204174</v>
      </c>
      <c r="U248" s="21"/>
      <c r="V248" s="21"/>
    </row>
    <row r="249">
      <c r="A249" s="11">
        <v>237.0</v>
      </c>
      <c r="B249" s="11">
        <v>1.42042608695652E9</v>
      </c>
      <c r="C249" s="2">
        <v>-101.6810684</v>
      </c>
      <c r="D249" s="24">
        <f t="shared" si="1"/>
        <v>26086.95652</v>
      </c>
      <c r="E249" s="25">
        <f t="shared" si="2"/>
        <v>-6.428072923</v>
      </c>
      <c r="F249" s="24">
        <f t="shared" si="3"/>
        <v>0.0002464094621</v>
      </c>
      <c r="G249" s="24">
        <f t="shared" si="4"/>
        <v>0</v>
      </c>
      <c r="H249" s="26">
        <f t="shared" si="5"/>
        <v>0</v>
      </c>
      <c r="I249" s="24">
        <f t="shared" si="6"/>
        <v>0</v>
      </c>
      <c r="J249" s="24">
        <f t="shared" si="7"/>
        <v>0</v>
      </c>
      <c r="K249" s="24"/>
      <c r="L249" s="24">
        <f t="shared" si="8"/>
        <v>516.4155695</v>
      </c>
      <c r="M249" s="14">
        <f t="shared" si="9"/>
        <v>410.1572217</v>
      </c>
      <c r="N249" s="27">
        <f t="shared" si="10"/>
        <v>106.2583478</v>
      </c>
      <c r="O249" s="24"/>
      <c r="P249" s="24"/>
      <c r="Q249" s="24"/>
      <c r="R249" s="26"/>
      <c r="S249" s="9">
        <f t="shared" si="13"/>
        <v>97.57662983</v>
      </c>
      <c r="U249" s="21"/>
      <c r="V249" s="21"/>
    </row>
    <row r="250">
      <c r="A250" s="11">
        <v>238.0</v>
      </c>
      <c r="B250" s="11">
        <v>1.4204304347826E9</v>
      </c>
      <c r="C250" s="2">
        <v>-101.6387939</v>
      </c>
      <c r="D250" s="24">
        <f t="shared" si="1"/>
        <v>30434.7826</v>
      </c>
      <c r="E250" s="25">
        <f t="shared" si="2"/>
        <v>-7.346369056</v>
      </c>
      <c r="F250" s="24">
        <f t="shared" si="3"/>
        <v>0.0002413806976</v>
      </c>
      <c r="G250" s="24">
        <f t="shared" si="4"/>
        <v>0</v>
      </c>
      <c r="H250" s="26">
        <f t="shared" si="5"/>
        <v>0</v>
      </c>
      <c r="I250" s="24">
        <f t="shared" si="6"/>
        <v>0</v>
      </c>
      <c r="J250" s="24">
        <f t="shared" si="7"/>
        <v>0</v>
      </c>
      <c r="K250" s="24"/>
      <c r="L250" s="24">
        <f t="shared" si="8"/>
        <v>521.4669366</v>
      </c>
      <c r="M250" s="14">
        <f t="shared" si="9"/>
        <v>410.065613</v>
      </c>
      <c r="N250" s="27">
        <f t="shared" si="10"/>
        <v>111.4013236</v>
      </c>
      <c r="O250" s="24"/>
      <c r="P250" s="24"/>
      <c r="Q250" s="24"/>
      <c r="R250" s="26"/>
      <c r="S250" s="9">
        <f t="shared" si="13"/>
        <v>102.2994047</v>
      </c>
      <c r="U250" s="21"/>
      <c r="V250" s="21"/>
    </row>
    <row r="251">
      <c r="A251" s="11">
        <v>239.0</v>
      </c>
      <c r="B251" s="11">
        <v>1.42043478260869E9</v>
      </c>
      <c r="C251" s="2">
        <v>-101.4749222</v>
      </c>
      <c r="D251" s="24">
        <f t="shared" si="1"/>
        <v>34782.60869</v>
      </c>
      <c r="E251" s="25">
        <f t="shared" si="2"/>
        <v>-8.264665189</v>
      </c>
      <c r="F251" s="24">
        <f t="shared" si="3"/>
        <v>0.0002376091242</v>
      </c>
      <c r="G251" s="24">
        <f t="shared" si="4"/>
        <v>0</v>
      </c>
      <c r="H251" s="26">
        <f t="shared" si="5"/>
        <v>0</v>
      </c>
      <c r="I251" s="24">
        <f t="shared" si="6"/>
        <v>0</v>
      </c>
      <c r="J251" s="24">
        <f t="shared" si="7"/>
        <v>0</v>
      </c>
      <c r="K251" s="24"/>
      <c r="L251" s="24">
        <f t="shared" si="8"/>
        <v>541.5193096</v>
      </c>
      <c r="M251" s="14">
        <f t="shared" si="9"/>
        <v>409.9740669</v>
      </c>
      <c r="N251" s="27">
        <f t="shared" si="10"/>
        <v>131.5452427</v>
      </c>
      <c r="O251" s="24"/>
      <c r="P251" s="24"/>
      <c r="Q251" s="24"/>
      <c r="R251" s="26"/>
      <c r="S251" s="9">
        <f t="shared" si="13"/>
        <v>120.7974877</v>
      </c>
      <c r="U251" s="21"/>
      <c r="V251" s="21"/>
    </row>
    <row r="252">
      <c r="A252" s="11">
        <v>240.0</v>
      </c>
      <c r="B252" s="11">
        <v>1.42043913043478E9</v>
      </c>
      <c r="C252" s="2">
        <v>-101.4828949</v>
      </c>
      <c r="D252" s="24">
        <f t="shared" si="1"/>
        <v>39130.43478</v>
      </c>
      <c r="E252" s="25">
        <f t="shared" si="2"/>
        <v>-9.182961321</v>
      </c>
      <c r="F252" s="24">
        <f t="shared" si="3"/>
        <v>0.0002346756782</v>
      </c>
      <c r="G252" s="24">
        <f t="shared" si="4"/>
        <v>0</v>
      </c>
      <c r="H252" s="26">
        <f t="shared" si="5"/>
        <v>0</v>
      </c>
      <c r="I252" s="24">
        <f t="shared" si="6"/>
        <v>0</v>
      </c>
      <c r="J252" s="24">
        <f t="shared" si="7"/>
        <v>0</v>
      </c>
      <c r="K252" s="24"/>
      <c r="L252" s="24">
        <f t="shared" si="8"/>
        <v>540.5261101</v>
      </c>
      <c r="M252" s="14">
        <f t="shared" si="9"/>
        <v>409.8825842</v>
      </c>
      <c r="N252" s="27">
        <f t="shared" si="10"/>
        <v>130.6435259</v>
      </c>
      <c r="O252" s="24"/>
      <c r="P252" s="24"/>
      <c r="Q252" s="24"/>
      <c r="R252" s="26"/>
      <c r="S252" s="9">
        <f t="shared" si="13"/>
        <v>119.9694443</v>
      </c>
      <c r="U252" s="21"/>
      <c r="V252" s="21"/>
    </row>
    <row r="253">
      <c r="A253" s="11">
        <v>241.0</v>
      </c>
      <c r="B253" s="11">
        <v>1.42044347826087E9</v>
      </c>
      <c r="C253" s="2">
        <v>-101.3973465</v>
      </c>
      <c r="D253" s="24">
        <f t="shared" si="1"/>
        <v>43478.26087</v>
      </c>
      <c r="E253" s="25">
        <f t="shared" si="2"/>
        <v>-10.10125745</v>
      </c>
      <c r="F253" s="24">
        <f t="shared" si="3"/>
        <v>0.0002323289214</v>
      </c>
      <c r="G253" s="24">
        <f t="shared" si="4"/>
        <v>0</v>
      </c>
      <c r="H253" s="26">
        <f t="shared" si="5"/>
        <v>0</v>
      </c>
      <c r="I253" s="24">
        <f t="shared" si="6"/>
        <v>0</v>
      </c>
      <c r="J253" s="24">
        <f t="shared" si="7"/>
        <v>0</v>
      </c>
      <c r="K253" s="24"/>
      <c r="L253" s="24">
        <f t="shared" si="8"/>
        <v>551.2790867</v>
      </c>
      <c r="M253" s="14">
        <f t="shared" si="9"/>
        <v>409.7911658</v>
      </c>
      <c r="N253" s="27">
        <f t="shared" si="10"/>
        <v>141.4879209</v>
      </c>
      <c r="O253" s="24"/>
      <c r="P253" s="24"/>
      <c r="Q253" s="24"/>
      <c r="R253" s="26"/>
      <c r="S253" s="9">
        <f t="shared" si="13"/>
        <v>129.9278106</v>
      </c>
      <c r="U253" s="21"/>
      <c r="V253" s="21"/>
    </row>
    <row r="254">
      <c r="A254" s="11">
        <v>242.0</v>
      </c>
      <c r="B254" s="11">
        <v>1.42044782608695E9</v>
      </c>
      <c r="C254" s="2">
        <v>-101.3832092</v>
      </c>
      <c r="D254" s="24">
        <f t="shared" si="1"/>
        <v>47826.08695</v>
      </c>
      <c r="E254" s="25">
        <f t="shared" si="2"/>
        <v>-11.01955358</v>
      </c>
      <c r="F254" s="24">
        <f t="shared" si="3"/>
        <v>0.0002304088477</v>
      </c>
      <c r="G254" s="24">
        <f t="shared" si="4"/>
        <v>0</v>
      </c>
      <c r="H254" s="26">
        <f t="shared" si="5"/>
        <v>0</v>
      </c>
      <c r="I254" s="24">
        <f t="shared" si="6"/>
        <v>0</v>
      </c>
      <c r="J254" s="24">
        <f t="shared" si="7"/>
        <v>0</v>
      </c>
      <c r="K254" s="24"/>
      <c r="L254" s="24">
        <f t="shared" si="8"/>
        <v>553.0765529</v>
      </c>
      <c r="M254" s="14">
        <f t="shared" si="9"/>
        <v>409.6998125</v>
      </c>
      <c r="N254" s="27">
        <f t="shared" si="10"/>
        <v>143.3767404</v>
      </c>
      <c r="O254" s="24"/>
      <c r="P254" s="24"/>
      <c r="Q254" s="24"/>
      <c r="R254" s="26"/>
      <c r="S254" s="9">
        <f t="shared" si="13"/>
        <v>131.6623063</v>
      </c>
      <c r="U254" s="21"/>
      <c r="V254" s="21"/>
    </row>
    <row r="255">
      <c r="A255" s="11">
        <v>243.0</v>
      </c>
      <c r="B255" s="11">
        <v>1.42045217391304E9</v>
      </c>
      <c r="C255" s="2">
        <v>-101.3590775</v>
      </c>
      <c r="D255" s="24">
        <f t="shared" si="1"/>
        <v>52173.91304</v>
      </c>
      <c r="E255" s="25">
        <f t="shared" si="2"/>
        <v>-11.93784972</v>
      </c>
      <c r="F255" s="24">
        <f t="shared" si="3"/>
        <v>0.0002288087863</v>
      </c>
      <c r="G255" s="24">
        <f t="shared" si="4"/>
        <v>0</v>
      </c>
      <c r="H255" s="26">
        <f t="shared" si="5"/>
        <v>0</v>
      </c>
      <c r="I255" s="24">
        <f t="shared" si="6"/>
        <v>0</v>
      </c>
      <c r="J255" s="24">
        <f t="shared" si="7"/>
        <v>0</v>
      </c>
      <c r="K255" s="24"/>
      <c r="L255" s="24">
        <f t="shared" si="8"/>
        <v>556.1582929</v>
      </c>
      <c r="M255" s="14">
        <f t="shared" si="9"/>
        <v>409.6085251</v>
      </c>
      <c r="N255" s="27">
        <f t="shared" si="10"/>
        <v>146.5497678</v>
      </c>
      <c r="O255" s="24"/>
      <c r="P255" s="24"/>
      <c r="Q255" s="24"/>
      <c r="R255" s="26"/>
      <c r="S255" s="9">
        <f t="shared" si="13"/>
        <v>134.5760847</v>
      </c>
      <c r="U255" s="21"/>
      <c r="V255" s="21"/>
    </row>
    <row r="256">
      <c r="A256" s="11">
        <v>244.0</v>
      </c>
      <c r="B256" s="11">
        <v>1.42045652173913E9</v>
      </c>
      <c r="C256" s="2">
        <v>-101.2388306</v>
      </c>
      <c r="D256" s="24">
        <f t="shared" si="1"/>
        <v>56521.73913</v>
      </c>
      <c r="E256" s="25">
        <f t="shared" si="2"/>
        <v>-12.85614585</v>
      </c>
      <c r="F256" s="24">
        <f t="shared" si="3"/>
        <v>0.0002274548881</v>
      </c>
      <c r="G256" s="24">
        <f t="shared" si="4"/>
        <v>0</v>
      </c>
      <c r="H256" s="26">
        <f t="shared" si="5"/>
        <v>0</v>
      </c>
      <c r="I256" s="24">
        <f t="shared" si="6"/>
        <v>0</v>
      </c>
      <c r="J256" s="24">
        <f t="shared" si="7"/>
        <v>0</v>
      </c>
      <c r="K256" s="24"/>
      <c r="L256" s="24">
        <f t="shared" si="8"/>
        <v>571.7722942</v>
      </c>
      <c r="M256" s="14">
        <f t="shared" si="9"/>
        <v>409.5173045</v>
      </c>
      <c r="N256" s="27">
        <f t="shared" si="10"/>
        <v>162.2549897</v>
      </c>
      <c r="O256" s="24"/>
      <c r="P256" s="24"/>
      <c r="Q256" s="24"/>
      <c r="R256" s="26"/>
      <c r="S256" s="9">
        <f t="shared" si="13"/>
        <v>148.9981296</v>
      </c>
      <c r="U256" s="21"/>
      <c r="V256" s="21"/>
    </row>
    <row r="257">
      <c r="A257" s="11">
        <v>245.0</v>
      </c>
      <c r="B257" s="11">
        <v>1.42046086956521E9</v>
      </c>
      <c r="C257" s="2">
        <v>-101.2268829</v>
      </c>
      <c r="D257" s="24">
        <f t="shared" si="1"/>
        <v>60869.56521</v>
      </c>
      <c r="E257" s="25">
        <f t="shared" si="2"/>
        <v>-13.77444198</v>
      </c>
      <c r="F257" s="24">
        <f t="shared" si="3"/>
        <v>0.000226294404</v>
      </c>
      <c r="G257" s="24">
        <f t="shared" si="4"/>
        <v>0</v>
      </c>
      <c r="H257" s="26">
        <f t="shared" si="5"/>
        <v>0</v>
      </c>
      <c r="I257" s="24">
        <f t="shared" si="6"/>
        <v>0</v>
      </c>
      <c r="J257" s="24">
        <f t="shared" si="7"/>
        <v>0</v>
      </c>
      <c r="K257" s="24"/>
      <c r="L257" s="24">
        <f t="shared" si="8"/>
        <v>573.3474395</v>
      </c>
      <c r="M257" s="14">
        <f t="shared" si="9"/>
        <v>409.4261516</v>
      </c>
      <c r="N257" s="27">
        <f t="shared" si="10"/>
        <v>163.921288</v>
      </c>
      <c r="O257" s="24"/>
      <c r="P257" s="24"/>
      <c r="Q257" s="24"/>
      <c r="R257" s="26"/>
      <c r="S257" s="9">
        <f t="shared" si="13"/>
        <v>150.5282849</v>
      </c>
      <c r="U257" s="21"/>
      <c r="V257" s="21"/>
    </row>
    <row r="258">
      <c r="A258" s="11">
        <v>246.0</v>
      </c>
      <c r="B258" s="11">
        <v>1.4204652173913E9</v>
      </c>
      <c r="C258" s="2">
        <v>-101.2942047</v>
      </c>
      <c r="D258" s="24">
        <f t="shared" si="1"/>
        <v>65217.3913</v>
      </c>
      <c r="E258" s="25">
        <f t="shared" si="2"/>
        <v>-14.69273811</v>
      </c>
      <c r="F258" s="24">
        <f t="shared" si="3"/>
        <v>0.0002252886511</v>
      </c>
      <c r="G258" s="24">
        <f t="shared" si="4"/>
        <v>0</v>
      </c>
      <c r="H258" s="26">
        <f t="shared" si="5"/>
        <v>0</v>
      </c>
      <c r="I258" s="24">
        <f t="shared" si="6"/>
        <v>0</v>
      </c>
      <c r="J258" s="24">
        <f t="shared" si="7"/>
        <v>0</v>
      </c>
      <c r="K258" s="24"/>
      <c r="L258" s="24">
        <f t="shared" si="8"/>
        <v>564.528273</v>
      </c>
      <c r="M258" s="14">
        <f t="shared" si="9"/>
        <v>409.3350671</v>
      </c>
      <c r="N258" s="27">
        <f t="shared" si="10"/>
        <v>155.193206</v>
      </c>
      <c r="O258" s="24"/>
      <c r="P258" s="24"/>
      <c r="Q258" s="24"/>
      <c r="R258" s="26"/>
      <c r="S258" s="9">
        <f t="shared" si="13"/>
        <v>142.5133205</v>
      </c>
      <c r="U258" s="21"/>
      <c r="V258" s="21"/>
    </row>
    <row r="259">
      <c r="A259" s="11">
        <v>247.0</v>
      </c>
      <c r="B259" s="11">
        <v>1.42046956521739E9</v>
      </c>
      <c r="C259" s="2">
        <v>-101.200531</v>
      </c>
      <c r="D259" s="24">
        <f t="shared" si="1"/>
        <v>69565.21739</v>
      </c>
      <c r="E259" s="25">
        <f t="shared" si="2"/>
        <v>-15.61103424</v>
      </c>
      <c r="F259" s="24">
        <f t="shared" si="3"/>
        <v>0.0002244086173</v>
      </c>
      <c r="G259" s="24">
        <f t="shared" si="4"/>
        <v>0</v>
      </c>
      <c r="H259" s="26">
        <f t="shared" si="5"/>
        <v>0</v>
      </c>
      <c r="I259" s="24">
        <f t="shared" si="6"/>
        <v>0</v>
      </c>
      <c r="J259" s="24">
        <f t="shared" si="7"/>
        <v>0</v>
      </c>
      <c r="K259" s="24"/>
      <c r="L259" s="24">
        <f t="shared" si="8"/>
        <v>576.836944</v>
      </c>
      <c r="M259" s="14">
        <f t="shared" si="9"/>
        <v>409.2440519</v>
      </c>
      <c r="N259" s="27">
        <f t="shared" si="10"/>
        <v>167.5928922</v>
      </c>
      <c r="O259" s="24"/>
      <c r="P259" s="24"/>
      <c r="Q259" s="24"/>
      <c r="R259" s="26"/>
      <c r="S259" s="9">
        <f t="shared" si="13"/>
        <v>153.8999048</v>
      </c>
      <c r="U259" s="21"/>
      <c r="V259" s="21"/>
    </row>
    <row r="260">
      <c r="A260" s="11">
        <v>248.0</v>
      </c>
      <c r="B260" s="11">
        <v>1.42047391304347E9</v>
      </c>
      <c r="C260" s="2">
        <v>-101.3245773</v>
      </c>
      <c r="D260" s="24">
        <f t="shared" si="1"/>
        <v>73913.04347</v>
      </c>
      <c r="E260" s="25">
        <f t="shared" si="2"/>
        <v>-16.52933038</v>
      </c>
      <c r="F260" s="24">
        <f t="shared" si="3"/>
        <v>0.0002236321169</v>
      </c>
      <c r="G260" s="24">
        <f t="shared" si="4"/>
        <v>0</v>
      </c>
      <c r="H260" s="26">
        <f t="shared" si="5"/>
        <v>0</v>
      </c>
      <c r="I260" s="24">
        <f t="shared" si="6"/>
        <v>0</v>
      </c>
      <c r="J260" s="24">
        <f t="shared" si="7"/>
        <v>0</v>
      </c>
      <c r="K260" s="24"/>
      <c r="L260" s="24">
        <f t="shared" si="8"/>
        <v>560.5939899</v>
      </c>
      <c r="M260" s="14">
        <f t="shared" si="9"/>
        <v>409.1531068</v>
      </c>
      <c r="N260" s="27">
        <f t="shared" si="10"/>
        <v>151.4408831</v>
      </c>
      <c r="O260" s="24"/>
      <c r="P260" s="24"/>
      <c r="Q260" s="24"/>
      <c r="R260" s="26"/>
      <c r="S260" s="9">
        <f t="shared" si="13"/>
        <v>139.0675773</v>
      </c>
      <c r="U260" s="21"/>
      <c r="V260" s="21"/>
    </row>
    <row r="261">
      <c r="A261" s="11">
        <v>249.0</v>
      </c>
      <c r="B261" s="11">
        <v>1.42047826086956E9</v>
      </c>
      <c r="C261" s="2">
        <v>-101.2541351</v>
      </c>
      <c r="D261" s="24">
        <f t="shared" si="1"/>
        <v>78260.86956</v>
      </c>
      <c r="E261" s="25">
        <f t="shared" si="2"/>
        <v>-17.44762651</v>
      </c>
      <c r="F261" s="24">
        <f t="shared" si="3"/>
        <v>0.0002229418943</v>
      </c>
      <c r="G261" s="24">
        <f t="shared" si="4"/>
        <v>0</v>
      </c>
      <c r="H261" s="26">
        <f t="shared" si="5"/>
        <v>0</v>
      </c>
      <c r="I261" s="24">
        <f t="shared" si="6"/>
        <v>0</v>
      </c>
      <c r="J261" s="24">
        <f t="shared" si="7"/>
        <v>0</v>
      </c>
      <c r="K261" s="24"/>
      <c r="L261" s="24">
        <f t="shared" si="8"/>
        <v>569.7609197</v>
      </c>
      <c r="M261" s="14">
        <f t="shared" si="9"/>
        <v>409.0622327</v>
      </c>
      <c r="N261" s="27">
        <f t="shared" si="10"/>
        <v>160.698687</v>
      </c>
      <c r="O261" s="24"/>
      <c r="P261" s="24"/>
      <c r="Q261" s="24"/>
      <c r="R261" s="26"/>
      <c r="S261" s="9">
        <f t="shared" si="13"/>
        <v>147.5689824</v>
      </c>
      <c r="U261" s="21"/>
      <c r="V261" s="21"/>
    </row>
    <row r="262">
      <c r="A262" s="11">
        <v>250.0</v>
      </c>
      <c r="B262" s="11">
        <v>1.42048260869565E9</v>
      </c>
      <c r="C262" s="2">
        <v>-101.2913742</v>
      </c>
      <c r="D262" s="24">
        <f t="shared" si="1"/>
        <v>82608.69565</v>
      </c>
      <c r="E262" s="25">
        <f t="shared" si="2"/>
        <v>-18.36592264</v>
      </c>
      <c r="F262" s="24">
        <f t="shared" si="3"/>
        <v>0.0002223243267</v>
      </c>
      <c r="G262" s="24">
        <f t="shared" si="4"/>
        <v>0</v>
      </c>
      <c r="H262" s="26">
        <f t="shared" si="5"/>
        <v>0</v>
      </c>
      <c r="I262" s="24">
        <f t="shared" si="6"/>
        <v>0</v>
      </c>
      <c r="J262" s="24">
        <f t="shared" si="7"/>
        <v>0</v>
      </c>
      <c r="K262" s="24"/>
      <c r="L262" s="24">
        <f t="shared" si="8"/>
        <v>564.8963224</v>
      </c>
      <c r="M262" s="14">
        <f t="shared" si="9"/>
        <v>408.9714305</v>
      </c>
      <c r="N262" s="27">
        <f t="shared" si="10"/>
        <v>155.9248919</v>
      </c>
      <c r="O262" s="24"/>
      <c r="P262" s="24"/>
      <c r="Q262" s="24"/>
      <c r="R262" s="26"/>
      <c r="S262" s="9">
        <f t="shared" si="13"/>
        <v>143.1852252</v>
      </c>
      <c r="U262" s="21"/>
      <c r="V262" s="21"/>
    </row>
    <row r="263">
      <c r="A263" s="11">
        <v>251.0</v>
      </c>
      <c r="B263" s="11">
        <v>1.42048695652173E9</v>
      </c>
      <c r="C263" s="2">
        <v>-101.4303741</v>
      </c>
      <c r="D263" s="24">
        <f t="shared" si="1"/>
        <v>86956.52173</v>
      </c>
      <c r="E263" s="25">
        <f t="shared" si="2"/>
        <v>-19.28421877</v>
      </c>
      <c r="F263" s="24">
        <f t="shared" si="3"/>
        <v>0.0002217685159</v>
      </c>
      <c r="G263" s="24">
        <f t="shared" si="4"/>
        <v>0</v>
      </c>
      <c r="H263" s="26">
        <f t="shared" si="5"/>
        <v>0</v>
      </c>
      <c r="I263" s="24">
        <f t="shared" si="6"/>
        <v>0</v>
      </c>
      <c r="J263" s="24">
        <f t="shared" si="7"/>
        <v>0</v>
      </c>
      <c r="K263" s="24"/>
      <c r="L263" s="24">
        <f t="shared" si="8"/>
        <v>547.1025732</v>
      </c>
      <c r="M263" s="14">
        <f t="shared" si="9"/>
        <v>408.8807009</v>
      </c>
      <c r="N263" s="27">
        <f t="shared" si="10"/>
        <v>138.2218723</v>
      </c>
      <c r="O263" s="24"/>
      <c r="P263" s="24"/>
      <c r="Q263" s="24"/>
      <c r="R263" s="26"/>
      <c r="S263" s="9">
        <f t="shared" si="13"/>
        <v>126.9286108</v>
      </c>
      <c r="U263" s="21"/>
      <c r="V263" s="21"/>
    </row>
    <row r="264">
      <c r="A264" s="11">
        <v>252.0</v>
      </c>
      <c r="B264" s="11">
        <v>1.42049130434782E9</v>
      </c>
      <c r="C264" s="2">
        <v>-101.4843903</v>
      </c>
      <c r="D264" s="24">
        <f t="shared" si="1"/>
        <v>91304.34782</v>
      </c>
      <c r="E264" s="25">
        <f t="shared" si="2"/>
        <v>-20.20251491</v>
      </c>
      <c r="F264" s="24">
        <f t="shared" si="3"/>
        <v>0.0002212656395</v>
      </c>
      <c r="G264" s="24">
        <f t="shared" si="4"/>
        <v>0</v>
      </c>
      <c r="H264" s="26">
        <f t="shared" si="5"/>
        <v>0</v>
      </c>
      <c r="I264" s="24">
        <f t="shared" si="6"/>
        <v>0</v>
      </c>
      <c r="J264" s="24">
        <f t="shared" si="7"/>
        <v>0</v>
      </c>
      <c r="K264" s="24"/>
      <c r="L264" s="24">
        <f t="shared" si="8"/>
        <v>540.3400236</v>
      </c>
      <c r="M264" s="14">
        <f t="shared" si="9"/>
        <v>408.7900448</v>
      </c>
      <c r="N264" s="27">
        <f t="shared" si="10"/>
        <v>131.5499787</v>
      </c>
      <c r="O264" s="24"/>
      <c r="P264" s="24"/>
      <c r="Q264" s="24"/>
      <c r="R264" s="26"/>
      <c r="S264" s="9">
        <f t="shared" si="13"/>
        <v>120.8018367</v>
      </c>
      <c r="U264" s="21"/>
      <c r="V264" s="21"/>
    </row>
    <row r="265">
      <c r="A265" s="11">
        <v>253.0</v>
      </c>
      <c r="B265" s="11">
        <v>1.42049565217391E9</v>
      </c>
      <c r="C265" s="2">
        <v>-101.5433502</v>
      </c>
      <c r="D265" s="24">
        <f t="shared" si="1"/>
        <v>95652.17391</v>
      </c>
      <c r="E265" s="25">
        <f t="shared" si="2"/>
        <v>-21.12081104</v>
      </c>
      <c r="F265" s="24">
        <f t="shared" si="3"/>
        <v>0.0002208084791</v>
      </c>
      <c r="G265" s="24">
        <f t="shared" si="4"/>
        <v>0</v>
      </c>
      <c r="H265" s="26">
        <f t="shared" si="5"/>
        <v>0</v>
      </c>
      <c r="I265" s="24">
        <f t="shared" si="6"/>
        <v>0</v>
      </c>
      <c r="J265" s="24">
        <f t="shared" si="7"/>
        <v>0</v>
      </c>
      <c r="K265" s="24"/>
      <c r="L265" s="24">
        <f t="shared" si="8"/>
        <v>533.0539273</v>
      </c>
      <c r="M265" s="14">
        <f t="shared" si="9"/>
        <v>408.6994631</v>
      </c>
      <c r="N265" s="27">
        <f t="shared" si="10"/>
        <v>124.3544642</v>
      </c>
      <c r="O265" s="24"/>
      <c r="P265" s="24"/>
      <c r="Q265" s="24"/>
      <c r="R265" s="26"/>
      <c r="S265" s="9">
        <f t="shared" si="13"/>
        <v>114.1942233</v>
      </c>
      <c r="U265" s="21"/>
      <c r="V265" s="21"/>
    </row>
    <row r="266">
      <c r="A266" s="11">
        <v>254.0</v>
      </c>
      <c r="B266" s="11">
        <v>1.4205E9</v>
      </c>
      <c r="C266" s="2">
        <v>-101.6913681</v>
      </c>
      <c r="D266" s="24">
        <f t="shared" si="1"/>
        <v>100000</v>
      </c>
      <c r="E266" s="25">
        <f t="shared" si="2"/>
        <v>-22.03910717</v>
      </c>
      <c r="F266" s="24">
        <f t="shared" si="3"/>
        <v>0.0002203910717</v>
      </c>
      <c r="G266" s="24">
        <f t="shared" si="4"/>
        <v>0</v>
      </c>
      <c r="H266" s="26">
        <f t="shared" si="5"/>
        <v>0</v>
      </c>
      <c r="I266" s="24">
        <f t="shared" si="6"/>
        <v>0</v>
      </c>
      <c r="J266" s="24">
        <f t="shared" si="7"/>
        <v>0</v>
      </c>
      <c r="K266" s="24"/>
      <c r="L266" s="24">
        <f t="shared" si="8"/>
        <v>515.1922928</v>
      </c>
      <c r="M266" s="14">
        <f t="shared" si="9"/>
        <v>408.6089565</v>
      </c>
      <c r="N266" s="27">
        <f t="shared" si="10"/>
        <v>106.5833363</v>
      </c>
      <c r="O266" s="24"/>
      <c r="P266" s="24"/>
      <c r="Q266" s="24"/>
      <c r="R266" s="26"/>
      <c r="S266" s="9">
        <f t="shared" si="13"/>
        <v>97.87506552</v>
      </c>
      <c r="U266" s="21"/>
      <c r="V266" s="21"/>
    </row>
    <row r="267">
      <c r="A267" s="11">
        <v>255.0</v>
      </c>
      <c r="B267" s="11">
        <v>1.42050434782608E9</v>
      </c>
      <c r="C267" s="2">
        <v>-101.7125626</v>
      </c>
      <c r="D267" s="24">
        <f t="shared" si="1"/>
        <v>104347.8261</v>
      </c>
      <c r="E267" s="25">
        <f t="shared" si="2"/>
        <v>-22.9574033</v>
      </c>
      <c r="F267" s="24">
        <f t="shared" si="3"/>
        <v>0.0002200084483</v>
      </c>
      <c r="G267" s="24">
        <f t="shared" si="4"/>
        <v>0</v>
      </c>
      <c r="H267" s="26">
        <f t="shared" si="5"/>
        <v>0</v>
      </c>
      <c r="I267" s="24">
        <f t="shared" si="6"/>
        <v>0</v>
      </c>
      <c r="J267" s="24">
        <f t="shared" si="7"/>
        <v>0</v>
      </c>
      <c r="K267" s="24"/>
      <c r="L267" s="24">
        <f t="shared" si="8"/>
        <v>512.6841692</v>
      </c>
      <c r="M267" s="14">
        <f t="shared" si="9"/>
        <v>408.5185259</v>
      </c>
      <c r="N267" s="27">
        <f t="shared" si="10"/>
        <v>104.1656433</v>
      </c>
      <c r="O267" s="24"/>
      <c r="P267" s="24"/>
      <c r="Q267" s="24"/>
      <c r="R267" s="26"/>
      <c r="S267" s="9">
        <f t="shared" si="13"/>
        <v>95.6549074</v>
      </c>
      <c r="U267" s="21"/>
      <c r="V267" s="21"/>
    </row>
    <row r="268">
      <c r="A268" s="11">
        <v>256.0</v>
      </c>
      <c r="B268" s="11">
        <v>1.42050869565217E9</v>
      </c>
      <c r="C268" s="2">
        <v>-101.9631119</v>
      </c>
      <c r="D268" s="24">
        <f t="shared" si="1"/>
        <v>108695.6522</v>
      </c>
      <c r="E268" s="25">
        <f t="shared" si="2"/>
        <v>-23.87569944</v>
      </c>
      <c r="F268" s="24">
        <f t="shared" si="3"/>
        <v>0.0002196564348</v>
      </c>
      <c r="G268" s="24">
        <f t="shared" si="4"/>
        <v>0</v>
      </c>
      <c r="H268" s="26">
        <f t="shared" si="5"/>
        <v>0</v>
      </c>
      <c r="I268" s="24">
        <f t="shared" si="6"/>
        <v>0</v>
      </c>
      <c r="J268" s="24">
        <f t="shared" si="7"/>
        <v>0</v>
      </c>
      <c r="K268" s="24"/>
      <c r="L268" s="24">
        <f t="shared" si="8"/>
        <v>483.9438525</v>
      </c>
      <c r="M268" s="14">
        <f t="shared" si="9"/>
        <v>408.4281722</v>
      </c>
      <c r="N268" s="27">
        <f t="shared" si="10"/>
        <v>75.51568026</v>
      </c>
      <c r="O268" s="24"/>
      <c r="P268" s="24"/>
      <c r="Q268" s="24"/>
      <c r="R268" s="26"/>
      <c r="S268" s="9">
        <f t="shared" si="13"/>
        <v>69.34575698</v>
      </c>
      <c r="U268" s="21"/>
      <c r="V268" s="21"/>
    </row>
    <row r="269">
      <c r="A269" s="11">
        <v>257.0</v>
      </c>
      <c r="B269" s="11">
        <v>1.42051304347826E9</v>
      </c>
      <c r="C269" s="2">
        <v>-102.0218658</v>
      </c>
      <c r="D269" s="24">
        <f t="shared" si="1"/>
        <v>113043.4783</v>
      </c>
      <c r="E269" s="25">
        <f t="shared" si="2"/>
        <v>-24.79399557</v>
      </c>
      <c r="F269" s="24">
        <f t="shared" si="3"/>
        <v>0.0002193314992</v>
      </c>
      <c r="G269" s="24">
        <f t="shared" si="4"/>
        <v>0</v>
      </c>
      <c r="H269" s="26">
        <f t="shared" si="5"/>
        <v>0</v>
      </c>
      <c r="I269" s="24">
        <f t="shared" si="6"/>
        <v>0</v>
      </c>
      <c r="J269" s="24">
        <f t="shared" si="7"/>
        <v>0</v>
      </c>
      <c r="K269" s="24"/>
      <c r="L269" s="24">
        <f t="shared" si="8"/>
        <v>477.440864</v>
      </c>
      <c r="M269" s="14">
        <f t="shared" si="9"/>
        <v>408.3378962</v>
      </c>
      <c r="N269" s="27">
        <f t="shared" si="10"/>
        <v>69.10296782</v>
      </c>
      <c r="O269" s="24"/>
      <c r="P269" s="24"/>
      <c r="Q269" s="24"/>
      <c r="R269" s="26"/>
      <c r="S269" s="9">
        <f t="shared" si="13"/>
        <v>63.45698812</v>
      </c>
      <c r="U269" s="21"/>
      <c r="V269" s="21"/>
    </row>
    <row r="270">
      <c r="A270" s="11">
        <v>258.0</v>
      </c>
      <c r="B270" s="11">
        <v>1.42051739130434E9</v>
      </c>
      <c r="C270" s="2">
        <v>-102.168045</v>
      </c>
      <c r="D270" s="24">
        <f t="shared" si="1"/>
        <v>117391.3043</v>
      </c>
      <c r="E270" s="25">
        <f t="shared" si="2"/>
        <v>-25.7122917</v>
      </c>
      <c r="F270" s="24">
        <f t="shared" si="3"/>
        <v>0.000219030633</v>
      </c>
      <c r="G270" s="24">
        <f t="shared" si="4"/>
        <v>0</v>
      </c>
      <c r="H270" s="26">
        <f t="shared" si="5"/>
        <v>0</v>
      </c>
      <c r="I270" s="24">
        <f t="shared" si="6"/>
        <v>0</v>
      </c>
      <c r="J270" s="24">
        <f t="shared" si="7"/>
        <v>0</v>
      </c>
      <c r="K270" s="24"/>
      <c r="L270" s="24">
        <f t="shared" si="8"/>
        <v>461.6381239</v>
      </c>
      <c r="M270" s="14">
        <f t="shared" si="9"/>
        <v>408.2476987</v>
      </c>
      <c r="N270" s="27">
        <f t="shared" si="10"/>
        <v>53.3904252</v>
      </c>
      <c r="O270" s="24"/>
      <c r="P270" s="24"/>
      <c r="Q270" s="24"/>
      <c r="R270" s="26"/>
      <c r="S270" s="9">
        <f t="shared" si="13"/>
        <v>49.02822099</v>
      </c>
      <c r="U270" s="21"/>
      <c r="V270" s="21"/>
    </row>
    <row r="271">
      <c r="A271" s="11">
        <v>259.0</v>
      </c>
      <c r="B271" s="11">
        <v>1.42052173913043E9</v>
      </c>
      <c r="C271" s="2">
        <v>-102.2713013</v>
      </c>
      <c r="D271" s="24">
        <f t="shared" si="1"/>
        <v>121739.1304</v>
      </c>
      <c r="E271" s="25">
        <f t="shared" si="2"/>
        <v>-26.63058783</v>
      </c>
      <c r="F271" s="24">
        <f t="shared" si="3"/>
        <v>0.0002187512572</v>
      </c>
      <c r="G271" s="24">
        <f t="shared" si="4"/>
        <v>0</v>
      </c>
      <c r="H271" s="26">
        <f t="shared" si="5"/>
        <v>0</v>
      </c>
      <c r="I271" s="24">
        <f t="shared" si="6"/>
        <v>0</v>
      </c>
      <c r="J271" s="24">
        <f t="shared" si="7"/>
        <v>0</v>
      </c>
      <c r="K271" s="24"/>
      <c r="L271" s="24">
        <f t="shared" si="8"/>
        <v>450.791831</v>
      </c>
      <c r="M271" s="14">
        <f t="shared" si="9"/>
        <v>408.1575806</v>
      </c>
      <c r="N271" s="27">
        <f t="shared" si="10"/>
        <v>42.6342504</v>
      </c>
      <c r="O271" s="24"/>
      <c r="P271" s="24"/>
      <c r="Q271" s="24"/>
      <c r="R271" s="26"/>
      <c r="S271" s="9">
        <f t="shared" si="13"/>
        <v>39.15086717</v>
      </c>
      <c r="U271" s="21"/>
      <c r="V271" s="21"/>
    </row>
    <row r="272">
      <c r="A272" s="11">
        <v>260.0</v>
      </c>
      <c r="B272" s="11">
        <v>1.42052608695652E9</v>
      </c>
      <c r="C272" s="2">
        <v>-102.3298416</v>
      </c>
      <c r="D272" s="24">
        <f t="shared" si="1"/>
        <v>126086.9565</v>
      </c>
      <c r="E272" s="25">
        <f t="shared" si="2"/>
        <v>-27.54888396</v>
      </c>
      <c r="F272" s="24">
        <f t="shared" si="3"/>
        <v>0.0002184911487</v>
      </c>
      <c r="G272" s="24">
        <f t="shared" si="4"/>
        <v>0</v>
      </c>
      <c r="H272" s="26">
        <f t="shared" si="5"/>
        <v>0</v>
      </c>
      <c r="I272" s="24">
        <f t="shared" si="6"/>
        <v>0</v>
      </c>
      <c r="J272" s="24">
        <f t="shared" si="7"/>
        <v>0</v>
      </c>
      <c r="K272" s="24"/>
      <c r="L272" s="24">
        <f t="shared" si="8"/>
        <v>444.7561963</v>
      </c>
      <c r="M272" s="14">
        <f t="shared" si="9"/>
        <v>408.0675427</v>
      </c>
      <c r="N272" s="27">
        <f t="shared" si="10"/>
        <v>36.68865366</v>
      </c>
      <c r="O272" s="24"/>
      <c r="P272" s="24"/>
      <c r="Q272" s="24"/>
      <c r="R272" s="26"/>
      <c r="S272" s="9">
        <f t="shared" si="13"/>
        <v>33.69104877</v>
      </c>
      <c r="U272" s="21"/>
      <c r="V272" s="21"/>
    </row>
    <row r="273">
      <c r="A273" s="11">
        <v>261.0</v>
      </c>
      <c r="B273" s="11">
        <v>1.4205304347826E9</v>
      </c>
      <c r="C273" s="2">
        <v>-102.3743973</v>
      </c>
      <c r="D273" s="24">
        <f t="shared" si="1"/>
        <v>130434.7826</v>
      </c>
      <c r="E273" s="25">
        <f t="shared" si="2"/>
        <v>-28.4671801</v>
      </c>
      <c r="F273" s="24">
        <f t="shared" si="3"/>
        <v>0.0002182483807</v>
      </c>
      <c r="G273" s="24">
        <f t="shared" si="4"/>
        <v>0</v>
      </c>
      <c r="H273" s="26">
        <f t="shared" si="5"/>
        <v>0</v>
      </c>
      <c r="I273" s="24">
        <f t="shared" si="6"/>
        <v>0</v>
      </c>
      <c r="J273" s="24">
        <f t="shared" si="7"/>
        <v>0</v>
      </c>
      <c r="K273" s="24"/>
      <c r="L273" s="24">
        <f t="shared" si="8"/>
        <v>440.2166225</v>
      </c>
      <c r="M273" s="14">
        <f t="shared" si="9"/>
        <v>407.9775858</v>
      </c>
      <c r="N273" s="27">
        <f t="shared" si="10"/>
        <v>32.23903665</v>
      </c>
      <c r="O273" s="24"/>
      <c r="P273" s="24"/>
      <c r="Q273" s="24"/>
      <c r="R273" s="26"/>
      <c r="S273" s="9">
        <f t="shared" si="13"/>
        <v>29.60498268</v>
      </c>
      <c r="U273" s="21"/>
      <c r="V273" s="21"/>
    </row>
    <row r="274">
      <c r="A274" s="11">
        <v>262.0</v>
      </c>
      <c r="B274" s="11">
        <v>1.42053478260869E9</v>
      </c>
      <c r="C274" s="2">
        <v>-102.3473206</v>
      </c>
      <c r="D274" s="24">
        <f t="shared" si="1"/>
        <v>134782.6087</v>
      </c>
      <c r="E274" s="25">
        <f t="shared" si="2"/>
        <v>-29.38547623</v>
      </c>
      <c r="F274" s="24">
        <f t="shared" si="3"/>
        <v>0.0002180212752</v>
      </c>
      <c r="G274" s="24">
        <f t="shared" si="4"/>
        <v>0</v>
      </c>
      <c r="H274" s="26">
        <f t="shared" si="5"/>
        <v>0</v>
      </c>
      <c r="I274" s="24">
        <f t="shared" si="6"/>
        <v>0</v>
      </c>
      <c r="J274" s="24">
        <f t="shared" si="7"/>
        <v>0</v>
      </c>
      <c r="K274" s="24"/>
      <c r="L274" s="24">
        <f t="shared" si="8"/>
        <v>442.9697885</v>
      </c>
      <c r="M274" s="14">
        <f t="shared" si="9"/>
        <v>407.8877109</v>
      </c>
      <c r="N274" s="27">
        <f t="shared" si="10"/>
        <v>35.08207761</v>
      </c>
      <c r="O274" s="24"/>
      <c r="P274" s="24"/>
      <c r="Q274" s="24"/>
      <c r="R274" s="26"/>
      <c r="S274" s="9">
        <f t="shared" si="13"/>
        <v>32.2157362</v>
      </c>
      <c r="U274" s="21"/>
      <c r="V274" s="21"/>
    </row>
    <row r="275">
      <c r="A275" s="11">
        <v>263.0</v>
      </c>
      <c r="B275" s="11">
        <v>1.42053913043478E9</v>
      </c>
      <c r="C275" s="2">
        <v>-102.4369583</v>
      </c>
      <c r="D275" s="24">
        <f t="shared" si="1"/>
        <v>139130.4348</v>
      </c>
      <c r="E275" s="25">
        <f t="shared" si="2"/>
        <v>-30.30377236</v>
      </c>
      <c r="F275" s="24">
        <f t="shared" si="3"/>
        <v>0.0002178083638</v>
      </c>
      <c r="G275" s="24">
        <f t="shared" si="4"/>
        <v>0</v>
      </c>
      <c r="H275" s="26">
        <f t="shared" si="5"/>
        <v>0</v>
      </c>
      <c r="I275" s="24">
        <f t="shared" si="6"/>
        <v>0</v>
      </c>
      <c r="J275" s="24">
        <f t="shared" si="7"/>
        <v>0</v>
      </c>
      <c r="K275" s="24"/>
      <c r="L275" s="24">
        <f t="shared" si="8"/>
        <v>433.920669</v>
      </c>
      <c r="M275" s="14">
        <f t="shared" si="9"/>
        <v>407.7979186</v>
      </c>
      <c r="N275" s="27">
        <f t="shared" si="10"/>
        <v>26.12275033</v>
      </c>
      <c r="O275" s="24"/>
      <c r="P275" s="24"/>
      <c r="Q275" s="24"/>
      <c r="R275" s="26"/>
      <c r="S275" s="9">
        <f t="shared" si="13"/>
        <v>23.98842055</v>
      </c>
      <c r="U275" s="21"/>
      <c r="V275" s="21"/>
    </row>
    <row r="276">
      <c r="A276" s="11">
        <v>264.0</v>
      </c>
      <c r="B276" s="11">
        <v>1.42054347826087E9</v>
      </c>
      <c r="C276" s="2">
        <v>-102.4560928</v>
      </c>
      <c r="D276" s="24">
        <f t="shared" si="1"/>
        <v>143478.2609</v>
      </c>
      <c r="E276" s="25">
        <f t="shared" si="2"/>
        <v>-31.22206849</v>
      </c>
      <c r="F276" s="24">
        <f t="shared" si="3"/>
        <v>0.0002176083562</v>
      </c>
      <c r="G276" s="24">
        <f t="shared" si="4"/>
        <v>0</v>
      </c>
      <c r="H276" s="26">
        <f t="shared" si="5"/>
        <v>0</v>
      </c>
      <c r="I276" s="24">
        <f t="shared" si="6"/>
        <v>0</v>
      </c>
      <c r="J276" s="24">
        <f t="shared" si="7"/>
        <v>0</v>
      </c>
      <c r="K276" s="24"/>
      <c r="L276" s="24">
        <f t="shared" si="8"/>
        <v>432.0130713</v>
      </c>
      <c r="M276" s="14">
        <f t="shared" si="9"/>
        <v>407.70821</v>
      </c>
      <c r="N276" s="27">
        <f t="shared" si="10"/>
        <v>24.30486138</v>
      </c>
      <c r="O276" s="24"/>
      <c r="P276" s="24"/>
      <c r="Q276" s="24"/>
      <c r="R276" s="26"/>
      <c r="S276" s="9">
        <f t="shared" si="13"/>
        <v>22.31906022</v>
      </c>
      <c r="U276" s="21"/>
      <c r="V276" s="21"/>
    </row>
    <row r="277">
      <c r="A277" s="11">
        <v>265.0</v>
      </c>
      <c r="B277" s="11">
        <v>1.42054782608695E9</v>
      </c>
      <c r="C277" s="2">
        <v>-102.4867325</v>
      </c>
      <c r="D277" s="24">
        <f t="shared" si="1"/>
        <v>147826.087</v>
      </c>
      <c r="E277" s="25">
        <f t="shared" si="2"/>
        <v>-32.14036462</v>
      </c>
      <c r="F277" s="24">
        <f t="shared" si="3"/>
        <v>0.0002174201136</v>
      </c>
      <c r="G277" s="24">
        <f t="shared" si="4"/>
        <v>0</v>
      </c>
      <c r="H277" s="26">
        <f t="shared" si="5"/>
        <v>0</v>
      </c>
      <c r="I277" s="24">
        <f t="shared" si="6"/>
        <v>0</v>
      </c>
      <c r="J277" s="24">
        <f t="shared" si="7"/>
        <v>0</v>
      </c>
      <c r="K277" s="24"/>
      <c r="L277" s="24">
        <f t="shared" si="8"/>
        <v>428.975923</v>
      </c>
      <c r="M277" s="14">
        <f t="shared" si="9"/>
        <v>407.6185857</v>
      </c>
      <c r="N277" s="27">
        <f t="shared" si="10"/>
        <v>21.35733733</v>
      </c>
      <c r="O277" s="24"/>
      <c r="P277" s="24"/>
      <c r="Q277" s="24"/>
      <c r="R277" s="26"/>
      <c r="S277" s="9">
        <f t="shared" si="13"/>
        <v>19.61236028</v>
      </c>
      <c r="U277" s="21"/>
      <c r="V277" s="21"/>
    </row>
    <row r="278">
      <c r="A278" s="11">
        <v>266.0</v>
      </c>
      <c r="B278" s="11">
        <v>1.42055217391304E9</v>
      </c>
      <c r="C278" s="2">
        <v>-102.499939</v>
      </c>
      <c r="D278" s="24">
        <f t="shared" si="1"/>
        <v>152173.913</v>
      </c>
      <c r="E278" s="25">
        <f t="shared" si="2"/>
        <v>-33.05866076</v>
      </c>
      <c r="F278" s="24">
        <f t="shared" si="3"/>
        <v>0.0002172426278</v>
      </c>
      <c r="G278" s="24">
        <f t="shared" si="4"/>
        <v>0</v>
      </c>
      <c r="H278" s="26">
        <f t="shared" si="5"/>
        <v>0</v>
      </c>
      <c r="I278" s="24">
        <f t="shared" si="6"/>
        <v>0</v>
      </c>
      <c r="J278" s="24">
        <f t="shared" si="7"/>
        <v>0</v>
      </c>
      <c r="K278" s="24"/>
      <c r="L278" s="24">
        <f t="shared" si="8"/>
        <v>427.6734277</v>
      </c>
      <c r="M278" s="14">
        <f t="shared" si="9"/>
        <v>407.5290467</v>
      </c>
      <c r="N278" s="27">
        <f t="shared" si="10"/>
        <v>20.14438099</v>
      </c>
      <c r="O278" s="24"/>
      <c r="P278" s="24"/>
      <c r="Q278" s="24"/>
      <c r="R278" s="26"/>
      <c r="S278" s="9">
        <f t="shared" si="13"/>
        <v>18.49850712</v>
      </c>
      <c r="U278" s="21"/>
      <c r="V278" s="21"/>
    </row>
    <row r="279">
      <c r="A279" s="11">
        <v>267.0</v>
      </c>
      <c r="B279" s="11">
        <v>1.42055652173913E9</v>
      </c>
      <c r="C279" s="2">
        <v>-102.5571289</v>
      </c>
      <c r="D279" s="24">
        <f t="shared" si="1"/>
        <v>156521.7391</v>
      </c>
      <c r="E279" s="25">
        <f t="shared" si="2"/>
        <v>-33.97695689</v>
      </c>
      <c r="F279" s="24">
        <f t="shared" si="3"/>
        <v>0.0002170750023</v>
      </c>
      <c r="G279" s="24">
        <f t="shared" si="4"/>
        <v>0</v>
      </c>
      <c r="H279" s="26">
        <f t="shared" si="5"/>
        <v>0</v>
      </c>
      <c r="I279" s="24">
        <f t="shared" si="6"/>
        <v>0</v>
      </c>
      <c r="J279" s="24">
        <f t="shared" si="7"/>
        <v>0</v>
      </c>
      <c r="K279" s="24"/>
      <c r="L279" s="24">
        <f t="shared" si="8"/>
        <v>422.0785456</v>
      </c>
      <c r="M279" s="14">
        <f t="shared" si="9"/>
        <v>407.4395937</v>
      </c>
      <c r="N279" s="27">
        <f t="shared" si="10"/>
        <v>14.63895186</v>
      </c>
      <c r="O279" s="24"/>
      <c r="P279" s="24"/>
      <c r="Q279" s="24"/>
      <c r="R279" s="26"/>
      <c r="S279" s="9">
        <f t="shared" si="13"/>
        <v>13.44289288</v>
      </c>
      <c r="U279" s="21"/>
      <c r="V279" s="21"/>
    </row>
    <row r="280">
      <c r="A280" s="11">
        <v>268.0</v>
      </c>
      <c r="B280" s="11">
        <v>1.42056086956521E9</v>
      </c>
      <c r="C280" s="2">
        <v>-102.5027771</v>
      </c>
      <c r="D280" s="24">
        <f t="shared" si="1"/>
        <v>160869.5652</v>
      </c>
      <c r="E280" s="25">
        <f t="shared" si="2"/>
        <v>-34.89525302</v>
      </c>
      <c r="F280" s="24">
        <f t="shared" si="3"/>
        <v>0.0002169164377</v>
      </c>
      <c r="G280" s="24">
        <f t="shared" si="4"/>
        <v>0</v>
      </c>
      <c r="H280" s="26">
        <f t="shared" si="5"/>
        <v>0</v>
      </c>
      <c r="I280" s="24">
        <f t="shared" si="6"/>
        <v>0</v>
      </c>
      <c r="J280" s="24">
        <f t="shared" si="7"/>
        <v>0</v>
      </c>
      <c r="K280" s="24"/>
      <c r="L280" s="24">
        <f t="shared" si="8"/>
        <v>427.3940358</v>
      </c>
      <c r="M280" s="14">
        <f t="shared" si="9"/>
        <v>407.3502277</v>
      </c>
      <c r="N280" s="27">
        <f t="shared" si="10"/>
        <v>20.04380807</v>
      </c>
      <c r="O280" s="24"/>
      <c r="P280" s="24"/>
      <c r="Q280" s="24"/>
      <c r="R280" s="26"/>
      <c r="S280" s="9">
        <f t="shared" si="13"/>
        <v>18.40615144</v>
      </c>
      <c r="U280" s="21"/>
      <c r="V280" s="21"/>
    </row>
    <row r="281">
      <c r="A281" s="11">
        <v>269.0</v>
      </c>
      <c r="B281" s="11">
        <v>1.4205652173913E9</v>
      </c>
      <c r="C281" s="2">
        <v>-102.4973831</v>
      </c>
      <c r="D281" s="24">
        <f t="shared" si="1"/>
        <v>165217.3913</v>
      </c>
      <c r="E281" s="25">
        <f t="shared" si="2"/>
        <v>-35.81354915</v>
      </c>
      <c r="F281" s="24">
        <f t="shared" si="3"/>
        <v>0.0002167662186</v>
      </c>
      <c r="G281" s="24">
        <f t="shared" si="4"/>
        <v>0</v>
      </c>
      <c r="H281" s="26">
        <f t="shared" si="5"/>
        <v>0</v>
      </c>
      <c r="I281" s="24">
        <f t="shared" si="6"/>
        <v>0</v>
      </c>
      <c r="J281" s="24">
        <f t="shared" si="7"/>
        <v>0</v>
      </c>
      <c r="K281" s="24"/>
      <c r="L281" s="24">
        <f t="shared" si="8"/>
        <v>427.9251951</v>
      </c>
      <c r="M281" s="14">
        <f t="shared" si="9"/>
        <v>407.2609495</v>
      </c>
      <c r="N281" s="27">
        <f t="shared" si="10"/>
        <v>20.66424565</v>
      </c>
      <c r="O281" s="24"/>
      <c r="P281" s="24"/>
      <c r="Q281" s="24"/>
      <c r="R281" s="26"/>
      <c r="S281" s="9">
        <f t="shared" si="13"/>
        <v>18.97589683</v>
      </c>
      <c r="U281" s="21"/>
      <c r="V281" s="21"/>
    </row>
    <row r="282">
      <c r="A282" s="11">
        <v>270.0</v>
      </c>
      <c r="B282" s="11">
        <v>1.42056956521739E9</v>
      </c>
      <c r="C282" s="2">
        <v>-102.5413971</v>
      </c>
      <c r="D282" s="24">
        <f t="shared" si="1"/>
        <v>169565.2174</v>
      </c>
      <c r="E282" s="25">
        <f t="shared" si="2"/>
        <v>-36.73184528</v>
      </c>
      <c r="F282" s="24">
        <f t="shared" si="3"/>
        <v>0.000216623703</v>
      </c>
      <c r="G282" s="24">
        <f t="shared" si="4"/>
        <v>0</v>
      </c>
      <c r="H282" s="26">
        <f t="shared" si="5"/>
        <v>0</v>
      </c>
      <c r="I282" s="24">
        <f t="shared" si="6"/>
        <v>0</v>
      </c>
      <c r="J282" s="24">
        <f t="shared" si="7"/>
        <v>0</v>
      </c>
      <c r="K282" s="24"/>
      <c r="L282" s="24">
        <f t="shared" si="8"/>
        <v>423.6102474</v>
      </c>
      <c r="M282" s="14">
        <f t="shared" si="9"/>
        <v>407.1717598</v>
      </c>
      <c r="N282" s="27">
        <f t="shared" si="10"/>
        <v>16.43848752</v>
      </c>
      <c r="O282" s="24"/>
      <c r="P282" s="24"/>
      <c r="Q282" s="24"/>
      <c r="R282" s="26"/>
      <c r="S282" s="9">
        <f t="shared" si="13"/>
        <v>15.09539952</v>
      </c>
      <c r="U282" s="21"/>
      <c r="V282" s="21"/>
    </row>
    <row r="283">
      <c r="A283" s="11">
        <v>271.0</v>
      </c>
      <c r="B283" s="11">
        <v>1.42057391304347E9</v>
      </c>
      <c r="C283" s="2">
        <v>-102.5003433</v>
      </c>
      <c r="D283" s="24">
        <f t="shared" si="1"/>
        <v>173913.0435</v>
      </c>
      <c r="E283" s="25">
        <f t="shared" si="2"/>
        <v>-37.65014142</v>
      </c>
      <c r="F283" s="24">
        <f t="shared" si="3"/>
        <v>0.0002164883132</v>
      </c>
      <c r="G283" s="24">
        <f t="shared" si="4"/>
        <v>0</v>
      </c>
      <c r="H283" s="26">
        <f t="shared" si="5"/>
        <v>0</v>
      </c>
      <c r="I283" s="24">
        <f t="shared" si="6"/>
        <v>0</v>
      </c>
      <c r="J283" s="24">
        <f t="shared" si="7"/>
        <v>0</v>
      </c>
      <c r="K283" s="24"/>
      <c r="L283" s="24">
        <f t="shared" si="8"/>
        <v>427.6336159</v>
      </c>
      <c r="M283" s="14">
        <f t="shared" si="9"/>
        <v>407.0826596</v>
      </c>
      <c r="N283" s="27">
        <f t="shared" si="10"/>
        <v>20.55095626</v>
      </c>
      <c r="O283" s="24"/>
      <c r="P283" s="24"/>
      <c r="Q283" s="24"/>
      <c r="R283" s="26"/>
      <c r="S283" s="9">
        <f t="shared" si="13"/>
        <v>18.87186366</v>
      </c>
      <c r="U283" s="21"/>
      <c r="V283" s="21"/>
    </row>
    <row r="284">
      <c r="A284" s="11">
        <v>272.0</v>
      </c>
      <c r="B284" s="11">
        <v>1.42057826086956E9</v>
      </c>
      <c r="C284" s="2">
        <v>-102.5339813</v>
      </c>
      <c r="D284" s="24">
        <f t="shared" si="1"/>
        <v>178260.8696</v>
      </c>
      <c r="E284" s="25">
        <f t="shared" si="2"/>
        <v>-38.56843755</v>
      </c>
      <c r="F284" s="24">
        <f t="shared" si="3"/>
        <v>0.0002163595277</v>
      </c>
      <c r="G284" s="24">
        <f t="shared" si="4"/>
        <v>0</v>
      </c>
      <c r="H284" s="26">
        <f t="shared" si="5"/>
        <v>0</v>
      </c>
      <c r="I284" s="24">
        <f t="shared" si="6"/>
        <v>0</v>
      </c>
      <c r="J284" s="24">
        <f t="shared" si="7"/>
        <v>0</v>
      </c>
      <c r="K284" s="24"/>
      <c r="L284" s="24">
        <f t="shared" si="8"/>
        <v>424.3342014</v>
      </c>
      <c r="M284" s="14">
        <f t="shared" si="9"/>
        <v>406.9936497</v>
      </c>
      <c r="N284" s="27">
        <f t="shared" si="10"/>
        <v>17.34055169</v>
      </c>
      <c r="O284" s="24"/>
      <c r="P284" s="24"/>
      <c r="Q284" s="24"/>
      <c r="R284" s="26"/>
      <c r="S284" s="9">
        <f t="shared" si="13"/>
        <v>15.92376152</v>
      </c>
      <c r="U284" s="21"/>
      <c r="V284" s="21"/>
    </row>
    <row r="285">
      <c r="A285" s="11">
        <v>273.0</v>
      </c>
      <c r="B285" s="11">
        <v>1.42058260869565E9</v>
      </c>
      <c r="C285" s="2">
        <v>-102.6103058</v>
      </c>
      <c r="D285" s="24">
        <f t="shared" si="1"/>
        <v>182608.6957</v>
      </c>
      <c r="E285" s="25">
        <f t="shared" si="2"/>
        <v>-39.48673368</v>
      </c>
      <c r="F285" s="24">
        <f t="shared" si="3"/>
        <v>0.0002162368749</v>
      </c>
      <c r="G285" s="24">
        <f t="shared" si="4"/>
        <v>0</v>
      </c>
      <c r="H285" s="26">
        <f t="shared" si="5"/>
        <v>0</v>
      </c>
      <c r="I285" s="24">
        <f t="shared" si="6"/>
        <v>0</v>
      </c>
      <c r="J285" s="24">
        <f t="shared" si="7"/>
        <v>0</v>
      </c>
      <c r="K285" s="24"/>
      <c r="L285" s="24">
        <f t="shared" si="8"/>
        <v>416.9419444</v>
      </c>
      <c r="M285" s="14">
        <f t="shared" si="9"/>
        <v>406.9047309</v>
      </c>
      <c r="N285" s="27">
        <f t="shared" si="10"/>
        <v>10.03721348</v>
      </c>
      <c r="O285" s="24"/>
      <c r="P285" s="24"/>
      <c r="Q285" s="24"/>
      <c r="R285" s="26"/>
      <c r="S285" s="9">
        <f t="shared" si="13"/>
        <v>9.217134327</v>
      </c>
      <c r="U285" s="21"/>
      <c r="V285" s="21"/>
    </row>
    <row r="286">
      <c r="A286" s="11">
        <v>274.0</v>
      </c>
      <c r="B286" s="11">
        <v>1.42058695652173E9</v>
      </c>
      <c r="C286" s="2">
        <v>-102.5291977</v>
      </c>
      <c r="D286" s="24">
        <f t="shared" si="1"/>
        <v>186956.5217</v>
      </c>
      <c r="E286" s="25">
        <f t="shared" si="2"/>
        <v>-40.40502981</v>
      </c>
      <c r="F286" s="24">
        <f t="shared" si="3"/>
        <v>0.0002161199269</v>
      </c>
      <c r="G286" s="24">
        <f t="shared" si="4"/>
        <v>0</v>
      </c>
      <c r="H286" s="26">
        <f t="shared" si="5"/>
        <v>0</v>
      </c>
      <c r="I286" s="24">
        <f t="shared" si="6"/>
        <v>0</v>
      </c>
      <c r="J286" s="24">
        <f t="shared" si="7"/>
        <v>0</v>
      </c>
      <c r="K286" s="24"/>
      <c r="L286" s="24">
        <f t="shared" si="8"/>
        <v>424.801848</v>
      </c>
      <c r="M286" s="14">
        <f t="shared" si="9"/>
        <v>406.8159041</v>
      </c>
      <c r="N286" s="27">
        <f t="shared" si="10"/>
        <v>17.98594395</v>
      </c>
      <c r="O286" s="24"/>
      <c r="P286" s="24"/>
      <c r="Q286" s="24"/>
      <c r="R286" s="26"/>
      <c r="S286" s="9">
        <f t="shared" si="13"/>
        <v>16.51642277</v>
      </c>
      <c r="U286" s="21"/>
      <c r="V286" s="21"/>
    </row>
    <row r="287">
      <c r="A287" s="11">
        <v>275.0</v>
      </c>
      <c r="B287" s="11">
        <v>1.42059130434782E9</v>
      </c>
      <c r="C287" s="2">
        <v>-102.5729752</v>
      </c>
      <c r="D287" s="24">
        <f t="shared" si="1"/>
        <v>191304.3478</v>
      </c>
      <c r="E287" s="25">
        <f t="shared" si="2"/>
        <v>-41.32332595</v>
      </c>
      <c r="F287" s="24">
        <f t="shared" si="3"/>
        <v>0.0002160082947</v>
      </c>
      <c r="G287" s="24">
        <f t="shared" si="4"/>
        <v>0</v>
      </c>
      <c r="H287" s="26">
        <f t="shared" si="5"/>
        <v>0</v>
      </c>
      <c r="I287" s="24">
        <f t="shared" si="6"/>
        <v>0</v>
      </c>
      <c r="J287" s="24">
        <f t="shared" si="7"/>
        <v>0</v>
      </c>
      <c r="K287" s="24"/>
      <c r="L287" s="24">
        <f t="shared" si="8"/>
        <v>420.5412947</v>
      </c>
      <c r="M287" s="14">
        <f t="shared" si="9"/>
        <v>406.72717</v>
      </c>
      <c r="N287" s="27">
        <f t="shared" si="10"/>
        <v>13.81412466</v>
      </c>
      <c r="O287" s="24"/>
      <c r="P287" s="24"/>
      <c r="Q287" s="24"/>
      <c r="R287" s="26"/>
      <c r="S287" s="9">
        <f t="shared" si="13"/>
        <v>12.68545726</v>
      </c>
      <c r="U287" s="21"/>
      <c r="V287" s="21"/>
    </row>
    <row r="288">
      <c r="A288" s="11">
        <v>276.0</v>
      </c>
      <c r="B288" s="11">
        <v>1.42059565217391E9</v>
      </c>
      <c r="C288" s="2">
        <v>-102.5291443</v>
      </c>
      <c r="D288" s="24">
        <f t="shared" si="1"/>
        <v>195652.1739</v>
      </c>
      <c r="E288" s="25">
        <f t="shared" si="2"/>
        <v>-42.24162208</v>
      </c>
      <c r="F288" s="24">
        <f t="shared" si="3"/>
        <v>0.000215901624</v>
      </c>
      <c r="G288" s="24">
        <f t="shared" si="4"/>
        <v>0</v>
      </c>
      <c r="H288" s="26">
        <f t="shared" si="5"/>
        <v>0</v>
      </c>
      <c r="I288" s="24">
        <f t="shared" si="6"/>
        <v>0</v>
      </c>
      <c r="J288" s="24">
        <f t="shared" si="7"/>
        <v>0</v>
      </c>
      <c r="K288" s="24"/>
      <c r="L288" s="24">
        <f t="shared" si="8"/>
        <v>424.8070713</v>
      </c>
      <c r="M288" s="14">
        <f t="shared" si="9"/>
        <v>406.6385296</v>
      </c>
      <c r="N288" s="27">
        <f t="shared" si="10"/>
        <v>18.16854172</v>
      </c>
      <c r="O288" s="24"/>
      <c r="P288" s="24"/>
      <c r="Q288" s="24"/>
      <c r="R288" s="26"/>
      <c r="S288" s="9">
        <f t="shared" si="13"/>
        <v>16.68410157</v>
      </c>
      <c r="U288" s="21"/>
      <c r="V288" s="21"/>
    </row>
    <row r="289">
      <c r="A289" s="11">
        <v>277.0</v>
      </c>
      <c r="B289" s="11">
        <v>1.4206E9</v>
      </c>
      <c r="C289" s="2">
        <v>-102.6069717</v>
      </c>
      <c r="D289" s="24">
        <f t="shared" si="1"/>
        <v>200000</v>
      </c>
      <c r="E289" s="25">
        <f t="shared" si="2"/>
        <v>-43.15991821</v>
      </c>
      <c r="F289" s="24">
        <f t="shared" si="3"/>
        <v>0.000215799591</v>
      </c>
      <c r="G289" s="24">
        <f t="shared" si="4"/>
        <v>0</v>
      </c>
      <c r="H289" s="26">
        <f t="shared" si="5"/>
        <v>0</v>
      </c>
      <c r="I289" s="24">
        <f t="shared" si="6"/>
        <v>0</v>
      </c>
      <c r="J289" s="24">
        <f t="shared" si="7"/>
        <v>0</v>
      </c>
      <c r="K289" s="24"/>
      <c r="L289" s="24">
        <f t="shared" si="8"/>
        <v>417.2621557</v>
      </c>
      <c r="M289" s="14">
        <f t="shared" si="9"/>
        <v>406.5499837</v>
      </c>
      <c r="N289" s="27">
        <f t="shared" si="10"/>
        <v>10.712172</v>
      </c>
      <c r="O289" s="24"/>
      <c r="P289" s="24"/>
      <c r="Q289" s="24"/>
      <c r="R289" s="26"/>
      <c r="S289" s="9">
        <f t="shared" si="13"/>
        <v>9.836946123</v>
      </c>
      <c r="U289" s="21"/>
      <c r="V289" s="21"/>
    </row>
    <row r="290">
      <c r="A290" s="11">
        <v>278.0</v>
      </c>
      <c r="B290" s="11">
        <v>1.42060434782608E9</v>
      </c>
      <c r="C290" s="2">
        <v>-102.6206207</v>
      </c>
      <c r="D290" s="24">
        <f t="shared" si="1"/>
        <v>204347.8261</v>
      </c>
      <c r="E290" s="25">
        <f t="shared" si="2"/>
        <v>-44.07821434</v>
      </c>
      <c r="F290" s="24">
        <f t="shared" si="3"/>
        <v>0.0002157019</v>
      </c>
      <c r="G290" s="24">
        <f t="shared" si="4"/>
        <v>0</v>
      </c>
      <c r="H290" s="26">
        <f t="shared" si="5"/>
        <v>0</v>
      </c>
      <c r="I290" s="24">
        <f t="shared" si="6"/>
        <v>0</v>
      </c>
      <c r="J290" s="24">
        <f t="shared" si="7"/>
        <v>0</v>
      </c>
      <c r="K290" s="24"/>
      <c r="L290" s="24">
        <f t="shared" si="8"/>
        <v>415.9528434</v>
      </c>
      <c r="M290" s="14">
        <f t="shared" si="9"/>
        <v>406.461533</v>
      </c>
      <c r="N290" s="27">
        <f t="shared" si="10"/>
        <v>9.491310323</v>
      </c>
      <c r="O290" s="24"/>
      <c r="P290" s="24"/>
      <c r="Q290" s="24"/>
      <c r="R290" s="26"/>
      <c r="S290" s="9">
        <f t="shared" si="13"/>
        <v>8.715833565</v>
      </c>
      <c r="U290" s="21"/>
      <c r="V290" s="21"/>
    </row>
    <row r="291">
      <c r="A291" s="11">
        <v>279.0</v>
      </c>
      <c r="B291" s="11">
        <v>1.42060869565217E9</v>
      </c>
      <c r="C291" s="2">
        <v>-102.6304626</v>
      </c>
      <c r="D291" s="24">
        <f t="shared" si="1"/>
        <v>208695.6522</v>
      </c>
      <c r="E291" s="25">
        <f t="shared" si="2"/>
        <v>-44.99651047</v>
      </c>
      <c r="F291" s="24">
        <f t="shared" si="3"/>
        <v>0.0002156082794</v>
      </c>
      <c r="G291" s="24">
        <f t="shared" si="4"/>
        <v>0</v>
      </c>
      <c r="H291" s="26">
        <f t="shared" si="5"/>
        <v>0</v>
      </c>
      <c r="I291" s="24">
        <f t="shared" si="6"/>
        <v>0</v>
      </c>
      <c r="J291" s="24">
        <f t="shared" si="7"/>
        <v>0</v>
      </c>
      <c r="K291" s="24"/>
      <c r="L291" s="24">
        <f t="shared" si="8"/>
        <v>415.0112861</v>
      </c>
      <c r="M291" s="14">
        <f t="shared" si="9"/>
        <v>406.3731786</v>
      </c>
      <c r="N291" s="27">
        <f t="shared" si="10"/>
        <v>8.638107542</v>
      </c>
      <c r="O291" s="24"/>
      <c r="P291" s="24"/>
      <c r="Q291" s="24"/>
      <c r="R291" s="26"/>
      <c r="S291" s="9">
        <f t="shared" si="13"/>
        <v>7.932340732</v>
      </c>
      <c r="U291" s="21"/>
      <c r="V291" s="21"/>
    </row>
    <row r="292">
      <c r="A292" s="11">
        <v>280.0</v>
      </c>
      <c r="B292" s="11">
        <v>1.42061304347826E9</v>
      </c>
      <c r="C292" s="2">
        <v>-102.632515</v>
      </c>
      <c r="D292" s="24">
        <f t="shared" si="1"/>
        <v>213043.4783</v>
      </c>
      <c r="E292" s="25">
        <f t="shared" si="2"/>
        <v>-45.91480661</v>
      </c>
      <c r="F292" s="24">
        <f t="shared" si="3"/>
        <v>0.00021551848</v>
      </c>
      <c r="G292" s="24">
        <f t="shared" si="4"/>
        <v>0</v>
      </c>
      <c r="H292" s="26">
        <f t="shared" si="5"/>
        <v>0</v>
      </c>
      <c r="I292" s="24">
        <f t="shared" si="6"/>
        <v>0</v>
      </c>
      <c r="J292" s="24">
        <f t="shared" si="7"/>
        <v>0</v>
      </c>
      <c r="K292" s="24"/>
      <c r="L292" s="24">
        <f t="shared" si="8"/>
        <v>414.8152053</v>
      </c>
      <c r="M292" s="14">
        <f t="shared" si="9"/>
        <v>406.2849211</v>
      </c>
      <c r="N292" s="27">
        <f t="shared" si="10"/>
        <v>8.530284256</v>
      </c>
      <c r="O292" s="24"/>
      <c r="P292" s="24"/>
      <c r="Q292" s="24"/>
      <c r="R292" s="26"/>
      <c r="S292" s="9">
        <f t="shared" si="13"/>
        <v>7.833327044</v>
      </c>
      <c r="U292" s="21"/>
      <c r="V292" s="21"/>
    </row>
    <row r="293">
      <c r="A293" s="11">
        <v>281.0</v>
      </c>
      <c r="B293" s="11">
        <v>1.42061739130434E9</v>
      </c>
      <c r="C293" s="2">
        <v>-102.6570511</v>
      </c>
      <c r="D293" s="24">
        <f t="shared" si="1"/>
        <v>217391.3043</v>
      </c>
      <c r="E293" s="25">
        <f t="shared" si="2"/>
        <v>-46.83310274</v>
      </c>
      <c r="F293" s="24">
        <f t="shared" si="3"/>
        <v>0.0002154322726</v>
      </c>
      <c r="G293" s="24">
        <f t="shared" si="4"/>
        <v>0</v>
      </c>
      <c r="H293" s="26">
        <f t="shared" si="5"/>
        <v>0</v>
      </c>
      <c r="I293" s="24">
        <f t="shared" si="6"/>
        <v>0</v>
      </c>
      <c r="J293" s="24">
        <f t="shared" si="7"/>
        <v>0</v>
      </c>
      <c r="K293" s="24"/>
      <c r="L293" s="24">
        <f t="shared" si="8"/>
        <v>412.478254</v>
      </c>
      <c r="M293" s="14">
        <f t="shared" si="9"/>
        <v>406.1967614</v>
      </c>
      <c r="N293" s="27">
        <f t="shared" si="10"/>
        <v>6.281492604</v>
      </c>
      <c r="O293" s="24"/>
      <c r="P293" s="24"/>
      <c r="Q293" s="24"/>
      <c r="R293" s="26"/>
      <c r="S293" s="9">
        <f t="shared" si="13"/>
        <v>5.768270366</v>
      </c>
      <c r="U293" s="21"/>
      <c r="V293" s="21"/>
    </row>
    <row r="294">
      <c r="A294" s="11">
        <v>282.0</v>
      </c>
      <c r="B294" s="11">
        <v>1.42062173913043E9</v>
      </c>
      <c r="C294" s="2">
        <v>-102.6359024</v>
      </c>
      <c r="D294" s="24">
        <f t="shared" si="1"/>
        <v>221739.1304</v>
      </c>
      <c r="E294" s="25">
        <f t="shared" si="2"/>
        <v>-47.75139887</v>
      </c>
      <c r="F294" s="24">
        <f t="shared" si="3"/>
        <v>0.0002153494459</v>
      </c>
      <c r="G294" s="24">
        <f t="shared" si="4"/>
        <v>0</v>
      </c>
      <c r="H294" s="26">
        <f t="shared" si="5"/>
        <v>0</v>
      </c>
      <c r="I294" s="24">
        <f t="shared" si="6"/>
        <v>0</v>
      </c>
      <c r="J294" s="24">
        <f t="shared" si="7"/>
        <v>0</v>
      </c>
      <c r="K294" s="24"/>
      <c r="L294" s="24">
        <f t="shared" si="8"/>
        <v>414.4917849</v>
      </c>
      <c r="M294" s="14">
        <f t="shared" si="9"/>
        <v>406.1087005</v>
      </c>
      <c r="N294" s="27">
        <f t="shared" si="10"/>
        <v>8.383084422</v>
      </c>
      <c r="O294" s="24"/>
      <c r="P294" s="24"/>
      <c r="Q294" s="24"/>
      <c r="R294" s="26"/>
      <c r="S294" s="9">
        <f t="shared" si="13"/>
        <v>7.698153988</v>
      </c>
      <c r="U294" s="21"/>
      <c r="V294" s="21"/>
    </row>
    <row r="295">
      <c r="A295" s="11">
        <v>283.0</v>
      </c>
      <c r="B295" s="11">
        <v>1.42062608695652E9</v>
      </c>
      <c r="C295" s="2">
        <v>-102.614212</v>
      </c>
      <c r="D295" s="24">
        <f t="shared" si="1"/>
        <v>226086.9565</v>
      </c>
      <c r="E295" s="25">
        <f t="shared" si="2"/>
        <v>-48.669695</v>
      </c>
      <c r="F295" s="24">
        <f t="shared" si="3"/>
        <v>0.0002152698048</v>
      </c>
      <c r="G295" s="24">
        <f t="shared" si="4"/>
        <v>0</v>
      </c>
      <c r="H295" s="26">
        <f t="shared" si="5"/>
        <v>0</v>
      </c>
      <c r="I295" s="24">
        <f t="shared" si="6"/>
        <v>0</v>
      </c>
      <c r="J295" s="24">
        <f t="shared" si="7"/>
        <v>0</v>
      </c>
      <c r="K295" s="24"/>
      <c r="L295" s="24">
        <f t="shared" si="8"/>
        <v>416.5671005</v>
      </c>
      <c r="M295" s="14">
        <f t="shared" si="9"/>
        <v>406.020739</v>
      </c>
      <c r="N295" s="27">
        <f t="shared" si="10"/>
        <v>10.54636147</v>
      </c>
      <c r="O295" s="24"/>
      <c r="P295" s="24"/>
      <c r="Q295" s="24"/>
      <c r="R295" s="26"/>
      <c r="S295" s="9">
        <f t="shared" si="13"/>
        <v>9.684682958</v>
      </c>
      <c r="U295" s="21"/>
      <c r="V295" s="21"/>
    </row>
    <row r="296">
      <c r="A296" s="11">
        <v>284.0</v>
      </c>
      <c r="B296" s="11">
        <v>1.4206304347826E9</v>
      </c>
      <c r="C296" s="2">
        <v>-102.5788422</v>
      </c>
      <c r="D296" s="24">
        <f t="shared" si="1"/>
        <v>230434.7826</v>
      </c>
      <c r="E296" s="25">
        <f t="shared" si="2"/>
        <v>-49.58799113</v>
      </c>
      <c r="F296" s="24">
        <f t="shared" si="3"/>
        <v>0.0002151931691</v>
      </c>
      <c r="G296" s="24">
        <f t="shared" si="4"/>
        <v>0</v>
      </c>
      <c r="H296" s="26">
        <f t="shared" si="5"/>
        <v>0</v>
      </c>
      <c r="I296" s="24">
        <f t="shared" si="6"/>
        <v>0</v>
      </c>
      <c r="J296" s="24">
        <f t="shared" si="7"/>
        <v>0</v>
      </c>
      <c r="K296" s="24"/>
      <c r="L296" s="24">
        <f t="shared" si="8"/>
        <v>419.9735578</v>
      </c>
      <c r="M296" s="14">
        <f t="shared" si="9"/>
        <v>405.9328779</v>
      </c>
      <c r="N296" s="27">
        <f t="shared" si="10"/>
        <v>14.0406799</v>
      </c>
      <c r="O296" s="24"/>
      <c r="P296" s="24"/>
      <c r="Q296" s="24"/>
      <c r="R296" s="26"/>
      <c r="S296" s="9">
        <f t="shared" si="13"/>
        <v>12.89350205</v>
      </c>
      <c r="U296" s="21"/>
      <c r="V296" s="21"/>
    </row>
    <row r="297">
      <c r="A297" s="11">
        <v>285.0</v>
      </c>
      <c r="B297" s="11">
        <v>1.42063478260869E9</v>
      </c>
      <c r="C297" s="2">
        <v>-102.5622025</v>
      </c>
      <c r="D297" s="24">
        <f t="shared" si="1"/>
        <v>234782.6087</v>
      </c>
      <c r="E297" s="25">
        <f t="shared" si="2"/>
        <v>-50.50628727</v>
      </c>
      <c r="F297" s="24">
        <f t="shared" si="3"/>
        <v>0.0002151193717</v>
      </c>
      <c r="G297" s="24">
        <f t="shared" si="4"/>
        <v>0</v>
      </c>
      <c r="H297" s="26">
        <f t="shared" si="5"/>
        <v>0</v>
      </c>
      <c r="I297" s="24">
        <f t="shared" si="6"/>
        <v>0</v>
      </c>
      <c r="J297" s="24">
        <f t="shared" si="7"/>
        <v>0</v>
      </c>
      <c r="K297" s="24"/>
      <c r="L297" s="24">
        <f t="shared" si="8"/>
        <v>421.5857447</v>
      </c>
      <c r="M297" s="14">
        <f t="shared" si="9"/>
        <v>405.845118</v>
      </c>
      <c r="N297" s="27">
        <f t="shared" si="10"/>
        <v>15.74062669</v>
      </c>
      <c r="O297" s="24"/>
      <c r="P297" s="24"/>
      <c r="Q297" s="24"/>
      <c r="R297" s="26"/>
      <c r="S297" s="9">
        <f t="shared" si="13"/>
        <v>14.45455662</v>
      </c>
      <c r="U297" s="21"/>
      <c r="V297" s="21"/>
    </row>
    <row r="298">
      <c r="A298" s="11">
        <v>286.0</v>
      </c>
      <c r="B298" s="11">
        <v>1.42063913043478E9</v>
      </c>
      <c r="C298" s="2">
        <v>-102.5708847</v>
      </c>
      <c r="D298" s="24">
        <f t="shared" si="1"/>
        <v>239130.4348</v>
      </c>
      <c r="E298" s="25">
        <f t="shared" si="2"/>
        <v>-51.4245834</v>
      </c>
      <c r="F298" s="24">
        <f t="shared" si="3"/>
        <v>0.0002150482579</v>
      </c>
      <c r="G298" s="24">
        <f t="shared" si="4"/>
        <v>0</v>
      </c>
      <c r="H298" s="26">
        <f t="shared" si="5"/>
        <v>0</v>
      </c>
      <c r="I298" s="24">
        <f t="shared" si="6"/>
        <v>0</v>
      </c>
      <c r="J298" s="24">
        <f t="shared" si="7"/>
        <v>0</v>
      </c>
      <c r="K298" s="24"/>
      <c r="L298" s="24">
        <f t="shared" si="8"/>
        <v>420.7437732</v>
      </c>
      <c r="M298" s="14">
        <f t="shared" si="9"/>
        <v>405.7574601</v>
      </c>
      <c r="N298" s="27">
        <f t="shared" si="10"/>
        <v>14.98631316</v>
      </c>
      <c r="O298" s="24"/>
      <c r="P298" s="24"/>
      <c r="Q298" s="24"/>
      <c r="R298" s="26"/>
      <c r="S298" s="9">
        <f t="shared" si="13"/>
        <v>13.76187339</v>
      </c>
      <c r="U298" s="21"/>
      <c r="V298" s="21"/>
    </row>
    <row r="299">
      <c r="A299" s="11">
        <v>287.0</v>
      </c>
      <c r="B299" s="11">
        <v>1.42064347826087E9</v>
      </c>
      <c r="C299" s="2">
        <v>-102.608078</v>
      </c>
      <c r="D299" s="24">
        <f t="shared" si="1"/>
        <v>243478.2609</v>
      </c>
      <c r="E299" s="25">
        <f t="shared" si="2"/>
        <v>-52.34287953</v>
      </c>
      <c r="F299" s="24">
        <f t="shared" si="3"/>
        <v>0.0002149796838</v>
      </c>
      <c r="G299" s="24">
        <f t="shared" si="4"/>
        <v>0</v>
      </c>
      <c r="H299" s="26">
        <f t="shared" si="5"/>
        <v>0</v>
      </c>
      <c r="I299" s="24">
        <f t="shared" si="6"/>
        <v>0</v>
      </c>
      <c r="J299" s="24">
        <f t="shared" si="7"/>
        <v>0</v>
      </c>
      <c r="K299" s="24"/>
      <c r="L299" s="24">
        <f t="shared" si="8"/>
        <v>417.1558779</v>
      </c>
      <c r="M299" s="14">
        <f t="shared" si="9"/>
        <v>405.669905</v>
      </c>
      <c r="N299" s="27">
        <f t="shared" si="10"/>
        <v>11.48597289</v>
      </c>
      <c r="O299" s="24"/>
      <c r="P299" s="24"/>
      <c r="Q299" s="24"/>
      <c r="R299" s="26"/>
      <c r="S299" s="9">
        <f t="shared" si="13"/>
        <v>10.54752448</v>
      </c>
      <c r="U299" s="21"/>
      <c r="V299" s="21"/>
    </row>
    <row r="300">
      <c r="A300" s="11">
        <v>288.0</v>
      </c>
      <c r="B300" s="11">
        <v>1.42064782608695E9</v>
      </c>
      <c r="C300" s="2">
        <v>-102.6356277</v>
      </c>
      <c r="D300" s="24">
        <f t="shared" si="1"/>
        <v>247826.087</v>
      </c>
      <c r="E300" s="25">
        <f t="shared" si="2"/>
        <v>-53.26117566</v>
      </c>
      <c r="F300" s="24">
        <f t="shared" si="3"/>
        <v>0.0002149135158</v>
      </c>
      <c r="G300" s="24">
        <f t="shared" si="4"/>
        <v>0</v>
      </c>
      <c r="H300" s="26">
        <f t="shared" si="5"/>
        <v>0</v>
      </c>
      <c r="I300" s="24">
        <f t="shared" si="6"/>
        <v>0</v>
      </c>
      <c r="J300" s="24">
        <f t="shared" si="7"/>
        <v>0</v>
      </c>
      <c r="K300" s="24"/>
      <c r="L300" s="24">
        <f t="shared" si="8"/>
        <v>414.5180032</v>
      </c>
      <c r="M300" s="14">
        <f t="shared" si="9"/>
        <v>405.5824537</v>
      </c>
      <c r="N300" s="27">
        <f t="shared" si="10"/>
        <v>8.935549449</v>
      </c>
      <c r="O300" s="24"/>
      <c r="P300" s="24"/>
      <c r="Q300" s="24"/>
      <c r="R300" s="26"/>
      <c r="S300" s="9">
        <f t="shared" si="13"/>
        <v>8.205480504</v>
      </c>
      <c r="U300" s="21"/>
      <c r="V300" s="21"/>
    </row>
    <row r="301">
      <c r="A301" s="11">
        <v>289.0</v>
      </c>
      <c r="B301" s="11">
        <v>1.42065217391304E9</v>
      </c>
      <c r="C301" s="2">
        <v>-102.6310349</v>
      </c>
      <c r="D301" s="24">
        <f t="shared" si="1"/>
        <v>252173.913</v>
      </c>
      <c r="E301" s="25">
        <f t="shared" si="2"/>
        <v>-54.1794718</v>
      </c>
      <c r="F301" s="24">
        <f t="shared" si="3"/>
        <v>0.0002148496295</v>
      </c>
      <c r="G301" s="24">
        <f t="shared" si="4"/>
        <v>0</v>
      </c>
      <c r="H301" s="26">
        <f t="shared" si="5"/>
        <v>0</v>
      </c>
      <c r="I301" s="24">
        <f t="shared" si="6"/>
        <v>0</v>
      </c>
      <c r="J301" s="24">
        <f t="shared" si="7"/>
        <v>0</v>
      </c>
      <c r="K301" s="24"/>
      <c r="L301" s="24">
        <f t="shared" si="8"/>
        <v>414.9566008</v>
      </c>
      <c r="M301" s="14">
        <f t="shared" si="9"/>
        <v>405.4951069</v>
      </c>
      <c r="N301" s="27">
        <f t="shared" si="10"/>
        <v>9.46149386</v>
      </c>
      <c r="O301" s="24"/>
      <c r="P301" s="24"/>
      <c r="Q301" s="24"/>
      <c r="R301" s="26"/>
      <c r="S301" s="9">
        <f t="shared" si="13"/>
        <v>8.688453202</v>
      </c>
      <c r="U301" s="21"/>
      <c r="V301" s="21"/>
    </row>
    <row r="302">
      <c r="A302" s="11">
        <v>290.0</v>
      </c>
      <c r="B302" s="11">
        <v>1.42065652173913E9</v>
      </c>
      <c r="C302" s="2">
        <v>-102.6730194</v>
      </c>
      <c r="D302" s="24">
        <f t="shared" si="1"/>
        <v>256521.7391</v>
      </c>
      <c r="E302" s="25">
        <f t="shared" si="2"/>
        <v>-55.09776793</v>
      </c>
      <c r="F302" s="24">
        <f t="shared" si="3"/>
        <v>0.0002147879089</v>
      </c>
      <c r="G302" s="24">
        <f t="shared" si="4"/>
        <v>0</v>
      </c>
      <c r="H302" s="26">
        <f t="shared" si="5"/>
        <v>0</v>
      </c>
      <c r="I302" s="24">
        <f t="shared" si="6"/>
        <v>0</v>
      </c>
      <c r="J302" s="24">
        <f t="shared" si="7"/>
        <v>0</v>
      </c>
      <c r="K302" s="24"/>
      <c r="L302" s="24">
        <f t="shared" si="8"/>
        <v>410.9644235</v>
      </c>
      <c r="M302" s="14">
        <f t="shared" si="9"/>
        <v>405.4078655</v>
      </c>
      <c r="N302" s="27">
        <f t="shared" si="10"/>
        <v>5.556557986</v>
      </c>
      <c r="O302" s="24"/>
      <c r="P302" s="24"/>
      <c r="Q302" s="24"/>
      <c r="R302" s="26"/>
      <c r="S302" s="9">
        <f t="shared" si="13"/>
        <v>5.10256571</v>
      </c>
      <c r="U302" s="21"/>
      <c r="V302" s="21"/>
    </row>
    <row r="303">
      <c r="A303" s="11">
        <v>291.0</v>
      </c>
      <c r="B303" s="11">
        <v>1.42066086956521E9</v>
      </c>
      <c r="C303" s="2">
        <v>-102.6287918</v>
      </c>
      <c r="D303" s="24">
        <f t="shared" si="1"/>
        <v>260869.5652</v>
      </c>
      <c r="E303" s="25">
        <f t="shared" si="2"/>
        <v>-56.01606406</v>
      </c>
      <c r="F303" s="24">
        <f t="shared" si="3"/>
        <v>0.0002147282456</v>
      </c>
      <c r="G303" s="24">
        <f t="shared" si="4"/>
        <v>0</v>
      </c>
      <c r="H303" s="26">
        <f t="shared" si="5"/>
        <v>0</v>
      </c>
      <c r="I303" s="24">
        <f t="shared" si="6"/>
        <v>0</v>
      </c>
      <c r="J303" s="24">
        <f t="shared" si="7"/>
        <v>0</v>
      </c>
      <c r="K303" s="24"/>
      <c r="L303" s="24">
        <f t="shared" si="8"/>
        <v>415.1709783</v>
      </c>
      <c r="M303" s="14">
        <f t="shared" si="9"/>
        <v>405.3207304</v>
      </c>
      <c r="N303" s="27">
        <f t="shared" si="10"/>
        <v>9.850247911</v>
      </c>
      <c r="O303" s="24"/>
      <c r="P303" s="24"/>
      <c r="Q303" s="24"/>
      <c r="R303" s="26"/>
      <c r="S303" s="9">
        <f t="shared" si="13"/>
        <v>9.045444564</v>
      </c>
      <c r="U303" s="21"/>
      <c r="V303" s="21"/>
    </row>
    <row r="304">
      <c r="A304" s="11">
        <v>292.0</v>
      </c>
      <c r="B304" s="11">
        <v>1.4206652173913E9</v>
      </c>
      <c r="C304" s="2">
        <v>-102.637825</v>
      </c>
      <c r="D304" s="24">
        <f t="shared" si="1"/>
        <v>265217.3913</v>
      </c>
      <c r="E304" s="25">
        <f t="shared" si="2"/>
        <v>-56.93436019</v>
      </c>
      <c r="F304" s="24">
        <f t="shared" si="3"/>
        <v>0.0002146705384</v>
      </c>
      <c r="G304" s="24">
        <f t="shared" si="4"/>
        <v>0</v>
      </c>
      <c r="H304" s="26">
        <f t="shared" si="5"/>
        <v>0</v>
      </c>
      <c r="I304" s="24">
        <f t="shared" si="6"/>
        <v>0</v>
      </c>
      <c r="J304" s="24">
        <f t="shared" si="7"/>
        <v>0</v>
      </c>
      <c r="K304" s="24"/>
      <c r="L304" s="24">
        <f t="shared" si="8"/>
        <v>414.3083321</v>
      </c>
      <c r="M304" s="14">
        <f t="shared" si="9"/>
        <v>405.2337022</v>
      </c>
      <c r="N304" s="27">
        <f t="shared" si="10"/>
        <v>9.07462981</v>
      </c>
      <c r="O304" s="24"/>
      <c r="P304" s="24"/>
      <c r="Q304" s="24"/>
      <c r="R304" s="26"/>
      <c r="S304" s="9">
        <f t="shared" si="13"/>
        <v>8.333197442</v>
      </c>
      <c r="U304" s="21"/>
      <c r="V304" s="21"/>
    </row>
    <row r="305">
      <c r="A305" s="11">
        <v>293.0</v>
      </c>
      <c r="B305" s="11">
        <v>1.42066956521739E9</v>
      </c>
      <c r="C305" s="2">
        <v>-102.6532669</v>
      </c>
      <c r="D305" s="24">
        <f t="shared" si="1"/>
        <v>269565.2174</v>
      </c>
      <c r="E305" s="25">
        <f t="shared" si="2"/>
        <v>-57.85265632</v>
      </c>
      <c r="F305" s="24">
        <f t="shared" si="3"/>
        <v>0.0002146146928</v>
      </c>
      <c r="G305" s="24">
        <f t="shared" si="4"/>
        <v>0</v>
      </c>
      <c r="H305" s="26">
        <f t="shared" si="5"/>
        <v>0</v>
      </c>
      <c r="I305" s="24">
        <f t="shared" si="6"/>
        <v>0</v>
      </c>
      <c r="J305" s="24">
        <f t="shared" si="7"/>
        <v>0</v>
      </c>
      <c r="K305" s="24"/>
      <c r="L305" s="24">
        <f t="shared" si="8"/>
        <v>412.8378212</v>
      </c>
      <c r="M305" s="14">
        <f t="shared" si="9"/>
        <v>405.146782</v>
      </c>
      <c r="N305" s="27">
        <f t="shared" si="10"/>
        <v>7.691039197</v>
      </c>
      <c r="O305" s="24"/>
      <c r="P305" s="24"/>
      <c r="Q305" s="24"/>
      <c r="R305" s="26"/>
      <c r="S305" s="9">
        <f t="shared" si="13"/>
        <v>7.062651552</v>
      </c>
      <c r="U305" s="21"/>
      <c r="V305" s="21"/>
    </row>
    <row r="306">
      <c r="A306" s="11">
        <v>294.0</v>
      </c>
      <c r="B306" s="11">
        <v>1.42067391304347E9</v>
      </c>
      <c r="C306" s="2">
        <v>-102.6892319</v>
      </c>
      <c r="D306" s="24">
        <f t="shared" si="1"/>
        <v>273913.0435</v>
      </c>
      <c r="E306" s="25">
        <f t="shared" si="2"/>
        <v>-58.77095246</v>
      </c>
      <c r="F306" s="24">
        <f t="shared" si="3"/>
        <v>0.0002145606201</v>
      </c>
      <c r="G306" s="24">
        <f t="shared" si="4"/>
        <v>0</v>
      </c>
      <c r="H306" s="26">
        <f t="shared" si="5"/>
        <v>0</v>
      </c>
      <c r="I306" s="24">
        <f t="shared" si="6"/>
        <v>0</v>
      </c>
      <c r="J306" s="24">
        <f t="shared" si="7"/>
        <v>0</v>
      </c>
      <c r="K306" s="24"/>
      <c r="L306" s="24">
        <f t="shared" si="8"/>
        <v>409.4331262</v>
      </c>
      <c r="M306" s="14">
        <f t="shared" si="9"/>
        <v>405.0599706</v>
      </c>
      <c r="N306" s="27">
        <f t="shared" si="10"/>
        <v>4.373155599</v>
      </c>
      <c r="O306" s="24"/>
      <c r="P306" s="24"/>
      <c r="Q306" s="24"/>
      <c r="R306" s="26"/>
      <c r="S306" s="9">
        <f t="shared" si="13"/>
        <v>4.015851874</v>
      </c>
      <c r="U306" s="21"/>
      <c r="V306" s="21"/>
    </row>
    <row r="307">
      <c r="A307" s="11">
        <v>295.0</v>
      </c>
      <c r="B307" s="11">
        <v>1.42067826086956E9</v>
      </c>
      <c r="C307" s="2">
        <v>-102.6684875</v>
      </c>
      <c r="D307" s="24">
        <f t="shared" si="1"/>
        <v>278260.8696</v>
      </c>
      <c r="E307" s="25">
        <f t="shared" si="2"/>
        <v>-59.68924859</v>
      </c>
      <c r="F307" s="24">
        <f t="shared" si="3"/>
        <v>0.0002145082371</v>
      </c>
      <c r="G307" s="24">
        <f t="shared" si="4"/>
        <v>0</v>
      </c>
      <c r="H307" s="26">
        <f t="shared" si="5"/>
        <v>0</v>
      </c>
      <c r="I307" s="24">
        <f t="shared" si="6"/>
        <v>0</v>
      </c>
      <c r="J307" s="24">
        <f t="shared" si="7"/>
        <v>0</v>
      </c>
      <c r="K307" s="24"/>
      <c r="L307" s="24">
        <f t="shared" si="8"/>
        <v>411.3934922</v>
      </c>
      <c r="M307" s="14">
        <f t="shared" si="9"/>
        <v>404.9732687</v>
      </c>
      <c r="N307" s="27">
        <f t="shared" si="10"/>
        <v>6.420223559</v>
      </c>
      <c r="O307" s="24"/>
      <c r="P307" s="24"/>
      <c r="Q307" s="24"/>
      <c r="R307" s="26"/>
      <c r="S307" s="9">
        <f t="shared" si="13"/>
        <v>5.895666452</v>
      </c>
      <c r="U307" s="21"/>
      <c r="V307" s="21"/>
    </row>
    <row r="308">
      <c r="A308" s="11">
        <v>296.0</v>
      </c>
      <c r="B308" s="11">
        <v>1.42068260869565E9</v>
      </c>
      <c r="C308" s="2">
        <v>-102.632988</v>
      </c>
      <c r="D308" s="24">
        <f t="shared" si="1"/>
        <v>282608.6957</v>
      </c>
      <c r="E308" s="25">
        <f t="shared" si="2"/>
        <v>-60.60754472</v>
      </c>
      <c r="F308" s="24">
        <f t="shared" si="3"/>
        <v>0.0002144574659</v>
      </c>
      <c r="G308" s="24">
        <f t="shared" si="4"/>
        <v>0</v>
      </c>
      <c r="H308" s="26">
        <f t="shared" si="5"/>
        <v>0</v>
      </c>
      <c r="I308" s="24">
        <f t="shared" si="6"/>
        <v>0</v>
      </c>
      <c r="J308" s="24">
        <f t="shared" si="7"/>
        <v>0</v>
      </c>
      <c r="K308" s="24"/>
      <c r="L308" s="24">
        <f t="shared" si="8"/>
        <v>414.7700293</v>
      </c>
      <c r="M308" s="14">
        <f t="shared" si="9"/>
        <v>404.8866772</v>
      </c>
      <c r="N308" s="27">
        <f t="shared" si="10"/>
        <v>9.883352134</v>
      </c>
      <c r="O308" s="24"/>
      <c r="P308" s="24"/>
      <c r="Q308" s="24"/>
      <c r="R308" s="26"/>
      <c r="S308" s="9">
        <f t="shared" si="13"/>
        <v>9.075844044</v>
      </c>
      <c r="U308" s="21"/>
      <c r="V308" s="21"/>
    </row>
    <row r="309">
      <c r="A309" s="11">
        <v>297.0</v>
      </c>
      <c r="B309" s="11">
        <v>1.42068695652173E9</v>
      </c>
      <c r="C309" s="2">
        <v>-102.6575394</v>
      </c>
      <c r="D309" s="24">
        <f t="shared" si="1"/>
        <v>286956.5217</v>
      </c>
      <c r="E309" s="25">
        <f t="shared" si="2"/>
        <v>-61.52584085</v>
      </c>
      <c r="F309" s="24">
        <f t="shared" si="3"/>
        <v>0.0002144082333</v>
      </c>
      <c r="G309" s="24">
        <f t="shared" si="4"/>
        <v>0</v>
      </c>
      <c r="H309" s="26">
        <f t="shared" si="5"/>
        <v>0</v>
      </c>
      <c r="I309" s="24">
        <f t="shared" si="6"/>
        <v>0</v>
      </c>
      <c r="J309" s="24">
        <f t="shared" si="7"/>
        <v>0</v>
      </c>
      <c r="K309" s="24"/>
      <c r="L309" s="24">
        <f t="shared" si="8"/>
        <v>412.4318796</v>
      </c>
      <c r="M309" s="14">
        <f t="shared" si="9"/>
        <v>404.800197</v>
      </c>
      <c r="N309" s="27">
        <f t="shared" si="10"/>
        <v>7.631682579</v>
      </c>
      <c r="O309" s="24"/>
      <c r="P309" s="24"/>
      <c r="Q309" s="24"/>
      <c r="R309" s="26"/>
      <c r="S309" s="9">
        <f t="shared" si="13"/>
        <v>7.008144599</v>
      </c>
      <c r="U309" s="21"/>
      <c r="V309" s="21"/>
    </row>
    <row r="310">
      <c r="A310" s="11">
        <v>298.0</v>
      </c>
      <c r="B310" s="11">
        <v>1.42069130434782E9</v>
      </c>
      <c r="C310" s="2">
        <v>-102.6207047</v>
      </c>
      <c r="D310" s="24">
        <f t="shared" si="1"/>
        <v>291304.3478</v>
      </c>
      <c r="E310" s="25">
        <f t="shared" si="2"/>
        <v>-62.44413698</v>
      </c>
      <c r="F310" s="24">
        <f t="shared" si="3"/>
        <v>0.0002143604703</v>
      </c>
      <c r="G310" s="24">
        <f t="shared" si="4"/>
        <v>0</v>
      </c>
      <c r="H310" s="26">
        <f t="shared" si="5"/>
        <v>0</v>
      </c>
      <c r="I310" s="24">
        <f t="shared" si="6"/>
        <v>0</v>
      </c>
      <c r="J310" s="24">
        <f t="shared" si="7"/>
        <v>0</v>
      </c>
      <c r="K310" s="24"/>
      <c r="L310" s="24">
        <f t="shared" si="8"/>
        <v>415.9447982</v>
      </c>
      <c r="M310" s="14">
        <f t="shared" si="9"/>
        <v>404.7138289</v>
      </c>
      <c r="N310" s="27">
        <f t="shared" si="10"/>
        <v>11.23096932</v>
      </c>
      <c r="O310" s="24"/>
      <c r="P310" s="24"/>
      <c r="Q310" s="24"/>
      <c r="R310" s="26"/>
      <c r="S310" s="9">
        <f t="shared" si="13"/>
        <v>10.3133557</v>
      </c>
      <c r="U310" s="21"/>
      <c r="V310" s="21"/>
    </row>
    <row r="311">
      <c r="A311" s="11">
        <v>299.0</v>
      </c>
      <c r="B311" s="11">
        <v>1.42069565217391E9</v>
      </c>
      <c r="C311" s="2">
        <v>-102.7068558</v>
      </c>
      <c r="D311" s="24">
        <f t="shared" si="1"/>
        <v>295652.1739</v>
      </c>
      <c r="E311" s="25">
        <f t="shared" si="2"/>
        <v>-63.36243312</v>
      </c>
      <c r="F311" s="24">
        <f t="shared" si="3"/>
        <v>0.000214314112</v>
      </c>
      <c r="G311" s="24">
        <f t="shared" si="4"/>
        <v>0</v>
      </c>
      <c r="H311" s="26">
        <f t="shared" si="5"/>
        <v>0</v>
      </c>
      <c r="I311" s="24">
        <f t="shared" si="6"/>
        <v>0</v>
      </c>
      <c r="J311" s="24">
        <f t="shared" si="7"/>
        <v>0</v>
      </c>
      <c r="K311" s="24"/>
      <c r="L311" s="24">
        <f t="shared" si="8"/>
        <v>407.7749915</v>
      </c>
      <c r="M311" s="14">
        <f t="shared" si="9"/>
        <v>404.6275737</v>
      </c>
      <c r="N311" s="27">
        <f t="shared" si="10"/>
        <v>3.147417849</v>
      </c>
      <c r="O311" s="24"/>
      <c r="P311" s="24"/>
      <c r="Q311" s="24"/>
      <c r="R311" s="26"/>
      <c r="S311" s="9">
        <f t="shared" si="13"/>
        <v>2.890261633</v>
      </c>
      <c r="U311" s="21"/>
      <c r="V311" s="21"/>
    </row>
    <row r="312">
      <c r="A312" s="11">
        <v>300.0</v>
      </c>
      <c r="B312" s="11">
        <v>1.4207E9</v>
      </c>
      <c r="C312" s="2">
        <v>-102.6129684</v>
      </c>
      <c r="D312" s="24">
        <f t="shared" si="1"/>
        <v>300000</v>
      </c>
      <c r="E312" s="25">
        <f t="shared" si="2"/>
        <v>-64.28072925</v>
      </c>
      <c r="F312" s="24">
        <f t="shared" si="3"/>
        <v>0.0002142690975</v>
      </c>
      <c r="G312" s="24">
        <f t="shared" si="4"/>
        <v>0</v>
      </c>
      <c r="H312" s="26">
        <f t="shared" si="5"/>
        <v>0</v>
      </c>
      <c r="I312" s="24">
        <f t="shared" si="6"/>
        <v>0</v>
      </c>
      <c r="J312" s="24">
        <f t="shared" si="7"/>
        <v>0</v>
      </c>
      <c r="K312" s="24"/>
      <c r="L312" s="24">
        <f t="shared" si="8"/>
        <v>416.6864013</v>
      </c>
      <c r="M312" s="14">
        <f t="shared" si="9"/>
        <v>404.5414323</v>
      </c>
      <c r="N312" s="27">
        <f t="shared" si="10"/>
        <v>12.14496906</v>
      </c>
      <c r="O312" s="24"/>
      <c r="P312" s="24"/>
      <c r="Q312" s="24"/>
      <c r="R312" s="26"/>
      <c r="S312" s="9">
        <f t="shared" si="13"/>
        <v>11.15267812</v>
      </c>
      <c r="U312" s="21"/>
      <c r="V312" s="21"/>
    </row>
    <row r="313">
      <c r="A313" s="11">
        <v>301.0</v>
      </c>
      <c r="B313" s="11">
        <v>1.42070434782608E9</v>
      </c>
      <c r="C313" s="2">
        <v>-102.6400146</v>
      </c>
      <c r="D313" s="24">
        <f t="shared" si="1"/>
        <v>304347.8261</v>
      </c>
      <c r="E313" s="25">
        <f t="shared" si="2"/>
        <v>-65.19902538</v>
      </c>
      <c r="F313" s="24">
        <f t="shared" si="3"/>
        <v>0.0002142253691</v>
      </c>
      <c r="G313" s="24">
        <f t="shared" si="4"/>
        <v>0</v>
      </c>
      <c r="H313" s="26">
        <f t="shared" si="5"/>
        <v>0</v>
      </c>
      <c r="I313" s="24">
        <f t="shared" si="6"/>
        <v>0</v>
      </c>
      <c r="J313" s="24">
        <f t="shared" si="7"/>
        <v>0</v>
      </c>
      <c r="K313" s="24"/>
      <c r="L313" s="24">
        <f t="shared" si="8"/>
        <v>414.0995012</v>
      </c>
      <c r="M313" s="14">
        <f t="shared" si="9"/>
        <v>404.4554055</v>
      </c>
      <c r="N313" s="27">
        <f t="shared" si="10"/>
        <v>9.644095716</v>
      </c>
      <c r="O313" s="24"/>
      <c r="P313" s="24"/>
      <c r="Q313" s="24"/>
      <c r="R313" s="26"/>
      <c r="S313" s="9">
        <f t="shared" si="13"/>
        <v>8.8561358</v>
      </c>
      <c r="U313" s="21"/>
      <c r="V313" s="21"/>
    </row>
    <row r="314">
      <c r="A314" s="11">
        <v>302.0</v>
      </c>
      <c r="B314" s="11">
        <v>1.42070869565217E9</v>
      </c>
      <c r="C314" s="2">
        <v>-102.6618881</v>
      </c>
      <c r="D314" s="24">
        <f t="shared" si="1"/>
        <v>308695.6522</v>
      </c>
      <c r="E314" s="25">
        <f t="shared" si="2"/>
        <v>-66.11732151</v>
      </c>
      <c r="F314" s="24">
        <f t="shared" si="3"/>
        <v>0.0002141828725</v>
      </c>
      <c r="G314" s="24">
        <f t="shared" si="4"/>
        <v>0</v>
      </c>
      <c r="H314" s="26">
        <f t="shared" si="5"/>
        <v>0</v>
      </c>
      <c r="I314" s="24">
        <f t="shared" si="6"/>
        <v>0</v>
      </c>
      <c r="J314" s="24">
        <f t="shared" si="7"/>
        <v>0</v>
      </c>
      <c r="K314" s="24"/>
      <c r="L314" s="24">
        <f t="shared" si="8"/>
        <v>412.0191078</v>
      </c>
      <c r="M314" s="14">
        <f t="shared" si="9"/>
        <v>404.3694941</v>
      </c>
      <c r="N314" s="27">
        <f t="shared" si="10"/>
        <v>7.649613688</v>
      </c>
      <c r="O314" s="24"/>
      <c r="P314" s="24"/>
      <c r="Q314" s="24"/>
      <c r="R314" s="26"/>
      <c r="S314" s="9">
        <f t="shared" si="13"/>
        <v>7.02461065</v>
      </c>
      <c r="U314" s="21"/>
      <c r="V314" s="21"/>
    </row>
    <row r="315">
      <c r="A315" s="11">
        <v>303.0</v>
      </c>
      <c r="B315" s="11">
        <v>1.42071304347826E9</v>
      </c>
      <c r="C315" s="2">
        <v>-102.662735</v>
      </c>
      <c r="D315" s="24">
        <f t="shared" si="1"/>
        <v>313043.4783</v>
      </c>
      <c r="E315" s="25">
        <f t="shared" si="2"/>
        <v>-67.03561764</v>
      </c>
      <c r="F315" s="24">
        <f t="shared" si="3"/>
        <v>0.0002141415564</v>
      </c>
      <c r="G315" s="24">
        <f t="shared" si="4"/>
        <v>0</v>
      </c>
      <c r="H315" s="26">
        <f t="shared" si="5"/>
        <v>0</v>
      </c>
      <c r="I315" s="24">
        <f t="shared" si="6"/>
        <v>0</v>
      </c>
      <c r="J315" s="24">
        <f t="shared" si="7"/>
        <v>0</v>
      </c>
      <c r="K315" s="24"/>
      <c r="L315" s="24">
        <f t="shared" si="8"/>
        <v>411.9387695</v>
      </c>
      <c r="M315" s="14">
        <f t="shared" si="9"/>
        <v>404.2836991</v>
      </c>
      <c r="N315" s="27">
        <f t="shared" si="10"/>
        <v>7.655070399</v>
      </c>
      <c r="O315" s="24"/>
      <c r="P315" s="24"/>
      <c r="Q315" s="24"/>
      <c r="R315" s="26"/>
      <c r="S315" s="9">
        <f t="shared" si="13"/>
        <v>7.029621543</v>
      </c>
      <c r="U315" s="21"/>
      <c r="V315" s="21"/>
    </row>
    <row r="316">
      <c r="A316" s="11">
        <v>304.0</v>
      </c>
      <c r="B316" s="11">
        <v>1.42071739130434E9</v>
      </c>
      <c r="C316" s="2">
        <v>-102.6343079</v>
      </c>
      <c r="D316" s="24">
        <f t="shared" si="1"/>
        <v>317391.3043</v>
      </c>
      <c r="E316" s="25">
        <f t="shared" si="2"/>
        <v>-67.95391378</v>
      </c>
      <c r="F316" s="24">
        <f t="shared" si="3"/>
        <v>0.0002141013722</v>
      </c>
      <c r="G316" s="24">
        <f t="shared" si="4"/>
        <v>0</v>
      </c>
      <c r="H316" s="26">
        <f t="shared" si="5"/>
        <v>0</v>
      </c>
      <c r="I316" s="24">
        <f t="shared" si="6"/>
        <v>0</v>
      </c>
      <c r="J316" s="24">
        <f t="shared" si="7"/>
        <v>0</v>
      </c>
      <c r="K316" s="24"/>
      <c r="L316" s="24">
        <f t="shared" si="8"/>
        <v>414.6439923</v>
      </c>
      <c r="M316" s="14">
        <f t="shared" si="9"/>
        <v>404.1980212</v>
      </c>
      <c r="N316" s="27">
        <f t="shared" si="10"/>
        <v>10.44597114</v>
      </c>
      <c r="O316" s="24"/>
      <c r="P316" s="24"/>
      <c r="Q316" s="24"/>
      <c r="R316" s="26"/>
      <c r="S316" s="9">
        <f t="shared" si="13"/>
        <v>9.592494904</v>
      </c>
      <c r="U316" s="21"/>
      <c r="V316" s="21"/>
    </row>
    <row r="317">
      <c r="A317" s="11">
        <v>305.0</v>
      </c>
      <c r="B317" s="11">
        <v>1.42072173913043E9</v>
      </c>
      <c r="C317" s="2">
        <v>-102.6367264</v>
      </c>
      <c r="D317" s="24">
        <f t="shared" si="1"/>
        <v>321739.1304</v>
      </c>
      <c r="E317" s="25">
        <f t="shared" si="2"/>
        <v>-68.87220991</v>
      </c>
      <c r="F317" s="24">
        <f t="shared" si="3"/>
        <v>0.000214062274</v>
      </c>
      <c r="G317" s="24">
        <f t="shared" si="4"/>
        <v>0</v>
      </c>
      <c r="H317" s="26">
        <f t="shared" si="5"/>
        <v>0</v>
      </c>
      <c r="I317" s="24">
        <f t="shared" si="6"/>
        <v>0</v>
      </c>
      <c r="J317" s="24">
        <f t="shared" si="7"/>
        <v>0</v>
      </c>
      <c r="K317" s="24"/>
      <c r="L317" s="24">
        <f t="shared" si="8"/>
        <v>414.4131496</v>
      </c>
      <c r="M317" s="14">
        <f t="shared" si="9"/>
        <v>404.1124612</v>
      </c>
      <c r="N317" s="27">
        <f t="shared" si="10"/>
        <v>10.30068834</v>
      </c>
      <c r="O317" s="24"/>
      <c r="P317" s="24"/>
      <c r="Q317" s="24"/>
      <c r="R317" s="26"/>
      <c r="S317" s="9">
        <f t="shared" si="13"/>
        <v>9.459082245</v>
      </c>
      <c r="U317" s="21"/>
      <c r="V317" s="21"/>
    </row>
    <row r="318">
      <c r="A318" s="11">
        <v>306.0</v>
      </c>
      <c r="B318" s="11">
        <v>1.42072608695652E9</v>
      </c>
      <c r="C318" s="2">
        <v>-102.7012329</v>
      </c>
      <c r="D318" s="24">
        <f t="shared" si="1"/>
        <v>326086.9565</v>
      </c>
      <c r="E318" s="25">
        <f t="shared" si="2"/>
        <v>-69.79050604</v>
      </c>
      <c r="F318" s="24">
        <f t="shared" si="3"/>
        <v>0.0002140242185</v>
      </c>
      <c r="G318" s="24">
        <f t="shared" si="4"/>
        <v>0</v>
      </c>
      <c r="H318" s="26">
        <f t="shared" si="5"/>
        <v>0</v>
      </c>
      <c r="I318" s="24">
        <f t="shared" si="6"/>
        <v>0</v>
      </c>
      <c r="J318" s="24">
        <f t="shared" si="7"/>
        <v>0</v>
      </c>
      <c r="K318" s="24"/>
      <c r="L318" s="24">
        <f t="shared" si="8"/>
        <v>408.3032881</v>
      </c>
      <c r="M318" s="14">
        <f t="shared" si="9"/>
        <v>404.0270201</v>
      </c>
      <c r="N318" s="27">
        <f t="shared" si="10"/>
        <v>4.276268029</v>
      </c>
      <c r="O318" s="24"/>
      <c r="P318" s="24"/>
      <c r="Q318" s="24"/>
      <c r="R318" s="26"/>
      <c r="S318" s="9">
        <f t="shared" si="13"/>
        <v>3.926880394</v>
      </c>
      <c r="U318" s="21"/>
      <c r="V318" s="21"/>
    </row>
    <row r="319">
      <c r="A319" s="11">
        <v>307.0</v>
      </c>
      <c r="B319" s="11">
        <v>1.4207304347826E9</v>
      </c>
      <c r="C319" s="2">
        <v>-102.6852951</v>
      </c>
      <c r="D319" s="24">
        <f t="shared" si="1"/>
        <v>330434.7826</v>
      </c>
      <c r="E319" s="25">
        <f t="shared" si="2"/>
        <v>-70.70880217</v>
      </c>
      <c r="F319" s="24">
        <f t="shared" si="3"/>
        <v>0.0002139871645</v>
      </c>
      <c r="G319" s="24">
        <f t="shared" si="4"/>
        <v>0</v>
      </c>
      <c r="H319" s="26">
        <f t="shared" si="5"/>
        <v>0</v>
      </c>
      <c r="I319" s="24">
        <f t="shared" si="6"/>
        <v>0</v>
      </c>
      <c r="J319" s="24">
        <f t="shared" si="7"/>
        <v>0</v>
      </c>
      <c r="K319" s="24"/>
      <c r="L319" s="24">
        <f t="shared" si="8"/>
        <v>409.8044381</v>
      </c>
      <c r="M319" s="14">
        <f t="shared" si="9"/>
        <v>403.9416986</v>
      </c>
      <c r="N319" s="27">
        <f t="shared" si="10"/>
        <v>5.862739454</v>
      </c>
      <c r="O319" s="24"/>
      <c r="P319" s="24"/>
      <c r="Q319" s="24"/>
      <c r="R319" s="26"/>
      <c r="S319" s="9">
        <f t="shared" si="13"/>
        <v>5.383730968</v>
      </c>
      <c r="U319" s="21"/>
      <c r="V319" s="21"/>
    </row>
    <row r="320">
      <c r="A320" s="11">
        <v>308.0</v>
      </c>
      <c r="B320" s="11">
        <v>1.42073478260869E9</v>
      </c>
      <c r="C320" s="2">
        <v>-102.6389465</v>
      </c>
      <c r="D320" s="24">
        <f t="shared" si="1"/>
        <v>334782.6087</v>
      </c>
      <c r="E320" s="25">
        <f t="shared" si="2"/>
        <v>-71.62709831</v>
      </c>
      <c r="F320" s="24">
        <f t="shared" si="3"/>
        <v>0.0002139510729</v>
      </c>
      <c r="G320" s="24">
        <f t="shared" si="4"/>
        <v>0</v>
      </c>
      <c r="H320" s="26">
        <f t="shared" si="5"/>
        <v>0</v>
      </c>
      <c r="I320" s="24">
        <f t="shared" si="6"/>
        <v>0</v>
      </c>
      <c r="J320" s="24">
        <f t="shared" si="7"/>
        <v>0</v>
      </c>
      <c r="K320" s="24"/>
      <c r="L320" s="24">
        <f t="shared" si="8"/>
        <v>414.201357</v>
      </c>
      <c r="M320" s="14">
        <f t="shared" si="9"/>
        <v>403.8564976</v>
      </c>
      <c r="N320" s="27">
        <f t="shared" si="10"/>
        <v>10.34485938</v>
      </c>
      <c r="O320" s="24"/>
      <c r="P320" s="24"/>
      <c r="Q320" s="24"/>
      <c r="R320" s="26"/>
      <c r="S320" s="9">
        <f t="shared" si="13"/>
        <v>9.49964436</v>
      </c>
      <c r="U320" s="21"/>
      <c r="V320" s="21"/>
    </row>
    <row r="321">
      <c r="A321" s="11">
        <v>309.0</v>
      </c>
      <c r="B321" s="11">
        <v>1.42073913043478E9</v>
      </c>
      <c r="C321" s="2">
        <v>-102.6971054</v>
      </c>
      <c r="D321" s="24">
        <f t="shared" si="1"/>
        <v>339130.4348</v>
      </c>
      <c r="E321" s="25">
        <f t="shared" si="2"/>
        <v>-72.54539444</v>
      </c>
      <c r="F321" s="24">
        <f t="shared" si="3"/>
        <v>0.0002139159067</v>
      </c>
      <c r="G321" s="24">
        <f t="shared" si="4"/>
        <v>0</v>
      </c>
      <c r="H321" s="26">
        <f t="shared" si="5"/>
        <v>0</v>
      </c>
      <c r="I321" s="24">
        <f t="shared" si="6"/>
        <v>0</v>
      </c>
      <c r="J321" s="24">
        <f t="shared" si="7"/>
        <v>0</v>
      </c>
      <c r="K321" s="24"/>
      <c r="L321" s="24">
        <f t="shared" si="8"/>
        <v>408.6915208</v>
      </c>
      <c r="M321" s="14">
        <f t="shared" si="9"/>
        <v>403.7714179</v>
      </c>
      <c r="N321" s="27">
        <f t="shared" si="10"/>
        <v>4.920102824</v>
      </c>
      <c r="O321" s="24"/>
      <c r="P321" s="24"/>
      <c r="Q321" s="24"/>
      <c r="R321" s="26"/>
      <c r="S321" s="9">
        <f t="shared" si="13"/>
        <v>4.518111386</v>
      </c>
      <c r="U321" s="21"/>
      <c r="V321" s="21"/>
    </row>
    <row r="322">
      <c r="A322" s="11">
        <v>310.0</v>
      </c>
      <c r="B322" s="11">
        <v>1.42074347826087E9</v>
      </c>
      <c r="C322" s="2">
        <v>-102.6899261</v>
      </c>
      <c r="D322" s="24">
        <f t="shared" si="1"/>
        <v>343478.2609</v>
      </c>
      <c r="E322" s="25">
        <f t="shared" si="2"/>
        <v>-73.46369057</v>
      </c>
      <c r="F322" s="24">
        <f t="shared" si="3"/>
        <v>0.0002138816308</v>
      </c>
      <c r="G322" s="24">
        <f t="shared" si="4"/>
        <v>0</v>
      </c>
      <c r="H322" s="26">
        <f t="shared" si="5"/>
        <v>0</v>
      </c>
      <c r="I322" s="24">
        <f t="shared" si="6"/>
        <v>0</v>
      </c>
      <c r="J322" s="24">
        <f t="shared" si="7"/>
        <v>0</v>
      </c>
      <c r="K322" s="24"/>
      <c r="L322" s="24">
        <f t="shared" si="8"/>
        <v>409.3676854</v>
      </c>
      <c r="M322" s="14">
        <f t="shared" si="9"/>
        <v>403.6864604</v>
      </c>
      <c r="N322" s="27">
        <f t="shared" si="10"/>
        <v>5.681224933</v>
      </c>
      <c r="O322" s="24"/>
      <c r="P322" s="24"/>
      <c r="Q322" s="24"/>
      <c r="R322" s="26"/>
      <c r="S322" s="9">
        <f t="shared" si="13"/>
        <v>5.217046886</v>
      </c>
      <c r="U322" s="21"/>
      <c r="V322" s="21"/>
    </row>
    <row r="323">
      <c r="A323" s="11">
        <v>311.0</v>
      </c>
      <c r="B323" s="11">
        <v>1.42074782608695E9</v>
      </c>
      <c r="C323" s="2">
        <v>-102.6653442</v>
      </c>
      <c r="D323" s="24">
        <f t="shared" si="1"/>
        <v>347826.087</v>
      </c>
      <c r="E323" s="25">
        <f t="shared" si="2"/>
        <v>-74.3819867</v>
      </c>
      <c r="F323" s="24">
        <f t="shared" si="3"/>
        <v>0.0002138482118</v>
      </c>
      <c r="G323" s="24">
        <f t="shared" si="4"/>
        <v>0</v>
      </c>
      <c r="H323" s="26">
        <f t="shared" si="5"/>
        <v>0</v>
      </c>
      <c r="I323" s="24">
        <f t="shared" si="6"/>
        <v>0</v>
      </c>
      <c r="J323" s="24">
        <f t="shared" si="7"/>
        <v>0</v>
      </c>
      <c r="K323" s="24"/>
      <c r="L323" s="24">
        <f t="shared" si="8"/>
        <v>411.6913549</v>
      </c>
      <c r="M323" s="14">
        <f t="shared" si="9"/>
        <v>403.6016259</v>
      </c>
      <c r="N323" s="27">
        <f t="shared" si="10"/>
        <v>8.089728993</v>
      </c>
      <c r="O323" s="24"/>
      <c r="P323" s="24"/>
      <c r="Q323" s="24"/>
      <c r="R323" s="26"/>
      <c r="S323" s="9">
        <f t="shared" si="13"/>
        <v>7.428766849</v>
      </c>
      <c r="U323" s="21"/>
      <c r="V323" s="21"/>
    </row>
    <row r="324">
      <c r="A324" s="11">
        <v>312.0</v>
      </c>
      <c r="B324" s="11">
        <v>1.42075217391304E9</v>
      </c>
      <c r="C324" s="2">
        <v>-102.713295</v>
      </c>
      <c r="D324" s="24">
        <f t="shared" si="1"/>
        <v>352173.913</v>
      </c>
      <c r="E324" s="25">
        <f t="shared" si="2"/>
        <v>-75.30028284</v>
      </c>
      <c r="F324" s="24">
        <f t="shared" si="3"/>
        <v>0.0002138156179</v>
      </c>
      <c r="G324" s="24">
        <f t="shared" si="4"/>
        <v>0</v>
      </c>
      <c r="H324" s="26">
        <f t="shared" si="5"/>
        <v>0</v>
      </c>
      <c r="I324" s="24">
        <f t="shared" si="6"/>
        <v>0</v>
      </c>
      <c r="J324" s="24">
        <f t="shared" si="7"/>
        <v>0</v>
      </c>
      <c r="K324" s="24"/>
      <c r="L324" s="24">
        <f t="shared" si="8"/>
        <v>407.1708395</v>
      </c>
      <c r="M324" s="14">
        <f t="shared" si="9"/>
        <v>403.5169153</v>
      </c>
      <c r="N324" s="27">
        <f t="shared" si="10"/>
        <v>3.653924186</v>
      </c>
      <c r="O324" s="24"/>
      <c r="P324" s="24"/>
      <c r="Q324" s="24"/>
      <c r="R324" s="26"/>
      <c r="S324" s="9">
        <f t="shared" si="13"/>
        <v>3.355384441</v>
      </c>
      <c r="U324" s="21"/>
      <c r="V324" s="21"/>
    </row>
    <row r="325">
      <c r="A325" s="11">
        <v>313.0</v>
      </c>
      <c r="B325" s="11">
        <v>1.42075652173913E9</v>
      </c>
      <c r="C325" s="2">
        <v>-102.7325211</v>
      </c>
      <c r="D325" s="24">
        <f t="shared" si="1"/>
        <v>356521.7391</v>
      </c>
      <c r="E325" s="25">
        <f t="shared" si="2"/>
        <v>-76.21857897</v>
      </c>
      <c r="F325" s="24">
        <f t="shared" si="3"/>
        <v>0.0002137838191</v>
      </c>
      <c r="G325" s="24">
        <f t="shared" si="4"/>
        <v>0</v>
      </c>
      <c r="H325" s="26">
        <f t="shared" si="5"/>
        <v>0</v>
      </c>
      <c r="I325" s="24">
        <f t="shared" si="6"/>
        <v>0</v>
      </c>
      <c r="J325" s="24">
        <f t="shared" si="7"/>
        <v>0</v>
      </c>
      <c r="K325" s="24"/>
      <c r="L325" s="24">
        <f t="shared" si="8"/>
        <v>405.3722891</v>
      </c>
      <c r="M325" s="14">
        <f t="shared" si="9"/>
        <v>403.4323293</v>
      </c>
      <c r="N325" s="27">
        <f t="shared" si="10"/>
        <v>1.9399598</v>
      </c>
      <c r="O325" s="24"/>
      <c r="P325" s="24"/>
      <c r="Q325" s="24"/>
      <c r="R325" s="26"/>
      <c r="S325" s="9">
        <f t="shared" si="13"/>
        <v>1.781457582</v>
      </c>
      <c r="U325" s="21"/>
      <c r="V325" s="21"/>
    </row>
    <row r="326">
      <c r="A326" s="11">
        <v>314.0</v>
      </c>
      <c r="B326" s="11">
        <v>1.42076086956521E9</v>
      </c>
      <c r="C326" s="2">
        <v>-102.709938</v>
      </c>
      <c r="D326" s="24">
        <f t="shared" si="1"/>
        <v>360869.5652</v>
      </c>
      <c r="E326" s="25">
        <f t="shared" si="2"/>
        <v>-77.1368751</v>
      </c>
      <c r="F326" s="24">
        <f t="shared" si="3"/>
        <v>0.0002137527864</v>
      </c>
      <c r="G326" s="24">
        <f t="shared" si="4"/>
        <v>0</v>
      </c>
      <c r="H326" s="26">
        <f t="shared" si="5"/>
        <v>0</v>
      </c>
      <c r="I326" s="24">
        <f t="shared" si="6"/>
        <v>0</v>
      </c>
      <c r="J326" s="24">
        <f t="shared" si="7"/>
        <v>0</v>
      </c>
      <c r="K326" s="24"/>
      <c r="L326" s="24">
        <f t="shared" si="8"/>
        <v>407.4856952</v>
      </c>
      <c r="M326" s="14">
        <f t="shared" si="9"/>
        <v>403.3478689</v>
      </c>
      <c r="N326" s="27">
        <f t="shared" si="10"/>
        <v>4.137826309</v>
      </c>
      <c r="O326" s="24"/>
      <c r="P326" s="24"/>
      <c r="Q326" s="24"/>
      <c r="R326" s="26"/>
      <c r="S326" s="9">
        <f t="shared" si="13"/>
        <v>3.799749898</v>
      </c>
      <c r="U326" s="21"/>
      <c r="V326" s="21"/>
    </row>
    <row r="327">
      <c r="A327" s="11">
        <v>315.0</v>
      </c>
      <c r="B327" s="11">
        <v>1.4207652173913E9</v>
      </c>
      <c r="C327" s="2">
        <v>-102.7163773</v>
      </c>
      <c r="D327" s="24">
        <f t="shared" si="1"/>
        <v>365217.3913</v>
      </c>
      <c r="E327" s="25">
        <f t="shared" si="2"/>
        <v>-78.05517123</v>
      </c>
      <c r="F327" s="24">
        <f t="shared" si="3"/>
        <v>0.0002137224927</v>
      </c>
      <c r="G327" s="24">
        <f t="shared" si="4"/>
        <v>0</v>
      </c>
      <c r="H327" s="26">
        <f t="shared" si="5"/>
        <v>0</v>
      </c>
      <c r="I327" s="24">
        <f t="shared" si="6"/>
        <v>0</v>
      </c>
      <c r="J327" s="24">
        <f t="shared" si="7"/>
        <v>0</v>
      </c>
      <c r="K327" s="24"/>
      <c r="L327" s="24">
        <f t="shared" si="8"/>
        <v>406.8819623</v>
      </c>
      <c r="M327" s="14">
        <f t="shared" si="9"/>
        <v>403.2635348</v>
      </c>
      <c r="N327" s="27">
        <f t="shared" si="10"/>
        <v>3.618427573</v>
      </c>
      <c r="O327" s="24"/>
      <c r="P327" s="24"/>
      <c r="Q327" s="24"/>
      <c r="R327" s="26"/>
      <c r="S327" s="9">
        <f t="shared" si="13"/>
        <v>3.322788039</v>
      </c>
      <c r="U327" s="21"/>
      <c r="V327" s="21"/>
    </row>
    <row r="328">
      <c r="A328" s="11">
        <v>316.0</v>
      </c>
      <c r="B328" s="11">
        <v>1.42076956521739E9</v>
      </c>
      <c r="C328" s="2">
        <v>-102.714325</v>
      </c>
      <c r="D328" s="24">
        <f t="shared" si="1"/>
        <v>369565.2174</v>
      </c>
      <c r="E328" s="25">
        <f t="shared" si="2"/>
        <v>-78.97346736</v>
      </c>
      <c r="F328" s="24">
        <f t="shared" si="3"/>
        <v>0.0002136929117</v>
      </c>
      <c r="G328" s="24">
        <f t="shared" si="4"/>
        <v>0</v>
      </c>
      <c r="H328" s="26">
        <f t="shared" si="5"/>
        <v>0</v>
      </c>
      <c r="I328" s="24">
        <f t="shared" si="6"/>
        <v>0</v>
      </c>
      <c r="J328" s="24">
        <f t="shared" si="7"/>
        <v>0</v>
      </c>
      <c r="K328" s="24"/>
      <c r="L328" s="24">
        <f t="shared" si="8"/>
        <v>407.0742837</v>
      </c>
      <c r="M328" s="14">
        <f t="shared" si="9"/>
        <v>403.1793279</v>
      </c>
      <c r="N328" s="27">
        <f t="shared" si="10"/>
        <v>3.894955852</v>
      </c>
      <c r="O328" s="24"/>
      <c r="P328" s="24"/>
      <c r="Q328" s="24"/>
      <c r="R328" s="26"/>
      <c r="S328" s="9">
        <f t="shared" si="13"/>
        <v>3.576722896</v>
      </c>
      <c r="U328" s="21"/>
      <c r="V328" s="21"/>
    </row>
    <row r="329">
      <c r="A329" s="11">
        <v>317.0</v>
      </c>
      <c r="B329" s="11">
        <v>1.42077391304347E9</v>
      </c>
      <c r="C329" s="2">
        <v>-102.7490768</v>
      </c>
      <c r="D329" s="24">
        <f t="shared" si="1"/>
        <v>373913.0435</v>
      </c>
      <c r="E329" s="25">
        <f t="shared" si="2"/>
        <v>-79.89176349</v>
      </c>
      <c r="F329" s="24">
        <f t="shared" si="3"/>
        <v>0.0002136640187</v>
      </c>
      <c r="G329" s="24">
        <f t="shared" si="4"/>
        <v>0</v>
      </c>
      <c r="H329" s="26">
        <f t="shared" si="5"/>
        <v>0</v>
      </c>
      <c r="I329" s="24">
        <f t="shared" si="6"/>
        <v>0</v>
      </c>
      <c r="J329" s="24">
        <f t="shared" si="7"/>
        <v>0</v>
      </c>
      <c r="K329" s="24"/>
      <c r="L329" s="24">
        <f t="shared" si="8"/>
        <v>403.8299148</v>
      </c>
      <c r="M329" s="14">
        <f t="shared" si="9"/>
        <v>403.095249</v>
      </c>
      <c r="N329" s="27">
        <f t="shared" si="10"/>
        <v>0.7346658069</v>
      </c>
      <c r="O329" s="24"/>
      <c r="P329" s="24"/>
      <c r="Q329" s="24"/>
      <c r="R329" s="26"/>
      <c r="S329" s="9">
        <f t="shared" si="13"/>
        <v>0.6746407694</v>
      </c>
      <c r="U329" s="21"/>
      <c r="V329" s="21"/>
    </row>
    <row r="330">
      <c r="A330" s="11">
        <v>318.0</v>
      </c>
      <c r="B330" s="11">
        <v>1.42077826086956E9</v>
      </c>
      <c r="C330" s="2">
        <v>-102.6934509</v>
      </c>
      <c r="D330" s="24">
        <f t="shared" si="1"/>
        <v>378260.8696</v>
      </c>
      <c r="E330" s="25">
        <f t="shared" si="2"/>
        <v>-80.81005963</v>
      </c>
      <c r="F330" s="24">
        <f t="shared" si="3"/>
        <v>0.0002136357898</v>
      </c>
      <c r="G330" s="24">
        <f t="shared" si="4"/>
        <v>0</v>
      </c>
      <c r="H330" s="26">
        <f t="shared" si="5"/>
        <v>0</v>
      </c>
      <c r="I330" s="24">
        <f t="shared" si="6"/>
        <v>0</v>
      </c>
      <c r="J330" s="24">
        <f t="shared" si="7"/>
        <v>0</v>
      </c>
      <c r="K330" s="24"/>
      <c r="L330" s="24">
        <f t="shared" si="8"/>
        <v>409.0355711</v>
      </c>
      <c r="M330" s="14">
        <f t="shared" si="9"/>
        <v>403.0112991</v>
      </c>
      <c r="N330" s="27">
        <f t="shared" si="10"/>
        <v>6.024272074</v>
      </c>
      <c r="O330" s="24"/>
      <c r="P330" s="24"/>
      <c r="Q330" s="24"/>
      <c r="R330" s="26"/>
      <c r="S330" s="9">
        <f t="shared" si="13"/>
        <v>5.532065735</v>
      </c>
      <c r="U330" s="21"/>
      <c r="V330" s="21"/>
    </row>
    <row r="331">
      <c r="A331" s="11">
        <v>319.0</v>
      </c>
      <c r="B331" s="11">
        <v>1.42078260869565E9</v>
      </c>
      <c r="C331" s="2">
        <v>-102.7158508</v>
      </c>
      <c r="D331" s="24">
        <f t="shared" si="1"/>
        <v>382608.6957</v>
      </c>
      <c r="E331" s="25">
        <f t="shared" si="2"/>
        <v>-81.72835576</v>
      </c>
      <c r="F331" s="24">
        <f t="shared" si="3"/>
        <v>0.0002136082026</v>
      </c>
      <c r="G331" s="24">
        <f t="shared" si="4"/>
        <v>0</v>
      </c>
      <c r="H331" s="26">
        <f t="shared" si="5"/>
        <v>0</v>
      </c>
      <c r="I331" s="24">
        <f t="shared" si="6"/>
        <v>0</v>
      </c>
      <c r="J331" s="24">
        <f t="shared" si="7"/>
        <v>0</v>
      </c>
      <c r="K331" s="24"/>
      <c r="L331" s="24">
        <f t="shared" si="8"/>
        <v>406.9312921</v>
      </c>
      <c r="M331" s="14">
        <f t="shared" si="9"/>
        <v>402.9274788</v>
      </c>
      <c r="N331" s="27">
        <f t="shared" si="10"/>
        <v>4.003813273</v>
      </c>
      <c r="O331" s="24"/>
      <c r="P331" s="24"/>
      <c r="Q331" s="24"/>
      <c r="R331" s="26"/>
      <c r="S331" s="9">
        <f t="shared" si="13"/>
        <v>3.676686245</v>
      </c>
      <c r="U331" s="21"/>
      <c r="V331" s="21"/>
    </row>
    <row r="332">
      <c r="A332" s="11">
        <v>320.0</v>
      </c>
      <c r="B332" s="11">
        <v>1.42078695652173E9</v>
      </c>
      <c r="C332" s="2">
        <v>-102.7032471</v>
      </c>
      <c r="D332" s="24">
        <f t="shared" si="1"/>
        <v>386956.5217</v>
      </c>
      <c r="E332" s="25">
        <f t="shared" si="2"/>
        <v>-82.64665189</v>
      </c>
      <c r="F332" s="24">
        <f t="shared" si="3"/>
        <v>0.0002135812352</v>
      </c>
      <c r="G332" s="24">
        <f t="shared" si="4"/>
        <v>0</v>
      </c>
      <c r="H332" s="26">
        <f t="shared" si="5"/>
        <v>0</v>
      </c>
      <c r="I332" s="24">
        <f t="shared" si="6"/>
        <v>0</v>
      </c>
      <c r="J332" s="24">
        <f t="shared" si="7"/>
        <v>0</v>
      </c>
      <c r="K332" s="24"/>
      <c r="L332" s="24">
        <f t="shared" si="8"/>
        <v>408.1139664</v>
      </c>
      <c r="M332" s="14">
        <f t="shared" si="9"/>
        <v>402.8437891</v>
      </c>
      <c r="N332" s="27">
        <f t="shared" si="10"/>
        <v>5.270177299</v>
      </c>
      <c r="O332" s="24"/>
      <c r="P332" s="24"/>
      <c r="Q332" s="24"/>
      <c r="R332" s="26"/>
      <c r="S332" s="9">
        <f t="shared" si="13"/>
        <v>4.839583433</v>
      </c>
      <c r="U332" s="21"/>
      <c r="V332" s="21"/>
    </row>
    <row r="333">
      <c r="A333" s="11">
        <v>321.0</v>
      </c>
      <c r="B333" s="11">
        <v>1.42079130434782E9</v>
      </c>
      <c r="C333" s="2">
        <v>-102.6812592</v>
      </c>
      <c r="D333" s="24">
        <f t="shared" si="1"/>
        <v>391304.3478</v>
      </c>
      <c r="E333" s="25">
        <f t="shared" si="2"/>
        <v>-83.56494802</v>
      </c>
      <c r="F333" s="24">
        <f t="shared" si="3"/>
        <v>0.0002135548672</v>
      </c>
      <c r="G333" s="24">
        <f t="shared" si="4"/>
        <v>0</v>
      </c>
      <c r="H333" s="26">
        <f t="shared" si="5"/>
        <v>0</v>
      </c>
      <c r="I333" s="24">
        <f t="shared" si="6"/>
        <v>0</v>
      </c>
      <c r="J333" s="24">
        <f t="shared" si="7"/>
        <v>0</v>
      </c>
      <c r="K333" s="24"/>
      <c r="L333" s="24">
        <f t="shared" si="8"/>
        <v>410.1854465</v>
      </c>
      <c r="M333" s="14">
        <f t="shared" si="9"/>
        <v>402.7602308</v>
      </c>
      <c r="N333" s="27">
        <f t="shared" si="10"/>
        <v>7.425215662</v>
      </c>
      <c r="O333" s="24"/>
      <c r="P333" s="24"/>
      <c r="Q333" s="24"/>
      <c r="R333" s="26"/>
      <c r="S333" s="9">
        <f t="shared" si="13"/>
        <v>6.818546828</v>
      </c>
      <c r="U333" s="21"/>
      <c r="V333" s="21"/>
    </row>
    <row r="334">
      <c r="A334" s="11">
        <v>322.0</v>
      </c>
      <c r="B334" s="11">
        <v>1.42079565217391E9</v>
      </c>
      <c r="C334" s="2">
        <v>-102.6852417</v>
      </c>
      <c r="D334" s="24">
        <f t="shared" si="1"/>
        <v>395652.1739</v>
      </c>
      <c r="E334" s="25">
        <f t="shared" si="2"/>
        <v>-84.48324416</v>
      </c>
      <c r="F334" s="24">
        <f t="shared" si="3"/>
        <v>0.0002135290786</v>
      </c>
      <c r="G334" s="24">
        <f t="shared" si="4"/>
        <v>0</v>
      </c>
      <c r="H334" s="26">
        <f t="shared" si="5"/>
        <v>0</v>
      </c>
      <c r="I334" s="24">
        <f t="shared" si="6"/>
        <v>0</v>
      </c>
      <c r="J334" s="24">
        <f t="shared" si="7"/>
        <v>0</v>
      </c>
      <c r="K334" s="24"/>
      <c r="L334" s="24">
        <f t="shared" si="8"/>
        <v>409.809477</v>
      </c>
      <c r="M334" s="14">
        <f t="shared" si="9"/>
        <v>402.6768047</v>
      </c>
      <c r="N334" s="27">
        <f t="shared" si="10"/>
        <v>7.132672229</v>
      </c>
      <c r="O334" s="24"/>
      <c r="P334" s="24"/>
      <c r="Q334" s="24"/>
      <c r="R334" s="26"/>
      <c r="S334" s="9">
        <f t="shared" si="13"/>
        <v>6.54990531</v>
      </c>
      <c r="U334" s="21"/>
      <c r="V334" s="21"/>
    </row>
    <row r="335">
      <c r="A335" s="11">
        <v>323.0</v>
      </c>
      <c r="B335" s="11">
        <v>1.4208E9</v>
      </c>
      <c r="C335" s="2">
        <v>-102.6671829</v>
      </c>
      <c r="D335" s="24">
        <f t="shared" si="1"/>
        <v>400000</v>
      </c>
      <c r="E335" s="25">
        <f t="shared" si="2"/>
        <v>-85.40154029</v>
      </c>
      <c r="F335" s="24">
        <f t="shared" si="3"/>
        <v>0.0002135038507</v>
      </c>
      <c r="G335" s="24">
        <f t="shared" si="4"/>
        <v>0</v>
      </c>
      <c r="H335" s="26">
        <f t="shared" si="5"/>
        <v>0</v>
      </c>
      <c r="I335" s="24">
        <f t="shared" si="6"/>
        <v>0</v>
      </c>
      <c r="J335" s="24">
        <f t="shared" si="7"/>
        <v>0</v>
      </c>
      <c r="K335" s="24"/>
      <c r="L335" s="24">
        <f t="shared" si="8"/>
        <v>411.5170914</v>
      </c>
      <c r="M335" s="14">
        <f t="shared" si="9"/>
        <v>402.5935118</v>
      </c>
      <c r="N335" s="27">
        <f t="shared" si="10"/>
        <v>8.923579692</v>
      </c>
      <c r="O335" s="24"/>
      <c r="P335" s="24"/>
      <c r="Q335" s="24"/>
      <c r="R335" s="26"/>
      <c r="S335" s="9">
        <f t="shared" si="13"/>
        <v>8.194488721</v>
      </c>
      <c r="U335" s="21"/>
      <c r="V335" s="21"/>
    </row>
    <row r="336">
      <c r="A336" s="11">
        <v>324.0</v>
      </c>
      <c r="B336" s="11">
        <v>1.42080434782608E9</v>
      </c>
      <c r="C336" s="2">
        <v>-102.649086</v>
      </c>
      <c r="D336" s="24">
        <f t="shared" si="1"/>
        <v>404347.8261</v>
      </c>
      <c r="E336" s="25">
        <f t="shared" si="2"/>
        <v>-86.31983642</v>
      </c>
      <c r="F336" s="24">
        <f t="shared" si="3"/>
        <v>0.0002134791653</v>
      </c>
      <c r="G336" s="24">
        <f t="shared" si="4"/>
        <v>0</v>
      </c>
      <c r="H336" s="26">
        <f t="shared" si="5"/>
        <v>0</v>
      </c>
      <c r="I336" s="24">
        <f t="shared" si="6"/>
        <v>0</v>
      </c>
      <c r="J336" s="24">
        <f t="shared" si="7"/>
        <v>0</v>
      </c>
      <c r="K336" s="24"/>
      <c r="L336" s="24">
        <f t="shared" si="8"/>
        <v>413.2354465</v>
      </c>
      <c r="M336" s="14">
        <f t="shared" si="9"/>
        <v>402.5103527</v>
      </c>
      <c r="N336" s="27">
        <f t="shared" si="10"/>
        <v>10.72509385</v>
      </c>
      <c r="O336" s="24"/>
      <c r="P336" s="24"/>
      <c r="Q336" s="24"/>
      <c r="R336" s="26"/>
      <c r="S336" s="9">
        <f t="shared" si="13"/>
        <v>9.848812207</v>
      </c>
      <c r="U336" s="21"/>
      <c r="V336" s="21"/>
    </row>
    <row r="337">
      <c r="A337" s="11">
        <v>325.0</v>
      </c>
      <c r="B337" s="11">
        <v>1.42080869565217E9</v>
      </c>
      <c r="C337" s="2">
        <v>-102.6697998</v>
      </c>
      <c r="D337" s="24">
        <f t="shared" si="1"/>
        <v>408695.6522</v>
      </c>
      <c r="E337" s="25">
        <f t="shared" si="2"/>
        <v>-87.23813255</v>
      </c>
      <c r="F337" s="24">
        <f t="shared" si="3"/>
        <v>0.0002134550052</v>
      </c>
      <c r="G337" s="24">
        <f t="shared" si="4"/>
        <v>0</v>
      </c>
      <c r="H337" s="26">
        <f t="shared" si="5"/>
        <v>0</v>
      </c>
      <c r="I337" s="24">
        <f t="shared" si="6"/>
        <v>0</v>
      </c>
      <c r="J337" s="24">
        <f t="shared" si="7"/>
        <v>0</v>
      </c>
      <c r="K337" s="24"/>
      <c r="L337" s="24">
        <f t="shared" si="8"/>
        <v>411.269201</v>
      </c>
      <c r="M337" s="14">
        <f t="shared" si="9"/>
        <v>402.4273284</v>
      </c>
      <c r="N337" s="27">
        <f t="shared" si="10"/>
        <v>8.841872607</v>
      </c>
      <c r="O337" s="24"/>
      <c r="P337" s="24"/>
      <c r="Q337" s="24"/>
      <c r="R337" s="26"/>
      <c r="S337" s="9">
        <f t="shared" si="13"/>
        <v>8.119457402</v>
      </c>
      <c r="U337" s="21"/>
      <c r="V337" s="21"/>
    </row>
    <row r="338">
      <c r="A338" s="11">
        <v>326.0</v>
      </c>
      <c r="B338" s="11">
        <v>1.42081304347826E9</v>
      </c>
      <c r="C338" s="2">
        <v>-102.7702637</v>
      </c>
      <c r="D338" s="24">
        <f t="shared" si="1"/>
        <v>413043.4783</v>
      </c>
      <c r="E338" s="25">
        <f t="shared" si="2"/>
        <v>-88.15642868</v>
      </c>
      <c r="F338" s="24">
        <f t="shared" si="3"/>
        <v>0.0002134313537</v>
      </c>
      <c r="G338" s="24">
        <f t="shared" si="4"/>
        <v>0</v>
      </c>
      <c r="H338" s="26">
        <f t="shared" si="5"/>
        <v>0</v>
      </c>
      <c r="I338" s="24">
        <f t="shared" si="6"/>
        <v>0</v>
      </c>
      <c r="J338" s="24">
        <f t="shared" si="7"/>
        <v>0</v>
      </c>
      <c r="K338" s="24"/>
      <c r="L338" s="24">
        <f t="shared" si="8"/>
        <v>401.8646428</v>
      </c>
      <c r="M338" s="14">
        <f t="shared" si="9"/>
        <v>402.3444396</v>
      </c>
      <c r="N338" s="27">
        <f t="shared" si="10"/>
        <v>-0.4797968485</v>
      </c>
      <c r="O338" s="24"/>
      <c r="P338" s="24"/>
      <c r="Q338" s="24"/>
      <c r="R338" s="26"/>
      <c r="S338" s="9">
        <f t="shared" si="13"/>
        <v>-0.4405955905</v>
      </c>
      <c r="U338" s="21"/>
      <c r="V338" s="21"/>
    </row>
    <row r="339">
      <c r="A339" s="11">
        <v>327.0</v>
      </c>
      <c r="B339" s="11">
        <v>1.42081739130434E9</v>
      </c>
      <c r="C339" s="2">
        <v>-102.6841736</v>
      </c>
      <c r="D339" s="24">
        <f t="shared" si="1"/>
        <v>417391.3043</v>
      </c>
      <c r="E339" s="25">
        <f t="shared" si="2"/>
        <v>-89.07472482</v>
      </c>
      <c r="F339" s="24">
        <f t="shared" si="3"/>
        <v>0.0002134081949</v>
      </c>
      <c r="G339" s="24">
        <f t="shared" si="4"/>
        <v>0</v>
      </c>
      <c r="H339" s="26">
        <f t="shared" si="5"/>
        <v>0</v>
      </c>
      <c r="I339" s="24">
        <f t="shared" si="6"/>
        <v>0</v>
      </c>
      <c r="J339" s="24">
        <f t="shared" si="7"/>
        <v>0</v>
      </c>
      <c r="K339" s="24"/>
      <c r="L339" s="24">
        <f t="shared" si="8"/>
        <v>409.9102775</v>
      </c>
      <c r="M339" s="14">
        <f t="shared" si="9"/>
        <v>402.2616873</v>
      </c>
      <c r="N339" s="27">
        <f t="shared" si="10"/>
        <v>7.648590223</v>
      </c>
      <c r="O339" s="24"/>
      <c r="P339" s="24"/>
      <c r="Q339" s="24"/>
      <c r="R339" s="26"/>
      <c r="S339" s="9">
        <f t="shared" si="13"/>
        <v>7.023670823</v>
      </c>
      <c r="U339" s="21"/>
      <c r="V339" s="21"/>
    </row>
    <row r="340">
      <c r="A340" s="11">
        <v>328.0</v>
      </c>
      <c r="B340" s="11">
        <v>1.42082173913043E9</v>
      </c>
      <c r="C340" s="2">
        <v>-102.7949982</v>
      </c>
      <c r="D340" s="24">
        <f t="shared" si="1"/>
        <v>421739.1304</v>
      </c>
      <c r="E340" s="25">
        <f t="shared" si="2"/>
        <v>-89.99302095</v>
      </c>
      <c r="F340" s="24">
        <f t="shared" si="3"/>
        <v>0.0002133855136</v>
      </c>
      <c r="G340" s="24">
        <f t="shared" si="4"/>
        <v>0</v>
      </c>
      <c r="H340" s="26">
        <f t="shared" si="5"/>
        <v>0</v>
      </c>
      <c r="I340" s="24">
        <f t="shared" si="6"/>
        <v>0</v>
      </c>
      <c r="J340" s="24">
        <f t="shared" si="7"/>
        <v>0</v>
      </c>
      <c r="K340" s="24"/>
      <c r="L340" s="24">
        <f t="shared" si="8"/>
        <v>399.5823966</v>
      </c>
      <c r="M340" s="14">
        <f t="shared" si="9"/>
        <v>402.1790723</v>
      </c>
      <c r="N340" s="27">
        <f t="shared" si="10"/>
        <v>-2.596675671</v>
      </c>
      <c r="O340" s="24"/>
      <c r="P340" s="24"/>
      <c r="Q340" s="24"/>
      <c r="R340" s="26"/>
      <c r="S340" s="9">
        <f t="shared" si="13"/>
        <v>-2.384517221</v>
      </c>
      <c r="U340" s="21"/>
      <c r="V340" s="21"/>
    </row>
    <row r="341">
      <c r="A341" s="11">
        <v>329.0</v>
      </c>
      <c r="B341" s="11">
        <v>1.42082608695652E9</v>
      </c>
      <c r="C341" s="2">
        <v>-102.7205734</v>
      </c>
      <c r="D341" s="24">
        <f t="shared" si="1"/>
        <v>426086.9565</v>
      </c>
      <c r="E341" s="25">
        <f t="shared" si="2"/>
        <v>-90.91131708</v>
      </c>
      <c r="F341" s="24">
        <f t="shared" si="3"/>
        <v>0.0002133632952</v>
      </c>
      <c r="G341" s="24">
        <f t="shared" si="4"/>
        <v>0</v>
      </c>
      <c r="H341" s="26">
        <f t="shared" si="5"/>
        <v>0</v>
      </c>
      <c r="I341" s="24">
        <f t="shared" si="6"/>
        <v>0</v>
      </c>
      <c r="J341" s="24">
        <f t="shared" si="7"/>
        <v>0</v>
      </c>
      <c r="K341" s="24"/>
      <c r="L341" s="24">
        <f t="shared" si="8"/>
        <v>406.4890278</v>
      </c>
      <c r="M341" s="14">
        <f t="shared" si="9"/>
        <v>402.0965954</v>
      </c>
      <c r="N341" s="27">
        <f t="shared" si="10"/>
        <v>4.392432456</v>
      </c>
      <c r="O341" s="24"/>
      <c r="P341" s="24"/>
      <c r="Q341" s="24"/>
      <c r="R341" s="26"/>
      <c r="S341" s="9">
        <f t="shared" si="13"/>
        <v>4.033553738</v>
      </c>
      <c r="U341" s="21"/>
      <c r="V341" s="21"/>
    </row>
    <row r="342">
      <c r="A342" s="11">
        <v>330.0</v>
      </c>
      <c r="B342" s="11">
        <v>1.4208304347826E9</v>
      </c>
      <c r="C342" s="2">
        <v>-102.7329788</v>
      </c>
      <c r="D342" s="24">
        <f t="shared" si="1"/>
        <v>430434.7826</v>
      </c>
      <c r="E342" s="25">
        <f t="shared" si="2"/>
        <v>-91.82961321</v>
      </c>
      <c r="F342" s="24">
        <f t="shared" si="3"/>
        <v>0.0002133415256</v>
      </c>
      <c r="G342" s="24">
        <f t="shared" si="4"/>
        <v>0</v>
      </c>
      <c r="H342" s="26">
        <f t="shared" si="5"/>
        <v>0</v>
      </c>
      <c r="I342" s="24">
        <f t="shared" si="6"/>
        <v>0</v>
      </c>
      <c r="J342" s="24">
        <f t="shared" si="7"/>
        <v>0</v>
      </c>
      <c r="K342" s="24"/>
      <c r="L342" s="24">
        <f t="shared" si="8"/>
        <v>405.3295694</v>
      </c>
      <c r="M342" s="14">
        <f t="shared" si="9"/>
        <v>402.0142574</v>
      </c>
      <c r="N342" s="27">
        <f t="shared" si="10"/>
        <v>3.315312043</v>
      </c>
      <c r="O342" s="24"/>
      <c r="P342" s="24"/>
      <c r="Q342" s="24"/>
      <c r="R342" s="26"/>
      <c r="S342" s="9">
        <f t="shared" si="13"/>
        <v>3.044438228</v>
      </c>
      <c r="U342" s="21"/>
      <c r="V342" s="21"/>
    </row>
    <row r="343">
      <c r="A343" s="11">
        <v>331.0</v>
      </c>
      <c r="B343" s="11">
        <v>1.42083478260869E9</v>
      </c>
      <c r="C343" s="2">
        <v>-102.7646027</v>
      </c>
      <c r="D343" s="24">
        <f t="shared" si="1"/>
        <v>434782.6087</v>
      </c>
      <c r="E343" s="25">
        <f t="shared" si="2"/>
        <v>-92.74790935</v>
      </c>
      <c r="F343" s="24">
        <f t="shared" si="3"/>
        <v>0.0002133201915</v>
      </c>
      <c r="G343" s="24">
        <f t="shared" si="4"/>
        <v>0</v>
      </c>
      <c r="H343" s="26">
        <f t="shared" si="5"/>
        <v>0</v>
      </c>
      <c r="I343" s="24">
        <f t="shared" si="6"/>
        <v>0</v>
      </c>
      <c r="J343" s="24">
        <f t="shared" si="7"/>
        <v>0</v>
      </c>
      <c r="K343" s="24"/>
      <c r="L343" s="24">
        <f t="shared" si="8"/>
        <v>402.3888122</v>
      </c>
      <c r="M343" s="14">
        <f t="shared" si="9"/>
        <v>401.9320592</v>
      </c>
      <c r="N343" s="27">
        <f t="shared" si="10"/>
        <v>0.4567530316</v>
      </c>
      <c r="O343" s="24"/>
      <c r="P343" s="24"/>
      <c r="Q343" s="24"/>
      <c r="R343" s="26"/>
      <c r="S343" s="9">
        <f t="shared" si="13"/>
        <v>0.4194345426</v>
      </c>
      <c r="U343" s="21"/>
      <c r="V343" s="21"/>
    </row>
    <row r="344">
      <c r="A344" s="11">
        <v>332.0</v>
      </c>
      <c r="B344" s="11">
        <v>1.42083913043478E9</v>
      </c>
      <c r="C344" s="2">
        <v>-102.6915207</v>
      </c>
      <c r="D344" s="24">
        <f t="shared" si="1"/>
        <v>439130.4348</v>
      </c>
      <c r="E344" s="25">
        <f t="shared" si="2"/>
        <v>-93.66620548</v>
      </c>
      <c r="F344" s="24">
        <f t="shared" si="3"/>
        <v>0.0002132992798</v>
      </c>
      <c r="G344" s="24">
        <f t="shared" si="4"/>
        <v>0</v>
      </c>
      <c r="H344" s="26">
        <f t="shared" si="5"/>
        <v>0</v>
      </c>
      <c r="I344" s="24">
        <f t="shared" si="6"/>
        <v>0</v>
      </c>
      <c r="J344" s="24">
        <f t="shared" si="7"/>
        <v>0</v>
      </c>
      <c r="K344" s="24"/>
      <c r="L344" s="24">
        <f t="shared" si="8"/>
        <v>409.2174053</v>
      </c>
      <c r="M344" s="14">
        <f t="shared" si="9"/>
        <v>401.8500017</v>
      </c>
      <c r="N344" s="27">
        <f t="shared" si="10"/>
        <v>7.367403681</v>
      </c>
      <c r="O344" s="24"/>
      <c r="P344" s="24"/>
      <c r="Q344" s="24"/>
      <c r="R344" s="26"/>
      <c r="S344" s="9">
        <f t="shared" si="13"/>
        <v>6.765458293</v>
      </c>
      <c r="U344" s="21"/>
      <c r="V344" s="21"/>
    </row>
    <row r="345">
      <c r="A345" s="11">
        <v>333.0</v>
      </c>
      <c r="B345" s="11">
        <v>1.42084347826087E9</v>
      </c>
      <c r="C345" s="2">
        <v>-102.7044601</v>
      </c>
      <c r="D345" s="24">
        <f t="shared" si="1"/>
        <v>443478.2609</v>
      </c>
      <c r="E345" s="25">
        <f t="shared" si="2"/>
        <v>-94.58450161</v>
      </c>
      <c r="F345" s="24">
        <f t="shared" si="3"/>
        <v>0.0002132787781</v>
      </c>
      <c r="G345" s="24">
        <f t="shared" si="4"/>
        <v>0</v>
      </c>
      <c r="H345" s="26">
        <f t="shared" si="5"/>
        <v>0</v>
      </c>
      <c r="I345" s="24">
        <f t="shared" si="6"/>
        <v>0</v>
      </c>
      <c r="J345" s="24">
        <f t="shared" si="7"/>
        <v>0</v>
      </c>
      <c r="K345" s="24"/>
      <c r="L345" s="24">
        <f t="shared" si="8"/>
        <v>407.9999946</v>
      </c>
      <c r="M345" s="14">
        <f t="shared" si="9"/>
        <v>401.7680856</v>
      </c>
      <c r="N345" s="27">
        <f t="shared" si="10"/>
        <v>6.231909072</v>
      </c>
      <c r="O345" s="24"/>
      <c r="P345" s="24"/>
      <c r="Q345" s="24"/>
      <c r="R345" s="26"/>
      <c r="S345" s="9">
        <f t="shared" si="13"/>
        <v>5.722738001</v>
      </c>
      <c r="U345" s="21"/>
      <c r="V345" s="21"/>
    </row>
    <row r="346">
      <c r="A346" s="11">
        <v>334.0</v>
      </c>
      <c r="B346" s="11">
        <v>1.42084782608695E9</v>
      </c>
      <c r="C346" s="2">
        <v>-102.7088089</v>
      </c>
      <c r="D346" s="24">
        <f t="shared" si="1"/>
        <v>447826.087</v>
      </c>
      <c r="E346" s="25">
        <f t="shared" si="2"/>
        <v>-95.50279774</v>
      </c>
      <c r="F346" s="24">
        <f t="shared" si="3"/>
        <v>0.0002132586746</v>
      </c>
      <c r="G346" s="24">
        <f t="shared" si="4"/>
        <v>0</v>
      </c>
      <c r="H346" s="26">
        <f t="shared" si="5"/>
        <v>0</v>
      </c>
      <c r="I346" s="24">
        <f t="shared" si="6"/>
        <v>0</v>
      </c>
      <c r="J346" s="24">
        <f t="shared" si="7"/>
        <v>0</v>
      </c>
      <c r="K346" s="24"/>
      <c r="L346" s="24">
        <f t="shared" si="8"/>
        <v>407.5916491</v>
      </c>
      <c r="M346" s="14">
        <f t="shared" si="9"/>
        <v>401.6863118</v>
      </c>
      <c r="N346" s="27">
        <f t="shared" si="10"/>
        <v>5.905337281</v>
      </c>
      <c r="O346" s="24"/>
      <c r="P346" s="24"/>
      <c r="Q346" s="24"/>
      <c r="R346" s="26"/>
      <c r="S346" s="9">
        <f t="shared" si="13"/>
        <v>5.422848388</v>
      </c>
      <c r="U346" s="21"/>
      <c r="V346" s="21"/>
    </row>
    <row r="347">
      <c r="A347" s="11">
        <v>335.0</v>
      </c>
      <c r="B347" s="11">
        <v>1.42085217391304E9</v>
      </c>
      <c r="C347" s="2">
        <v>-102.736702</v>
      </c>
      <c r="D347" s="24">
        <f t="shared" si="1"/>
        <v>452173.913</v>
      </c>
      <c r="E347" s="25">
        <f t="shared" si="2"/>
        <v>-96.42109387</v>
      </c>
      <c r="F347" s="24">
        <f t="shared" si="3"/>
        <v>0.0002132389576</v>
      </c>
      <c r="G347" s="24">
        <f t="shared" si="4"/>
        <v>0</v>
      </c>
      <c r="H347" s="26">
        <f t="shared" si="5"/>
        <v>0</v>
      </c>
      <c r="I347" s="24">
        <f t="shared" si="6"/>
        <v>0</v>
      </c>
      <c r="J347" s="24">
        <f t="shared" si="7"/>
        <v>0</v>
      </c>
      <c r="K347" s="24"/>
      <c r="L347" s="24">
        <f t="shared" si="8"/>
        <v>404.9822299</v>
      </c>
      <c r="M347" s="14">
        <f t="shared" si="9"/>
        <v>401.6046811</v>
      </c>
      <c r="N347" s="27">
        <f t="shared" si="10"/>
        <v>3.3775488</v>
      </c>
      <c r="O347" s="24"/>
      <c r="P347" s="24"/>
      <c r="Q347" s="24"/>
      <c r="R347" s="26"/>
      <c r="S347" s="9">
        <f t="shared" si="13"/>
        <v>3.101589994</v>
      </c>
      <c r="U347" s="21"/>
      <c r="V347" s="21"/>
    </row>
    <row r="348">
      <c r="A348" s="11">
        <v>336.0</v>
      </c>
      <c r="B348" s="11">
        <v>1.42085652173913E9</v>
      </c>
      <c r="C348" s="2">
        <v>-102.7512589</v>
      </c>
      <c r="D348" s="24">
        <f t="shared" si="1"/>
        <v>456521.7391</v>
      </c>
      <c r="E348" s="25">
        <f t="shared" si="2"/>
        <v>-97.33939</v>
      </c>
      <c r="F348" s="24">
        <f t="shared" si="3"/>
        <v>0.0002132196162</v>
      </c>
      <c r="G348" s="24">
        <f t="shared" si="4"/>
        <v>0</v>
      </c>
      <c r="H348" s="26">
        <f t="shared" si="5"/>
        <v>0</v>
      </c>
      <c r="I348" s="24">
        <f t="shared" si="6"/>
        <v>0</v>
      </c>
      <c r="J348" s="24">
        <f t="shared" si="7"/>
        <v>0</v>
      </c>
      <c r="K348" s="24"/>
      <c r="L348" s="24">
        <f t="shared" si="8"/>
        <v>403.6270626</v>
      </c>
      <c r="M348" s="14">
        <f t="shared" si="9"/>
        <v>401.5231945</v>
      </c>
      <c r="N348" s="27">
        <f t="shared" si="10"/>
        <v>2.103868165</v>
      </c>
      <c r="O348" s="24"/>
      <c r="P348" s="24"/>
      <c r="Q348" s="24"/>
      <c r="R348" s="26"/>
      <c r="S348" s="9">
        <f t="shared" si="13"/>
        <v>1.931974</v>
      </c>
      <c r="U348" s="21"/>
      <c r="V348" s="21"/>
    </row>
    <row r="349">
      <c r="A349" s="11">
        <v>337.0</v>
      </c>
      <c r="B349" s="11">
        <v>1.42086086956521E9</v>
      </c>
      <c r="C349" s="2">
        <v>-102.6912842</v>
      </c>
      <c r="D349" s="24">
        <f t="shared" si="1"/>
        <v>460869.5652</v>
      </c>
      <c r="E349" s="25">
        <f t="shared" si="2"/>
        <v>-98.25768614</v>
      </c>
      <c r="F349" s="24">
        <f t="shared" si="3"/>
        <v>0.0002132006397</v>
      </c>
      <c r="G349" s="24">
        <f t="shared" si="4"/>
        <v>0</v>
      </c>
      <c r="H349" s="26">
        <f t="shared" si="5"/>
        <v>0</v>
      </c>
      <c r="I349" s="24">
        <f t="shared" si="6"/>
        <v>0</v>
      </c>
      <c r="J349" s="24">
        <f t="shared" si="7"/>
        <v>0</v>
      </c>
      <c r="K349" s="24"/>
      <c r="L349" s="24">
        <f t="shared" si="8"/>
        <v>409.2396903</v>
      </c>
      <c r="M349" s="14">
        <f t="shared" si="9"/>
        <v>401.4418526</v>
      </c>
      <c r="N349" s="27">
        <f t="shared" si="10"/>
        <v>7.797837718</v>
      </c>
      <c r="O349" s="24"/>
      <c r="P349" s="24"/>
      <c r="Q349" s="24"/>
      <c r="R349" s="26"/>
      <c r="S349" s="9">
        <f t="shared" si="13"/>
        <v>7.160724221</v>
      </c>
      <c r="U349" s="21"/>
      <c r="V349" s="21"/>
    </row>
    <row r="350">
      <c r="A350" s="11">
        <v>338.0</v>
      </c>
      <c r="B350" s="11">
        <v>1.4208652173913E9</v>
      </c>
      <c r="C350" s="2">
        <v>-102.7480011</v>
      </c>
      <c r="D350" s="24">
        <f t="shared" si="1"/>
        <v>465217.3913</v>
      </c>
      <c r="E350" s="25">
        <f t="shared" si="2"/>
        <v>-99.17598227</v>
      </c>
      <c r="F350" s="24">
        <f t="shared" si="3"/>
        <v>0.000213182018</v>
      </c>
      <c r="G350" s="24">
        <f t="shared" si="4"/>
        <v>0</v>
      </c>
      <c r="H350" s="26">
        <f t="shared" si="5"/>
        <v>0</v>
      </c>
      <c r="I350" s="24">
        <f t="shared" si="6"/>
        <v>0</v>
      </c>
      <c r="J350" s="24">
        <f t="shared" si="7"/>
        <v>0</v>
      </c>
      <c r="K350" s="24"/>
      <c r="L350" s="24">
        <f t="shared" si="8"/>
        <v>403.9299515</v>
      </c>
      <c r="M350" s="14">
        <f t="shared" si="9"/>
        <v>401.3606564</v>
      </c>
      <c r="N350" s="27">
        <f t="shared" si="10"/>
        <v>2.569295035</v>
      </c>
      <c r="O350" s="24"/>
      <c r="P350" s="24"/>
      <c r="Q350" s="24"/>
      <c r="R350" s="26"/>
      <c r="S350" s="9">
        <f t="shared" si="13"/>
        <v>2.359373689</v>
      </c>
      <c r="U350" s="21"/>
      <c r="V350" s="21"/>
    </row>
    <row r="351">
      <c r="A351" s="11">
        <v>339.0</v>
      </c>
      <c r="B351" s="11">
        <v>1.42086956521739E9</v>
      </c>
      <c r="C351" s="2">
        <v>-102.7200851</v>
      </c>
      <c r="D351" s="24">
        <f t="shared" si="1"/>
        <v>469565.2174</v>
      </c>
      <c r="E351" s="25">
        <f t="shared" si="2"/>
        <v>-100.0942784</v>
      </c>
      <c r="F351" s="24">
        <f t="shared" si="3"/>
        <v>0.000213163741</v>
      </c>
      <c r="G351" s="24">
        <f t="shared" si="4"/>
        <v>0</v>
      </c>
      <c r="H351" s="26">
        <f t="shared" si="5"/>
        <v>0</v>
      </c>
      <c r="I351" s="24">
        <f t="shared" si="6"/>
        <v>0</v>
      </c>
      <c r="J351" s="24">
        <f t="shared" si="7"/>
        <v>0</v>
      </c>
      <c r="K351" s="24"/>
      <c r="L351" s="24">
        <f t="shared" si="8"/>
        <v>406.5347341</v>
      </c>
      <c r="M351" s="14">
        <f t="shared" si="9"/>
        <v>401.2796068</v>
      </c>
      <c r="N351" s="27">
        <f t="shared" si="10"/>
        <v>5.255127322</v>
      </c>
      <c r="O351" s="24"/>
      <c r="P351" s="24"/>
      <c r="Q351" s="24"/>
      <c r="R351" s="26"/>
      <c r="S351" s="9">
        <f t="shared" si="13"/>
        <v>4.825763097</v>
      </c>
      <c r="U351" s="21"/>
      <c r="V351" s="21"/>
    </row>
    <row r="352">
      <c r="A352" s="11">
        <v>340.0</v>
      </c>
      <c r="B352" s="11">
        <v>1.42087391304347E9</v>
      </c>
      <c r="C352" s="2">
        <v>-102.7549667</v>
      </c>
      <c r="D352" s="24">
        <f t="shared" si="1"/>
        <v>473913.0435</v>
      </c>
      <c r="E352" s="25">
        <f t="shared" si="2"/>
        <v>-101.0125745</v>
      </c>
      <c r="F352" s="24">
        <f t="shared" si="3"/>
        <v>0.0002131457995</v>
      </c>
      <c r="G352" s="24">
        <f t="shared" si="4"/>
        <v>0</v>
      </c>
      <c r="H352" s="26">
        <f t="shared" si="5"/>
        <v>0</v>
      </c>
      <c r="I352" s="24">
        <f t="shared" si="6"/>
        <v>0</v>
      </c>
      <c r="J352" s="24">
        <f t="shared" si="7"/>
        <v>0</v>
      </c>
      <c r="K352" s="24"/>
      <c r="L352" s="24">
        <f t="shared" si="8"/>
        <v>403.2826121</v>
      </c>
      <c r="M352" s="14">
        <f t="shared" si="9"/>
        <v>401.1987044</v>
      </c>
      <c r="N352" s="27">
        <f t="shared" si="10"/>
        <v>2.08390765</v>
      </c>
      <c r="O352" s="24"/>
      <c r="P352" s="24"/>
      <c r="Q352" s="24"/>
      <c r="R352" s="26"/>
      <c r="S352" s="9">
        <f t="shared" si="13"/>
        <v>1.913644336</v>
      </c>
      <c r="U352" s="21"/>
      <c r="V352" s="21"/>
    </row>
    <row r="353">
      <c r="A353" s="11">
        <v>341.0</v>
      </c>
      <c r="B353" s="11">
        <v>1.42087826086956E9</v>
      </c>
      <c r="C353" s="2">
        <v>-102.7129517</v>
      </c>
      <c r="D353" s="24">
        <f t="shared" si="1"/>
        <v>478260.8696</v>
      </c>
      <c r="E353" s="25">
        <f t="shared" si="2"/>
        <v>-101.9308707</v>
      </c>
      <c r="F353" s="24">
        <f t="shared" si="3"/>
        <v>0.0002131281841</v>
      </c>
      <c r="G353" s="24">
        <f t="shared" si="4"/>
        <v>0</v>
      </c>
      <c r="H353" s="26">
        <f t="shared" si="5"/>
        <v>0</v>
      </c>
      <c r="I353" s="24">
        <f t="shared" si="6"/>
        <v>0</v>
      </c>
      <c r="J353" s="24">
        <f t="shared" si="7"/>
        <v>0</v>
      </c>
      <c r="K353" s="24"/>
      <c r="L353" s="24">
        <f t="shared" si="8"/>
        <v>407.2030267</v>
      </c>
      <c r="M353" s="14">
        <f t="shared" si="9"/>
        <v>401.1179503</v>
      </c>
      <c r="N353" s="27">
        <f t="shared" si="10"/>
        <v>6.085076409</v>
      </c>
      <c r="O353" s="24"/>
      <c r="P353" s="24"/>
      <c r="Q353" s="24"/>
      <c r="R353" s="26"/>
      <c r="S353" s="9">
        <f t="shared" si="13"/>
        <v>5.587902121</v>
      </c>
      <c r="U353" s="21"/>
      <c r="V353" s="21"/>
    </row>
    <row r="354">
      <c r="A354" s="11">
        <v>342.0</v>
      </c>
      <c r="B354" s="11">
        <v>1.42088260869565E9</v>
      </c>
      <c r="C354" s="2">
        <v>-102.7893906</v>
      </c>
      <c r="D354" s="24">
        <f t="shared" si="1"/>
        <v>482608.6957</v>
      </c>
      <c r="E354" s="25">
        <f t="shared" si="2"/>
        <v>-102.8491668</v>
      </c>
      <c r="F354" s="24">
        <f t="shared" si="3"/>
        <v>0.0002131108862</v>
      </c>
      <c r="G354" s="24">
        <f t="shared" si="4"/>
        <v>0</v>
      </c>
      <c r="H354" s="26">
        <f t="shared" si="5"/>
        <v>0</v>
      </c>
      <c r="I354" s="24">
        <f t="shared" si="6"/>
        <v>0</v>
      </c>
      <c r="J354" s="24">
        <f t="shared" si="7"/>
        <v>0</v>
      </c>
      <c r="K354" s="24"/>
      <c r="L354" s="24">
        <f t="shared" si="8"/>
        <v>400.0986697</v>
      </c>
      <c r="M354" s="14">
        <f t="shared" si="9"/>
        <v>401.0373451</v>
      </c>
      <c r="N354" s="27">
        <f t="shared" si="10"/>
        <v>-0.9386754225</v>
      </c>
      <c r="O354" s="24"/>
      <c r="P354" s="24"/>
      <c r="Q354" s="24"/>
      <c r="R354" s="26"/>
      <c r="S354" s="9">
        <f t="shared" si="13"/>
        <v>-0.8619820104</v>
      </c>
      <c r="U354" s="21"/>
      <c r="V354" s="21"/>
    </row>
    <row r="355">
      <c r="A355" s="11">
        <v>343.0</v>
      </c>
      <c r="B355" s="11">
        <v>1.42088695652173E9</v>
      </c>
      <c r="C355" s="2">
        <v>-102.7810364</v>
      </c>
      <c r="D355" s="24">
        <f t="shared" si="1"/>
        <v>486956.5217</v>
      </c>
      <c r="E355" s="25">
        <f t="shared" si="2"/>
        <v>-103.7674629</v>
      </c>
      <c r="F355" s="24">
        <f t="shared" si="3"/>
        <v>0.0002130938971</v>
      </c>
      <c r="G355" s="24">
        <f t="shared" si="4"/>
        <v>0</v>
      </c>
      <c r="H355" s="26">
        <f t="shared" si="5"/>
        <v>0</v>
      </c>
      <c r="I355" s="24">
        <f t="shared" si="6"/>
        <v>0</v>
      </c>
      <c r="J355" s="24">
        <f t="shared" si="7"/>
        <v>0</v>
      </c>
      <c r="K355" s="24"/>
      <c r="L355" s="24">
        <f t="shared" si="8"/>
        <v>400.8690505</v>
      </c>
      <c r="M355" s="14">
        <f t="shared" si="9"/>
        <v>400.9568898</v>
      </c>
      <c r="N355" s="27">
        <f t="shared" si="10"/>
        <v>-0.08783935108</v>
      </c>
      <c r="O355" s="24"/>
      <c r="P355" s="24"/>
      <c r="Q355" s="24"/>
      <c r="R355" s="26"/>
      <c r="S355" s="9">
        <f t="shared" si="13"/>
        <v>-0.0806625364</v>
      </c>
      <c r="U355" s="21"/>
      <c r="V355" s="21"/>
    </row>
    <row r="356">
      <c r="A356" s="11">
        <v>344.0</v>
      </c>
      <c r="B356" s="11">
        <v>1.42089130434782E9</v>
      </c>
      <c r="C356" s="2">
        <v>-102.7989197</v>
      </c>
      <c r="D356" s="24">
        <f t="shared" si="1"/>
        <v>491304.3478</v>
      </c>
      <c r="E356" s="25">
        <f t="shared" si="2"/>
        <v>-104.6857591</v>
      </c>
      <c r="F356" s="24">
        <f t="shared" si="3"/>
        <v>0.0002130772087</v>
      </c>
      <c r="G356" s="24">
        <f t="shared" si="4"/>
        <v>0</v>
      </c>
      <c r="H356" s="26">
        <f t="shared" si="5"/>
        <v>0</v>
      </c>
      <c r="I356" s="24">
        <f t="shared" si="6"/>
        <v>0</v>
      </c>
      <c r="J356" s="24">
        <f t="shared" si="7"/>
        <v>0</v>
      </c>
      <c r="K356" s="24"/>
      <c r="L356" s="24">
        <f t="shared" si="8"/>
        <v>399.2217531</v>
      </c>
      <c r="M356" s="14">
        <f t="shared" si="9"/>
        <v>400.8765852</v>
      </c>
      <c r="N356" s="27">
        <f t="shared" si="10"/>
        <v>-1.654832186</v>
      </c>
      <c r="O356" s="24"/>
      <c r="P356" s="24"/>
      <c r="Q356" s="24"/>
      <c r="R356" s="26"/>
      <c r="S356" s="9">
        <f t="shared" si="13"/>
        <v>-1.519625996</v>
      </c>
      <c r="U356" s="21"/>
      <c r="V356" s="21"/>
    </row>
    <row r="357">
      <c r="A357" s="11">
        <v>345.0</v>
      </c>
      <c r="B357" s="11">
        <v>1.42089565217391E9</v>
      </c>
      <c r="C357" s="2">
        <v>-102.8692932</v>
      </c>
      <c r="D357" s="24">
        <f t="shared" si="1"/>
        <v>495652.1739</v>
      </c>
      <c r="E357" s="25">
        <f t="shared" si="2"/>
        <v>-105.6040552</v>
      </c>
      <c r="F357" s="24">
        <f t="shared" si="3"/>
        <v>0.0002130608131</v>
      </c>
      <c r="G357" s="24">
        <f t="shared" si="4"/>
        <v>0</v>
      </c>
      <c r="H357" s="26">
        <f t="shared" si="5"/>
        <v>0</v>
      </c>
      <c r="I357" s="24">
        <f t="shared" si="6"/>
        <v>0</v>
      </c>
      <c r="J357" s="24">
        <f t="shared" si="7"/>
        <v>0</v>
      </c>
      <c r="K357" s="24"/>
      <c r="L357" s="24">
        <f t="shared" si="8"/>
        <v>392.8048554</v>
      </c>
      <c r="M357" s="14">
        <f t="shared" si="9"/>
        <v>400.7964322</v>
      </c>
      <c r="N357" s="27">
        <f t="shared" si="10"/>
        <v>-7.991576796</v>
      </c>
      <c r="O357" s="24"/>
      <c r="P357" s="24"/>
      <c r="Q357" s="24"/>
      <c r="R357" s="26"/>
      <c r="S357" s="9">
        <f t="shared" si="13"/>
        <v>-7.33863405</v>
      </c>
      <c r="U357" s="21"/>
      <c r="V357" s="21"/>
    </row>
    <row r="358">
      <c r="A358" s="11">
        <v>346.0</v>
      </c>
      <c r="B358" s="11">
        <v>1.4209E9</v>
      </c>
      <c r="C358" s="2">
        <v>-102.7970505</v>
      </c>
      <c r="D358" s="24">
        <f t="shared" si="1"/>
        <v>500000</v>
      </c>
      <c r="E358" s="25">
        <f t="shared" si="2"/>
        <v>-106.5223513</v>
      </c>
      <c r="F358" s="24">
        <f t="shared" si="3"/>
        <v>0.0002130447027</v>
      </c>
      <c r="G358" s="24">
        <f t="shared" si="4"/>
        <v>0</v>
      </c>
      <c r="H358" s="26">
        <f t="shared" si="5"/>
        <v>0</v>
      </c>
      <c r="I358" s="24">
        <f t="shared" si="6"/>
        <v>0</v>
      </c>
      <c r="J358" s="24">
        <f t="shared" si="7"/>
        <v>0</v>
      </c>
      <c r="K358" s="24"/>
      <c r="L358" s="24">
        <f t="shared" si="8"/>
        <v>399.3936148</v>
      </c>
      <c r="M358" s="14">
        <f t="shared" si="9"/>
        <v>400.7164315</v>
      </c>
      <c r="N358" s="27">
        <f t="shared" si="10"/>
        <v>-1.322816737</v>
      </c>
      <c r="O358" s="24"/>
      <c r="P358" s="24"/>
      <c r="Q358" s="24"/>
      <c r="R358" s="26"/>
      <c r="S358" s="9">
        <f t="shared" si="13"/>
        <v>-1.214737494</v>
      </c>
      <c r="U358" s="21"/>
      <c r="V358" s="21"/>
    </row>
    <row r="359">
      <c r="A359" s="11">
        <v>347.0</v>
      </c>
      <c r="B359" s="11">
        <v>1.42090434782608E9</v>
      </c>
      <c r="C359" s="2">
        <v>-102.7975922</v>
      </c>
      <c r="D359" s="24">
        <f t="shared" si="1"/>
        <v>504347.8261</v>
      </c>
      <c r="E359" s="25">
        <f t="shared" si="2"/>
        <v>-107.4406475</v>
      </c>
      <c r="F359" s="24">
        <f t="shared" si="3"/>
        <v>0.00021302887</v>
      </c>
      <c r="G359" s="24">
        <f t="shared" si="4"/>
        <v>0</v>
      </c>
      <c r="H359" s="26">
        <f t="shared" si="5"/>
        <v>0</v>
      </c>
      <c r="I359" s="24">
        <f t="shared" si="6"/>
        <v>0</v>
      </c>
      <c r="J359" s="24">
        <f t="shared" si="7"/>
        <v>0</v>
      </c>
      <c r="K359" s="24"/>
      <c r="L359" s="24">
        <f t="shared" si="8"/>
        <v>399.3438011</v>
      </c>
      <c r="M359" s="14">
        <f t="shared" si="9"/>
        <v>400.636584</v>
      </c>
      <c r="N359" s="27">
        <f t="shared" si="10"/>
        <v>-1.292782939</v>
      </c>
      <c r="O359" s="24"/>
      <c r="P359" s="24"/>
      <c r="Q359" s="24"/>
      <c r="R359" s="26"/>
      <c r="S359" s="9">
        <f t="shared" si="13"/>
        <v>-1.187157573</v>
      </c>
      <c r="U359" s="21"/>
      <c r="V359" s="21"/>
    </row>
    <row r="360">
      <c r="A360" s="11">
        <v>348.0</v>
      </c>
      <c r="B360" s="11">
        <v>1.42090869565217E9</v>
      </c>
      <c r="C360" s="2">
        <v>-102.7524948</v>
      </c>
      <c r="D360" s="24">
        <f t="shared" si="1"/>
        <v>508695.6522</v>
      </c>
      <c r="E360" s="25">
        <f t="shared" si="2"/>
        <v>-108.3589436</v>
      </c>
      <c r="F360" s="24">
        <f t="shared" si="3"/>
        <v>0.0002130133079</v>
      </c>
      <c r="G360" s="24">
        <f t="shared" si="4"/>
        <v>0</v>
      </c>
      <c r="H360" s="26">
        <f t="shared" si="5"/>
        <v>0</v>
      </c>
      <c r="I360" s="24">
        <f t="shared" si="6"/>
        <v>0</v>
      </c>
      <c r="J360" s="24">
        <f t="shared" si="7"/>
        <v>0</v>
      </c>
      <c r="K360" s="24"/>
      <c r="L360" s="24">
        <f t="shared" si="8"/>
        <v>403.5122162</v>
      </c>
      <c r="M360" s="14">
        <f t="shared" si="9"/>
        <v>400.5568906</v>
      </c>
      <c r="N360" s="27">
        <f t="shared" si="10"/>
        <v>2.95532559</v>
      </c>
      <c r="O360" s="24"/>
      <c r="P360" s="24"/>
      <c r="Q360" s="24"/>
      <c r="R360" s="26"/>
      <c r="S360" s="9">
        <f t="shared" si="13"/>
        <v>2.713864054</v>
      </c>
      <c r="U360" s="21"/>
      <c r="V360" s="21"/>
    </row>
    <row r="361">
      <c r="A361" s="11">
        <v>349.0</v>
      </c>
      <c r="B361" s="11">
        <v>1.42091304347826E9</v>
      </c>
      <c r="C361" s="2">
        <v>-102.771637</v>
      </c>
      <c r="D361" s="24">
        <f t="shared" si="1"/>
        <v>513043.4783</v>
      </c>
      <c r="E361" s="25">
        <f t="shared" si="2"/>
        <v>-109.2772397</v>
      </c>
      <c r="F361" s="24">
        <f t="shared" si="3"/>
        <v>0.0002129980096</v>
      </c>
      <c r="G361" s="24">
        <f t="shared" si="4"/>
        <v>0</v>
      </c>
      <c r="H361" s="26">
        <f t="shared" si="5"/>
        <v>0</v>
      </c>
      <c r="I361" s="24">
        <f t="shared" si="6"/>
        <v>0</v>
      </c>
      <c r="J361" s="24">
        <f t="shared" si="7"/>
        <v>0</v>
      </c>
      <c r="K361" s="24"/>
      <c r="L361" s="24">
        <f t="shared" si="8"/>
        <v>401.7375876</v>
      </c>
      <c r="M361" s="14">
        <f t="shared" si="9"/>
        <v>400.4773521</v>
      </c>
      <c r="N361" s="27">
        <f t="shared" si="10"/>
        <v>1.260235555</v>
      </c>
      <c r="O361" s="24"/>
      <c r="P361" s="24"/>
      <c r="Q361" s="24"/>
      <c r="R361" s="26"/>
      <c r="S361" s="9">
        <f t="shared" si="13"/>
        <v>1.157269436</v>
      </c>
      <c r="U361" s="21"/>
      <c r="V361" s="21"/>
    </row>
    <row r="362">
      <c r="A362" s="11">
        <v>350.0</v>
      </c>
      <c r="B362" s="11">
        <v>1.42091739130434E9</v>
      </c>
      <c r="C362" s="2">
        <v>-102.7836456</v>
      </c>
      <c r="D362" s="24">
        <f t="shared" si="1"/>
        <v>517391.3043</v>
      </c>
      <c r="E362" s="25">
        <f t="shared" si="2"/>
        <v>-110.1955359</v>
      </c>
      <c r="F362" s="24">
        <f t="shared" si="3"/>
        <v>0.0002129829685</v>
      </c>
      <c r="G362" s="24">
        <f t="shared" si="4"/>
        <v>0</v>
      </c>
      <c r="H362" s="26">
        <f t="shared" si="5"/>
        <v>0</v>
      </c>
      <c r="I362" s="24">
        <f t="shared" si="6"/>
        <v>0</v>
      </c>
      <c r="J362" s="24">
        <f t="shared" si="7"/>
        <v>0</v>
      </c>
      <c r="K362" s="24"/>
      <c r="L362" s="24">
        <f t="shared" si="8"/>
        <v>400.6282845</v>
      </c>
      <c r="M362" s="14">
        <f t="shared" si="9"/>
        <v>400.3979693</v>
      </c>
      <c r="N362" s="27">
        <f t="shared" si="10"/>
        <v>0.2303152087</v>
      </c>
      <c r="O362" s="24"/>
      <c r="P362" s="24"/>
      <c r="Q362" s="24"/>
      <c r="R362" s="26"/>
      <c r="S362" s="9">
        <f t="shared" si="13"/>
        <v>0.2114975655</v>
      </c>
      <c r="U362" s="21"/>
      <c r="V362" s="21"/>
    </row>
    <row r="363">
      <c r="A363" s="11">
        <v>351.0</v>
      </c>
      <c r="B363" s="11">
        <v>1.42092173913043E9</v>
      </c>
      <c r="C363" s="2">
        <v>-102.7580872</v>
      </c>
      <c r="D363" s="24">
        <f t="shared" si="1"/>
        <v>521739.1304</v>
      </c>
      <c r="E363" s="25">
        <f t="shared" si="2"/>
        <v>-111.113832</v>
      </c>
      <c r="F363" s="24">
        <f t="shared" si="3"/>
        <v>0.000212968178</v>
      </c>
      <c r="G363" s="24">
        <f t="shared" si="4"/>
        <v>0</v>
      </c>
      <c r="H363" s="26">
        <f t="shared" si="5"/>
        <v>0</v>
      </c>
      <c r="I363" s="24">
        <f t="shared" si="6"/>
        <v>0</v>
      </c>
      <c r="J363" s="24">
        <f t="shared" si="7"/>
        <v>0</v>
      </c>
      <c r="K363" s="24"/>
      <c r="L363" s="24">
        <f t="shared" si="8"/>
        <v>402.9929489</v>
      </c>
      <c r="M363" s="14">
        <f t="shared" si="9"/>
        <v>400.3187431</v>
      </c>
      <c r="N363" s="27">
        <f t="shared" si="10"/>
        <v>2.674205795</v>
      </c>
      <c r="O363" s="24"/>
      <c r="P363" s="24"/>
      <c r="Q363" s="24"/>
      <c r="R363" s="26"/>
      <c r="S363" s="9">
        <f t="shared" si="13"/>
        <v>2.455712834</v>
      </c>
      <c r="U363" s="21"/>
      <c r="V363" s="21"/>
    </row>
    <row r="364">
      <c r="A364" s="11">
        <v>352.0</v>
      </c>
      <c r="B364" s="11">
        <v>1.42092608695652E9</v>
      </c>
      <c r="C364" s="2">
        <v>-102.7272797</v>
      </c>
      <c r="D364" s="24">
        <f t="shared" si="1"/>
        <v>526086.9565</v>
      </c>
      <c r="E364" s="25">
        <f t="shared" si="2"/>
        <v>-112.0321281</v>
      </c>
      <c r="F364" s="24">
        <f t="shared" si="3"/>
        <v>0.000212953632</v>
      </c>
      <c r="G364" s="24">
        <f t="shared" si="4"/>
        <v>0</v>
      </c>
      <c r="H364" s="26">
        <f t="shared" si="5"/>
        <v>0</v>
      </c>
      <c r="I364" s="24">
        <f t="shared" si="6"/>
        <v>0</v>
      </c>
      <c r="J364" s="24">
        <f t="shared" si="7"/>
        <v>0</v>
      </c>
      <c r="K364" s="24"/>
      <c r="L364" s="24">
        <f t="shared" si="8"/>
        <v>405.8618189</v>
      </c>
      <c r="M364" s="14">
        <f t="shared" si="9"/>
        <v>400.2396742</v>
      </c>
      <c r="N364" s="27">
        <f t="shared" si="10"/>
        <v>5.622144678</v>
      </c>
      <c r="O364" s="24"/>
      <c r="P364" s="24"/>
      <c r="Q364" s="24"/>
      <c r="R364" s="26"/>
      <c r="S364" s="9">
        <f t="shared" si="13"/>
        <v>5.162793716</v>
      </c>
      <c r="U364" s="21"/>
      <c r="V364" s="21"/>
    </row>
    <row r="365">
      <c r="A365" s="11">
        <v>353.0</v>
      </c>
      <c r="B365" s="11">
        <v>1.4209304347826E9</v>
      </c>
      <c r="C365" s="2">
        <v>-102.7700424</v>
      </c>
      <c r="D365" s="24">
        <f t="shared" si="1"/>
        <v>530434.7826</v>
      </c>
      <c r="E365" s="25">
        <f t="shared" si="2"/>
        <v>-112.9504243</v>
      </c>
      <c r="F365" s="24">
        <f t="shared" si="3"/>
        <v>0.0002129393244</v>
      </c>
      <c r="G365" s="24">
        <f t="shared" si="4"/>
        <v>0</v>
      </c>
      <c r="H365" s="26">
        <f t="shared" si="5"/>
        <v>0</v>
      </c>
      <c r="I365" s="24">
        <f t="shared" si="6"/>
        <v>0</v>
      </c>
      <c r="J365" s="24">
        <f t="shared" si="7"/>
        <v>0</v>
      </c>
      <c r="K365" s="24"/>
      <c r="L365" s="24">
        <f t="shared" si="8"/>
        <v>401.8851208</v>
      </c>
      <c r="M365" s="14">
        <f t="shared" si="9"/>
        <v>400.1607637</v>
      </c>
      <c r="N365" s="27">
        <f t="shared" si="10"/>
        <v>1.72435713</v>
      </c>
      <c r="O365" s="24"/>
      <c r="P365" s="24"/>
      <c r="Q365" s="24"/>
      <c r="R365" s="26"/>
      <c r="S365" s="9">
        <f t="shared" si="13"/>
        <v>1.583470484</v>
      </c>
      <c r="U365" s="21"/>
      <c r="V365" s="21"/>
    </row>
    <row r="366">
      <c r="A366" s="11">
        <v>354.0</v>
      </c>
      <c r="B366" s="11">
        <v>1.42093478260869E9</v>
      </c>
      <c r="C366" s="2">
        <v>-102.7984009</v>
      </c>
      <c r="D366" s="24">
        <f t="shared" si="1"/>
        <v>534782.6087</v>
      </c>
      <c r="E366" s="25">
        <f t="shared" si="2"/>
        <v>-113.8687204</v>
      </c>
      <c r="F366" s="24">
        <f t="shared" si="3"/>
        <v>0.0002129252495</v>
      </c>
      <c r="G366" s="24">
        <f t="shared" si="4"/>
        <v>0</v>
      </c>
      <c r="H366" s="26">
        <f t="shared" si="5"/>
        <v>0</v>
      </c>
      <c r="I366" s="24">
        <f t="shared" si="6"/>
        <v>0</v>
      </c>
      <c r="J366" s="24">
        <f t="shared" si="7"/>
        <v>0</v>
      </c>
      <c r="K366" s="24"/>
      <c r="L366" s="24">
        <f t="shared" si="8"/>
        <v>399.2694462</v>
      </c>
      <c r="M366" s="14">
        <f t="shared" si="9"/>
        <v>400.0820122</v>
      </c>
      <c r="N366" s="27">
        <f t="shared" si="10"/>
        <v>-0.8125660034</v>
      </c>
      <c r="O366" s="24"/>
      <c r="P366" s="24"/>
      <c r="Q366" s="24"/>
      <c r="R366" s="26"/>
      <c r="S366" s="9">
        <f t="shared" si="13"/>
        <v>-0.7461762185</v>
      </c>
      <c r="U366" s="21"/>
      <c r="V366" s="21"/>
    </row>
    <row r="367">
      <c r="A367" s="11">
        <v>355.0</v>
      </c>
      <c r="B367" s="11">
        <v>1.42093913043478E9</v>
      </c>
      <c r="C367" s="2">
        <v>-102.7793274</v>
      </c>
      <c r="D367" s="24">
        <f t="shared" si="1"/>
        <v>539130.4348</v>
      </c>
      <c r="E367" s="25">
        <f t="shared" si="2"/>
        <v>-114.7870165</v>
      </c>
      <c r="F367" s="24">
        <f t="shared" si="3"/>
        <v>0.0002129114016</v>
      </c>
      <c r="G367" s="24">
        <f t="shared" si="4"/>
        <v>0</v>
      </c>
      <c r="H367" s="26">
        <f t="shared" si="5"/>
        <v>0</v>
      </c>
      <c r="I367" s="24">
        <f t="shared" si="6"/>
        <v>0</v>
      </c>
      <c r="J367" s="24">
        <f t="shared" si="7"/>
        <v>0</v>
      </c>
      <c r="K367" s="24"/>
      <c r="L367" s="24">
        <f t="shared" si="8"/>
        <v>401.0268282</v>
      </c>
      <c r="M367" s="14">
        <f t="shared" si="9"/>
        <v>400.0034206</v>
      </c>
      <c r="N367" s="27">
        <f t="shared" si="10"/>
        <v>1.023407596</v>
      </c>
      <c r="O367" s="24"/>
      <c r="P367" s="24"/>
      <c r="Q367" s="24"/>
      <c r="R367" s="26"/>
      <c r="S367" s="9">
        <f t="shared" si="13"/>
        <v>0.9397912352</v>
      </c>
      <c r="U367" s="21"/>
      <c r="V367" s="21"/>
    </row>
    <row r="368">
      <c r="A368" s="11">
        <v>356.0</v>
      </c>
      <c r="B368" s="11">
        <v>1.42094347826087E9</v>
      </c>
      <c r="C368" s="2">
        <v>-102.7359924</v>
      </c>
      <c r="D368" s="24">
        <f t="shared" si="1"/>
        <v>543478.2609</v>
      </c>
      <c r="E368" s="25">
        <f t="shared" si="2"/>
        <v>-115.7053126</v>
      </c>
      <c r="F368" s="24">
        <f t="shared" si="3"/>
        <v>0.0002128977753</v>
      </c>
      <c r="G368" s="24">
        <f t="shared" si="4"/>
        <v>0</v>
      </c>
      <c r="H368" s="26">
        <f t="shared" si="5"/>
        <v>0</v>
      </c>
      <c r="I368" s="24">
        <f t="shared" si="6"/>
        <v>0</v>
      </c>
      <c r="J368" s="24">
        <f t="shared" si="7"/>
        <v>0</v>
      </c>
      <c r="K368" s="24"/>
      <c r="L368" s="24">
        <f t="shared" si="8"/>
        <v>405.048406</v>
      </c>
      <c r="M368" s="14">
        <f t="shared" si="9"/>
        <v>399.9249898</v>
      </c>
      <c r="N368" s="27">
        <f t="shared" si="10"/>
        <v>5.123416132</v>
      </c>
      <c r="O368" s="24"/>
      <c r="P368" s="24"/>
      <c r="Q368" s="24"/>
      <c r="R368" s="26"/>
      <c r="S368" s="9">
        <f t="shared" si="13"/>
        <v>4.704813221</v>
      </c>
      <c r="U368" s="21"/>
      <c r="V368" s="21"/>
    </row>
    <row r="369">
      <c r="A369" s="11">
        <v>357.0</v>
      </c>
      <c r="B369" s="11">
        <v>1.42094782608695E9</v>
      </c>
      <c r="C369" s="2">
        <v>-102.7620468</v>
      </c>
      <c r="D369" s="24">
        <f t="shared" si="1"/>
        <v>547826.087</v>
      </c>
      <c r="E369" s="25">
        <f t="shared" si="2"/>
        <v>-116.6236088</v>
      </c>
      <c r="F369" s="24">
        <f t="shared" si="3"/>
        <v>0.0002128843652</v>
      </c>
      <c r="G369" s="24">
        <f t="shared" si="4"/>
        <v>0</v>
      </c>
      <c r="H369" s="26">
        <f t="shared" si="5"/>
        <v>0</v>
      </c>
      <c r="I369" s="24">
        <f t="shared" si="6"/>
        <v>0</v>
      </c>
      <c r="J369" s="24">
        <f t="shared" si="7"/>
        <v>0</v>
      </c>
      <c r="K369" s="24"/>
      <c r="L369" s="24">
        <f t="shared" si="8"/>
        <v>402.6256949</v>
      </c>
      <c r="M369" s="14">
        <f t="shared" si="9"/>
        <v>399.8467206</v>
      </c>
      <c r="N369" s="27">
        <f t="shared" si="10"/>
        <v>2.778974252</v>
      </c>
      <c r="O369" s="24"/>
      <c r="P369" s="24"/>
      <c r="Q369" s="24"/>
      <c r="R369" s="26"/>
      <c r="S369" s="9">
        <f t="shared" si="13"/>
        <v>2.551921309</v>
      </c>
      <c r="U369" s="21"/>
      <c r="V369" s="21"/>
    </row>
    <row r="370">
      <c r="A370" s="11">
        <v>358.0</v>
      </c>
      <c r="B370" s="11">
        <v>1.42095217391304E9</v>
      </c>
      <c r="C370" s="2">
        <v>-102.7856598</v>
      </c>
      <c r="D370" s="24">
        <f t="shared" si="1"/>
        <v>552173.913</v>
      </c>
      <c r="E370" s="25">
        <f t="shared" si="2"/>
        <v>-117.5419049</v>
      </c>
      <c r="F370" s="24">
        <f t="shared" si="3"/>
        <v>0.0002128711664</v>
      </c>
      <c r="G370" s="24">
        <f t="shared" si="4"/>
        <v>0</v>
      </c>
      <c r="H370" s="26">
        <f t="shared" si="5"/>
        <v>0</v>
      </c>
      <c r="I370" s="24">
        <f t="shared" si="6"/>
        <v>0</v>
      </c>
      <c r="J370" s="24">
        <f t="shared" si="7"/>
        <v>0</v>
      </c>
      <c r="K370" s="24"/>
      <c r="L370" s="24">
        <f t="shared" si="8"/>
        <v>400.4425215</v>
      </c>
      <c r="M370" s="14">
        <f t="shared" si="9"/>
        <v>399.7686139</v>
      </c>
      <c r="N370" s="27">
        <f t="shared" si="10"/>
        <v>0.6739076137</v>
      </c>
      <c r="O370" s="24"/>
      <c r="P370" s="24"/>
      <c r="Q370" s="24"/>
      <c r="R370" s="26"/>
      <c r="S370" s="9">
        <f t="shared" si="13"/>
        <v>0.6188467541</v>
      </c>
      <c r="U370" s="21"/>
      <c r="V370" s="21"/>
    </row>
    <row r="371">
      <c r="A371" s="11">
        <v>359.0</v>
      </c>
      <c r="B371" s="11">
        <v>1.42095652173913E9</v>
      </c>
      <c r="C371" s="2">
        <v>-102.7233505</v>
      </c>
      <c r="D371" s="24">
        <f t="shared" si="1"/>
        <v>556521.7391</v>
      </c>
      <c r="E371" s="25">
        <f t="shared" si="2"/>
        <v>-118.460201</v>
      </c>
      <c r="F371" s="24">
        <f t="shared" si="3"/>
        <v>0.0002128581738</v>
      </c>
      <c r="G371" s="24">
        <f t="shared" si="4"/>
        <v>0</v>
      </c>
      <c r="H371" s="26">
        <f t="shared" si="5"/>
        <v>0</v>
      </c>
      <c r="I371" s="24">
        <f t="shared" si="6"/>
        <v>0</v>
      </c>
      <c r="J371" s="24">
        <f t="shared" si="7"/>
        <v>0</v>
      </c>
      <c r="K371" s="24"/>
      <c r="L371" s="24">
        <f t="shared" si="8"/>
        <v>406.2291811</v>
      </c>
      <c r="M371" s="14">
        <f t="shared" si="9"/>
        <v>399.6906704</v>
      </c>
      <c r="N371" s="27">
        <f t="shared" si="10"/>
        <v>6.538510711</v>
      </c>
      <c r="O371" s="24"/>
      <c r="P371" s="24"/>
      <c r="Q371" s="24"/>
      <c r="R371" s="26"/>
      <c r="S371" s="9">
        <f t="shared" si="13"/>
        <v>6.004289099</v>
      </c>
      <c r="U371" s="21"/>
      <c r="V371" s="21"/>
    </row>
    <row r="372">
      <c r="A372" s="11">
        <v>360.0</v>
      </c>
      <c r="B372" s="11">
        <v>1.42096086956521E9</v>
      </c>
      <c r="C372" s="2">
        <v>-102.8151016</v>
      </c>
      <c r="D372" s="24">
        <f t="shared" si="1"/>
        <v>560869.5652</v>
      </c>
      <c r="E372" s="25">
        <f t="shared" si="2"/>
        <v>-119.3784972</v>
      </c>
      <c r="F372" s="24">
        <f t="shared" si="3"/>
        <v>0.0002128453826</v>
      </c>
      <c r="G372" s="24">
        <f t="shared" si="4"/>
        <v>0</v>
      </c>
      <c r="H372" s="26">
        <f t="shared" si="5"/>
        <v>0</v>
      </c>
      <c r="I372" s="24">
        <f t="shared" si="6"/>
        <v>0</v>
      </c>
      <c r="J372" s="24">
        <f t="shared" si="7"/>
        <v>0</v>
      </c>
      <c r="K372" s="24"/>
      <c r="L372" s="24">
        <f t="shared" si="8"/>
        <v>397.7370126</v>
      </c>
      <c r="M372" s="14">
        <f t="shared" si="9"/>
        <v>399.6128911</v>
      </c>
      <c r="N372" s="27">
        <f t="shared" si="10"/>
        <v>-1.875878535</v>
      </c>
      <c r="O372" s="24"/>
      <c r="P372" s="24"/>
      <c r="Q372" s="24"/>
      <c r="R372" s="26"/>
      <c r="S372" s="9">
        <f t="shared" si="13"/>
        <v>-1.722612005</v>
      </c>
      <c r="U372" s="21"/>
      <c r="V372" s="21"/>
    </row>
    <row r="373">
      <c r="A373" s="11">
        <v>361.0</v>
      </c>
      <c r="B373" s="11">
        <v>1.4209652173913E9</v>
      </c>
      <c r="C373" s="2">
        <v>-102.727478</v>
      </c>
      <c r="D373" s="24">
        <f t="shared" si="1"/>
        <v>565217.3913</v>
      </c>
      <c r="E373" s="25">
        <f t="shared" si="2"/>
        <v>-120.2967933</v>
      </c>
      <c r="F373" s="24">
        <f t="shared" si="3"/>
        <v>0.0002128327882</v>
      </c>
      <c r="G373" s="24">
        <f t="shared" si="4"/>
        <v>0</v>
      </c>
      <c r="H373" s="26">
        <f t="shared" si="5"/>
        <v>0</v>
      </c>
      <c r="I373" s="24">
        <f t="shared" si="6"/>
        <v>0</v>
      </c>
      <c r="J373" s="24">
        <f t="shared" si="7"/>
        <v>0</v>
      </c>
      <c r="K373" s="24"/>
      <c r="L373" s="24">
        <f t="shared" si="8"/>
        <v>405.8432876</v>
      </c>
      <c r="M373" s="14">
        <f t="shared" si="9"/>
        <v>399.5352767</v>
      </c>
      <c r="N373" s="27">
        <f t="shared" si="10"/>
        <v>6.308010877</v>
      </c>
      <c r="O373" s="24"/>
      <c r="P373" s="24"/>
      <c r="Q373" s="24"/>
      <c r="R373" s="26"/>
      <c r="S373" s="9">
        <f t="shared" si="13"/>
        <v>5.79262198</v>
      </c>
      <c r="U373" s="21"/>
      <c r="V373" s="21"/>
    </row>
    <row r="374">
      <c r="A374" s="11">
        <v>362.0</v>
      </c>
      <c r="B374" s="11">
        <v>1.42096956521739E9</v>
      </c>
      <c r="C374" s="2">
        <v>-102.7827682</v>
      </c>
      <c r="D374" s="24">
        <f t="shared" si="1"/>
        <v>569565.2174</v>
      </c>
      <c r="E374" s="25">
        <f t="shared" si="2"/>
        <v>-121.2150894</v>
      </c>
      <c r="F374" s="24">
        <f t="shared" si="3"/>
        <v>0.000212820386</v>
      </c>
      <c r="G374" s="24">
        <f t="shared" si="4"/>
        <v>0</v>
      </c>
      <c r="H374" s="26">
        <f t="shared" si="5"/>
        <v>0</v>
      </c>
      <c r="I374" s="24">
        <f t="shared" si="6"/>
        <v>0</v>
      </c>
      <c r="J374" s="24">
        <f t="shared" si="7"/>
        <v>0</v>
      </c>
      <c r="K374" s="24"/>
      <c r="L374" s="24">
        <f t="shared" si="8"/>
        <v>400.7092311</v>
      </c>
      <c r="M374" s="14">
        <f t="shared" si="9"/>
        <v>399.4578281</v>
      </c>
      <c r="N374" s="27">
        <f t="shared" si="10"/>
        <v>1.251403005</v>
      </c>
      <c r="O374" s="24"/>
      <c r="P374" s="24"/>
      <c r="Q374" s="24"/>
      <c r="R374" s="26"/>
      <c r="S374" s="9">
        <f t="shared" si="13"/>
        <v>1.14915854</v>
      </c>
    </row>
    <row r="375">
      <c r="A375" s="11">
        <v>363.0</v>
      </c>
      <c r="B375" s="11">
        <v>1.42097391304347E9</v>
      </c>
      <c r="C375" s="2">
        <v>-102.8452148</v>
      </c>
      <c r="D375" s="24">
        <f t="shared" si="1"/>
        <v>573913.0435</v>
      </c>
      <c r="E375" s="25">
        <f t="shared" si="2"/>
        <v>-122.1333856</v>
      </c>
      <c r="F375" s="24">
        <f t="shared" si="3"/>
        <v>0.0002128081718</v>
      </c>
      <c r="G375" s="24">
        <f t="shared" si="4"/>
        <v>0</v>
      </c>
      <c r="H375" s="26">
        <f t="shared" si="5"/>
        <v>0</v>
      </c>
      <c r="I375" s="24">
        <f t="shared" si="6"/>
        <v>0</v>
      </c>
      <c r="J375" s="24">
        <f t="shared" si="7"/>
        <v>0</v>
      </c>
      <c r="K375" s="24"/>
      <c r="L375" s="24">
        <f t="shared" si="8"/>
        <v>394.9887146</v>
      </c>
      <c r="M375" s="14">
        <f t="shared" si="9"/>
        <v>399.3805462</v>
      </c>
      <c r="N375" s="27">
        <f t="shared" si="10"/>
        <v>-4.391831581</v>
      </c>
      <c r="O375" s="24"/>
      <c r="P375" s="24"/>
      <c r="Q375" s="24"/>
      <c r="R375" s="26"/>
      <c r="S375" s="9">
        <f t="shared" si="13"/>
        <v>-4.033001957</v>
      </c>
    </row>
    <row r="376">
      <c r="A376" s="11">
        <v>364.0</v>
      </c>
      <c r="B376" s="11">
        <v>1.42097826086956E9</v>
      </c>
      <c r="C376" s="2">
        <v>-102.7697754</v>
      </c>
      <c r="D376" s="24">
        <f t="shared" si="1"/>
        <v>578260.8696</v>
      </c>
      <c r="E376" s="25">
        <f t="shared" si="2"/>
        <v>-123.0516817</v>
      </c>
      <c r="F376" s="24">
        <f t="shared" si="3"/>
        <v>0.0002127961413</v>
      </c>
      <c r="G376" s="24">
        <f t="shared" si="4"/>
        <v>0</v>
      </c>
      <c r="H376" s="26">
        <f t="shared" si="5"/>
        <v>0</v>
      </c>
      <c r="I376" s="24">
        <f t="shared" si="6"/>
        <v>0</v>
      </c>
      <c r="J376" s="24">
        <f t="shared" si="7"/>
        <v>0</v>
      </c>
      <c r="K376" s="24"/>
      <c r="L376" s="24">
        <f t="shared" si="8"/>
        <v>401.9098291</v>
      </c>
      <c r="M376" s="14">
        <f t="shared" si="9"/>
        <v>399.3034317</v>
      </c>
      <c r="N376" s="27">
        <f t="shared" si="10"/>
        <v>2.606397348</v>
      </c>
      <c r="O376" s="24"/>
      <c r="P376" s="24"/>
      <c r="Q376" s="24"/>
      <c r="R376" s="26"/>
      <c r="S376" s="9">
        <f t="shared" si="13"/>
        <v>2.3934446</v>
      </c>
    </row>
    <row r="377">
      <c r="A377" s="11">
        <v>365.0</v>
      </c>
      <c r="B377" s="11">
        <v>1.42098260869565E9</v>
      </c>
      <c r="C377" s="2">
        <v>-102.7964706</v>
      </c>
      <c r="D377" s="24">
        <f t="shared" si="1"/>
        <v>582608.6957</v>
      </c>
      <c r="E377" s="25">
        <f t="shared" si="2"/>
        <v>-123.9699778</v>
      </c>
      <c r="F377" s="24">
        <f t="shared" si="3"/>
        <v>0.0002127842903</v>
      </c>
      <c r="G377" s="24">
        <f t="shared" si="4"/>
        <v>0</v>
      </c>
      <c r="H377" s="26">
        <f t="shared" si="5"/>
        <v>0</v>
      </c>
      <c r="I377" s="24">
        <f t="shared" si="6"/>
        <v>0</v>
      </c>
      <c r="J377" s="24">
        <f t="shared" si="7"/>
        <v>0</v>
      </c>
      <c r="K377" s="24"/>
      <c r="L377" s="24">
        <f t="shared" si="8"/>
        <v>399.4469481</v>
      </c>
      <c r="M377" s="14">
        <f t="shared" si="9"/>
        <v>399.2264856</v>
      </c>
      <c r="N377" s="27">
        <f t="shared" si="10"/>
        <v>0.2204625519</v>
      </c>
      <c r="O377" s="24"/>
      <c r="P377" s="24"/>
      <c r="Q377" s="24"/>
      <c r="R377" s="26"/>
      <c r="S377" s="9">
        <f t="shared" si="13"/>
        <v>0.2024499088</v>
      </c>
    </row>
    <row r="378">
      <c r="A378" s="11">
        <v>366.0</v>
      </c>
      <c r="B378" s="11">
        <v>1.42098695652173E9</v>
      </c>
      <c r="C378" s="2">
        <v>-102.8238144</v>
      </c>
      <c r="D378" s="24">
        <f t="shared" si="1"/>
        <v>586956.5217</v>
      </c>
      <c r="E378" s="25">
        <f t="shared" si="2"/>
        <v>-124.888274</v>
      </c>
      <c r="F378" s="24">
        <f t="shared" si="3"/>
        <v>0.0002127726149</v>
      </c>
      <c r="G378" s="24">
        <f t="shared" si="4"/>
        <v>0</v>
      </c>
      <c r="H378" s="26">
        <f t="shared" si="5"/>
        <v>0</v>
      </c>
      <c r="I378" s="24">
        <f t="shared" si="6"/>
        <v>0</v>
      </c>
      <c r="J378" s="24">
        <f t="shared" si="7"/>
        <v>0</v>
      </c>
      <c r="K378" s="24"/>
      <c r="L378" s="24">
        <f t="shared" si="8"/>
        <v>396.9398739</v>
      </c>
      <c r="M378" s="14">
        <f t="shared" si="9"/>
        <v>399.1497086</v>
      </c>
      <c r="N378" s="27">
        <f t="shared" si="10"/>
        <v>-2.209834682</v>
      </c>
      <c r="O378" s="24"/>
      <c r="P378" s="24"/>
      <c r="Q378" s="24"/>
      <c r="R378" s="26"/>
      <c r="S378" s="9">
        <f t="shared" si="13"/>
        <v>-2.029282642</v>
      </c>
    </row>
    <row r="379">
      <c r="A379" s="11">
        <v>367.0</v>
      </c>
      <c r="B379" s="11">
        <v>1.42099130434782E9</v>
      </c>
      <c r="C379" s="2">
        <v>-102.8446274</v>
      </c>
      <c r="D379" s="24">
        <f t="shared" si="1"/>
        <v>591304.3478</v>
      </c>
      <c r="E379" s="25">
        <f t="shared" si="2"/>
        <v>-125.8065701</v>
      </c>
      <c r="F379" s="24">
        <f t="shared" si="3"/>
        <v>0.0002127611112</v>
      </c>
      <c r="G379" s="24">
        <f t="shared" si="4"/>
        <v>0</v>
      </c>
      <c r="H379" s="26">
        <f t="shared" si="5"/>
        <v>0</v>
      </c>
      <c r="I379" s="24">
        <f t="shared" si="6"/>
        <v>0</v>
      </c>
      <c r="J379" s="24">
        <f t="shared" si="7"/>
        <v>0</v>
      </c>
      <c r="K379" s="24"/>
      <c r="L379" s="24">
        <f t="shared" si="8"/>
        <v>395.042142</v>
      </c>
      <c r="M379" s="14">
        <f t="shared" si="9"/>
        <v>399.0731016</v>
      </c>
      <c r="N379" s="27">
        <f t="shared" si="10"/>
        <v>-4.030959618</v>
      </c>
      <c r="O379" s="24"/>
      <c r="P379" s="24"/>
      <c r="Q379" s="24"/>
      <c r="R379" s="26"/>
      <c r="S379" s="9">
        <f t="shared" si="13"/>
        <v>-3.701614629</v>
      </c>
    </row>
    <row r="380">
      <c r="A380" s="11">
        <v>368.0</v>
      </c>
      <c r="B380" s="11">
        <v>1.42099565217391E9</v>
      </c>
      <c r="C380" s="2">
        <v>-102.8255539</v>
      </c>
      <c r="D380" s="24">
        <f t="shared" si="1"/>
        <v>595652.1739</v>
      </c>
      <c r="E380" s="25">
        <f t="shared" si="2"/>
        <v>-126.7248662</v>
      </c>
      <c r="F380" s="24">
        <f t="shared" si="3"/>
        <v>0.0002127497754</v>
      </c>
      <c r="G380" s="24">
        <f t="shared" si="4"/>
        <v>0</v>
      </c>
      <c r="H380" s="26">
        <f t="shared" si="5"/>
        <v>0</v>
      </c>
      <c r="I380" s="24">
        <f t="shared" si="6"/>
        <v>0</v>
      </c>
      <c r="J380" s="24">
        <f t="shared" si="7"/>
        <v>0</v>
      </c>
      <c r="K380" s="24"/>
      <c r="L380" s="24">
        <f t="shared" si="8"/>
        <v>396.7809175</v>
      </c>
      <c r="M380" s="14">
        <f t="shared" si="9"/>
        <v>398.9966654</v>
      </c>
      <c r="N380" s="27">
        <f t="shared" si="10"/>
        <v>-2.215747868</v>
      </c>
      <c r="O380" s="24"/>
      <c r="P380" s="24"/>
      <c r="Q380" s="24"/>
      <c r="R380" s="26"/>
      <c r="S380" s="9">
        <f t="shared" si="13"/>
        <v>-2.034712694</v>
      </c>
    </row>
    <row r="381">
      <c r="A381" s="11">
        <v>369.0</v>
      </c>
      <c r="B381" s="11">
        <v>1.421E9</v>
      </c>
      <c r="C381" s="2">
        <v>-102.8336487</v>
      </c>
      <c r="D381" s="24">
        <f t="shared" si="1"/>
        <v>600000</v>
      </c>
      <c r="E381" s="25">
        <f t="shared" si="2"/>
        <v>-127.6431624</v>
      </c>
      <c r="F381" s="24">
        <f t="shared" si="3"/>
        <v>0.0002127386039</v>
      </c>
      <c r="G381" s="24">
        <f t="shared" si="4"/>
        <v>0</v>
      </c>
      <c r="H381" s="26">
        <f t="shared" si="5"/>
        <v>0</v>
      </c>
      <c r="I381" s="24">
        <f t="shared" si="6"/>
        <v>0</v>
      </c>
      <c r="J381" s="24">
        <f t="shared" si="7"/>
        <v>0</v>
      </c>
      <c r="K381" s="24"/>
      <c r="L381" s="24">
        <f t="shared" si="8"/>
        <v>396.0420477</v>
      </c>
      <c r="M381" s="14">
        <f t="shared" si="9"/>
        <v>398.9204009</v>
      </c>
      <c r="N381" s="27">
        <f t="shared" si="10"/>
        <v>-2.878353171</v>
      </c>
      <c r="O381" s="24"/>
      <c r="P381" s="24"/>
      <c r="Q381" s="24"/>
      <c r="R381" s="26"/>
      <c r="S381" s="9">
        <f t="shared" si="13"/>
        <v>-2.643180586</v>
      </c>
    </row>
    <row r="382">
      <c r="A382" s="11">
        <v>370.0</v>
      </c>
      <c r="B382" s="11">
        <v>1.42100434782608E9</v>
      </c>
      <c r="C382" s="2">
        <v>-102.7553711</v>
      </c>
      <c r="D382" s="24">
        <f t="shared" si="1"/>
        <v>604347.8261</v>
      </c>
      <c r="E382" s="25">
        <f t="shared" si="2"/>
        <v>-128.5614585</v>
      </c>
      <c r="F382" s="24">
        <f t="shared" si="3"/>
        <v>0.0002127275932</v>
      </c>
      <c r="G382" s="24">
        <f t="shared" si="4"/>
        <v>0</v>
      </c>
      <c r="H382" s="26">
        <f t="shared" si="5"/>
        <v>0</v>
      </c>
      <c r="I382" s="24">
        <f t="shared" si="6"/>
        <v>0</v>
      </c>
      <c r="J382" s="24">
        <f t="shared" si="7"/>
        <v>0</v>
      </c>
      <c r="K382" s="24"/>
      <c r="L382" s="24">
        <f t="shared" si="8"/>
        <v>403.2450615</v>
      </c>
      <c r="M382" s="14">
        <f t="shared" si="9"/>
        <v>398.8443089</v>
      </c>
      <c r="N382" s="27">
        <f t="shared" si="10"/>
        <v>4.4007526</v>
      </c>
      <c r="O382" s="24"/>
      <c r="P382" s="24"/>
      <c r="Q382" s="24"/>
      <c r="R382" s="26"/>
      <c r="S382" s="9">
        <f t="shared" si="13"/>
        <v>4.041194094</v>
      </c>
    </row>
    <row r="383">
      <c r="A383" s="11">
        <v>371.0</v>
      </c>
      <c r="B383" s="11">
        <v>1.42100869565217E9</v>
      </c>
      <c r="C383" s="2">
        <v>-102.7961121</v>
      </c>
      <c r="D383" s="24">
        <f t="shared" si="1"/>
        <v>608695.6522</v>
      </c>
      <c r="E383" s="25">
        <f t="shared" si="2"/>
        <v>-129.4797546</v>
      </c>
      <c r="F383" s="24">
        <f t="shared" si="3"/>
        <v>0.0002127167398</v>
      </c>
      <c r="G383" s="24">
        <f t="shared" si="4"/>
        <v>0</v>
      </c>
      <c r="H383" s="26">
        <f t="shared" si="5"/>
        <v>0</v>
      </c>
      <c r="I383" s="24">
        <f t="shared" si="6"/>
        <v>0</v>
      </c>
      <c r="J383" s="24">
        <f t="shared" si="7"/>
        <v>0</v>
      </c>
      <c r="K383" s="24"/>
      <c r="L383" s="24">
        <f t="shared" si="8"/>
        <v>399.4799229</v>
      </c>
      <c r="M383" s="14">
        <f t="shared" si="9"/>
        <v>398.7683903</v>
      </c>
      <c r="N383" s="27">
        <f t="shared" si="10"/>
        <v>0.7115325795</v>
      </c>
      <c r="O383" s="24"/>
      <c r="P383" s="24"/>
      <c r="Q383" s="24"/>
      <c r="R383" s="26"/>
      <c r="S383" s="9">
        <f t="shared" si="13"/>
        <v>0.6533976146</v>
      </c>
    </row>
    <row r="384">
      <c r="A384" s="11">
        <v>372.0</v>
      </c>
      <c r="B384" s="11">
        <v>1.42101304347826E9</v>
      </c>
      <c r="C384" s="2">
        <v>-102.8205109</v>
      </c>
      <c r="D384" s="24">
        <f t="shared" si="1"/>
        <v>613043.4783</v>
      </c>
      <c r="E384" s="25">
        <f t="shared" si="2"/>
        <v>-130.3980508</v>
      </c>
      <c r="F384" s="24">
        <f t="shared" si="3"/>
        <v>0.0002127060402</v>
      </c>
      <c r="G384" s="24">
        <f t="shared" si="4"/>
        <v>0</v>
      </c>
      <c r="H384" s="26">
        <f t="shared" si="5"/>
        <v>0</v>
      </c>
      <c r="I384" s="24">
        <f t="shared" si="6"/>
        <v>0</v>
      </c>
      <c r="J384" s="24">
        <f t="shared" si="7"/>
        <v>0</v>
      </c>
      <c r="K384" s="24"/>
      <c r="L384" s="24">
        <f t="shared" si="8"/>
        <v>397.2419246</v>
      </c>
      <c r="M384" s="14">
        <f t="shared" si="9"/>
        <v>398.6926459</v>
      </c>
      <c r="N384" s="27">
        <f t="shared" si="10"/>
        <v>-1.450721244</v>
      </c>
      <c r="O384" s="24"/>
      <c r="P384" s="24"/>
      <c r="Q384" s="24"/>
      <c r="R384" s="26"/>
      <c r="S384" s="9">
        <f t="shared" si="13"/>
        <v>-1.332191708</v>
      </c>
    </row>
    <row r="385">
      <c r="A385" s="11">
        <v>373.0</v>
      </c>
      <c r="B385" s="11">
        <v>1.42101739130434E9</v>
      </c>
      <c r="C385" s="2">
        <v>-102.8097305</v>
      </c>
      <c r="D385" s="24">
        <f t="shared" si="1"/>
        <v>617391.3043</v>
      </c>
      <c r="E385" s="25">
        <f t="shared" si="2"/>
        <v>-131.3163469</v>
      </c>
      <c r="F385" s="24">
        <f t="shared" si="3"/>
        <v>0.0002126954915</v>
      </c>
      <c r="G385" s="24">
        <f t="shared" si="4"/>
        <v>0</v>
      </c>
      <c r="H385" s="26">
        <f t="shared" si="5"/>
        <v>0</v>
      </c>
      <c r="I385" s="24">
        <f t="shared" si="6"/>
        <v>0</v>
      </c>
      <c r="J385" s="24">
        <f t="shared" si="7"/>
        <v>0</v>
      </c>
      <c r="K385" s="24"/>
      <c r="L385" s="24">
        <f t="shared" si="8"/>
        <v>398.2292147</v>
      </c>
      <c r="M385" s="14">
        <f t="shared" si="9"/>
        <v>398.6170765</v>
      </c>
      <c r="N385" s="27">
        <f t="shared" si="10"/>
        <v>-0.3878617587</v>
      </c>
      <c r="O385" s="24"/>
      <c r="P385" s="24"/>
      <c r="Q385" s="24"/>
      <c r="R385" s="26"/>
      <c r="S385" s="9">
        <f t="shared" si="13"/>
        <v>-0.356171953</v>
      </c>
    </row>
    <row r="386">
      <c r="A386" s="11">
        <v>374.0</v>
      </c>
      <c r="B386" s="11">
        <v>1.42102173913043E9</v>
      </c>
      <c r="C386" s="2">
        <v>-102.7992249</v>
      </c>
      <c r="D386" s="24">
        <f t="shared" si="1"/>
        <v>621739.1304</v>
      </c>
      <c r="E386" s="25">
        <f t="shared" si="2"/>
        <v>-132.234643</v>
      </c>
      <c r="F386" s="24">
        <f t="shared" si="3"/>
        <v>0.0002126850902</v>
      </c>
      <c r="G386" s="24">
        <f t="shared" si="4"/>
        <v>0</v>
      </c>
      <c r="H386" s="26">
        <f t="shared" si="5"/>
        <v>0</v>
      </c>
      <c r="I386" s="24">
        <f t="shared" si="6"/>
        <v>0</v>
      </c>
      <c r="J386" s="24">
        <f t="shared" si="7"/>
        <v>0</v>
      </c>
      <c r="K386" s="24"/>
      <c r="L386" s="24">
        <f t="shared" si="8"/>
        <v>399.1936988</v>
      </c>
      <c r="M386" s="14">
        <f t="shared" si="9"/>
        <v>398.5416829</v>
      </c>
      <c r="N386" s="27">
        <f t="shared" si="10"/>
        <v>0.6520158352</v>
      </c>
      <c r="O386" s="24"/>
      <c r="P386" s="24"/>
      <c r="Q386" s="24"/>
      <c r="R386" s="26"/>
      <c r="S386" s="9">
        <f t="shared" si="13"/>
        <v>0.5987436186</v>
      </c>
    </row>
    <row r="387">
      <c r="A387" s="11">
        <v>375.0</v>
      </c>
      <c r="B387" s="11">
        <v>1.42102608695652E9</v>
      </c>
      <c r="C387" s="2">
        <v>-102.784935</v>
      </c>
      <c r="D387" s="24">
        <f t="shared" si="1"/>
        <v>626086.9565</v>
      </c>
      <c r="E387" s="25">
        <f t="shared" si="2"/>
        <v>-133.1529392</v>
      </c>
      <c r="F387" s="24">
        <f t="shared" si="3"/>
        <v>0.0002126748334</v>
      </c>
      <c r="G387" s="24">
        <f t="shared" si="4"/>
        <v>0</v>
      </c>
      <c r="H387" s="26">
        <f t="shared" si="5"/>
        <v>0</v>
      </c>
      <c r="I387" s="24">
        <f t="shared" si="6"/>
        <v>0</v>
      </c>
      <c r="J387" s="24">
        <f t="shared" si="7"/>
        <v>0</v>
      </c>
      <c r="K387" s="24"/>
      <c r="L387" s="24">
        <f t="shared" si="8"/>
        <v>400.5093575</v>
      </c>
      <c r="M387" s="14">
        <f t="shared" si="9"/>
        <v>398.4664661</v>
      </c>
      <c r="N387" s="27">
        <f t="shared" si="10"/>
        <v>2.042891378</v>
      </c>
      <c r="O387" s="24"/>
      <c r="P387" s="24"/>
      <c r="Q387" s="24"/>
      <c r="R387" s="26"/>
      <c r="S387" s="9">
        <f t="shared" si="13"/>
        <v>1.875979252</v>
      </c>
    </row>
    <row r="388">
      <c r="A388" s="11">
        <v>376.0</v>
      </c>
      <c r="B388" s="11">
        <v>1.4210304347826E9</v>
      </c>
      <c r="C388" s="2">
        <v>-102.7992249</v>
      </c>
      <c r="D388" s="24">
        <f t="shared" si="1"/>
        <v>630434.7826</v>
      </c>
      <c r="E388" s="25">
        <f t="shared" si="2"/>
        <v>-134.0712353</v>
      </c>
      <c r="F388" s="24">
        <f t="shared" si="3"/>
        <v>0.0002126647181</v>
      </c>
      <c r="G388" s="24">
        <f t="shared" si="4"/>
        <v>0</v>
      </c>
      <c r="H388" s="26">
        <f t="shared" si="5"/>
        <v>0</v>
      </c>
      <c r="I388" s="24">
        <f t="shared" si="6"/>
        <v>0</v>
      </c>
      <c r="J388" s="24">
        <f t="shared" si="7"/>
        <v>0</v>
      </c>
      <c r="K388" s="24"/>
      <c r="L388" s="24">
        <f t="shared" si="8"/>
        <v>399.1936988</v>
      </c>
      <c r="M388" s="14">
        <f t="shared" si="9"/>
        <v>398.3914268</v>
      </c>
      <c r="N388" s="27">
        <f t="shared" si="10"/>
        <v>0.802271946</v>
      </c>
      <c r="O388" s="24"/>
      <c r="P388" s="24"/>
      <c r="Q388" s="24"/>
      <c r="R388" s="26"/>
      <c r="S388" s="9">
        <f t="shared" si="13"/>
        <v>0.7367232254</v>
      </c>
    </row>
    <row r="389">
      <c r="A389" s="11">
        <v>377.0</v>
      </c>
      <c r="B389" s="11">
        <v>1.42103478260869E9</v>
      </c>
      <c r="C389" s="2">
        <v>-102.7742767</v>
      </c>
      <c r="D389" s="24">
        <f t="shared" si="1"/>
        <v>634782.6087</v>
      </c>
      <c r="E389" s="25">
        <f t="shared" si="2"/>
        <v>-134.9895314</v>
      </c>
      <c r="F389" s="24">
        <f t="shared" si="3"/>
        <v>0.0002126547413</v>
      </c>
      <c r="G389" s="24">
        <f t="shared" si="4"/>
        <v>0</v>
      </c>
      <c r="H389" s="26">
        <f t="shared" si="5"/>
        <v>0</v>
      </c>
      <c r="I389" s="24">
        <f t="shared" si="6"/>
        <v>0</v>
      </c>
      <c r="J389" s="24">
        <f t="shared" si="7"/>
        <v>0</v>
      </c>
      <c r="K389" s="24"/>
      <c r="L389" s="24">
        <f t="shared" si="8"/>
        <v>401.4934803</v>
      </c>
      <c r="M389" s="14">
        <f t="shared" si="9"/>
        <v>398.3165659</v>
      </c>
      <c r="N389" s="27">
        <f t="shared" si="10"/>
        <v>3.176914416</v>
      </c>
      <c r="O389" s="24"/>
      <c r="P389" s="24"/>
      <c r="Q389" s="24"/>
      <c r="R389" s="26"/>
      <c r="S389" s="9">
        <f t="shared" si="13"/>
        <v>2.917348223</v>
      </c>
    </row>
    <row r="390">
      <c r="A390" s="11">
        <v>378.0</v>
      </c>
      <c r="B390" s="11">
        <v>1.42103913043478E9</v>
      </c>
      <c r="C390" s="2">
        <v>-102.8962097</v>
      </c>
      <c r="D390" s="24">
        <f t="shared" si="1"/>
        <v>639130.4348</v>
      </c>
      <c r="E390" s="25">
        <f t="shared" si="2"/>
        <v>-135.9078276</v>
      </c>
      <c r="F390" s="24">
        <f t="shared" si="3"/>
        <v>0.0002126449003</v>
      </c>
      <c r="G390" s="24">
        <f t="shared" si="4"/>
        <v>0</v>
      </c>
      <c r="H390" s="26">
        <f t="shared" si="5"/>
        <v>0</v>
      </c>
      <c r="I390" s="24">
        <f t="shared" si="6"/>
        <v>0</v>
      </c>
      <c r="J390" s="24">
        <f t="shared" si="7"/>
        <v>0</v>
      </c>
      <c r="K390" s="24"/>
      <c r="L390" s="24">
        <f t="shared" si="8"/>
        <v>390.3778765</v>
      </c>
      <c r="M390" s="14">
        <f t="shared" si="9"/>
        <v>398.2418843</v>
      </c>
      <c r="N390" s="27">
        <f t="shared" si="10"/>
        <v>-7.864007733</v>
      </c>
      <c r="O390" s="24"/>
      <c r="P390" s="24"/>
      <c r="Q390" s="24"/>
      <c r="R390" s="26"/>
      <c r="S390" s="9">
        <f t="shared" si="13"/>
        <v>-7.221487873</v>
      </c>
    </row>
    <row r="391">
      <c r="A391" s="11">
        <v>379.0</v>
      </c>
      <c r="B391" s="11">
        <v>1.42104347826087E9</v>
      </c>
      <c r="C391" s="2">
        <v>-102.7578201</v>
      </c>
      <c r="D391" s="24">
        <f t="shared" si="1"/>
        <v>643478.2609</v>
      </c>
      <c r="E391" s="25">
        <f t="shared" si="2"/>
        <v>-136.8261237</v>
      </c>
      <c r="F391" s="24">
        <f t="shared" si="3"/>
        <v>0.0002126351922</v>
      </c>
      <c r="G391" s="24">
        <f t="shared" si="4"/>
        <v>0</v>
      </c>
      <c r="H391" s="26">
        <f t="shared" si="5"/>
        <v>0</v>
      </c>
      <c r="I391" s="24">
        <f t="shared" si="6"/>
        <v>0</v>
      </c>
      <c r="J391" s="24">
        <f t="shared" si="7"/>
        <v>0</v>
      </c>
      <c r="K391" s="24"/>
      <c r="L391" s="24">
        <f t="shared" si="8"/>
        <v>403.0177345</v>
      </c>
      <c r="M391" s="14">
        <f t="shared" si="9"/>
        <v>398.1673827</v>
      </c>
      <c r="N391" s="27">
        <f t="shared" si="10"/>
        <v>4.850351853</v>
      </c>
      <c r="O391" s="24"/>
      <c r="P391" s="24"/>
      <c r="Q391" s="24"/>
      <c r="R391" s="26"/>
      <c r="S391" s="9">
        <f t="shared" si="13"/>
        <v>4.454059349</v>
      </c>
    </row>
    <row r="392">
      <c r="A392" s="11">
        <v>380.0</v>
      </c>
      <c r="B392" s="11">
        <v>1.42104782608695E9</v>
      </c>
      <c r="C392" s="2">
        <v>-102.7895889</v>
      </c>
      <c r="D392" s="24">
        <f t="shared" si="1"/>
        <v>647826.087</v>
      </c>
      <c r="E392" s="25">
        <f t="shared" si="2"/>
        <v>-137.7444198</v>
      </c>
      <c r="F392" s="24">
        <f t="shared" si="3"/>
        <v>0.0002126256145</v>
      </c>
      <c r="G392" s="24">
        <f t="shared" si="4"/>
        <v>0</v>
      </c>
      <c r="H392" s="26">
        <f t="shared" si="5"/>
        <v>0</v>
      </c>
      <c r="I392" s="24">
        <f t="shared" si="6"/>
        <v>0</v>
      </c>
      <c r="J392" s="24">
        <f t="shared" si="7"/>
        <v>0</v>
      </c>
      <c r="K392" s="24"/>
      <c r="L392" s="24">
        <f t="shared" si="8"/>
        <v>400.0804015</v>
      </c>
      <c r="M392" s="14">
        <f t="shared" si="9"/>
        <v>398.093062</v>
      </c>
      <c r="N392" s="27">
        <f t="shared" si="10"/>
        <v>1.987339552</v>
      </c>
      <c r="O392" s="24"/>
      <c r="P392" s="24"/>
      <c r="Q392" s="24"/>
      <c r="R392" s="26"/>
      <c r="S392" s="9">
        <f t="shared" si="13"/>
        <v>1.824966225</v>
      </c>
    </row>
    <row r="393">
      <c r="A393" s="11">
        <v>381.0</v>
      </c>
      <c r="B393" s="11">
        <v>1.42105217391304E9</v>
      </c>
      <c r="C393" s="2">
        <v>-102.7927017</v>
      </c>
      <c r="D393" s="24">
        <f t="shared" si="1"/>
        <v>652173.913</v>
      </c>
      <c r="E393" s="25">
        <f t="shared" si="2"/>
        <v>-138.662716</v>
      </c>
      <c r="F393" s="24">
        <f t="shared" si="3"/>
        <v>0.0002126161645</v>
      </c>
      <c r="G393" s="24">
        <f t="shared" si="4"/>
        <v>0</v>
      </c>
      <c r="H393" s="26">
        <f t="shared" si="5"/>
        <v>0</v>
      </c>
      <c r="I393" s="24">
        <f t="shared" si="6"/>
        <v>0</v>
      </c>
      <c r="J393" s="24">
        <f t="shared" si="7"/>
        <v>0</v>
      </c>
      <c r="K393" s="24"/>
      <c r="L393" s="24">
        <f t="shared" si="8"/>
        <v>399.7937471</v>
      </c>
      <c r="M393" s="14">
        <f t="shared" si="9"/>
        <v>398.018923</v>
      </c>
      <c r="N393" s="27">
        <f t="shared" si="10"/>
        <v>1.774824151</v>
      </c>
      <c r="O393" s="24"/>
      <c r="P393" s="24"/>
      <c r="Q393" s="24"/>
      <c r="R393" s="26"/>
      <c r="S393" s="9">
        <f t="shared" si="13"/>
        <v>1.629814151</v>
      </c>
    </row>
    <row r="394">
      <c r="A394" s="11">
        <v>382.0</v>
      </c>
      <c r="B394" s="11">
        <v>1.42105652173913E9</v>
      </c>
      <c r="C394" s="2">
        <v>-102.837532</v>
      </c>
      <c r="D394" s="24">
        <f t="shared" si="1"/>
        <v>656521.7391</v>
      </c>
      <c r="E394" s="25">
        <f t="shared" si="2"/>
        <v>-139.5810121</v>
      </c>
      <c r="F394" s="24">
        <f t="shared" si="3"/>
        <v>0.0002126068396</v>
      </c>
      <c r="G394" s="24">
        <f t="shared" si="4"/>
        <v>0</v>
      </c>
      <c r="H394" s="26">
        <f t="shared" si="5"/>
        <v>0</v>
      </c>
      <c r="I394" s="24">
        <f t="shared" si="6"/>
        <v>0</v>
      </c>
      <c r="J394" s="24">
        <f t="shared" si="7"/>
        <v>0</v>
      </c>
      <c r="K394" s="24"/>
      <c r="L394" s="24">
        <f t="shared" si="8"/>
        <v>395.6880799</v>
      </c>
      <c r="M394" s="14">
        <f t="shared" si="9"/>
        <v>397.9449666</v>
      </c>
      <c r="N394" s="27">
        <f t="shared" si="10"/>
        <v>-2.256886683</v>
      </c>
      <c r="O394" s="24"/>
      <c r="P394" s="24"/>
      <c r="Q394" s="24"/>
      <c r="R394" s="26"/>
      <c r="S394" s="9">
        <f t="shared" si="13"/>
        <v>-2.072490313</v>
      </c>
    </row>
    <row r="395">
      <c r="A395" s="11">
        <v>383.0</v>
      </c>
      <c r="B395" s="11">
        <v>1.42106086956521E9</v>
      </c>
      <c r="C395" s="2">
        <v>-102.7990417</v>
      </c>
      <c r="D395" s="24">
        <f t="shared" si="1"/>
        <v>660869.5652</v>
      </c>
      <c r="E395" s="25">
        <f t="shared" si="2"/>
        <v>-140.4993082</v>
      </c>
      <c r="F395" s="24">
        <f t="shared" si="3"/>
        <v>0.0002125976374</v>
      </c>
      <c r="G395" s="24">
        <f t="shared" si="4"/>
        <v>0</v>
      </c>
      <c r="H395" s="26">
        <f t="shared" si="5"/>
        <v>0</v>
      </c>
      <c r="I395" s="24">
        <f t="shared" si="6"/>
        <v>0</v>
      </c>
      <c r="J395" s="24">
        <f t="shared" si="7"/>
        <v>0</v>
      </c>
      <c r="K395" s="24"/>
      <c r="L395" s="24">
        <f t="shared" si="8"/>
        <v>399.2105385</v>
      </c>
      <c r="M395" s="14">
        <f t="shared" si="9"/>
        <v>397.8711937</v>
      </c>
      <c r="N395" s="27">
        <f t="shared" si="10"/>
        <v>1.339344802</v>
      </c>
      <c r="O395" s="24"/>
      <c r="P395" s="24"/>
      <c r="Q395" s="24"/>
      <c r="R395" s="26"/>
      <c r="S395" s="9">
        <f t="shared" si="13"/>
        <v>1.229915152</v>
      </c>
    </row>
    <row r="396">
      <c r="A396" s="11">
        <v>384.0</v>
      </c>
      <c r="B396" s="11">
        <v>1.4210652173913E9</v>
      </c>
      <c r="C396" s="2">
        <v>-102.8387527</v>
      </c>
      <c r="D396" s="24">
        <f t="shared" si="1"/>
        <v>665217.3913</v>
      </c>
      <c r="E396" s="25">
        <f t="shared" si="2"/>
        <v>-141.4176043</v>
      </c>
      <c r="F396" s="24">
        <f t="shared" si="3"/>
        <v>0.0002125885556</v>
      </c>
      <c r="G396" s="24">
        <f t="shared" si="4"/>
        <v>0</v>
      </c>
      <c r="H396" s="26">
        <f t="shared" si="5"/>
        <v>0</v>
      </c>
      <c r="I396" s="24">
        <f t="shared" si="6"/>
        <v>0</v>
      </c>
      <c r="J396" s="24">
        <f t="shared" si="7"/>
        <v>0</v>
      </c>
      <c r="K396" s="24"/>
      <c r="L396" s="24">
        <f t="shared" si="8"/>
        <v>395.5768769</v>
      </c>
      <c r="M396" s="14">
        <f t="shared" si="9"/>
        <v>397.797605</v>
      </c>
      <c r="N396" s="27">
        <f t="shared" si="10"/>
        <v>-2.220728045</v>
      </c>
      <c r="O396" s="24"/>
      <c r="P396" s="24"/>
      <c r="Q396" s="24"/>
      <c r="R396" s="26"/>
      <c r="S396" s="9">
        <f t="shared" si="13"/>
        <v>-2.03928597</v>
      </c>
    </row>
    <row r="397">
      <c r="A397" s="11">
        <v>385.0</v>
      </c>
      <c r="B397" s="11">
        <v>1.42106956521739E9</v>
      </c>
      <c r="C397" s="2">
        <v>-102.7932816</v>
      </c>
      <c r="D397" s="24">
        <f t="shared" si="1"/>
        <v>669565.2174</v>
      </c>
      <c r="E397" s="25">
        <f t="shared" si="2"/>
        <v>-142.3359005</v>
      </c>
      <c r="F397" s="24">
        <f t="shared" si="3"/>
        <v>0.0002125795916</v>
      </c>
      <c r="G397" s="24">
        <f t="shared" si="4"/>
        <v>0</v>
      </c>
      <c r="H397" s="26">
        <f t="shared" si="5"/>
        <v>0</v>
      </c>
      <c r="I397" s="24">
        <f t="shared" si="6"/>
        <v>0</v>
      </c>
      <c r="J397" s="24">
        <f t="shared" si="7"/>
        <v>0</v>
      </c>
      <c r="K397" s="24"/>
      <c r="L397" s="24">
        <f t="shared" si="8"/>
        <v>399.7403675</v>
      </c>
      <c r="M397" s="14">
        <f t="shared" si="9"/>
        <v>397.7242014</v>
      </c>
      <c r="N397" s="27">
        <f t="shared" si="10"/>
        <v>2.016166122</v>
      </c>
      <c r="O397" s="24"/>
      <c r="P397" s="24"/>
      <c r="Q397" s="24"/>
      <c r="R397" s="26"/>
      <c r="S397" s="9">
        <f t="shared" si="13"/>
        <v>1.851437553</v>
      </c>
    </row>
    <row r="398">
      <c r="A398" s="11">
        <v>386.0</v>
      </c>
      <c r="B398" s="11">
        <v>1.42107391304347E9</v>
      </c>
      <c r="C398" s="2">
        <v>-102.8012238</v>
      </c>
      <c r="D398" s="24">
        <f t="shared" si="1"/>
        <v>673913.0435</v>
      </c>
      <c r="E398" s="25">
        <f t="shared" si="2"/>
        <v>-143.2541966</v>
      </c>
      <c r="F398" s="24">
        <f t="shared" si="3"/>
        <v>0.0002125707434</v>
      </c>
      <c r="G398" s="24">
        <f t="shared" si="4"/>
        <v>0</v>
      </c>
      <c r="H398" s="26">
        <f t="shared" si="5"/>
        <v>0</v>
      </c>
      <c r="I398" s="24">
        <f t="shared" si="6"/>
        <v>0</v>
      </c>
      <c r="J398" s="24">
        <f t="shared" si="7"/>
        <v>0</v>
      </c>
      <c r="K398" s="24"/>
      <c r="L398" s="24">
        <f t="shared" si="8"/>
        <v>399.0100067</v>
      </c>
      <c r="M398" s="14">
        <f t="shared" si="9"/>
        <v>397.6509837</v>
      </c>
      <c r="N398" s="27">
        <f t="shared" si="10"/>
        <v>1.359022965</v>
      </c>
      <c r="O398" s="24"/>
      <c r="P398" s="24"/>
      <c r="Q398" s="24"/>
      <c r="R398" s="26"/>
      <c r="S398" s="9">
        <f t="shared" si="13"/>
        <v>1.247985533</v>
      </c>
    </row>
    <row r="399">
      <c r="A399" s="11">
        <v>387.0</v>
      </c>
      <c r="B399" s="11">
        <v>1.42107826086956E9</v>
      </c>
      <c r="C399" s="2">
        <v>-102.8389206</v>
      </c>
      <c r="D399" s="24">
        <f t="shared" si="1"/>
        <v>678260.8696</v>
      </c>
      <c r="E399" s="25">
        <f t="shared" si="2"/>
        <v>-144.1724927</v>
      </c>
      <c r="F399" s="24">
        <f t="shared" si="3"/>
        <v>0.0002125620085</v>
      </c>
      <c r="G399" s="24">
        <f t="shared" si="4"/>
        <v>0</v>
      </c>
      <c r="H399" s="26">
        <f t="shared" si="5"/>
        <v>0</v>
      </c>
      <c r="I399" s="24">
        <f t="shared" si="6"/>
        <v>0</v>
      </c>
      <c r="J399" s="24">
        <f t="shared" si="7"/>
        <v>0</v>
      </c>
      <c r="K399" s="24"/>
      <c r="L399" s="24">
        <f t="shared" si="8"/>
        <v>395.561584</v>
      </c>
      <c r="M399" s="14">
        <f t="shared" si="9"/>
        <v>397.5779528</v>
      </c>
      <c r="N399" s="27">
        <f t="shared" si="10"/>
        <v>-2.01636877</v>
      </c>
      <c r="O399" s="24"/>
      <c r="P399" s="24"/>
      <c r="Q399" s="24"/>
      <c r="R399" s="26"/>
      <c r="S399" s="9">
        <f t="shared" si="13"/>
        <v>-1.851623639</v>
      </c>
    </row>
    <row r="400">
      <c r="A400" s="11">
        <v>388.0</v>
      </c>
      <c r="B400" s="11">
        <v>1.42108260869565E9</v>
      </c>
      <c r="C400" s="2">
        <v>-102.7292862</v>
      </c>
      <c r="D400" s="24">
        <f t="shared" si="1"/>
        <v>682608.6957</v>
      </c>
      <c r="E400" s="25">
        <f t="shared" si="2"/>
        <v>-145.0907889</v>
      </c>
      <c r="F400" s="24">
        <f t="shared" si="3"/>
        <v>0.000212553385</v>
      </c>
      <c r="G400" s="24">
        <f t="shared" si="4"/>
        <v>0</v>
      </c>
      <c r="H400" s="26">
        <f t="shared" si="5"/>
        <v>0</v>
      </c>
      <c r="I400" s="24">
        <f t="shared" si="6"/>
        <v>0</v>
      </c>
      <c r="J400" s="24">
        <f t="shared" si="7"/>
        <v>0</v>
      </c>
      <c r="K400" s="24"/>
      <c r="L400" s="24">
        <f t="shared" si="8"/>
        <v>405.6743485</v>
      </c>
      <c r="M400" s="14">
        <f t="shared" si="9"/>
        <v>397.5051096</v>
      </c>
      <c r="N400" s="27">
        <f t="shared" si="10"/>
        <v>8.169238956</v>
      </c>
      <c r="O400" s="24"/>
      <c r="P400" s="24"/>
      <c r="Q400" s="24"/>
      <c r="R400" s="26"/>
      <c r="S400" s="9">
        <f t="shared" si="13"/>
        <v>7.501780541</v>
      </c>
    </row>
    <row r="401">
      <c r="A401" s="11">
        <v>389.0</v>
      </c>
      <c r="B401" s="11">
        <v>1.42108695652173E9</v>
      </c>
      <c r="C401" s="2">
        <v>-102.7853851</v>
      </c>
      <c r="D401" s="24">
        <f t="shared" si="1"/>
        <v>686956.5217</v>
      </c>
      <c r="E401" s="25">
        <f t="shared" si="2"/>
        <v>-146.009085</v>
      </c>
      <c r="F401" s="24">
        <f t="shared" si="3"/>
        <v>0.0002125448706</v>
      </c>
      <c r="G401" s="24">
        <f t="shared" si="4"/>
        <v>0</v>
      </c>
      <c r="H401" s="26">
        <f t="shared" si="5"/>
        <v>0</v>
      </c>
      <c r="I401" s="24">
        <f t="shared" si="6"/>
        <v>0</v>
      </c>
      <c r="J401" s="24">
        <f t="shared" si="7"/>
        <v>0</v>
      </c>
      <c r="K401" s="24"/>
      <c r="L401" s="24">
        <f t="shared" si="8"/>
        <v>400.4678511</v>
      </c>
      <c r="M401" s="14">
        <f t="shared" si="9"/>
        <v>397.4324547</v>
      </c>
      <c r="N401" s="27">
        <f t="shared" si="10"/>
        <v>3.035396364</v>
      </c>
      <c r="O401" s="24"/>
      <c r="P401" s="24"/>
      <c r="Q401" s="24"/>
      <c r="R401" s="26"/>
      <c r="S401" s="9">
        <f t="shared" si="13"/>
        <v>2.787392743</v>
      </c>
    </row>
    <row r="402">
      <c r="A402" s="11">
        <v>390.0</v>
      </c>
      <c r="B402" s="11">
        <v>1.42109130434782E9</v>
      </c>
      <c r="C402" s="2">
        <v>-102.8501892</v>
      </c>
      <c r="D402" s="24">
        <f t="shared" si="1"/>
        <v>691304.3478</v>
      </c>
      <c r="E402" s="25">
        <f t="shared" si="2"/>
        <v>-146.9273811</v>
      </c>
      <c r="F402" s="24">
        <f t="shared" si="3"/>
        <v>0.0002125364633</v>
      </c>
      <c r="G402" s="24">
        <f t="shared" si="4"/>
        <v>0</v>
      </c>
      <c r="H402" s="26">
        <f t="shared" si="5"/>
        <v>0</v>
      </c>
      <c r="I402" s="24">
        <f t="shared" si="6"/>
        <v>0</v>
      </c>
      <c r="J402" s="24">
        <f t="shared" si="7"/>
        <v>0</v>
      </c>
      <c r="K402" s="24"/>
      <c r="L402" s="24">
        <f t="shared" si="8"/>
        <v>394.5365543</v>
      </c>
      <c r="M402" s="14">
        <f t="shared" si="9"/>
        <v>397.3599892</v>
      </c>
      <c r="N402" s="27">
        <f t="shared" si="10"/>
        <v>-2.823434881</v>
      </c>
      <c r="O402" s="24"/>
      <c r="P402" s="24"/>
      <c r="Q402" s="24"/>
      <c r="R402" s="26"/>
      <c r="S402" s="9">
        <f t="shared" si="13"/>
        <v>-2.592749332</v>
      </c>
    </row>
    <row r="403">
      <c r="A403" s="11">
        <v>391.0</v>
      </c>
      <c r="B403" s="11">
        <v>1.42109565217391E9</v>
      </c>
      <c r="C403" s="2">
        <v>-102.7847519</v>
      </c>
      <c r="D403" s="24">
        <f t="shared" si="1"/>
        <v>695652.1739</v>
      </c>
      <c r="E403" s="25">
        <f t="shared" si="2"/>
        <v>-147.8456773</v>
      </c>
      <c r="F403" s="24">
        <f t="shared" si="3"/>
        <v>0.0002125281611</v>
      </c>
      <c r="G403" s="24">
        <f t="shared" si="4"/>
        <v>0</v>
      </c>
      <c r="H403" s="26">
        <f t="shared" si="5"/>
        <v>0</v>
      </c>
      <c r="I403" s="24">
        <f t="shared" si="6"/>
        <v>0</v>
      </c>
      <c r="J403" s="24">
        <f t="shared" si="7"/>
        <v>0</v>
      </c>
      <c r="K403" s="24"/>
      <c r="L403" s="24">
        <f t="shared" si="8"/>
        <v>400.5262435</v>
      </c>
      <c r="M403" s="14">
        <f t="shared" si="9"/>
        <v>397.2877138</v>
      </c>
      <c r="N403" s="27">
        <f t="shared" si="10"/>
        <v>3.238529608</v>
      </c>
      <c r="O403" s="24"/>
      <c r="P403" s="24"/>
      <c r="Q403" s="24"/>
      <c r="R403" s="26"/>
      <c r="S403" s="9">
        <f t="shared" si="13"/>
        <v>2.973929208</v>
      </c>
    </row>
    <row r="404">
      <c r="A404" s="11">
        <v>392.0</v>
      </c>
      <c r="B404" s="11">
        <v>1.4211E9</v>
      </c>
      <c r="C404" s="2">
        <v>-102.8187256</v>
      </c>
      <c r="D404" s="24">
        <f t="shared" si="1"/>
        <v>700000</v>
      </c>
      <c r="E404" s="25">
        <f t="shared" si="2"/>
        <v>-148.7639734</v>
      </c>
      <c r="F404" s="24">
        <f t="shared" si="3"/>
        <v>0.000212519962</v>
      </c>
      <c r="G404" s="24">
        <f t="shared" si="4"/>
        <v>0</v>
      </c>
      <c r="H404" s="26">
        <f t="shared" si="5"/>
        <v>0</v>
      </c>
      <c r="I404" s="24">
        <f t="shared" si="6"/>
        <v>0</v>
      </c>
      <c r="J404" s="24">
        <f t="shared" si="7"/>
        <v>0</v>
      </c>
      <c r="K404" s="24"/>
      <c r="L404" s="24">
        <f t="shared" si="8"/>
        <v>397.4052566</v>
      </c>
      <c r="M404" s="14">
        <f t="shared" si="9"/>
        <v>397.2156294</v>
      </c>
      <c r="N404" s="27">
        <f t="shared" si="10"/>
        <v>0.1896271881</v>
      </c>
      <c r="O404" s="24"/>
      <c r="P404" s="24"/>
      <c r="Q404" s="24"/>
      <c r="R404" s="26"/>
      <c r="S404" s="9">
        <f t="shared" si="13"/>
        <v>0.1741339135</v>
      </c>
    </row>
    <row r="405">
      <c r="A405" s="11">
        <v>393.0</v>
      </c>
      <c r="B405" s="11">
        <v>1.42110434782608E9</v>
      </c>
      <c r="C405" s="2">
        <v>-102.7812958</v>
      </c>
      <c r="D405" s="24">
        <f t="shared" si="1"/>
        <v>704347.8261</v>
      </c>
      <c r="E405" s="25">
        <f t="shared" si="2"/>
        <v>-149.6822695</v>
      </c>
      <c r="F405" s="24">
        <f t="shared" si="3"/>
        <v>0.0002125118642</v>
      </c>
      <c r="G405" s="24">
        <f t="shared" si="4"/>
        <v>0</v>
      </c>
      <c r="H405" s="26">
        <f t="shared" si="5"/>
        <v>0</v>
      </c>
      <c r="I405" s="24">
        <f t="shared" si="6"/>
        <v>0</v>
      </c>
      <c r="J405" s="24">
        <f t="shared" si="7"/>
        <v>0</v>
      </c>
      <c r="K405" s="24"/>
      <c r="L405" s="24">
        <f t="shared" si="8"/>
        <v>400.8451077</v>
      </c>
      <c r="M405" s="14">
        <f t="shared" si="9"/>
        <v>397.1437368</v>
      </c>
      <c r="N405" s="27">
        <f t="shared" si="10"/>
        <v>3.70137083</v>
      </c>
      <c r="O405" s="24"/>
      <c r="P405" s="24"/>
      <c r="Q405" s="24"/>
      <c r="R405" s="26"/>
      <c r="S405" s="9">
        <f t="shared" si="13"/>
        <v>3.398954519</v>
      </c>
    </row>
    <row r="406">
      <c r="A406" s="11">
        <v>394.0</v>
      </c>
      <c r="B406" s="11">
        <v>1.42110869565217E9</v>
      </c>
      <c r="C406" s="2">
        <v>-102.7878647</v>
      </c>
      <c r="D406" s="24">
        <f t="shared" si="1"/>
        <v>708695.6522</v>
      </c>
      <c r="E406" s="25">
        <f t="shared" si="2"/>
        <v>-150.6005657</v>
      </c>
      <c r="F406" s="24">
        <f t="shared" si="3"/>
        <v>0.0002125038657</v>
      </c>
      <c r="G406" s="24">
        <f t="shared" si="4"/>
        <v>0</v>
      </c>
      <c r="H406" s="26">
        <f t="shared" si="5"/>
        <v>0</v>
      </c>
      <c r="I406" s="24">
        <f t="shared" si="6"/>
        <v>0</v>
      </c>
      <c r="J406" s="24">
        <f t="shared" si="7"/>
        <v>0</v>
      </c>
      <c r="K406" s="24"/>
      <c r="L406" s="24">
        <f t="shared" si="8"/>
        <v>400.2392696</v>
      </c>
      <c r="M406" s="14">
        <f t="shared" si="9"/>
        <v>397.0720369</v>
      </c>
      <c r="N406" s="27">
        <f t="shared" si="10"/>
        <v>3.167232759</v>
      </c>
      <c r="O406" s="24"/>
      <c r="P406" s="24"/>
      <c r="Q406" s="24"/>
      <c r="R406" s="26"/>
      <c r="S406" s="9">
        <f t="shared" si="13"/>
        <v>2.908457587</v>
      </c>
    </row>
    <row r="407">
      <c r="A407" s="11">
        <v>395.0</v>
      </c>
      <c r="B407" s="11">
        <v>1.42111304347826E9</v>
      </c>
      <c r="C407" s="2">
        <v>-102.8138199</v>
      </c>
      <c r="D407" s="24">
        <f t="shared" si="1"/>
        <v>713043.4783</v>
      </c>
      <c r="E407" s="25">
        <f t="shared" si="2"/>
        <v>-151.5188618</v>
      </c>
      <c r="F407" s="24">
        <f t="shared" si="3"/>
        <v>0.0002124959647</v>
      </c>
      <c r="G407" s="24">
        <f t="shared" si="4"/>
        <v>0</v>
      </c>
      <c r="H407" s="26">
        <f t="shared" si="5"/>
        <v>0</v>
      </c>
      <c r="I407" s="24">
        <f t="shared" si="6"/>
        <v>0</v>
      </c>
      <c r="J407" s="24">
        <f t="shared" si="7"/>
        <v>0</v>
      </c>
      <c r="K407" s="24"/>
      <c r="L407" s="24">
        <f t="shared" si="8"/>
        <v>397.854411</v>
      </c>
      <c r="M407" s="14">
        <f t="shared" si="9"/>
        <v>397.0005304</v>
      </c>
      <c r="N407" s="27">
        <f t="shared" si="10"/>
        <v>0.8538805189</v>
      </c>
      <c r="O407" s="24"/>
      <c r="P407" s="24"/>
      <c r="Q407" s="24"/>
      <c r="R407" s="26"/>
      <c r="S407" s="9">
        <f t="shared" si="13"/>
        <v>0.7841151783</v>
      </c>
    </row>
    <row r="408">
      <c r="A408" s="11">
        <v>396.0</v>
      </c>
      <c r="B408" s="11">
        <v>1.42111739130434E9</v>
      </c>
      <c r="C408" s="2">
        <v>-102.8336258</v>
      </c>
      <c r="D408" s="24">
        <f t="shared" si="1"/>
        <v>717391.3043</v>
      </c>
      <c r="E408" s="25">
        <f t="shared" si="2"/>
        <v>-152.4371579</v>
      </c>
      <c r="F408" s="24">
        <f t="shared" si="3"/>
        <v>0.0002124881595</v>
      </c>
      <c r="G408" s="24">
        <f t="shared" si="4"/>
        <v>0</v>
      </c>
      <c r="H408" s="26">
        <f t="shared" si="5"/>
        <v>0</v>
      </c>
      <c r="I408" s="24">
        <f t="shared" si="6"/>
        <v>0</v>
      </c>
      <c r="J408" s="24">
        <f t="shared" si="7"/>
        <v>0</v>
      </c>
      <c r="K408" s="24"/>
      <c r="L408" s="24">
        <f t="shared" si="8"/>
        <v>396.0441361</v>
      </c>
      <c r="M408" s="14">
        <f t="shared" si="9"/>
        <v>396.9292183</v>
      </c>
      <c r="N408" s="27">
        <f t="shared" si="10"/>
        <v>-0.8850822518</v>
      </c>
      <c r="O408" s="24"/>
      <c r="P408" s="24"/>
      <c r="Q408" s="24"/>
      <c r="R408" s="26"/>
      <c r="S408" s="9">
        <f t="shared" si="13"/>
        <v>-0.8127676091</v>
      </c>
    </row>
    <row r="409">
      <c r="A409" s="11">
        <v>397.0</v>
      </c>
      <c r="B409" s="11">
        <v>1.42112173913043E9</v>
      </c>
      <c r="C409" s="2">
        <v>-102.8514099</v>
      </c>
      <c r="D409" s="24">
        <f t="shared" si="1"/>
        <v>721739.1304</v>
      </c>
      <c r="E409" s="25">
        <f t="shared" si="2"/>
        <v>-153.3554541</v>
      </c>
      <c r="F409" s="24">
        <f t="shared" si="3"/>
        <v>0.0002124804484</v>
      </c>
      <c r="G409" s="24">
        <f t="shared" si="4"/>
        <v>0</v>
      </c>
      <c r="H409" s="26">
        <f t="shared" si="5"/>
        <v>0</v>
      </c>
      <c r="I409" s="24">
        <f t="shared" si="6"/>
        <v>0</v>
      </c>
      <c r="J409" s="24">
        <f t="shared" si="7"/>
        <v>0</v>
      </c>
      <c r="K409" s="24"/>
      <c r="L409" s="24">
        <f t="shared" si="8"/>
        <v>394.4256749</v>
      </c>
      <c r="M409" s="14">
        <f t="shared" si="9"/>
        <v>396.8581013</v>
      </c>
      <c r="N409" s="27">
        <f t="shared" si="10"/>
        <v>-2.432426395</v>
      </c>
      <c r="O409" s="24"/>
      <c r="P409" s="24"/>
      <c r="Q409" s="24"/>
      <c r="R409" s="26"/>
      <c r="S409" s="9">
        <f t="shared" si="13"/>
        <v>-2.233687747</v>
      </c>
    </row>
    <row r="410">
      <c r="A410" s="11">
        <v>398.0</v>
      </c>
      <c r="B410" s="11">
        <v>1.42112608695652E9</v>
      </c>
      <c r="C410" s="2">
        <v>-102.7845078</v>
      </c>
      <c r="D410" s="24">
        <f t="shared" si="1"/>
        <v>726086.9565</v>
      </c>
      <c r="E410" s="25">
        <f t="shared" si="2"/>
        <v>-154.2737502</v>
      </c>
      <c r="F410" s="24">
        <f t="shared" si="3"/>
        <v>0.0002124728296</v>
      </c>
      <c r="G410" s="24">
        <f t="shared" si="4"/>
        <v>0</v>
      </c>
      <c r="H410" s="26">
        <f t="shared" si="5"/>
        <v>0</v>
      </c>
      <c r="I410" s="24">
        <f t="shared" si="6"/>
        <v>0</v>
      </c>
      <c r="J410" s="24">
        <f t="shared" si="7"/>
        <v>0</v>
      </c>
      <c r="K410" s="24"/>
      <c r="L410" s="24">
        <f t="shared" si="8"/>
        <v>400.5487561</v>
      </c>
      <c r="M410" s="14">
        <f t="shared" si="9"/>
        <v>396.7871804</v>
      </c>
      <c r="N410" s="27">
        <f t="shared" si="10"/>
        <v>3.761575708</v>
      </c>
      <c r="O410" s="24"/>
      <c r="P410" s="24"/>
      <c r="Q410" s="24"/>
      <c r="R410" s="26"/>
      <c r="S410" s="9">
        <f t="shared" si="13"/>
        <v>3.454240426</v>
      </c>
    </row>
    <row r="411">
      <c r="A411" s="11">
        <v>399.0</v>
      </c>
      <c r="B411" s="11">
        <v>1.4211304347826E9</v>
      </c>
      <c r="C411" s="2">
        <v>-102.7814636</v>
      </c>
      <c r="D411" s="24">
        <f t="shared" si="1"/>
        <v>730434.7826</v>
      </c>
      <c r="E411" s="25">
        <f t="shared" si="2"/>
        <v>-155.1920463</v>
      </c>
      <c r="F411" s="24">
        <f t="shared" si="3"/>
        <v>0.0002124653015</v>
      </c>
      <c r="G411" s="24">
        <f t="shared" si="4"/>
        <v>0</v>
      </c>
      <c r="H411" s="26">
        <f t="shared" si="5"/>
        <v>0</v>
      </c>
      <c r="I411" s="24">
        <f t="shared" si="6"/>
        <v>0</v>
      </c>
      <c r="J411" s="24">
        <f t="shared" si="7"/>
        <v>0</v>
      </c>
      <c r="K411" s="24"/>
      <c r="L411" s="24">
        <f t="shared" si="8"/>
        <v>400.8296204</v>
      </c>
      <c r="M411" s="14">
        <f t="shared" si="9"/>
        <v>396.7164563</v>
      </c>
      <c r="N411" s="27">
        <f t="shared" si="10"/>
        <v>4.113164072</v>
      </c>
      <c r="O411" s="24"/>
      <c r="P411" s="24"/>
      <c r="Q411" s="24"/>
      <c r="R411" s="26"/>
      <c r="S411" s="9">
        <f t="shared" si="13"/>
        <v>3.777102661</v>
      </c>
    </row>
    <row r="412">
      <c r="A412" s="11">
        <v>400.0</v>
      </c>
      <c r="B412" s="11">
        <v>1.42113478260869E9</v>
      </c>
      <c r="C412" s="2">
        <v>-102.7880096</v>
      </c>
      <c r="D412" s="24">
        <f t="shared" si="1"/>
        <v>734782.6087</v>
      </c>
      <c r="E412" s="25">
        <f t="shared" si="2"/>
        <v>-156.1103425</v>
      </c>
      <c r="F412" s="24">
        <f t="shared" si="3"/>
        <v>0.0002124578625</v>
      </c>
      <c r="G412" s="24">
        <f t="shared" si="4"/>
        <v>0</v>
      </c>
      <c r="H412" s="26">
        <f t="shared" si="5"/>
        <v>0</v>
      </c>
      <c r="I412" s="24">
        <f t="shared" si="6"/>
        <v>0</v>
      </c>
      <c r="J412" s="24">
        <f t="shared" si="7"/>
        <v>0</v>
      </c>
      <c r="K412" s="24"/>
      <c r="L412" s="24">
        <f t="shared" si="8"/>
        <v>400.2259161</v>
      </c>
      <c r="M412" s="14">
        <f t="shared" si="9"/>
        <v>396.6459299</v>
      </c>
      <c r="N412" s="27">
        <f t="shared" si="10"/>
        <v>3.579986235</v>
      </c>
      <c r="O412" s="24"/>
      <c r="P412" s="24"/>
      <c r="Q412" s="24"/>
      <c r="R412" s="26"/>
      <c r="S412" s="9">
        <f t="shared" si="13"/>
        <v>3.287487515</v>
      </c>
    </row>
    <row r="413">
      <c r="A413" s="11">
        <v>401.0</v>
      </c>
      <c r="B413" s="11">
        <v>1.42113913043478E9</v>
      </c>
      <c r="C413" s="2">
        <v>-102.8134918</v>
      </c>
      <c r="D413" s="24">
        <f t="shared" si="1"/>
        <v>739130.4348</v>
      </c>
      <c r="E413" s="25">
        <f t="shared" si="2"/>
        <v>-157.0286386</v>
      </c>
      <c r="F413" s="24">
        <f t="shared" si="3"/>
        <v>0.000212450511</v>
      </c>
      <c r="G413" s="24">
        <f t="shared" si="4"/>
        <v>0</v>
      </c>
      <c r="H413" s="26">
        <f t="shared" si="5"/>
        <v>0</v>
      </c>
      <c r="I413" s="24">
        <f t="shared" si="6"/>
        <v>0</v>
      </c>
      <c r="J413" s="24">
        <f t="shared" si="7"/>
        <v>0</v>
      </c>
      <c r="K413" s="24"/>
      <c r="L413" s="24">
        <f t="shared" si="8"/>
        <v>397.8844691</v>
      </c>
      <c r="M413" s="14">
        <f t="shared" si="9"/>
        <v>396.575602</v>
      </c>
      <c r="N413" s="27">
        <f t="shared" si="10"/>
        <v>1.308867144</v>
      </c>
      <c r="O413" s="24"/>
      <c r="P413" s="24"/>
      <c r="Q413" s="24"/>
      <c r="R413" s="26"/>
      <c r="S413" s="9">
        <f t="shared" si="13"/>
        <v>1.201927634</v>
      </c>
    </row>
    <row r="414">
      <c r="A414" s="11">
        <v>402.0</v>
      </c>
      <c r="B414" s="11">
        <v>1.42114347826087E9</v>
      </c>
      <c r="C414" s="2">
        <v>-102.8457565</v>
      </c>
      <c r="D414" s="24">
        <f t="shared" si="1"/>
        <v>743478.2609</v>
      </c>
      <c r="E414" s="25">
        <f t="shared" si="2"/>
        <v>-157.9469347</v>
      </c>
      <c r="F414" s="24">
        <f t="shared" si="3"/>
        <v>0.0002124432455</v>
      </c>
      <c r="G414" s="24">
        <f t="shared" si="4"/>
        <v>0</v>
      </c>
      <c r="H414" s="26">
        <f t="shared" si="5"/>
        <v>0</v>
      </c>
      <c r="I414" s="24">
        <f t="shared" si="6"/>
        <v>0</v>
      </c>
      <c r="J414" s="24">
        <f t="shared" si="7"/>
        <v>0</v>
      </c>
      <c r="K414" s="24"/>
      <c r="L414" s="24">
        <f t="shared" si="8"/>
        <v>394.9394503</v>
      </c>
      <c r="M414" s="14">
        <f t="shared" si="9"/>
        <v>396.5054734</v>
      </c>
      <c r="N414" s="27">
        <f t="shared" si="10"/>
        <v>-1.566023123</v>
      </c>
      <c r="O414" s="24"/>
      <c r="P414" s="24"/>
      <c r="Q414" s="24"/>
      <c r="R414" s="26"/>
      <c r="S414" s="9">
        <f t="shared" si="13"/>
        <v>-1.438072978</v>
      </c>
    </row>
    <row r="415">
      <c r="A415" s="11">
        <v>403.0</v>
      </c>
      <c r="B415" s="11">
        <v>1.42114782608695E9</v>
      </c>
      <c r="C415" s="2">
        <v>-102.8112335</v>
      </c>
      <c r="D415" s="24">
        <f t="shared" si="1"/>
        <v>747826.087</v>
      </c>
      <c r="E415" s="25">
        <f t="shared" si="2"/>
        <v>-158.8652309</v>
      </c>
      <c r="F415" s="24">
        <f t="shared" si="3"/>
        <v>0.0002124360645</v>
      </c>
      <c r="G415" s="24">
        <f t="shared" si="4"/>
        <v>0</v>
      </c>
      <c r="H415" s="26">
        <f t="shared" si="5"/>
        <v>0</v>
      </c>
      <c r="I415" s="24">
        <f t="shared" si="6"/>
        <v>0</v>
      </c>
      <c r="J415" s="24">
        <f t="shared" si="7"/>
        <v>0</v>
      </c>
      <c r="K415" s="24"/>
      <c r="L415" s="24">
        <f t="shared" si="8"/>
        <v>398.09142</v>
      </c>
      <c r="M415" s="14">
        <f t="shared" si="9"/>
        <v>396.4355451</v>
      </c>
      <c r="N415" s="27">
        <f t="shared" si="10"/>
        <v>1.65587486</v>
      </c>
      <c r="O415" s="24"/>
      <c r="P415" s="24"/>
      <c r="Q415" s="24"/>
      <c r="R415" s="26"/>
      <c r="S415" s="9">
        <f t="shared" si="13"/>
        <v>1.52058348</v>
      </c>
    </row>
    <row r="416">
      <c r="A416" s="11">
        <v>404.0</v>
      </c>
      <c r="B416" s="11">
        <v>1.42115217391304E9</v>
      </c>
      <c r="C416" s="2">
        <v>-102.8016815</v>
      </c>
      <c r="D416" s="24">
        <f t="shared" si="1"/>
        <v>752173.913</v>
      </c>
      <c r="E416" s="25">
        <f t="shared" si="2"/>
        <v>-159.783527</v>
      </c>
      <c r="F416" s="24">
        <f t="shared" si="3"/>
        <v>0.0002124289665</v>
      </c>
      <c r="G416" s="24">
        <f t="shared" si="4"/>
        <v>0</v>
      </c>
      <c r="H416" s="26">
        <f t="shared" si="5"/>
        <v>0</v>
      </c>
      <c r="I416" s="24">
        <f t="shared" si="6"/>
        <v>0</v>
      </c>
      <c r="J416" s="24">
        <f t="shared" si="7"/>
        <v>0</v>
      </c>
      <c r="K416" s="24"/>
      <c r="L416" s="24">
        <f t="shared" si="8"/>
        <v>398.9679575</v>
      </c>
      <c r="M416" s="14">
        <f t="shared" si="9"/>
        <v>396.3658178</v>
      </c>
      <c r="N416" s="27">
        <f t="shared" si="10"/>
        <v>2.602139659</v>
      </c>
      <c r="O416" s="24"/>
      <c r="P416" s="24"/>
      <c r="Q416" s="24"/>
      <c r="R416" s="26"/>
      <c r="S416" s="9">
        <f t="shared" si="13"/>
        <v>2.38953478</v>
      </c>
    </row>
    <row r="417">
      <c r="A417" s="11">
        <v>405.0</v>
      </c>
      <c r="B417" s="11">
        <v>1.42115652173913E9</v>
      </c>
      <c r="C417" s="2">
        <v>-102.8003693</v>
      </c>
      <c r="D417" s="3">
        <f t="shared" si="1"/>
        <v>756521.7391</v>
      </c>
      <c r="E417" s="4">
        <f t="shared" si="2"/>
        <v>-160.7018231</v>
      </c>
      <c r="F417" s="3">
        <f t="shared" si="3"/>
        <v>0.0002124219501</v>
      </c>
      <c r="G417" s="3">
        <f t="shared" si="4"/>
        <v>0</v>
      </c>
      <c r="H417" s="2">
        <f t="shared" si="5"/>
        <v>0</v>
      </c>
      <c r="I417" s="3">
        <f t="shared" si="6"/>
        <v>0</v>
      </c>
      <c r="J417" s="3">
        <f t="shared" si="7"/>
        <v>0</v>
      </c>
      <c r="K417" s="3"/>
      <c r="L417" s="3">
        <f t="shared" si="8"/>
        <v>399.088522</v>
      </c>
      <c r="M417" s="14">
        <f t="shared" si="9"/>
        <v>396.2962924</v>
      </c>
      <c r="N417" s="14">
        <f t="shared" si="10"/>
        <v>2.792229536</v>
      </c>
      <c r="O417" s="3"/>
      <c r="P417" s="3"/>
      <c r="Q417" s="3"/>
      <c r="R417" s="2"/>
      <c r="S417" s="9">
        <f t="shared" si="13"/>
        <v>2.564093585</v>
      </c>
    </row>
    <row r="418">
      <c r="A418" s="11">
        <v>406.0</v>
      </c>
      <c r="B418" s="11">
        <v>1.42116086956521E9</v>
      </c>
      <c r="C418" s="2">
        <v>-102.8173523</v>
      </c>
      <c r="D418" s="3">
        <f t="shared" si="1"/>
        <v>760869.5652</v>
      </c>
      <c r="E418" s="4">
        <f t="shared" si="2"/>
        <v>-161.6201193</v>
      </c>
      <c r="F418" s="3">
        <f t="shared" si="3"/>
        <v>0.0002124150139</v>
      </c>
      <c r="G418" s="3">
        <f t="shared" si="4"/>
        <v>0</v>
      </c>
      <c r="H418" s="2">
        <f t="shared" si="5"/>
        <v>0</v>
      </c>
      <c r="I418" s="3">
        <f t="shared" si="6"/>
        <v>0</v>
      </c>
      <c r="J418" s="3">
        <f t="shared" si="7"/>
        <v>0</v>
      </c>
      <c r="K418" s="3"/>
      <c r="L418" s="3">
        <f t="shared" si="8"/>
        <v>397.5309416</v>
      </c>
      <c r="M418" s="14">
        <f t="shared" si="9"/>
        <v>396.2269697</v>
      </c>
      <c r="N418" s="14">
        <f t="shared" si="10"/>
        <v>1.30397186</v>
      </c>
      <c r="O418" s="3"/>
      <c r="P418" s="3"/>
      <c r="Q418" s="3"/>
      <c r="R418" s="2"/>
      <c r="S418" s="9">
        <f t="shared" si="13"/>
        <v>1.197432317</v>
      </c>
    </row>
    <row r="419">
      <c r="A419" s="11">
        <v>407.0</v>
      </c>
      <c r="B419" s="11">
        <v>1.4211652173913E9</v>
      </c>
      <c r="C419" s="2">
        <v>-102.8247986</v>
      </c>
      <c r="D419" s="3">
        <f t="shared" si="1"/>
        <v>765217.3913</v>
      </c>
      <c r="E419" s="4">
        <f t="shared" si="2"/>
        <v>-162.5384154</v>
      </c>
      <c r="F419" s="3">
        <f t="shared" si="3"/>
        <v>0.0002124081565</v>
      </c>
      <c r="G419" s="3">
        <f t="shared" si="4"/>
        <v>0</v>
      </c>
      <c r="H419" s="2">
        <f t="shared" si="5"/>
        <v>0</v>
      </c>
      <c r="I419" s="3">
        <f t="shared" si="6"/>
        <v>0</v>
      </c>
      <c r="J419" s="3">
        <f t="shared" si="7"/>
        <v>0</v>
      </c>
      <c r="K419" s="3"/>
      <c r="L419" s="3">
        <f t="shared" si="8"/>
        <v>396.8499294</v>
      </c>
      <c r="M419" s="14">
        <f t="shared" si="9"/>
        <v>396.1578506</v>
      </c>
      <c r="N419" s="14">
        <f t="shared" si="10"/>
        <v>0.6920787828</v>
      </c>
      <c r="O419" s="3"/>
      <c r="P419" s="3"/>
      <c r="Q419" s="3"/>
      <c r="R419" s="2"/>
      <c r="S419" s="9">
        <f t="shared" si="13"/>
        <v>0.6355332683</v>
      </c>
    </row>
    <row r="420">
      <c r="A420" s="11">
        <v>408.0</v>
      </c>
      <c r="B420" s="11">
        <v>1.42116956521739E9</v>
      </c>
      <c r="C420" s="2">
        <v>-102.8243179</v>
      </c>
      <c r="D420" s="3">
        <f t="shared" si="1"/>
        <v>769565.2174</v>
      </c>
      <c r="E420" s="4">
        <f t="shared" si="2"/>
        <v>-163.4567115</v>
      </c>
      <c r="F420" s="3">
        <f t="shared" si="3"/>
        <v>0.0002124013765</v>
      </c>
      <c r="G420" s="3">
        <f t="shared" si="4"/>
        <v>0</v>
      </c>
      <c r="H420" s="2">
        <f t="shared" si="5"/>
        <v>0</v>
      </c>
      <c r="I420" s="3">
        <f t="shared" si="6"/>
        <v>0</v>
      </c>
      <c r="J420" s="3">
        <f t="shared" si="7"/>
        <v>0</v>
      </c>
      <c r="K420" s="3"/>
      <c r="L420" s="3">
        <f t="shared" si="8"/>
        <v>396.8938573</v>
      </c>
      <c r="M420" s="14">
        <f t="shared" si="9"/>
        <v>396.0889359</v>
      </c>
      <c r="N420" s="14">
        <f t="shared" si="10"/>
        <v>0.8049213797</v>
      </c>
      <c r="O420" s="3"/>
      <c r="P420" s="3"/>
      <c r="Q420" s="3"/>
      <c r="R420" s="2"/>
      <c r="S420" s="9">
        <f t="shared" si="13"/>
        <v>0.7391561902</v>
      </c>
    </row>
    <row r="421">
      <c r="A421" s="11">
        <v>409.0</v>
      </c>
      <c r="B421" s="11">
        <v>1.42117391304347E9</v>
      </c>
      <c r="C421" s="2">
        <v>-102.8035355</v>
      </c>
      <c r="D421" s="3">
        <f t="shared" si="1"/>
        <v>773913.0435</v>
      </c>
      <c r="E421" s="4">
        <f t="shared" si="2"/>
        <v>-164.3750077</v>
      </c>
      <c r="F421" s="3">
        <f t="shared" si="3"/>
        <v>0.0002123946728</v>
      </c>
      <c r="G421" s="3">
        <f t="shared" si="4"/>
        <v>0</v>
      </c>
      <c r="H421" s="2">
        <f t="shared" si="5"/>
        <v>0</v>
      </c>
      <c r="I421" s="3">
        <f t="shared" si="6"/>
        <v>0</v>
      </c>
      <c r="J421" s="3">
        <f t="shared" si="7"/>
        <v>0</v>
      </c>
      <c r="K421" s="3"/>
      <c r="L421" s="3">
        <f t="shared" si="8"/>
        <v>398.7976747</v>
      </c>
      <c r="M421" s="14">
        <f t="shared" si="9"/>
        <v>396.0202264</v>
      </c>
      <c r="N421" s="14">
        <f t="shared" si="10"/>
        <v>2.777448304</v>
      </c>
      <c r="O421" s="3"/>
      <c r="P421" s="3"/>
      <c r="Q421" s="3"/>
      <c r="R421" s="2"/>
      <c r="S421" s="9">
        <f t="shared" si="13"/>
        <v>2.550520037</v>
      </c>
    </row>
    <row r="422">
      <c r="A422" s="11">
        <v>410.0</v>
      </c>
      <c r="B422" s="11">
        <v>1.42117826086956E9</v>
      </c>
      <c r="C422" s="2">
        <v>-102.8486633</v>
      </c>
      <c r="D422" s="3">
        <f t="shared" si="1"/>
        <v>778260.8696</v>
      </c>
      <c r="E422" s="4">
        <f t="shared" si="2"/>
        <v>-165.2933038</v>
      </c>
      <c r="F422" s="3">
        <f t="shared" si="3"/>
        <v>0.000212388044</v>
      </c>
      <c r="G422" s="3">
        <f t="shared" si="4"/>
        <v>0</v>
      </c>
      <c r="H422" s="2">
        <f t="shared" si="5"/>
        <v>0</v>
      </c>
      <c r="I422" s="3">
        <f t="shared" si="6"/>
        <v>0</v>
      </c>
      <c r="J422" s="3">
        <f t="shared" si="7"/>
        <v>0</v>
      </c>
      <c r="K422" s="3"/>
      <c r="L422" s="3">
        <f t="shared" si="8"/>
        <v>394.6751997</v>
      </c>
      <c r="M422" s="14">
        <f t="shared" si="9"/>
        <v>395.951723</v>
      </c>
      <c r="N422" s="14">
        <f t="shared" si="10"/>
        <v>-1.276523296</v>
      </c>
      <c r="O422" s="3"/>
      <c r="P422" s="3"/>
      <c r="Q422" s="3"/>
      <c r="R422" s="2"/>
      <c r="S422" s="9">
        <f t="shared" si="13"/>
        <v>-1.172226404</v>
      </c>
    </row>
    <row r="423">
      <c r="A423" s="11">
        <v>411.0</v>
      </c>
      <c r="B423" s="11">
        <v>1.42118260869565E9</v>
      </c>
      <c r="C423" s="2">
        <v>-102.8650894</v>
      </c>
      <c r="D423" s="3">
        <f t="shared" si="1"/>
        <v>782608.6957</v>
      </c>
      <c r="E423" s="4">
        <f t="shared" si="2"/>
        <v>-166.2115999</v>
      </c>
      <c r="F423" s="3">
        <f t="shared" si="3"/>
        <v>0.0002123814888</v>
      </c>
      <c r="G423" s="3">
        <f t="shared" si="4"/>
        <v>0</v>
      </c>
      <c r="H423" s="2">
        <f t="shared" si="5"/>
        <v>0</v>
      </c>
      <c r="I423" s="3">
        <f t="shared" si="6"/>
        <v>0</v>
      </c>
      <c r="J423" s="3">
        <f t="shared" si="7"/>
        <v>0</v>
      </c>
      <c r="K423" s="3"/>
      <c r="L423" s="3">
        <f t="shared" si="8"/>
        <v>393.1852591</v>
      </c>
      <c r="M423" s="14">
        <f t="shared" si="9"/>
        <v>395.8834265</v>
      </c>
      <c r="N423" s="14">
        <f t="shared" si="10"/>
        <v>-2.698167359</v>
      </c>
      <c r="O423" s="3"/>
      <c r="P423" s="3"/>
      <c r="Q423" s="3"/>
      <c r="R423" s="2"/>
      <c r="S423" s="9">
        <f t="shared" si="13"/>
        <v>-2.477716651</v>
      </c>
    </row>
    <row r="424">
      <c r="A424" s="11">
        <v>412.0</v>
      </c>
      <c r="B424" s="11">
        <v>1.42118695652173E9</v>
      </c>
      <c r="C424" s="2">
        <v>-102.8272476</v>
      </c>
      <c r="D424" s="3">
        <f t="shared" si="1"/>
        <v>786956.5217</v>
      </c>
      <c r="E424" s="4">
        <f t="shared" si="2"/>
        <v>-167.129896</v>
      </c>
      <c r="F424" s="3">
        <f t="shared" si="3"/>
        <v>0.000212375006</v>
      </c>
      <c r="G424" s="3">
        <f t="shared" si="4"/>
        <v>0</v>
      </c>
      <c r="H424" s="2">
        <f t="shared" si="5"/>
        <v>0</v>
      </c>
      <c r="I424" s="3">
        <f t="shared" si="6"/>
        <v>0</v>
      </c>
      <c r="J424" s="3">
        <f t="shared" si="7"/>
        <v>0</v>
      </c>
      <c r="K424" s="3"/>
      <c r="L424" s="3">
        <f t="shared" si="8"/>
        <v>396.6262076</v>
      </c>
      <c r="M424" s="14">
        <f t="shared" si="9"/>
        <v>395.8153378</v>
      </c>
      <c r="N424" s="14">
        <f t="shared" si="10"/>
        <v>0.81086983</v>
      </c>
      <c r="O424" s="3"/>
      <c r="P424" s="3"/>
      <c r="Q424" s="3"/>
      <c r="R424" s="2"/>
      <c r="S424" s="9">
        <f t="shared" si="13"/>
        <v>0.744618629</v>
      </c>
    </row>
    <row r="425">
      <c r="A425" s="11">
        <v>413.0</v>
      </c>
      <c r="B425" s="11">
        <v>1.42119130434782E9</v>
      </c>
      <c r="C425" s="2">
        <v>-102.8441696</v>
      </c>
      <c r="D425" s="3">
        <f t="shared" si="1"/>
        <v>791304.3478</v>
      </c>
      <c r="E425" s="4">
        <f t="shared" si="2"/>
        <v>-168.0481922</v>
      </c>
      <c r="F425" s="3">
        <f t="shared" si="3"/>
        <v>0.0002123685945</v>
      </c>
      <c r="G425" s="3">
        <f t="shared" si="4"/>
        <v>0</v>
      </c>
      <c r="H425" s="2">
        <f t="shared" si="5"/>
        <v>0</v>
      </c>
      <c r="I425" s="3">
        <f t="shared" si="6"/>
        <v>0</v>
      </c>
      <c r="J425" s="3">
        <f t="shared" si="7"/>
        <v>0</v>
      </c>
      <c r="K425" s="3"/>
      <c r="L425" s="3">
        <f t="shared" si="8"/>
        <v>395.0837865</v>
      </c>
      <c r="M425" s="14">
        <f t="shared" si="9"/>
        <v>395.7474576</v>
      </c>
      <c r="N425" s="14">
        <f t="shared" si="10"/>
        <v>-0.6636711367</v>
      </c>
      <c r="O425" s="3"/>
      <c r="P425" s="3"/>
      <c r="Q425" s="3"/>
      <c r="R425" s="2"/>
      <c r="S425" s="9">
        <f t="shared" si="13"/>
        <v>-0.6094466383</v>
      </c>
    </row>
    <row r="426">
      <c r="A426" s="11">
        <v>414.0</v>
      </c>
      <c r="B426" s="11">
        <v>1.42119565217391E9</v>
      </c>
      <c r="C426" s="2">
        <v>-102.8823853</v>
      </c>
      <c r="D426" s="3">
        <f t="shared" si="1"/>
        <v>795652.1739</v>
      </c>
      <c r="E426" s="4">
        <f t="shared" si="2"/>
        <v>-168.9664883</v>
      </c>
      <c r="F426" s="3">
        <f t="shared" si="3"/>
        <v>0.0002123622531</v>
      </c>
      <c r="G426" s="3">
        <f t="shared" si="4"/>
        <v>0</v>
      </c>
      <c r="H426" s="2">
        <f t="shared" si="5"/>
        <v>0</v>
      </c>
      <c r="I426" s="3">
        <f t="shared" si="6"/>
        <v>0</v>
      </c>
      <c r="J426" s="3">
        <f t="shared" si="7"/>
        <v>0</v>
      </c>
      <c r="K426" s="3"/>
      <c r="L426" s="3">
        <f t="shared" si="8"/>
        <v>391.6225017</v>
      </c>
      <c r="M426" s="14">
        <f t="shared" si="9"/>
        <v>395.6797869</v>
      </c>
      <c r="N426" s="14">
        <f t="shared" si="10"/>
        <v>-4.057285191</v>
      </c>
      <c r="O426" s="3"/>
      <c r="P426" s="3"/>
      <c r="Q426" s="3"/>
      <c r="R426" s="2"/>
      <c r="S426" s="9">
        <f t="shared" si="13"/>
        <v>-3.725789292</v>
      </c>
    </row>
    <row r="427">
      <c r="A427" s="11">
        <v>415.0</v>
      </c>
      <c r="B427" s="11">
        <v>1.4212E9</v>
      </c>
      <c r="C427" s="2">
        <v>-102.8883133</v>
      </c>
      <c r="D427" s="3">
        <f t="shared" si="1"/>
        <v>800000</v>
      </c>
      <c r="E427" s="4">
        <f t="shared" si="2"/>
        <v>-169.8847844</v>
      </c>
      <c r="F427" s="3">
        <f t="shared" si="3"/>
        <v>0.0002123559806</v>
      </c>
      <c r="G427" s="3">
        <f t="shared" si="4"/>
        <v>0</v>
      </c>
      <c r="H427" s="2">
        <f t="shared" si="5"/>
        <v>0</v>
      </c>
      <c r="I427" s="3">
        <f t="shared" si="6"/>
        <v>0</v>
      </c>
      <c r="J427" s="3">
        <f t="shared" si="7"/>
        <v>0</v>
      </c>
      <c r="K427" s="3"/>
      <c r="L427" s="3">
        <f t="shared" si="8"/>
        <v>391.0883124</v>
      </c>
      <c r="M427" s="14">
        <f t="shared" si="9"/>
        <v>395.6123265</v>
      </c>
      <c r="N427" s="14">
        <f t="shared" si="10"/>
        <v>-4.524014013</v>
      </c>
      <c r="O427" s="3"/>
      <c r="P427" s="3"/>
      <c r="Q427" s="3"/>
      <c r="R427" s="2"/>
      <c r="S427" s="9">
        <f t="shared" si="13"/>
        <v>-4.154384573</v>
      </c>
    </row>
    <row r="428">
      <c r="A428" s="11">
        <v>416.0</v>
      </c>
      <c r="B428" s="11">
        <v>1.42120434782608E9</v>
      </c>
      <c r="C428" s="2">
        <v>-102.7995682</v>
      </c>
      <c r="D428" s="3">
        <f t="shared" si="1"/>
        <v>804347.8261</v>
      </c>
      <c r="E428" s="4">
        <f t="shared" si="2"/>
        <v>-170.8030806</v>
      </c>
      <c r="F428" s="3">
        <f t="shared" si="3"/>
        <v>0.0002123497759</v>
      </c>
      <c r="G428" s="3">
        <f t="shared" si="4"/>
        <v>0</v>
      </c>
      <c r="H428" s="2">
        <f t="shared" si="5"/>
        <v>0</v>
      </c>
      <c r="I428" s="3">
        <f t="shared" si="6"/>
        <v>0</v>
      </c>
      <c r="J428" s="3">
        <f t="shared" si="7"/>
        <v>0</v>
      </c>
      <c r="K428" s="3"/>
      <c r="L428" s="3">
        <f t="shared" si="8"/>
        <v>399.1621447</v>
      </c>
      <c r="M428" s="14">
        <f t="shared" si="9"/>
        <v>395.5450771</v>
      </c>
      <c r="N428" s="14">
        <f t="shared" si="10"/>
        <v>3.617067537</v>
      </c>
      <c r="O428" s="3"/>
      <c r="P428" s="3"/>
      <c r="Q428" s="3"/>
      <c r="R428" s="2"/>
      <c r="S428" s="9">
        <f t="shared" si="13"/>
        <v>3.321539131</v>
      </c>
    </row>
    <row r="429">
      <c r="A429" s="11">
        <v>417.0</v>
      </c>
      <c r="B429" s="11">
        <v>1.42120869565217E9</v>
      </c>
      <c r="C429" s="2">
        <v>-102.8479004</v>
      </c>
      <c r="D429" s="3">
        <f t="shared" si="1"/>
        <v>808695.6522</v>
      </c>
      <c r="E429" s="4">
        <f t="shared" si="2"/>
        <v>-171.7213767</v>
      </c>
      <c r="F429" s="3">
        <f t="shared" si="3"/>
        <v>0.0002123436379</v>
      </c>
      <c r="G429" s="3">
        <f t="shared" si="4"/>
        <v>0</v>
      </c>
      <c r="H429" s="2">
        <f t="shared" si="5"/>
        <v>0</v>
      </c>
      <c r="I429" s="3">
        <f t="shared" si="6"/>
        <v>0</v>
      </c>
      <c r="J429" s="3">
        <f t="shared" si="7"/>
        <v>0</v>
      </c>
      <c r="K429" s="3"/>
      <c r="L429" s="3">
        <f t="shared" si="8"/>
        <v>394.7445361</v>
      </c>
      <c r="M429" s="14">
        <f t="shared" si="9"/>
        <v>395.4780397</v>
      </c>
      <c r="N429" s="14">
        <f t="shared" si="10"/>
        <v>-0.7335036472</v>
      </c>
      <c r="O429" s="3"/>
      <c r="P429" s="3"/>
      <c r="Q429" s="3"/>
      <c r="R429" s="2"/>
      <c r="S429" s="9">
        <f t="shared" si="13"/>
        <v>-0.673573561</v>
      </c>
    </row>
    <row r="430">
      <c r="A430" s="11">
        <v>418.0</v>
      </c>
      <c r="B430" s="11">
        <v>1.42121304347826E9</v>
      </c>
      <c r="C430" s="2">
        <v>-102.8365173</v>
      </c>
      <c r="D430" s="3">
        <f t="shared" si="1"/>
        <v>813043.4783</v>
      </c>
      <c r="E430" s="4">
        <f t="shared" si="2"/>
        <v>-172.6396728</v>
      </c>
      <c r="F430" s="3">
        <f t="shared" si="3"/>
        <v>0.0002123375655</v>
      </c>
      <c r="G430" s="3">
        <f t="shared" si="4"/>
        <v>0</v>
      </c>
      <c r="H430" s="2">
        <f t="shared" si="5"/>
        <v>0</v>
      </c>
      <c r="I430" s="3">
        <f t="shared" si="6"/>
        <v>0</v>
      </c>
      <c r="J430" s="3">
        <f t="shared" si="7"/>
        <v>0</v>
      </c>
      <c r="K430" s="3"/>
      <c r="L430" s="3">
        <f t="shared" si="8"/>
        <v>395.7805406</v>
      </c>
      <c r="M430" s="14">
        <f t="shared" si="9"/>
        <v>395.4112152</v>
      </c>
      <c r="N430" s="14">
        <f t="shared" si="10"/>
        <v>0.3693254541</v>
      </c>
      <c r="O430" s="3"/>
      <c r="P430" s="3"/>
      <c r="Q430" s="3"/>
      <c r="R430" s="2"/>
      <c r="S430" s="9">
        <f t="shared" si="13"/>
        <v>0.3391501362</v>
      </c>
    </row>
    <row r="431">
      <c r="A431" s="11">
        <v>419.0</v>
      </c>
      <c r="B431" s="11">
        <v>1.42121739130434E9</v>
      </c>
      <c r="C431" s="2">
        <v>-102.819664</v>
      </c>
      <c r="D431" s="3">
        <f t="shared" si="1"/>
        <v>817391.3043</v>
      </c>
      <c r="E431" s="4">
        <f t="shared" si="2"/>
        <v>-173.557969</v>
      </c>
      <c r="F431" s="3">
        <f t="shared" si="3"/>
        <v>0.0002123315578</v>
      </c>
      <c r="G431" s="3">
        <f t="shared" si="4"/>
        <v>0</v>
      </c>
      <c r="H431" s="2">
        <f t="shared" si="5"/>
        <v>0</v>
      </c>
      <c r="I431" s="3">
        <f t="shared" si="6"/>
        <v>0</v>
      </c>
      <c r="J431" s="3">
        <f t="shared" si="7"/>
        <v>0</v>
      </c>
      <c r="K431" s="3"/>
      <c r="L431" s="3">
        <f t="shared" si="8"/>
        <v>397.3193967</v>
      </c>
      <c r="M431" s="14">
        <f t="shared" si="9"/>
        <v>395.3446042</v>
      </c>
      <c r="N431" s="14">
        <f t="shared" si="10"/>
        <v>1.974792532</v>
      </c>
      <c r="O431" s="3"/>
      <c r="P431" s="3"/>
      <c r="Q431" s="3"/>
      <c r="R431" s="2"/>
      <c r="S431" s="9">
        <f t="shared" si="13"/>
        <v>1.813444346</v>
      </c>
    </row>
    <row r="432">
      <c r="A432" s="11">
        <v>420.0</v>
      </c>
      <c r="B432" s="11">
        <v>1.42122173913043E9</v>
      </c>
      <c r="C432" s="2">
        <v>-102.8537445</v>
      </c>
      <c r="D432" s="3">
        <f t="shared" si="1"/>
        <v>821739.1304</v>
      </c>
      <c r="E432" s="4">
        <f t="shared" si="2"/>
        <v>-174.4762651</v>
      </c>
      <c r="F432" s="3">
        <f t="shared" si="3"/>
        <v>0.0002123256136</v>
      </c>
      <c r="G432" s="3">
        <f t="shared" si="4"/>
        <v>0</v>
      </c>
      <c r="H432" s="2">
        <f t="shared" si="5"/>
        <v>0</v>
      </c>
      <c r="I432" s="3">
        <f t="shared" si="6"/>
        <v>0</v>
      </c>
      <c r="J432" s="3">
        <f t="shared" si="7"/>
        <v>0</v>
      </c>
      <c r="K432" s="3"/>
      <c r="L432" s="3">
        <f t="shared" si="8"/>
        <v>394.2137039</v>
      </c>
      <c r="M432" s="14">
        <f t="shared" si="9"/>
        <v>395.2782077</v>
      </c>
      <c r="N432" s="14">
        <f t="shared" si="10"/>
        <v>-1.064503831</v>
      </c>
      <c r="O432" s="3"/>
      <c r="P432" s="3"/>
      <c r="Q432" s="3"/>
      <c r="R432" s="2"/>
      <c r="S432" s="9">
        <f t="shared" si="13"/>
        <v>-0.9775297487</v>
      </c>
    </row>
    <row r="433">
      <c r="A433" s="11">
        <v>421.0</v>
      </c>
      <c r="B433" s="11">
        <v>1.42122608695652E9</v>
      </c>
      <c r="C433" s="2">
        <v>-102.8705826</v>
      </c>
      <c r="D433" s="3">
        <f t="shared" si="1"/>
        <v>826086.9565</v>
      </c>
      <c r="E433" s="4">
        <f t="shared" si="2"/>
        <v>-175.3945612</v>
      </c>
      <c r="F433" s="3">
        <f t="shared" si="3"/>
        <v>0.000212319732</v>
      </c>
      <c r="G433" s="3">
        <f t="shared" si="4"/>
        <v>0</v>
      </c>
      <c r="H433" s="2">
        <f t="shared" si="5"/>
        <v>0</v>
      </c>
      <c r="I433" s="3">
        <f t="shared" si="6"/>
        <v>0</v>
      </c>
      <c r="J433" s="3">
        <f t="shared" si="7"/>
        <v>0</v>
      </c>
      <c r="K433" s="3"/>
      <c r="L433" s="3">
        <f t="shared" si="8"/>
        <v>392.6882508</v>
      </c>
      <c r="M433" s="14">
        <f t="shared" si="9"/>
        <v>395.2120265</v>
      </c>
      <c r="N433" s="14">
        <f t="shared" si="10"/>
        <v>-2.523775736</v>
      </c>
      <c r="O433" s="3"/>
      <c r="P433" s="3"/>
      <c r="Q433" s="3"/>
      <c r="R433" s="2"/>
      <c r="S433" s="9">
        <f t="shared" si="13"/>
        <v>-2.317573498</v>
      </c>
    </row>
    <row r="434">
      <c r="A434" s="11">
        <v>422.0</v>
      </c>
      <c r="B434" s="11">
        <v>1.4212304347826E9</v>
      </c>
      <c r="C434" s="2">
        <v>-102.8217392</v>
      </c>
      <c r="D434" s="3">
        <f t="shared" si="1"/>
        <v>830434.7826</v>
      </c>
      <c r="E434" s="4">
        <f t="shared" si="2"/>
        <v>-176.3128574</v>
      </c>
      <c r="F434" s="3">
        <f t="shared" si="3"/>
        <v>0.000212313912</v>
      </c>
      <c r="G434" s="3">
        <f t="shared" si="4"/>
        <v>0</v>
      </c>
      <c r="H434" s="2">
        <f t="shared" si="5"/>
        <v>0</v>
      </c>
      <c r="I434" s="3">
        <f t="shared" si="6"/>
        <v>0</v>
      </c>
      <c r="J434" s="3">
        <f t="shared" si="7"/>
        <v>0</v>
      </c>
      <c r="K434" s="3"/>
      <c r="L434" s="3">
        <f t="shared" si="8"/>
        <v>397.12959</v>
      </c>
      <c r="M434" s="14">
        <f t="shared" si="9"/>
        <v>395.1460615</v>
      </c>
      <c r="N434" s="14">
        <f t="shared" si="10"/>
        <v>1.983528501</v>
      </c>
      <c r="O434" s="3"/>
      <c r="P434" s="3"/>
      <c r="Q434" s="3"/>
      <c r="R434" s="2"/>
      <c r="S434" s="9">
        <f t="shared" si="13"/>
        <v>1.821466552</v>
      </c>
    </row>
    <row r="435">
      <c r="A435" s="11">
        <v>423.0</v>
      </c>
      <c r="B435" s="11">
        <v>1.42123478260869E9</v>
      </c>
      <c r="C435" s="2">
        <v>-102.8487015</v>
      </c>
      <c r="D435" s="3">
        <f t="shared" si="1"/>
        <v>834782.6087</v>
      </c>
      <c r="E435" s="4">
        <f t="shared" si="2"/>
        <v>-177.2311535</v>
      </c>
      <c r="F435" s="3">
        <f t="shared" si="3"/>
        <v>0.0002123081526</v>
      </c>
      <c r="G435" s="3">
        <f t="shared" si="4"/>
        <v>0</v>
      </c>
      <c r="H435" s="2">
        <f t="shared" si="5"/>
        <v>0</v>
      </c>
      <c r="I435" s="3">
        <f t="shared" si="6"/>
        <v>0</v>
      </c>
      <c r="J435" s="3">
        <f t="shared" si="7"/>
        <v>0</v>
      </c>
      <c r="K435" s="3"/>
      <c r="L435" s="3">
        <f t="shared" si="8"/>
        <v>394.6717282</v>
      </c>
      <c r="M435" s="14">
        <f t="shared" si="9"/>
        <v>395.0803134</v>
      </c>
      <c r="N435" s="14">
        <f t="shared" si="10"/>
        <v>-0.408585217</v>
      </c>
      <c r="O435" s="3"/>
      <c r="P435" s="3"/>
      <c r="Q435" s="3"/>
      <c r="R435" s="2"/>
      <c r="S435" s="9">
        <f t="shared" si="13"/>
        <v>-0.3752022247</v>
      </c>
    </row>
    <row r="436">
      <c r="A436" s="11">
        <v>424.0</v>
      </c>
      <c r="B436" s="11">
        <v>1.42123913043478E9</v>
      </c>
      <c r="C436" s="2">
        <v>-102.8633957</v>
      </c>
      <c r="D436" s="3">
        <f t="shared" si="1"/>
        <v>839130.4348</v>
      </c>
      <c r="E436" s="4">
        <f t="shared" si="2"/>
        <v>-178.1494496</v>
      </c>
      <c r="F436" s="3">
        <f t="shared" si="3"/>
        <v>0.0002123024529</v>
      </c>
      <c r="G436" s="3">
        <f t="shared" si="4"/>
        <v>0</v>
      </c>
      <c r="H436" s="2">
        <f t="shared" si="5"/>
        <v>0</v>
      </c>
      <c r="I436" s="3">
        <f t="shared" si="6"/>
        <v>0</v>
      </c>
      <c r="J436" s="3">
        <f t="shared" si="7"/>
        <v>0</v>
      </c>
      <c r="K436" s="3"/>
      <c r="L436" s="3">
        <f t="shared" si="8"/>
        <v>393.3386269</v>
      </c>
      <c r="M436" s="14">
        <f t="shared" si="9"/>
        <v>395.0147832</v>
      </c>
      <c r="N436" s="14">
        <f t="shared" si="10"/>
        <v>-1.676156279</v>
      </c>
      <c r="O436" s="3"/>
      <c r="P436" s="3"/>
      <c r="Q436" s="3"/>
      <c r="R436" s="2"/>
      <c r="S436" s="9">
        <f t="shared" si="13"/>
        <v>-1.539207826</v>
      </c>
    </row>
    <row r="437">
      <c r="A437" s="11">
        <v>425.0</v>
      </c>
      <c r="B437" s="11">
        <v>1.42124347826087E9</v>
      </c>
      <c r="C437" s="2">
        <v>-102.8101044</v>
      </c>
      <c r="D437" s="3">
        <f t="shared" si="1"/>
        <v>843478.2609</v>
      </c>
      <c r="E437" s="4">
        <f t="shared" si="2"/>
        <v>-179.0677458</v>
      </c>
      <c r="F437" s="3">
        <f t="shared" si="3"/>
        <v>0.000212296812</v>
      </c>
      <c r="G437" s="3">
        <f t="shared" si="4"/>
        <v>0</v>
      </c>
      <c r="H437" s="2">
        <f t="shared" si="5"/>
        <v>0</v>
      </c>
      <c r="I437" s="3">
        <f t="shared" si="6"/>
        <v>0</v>
      </c>
      <c r="J437" s="3">
        <f t="shared" si="7"/>
        <v>0</v>
      </c>
      <c r="K437" s="3"/>
      <c r="L437" s="3">
        <f t="shared" si="8"/>
        <v>398.1949312</v>
      </c>
      <c r="M437" s="14">
        <f t="shared" si="9"/>
        <v>394.9494716</v>
      </c>
      <c r="N437" s="14">
        <f t="shared" si="10"/>
        <v>3.245459569</v>
      </c>
      <c r="O437" s="3"/>
      <c r="P437" s="3"/>
      <c r="Q437" s="3"/>
      <c r="R437" s="2"/>
      <c r="S437" s="9">
        <f t="shared" si="13"/>
        <v>2.980292971</v>
      </c>
    </row>
    <row r="438">
      <c r="A438" s="11">
        <v>426.0</v>
      </c>
      <c r="B438" s="11">
        <v>1.42124782608695E9</v>
      </c>
      <c r="C438" s="2">
        <v>-102.8702927</v>
      </c>
      <c r="D438" s="3">
        <f t="shared" si="1"/>
        <v>847826.087</v>
      </c>
      <c r="E438" s="4">
        <f t="shared" si="2"/>
        <v>-179.9860419</v>
      </c>
      <c r="F438" s="3">
        <f t="shared" si="3"/>
        <v>0.0002122912289</v>
      </c>
      <c r="G438" s="3">
        <f t="shared" si="4"/>
        <v>0</v>
      </c>
      <c r="H438" s="2">
        <f t="shared" si="5"/>
        <v>0</v>
      </c>
      <c r="I438" s="3">
        <f t="shared" si="6"/>
        <v>0</v>
      </c>
      <c r="J438" s="3">
        <f t="shared" si="7"/>
        <v>0</v>
      </c>
      <c r="K438" s="3"/>
      <c r="L438" s="3">
        <f t="shared" si="8"/>
        <v>392.7144644</v>
      </c>
      <c r="M438" s="14">
        <f t="shared" si="9"/>
        <v>394.8843795</v>
      </c>
      <c r="N438" s="14">
        <f t="shared" si="10"/>
        <v>-2.169915196</v>
      </c>
      <c r="O438" s="3"/>
      <c r="P438" s="3"/>
      <c r="Q438" s="3"/>
      <c r="R438" s="2"/>
      <c r="S438" s="9">
        <f t="shared" si="13"/>
        <v>-1.992624733</v>
      </c>
    </row>
    <row r="439">
      <c r="A439" s="11">
        <v>427.0</v>
      </c>
      <c r="B439" s="11">
        <v>1.42125217391304E9</v>
      </c>
      <c r="C439" s="2">
        <v>-102.8411636</v>
      </c>
      <c r="D439" s="3">
        <f t="shared" si="1"/>
        <v>852173.913</v>
      </c>
      <c r="E439" s="4">
        <f t="shared" si="2"/>
        <v>-180.904338</v>
      </c>
      <c r="F439" s="3">
        <f t="shared" si="3"/>
        <v>0.0002122857028</v>
      </c>
      <c r="G439" s="3">
        <f t="shared" si="4"/>
        <v>0</v>
      </c>
      <c r="H439" s="2">
        <f t="shared" si="5"/>
        <v>0</v>
      </c>
      <c r="I439" s="3">
        <f t="shared" si="6"/>
        <v>0</v>
      </c>
      <c r="J439" s="3">
        <f t="shared" si="7"/>
        <v>0</v>
      </c>
      <c r="K439" s="3"/>
      <c r="L439" s="3">
        <f t="shared" si="8"/>
        <v>395.3573412</v>
      </c>
      <c r="M439" s="14">
        <f t="shared" si="9"/>
        <v>394.8195078</v>
      </c>
      <c r="N439" s="14">
        <f t="shared" si="10"/>
        <v>0.537833346</v>
      </c>
      <c r="O439" s="3"/>
      <c r="P439" s="3"/>
      <c r="Q439" s="3"/>
      <c r="R439" s="2"/>
      <c r="S439" s="9">
        <f t="shared" si="13"/>
        <v>0.4938902806</v>
      </c>
    </row>
    <row r="440">
      <c r="A440" s="11">
        <v>428.0</v>
      </c>
      <c r="B440" s="11">
        <v>1.42125652173913E9</v>
      </c>
      <c r="C440" s="2">
        <v>-102.8793793</v>
      </c>
      <c r="D440" s="3">
        <f t="shared" si="1"/>
        <v>856521.7391</v>
      </c>
      <c r="E440" s="4">
        <f t="shared" si="2"/>
        <v>-181.8226342</v>
      </c>
      <c r="F440" s="3">
        <f t="shared" si="3"/>
        <v>0.0002122802328</v>
      </c>
      <c r="G440" s="3">
        <f t="shared" si="4"/>
        <v>0</v>
      </c>
      <c r="H440" s="2">
        <f t="shared" si="5"/>
        <v>0</v>
      </c>
      <c r="I440" s="3">
        <f t="shared" si="6"/>
        <v>0</v>
      </c>
      <c r="J440" s="3">
        <f t="shared" si="7"/>
        <v>0</v>
      </c>
      <c r="K440" s="3"/>
      <c r="L440" s="3">
        <f t="shared" si="8"/>
        <v>391.8936598</v>
      </c>
      <c r="M440" s="14">
        <f t="shared" si="9"/>
        <v>394.7548573</v>
      </c>
      <c r="N440" s="14">
        <f t="shared" si="10"/>
        <v>-2.861197461</v>
      </c>
      <c r="O440" s="3"/>
      <c r="P440" s="3"/>
      <c r="Q440" s="3"/>
      <c r="R440" s="2"/>
      <c r="S440" s="9">
        <f t="shared" si="13"/>
        <v>-2.627426564</v>
      </c>
    </row>
    <row r="441">
      <c r="A441" s="11">
        <v>429.0</v>
      </c>
      <c r="B441" s="11">
        <v>1.42126086956521E9</v>
      </c>
      <c r="C441" s="2">
        <v>-102.8769073</v>
      </c>
      <c r="D441" s="3">
        <f t="shared" si="1"/>
        <v>860869.5652</v>
      </c>
      <c r="E441" s="4">
        <f t="shared" si="2"/>
        <v>-182.7409303</v>
      </c>
      <c r="F441" s="3">
        <f t="shared" si="3"/>
        <v>0.000212274818</v>
      </c>
      <c r="G441" s="3">
        <f t="shared" si="4"/>
        <v>0</v>
      </c>
      <c r="H441" s="2">
        <f t="shared" si="5"/>
        <v>0</v>
      </c>
      <c r="I441" s="3">
        <f t="shared" si="6"/>
        <v>0</v>
      </c>
      <c r="J441" s="3">
        <f t="shared" si="7"/>
        <v>0</v>
      </c>
      <c r="K441" s="3"/>
      <c r="L441" s="3">
        <f t="shared" si="8"/>
        <v>392.1167888</v>
      </c>
      <c r="M441" s="14">
        <f t="shared" si="9"/>
        <v>394.6904288</v>
      </c>
      <c r="N441" s="14">
        <f t="shared" si="10"/>
        <v>-2.573639948</v>
      </c>
      <c r="O441" s="3"/>
      <c r="P441" s="3"/>
      <c r="Q441" s="3"/>
      <c r="R441" s="2"/>
      <c r="S441" s="9">
        <f t="shared" si="13"/>
        <v>-2.363363612</v>
      </c>
    </row>
    <row r="442">
      <c r="A442" s="11">
        <v>430.0</v>
      </c>
      <c r="B442" s="11">
        <v>1.4212652173913E9</v>
      </c>
      <c r="C442" s="2">
        <v>-102.8688812</v>
      </c>
      <c r="D442" s="3">
        <f t="shared" si="1"/>
        <v>865217.3913</v>
      </c>
      <c r="E442" s="4">
        <f t="shared" si="2"/>
        <v>-183.6592264</v>
      </c>
      <c r="F442" s="3">
        <f t="shared" si="3"/>
        <v>0.0002122694577</v>
      </c>
      <c r="G442" s="3">
        <f t="shared" si="4"/>
        <v>0</v>
      </c>
      <c r="H442" s="2">
        <f t="shared" si="5"/>
        <v>0</v>
      </c>
      <c r="I442" s="3">
        <f t="shared" si="6"/>
        <v>0</v>
      </c>
      <c r="J442" s="3">
        <f t="shared" si="7"/>
        <v>0</v>
      </c>
      <c r="K442" s="3"/>
      <c r="L442" s="3">
        <f t="shared" si="8"/>
        <v>392.8421212</v>
      </c>
      <c r="M442" s="14">
        <f t="shared" si="9"/>
        <v>394.6262231</v>
      </c>
      <c r="N442" s="14">
        <f t="shared" si="10"/>
        <v>-1.784101914</v>
      </c>
      <c r="O442" s="3"/>
      <c r="P442" s="3"/>
      <c r="Q442" s="3"/>
      <c r="R442" s="2"/>
      <c r="S442" s="9">
        <f t="shared" si="13"/>
        <v>-1.638333884</v>
      </c>
    </row>
    <row r="443">
      <c r="A443" s="11">
        <v>431.0</v>
      </c>
      <c r="B443" s="11">
        <v>1.42126956521739E9</v>
      </c>
      <c r="C443" s="2">
        <v>-102.8881149</v>
      </c>
      <c r="D443" s="3">
        <f t="shared" si="1"/>
        <v>869565.2174</v>
      </c>
      <c r="E443" s="4">
        <f t="shared" si="2"/>
        <v>-184.5775226</v>
      </c>
      <c r="F443" s="3">
        <f t="shared" si="3"/>
        <v>0.0002122641509</v>
      </c>
      <c r="G443" s="3">
        <f t="shared" si="4"/>
        <v>0</v>
      </c>
      <c r="H443" s="2">
        <f t="shared" si="5"/>
        <v>0</v>
      </c>
      <c r="I443" s="3">
        <f t="shared" si="6"/>
        <v>0</v>
      </c>
      <c r="J443" s="3">
        <f t="shared" si="7"/>
        <v>0</v>
      </c>
      <c r="K443" s="3"/>
      <c r="L443" s="3">
        <f t="shared" si="8"/>
        <v>391.106179</v>
      </c>
      <c r="M443" s="14">
        <f t="shared" si="9"/>
        <v>394.5622411</v>
      </c>
      <c r="N443" s="14">
        <f t="shared" si="10"/>
        <v>-3.456062079</v>
      </c>
      <c r="O443" s="3"/>
      <c r="P443" s="3"/>
      <c r="Q443" s="3"/>
      <c r="R443" s="2"/>
      <c r="S443" s="9">
        <f t="shared" si="13"/>
        <v>-3.173688442</v>
      </c>
    </row>
    <row r="444">
      <c r="A444" s="11">
        <v>432.0</v>
      </c>
      <c r="B444" s="11">
        <v>1.42127391304347E9</v>
      </c>
      <c r="C444" s="2">
        <v>-102.8727493</v>
      </c>
      <c r="D444" s="3">
        <f t="shared" si="1"/>
        <v>873913.0435</v>
      </c>
      <c r="E444" s="4">
        <f t="shared" si="2"/>
        <v>-185.4958187</v>
      </c>
      <c r="F444" s="3">
        <f t="shared" si="3"/>
        <v>0.000212258897</v>
      </c>
      <c r="G444" s="3">
        <f t="shared" si="4"/>
        <v>0</v>
      </c>
      <c r="H444" s="2">
        <f t="shared" si="5"/>
        <v>0</v>
      </c>
      <c r="I444" s="3">
        <f t="shared" si="6"/>
        <v>0</v>
      </c>
      <c r="J444" s="3">
        <f t="shared" si="7"/>
        <v>0</v>
      </c>
      <c r="K444" s="3"/>
      <c r="L444" s="3">
        <f t="shared" si="8"/>
        <v>392.492387</v>
      </c>
      <c r="M444" s="14">
        <f t="shared" si="9"/>
        <v>394.4984837</v>
      </c>
      <c r="N444" s="14">
        <f t="shared" si="10"/>
        <v>-2.006096665</v>
      </c>
      <c r="O444" s="3"/>
      <c r="P444" s="3"/>
      <c r="Q444" s="3"/>
      <c r="R444" s="2"/>
      <c r="S444" s="9">
        <f t="shared" si="13"/>
        <v>-1.84219081</v>
      </c>
    </row>
    <row r="445">
      <c r="A445" s="11">
        <v>433.0</v>
      </c>
      <c r="B445" s="11">
        <v>1.42127826086956E9</v>
      </c>
      <c r="C445" s="2">
        <v>-102.8157883</v>
      </c>
      <c r="D445" s="3">
        <f t="shared" si="1"/>
        <v>878260.8696</v>
      </c>
      <c r="E445" s="4">
        <f t="shared" si="2"/>
        <v>-186.4141148</v>
      </c>
      <c r="F445" s="3">
        <f t="shared" si="3"/>
        <v>0.0002122536951</v>
      </c>
      <c r="G445" s="3">
        <f t="shared" si="4"/>
        <v>0</v>
      </c>
      <c r="H445" s="2">
        <f t="shared" si="5"/>
        <v>0</v>
      </c>
      <c r="I445" s="3">
        <f t="shared" si="6"/>
        <v>0</v>
      </c>
      <c r="J445" s="3">
        <f t="shared" si="7"/>
        <v>0</v>
      </c>
      <c r="K445" s="3"/>
      <c r="L445" s="3">
        <f t="shared" si="8"/>
        <v>397.6741279</v>
      </c>
      <c r="M445" s="14">
        <f t="shared" si="9"/>
        <v>394.4349516</v>
      </c>
      <c r="N445" s="14">
        <f t="shared" si="10"/>
        <v>3.239176296</v>
      </c>
      <c r="O445" s="3"/>
      <c r="P445" s="3"/>
      <c r="Q445" s="3"/>
      <c r="R445" s="2"/>
      <c r="S445" s="9">
        <f t="shared" si="13"/>
        <v>2.974523059</v>
      </c>
    </row>
    <row r="446">
      <c r="A446" s="11">
        <v>434.0</v>
      </c>
      <c r="B446" s="11">
        <v>1.42128260869565E9</v>
      </c>
      <c r="C446" s="2">
        <v>-102.8233337</v>
      </c>
      <c r="D446" s="3">
        <f t="shared" si="1"/>
        <v>882608.6957</v>
      </c>
      <c r="E446" s="4">
        <f t="shared" si="2"/>
        <v>-187.332411</v>
      </c>
      <c r="F446" s="3">
        <f t="shared" si="3"/>
        <v>0.0002122485444</v>
      </c>
      <c r="G446" s="3">
        <f t="shared" si="4"/>
        <v>0</v>
      </c>
      <c r="H446" s="2">
        <f t="shared" si="5"/>
        <v>0</v>
      </c>
      <c r="I446" s="3">
        <f t="shared" si="6"/>
        <v>0</v>
      </c>
      <c r="J446" s="3">
        <f t="shared" si="7"/>
        <v>0</v>
      </c>
      <c r="K446" s="3"/>
      <c r="L446" s="3">
        <f t="shared" si="8"/>
        <v>396.9838117</v>
      </c>
      <c r="M446" s="14">
        <f t="shared" si="9"/>
        <v>394.3716458</v>
      </c>
      <c r="N446" s="14">
        <f t="shared" si="10"/>
        <v>2.612165914</v>
      </c>
      <c r="O446" s="3"/>
      <c r="P446" s="3"/>
      <c r="Q446" s="3"/>
      <c r="R446" s="2"/>
      <c r="S446" s="9">
        <f t="shared" si="13"/>
        <v>2.398741857</v>
      </c>
    </row>
    <row r="447">
      <c r="A447" s="11">
        <v>435.0</v>
      </c>
      <c r="B447" s="11">
        <v>1.42128695652173E9</v>
      </c>
      <c r="C447" s="2">
        <v>-102.8344421</v>
      </c>
      <c r="D447" s="3">
        <f t="shared" si="1"/>
        <v>886956.5217</v>
      </c>
      <c r="E447" s="4">
        <f t="shared" si="2"/>
        <v>-188.2507071</v>
      </c>
      <c r="F447" s="3">
        <f t="shared" si="3"/>
        <v>0.0002122434443</v>
      </c>
      <c r="G447" s="3">
        <f t="shared" si="4"/>
        <v>0</v>
      </c>
      <c r="H447" s="2">
        <f t="shared" si="5"/>
        <v>0</v>
      </c>
      <c r="I447" s="3">
        <f t="shared" si="6"/>
        <v>0</v>
      </c>
      <c r="J447" s="3">
        <f t="shared" si="7"/>
        <v>0</v>
      </c>
      <c r="K447" s="3"/>
      <c r="L447" s="3">
        <f t="shared" si="8"/>
        <v>395.9697026</v>
      </c>
      <c r="M447" s="14">
        <f t="shared" si="9"/>
        <v>394.308567</v>
      </c>
      <c r="N447" s="14">
        <f t="shared" si="10"/>
        <v>1.661135564</v>
      </c>
      <c r="O447" s="3"/>
      <c r="P447" s="3"/>
      <c r="Q447" s="3"/>
      <c r="R447" s="2"/>
      <c r="S447" s="9">
        <f t="shared" si="13"/>
        <v>1.525414364</v>
      </c>
    </row>
    <row r="448">
      <c r="A448" s="11">
        <v>436.0</v>
      </c>
      <c r="B448" s="11">
        <v>1.42129130434782E9</v>
      </c>
      <c r="C448" s="2">
        <v>-102.8848877</v>
      </c>
      <c r="D448" s="3">
        <f t="shared" si="1"/>
        <v>891304.3478</v>
      </c>
      <c r="E448" s="4">
        <f t="shared" si="2"/>
        <v>-189.1690032</v>
      </c>
      <c r="F448" s="3">
        <f t="shared" si="3"/>
        <v>0.0002122383939</v>
      </c>
      <c r="G448" s="3">
        <f t="shared" si="4"/>
        <v>0</v>
      </c>
      <c r="H448" s="2">
        <f t="shared" si="5"/>
        <v>0</v>
      </c>
      <c r="I448" s="3">
        <f t="shared" si="6"/>
        <v>0</v>
      </c>
      <c r="J448" s="3">
        <f t="shared" si="7"/>
        <v>0</v>
      </c>
      <c r="K448" s="3"/>
      <c r="L448" s="3">
        <f t="shared" si="8"/>
        <v>391.3969142</v>
      </c>
      <c r="M448" s="14">
        <f t="shared" si="9"/>
        <v>394.2457161</v>
      </c>
      <c r="N448" s="14">
        <f t="shared" si="10"/>
        <v>-2.848801883</v>
      </c>
      <c r="O448" s="3"/>
      <c r="P448" s="3"/>
      <c r="Q448" s="3"/>
      <c r="R448" s="2"/>
      <c r="S448" s="9">
        <f t="shared" si="13"/>
        <v>-2.616043752</v>
      </c>
    </row>
    <row r="449">
      <c r="A449" s="11">
        <v>437.0</v>
      </c>
      <c r="B449" s="11">
        <v>1.42129565217391E9</v>
      </c>
      <c r="C449" s="2">
        <v>-102.8601456</v>
      </c>
      <c r="D449" s="3">
        <f t="shared" si="1"/>
        <v>895652.1739</v>
      </c>
      <c r="E449" s="4">
        <f t="shared" si="2"/>
        <v>-190.0872994</v>
      </c>
      <c r="F449" s="3">
        <f t="shared" si="3"/>
        <v>0.0002122333925</v>
      </c>
      <c r="G449" s="3">
        <f t="shared" si="4"/>
        <v>0</v>
      </c>
      <c r="H449" s="2">
        <f t="shared" si="5"/>
        <v>0</v>
      </c>
      <c r="I449" s="3">
        <f t="shared" si="6"/>
        <v>0</v>
      </c>
      <c r="J449" s="3">
        <f t="shared" si="7"/>
        <v>0</v>
      </c>
      <c r="K449" s="3"/>
      <c r="L449" s="3">
        <f t="shared" si="8"/>
        <v>393.6330972</v>
      </c>
      <c r="M449" s="14">
        <f t="shared" si="9"/>
        <v>394.183094</v>
      </c>
      <c r="N449" s="14">
        <f t="shared" si="10"/>
        <v>-0.5499967525</v>
      </c>
      <c r="O449" s="3"/>
      <c r="P449" s="3"/>
      <c r="Q449" s="3"/>
      <c r="R449" s="2"/>
      <c r="S449" s="9">
        <f t="shared" si="13"/>
        <v>-0.5050598897</v>
      </c>
    </row>
    <row r="450">
      <c r="A450" s="11">
        <v>438.0</v>
      </c>
      <c r="B450" s="11">
        <v>1.4213E9</v>
      </c>
      <c r="C450" s="2">
        <v>-102.8537827</v>
      </c>
      <c r="D450" s="3">
        <f t="shared" si="1"/>
        <v>900000</v>
      </c>
      <c r="E450" s="4">
        <f t="shared" si="2"/>
        <v>-191.0055955</v>
      </c>
      <c r="F450" s="3">
        <f t="shared" si="3"/>
        <v>0.0002122284394</v>
      </c>
      <c r="G450" s="3">
        <f t="shared" si="4"/>
        <v>0</v>
      </c>
      <c r="H450" s="2">
        <f t="shared" si="5"/>
        <v>0</v>
      </c>
      <c r="I450" s="3">
        <f t="shared" si="6"/>
        <v>0</v>
      </c>
      <c r="J450" s="3">
        <f t="shared" si="7"/>
        <v>0</v>
      </c>
      <c r="K450" s="3"/>
      <c r="L450" s="3">
        <f t="shared" si="8"/>
        <v>394.2102364</v>
      </c>
      <c r="M450" s="14">
        <f t="shared" si="9"/>
        <v>394.1207014</v>
      </c>
      <c r="N450" s="14">
        <f t="shared" si="10"/>
        <v>0.08953503953</v>
      </c>
      <c r="O450" s="3"/>
      <c r="P450" s="3"/>
      <c r="Q450" s="3"/>
      <c r="R450" s="2"/>
      <c r="S450" s="9">
        <f t="shared" si="13"/>
        <v>0.08221968054</v>
      </c>
    </row>
    <row r="451">
      <c r="A451" s="11">
        <v>439.0</v>
      </c>
      <c r="B451" s="11">
        <v>1.42130434782608E9</v>
      </c>
      <c r="C451" s="2">
        <v>-102.8531265</v>
      </c>
      <c r="D451" s="3">
        <f t="shared" si="1"/>
        <v>904347.8261</v>
      </c>
      <c r="E451" s="4">
        <f t="shared" si="2"/>
        <v>-191.9238916</v>
      </c>
      <c r="F451" s="3">
        <f t="shared" si="3"/>
        <v>0.000212223534</v>
      </c>
      <c r="G451" s="3">
        <f t="shared" si="4"/>
        <v>0</v>
      </c>
      <c r="H451" s="2">
        <f t="shared" si="5"/>
        <v>0</v>
      </c>
      <c r="I451" s="3">
        <f t="shared" si="6"/>
        <v>0</v>
      </c>
      <c r="J451" s="3">
        <f t="shared" si="7"/>
        <v>0</v>
      </c>
      <c r="K451" s="3"/>
      <c r="L451" s="3">
        <f t="shared" si="8"/>
        <v>394.2698044</v>
      </c>
      <c r="M451" s="14">
        <f t="shared" si="9"/>
        <v>394.0585392</v>
      </c>
      <c r="N451" s="14">
        <f t="shared" si="10"/>
        <v>0.2112651603</v>
      </c>
      <c r="O451" s="3"/>
      <c r="P451" s="3"/>
      <c r="Q451" s="3"/>
      <c r="R451" s="2"/>
      <c r="S451" s="9">
        <f t="shared" si="13"/>
        <v>0.1940039797</v>
      </c>
    </row>
    <row r="452">
      <c r="A452" s="11">
        <v>440.0</v>
      </c>
      <c r="B452" s="11">
        <v>1.42130869565217E9</v>
      </c>
      <c r="C452" s="2">
        <v>-102.832283</v>
      </c>
      <c r="D452" s="3">
        <f t="shared" si="1"/>
        <v>908695.6522</v>
      </c>
      <c r="E452" s="4">
        <f t="shared" si="2"/>
        <v>-192.8421877</v>
      </c>
      <c r="F452" s="3">
        <f t="shared" si="3"/>
        <v>0.0002122186755</v>
      </c>
      <c r="G452" s="3">
        <f t="shared" si="4"/>
        <v>0</v>
      </c>
      <c r="H452" s="2">
        <f t="shared" si="5"/>
        <v>0</v>
      </c>
      <c r="I452" s="3">
        <f t="shared" si="6"/>
        <v>0</v>
      </c>
      <c r="J452" s="3">
        <f t="shared" si="7"/>
        <v>0</v>
      </c>
      <c r="K452" s="3"/>
      <c r="L452" s="3">
        <f t="shared" si="8"/>
        <v>396.1666083</v>
      </c>
      <c r="M452" s="14">
        <f t="shared" si="9"/>
        <v>393.9966083</v>
      </c>
      <c r="N452" s="14">
        <f t="shared" si="10"/>
        <v>2.170000032</v>
      </c>
      <c r="O452" s="3"/>
      <c r="P452" s="3"/>
      <c r="Q452" s="3"/>
      <c r="R452" s="2"/>
      <c r="S452" s="9">
        <f t="shared" si="13"/>
        <v>1.992702633</v>
      </c>
    </row>
    <row r="453">
      <c r="A453" s="11">
        <v>441.0</v>
      </c>
      <c r="B453" s="11">
        <v>1.42131304347826E9</v>
      </c>
      <c r="C453" s="2">
        <v>-102.8419189</v>
      </c>
      <c r="D453" s="3">
        <f t="shared" si="1"/>
        <v>913043.4783</v>
      </c>
      <c r="E453" s="4">
        <f t="shared" si="2"/>
        <v>-193.7604839</v>
      </c>
      <c r="F453" s="3">
        <f t="shared" si="3"/>
        <v>0.0002122138633</v>
      </c>
      <c r="G453" s="3">
        <f t="shared" si="4"/>
        <v>0</v>
      </c>
      <c r="H453" s="2">
        <f t="shared" si="5"/>
        <v>0</v>
      </c>
      <c r="I453" s="3">
        <f t="shared" si="6"/>
        <v>0</v>
      </c>
      <c r="J453" s="3">
        <f t="shared" si="7"/>
        <v>0</v>
      </c>
      <c r="K453" s="3"/>
      <c r="L453" s="3">
        <f t="shared" si="8"/>
        <v>395.2885889</v>
      </c>
      <c r="M453" s="14">
        <f t="shared" si="9"/>
        <v>393.9349094</v>
      </c>
      <c r="N453" s="14">
        <f t="shared" si="10"/>
        <v>1.353679422</v>
      </c>
      <c r="O453" s="3"/>
      <c r="P453" s="3"/>
      <c r="Q453" s="3"/>
      <c r="R453" s="2"/>
      <c r="S453" s="9">
        <f t="shared" si="13"/>
        <v>1.243078578</v>
      </c>
    </row>
    <row r="454">
      <c r="A454" s="11">
        <v>442.0</v>
      </c>
      <c r="B454" s="11">
        <v>1.42131739130434E9</v>
      </c>
      <c r="C454" s="2">
        <v>-102.8051224</v>
      </c>
      <c r="D454" s="3">
        <f t="shared" si="1"/>
        <v>917391.3043</v>
      </c>
      <c r="E454" s="4">
        <f t="shared" si="2"/>
        <v>-194.67878</v>
      </c>
      <c r="F454" s="3">
        <f t="shared" si="3"/>
        <v>0.0002122090967</v>
      </c>
      <c r="G454" s="3">
        <f t="shared" si="4"/>
        <v>0</v>
      </c>
      <c r="H454" s="2">
        <f t="shared" si="5"/>
        <v>0</v>
      </c>
      <c r="I454" s="3">
        <f t="shared" si="6"/>
        <v>0</v>
      </c>
      <c r="J454" s="3">
        <f t="shared" si="7"/>
        <v>0</v>
      </c>
      <c r="K454" s="3"/>
      <c r="L454" s="3">
        <f t="shared" si="8"/>
        <v>398.6519818</v>
      </c>
      <c r="M454" s="14">
        <f t="shared" si="9"/>
        <v>393.8734435</v>
      </c>
      <c r="N454" s="14">
        <f t="shared" si="10"/>
        <v>4.778538219</v>
      </c>
      <c r="O454" s="3"/>
      <c r="P454" s="3"/>
      <c r="Q454" s="3"/>
      <c r="R454" s="2"/>
      <c r="S454" s="9">
        <f t="shared" si="13"/>
        <v>4.388113167</v>
      </c>
    </row>
    <row r="455">
      <c r="A455" s="11">
        <v>443.0</v>
      </c>
      <c r="B455" s="11">
        <v>1.42132173913043E9</v>
      </c>
      <c r="C455" s="2">
        <v>-102.8342209</v>
      </c>
      <c r="D455" s="3">
        <f t="shared" si="1"/>
        <v>921739.1304</v>
      </c>
      <c r="E455" s="4">
        <f t="shared" si="2"/>
        <v>-195.5970761</v>
      </c>
      <c r="F455" s="3">
        <f t="shared" si="3"/>
        <v>0.0002122043751</v>
      </c>
      <c r="G455" s="3">
        <f t="shared" si="4"/>
        <v>0</v>
      </c>
      <c r="H455" s="2">
        <f t="shared" si="5"/>
        <v>0</v>
      </c>
      <c r="I455" s="3">
        <f t="shared" si="6"/>
        <v>0</v>
      </c>
      <c r="J455" s="3">
        <f t="shared" si="7"/>
        <v>0</v>
      </c>
      <c r="K455" s="3"/>
      <c r="L455" s="3">
        <f t="shared" si="8"/>
        <v>395.9898711</v>
      </c>
      <c r="M455" s="14">
        <f t="shared" si="9"/>
        <v>393.8122114</v>
      </c>
      <c r="N455" s="14">
        <f t="shared" si="10"/>
        <v>2.177659693</v>
      </c>
      <c r="O455" s="3"/>
      <c r="P455" s="3"/>
      <c r="Q455" s="3"/>
      <c r="R455" s="2"/>
      <c r="S455" s="9">
        <f t="shared" si="13"/>
        <v>1.99973647</v>
      </c>
    </row>
    <row r="456">
      <c r="A456" s="11">
        <v>444.0</v>
      </c>
      <c r="B456" s="11">
        <v>1.42132608695652E9</v>
      </c>
      <c r="C456" s="2">
        <v>-102.8705902</v>
      </c>
      <c r="D456" s="3">
        <f t="shared" si="1"/>
        <v>926086.9565</v>
      </c>
      <c r="E456" s="4">
        <f t="shared" si="2"/>
        <v>-196.5153723</v>
      </c>
      <c r="F456" s="3">
        <f t="shared" si="3"/>
        <v>0.0002121996978</v>
      </c>
      <c r="G456" s="3">
        <f t="shared" si="4"/>
        <v>0</v>
      </c>
      <c r="H456" s="2">
        <f t="shared" si="5"/>
        <v>0</v>
      </c>
      <c r="I456" s="3">
        <f t="shared" si="6"/>
        <v>0</v>
      </c>
      <c r="J456" s="3">
        <f t="shared" si="7"/>
        <v>0</v>
      </c>
      <c r="K456" s="3"/>
      <c r="L456" s="3">
        <f t="shared" si="8"/>
        <v>392.6875636</v>
      </c>
      <c r="M456" s="14">
        <f t="shared" si="9"/>
        <v>393.7512139</v>
      </c>
      <c r="N456" s="14">
        <f t="shared" si="10"/>
        <v>-1.063650284</v>
      </c>
      <c r="O456" s="3"/>
      <c r="P456" s="3"/>
      <c r="Q456" s="3"/>
      <c r="R456" s="2"/>
      <c r="S456" s="9">
        <f t="shared" si="13"/>
        <v>-0.9767459423</v>
      </c>
    </row>
    <row r="457">
      <c r="A457" s="11">
        <v>445.0</v>
      </c>
      <c r="B457" s="11">
        <v>1.4213304347826E9</v>
      </c>
      <c r="C457" s="2">
        <v>-102.8718719</v>
      </c>
      <c r="D457" s="3">
        <f t="shared" si="1"/>
        <v>930434.7826</v>
      </c>
      <c r="E457" s="4">
        <f t="shared" si="2"/>
        <v>-197.4336684</v>
      </c>
      <c r="F457" s="3">
        <f t="shared" si="3"/>
        <v>0.0002121950642</v>
      </c>
      <c r="G457" s="3">
        <f t="shared" si="4"/>
        <v>0</v>
      </c>
      <c r="H457" s="2">
        <f t="shared" si="5"/>
        <v>0</v>
      </c>
      <c r="I457" s="3">
        <f t="shared" si="6"/>
        <v>0</v>
      </c>
      <c r="J457" s="3">
        <f t="shared" si="7"/>
        <v>0</v>
      </c>
      <c r="K457" s="3"/>
      <c r="L457" s="3">
        <f t="shared" si="8"/>
        <v>392.5716898</v>
      </c>
      <c r="M457" s="14">
        <f t="shared" si="9"/>
        <v>393.6904518</v>
      </c>
      <c r="N457" s="14">
        <f t="shared" si="10"/>
        <v>-1.118761965</v>
      </c>
      <c r="O457" s="3"/>
      <c r="P457" s="3"/>
      <c r="Q457" s="3"/>
      <c r="R457" s="2"/>
      <c r="S457" s="9">
        <f t="shared" si="13"/>
        <v>-1.027354786</v>
      </c>
    </row>
    <row r="458">
      <c r="A458" s="11">
        <v>446.0</v>
      </c>
      <c r="B458" s="11">
        <v>1.42133478260869E9</v>
      </c>
      <c r="C458" s="2">
        <v>-102.8466492</v>
      </c>
      <c r="D458" s="3">
        <f t="shared" si="1"/>
        <v>934782.6087</v>
      </c>
      <c r="E458" s="4">
        <f t="shared" si="2"/>
        <v>-198.3519645</v>
      </c>
      <c r="F458" s="3">
        <f t="shared" si="3"/>
        <v>0.0002121904737</v>
      </c>
      <c r="G458" s="3">
        <f t="shared" si="4"/>
        <v>0</v>
      </c>
      <c r="H458" s="2">
        <f t="shared" si="5"/>
        <v>0</v>
      </c>
      <c r="I458" s="3">
        <f t="shared" si="6"/>
        <v>0</v>
      </c>
      <c r="J458" s="3">
        <f t="shared" si="7"/>
        <v>0</v>
      </c>
      <c r="K458" s="3"/>
      <c r="L458" s="3">
        <f t="shared" si="8"/>
        <v>394.8582782</v>
      </c>
      <c r="M458" s="14">
        <f t="shared" si="9"/>
        <v>393.629926</v>
      </c>
      <c r="N458" s="14">
        <f t="shared" si="10"/>
        <v>1.228352186</v>
      </c>
      <c r="O458" s="3"/>
      <c r="P458" s="3"/>
      <c r="Q458" s="3"/>
      <c r="R458" s="2"/>
      <c r="S458" s="9">
        <f t="shared" si="13"/>
        <v>1.127991062</v>
      </c>
    </row>
    <row r="459">
      <c r="A459" s="11">
        <v>447.0</v>
      </c>
      <c r="B459" s="11">
        <v>1.42133913043478E9</v>
      </c>
      <c r="C459" s="2">
        <v>-102.8389664</v>
      </c>
      <c r="D459" s="3">
        <f t="shared" si="1"/>
        <v>939130.4348</v>
      </c>
      <c r="E459" s="4">
        <f t="shared" si="2"/>
        <v>-199.2702607</v>
      </c>
      <c r="F459" s="3">
        <f t="shared" si="3"/>
        <v>0.0002121859257</v>
      </c>
      <c r="G459" s="3">
        <f t="shared" si="4"/>
        <v>0</v>
      </c>
      <c r="H459" s="2">
        <f t="shared" si="5"/>
        <v>0</v>
      </c>
      <c r="I459" s="3">
        <f t="shared" si="6"/>
        <v>0</v>
      </c>
      <c r="J459" s="3">
        <f t="shared" si="7"/>
        <v>0</v>
      </c>
      <c r="K459" s="3"/>
      <c r="L459" s="3">
        <f t="shared" si="8"/>
        <v>395.5574125</v>
      </c>
      <c r="M459" s="14">
        <f t="shared" si="9"/>
        <v>393.5696373</v>
      </c>
      <c r="N459" s="14">
        <f t="shared" si="10"/>
        <v>1.987775249</v>
      </c>
      <c r="O459" s="3"/>
      <c r="P459" s="3"/>
      <c r="Q459" s="3"/>
      <c r="R459" s="2"/>
      <c r="S459" s="9">
        <f t="shared" si="13"/>
        <v>1.82536632</v>
      </c>
    </row>
    <row r="460">
      <c r="A460" s="11">
        <v>448.0</v>
      </c>
      <c r="B460" s="11">
        <v>1.42134347826087E9</v>
      </c>
      <c r="C460" s="2">
        <v>-102.893692</v>
      </c>
      <c r="D460" s="3">
        <f t="shared" si="1"/>
        <v>943478.2609</v>
      </c>
      <c r="E460" s="4">
        <f t="shared" si="2"/>
        <v>-200.1885568</v>
      </c>
      <c r="F460" s="3">
        <f t="shared" si="3"/>
        <v>0.0002121814197</v>
      </c>
      <c r="G460" s="3">
        <f t="shared" si="4"/>
        <v>0</v>
      </c>
      <c r="H460" s="2">
        <f t="shared" si="5"/>
        <v>0</v>
      </c>
      <c r="I460" s="3">
        <f t="shared" si="6"/>
        <v>0</v>
      </c>
      <c r="J460" s="3">
        <f t="shared" si="7"/>
        <v>0</v>
      </c>
      <c r="K460" s="3"/>
      <c r="L460" s="3">
        <f t="shared" si="8"/>
        <v>390.6042527</v>
      </c>
      <c r="M460" s="14">
        <f t="shared" si="9"/>
        <v>393.5095866</v>
      </c>
      <c r="N460" s="14">
        <f t="shared" si="10"/>
        <v>-2.905333853</v>
      </c>
      <c r="O460" s="3"/>
      <c r="P460" s="3"/>
      <c r="Q460" s="3"/>
      <c r="R460" s="2"/>
      <c r="S460" s="9">
        <f t="shared" si="13"/>
        <v>-2.667956841</v>
      </c>
    </row>
    <row r="461">
      <c r="A461" s="11">
        <v>449.0</v>
      </c>
      <c r="B461" s="11">
        <v>1.42134782608695E9</v>
      </c>
      <c r="C461" s="2">
        <v>-102.8131866</v>
      </c>
      <c r="D461" s="3">
        <f t="shared" si="1"/>
        <v>947826.087</v>
      </c>
      <c r="E461" s="4">
        <f t="shared" si="2"/>
        <v>-201.1068529</v>
      </c>
      <c r="F461" s="3">
        <f t="shared" si="3"/>
        <v>0.0002121769549</v>
      </c>
      <c r="G461" s="3">
        <f t="shared" si="4"/>
        <v>0</v>
      </c>
      <c r="H461" s="2">
        <f t="shared" si="5"/>
        <v>0</v>
      </c>
      <c r="I461" s="3">
        <f t="shared" si="6"/>
        <v>0</v>
      </c>
      <c r="J461" s="3">
        <f t="shared" si="7"/>
        <v>0</v>
      </c>
      <c r="K461" s="3"/>
      <c r="L461" s="3">
        <f t="shared" si="8"/>
        <v>397.9124314</v>
      </c>
      <c r="M461" s="14">
        <f t="shared" si="9"/>
        <v>393.4497747</v>
      </c>
      <c r="N461" s="14">
        <f t="shared" si="10"/>
        <v>4.462656731</v>
      </c>
      <c r="O461" s="3"/>
      <c r="P461" s="3"/>
      <c r="Q461" s="3"/>
      <c r="R461" s="2"/>
      <c r="S461" s="9">
        <f t="shared" si="13"/>
        <v>4.098040418</v>
      </c>
    </row>
    <row r="462">
      <c r="A462" s="11">
        <v>450.0</v>
      </c>
      <c r="B462" s="11">
        <v>1.42135217391304E9</v>
      </c>
      <c r="C462" s="2">
        <v>-102.9042587</v>
      </c>
      <c r="D462" s="3">
        <f t="shared" si="1"/>
        <v>952173.913</v>
      </c>
      <c r="E462" s="4">
        <f t="shared" si="2"/>
        <v>-202.0251491</v>
      </c>
      <c r="F462" s="3">
        <f t="shared" si="3"/>
        <v>0.000212172531</v>
      </c>
      <c r="G462" s="3">
        <f t="shared" si="4"/>
        <v>0</v>
      </c>
      <c r="H462" s="2">
        <f t="shared" si="5"/>
        <v>0</v>
      </c>
      <c r="I462" s="3">
        <f t="shared" si="6"/>
        <v>0</v>
      </c>
      <c r="J462" s="3">
        <f t="shared" si="7"/>
        <v>0</v>
      </c>
      <c r="K462" s="3"/>
      <c r="L462" s="3">
        <f t="shared" si="8"/>
        <v>389.6550394</v>
      </c>
      <c r="M462" s="14">
        <f t="shared" si="9"/>
        <v>393.3902024</v>
      </c>
      <c r="N462" s="14">
        <f t="shared" si="10"/>
        <v>-3.735162942</v>
      </c>
      <c r="O462" s="3"/>
      <c r="P462" s="3"/>
      <c r="Q462" s="3"/>
      <c r="R462" s="2"/>
      <c r="S462" s="9">
        <f t="shared" si="13"/>
        <v>-3.429985677</v>
      </c>
    </row>
    <row r="463">
      <c r="A463" s="11">
        <v>451.0</v>
      </c>
      <c r="B463" s="11">
        <v>1.42135652173913E9</v>
      </c>
      <c r="C463" s="2">
        <v>-102.7969055</v>
      </c>
      <c r="D463" s="3">
        <f t="shared" si="1"/>
        <v>956521.7391</v>
      </c>
      <c r="E463" s="4">
        <f t="shared" si="2"/>
        <v>-202.9434452</v>
      </c>
      <c r="F463" s="3">
        <f t="shared" si="3"/>
        <v>0.0002121681473</v>
      </c>
      <c r="G463" s="3">
        <f t="shared" si="4"/>
        <v>0</v>
      </c>
      <c r="H463" s="2">
        <f t="shared" si="5"/>
        <v>0</v>
      </c>
      <c r="I463" s="3">
        <f t="shared" si="6"/>
        <v>0</v>
      </c>
      <c r="J463" s="3">
        <f t="shared" si="7"/>
        <v>0</v>
      </c>
      <c r="K463" s="3"/>
      <c r="L463" s="3">
        <f t="shared" si="8"/>
        <v>399.4069497</v>
      </c>
      <c r="M463" s="14">
        <f t="shared" si="9"/>
        <v>393.3308706</v>
      </c>
      <c r="N463" s="14">
        <f t="shared" si="10"/>
        <v>6.076079142</v>
      </c>
      <c r="O463" s="3"/>
      <c r="P463" s="3"/>
      <c r="Q463" s="3"/>
      <c r="R463" s="2"/>
      <c r="S463" s="9">
        <f t="shared" si="13"/>
        <v>5.579639978</v>
      </c>
    </row>
    <row r="464">
      <c r="A464" s="11">
        <v>452.0</v>
      </c>
      <c r="B464" s="11">
        <v>1.42136086956521E9</v>
      </c>
      <c r="C464" s="2">
        <v>-102.8902054</v>
      </c>
      <c r="D464" s="3">
        <f t="shared" si="1"/>
        <v>960869.5652</v>
      </c>
      <c r="E464" s="4">
        <f t="shared" si="2"/>
        <v>-203.8617413</v>
      </c>
      <c r="F464" s="3">
        <f t="shared" si="3"/>
        <v>0.0002121638032</v>
      </c>
      <c r="G464" s="3">
        <f t="shared" si="4"/>
        <v>0</v>
      </c>
      <c r="H464" s="2">
        <f t="shared" si="5"/>
        <v>0</v>
      </c>
      <c r="I464" s="3">
        <f t="shared" si="6"/>
        <v>0</v>
      </c>
      <c r="J464" s="3">
        <f t="shared" si="7"/>
        <v>0</v>
      </c>
      <c r="K464" s="3"/>
      <c r="L464" s="3">
        <f t="shared" si="8"/>
        <v>390.9179633</v>
      </c>
      <c r="M464" s="14">
        <f t="shared" si="9"/>
        <v>393.2717801</v>
      </c>
      <c r="N464" s="14">
        <f t="shared" si="10"/>
        <v>-2.353816842</v>
      </c>
      <c r="O464" s="3"/>
      <c r="P464" s="3"/>
      <c r="Q464" s="3"/>
      <c r="R464" s="2"/>
      <c r="S464" s="9">
        <f t="shared" si="13"/>
        <v>-2.161500903</v>
      </c>
    </row>
    <row r="465">
      <c r="A465" s="11">
        <v>453.0</v>
      </c>
      <c r="B465" s="11">
        <v>1.4213652173913E9</v>
      </c>
      <c r="C465" s="2">
        <v>-102.8611145</v>
      </c>
      <c r="D465" s="3">
        <f t="shared" si="1"/>
        <v>965217.3913</v>
      </c>
      <c r="E465" s="4">
        <f t="shared" si="2"/>
        <v>-204.7800375</v>
      </c>
      <c r="F465" s="3">
        <f t="shared" si="3"/>
        <v>0.0002121594983</v>
      </c>
      <c r="G465" s="3">
        <f t="shared" si="4"/>
        <v>0</v>
      </c>
      <c r="H465" s="2">
        <f t="shared" si="5"/>
        <v>0</v>
      </c>
      <c r="I465" s="3">
        <f t="shared" si="6"/>
        <v>0</v>
      </c>
      <c r="J465" s="3">
        <f t="shared" si="7"/>
        <v>0</v>
      </c>
      <c r="K465" s="3"/>
      <c r="L465" s="3">
        <f t="shared" si="8"/>
        <v>393.5452885</v>
      </c>
      <c r="M465" s="14">
        <f t="shared" si="9"/>
        <v>393.2129318</v>
      </c>
      <c r="N465" s="14">
        <f t="shared" si="10"/>
        <v>0.3323566698</v>
      </c>
      <c r="O465" s="3"/>
      <c r="P465" s="3"/>
      <c r="Q465" s="3"/>
      <c r="R465" s="2"/>
      <c r="S465" s="9">
        <f t="shared" si="13"/>
        <v>0.3052018438</v>
      </c>
    </row>
    <row r="466">
      <c r="A466" s="11">
        <v>454.0</v>
      </c>
      <c r="B466" s="11">
        <v>1.42136956521739E9</v>
      </c>
      <c r="C466" s="2">
        <v>-102.8309784</v>
      </c>
      <c r="D466" s="3">
        <f t="shared" si="1"/>
        <v>969565.2174</v>
      </c>
      <c r="E466" s="4">
        <f t="shared" si="2"/>
        <v>-205.6983336</v>
      </c>
      <c r="F466" s="3">
        <f t="shared" si="3"/>
        <v>0.000212155232</v>
      </c>
      <c r="G466" s="3">
        <f t="shared" si="4"/>
        <v>0</v>
      </c>
      <c r="H466" s="2">
        <f t="shared" si="5"/>
        <v>0</v>
      </c>
      <c r="I466" s="3">
        <f t="shared" si="6"/>
        <v>0</v>
      </c>
      <c r="J466" s="3">
        <f t="shared" si="7"/>
        <v>0</v>
      </c>
      <c r="K466" s="3"/>
      <c r="L466" s="3">
        <f t="shared" si="8"/>
        <v>396.2856328</v>
      </c>
      <c r="M466" s="14">
        <f t="shared" si="9"/>
        <v>393.1543265</v>
      </c>
      <c r="N466" s="14">
        <f t="shared" si="10"/>
        <v>3.131306284</v>
      </c>
      <c r="O466" s="3"/>
      <c r="P466" s="3"/>
      <c r="Q466" s="3"/>
      <c r="R466" s="2"/>
      <c r="S466" s="9">
        <f t="shared" si="13"/>
        <v>2.875466452</v>
      </c>
    </row>
    <row r="467">
      <c r="A467" s="11">
        <v>455.0</v>
      </c>
      <c r="B467" s="11">
        <v>1.42137391304347E9</v>
      </c>
      <c r="C467" s="2">
        <v>-102.8730545</v>
      </c>
      <c r="D467" s="3">
        <f t="shared" si="1"/>
        <v>973913.0435</v>
      </c>
      <c r="E467" s="4">
        <f t="shared" si="2"/>
        <v>-206.6166297</v>
      </c>
      <c r="F467" s="3">
        <f t="shared" si="3"/>
        <v>0.0002121510037</v>
      </c>
      <c r="G467" s="3">
        <f t="shared" si="4"/>
        <v>0</v>
      </c>
      <c r="H467" s="2">
        <f t="shared" si="5"/>
        <v>0</v>
      </c>
      <c r="I467" s="3">
        <f t="shared" si="6"/>
        <v>0</v>
      </c>
      <c r="J467" s="3">
        <f t="shared" si="7"/>
        <v>0</v>
      </c>
      <c r="K467" s="3"/>
      <c r="L467" s="3">
        <f t="shared" si="8"/>
        <v>392.4648056</v>
      </c>
      <c r="M467" s="14">
        <f t="shared" si="9"/>
        <v>393.095965</v>
      </c>
      <c r="N467" s="14">
        <f t="shared" si="10"/>
        <v>-0.6311593567</v>
      </c>
      <c r="O467" s="3"/>
      <c r="P467" s="3"/>
      <c r="Q467" s="3"/>
      <c r="R467" s="2"/>
      <c r="S467" s="9">
        <f t="shared" si="13"/>
        <v>-0.5795911965</v>
      </c>
    </row>
    <row r="468">
      <c r="A468" s="11">
        <v>456.0</v>
      </c>
      <c r="B468" s="11">
        <v>1.42137826086956E9</v>
      </c>
      <c r="C468" s="2">
        <v>-102.877182</v>
      </c>
      <c r="D468" s="3">
        <f t="shared" si="1"/>
        <v>978260.8696</v>
      </c>
      <c r="E468" s="4">
        <f t="shared" si="2"/>
        <v>-207.5349259</v>
      </c>
      <c r="F468" s="3">
        <f t="shared" si="3"/>
        <v>0.0002121468131</v>
      </c>
      <c r="G468" s="3">
        <f t="shared" si="4"/>
        <v>0</v>
      </c>
      <c r="H468" s="2">
        <f t="shared" si="5"/>
        <v>0</v>
      </c>
      <c r="I468" s="3">
        <f t="shared" si="6"/>
        <v>0</v>
      </c>
      <c r="J468" s="3">
        <f t="shared" si="7"/>
        <v>0</v>
      </c>
      <c r="K468" s="3"/>
      <c r="L468" s="3">
        <f t="shared" si="8"/>
        <v>392.0919874</v>
      </c>
      <c r="M468" s="14">
        <f t="shared" si="9"/>
        <v>393.0378482</v>
      </c>
      <c r="N468" s="14">
        <f t="shared" si="10"/>
        <v>-0.9458607697</v>
      </c>
      <c r="O468" s="3"/>
      <c r="P468" s="3"/>
      <c r="Q468" s="3"/>
      <c r="R468" s="2"/>
      <c r="S468" s="9">
        <f t="shared" si="13"/>
        <v>-0.868580285</v>
      </c>
    </row>
    <row r="469">
      <c r="A469" s="11">
        <v>457.0</v>
      </c>
      <c r="B469" s="11">
        <v>1.42138260869565E9</v>
      </c>
      <c r="C469" s="2">
        <v>-102.9043884</v>
      </c>
      <c r="D469" s="3">
        <f t="shared" si="1"/>
        <v>982608.6957</v>
      </c>
      <c r="E469" s="4">
        <f t="shared" si="2"/>
        <v>-208.453222</v>
      </c>
      <c r="F469" s="3">
        <f t="shared" si="3"/>
        <v>0.0002121426596</v>
      </c>
      <c r="G469" s="3">
        <f t="shared" si="4"/>
        <v>0</v>
      </c>
      <c r="H469" s="2">
        <f t="shared" si="5"/>
        <v>0</v>
      </c>
      <c r="I469" s="3">
        <f t="shared" si="6"/>
        <v>0</v>
      </c>
      <c r="J469" s="3">
        <f t="shared" si="7"/>
        <v>0</v>
      </c>
      <c r="K469" s="3"/>
      <c r="L469" s="3">
        <f t="shared" si="8"/>
        <v>389.6434028</v>
      </c>
      <c r="M469" s="14">
        <f t="shared" si="9"/>
        <v>392.9799769</v>
      </c>
      <c r="N469" s="14">
        <f t="shared" si="10"/>
        <v>-3.336574142</v>
      </c>
      <c r="O469" s="3"/>
      <c r="P469" s="3"/>
      <c r="Q469" s="3"/>
      <c r="R469" s="2"/>
      <c r="S469" s="9">
        <f t="shared" si="13"/>
        <v>-3.063963131</v>
      </c>
    </row>
    <row r="470">
      <c r="A470" s="11">
        <v>458.0</v>
      </c>
      <c r="B470" s="11">
        <v>1.42138695652173E9</v>
      </c>
      <c r="C470" s="2">
        <v>-102.9183578</v>
      </c>
      <c r="D470" s="3">
        <f t="shared" si="1"/>
        <v>986956.5217</v>
      </c>
      <c r="E470" s="4">
        <f t="shared" si="2"/>
        <v>-209.3715181</v>
      </c>
      <c r="F470" s="3">
        <f t="shared" si="3"/>
        <v>0.0002121385426</v>
      </c>
      <c r="G470" s="3">
        <f t="shared" si="4"/>
        <v>0</v>
      </c>
      <c r="H470" s="2">
        <f t="shared" si="5"/>
        <v>0</v>
      </c>
      <c r="I470" s="3">
        <f t="shared" si="6"/>
        <v>0</v>
      </c>
      <c r="J470" s="3">
        <f t="shared" si="7"/>
        <v>0</v>
      </c>
      <c r="K470" s="3"/>
      <c r="L470" s="3">
        <f t="shared" si="8"/>
        <v>388.3920998</v>
      </c>
      <c r="M470" s="14">
        <f t="shared" si="9"/>
        <v>392.922352</v>
      </c>
      <c r="N470" s="14">
        <f t="shared" si="10"/>
        <v>-4.530252204</v>
      </c>
      <c r="O470" s="3"/>
      <c r="P470" s="3"/>
      <c r="Q470" s="3"/>
      <c r="R470" s="2"/>
      <c r="S470" s="9">
        <f t="shared" si="13"/>
        <v>-4.16011308</v>
      </c>
    </row>
    <row r="471">
      <c r="A471" s="11">
        <v>459.0</v>
      </c>
      <c r="B471" s="11">
        <v>1.42139130434782E9</v>
      </c>
      <c r="C471" s="2">
        <v>-102.8647156</v>
      </c>
      <c r="D471" s="3">
        <f t="shared" si="1"/>
        <v>991304.3478</v>
      </c>
      <c r="E471" s="4">
        <f t="shared" si="2"/>
        <v>-210.2898143</v>
      </c>
      <c r="F471" s="3">
        <f t="shared" si="3"/>
        <v>0.0002121344618</v>
      </c>
      <c r="G471" s="3">
        <f t="shared" si="4"/>
        <v>0</v>
      </c>
      <c r="H471" s="2">
        <f t="shared" si="5"/>
        <v>0</v>
      </c>
      <c r="I471" s="3">
        <f t="shared" si="6"/>
        <v>0</v>
      </c>
      <c r="J471" s="3">
        <f t="shared" si="7"/>
        <v>0</v>
      </c>
      <c r="K471" s="3"/>
      <c r="L471" s="3">
        <f t="shared" si="8"/>
        <v>393.2191023</v>
      </c>
      <c r="M471" s="14">
        <f t="shared" si="9"/>
        <v>392.8649742</v>
      </c>
      <c r="N471" s="14">
        <f t="shared" si="10"/>
        <v>0.3541280868</v>
      </c>
      <c r="O471" s="3"/>
      <c r="P471" s="3"/>
      <c r="Q471" s="3"/>
      <c r="R471" s="2"/>
      <c r="S471" s="9">
        <f t="shared" si="13"/>
        <v>0.3251944526</v>
      </c>
    </row>
    <row r="472">
      <c r="A472" s="11">
        <v>460.0</v>
      </c>
      <c r="B472" s="11">
        <v>1.42139565217391E9</v>
      </c>
      <c r="C472" s="2">
        <v>-102.8682251</v>
      </c>
      <c r="D472" s="3">
        <f t="shared" si="1"/>
        <v>995652.1739</v>
      </c>
      <c r="E472" s="4">
        <f t="shared" si="2"/>
        <v>-211.2081104</v>
      </c>
      <c r="F472" s="3">
        <f t="shared" si="3"/>
        <v>0.0002121304166</v>
      </c>
      <c r="G472" s="3">
        <f t="shared" si="4"/>
        <v>0</v>
      </c>
      <c r="H472" s="2">
        <f t="shared" si="5"/>
        <v>0</v>
      </c>
      <c r="I472" s="3">
        <f t="shared" si="6"/>
        <v>0</v>
      </c>
      <c r="J472" s="3">
        <f t="shared" si="7"/>
        <v>0</v>
      </c>
      <c r="K472" s="3"/>
      <c r="L472" s="3">
        <f t="shared" si="8"/>
        <v>392.9014733</v>
      </c>
      <c r="M472" s="14">
        <f t="shared" si="9"/>
        <v>392.8078445</v>
      </c>
      <c r="N472" s="14">
        <f t="shared" si="10"/>
        <v>0.09362885024</v>
      </c>
      <c r="O472" s="3"/>
      <c r="P472" s="3"/>
      <c r="Q472" s="3"/>
      <c r="R472" s="2"/>
      <c r="S472" s="9">
        <f t="shared" si="13"/>
        <v>0.07414371357</v>
      </c>
    </row>
    <row r="473">
      <c r="A473" s="11">
        <v>461.0</v>
      </c>
      <c r="B473" s="11">
        <v>1.4214E9</v>
      </c>
      <c r="C473" s="2">
        <v>-102.8730087</v>
      </c>
      <c r="D473" s="3">
        <f t="shared" si="1"/>
        <v>1000000</v>
      </c>
      <c r="E473" s="29">
        <f>-0.000212*D473</f>
        <v>-212</v>
      </c>
      <c r="F473" s="3">
        <f t="shared" si="3"/>
        <v>0.000212</v>
      </c>
      <c r="G473" s="3">
        <f t="shared" si="4"/>
        <v>0</v>
      </c>
      <c r="H473" s="2">
        <f t="shared" si="5"/>
        <v>0</v>
      </c>
      <c r="I473" s="3">
        <f t="shared" si="6"/>
        <v>0</v>
      </c>
      <c r="J473" s="3">
        <f t="shared" si="7"/>
        <v>0</v>
      </c>
      <c r="K473" s="3"/>
      <c r="L473" s="3">
        <f t="shared" si="8"/>
        <v>392.4689445</v>
      </c>
      <c r="M473" s="14">
        <f t="shared" si="9"/>
        <v>392.7587787</v>
      </c>
      <c r="N473" s="14">
        <f t="shared" si="10"/>
        <v>-0.2898341575</v>
      </c>
      <c r="O473" s="3"/>
      <c r="P473" s="3"/>
      <c r="Q473" s="3"/>
      <c r="R473" s="2"/>
      <c r="S473" s="9"/>
    </row>
    <row r="474">
      <c r="A474" s="11" t="s">
        <v>40</v>
      </c>
      <c r="D474" s="3"/>
      <c r="E474" s="4"/>
      <c r="F474" s="3"/>
      <c r="G474" s="3"/>
      <c r="H474" s="3"/>
      <c r="I474" s="3"/>
      <c r="J474" s="3"/>
      <c r="K474" s="3"/>
      <c r="L474" s="3"/>
      <c r="M474" s="5"/>
      <c r="N474" s="3"/>
      <c r="O474" s="3"/>
      <c r="P474" s="3"/>
      <c r="Q474" s="3"/>
      <c r="R474" s="3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0</v>
      </c>
      <c r="B1" s="11" t="s">
        <v>1</v>
      </c>
    </row>
    <row r="2">
      <c r="A2" s="11" t="s">
        <v>2</v>
      </c>
      <c r="B2" s="11" t="s">
        <v>3</v>
      </c>
    </row>
    <row r="3">
      <c r="A3" s="11" t="s">
        <v>5</v>
      </c>
      <c r="B3" s="11" t="s">
        <v>6</v>
      </c>
    </row>
    <row r="4">
      <c r="A4" s="11" t="s">
        <v>7</v>
      </c>
      <c r="B4" s="11">
        <v>1.4204E9</v>
      </c>
      <c r="C4" s="11" t="s">
        <v>8</v>
      </c>
      <c r="E4" s="11" t="s">
        <v>41</v>
      </c>
    </row>
    <row r="5">
      <c r="A5" s="11" t="s">
        <v>9</v>
      </c>
      <c r="B5" s="11">
        <v>2000000.0</v>
      </c>
      <c r="C5" s="11" t="s">
        <v>8</v>
      </c>
    </row>
    <row r="6">
      <c r="A6" s="11" t="s">
        <v>10</v>
      </c>
      <c r="B6" s="11">
        <v>30000.0</v>
      </c>
      <c r="C6" s="11" t="s">
        <v>8</v>
      </c>
    </row>
    <row r="7">
      <c r="A7" s="11" t="s">
        <v>11</v>
      </c>
      <c r="B7" s="11">
        <v>30000.0</v>
      </c>
      <c r="C7" s="11" t="s">
        <v>8</v>
      </c>
    </row>
    <row r="8">
      <c r="A8" s="11" t="s">
        <v>12</v>
      </c>
      <c r="B8" s="11">
        <v>-97.0</v>
      </c>
      <c r="C8" s="11" t="s">
        <v>13</v>
      </c>
    </row>
    <row r="9">
      <c r="A9" s="11" t="s">
        <v>14</v>
      </c>
      <c r="B9" s="11">
        <v>1.0</v>
      </c>
      <c r="C9" s="11" t="s">
        <v>15</v>
      </c>
    </row>
    <row r="10">
      <c r="A10" s="11" t="s">
        <v>16</v>
      </c>
      <c r="B10" s="11">
        <v>461.0</v>
      </c>
    </row>
    <row r="11">
      <c r="A11" s="11" t="s">
        <v>17</v>
      </c>
      <c r="B11" s="11" t="s">
        <v>8</v>
      </c>
      <c r="C11" s="11" t="s">
        <v>13</v>
      </c>
      <c r="D11" s="2" t="s">
        <v>18</v>
      </c>
      <c r="E11" s="1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2" t="s">
        <v>26</v>
      </c>
      <c r="M11" s="6" t="s">
        <v>27</v>
      </c>
      <c r="N11" s="2" t="s">
        <v>28</v>
      </c>
      <c r="O11" s="3"/>
      <c r="P11" s="2" t="s">
        <v>29</v>
      </c>
      <c r="Q11" s="2" t="s">
        <v>30</v>
      </c>
      <c r="R11" s="2"/>
      <c r="S11" s="2" t="s">
        <v>31</v>
      </c>
      <c r="V11" s="13" t="s">
        <v>32</v>
      </c>
    </row>
    <row r="12">
      <c r="A12" s="11" t="s">
        <v>33</v>
      </c>
      <c r="B12" s="11" t="s">
        <v>34</v>
      </c>
      <c r="C12" s="11" t="s">
        <v>35</v>
      </c>
      <c r="D12" s="3"/>
      <c r="E12" s="4"/>
      <c r="F12" s="3"/>
      <c r="G12" s="2" t="s">
        <v>36</v>
      </c>
      <c r="H12" s="2" t="s">
        <v>37</v>
      </c>
      <c r="I12" s="3"/>
      <c r="J12" s="3"/>
      <c r="K12" s="3"/>
      <c r="L12" s="3"/>
      <c r="M12" s="5"/>
      <c r="N12" s="3"/>
      <c r="O12" s="3"/>
      <c r="P12" s="3"/>
      <c r="Q12" s="3"/>
      <c r="R12" s="3"/>
      <c r="S12" s="3"/>
    </row>
    <row r="13">
      <c r="A13" s="11">
        <v>1.0</v>
      </c>
      <c r="B13" s="11">
        <v>1.4194E9</v>
      </c>
      <c r="C13" s="2">
        <v>-102.4491501</v>
      </c>
      <c r="D13" s="3">
        <f t="shared" ref="D13:D473" si="1">B13-$B$4</f>
        <v>-1000000</v>
      </c>
      <c r="E13" s="4">
        <f t="shared" ref="E13:E472" si="2">-((B14-$B$4)/$B$4)*(3*10^5)</f>
        <v>210.2898143</v>
      </c>
      <c r="F13" s="3">
        <f t="shared" ref="F13:F473" si="3">-E13/D13</f>
        <v>0.0002102898143</v>
      </c>
      <c r="G13" s="3">
        <f t="shared" ref="G13:G473" si="4">(10^(C13/10))/1000</f>
        <v>0</v>
      </c>
      <c r="H13" s="2">
        <f t="shared" ref="H13:H473" si="5">G13/30000</f>
        <v>0</v>
      </c>
      <c r="I13" s="3">
        <f t="shared" ref="I13:I473" si="6">0.0063*H13</f>
        <v>0</v>
      </c>
      <c r="J13" s="3">
        <f t="shared" ref="J13:J473" si="7">(1/F13^2)*I13</f>
        <v>0</v>
      </c>
      <c r="K13" s="22">
        <f>1.38064852E-23</f>
        <v>0</v>
      </c>
      <c r="L13" s="3">
        <f t="shared" ref="L13:L473" si="8">(1/(2*$K$13))*(I13)</f>
        <v>432.7042466</v>
      </c>
      <c r="M13" s="14">
        <f t="shared" ref="M13:M473" si="9"> -0.0000004419*E13^3 - 0.0000760481*E13^2 + 0.1053073423*E13 + 415.8566423194
</f>
        <v>430.5293166</v>
      </c>
      <c r="N13" s="14">
        <f t="shared" ref="N13:N473" si="10">L13-(M13)</f>
        <v>2.174929917</v>
      </c>
      <c r="O13" s="3"/>
      <c r="P13" s="23">
        <f t="shared" ref="P13:P67" si="11">-((B14-$B$4)/$B$4)*(3*10^5)</f>
        <v>210.2898143</v>
      </c>
      <c r="Q13" s="14">
        <f t="shared" ref="Q13:Q67" si="12">(1/(2*$K$13))*(I13)</f>
        <v>432.7042466</v>
      </c>
      <c r="R13" s="2"/>
      <c r="S13" s="9">
        <f t="shared" ref="S13:S472" si="13">(N13 * ABS(E14-E13))</f>
        <v>1.997229732</v>
      </c>
      <c r="V13" s="3">
        <f>1822400000000000000 * SUM(S13:S473)</f>
        <v>7.28699E+21</v>
      </c>
    </row>
    <row r="14">
      <c r="A14" s="11">
        <v>2.0</v>
      </c>
      <c r="B14" s="11">
        <v>1.41940434782608E9</v>
      </c>
      <c r="C14" s="2">
        <v>-102.4411697</v>
      </c>
      <c r="D14" s="3">
        <f t="shared" si="1"/>
        <v>-995652.1739</v>
      </c>
      <c r="E14" s="4">
        <f t="shared" si="2"/>
        <v>209.3715181</v>
      </c>
      <c r="F14" s="3">
        <f t="shared" si="3"/>
        <v>0.0002102858042</v>
      </c>
      <c r="G14" s="3">
        <f t="shared" si="4"/>
        <v>0</v>
      </c>
      <c r="H14" s="2">
        <f t="shared" si="5"/>
        <v>0</v>
      </c>
      <c r="I14" s="3">
        <f t="shared" si="6"/>
        <v>0</v>
      </c>
      <c r="J14" s="3">
        <f t="shared" si="7"/>
        <v>0</v>
      </c>
      <c r="K14" s="3"/>
      <c r="L14" s="3">
        <f t="shared" si="8"/>
        <v>433.5000954</v>
      </c>
      <c r="M14" s="14">
        <f t="shared" si="9"/>
        <v>430.5155205</v>
      </c>
      <c r="N14" s="14">
        <f t="shared" si="10"/>
        <v>2.984574942</v>
      </c>
      <c r="O14" s="3"/>
      <c r="P14" s="23">
        <f t="shared" si="11"/>
        <v>209.3715181</v>
      </c>
      <c r="Q14" s="14">
        <f t="shared" si="12"/>
        <v>433.5000954</v>
      </c>
      <c r="R14" s="2"/>
      <c r="S14" s="9">
        <f t="shared" si="13"/>
        <v>2.740723627</v>
      </c>
    </row>
    <row r="15">
      <c r="A15" s="11">
        <v>3.0</v>
      </c>
      <c r="B15" s="11">
        <v>1.41940869565217E9</v>
      </c>
      <c r="C15" s="2">
        <v>-102.418335</v>
      </c>
      <c r="D15" s="3">
        <f t="shared" si="1"/>
        <v>-991304.3478</v>
      </c>
      <c r="E15" s="4">
        <f t="shared" si="2"/>
        <v>208.453222</v>
      </c>
      <c r="F15" s="3">
        <f t="shared" si="3"/>
        <v>0.000210281759</v>
      </c>
      <c r="G15" s="3">
        <f t="shared" si="4"/>
        <v>0</v>
      </c>
      <c r="H15" s="2">
        <f t="shared" si="5"/>
        <v>0</v>
      </c>
      <c r="I15" s="3">
        <f t="shared" si="6"/>
        <v>0</v>
      </c>
      <c r="J15" s="3">
        <f t="shared" si="7"/>
        <v>0</v>
      </c>
      <c r="K15" s="3"/>
      <c r="L15" s="3">
        <f t="shared" si="8"/>
        <v>435.7853912</v>
      </c>
      <c r="M15" s="14">
        <f t="shared" si="9"/>
        <v>430.5011279</v>
      </c>
      <c r="N15" s="14">
        <f t="shared" si="10"/>
        <v>5.28426336</v>
      </c>
      <c r="O15" s="3"/>
      <c r="P15" s="23">
        <f t="shared" si="11"/>
        <v>208.453222</v>
      </c>
      <c r="Q15" s="14">
        <f t="shared" si="12"/>
        <v>435.7853912</v>
      </c>
      <c r="R15" s="2"/>
      <c r="S15" s="9">
        <f t="shared" si="13"/>
        <v>4.852518597</v>
      </c>
    </row>
    <row r="16">
      <c r="A16" s="11">
        <v>4.0</v>
      </c>
      <c r="B16" s="11">
        <v>1.41941304347826E9</v>
      </c>
      <c r="C16" s="2">
        <v>-102.4835434</v>
      </c>
      <c r="D16" s="3">
        <f t="shared" si="1"/>
        <v>-986956.5217</v>
      </c>
      <c r="E16" s="4">
        <f t="shared" si="2"/>
        <v>207.5349259</v>
      </c>
      <c r="F16" s="3">
        <f t="shared" si="3"/>
        <v>0.0002102776782</v>
      </c>
      <c r="G16" s="3">
        <f t="shared" si="4"/>
        <v>0</v>
      </c>
      <c r="H16" s="2">
        <f t="shared" si="5"/>
        <v>0</v>
      </c>
      <c r="I16" s="3">
        <f t="shared" si="6"/>
        <v>0</v>
      </c>
      <c r="J16" s="3">
        <f t="shared" si="7"/>
        <v>0</v>
      </c>
      <c r="K16" s="3"/>
      <c r="L16" s="3">
        <f t="shared" si="8"/>
        <v>429.2910432</v>
      </c>
      <c r="M16" s="14">
        <f t="shared" si="9"/>
        <v>430.486141</v>
      </c>
      <c r="N16" s="14">
        <f t="shared" si="10"/>
        <v>-1.195097797</v>
      </c>
      <c r="O16" s="3"/>
      <c r="P16" s="23">
        <f t="shared" si="11"/>
        <v>207.5349259</v>
      </c>
      <c r="Q16" s="14">
        <f t="shared" si="12"/>
        <v>429.2910432</v>
      </c>
      <c r="R16" s="2"/>
      <c r="S16" s="9">
        <f t="shared" si="13"/>
        <v>-1.097453685</v>
      </c>
    </row>
    <row r="17">
      <c r="A17" s="11">
        <v>5.0</v>
      </c>
      <c r="B17" s="11">
        <v>1.41941739130434E9</v>
      </c>
      <c r="C17" s="2">
        <v>-102.5102386</v>
      </c>
      <c r="D17" s="3">
        <f t="shared" si="1"/>
        <v>-982608.6957</v>
      </c>
      <c r="E17" s="4">
        <f t="shared" si="2"/>
        <v>206.6166297</v>
      </c>
      <c r="F17" s="3">
        <f t="shared" si="3"/>
        <v>0.0002102735612</v>
      </c>
      <c r="G17" s="3">
        <f t="shared" si="4"/>
        <v>0</v>
      </c>
      <c r="H17" s="2">
        <f t="shared" si="5"/>
        <v>0</v>
      </c>
      <c r="I17" s="3">
        <f t="shared" si="6"/>
        <v>0</v>
      </c>
      <c r="J17" s="3">
        <f t="shared" si="7"/>
        <v>0</v>
      </c>
      <c r="K17" s="3"/>
      <c r="L17" s="3">
        <f t="shared" si="8"/>
        <v>426.6603717</v>
      </c>
      <c r="M17" s="14">
        <f t="shared" si="9"/>
        <v>430.4705618</v>
      </c>
      <c r="N17" s="14">
        <f t="shared" si="10"/>
        <v>-3.810190127</v>
      </c>
      <c r="O17" s="3"/>
      <c r="P17" s="23">
        <f t="shared" si="11"/>
        <v>206.6166297</v>
      </c>
      <c r="Q17" s="14">
        <f t="shared" si="12"/>
        <v>426.6603717</v>
      </c>
      <c r="R17" s="2"/>
      <c r="S17" s="9">
        <f t="shared" si="13"/>
        <v>-3.498882859</v>
      </c>
    </row>
    <row r="18">
      <c r="A18" s="11">
        <v>6.0</v>
      </c>
      <c r="B18" s="11">
        <v>1.41942173913043E9</v>
      </c>
      <c r="C18" s="2">
        <v>-102.5342789</v>
      </c>
      <c r="D18" s="3">
        <f t="shared" si="1"/>
        <v>-978260.8696</v>
      </c>
      <c r="E18" s="4">
        <f t="shared" si="2"/>
        <v>205.6983336</v>
      </c>
      <c r="F18" s="3">
        <f t="shared" si="3"/>
        <v>0.0002102694077</v>
      </c>
      <c r="G18" s="3">
        <f t="shared" si="4"/>
        <v>0</v>
      </c>
      <c r="H18" s="2">
        <f t="shared" si="5"/>
        <v>0</v>
      </c>
      <c r="I18" s="3">
        <f t="shared" si="6"/>
        <v>0</v>
      </c>
      <c r="J18" s="3">
        <f t="shared" si="7"/>
        <v>0</v>
      </c>
      <c r="K18" s="3"/>
      <c r="L18" s="3">
        <f t="shared" si="8"/>
        <v>424.3051249</v>
      </c>
      <c r="M18" s="14">
        <f t="shared" si="9"/>
        <v>430.4543924</v>
      </c>
      <c r="N18" s="14">
        <f t="shared" si="10"/>
        <v>-6.149267523</v>
      </c>
      <c r="O18" s="3"/>
      <c r="P18" s="23">
        <f t="shared" si="11"/>
        <v>205.6983336</v>
      </c>
      <c r="Q18" s="14">
        <f t="shared" si="12"/>
        <v>424.3051249</v>
      </c>
      <c r="R18" s="2"/>
      <c r="S18" s="9">
        <f t="shared" si="13"/>
        <v>-5.646848573</v>
      </c>
    </row>
    <row r="19">
      <c r="A19" s="11">
        <v>7.0</v>
      </c>
      <c r="B19" s="11">
        <v>1.41942608695652E9</v>
      </c>
      <c r="C19" s="2">
        <v>-102.392601</v>
      </c>
      <c r="D19" s="3">
        <f t="shared" si="1"/>
        <v>-973913.0435</v>
      </c>
      <c r="E19" s="4">
        <f t="shared" si="2"/>
        <v>204.7800375</v>
      </c>
      <c r="F19" s="3">
        <f t="shared" si="3"/>
        <v>0.000210265217</v>
      </c>
      <c r="G19" s="3">
        <f t="shared" si="4"/>
        <v>0</v>
      </c>
      <c r="H19" s="2">
        <f t="shared" si="5"/>
        <v>0</v>
      </c>
      <c r="I19" s="3">
        <f t="shared" si="6"/>
        <v>0</v>
      </c>
      <c r="J19" s="3">
        <f t="shared" si="7"/>
        <v>0</v>
      </c>
      <c r="K19" s="3"/>
      <c r="L19" s="3">
        <f t="shared" si="8"/>
        <v>438.3752912</v>
      </c>
      <c r="M19" s="14">
        <f t="shared" si="9"/>
        <v>430.4376349</v>
      </c>
      <c r="N19" s="14">
        <f t="shared" si="10"/>
        <v>7.937656301</v>
      </c>
      <c r="O19" s="3"/>
      <c r="P19" s="23">
        <f t="shared" si="11"/>
        <v>204.7800375</v>
      </c>
      <c r="Q19" s="14">
        <f t="shared" si="12"/>
        <v>438.3752912</v>
      </c>
      <c r="R19" s="2"/>
      <c r="S19" s="9">
        <f t="shared" si="13"/>
        <v>7.289119085</v>
      </c>
    </row>
    <row r="20">
      <c r="A20" s="11">
        <v>8.0</v>
      </c>
      <c r="B20" s="11">
        <v>1.4194304347826E9</v>
      </c>
      <c r="C20" s="2">
        <v>-102.4764557</v>
      </c>
      <c r="D20" s="3">
        <f t="shared" si="1"/>
        <v>-969565.2174</v>
      </c>
      <c r="E20" s="4">
        <f t="shared" si="2"/>
        <v>203.8617413</v>
      </c>
      <c r="F20" s="3">
        <f t="shared" si="3"/>
        <v>0.0002102609888</v>
      </c>
      <c r="G20" s="3">
        <f t="shared" si="4"/>
        <v>0</v>
      </c>
      <c r="H20" s="2">
        <f t="shared" si="5"/>
        <v>0</v>
      </c>
      <c r="I20" s="3">
        <f t="shared" si="6"/>
        <v>0</v>
      </c>
      <c r="J20" s="3">
        <f t="shared" si="7"/>
        <v>0</v>
      </c>
      <c r="K20" s="3"/>
      <c r="L20" s="3">
        <f t="shared" si="8"/>
        <v>429.9922196</v>
      </c>
      <c r="M20" s="14">
        <f t="shared" si="9"/>
        <v>430.4202912</v>
      </c>
      <c r="N20" s="14">
        <f t="shared" si="10"/>
        <v>-0.4280716614</v>
      </c>
      <c r="O20" s="3"/>
      <c r="P20" s="23">
        <f t="shared" si="11"/>
        <v>203.8617413</v>
      </c>
      <c r="Q20" s="14">
        <f t="shared" si="12"/>
        <v>429.9922196</v>
      </c>
      <c r="R20" s="2"/>
      <c r="S20" s="9">
        <f t="shared" si="13"/>
        <v>-0.3930965512</v>
      </c>
    </row>
    <row r="21">
      <c r="A21" s="11">
        <v>9.0</v>
      </c>
      <c r="B21" s="11">
        <v>1.41943478260869E9</v>
      </c>
      <c r="C21" s="2">
        <v>-102.4732513</v>
      </c>
      <c r="D21" s="3">
        <f t="shared" si="1"/>
        <v>-965217.3913</v>
      </c>
      <c r="E21" s="4">
        <f t="shared" si="2"/>
        <v>202.9434452</v>
      </c>
      <c r="F21" s="3">
        <f t="shared" si="3"/>
        <v>0.0002102567225</v>
      </c>
      <c r="G21" s="3">
        <f t="shared" si="4"/>
        <v>0</v>
      </c>
      <c r="H21" s="2">
        <f t="shared" si="5"/>
        <v>0</v>
      </c>
      <c r="I21" s="3">
        <f t="shared" si="6"/>
        <v>0</v>
      </c>
      <c r="J21" s="3">
        <f t="shared" si="7"/>
        <v>0</v>
      </c>
      <c r="K21" s="3"/>
      <c r="L21" s="3">
        <f t="shared" si="8"/>
        <v>430.3096023</v>
      </c>
      <c r="M21" s="14">
        <f t="shared" si="9"/>
        <v>430.4023635</v>
      </c>
      <c r="N21" s="14">
        <f t="shared" si="10"/>
        <v>-0.092761247</v>
      </c>
      <c r="O21" s="3"/>
      <c r="P21" s="23">
        <f t="shared" si="11"/>
        <v>202.9434452</v>
      </c>
      <c r="Q21" s="14">
        <f t="shared" si="12"/>
        <v>430.3096023</v>
      </c>
      <c r="R21" s="2"/>
      <c r="S21" s="9">
        <f t="shared" si="13"/>
        <v>-0.0851822944</v>
      </c>
    </row>
    <row r="22">
      <c r="A22" s="11">
        <v>10.0</v>
      </c>
      <c r="B22" s="11">
        <v>1.41943913043478E9</v>
      </c>
      <c r="C22" s="2">
        <v>-102.4787521</v>
      </c>
      <c r="D22" s="3">
        <f t="shared" si="1"/>
        <v>-960869.5652</v>
      </c>
      <c r="E22" s="4">
        <f t="shared" si="2"/>
        <v>202.0251491</v>
      </c>
      <c r="F22" s="3">
        <f t="shared" si="3"/>
        <v>0.0002102524176</v>
      </c>
      <c r="G22" s="3">
        <f t="shared" si="4"/>
        <v>0</v>
      </c>
      <c r="H22" s="2">
        <f t="shared" si="5"/>
        <v>0</v>
      </c>
      <c r="I22" s="3">
        <f t="shared" si="6"/>
        <v>0</v>
      </c>
      <c r="J22" s="3">
        <f t="shared" si="7"/>
        <v>0</v>
      </c>
      <c r="K22" s="3"/>
      <c r="L22" s="3">
        <f t="shared" si="8"/>
        <v>429.7649146</v>
      </c>
      <c r="M22" s="14">
        <f t="shared" si="9"/>
        <v>430.3838538</v>
      </c>
      <c r="N22" s="14">
        <f t="shared" si="10"/>
        <v>-0.6189392196</v>
      </c>
      <c r="O22" s="3"/>
      <c r="P22" s="23">
        <f t="shared" si="11"/>
        <v>202.0251491</v>
      </c>
      <c r="Q22" s="14">
        <f t="shared" si="12"/>
        <v>429.7649146</v>
      </c>
      <c r="R22" s="2"/>
      <c r="S22" s="9">
        <f t="shared" si="13"/>
        <v>-0.5683694905</v>
      </c>
      <c r="U22" s="11">
        <v>1.0</v>
      </c>
    </row>
    <row r="23">
      <c r="A23" s="11">
        <v>11.0</v>
      </c>
      <c r="B23" s="11">
        <v>1.41944347826087E9</v>
      </c>
      <c r="C23" s="2">
        <v>-102.440712</v>
      </c>
      <c r="D23" s="3">
        <f t="shared" si="1"/>
        <v>-956521.7391</v>
      </c>
      <c r="E23" s="4">
        <f t="shared" si="2"/>
        <v>201.1068529</v>
      </c>
      <c r="F23" s="3">
        <f t="shared" si="3"/>
        <v>0.0002102480735</v>
      </c>
      <c r="G23" s="3">
        <f t="shared" si="4"/>
        <v>0</v>
      </c>
      <c r="H23" s="2">
        <f t="shared" si="5"/>
        <v>0</v>
      </c>
      <c r="I23" s="3">
        <f t="shared" si="6"/>
        <v>0</v>
      </c>
      <c r="J23" s="3">
        <f t="shared" si="7"/>
        <v>0</v>
      </c>
      <c r="K23" s="3"/>
      <c r="L23" s="3">
        <f t="shared" si="8"/>
        <v>433.5457841</v>
      </c>
      <c r="M23" s="14">
        <f t="shared" si="9"/>
        <v>430.3647641</v>
      </c>
      <c r="N23" s="14">
        <f t="shared" si="10"/>
        <v>3.181019979</v>
      </c>
      <c r="O23" s="3"/>
      <c r="P23" s="23">
        <f t="shared" si="11"/>
        <v>201.1068529</v>
      </c>
      <c r="Q23" s="14">
        <f t="shared" si="12"/>
        <v>433.5457841</v>
      </c>
      <c r="R23" s="2"/>
      <c r="S23" s="9">
        <f t="shared" si="13"/>
        <v>2.921118345</v>
      </c>
    </row>
    <row r="24">
      <c r="A24" s="11">
        <v>12.0</v>
      </c>
      <c r="B24" s="11">
        <v>1.41944782608695E9</v>
      </c>
      <c r="C24" s="2">
        <v>-102.4459076</v>
      </c>
      <c r="D24" s="3">
        <f t="shared" si="1"/>
        <v>-952173.913</v>
      </c>
      <c r="E24" s="4">
        <f t="shared" si="2"/>
        <v>200.1885568</v>
      </c>
      <c r="F24" s="3">
        <f t="shared" si="3"/>
        <v>0.0002102436898</v>
      </c>
      <c r="G24" s="3">
        <f t="shared" si="4"/>
        <v>0</v>
      </c>
      <c r="H24" s="2">
        <f t="shared" si="5"/>
        <v>0</v>
      </c>
      <c r="I24" s="3">
        <f t="shared" si="6"/>
        <v>0</v>
      </c>
      <c r="J24" s="3">
        <f t="shared" si="7"/>
        <v>0</v>
      </c>
      <c r="K24" s="3"/>
      <c r="L24" s="3">
        <f t="shared" si="8"/>
        <v>433.0274299</v>
      </c>
      <c r="M24" s="14">
        <f t="shared" si="9"/>
        <v>430.3450965</v>
      </c>
      <c r="N24" s="14">
        <f t="shared" si="10"/>
        <v>2.682333377</v>
      </c>
      <c r="O24" s="3"/>
      <c r="P24" s="23">
        <f t="shared" si="11"/>
        <v>200.1885568</v>
      </c>
      <c r="Q24" s="14">
        <f t="shared" si="12"/>
        <v>433.0274299</v>
      </c>
      <c r="R24" s="2"/>
      <c r="S24" s="9">
        <f t="shared" si="13"/>
        <v>2.463176367</v>
      </c>
    </row>
    <row r="25">
      <c r="A25" s="11">
        <v>13.0</v>
      </c>
      <c r="B25" s="11">
        <v>1.41945217391304E9</v>
      </c>
      <c r="C25" s="2">
        <v>-102.5513535</v>
      </c>
      <c r="D25" s="3">
        <f t="shared" si="1"/>
        <v>-947826.087</v>
      </c>
      <c r="E25" s="4">
        <f t="shared" si="2"/>
        <v>199.2702607</v>
      </c>
      <c r="F25" s="3">
        <f t="shared" si="3"/>
        <v>0.0002102392658</v>
      </c>
      <c r="G25" s="3">
        <f t="shared" si="4"/>
        <v>0</v>
      </c>
      <c r="H25" s="2">
        <f t="shared" si="5"/>
        <v>0</v>
      </c>
      <c r="I25" s="3">
        <f t="shared" si="6"/>
        <v>0</v>
      </c>
      <c r="J25" s="3">
        <f t="shared" si="7"/>
        <v>0</v>
      </c>
      <c r="K25" s="3"/>
      <c r="L25" s="3">
        <f t="shared" si="8"/>
        <v>422.6402138</v>
      </c>
      <c r="M25" s="14">
        <f t="shared" si="9"/>
        <v>430.3248531</v>
      </c>
      <c r="N25" s="14">
        <f t="shared" si="10"/>
        <v>-7.68463928</v>
      </c>
      <c r="O25" s="3"/>
      <c r="P25" s="23">
        <f t="shared" si="11"/>
        <v>199.2702607</v>
      </c>
      <c r="Q25" s="14">
        <f t="shared" si="12"/>
        <v>422.6402138</v>
      </c>
      <c r="R25" s="2"/>
      <c r="S25" s="9">
        <f t="shared" si="13"/>
        <v>-7.056774517</v>
      </c>
    </row>
    <row r="26">
      <c r="A26" s="11">
        <v>14.0</v>
      </c>
      <c r="B26" s="11">
        <v>1.41945652173913E9</v>
      </c>
      <c r="C26" s="2">
        <v>-102.4252548</v>
      </c>
      <c r="D26" s="3">
        <f t="shared" si="1"/>
        <v>-943478.2609</v>
      </c>
      <c r="E26" s="4">
        <f t="shared" si="2"/>
        <v>198.3519645</v>
      </c>
      <c r="F26" s="3">
        <f t="shared" si="3"/>
        <v>0.0002102348011</v>
      </c>
      <c r="G26" s="3">
        <f t="shared" si="4"/>
        <v>0</v>
      </c>
      <c r="H26" s="2">
        <f t="shared" si="5"/>
        <v>0</v>
      </c>
      <c r="I26" s="3">
        <f t="shared" si="6"/>
        <v>0</v>
      </c>
      <c r="J26" s="3">
        <f t="shared" si="7"/>
        <v>0</v>
      </c>
      <c r="K26" s="3"/>
      <c r="L26" s="3">
        <f t="shared" si="8"/>
        <v>435.0915886</v>
      </c>
      <c r="M26" s="14">
        <f t="shared" si="9"/>
        <v>430.3040359</v>
      </c>
      <c r="N26" s="14">
        <f t="shared" si="10"/>
        <v>4.787552736</v>
      </c>
      <c r="O26" s="3"/>
      <c r="P26" s="23">
        <f t="shared" si="11"/>
        <v>198.3519645</v>
      </c>
      <c r="Q26" s="14">
        <f t="shared" si="12"/>
        <v>435.0915886</v>
      </c>
      <c r="R26" s="2"/>
      <c r="S26" s="9">
        <f t="shared" si="13"/>
        <v>4.396391163</v>
      </c>
    </row>
    <row r="27">
      <c r="A27" s="11">
        <v>15.0</v>
      </c>
      <c r="B27" s="11">
        <v>1.41946086956521E9</v>
      </c>
      <c r="C27" s="2">
        <v>-102.502533</v>
      </c>
      <c r="D27" s="3">
        <f t="shared" si="1"/>
        <v>-939130.4348</v>
      </c>
      <c r="E27" s="4">
        <f t="shared" si="2"/>
        <v>197.4336684</v>
      </c>
      <c r="F27" s="3">
        <f t="shared" si="3"/>
        <v>0.0002102302951</v>
      </c>
      <c r="G27" s="3">
        <f t="shared" si="4"/>
        <v>0</v>
      </c>
      <c r="H27" s="2">
        <f t="shared" si="5"/>
        <v>0</v>
      </c>
      <c r="I27" s="3">
        <f t="shared" si="6"/>
        <v>0</v>
      </c>
      <c r="J27" s="3">
        <f t="shared" si="7"/>
        <v>0</v>
      </c>
      <c r="K27" s="3"/>
      <c r="L27" s="3">
        <f t="shared" si="8"/>
        <v>427.4180586</v>
      </c>
      <c r="M27" s="14">
        <f t="shared" si="9"/>
        <v>430.2826469</v>
      </c>
      <c r="N27" s="14">
        <f t="shared" si="10"/>
        <v>-2.864588261</v>
      </c>
      <c r="O27" s="3"/>
      <c r="P27" s="23">
        <f t="shared" si="11"/>
        <v>197.4336684</v>
      </c>
      <c r="Q27" s="14">
        <f t="shared" si="12"/>
        <v>427.4180586</v>
      </c>
      <c r="R27" s="2"/>
      <c r="S27" s="9">
        <f t="shared" si="13"/>
        <v>-2.630540322</v>
      </c>
    </row>
    <row r="28">
      <c r="A28" s="11">
        <v>16.0</v>
      </c>
      <c r="B28" s="11">
        <v>1.4194652173913E9</v>
      </c>
      <c r="C28" s="2">
        <v>-102.4357529</v>
      </c>
      <c r="D28" s="3">
        <f t="shared" si="1"/>
        <v>-934782.6087</v>
      </c>
      <c r="E28" s="4">
        <f t="shared" si="2"/>
        <v>196.5153723</v>
      </c>
      <c r="F28" s="3">
        <f t="shared" si="3"/>
        <v>0.0002102257471</v>
      </c>
      <c r="G28" s="3">
        <f t="shared" si="4"/>
        <v>0</v>
      </c>
      <c r="H28" s="2">
        <f t="shared" si="5"/>
        <v>0</v>
      </c>
      <c r="I28" s="3">
        <f t="shared" si="6"/>
        <v>0</v>
      </c>
      <c r="J28" s="3">
        <f t="shared" si="7"/>
        <v>0</v>
      </c>
      <c r="K28" s="3"/>
      <c r="L28" s="3">
        <f t="shared" si="8"/>
        <v>434.0411219</v>
      </c>
      <c r="M28" s="14">
        <f t="shared" si="9"/>
        <v>430.2606882</v>
      </c>
      <c r="N28" s="14">
        <f t="shared" si="10"/>
        <v>3.780433676</v>
      </c>
      <c r="O28" s="3"/>
      <c r="P28" s="23">
        <f t="shared" si="11"/>
        <v>196.5153723</v>
      </c>
      <c r="Q28" s="14">
        <f t="shared" si="12"/>
        <v>434.0411219</v>
      </c>
      <c r="R28" s="2"/>
      <c r="S28" s="9">
        <f t="shared" si="13"/>
        <v>3.471557617</v>
      </c>
    </row>
    <row r="29">
      <c r="A29" s="11">
        <v>17.0</v>
      </c>
      <c r="B29" s="11">
        <v>1.41946956521739E9</v>
      </c>
      <c r="C29" s="2">
        <v>-102.4328461</v>
      </c>
      <c r="D29" s="3">
        <f t="shared" si="1"/>
        <v>-930434.7826</v>
      </c>
      <c r="E29" s="4">
        <f t="shared" si="2"/>
        <v>195.5970761</v>
      </c>
      <c r="F29" s="3">
        <f t="shared" si="3"/>
        <v>0.0002102211566</v>
      </c>
      <c r="G29" s="3">
        <f t="shared" si="4"/>
        <v>0</v>
      </c>
      <c r="H29" s="2">
        <f t="shared" si="5"/>
        <v>0</v>
      </c>
      <c r="I29" s="3">
        <f t="shared" si="6"/>
        <v>0</v>
      </c>
      <c r="J29" s="3">
        <f t="shared" si="7"/>
        <v>0</v>
      </c>
      <c r="K29" s="3"/>
      <c r="L29" s="3">
        <f t="shared" si="8"/>
        <v>434.3317296</v>
      </c>
      <c r="M29" s="14">
        <f t="shared" si="9"/>
        <v>430.2381619</v>
      </c>
      <c r="N29" s="14">
        <f t="shared" si="10"/>
        <v>4.093567631</v>
      </c>
      <c r="O29" s="3"/>
      <c r="P29" s="23">
        <f t="shared" si="11"/>
        <v>195.5970761</v>
      </c>
      <c r="Q29" s="14">
        <f t="shared" si="12"/>
        <v>434.3317296</v>
      </c>
      <c r="R29" s="2"/>
      <c r="S29" s="9">
        <f t="shared" si="13"/>
        <v>3.759107325</v>
      </c>
    </row>
    <row r="30">
      <c r="A30" s="11">
        <v>18.0</v>
      </c>
      <c r="B30" s="11">
        <v>1.41947391304347E9</v>
      </c>
      <c r="C30" s="2">
        <v>-102.4460373</v>
      </c>
      <c r="D30" s="3">
        <f t="shared" si="1"/>
        <v>-926086.9565</v>
      </c>
      <c r="E30" s="4">
        <f t="shared" si="2"/>
        <v>194.67878</v>
      </c>
      <c r="F30" s="3">
        <f t="shared" si="3"/>
        <v>0.000210216523</v>
      </c>
      <c r="G30" s="3">
        <f t="shared" si="4"/>
        <v>0</v>
      </c>
      <c r="H30" s="2">
        <f t="shared" si="5"/>
        <v>0</v>
      </c>
      <c r="I30" s="3">
        <f t="shared" si="6"/>
        <v>0</v>
      </c>
      <c r="J30" s="3">
        <f t="shared" si="7"/>
        <v>0</v>
      </c>
      <c r="K30" s="3"/>
      <c r="L30" s="3">
        <f t="shared" si="8"/>
        <v>433.0144979</v>
      </c>
      <c r="M30" s="14">
        <f t="shared" si="9"/>
        <v>430.2150701</v>
      </c>
      <c r="N30" s="14">
        <f t="shared" si="10"/>
        <v>2.79942785</v>
      </c>
      <c r="O30" s="3"/>
      <c r="P30" s="23">
        <f t="shared" si="11"/>
        <v>194.67878</v>
      </c>
      <c r="Q30" s="14">
        <f t="shared" si="12"/>
        <v>433.0144979</v>
      </c>
      <c r="R30" s="2"/>
      <c r="S30" s="9">
        <f t="shared" si="13"/>
        <v>2.570703769</v>
      </c>
    </row>
    <row r="31">
      <c r="A31" s="11">
        <v>19.0</v>
      </c>
      <c r="B31" s="11">
        <v>1.41947826086956E9</v>
      </c>
      <c r="C31" s="2">
        <v>-102.4534073</v>
      </c>
      <c r="D31" s="3">
        <f t="shared" si="1"/>
        <v>-921739.1304</v>
      </c>
      <c r="E31" s="4">
        <f t="shared" si="2"/>
        <v>193.7604839</v>
      </c>
      <c r="F31" s="3">
        <f t="shared" si="3"/>
        <v>0.0002102118457</v>
      </c>
      <c r="G31" s="3">
        <f t="shared" si="4"/>
        <v>0</v>
      </c>
      <c r="H31" s="2">
        <f t="shared" si="5"/>
        <v>0</v>
      </c>
      <c r="I31" s="3">
        <f t="shared" si="6"/>
        <v>0</v>
      </c>
      <c r="J31" s="3">
        <f t="shared" si="7"/>
        <v>0</v>
      </c>
      <c r="K31" s="3"/>
      <c r="L31" s="3">
        <f t="shared" si="8"/>
        <v>432.2802932</v>
      </c>
      <c r="M31" s="14">
        <f t="shared" si="9"/>
        <v>430.1914147</v>
      </c>
      <c r="N31" s="14">
        <f t="shared" si="10"/>
        <v>2.088878541</v>
      </c>
      <c r="O31" s="3"/>
      <c r="P31" s="23">
        <f t="shared" si="11"/>
        <v>193.7604839</v>
      </c>
      <c r="Q31" s="14">
        <f t="shared" si="12"/>
        <v>432.2802932</v>
      </c>
      <c r="R31" s="2"/>
      <c r="S31" s="9">
        <f t="shared" si="13"/>
        <v>1.918209081</v>
      </c>
    </row>
    <row r="32">
      <c r="A32" s="11">
        <v>20.0</v>
      </c>
      <c r="B32" s="11">
        <v>1.41948260869565E9</v>
      </c>
      <c r="C32" s="2">
        <v>-102.4985657</v>
      </c>
      <c r="D32" s="3">
        <f t="shared" si="1"/>
        <v>-917391.3043</v>
      </c>
      <c r="E32" s="4">
        <f t="shared" si="2"/>
        <v>192.8421878</v>
      </c>
      <c r="F32" s="3">
        <f t="shared" si="3"/>
        <v>0.0002102071241</v>
      </c>
      <c r="G32" s="3">
        <f t="shared" si="4"/>
        <v>0</v>
      </c>
      <c r="H32" s="2">
        <f t="shared" si="5"/>
        <v>0</v>
      </c>
      <c r="I32" s="3">
        <f t="shared" si="6"/>
        <v>0</v>
      </c>
      <c r="J32" s="3">
        <f t="shared" si="7"/>
        <v>0</v>
      </c>
      <c r="K32" s="3"/>
      <c r="L32" s="3">
        <f t="shared" si="8"/>
        <v>427.8086854</v>
      </c>
      <c r="M32" s="14">
        <f t="shared" si="9"/>
        <v>430.1671978</v>
      </c>
      <c r="N32" s="14">
        <f t="shared" si="10"/>
        <v>-2.358512422</v>
      </c>
      <c r="O32" s="3"/>
      <c r="P32" s="23">
        <f t="shared" si="11"/>
        <v>192.8421878</v>
      </c>
      <c r="Q32" s="14">
        <f t="shared" si="12"/>
        <v>427.8086854</v>
      </c>
      <c r="R32" s="2"/>
      <c r="S32" s="9">
        <f t="shared" si="13"/>
        <v>-2.165812836</v>
      </c>
    </row>
    <row r="33">
      <c r="A33" s="11">
        <v>21.0</v>
      </c>
      <c r="B33" s="11">
        <v>1.41948695652173E9</v>
      </c>
      <c r="C33" s="2">
        <v>-102.438446</v>
      </c>
      <c r="D33" s="3">
        <f t="shared" si="1"/>
        <v>-913043.4783</v>
      </c>
      <c r="E33" s="4">
        <f t="shared" si="2"/>
        <v>191.9238916</v>
      </c>
      <c r="F33" s="3">
        <f t="shared" si="3"/>
        <v>0.0002102023575</v>
      </c>
      <c r="G33" s="3">
        <f t="shared" si="4"/>
        <v>0</v>
      </c>
      <c r="H33" s="2">
        <f t="shared" si="5"/>
        <v>0</v>
      </c>
      <c r="I33" s="3">
        <f t="shared" si="6"/>
        <v>0</v>
      </c>
      <c r="J33" s="3">
        <f t="shared" si="7"/>
        <v>0</v>
      </c>
      <c r="K33" s="3"/>
      <c r="L33" s="3">
        <f t="shared" si="8"/>
        <v>433.7720525</v>
      </c>
      <c r="M33" s="14">
        <f t="shared" si="9"/>
        <v>430.1424215</v>
      </c>
      <c r="N33" s="14">
        <f t="shared" si="10"/>
        <v>3.629630955</v>
      </c>
      <c r="O33" s="3"/>
      <c r="P33" s="23">
        <f t="shared" si="11"/>
        <v>191.9238916</v>
      </c>
      <c r="Q33" s="14">
        <f t="shared" si="12"/>
        <v>433.7720525</v>
      </c>
      <c r="R33" s="2"/>
      <c r="S33" s="9">
        <f t="shared" si="13"/>
        <v>3.333076069</v>
      </c>
    </row>
    <row r="34">
      <c r="A34" s="11">
        <v>22.0</v>
      </c>
      <c r="B34" s="11">
        <v>1.41949130434782E9</v>
      </c>
      <c r="C34" s="2">
        <v>-102.5105515</v>
      </c>
      <c r="D34" s="3">
        <f t="shared" si="1"/>
        <v>-908695.6522</v>
      </c>
      <c r="E34" s="4">
        <f t="shared" si="2"/>
        <v>191.0055955</v>
      </c>
      <c r="F34" s="3">
        <f t="shared" si="3"/>
        <v>0.0002101975453</v>
      </c>
      <c r="G34" s="3">
        <f t="shared" si="4"/>
        <v>0</v>
      </c>
      <c r="H34" s="2">
        <f t="shared" si="5"/>
        <v>0</v>
      </c>
      <c r="I34" s="3">
        <f t="shared" si="6"/>
        <v>0</v>
      </c>
      <c r="J34" s="3">
        <f t="shared" si="7"/>
        <v>0</v>
      </c>
      <c r="K34" s="3"/>
      <c r="L34" s="3">
        <f t="shared" si="8"/>
        <v>426.6296328</v>
      </c>
      <c r="M34" s="14">
        <f t="shared" si="9"/>
        <v>430.1170878</v>
      </c>
      <c r="N34" s="14">
        <f t="shared" si="10"/>
        <v>-3.487455005</v>
      </c>
      <c r="O34" s="3"/>
      <c r="P34" s="23">
        <f t="shared" si="11"/>
        <v>191.0055955</v>
      </c>
      <c r="Q34" s="14">
        <f t="shared" si="12"/>
        <v>426.6296328</v>
      </c>
      <c r="R34" s="2"/>
      <c r="S34" s="9">
        <f t="shared" si="13"/>
        <v>-3.202516444</v>
      </c>
    </row>
    <row r="35">
      <c r="A35" s="11">
        <v>23.0</v>
      </c>
      <c r="B35" s="11">
        <v>1.41949565217391E9</v>
      </c>
      <c r="C35" s="2">
        <v>-102.5156479</v>
      </c>
      <c r="D35" s="3">
        <f t="shared" si="1"/>
        <v>-904347.8261</v>
      </c>
      <c r="E35" s="4">
        <f t="shared" si="2"/>
        <v>190.0872994</v>
      </c>
      <c r="F35" s="3">
        <f t="shared" si="3"/>
        <v>0.0002101926868</v>
      </c>
      <c r="G35" s="3">
        <f t="shared" si="4"/>
        <v>0</v>
      </c>
      <c r="H35" s="2">
        <f t="shared" si="5"/>
        <v>0</v>
      </c>
      <c r="I35" s="3">
        <f t="shared" si="6"/>
        <v>0</v>
      </c>
      <c r="J35" s="3">
        <f t="shared" si="7"/>
        <v>0</v>
      </c>
      <c r="K35" s="3"/>
      <c r="L35" s="3">
        <f t="shared" si="8"/>
        <v>426.1292811</v>
      </c>
      <c r="M35" s="14">
        <f t="shared" si="9"/>
        <v>430.0911989</v>
      </c>
      <c r="N35" s="14">
        <f t="shared" si="10"/>
        <v>-3.961917767</v>
      </c>
      <c r="O35" s="3"/>
      <c r="P35" s="23">
        <f t="shared" si="11"/>
        <v>190.0872994</v>
      </c>
      <c r="Q35" s="14">
        <f t="shared" si="12"/>
        <v>426.1292811</v>
      </c>
      <c r="R35" s="2"/>
      <c r="S35" s="9">
        <f t="shared" si="13"/>
        <v>-3.638213755</v>
      </c>
    </row>
    <row r="36">
      <c r="A36" s="11">
        <v>24.0</v>
      </c>
      <c r="B36" s="11">
        <v>1.4195E9</v>
      </c>
      <c r="C36" s="2">
        <v>-102.4756775</v>
      </c>
      <c r="D36" s="3">
        <f t="shared" si="1"/>
        <v>-900000</v>
      </c>
      <c r="E36" s="4">
        <f t="shared" si="2"/>
        <v>189.1690032</v>
      </c>
      <c r="F36" s="3">
        <f t="shared" si="3"/>
        <v>0.0002101877814</v>
      </c>
      <c r="G36" s="3">
        <f t="shared" si="4"/>
        <v>0</v>
      </c>
      <c r="H36" s="2">
        <f t="shared" si="5"/>
        <v>0</v>
      </c>
      <c r="I36" s="3">
        <f t="shared" si="6"/>
        <v>0</v>
      </c>
      <c r="J36" s="3">
        <f t="shared" si="7"/>
        <v>0</v>
      </c>
      <c r="K36" s="3"/>
      <c r="L36" s="3">
        <f t="shared" si="8"/>
        <v>430.0692756</v>
      </c>
      <c r="M36" s="14">
        <f t="shared" si="9"/>
        <v>430.0647566</v>
      </c>
      <c r="N36" s="14">
        <f t="shared" si="10"/>
        <v>0.004518957147</v>
      </c>
      <c r="O36" s="3"/>
      <c r="P36" s="23">
        <f t="shared" si="11"/>
        <v>189.1690032</v>
      </c>
      <c r="Q36" s="14">
        <f t="shared" si="12"/>
        <v>430.0692756</v>
      </c>
      <c r="R36" s="2"/>
      <c r="S36" s="9">
        <f t="shared" si="13"/>
        <v>0.004149740872</v>
      </c>
    </row>
    <row r="37">
      <c r="A37" s="11">
        <v>25.0</v>
      </c>
      <c r="B37" s="11">
        <v>1.41950434782608E9</v>
      </c>
      <c r="C37" s="2">
        <v>-102.4635315</v>
      </c>
      <c r="D37" s="3">
        <f t="shared" si="1"/>
        <v>-895652.1739</v>
      </c>
      <c r="E37" s="4">
        <f t="shared" si="2"/>
        <v>188.2507071</v>
      </c>
      <c r="F37" s="3">
        <f t="shared" si="3"/>
        <v>0.0002101828283</v>
      </c>
      <c r="G37" s="3">
        <f t="shared" si="4"/>
        <v>0</v>
      </c>
      <c r="H37" s="2">
        <f t="shared" si="5"/>
        <v>0</v>
      </c>
      <c r="I37" s="3">
        <f t="shared" si="6"/>
        <v>0</v>
      </c>
      <c r="J37" s="3">
        <f t="shared" si="7"/>
        <v>0</v>
      </c>
      <c r="K37" s="3"/>
      <c r="L37" s="3">
        <f t="shared" si="8"/>
        <v>431.2737423</v>
      </c>
      <c r="M37" s="14">
        <f t="shared" si="9"/>
        <v>430.0377632</v>
      </c>
      <c r="N37" s="14">
        <f t="shared" si="10"/>
        <v>1.235979186</v>
      </c>
      <c r="O37" s="3"/>
      <c r="P37" s="23">
        <f t="shared" si="11"/>
        <v>188.2507071</v>
      </c>
      <c r="Q37" s="14">
        <f t="shared" si="12"/>
        <v>431.2737423</v>
      </c>
      <c r="R37" s="2"/>
      <c r="S37" s="9">
        <f t="shared" si="13"/>
        <v>1.134994907</v>
      </c>
    </row>
    <row r="38">
      <c r="A38" s="11">
        <v>26.0</v>
      </c>
      <c r="B38" s="11">
        <v>1.41950869565217E9</v>
      </c>
      <c r="C38" s="2">
        <v>-102.5223465</v>
      </c>
      <c r="D38" s="3">
        <f t="shared" si="1"/>
        <v>-891304.3478</v>
      </c>
      <c r="E38" s="4">
        <f t="shared" si="2"/>
        <v>187.332411</v>
      </c>
      <c r="F38" s="3">
        <f t="shared" si="3"/>
        <v>0.0002101778269</v>
      </c>
      <c r="G38" s="3">
        <f t="shared" si="4"/>
        <v>0</v>
      </c>
      <c r="H38" s="2">
        <f t="shared" si="5"/>
        <v>0</v>
      </c>
      <c r="I38" s="3">
        <f t="shared" si="6"/>
        <v>0</v>
      </c>
      <c r="J38" s="3">
        <f t="shared" si="7"/>
        <v>0</v>
      </c>
      <c r="K38" s="3"/>
      <c r="L38" s="3">
        <f t="shared" si="8"/>
        <v>425.4725218</v>
      </c>
      <c r="M38" s="14">
        <f t="shared" si="9"/>
        <v>430.0102205</v>
      </c>
      <c r="N38" s="14">
        <f t="shared" si="10"/>
        <v>-4.537698747</v>
      </c>
      <c r="O38" s="3"/>
      <c r="P38" s="23">
        <f t="shared" si="11"/>
        <v>187.332411</v>
      </c>
      <c r="Q38" s="14">
        <f t="shared" si="12"/>
        <v>425.4725218</v>
      </c>
      <c r="R38" s="2"/>
      <c r="S38" s="9">
        <f t="shared" si="13"/>
        <v>-4.166951201</v>
      </c>
    </row>
    <row r="39">
      <c r="A39" s="11">
        <v>27.0</v>
      </c>
      <c r="B39" s="11">
        <v>1.41951304347826E9</v>
      </c>
      <c r="C39" s="2">
        <v>-102.4801254</v>
      </c>
      <c r="D39" s="3">
        <f t="shared" si="1"/>
        <v>-886956.5217</v>
      </c>
      <c r="E39" s="4">
        <f t="shared" si="2"/>
        <v>186.4141148</v>
      </c>
      <c r="F39" s="3">
        <f t="shared" si="3"/>
        <v>0.0002101727765</v>
      </c>
      <c r="G39" s="3">
        <f t="shared" si="4"/>
        <v>0</v>
      </c>
      <c r="H39" s="2">
        <f t="shared" si="5"/>
        <v>0</v>
      </c>
      <c r="I39" s="3">
        <f t="shared" si="6"/>
        <v>0</v>
      </c>
      <c r="J39" s="3">
        <f t="shared" si="7"/>
        <v>0</v>
      </c>
      <c r="K39" s="3"/>
      <c r="L39" s="3">
        <f t="shared" si="8"/>
        <v>429.6290384</v>
      </c>
      <c r="M39" s="14">
        <f t="shared" si="9"/>
        <v>429.9821308</v>
      </c>
      <c r="N39" s="14">
        <f t="shared" si="10"/>
        <v>-0.3530924717</v>
      </c>
      <c r="O39" s="3"/>
      <c r="P39" s="23">
        <f t="shared" si="11"/>
        <v>186.4141148</v>
      </c>
      <c r="Q39" s="14">
        <f t="shared" si="12"/>
        <v>429.6290384</v>
      </c>
      <c r="R39" s="2"/>
      <c r="S39" s="9">
        <f t="shared" si="13"/>
        <v>-0.3242434513</v>
      </c>
    </row>
    <row r="40">
      <c r="A40" s="11">
        <v>28.0</v>
      </c>
      <c r="B40" s="11">
        <v>1.41951739130434E9</v>
      </c>
      <c r="C40" s="2">
        <v>-102.4959946</v>
      </c>
      <c r="D40" s="3">
        <f t="shared" si="1"/>
        <v>-882608.6957</v>
      </c>
      <c r="E40" s="4">
        <f t="shared" si="2"/>
        <v>185.4958187</v>
      </c>
      <c r="F40" s="3">
        <f t="shared" si="3"/>
        <v>0.0002101676763</v>
      </c>
      <c r="G40" s="3">
        <f t="shared" si="4"/>
        <v>0</v>
      </c>
      <c r="H40" s="2">
        <f t="shared" si="5"/>
        <v>0</v>
      </c>
      <c r="I40" s="3">
        <f t="shared" si="6"/>
        <v>0</v>
      </c>
      <c r="J40" s="3">
        <f t="shared" si="7"/>
        <v>0</v>
      </c>
      <c r="K40" s="3"/>
      <c r="L40" s="3">
        <f t="shared" si="8"/>
        <v>428.0620307</v>
      </c>
      <c r="M40" s="14">
        <f t="shared" si="9"/>
        <v>429.9534961</v>
      </c>
      <c r="N40" s="14">
        <f t="shared" si="10"/>
        <v>-1.891465411</v>
      </c>
      <c r="O40" s="3"/>
      <c r="P40" s="23">
        <f t="shared" si="11"/>
        <v>185.4958187</v>
      </c>
      <c r="Q40" s="14">
        <f t="shared" si="12"/>
        <v>428.0620307</v>
      </c>
      <c r="R40" s="2"/>
      <c r="S40" s="9">
        <f t="shared" si="13"/>
        <v>-1.736925372</v>
      </c>
    </row>
    <row r="41">
      <c r="A41" s="11">
        <v>29.0</v>
      </c>
      <c r="B41" s="11">
        <v>1.41952173913043E9</v>
      </c>
      <c r="C41" s="2">
        <v>-102.5040436</v>
      </c>
      <c r="D41" s="3">
        <f t="shared" si="1"/>
        <v>-878260.8696</v>
      </c>
      <c r="E41" s="4">
        <f t="shared" si="2"/>
        <v>184.5775226</v>
      </c>
      <c r="F41" s="3">
        <f t="shared" si="3"/>
        <v>0.0002101625257</v>
      </c>
      <c r="G41" s="3">
        <f t="shared" si="4"/>
        <v>0</v>
      </c>
      <c r="H41" s="2">
        <f t="shared" si="5"/>
        <v>0</v>
      </c>
      <c r="I41" s="3">
        <f t="shared" si="6"/>
        <v>0</v>
      </c>
      <c r="J41" s="3">
        <f t="shared" si="7"/>
        <v>0</v>
      </c>
      <c r="K41" s="3"/>
      <c r="L41" s="3">
        <f t="shared" si="8"/>
        <v>427.2694163</v>
      </c>
      <c r="M41" s="14">
        <f t="shared" si="9"/>
        <v>429.9243183</v>
      </c>
      <c r="N41" s="14">
        <f t="shared" si="10"/>
        <v>-2.654902009</v>
      </c>
      <c r="O41" s="3"/>
      <c r="P41" s="23">
        <f t="shared" si="11"/>
        <v>184.5775226</v>
      </c>
      <c r="Q41" s="14">
        <f t="shared" si="12"/>
        <v>427.2694163</v>
      </c>
      <c r="R41" s="2"/>
      <c r="S41" s="9">
        <f t="shared" si="13"/>
        <v>-2.437986242</v>
      </c>
    </row>
    <row r="42">
      <c r="A42" s="11">
        <v>30.0</v>
      </c>
      <c r="B42" s="11">
        <v>1.41952608695652E9</v>
      </c>
      <c r="C42" s="2">
        <v>-102.5125198</v>
      </c>
      <c r="D42" s="3">
        <f t="shared" si="1"/>
        <v>-873913.0435</v>
      </c>
      <c r="E42" s="4">
        <f t="shared" si="2"/>
        <v>183.6592264</v>
      </c>
      <c r="F42" s="3">
        <f t="shared" si="3"/>
        <v>0.0002101573238</v>
      </c>
      <c r="G42" s="3">
        <f t="shared" si="4"/>
        <v>0</v>
      </c>
      <c r="H42" s="2">
        <f t="shared" si="5"/>
        <v>0</v>
      </c>
      <c r="I42" s="3">
        <f t="shared" si="6"/>
        <v>0</v>
      </c>
      <c r="J42" s="3">
        <f t="shared" si="7"/>
        <v>0</v>
      </c>
      <c r="K42" s="3"/>
      <c r="L42" s="3">
        <f t="shared" si="8"/>
        <v>426.4363205</v>
      </c>
      <c r="M42" s="14">
        <f t="shared" si="9"/>
        <v>429.8945996</v>
      </c>
      <c r="N42" s="14">
        <f t="shared" si="10"/>
        <v>-3.458279116</v>
      </c>
      <c r="O42" s="3"/>
      <c r="P42" s="23">
        <f t="shared" si="11"/>
        <v>183.6592264</v>
      </c>
      <c r="Q42" s="14">
        <f t="shared" si="12"/>
        <v>426.4363205</v>
      </c>
      <c r="R42" s="2"/>
      <c r="S42" s="9">
        <f t="shared" si="13"/>
        <v>-3.175724338</v>
      </c>
    </row>
    <row r="43">
      <c r="A43" s="11">
        <v>31.0</v>
      </c>
      <c r="B43" s="11">
        <v>1.4195304347826E9</v>
      </c>
      <c r="C43" s="2">
        <v>-102.5510559</v>
      </c>
      <c r="D43" s="3">
        <f t="shared" si="1"/>
        <v>-869565.2174</v>
      </c>
      <c r="E43" s="4">
        <f t="shared" si="2"/>
        <v>182.7409303</v>
      </c>
      <c r="F43" s="3">
        <f t="shared" si="3"/>
        <v>0.0002101520698</v>
      </c>
      <c r="G43" s="3">
        <f t="shared" si="4"/>
        <v>0</v>
      </c>
      <c r="H43" s="2">
        <f t="shared" si="5"/>
        <v>0</v>
      </c>
      <c r="I43" s="3">
        <f t="shared" si="6"/>
        <v>0</v>
      </c>
      <c r="J43" s="3">
        <f t="shared" si="7"/>
        <v>0</v>
      </c>
      <c r="K43" s="3"/>
      <c r="L43" s="3">
        <f t="shared" si="8"/>
        <v>422.6691762</v>
      </c>
      <c r="M43" s="14">
        <f t="shared" si="9"/>
        <v>429.864342</v>
      </c>
      <c r="N43" s="14">
        <f t="shared" si="10"/>
        <v>-7.195165821</v>
      </c>
      <c r="O43" s="3"/>
      <c r="P43" s="23">
        <f t="shared" si="11"/>
        <v>182.7409303</v>
      </c>
      <c r="Q43" s="14">
        <f t="shared" si="12"/>
        <v>422.6691762</v>
      </c>
      <c r="R43" s="2"/>
      <c r="S43" s="9">
        <f t="shared" si="13"/>
        <v>-6.607292948</v>
      </c>
    </row>
    <row r="44">
      <c r="A44" s="11">
        <v>32.0</v>
      </c>
      <c r="B44" s="11">
        <v>1.41953478260869E9</v>
      </c>
      <c r="C44" s="2">
        <v>-102.518692</v>
      </c>
      <c r="D44" s="3">
        <f t="shared" si="1"/>
        <v>-865217.3913</v>
      </c>
      <c r="E44" s="4">
        <f t="shared" si="2"/>
        <v>181.8226342</v>
      </c>
      <c r="F44" s="3">
        <f t="shared" si="3"/>
        <v>0.0002101467631</v>
      </c>
      <c r="G44" s="3">
        <f t="shared" si="4"/>
        <v>0</v>
      </c>
      <c r="H44" s="2">
        <f t="shared" si="5"/>
        <v>0</v>
      </c>
      <c r="I44" s="3">
        <f t="shared" si="6"/>
        <v>0</v>
      </c>
      <c r="J44" s="3">
        <f t="shared" si="7"/>
        <v>0</v>
      </c>
      <c r="K44" s="3"/>
      <c r="L44" s="3">
        <f t="shared" si="8"/>
        <v>425.830699</v>
      </c>
      <c r="M44" s="14">
        <f t="shared" si="9"/>
        <v>429.8335476</v>
      </c>
      <c r="N44" s="14">
        <f t="shared" si="10"/>
        <v>-4.0028486</v>
      </c>
      <c r="O44" s="3"/>
      <c r="P44" s="23">
        <f t="shared" si="11"/>
        <v>181.8226342</v>
      </c>
      <c r="Q44" s="14">
        <f t="shared" si="12"/>
        <v>425.830699</v>
      </c>
      <c r="R44" s="2"/>
      <c r="S44" s="9">
        <f t="shared" si="13"/>
        <v>-3.67580039</v>
      </c>
    </row>
    <row r="45">
      <c r="A45" s="11">
        <v>33.0</v>
      </c>
      <c r="B45" s="11">
        <v>1.41953913043478E9</v>
      </c>
      <c r="C45" s="2">
        <v>-102.5307159</v>
      </c>
      <c r="D45" s="3">
        <f t="shared" si="1"/>
        <v>-860869.5652</v>
      </c>
      <c r="E45" s="4">
        <f t="shared" si="2"/>
        <v>180.904338</v>
      </c>
      <c r="F45" s="3">
        <f t="shared" si="3"/>
        <v>0.0002101414028</v>
      </c>
      <c r="G45" s="3">
        <f t="shared" si="4"/>
        <v>0</v>
      </c>
      <c r="H45" s="2">
        <f t="shared" si="5"/>
        <v>0</v>
      </c>
      <c r="I45" s="3">
        <f t="shared" si="6"/>
        <v>0</v>
      </c>
      <c r="J45" s="3">
        <f t="shared" si="7"/>
        <v>0</v>
      </c>
      <c r="K45" s="3"/>
      <c r="L45" s="3">
        <f t="shared" si="8"/>
        <v>424.6533724</v>
      </c>
      <c r="M45" s="14">
        <f t="shared" si="9"/>
        <v>429.8022184</v>
      </c>
      <c r="N45" s="14">
        <f t="shared" si="10"/>
        <v>-5.148845982</v>
      </c>
      <c r="O45" s="3"/>
      <c r="P45" s="23">
        <f t="shared" si="11"/>
        <v>180.904338</v>
      </c>
      <c r="Q45" s="14">
        <f t="shared" si="12"/>
        <v>424.6533724</v>
      </c>
      <c r="R45" s="2"/>
      <c r="S45" s="9">
        <f t="shared" si="13"/>
        <v>-4.728165342</v>
      </c>
    </row>
    <row r="46">
      <c r="A46" s="11">
        <v>34.0</v>
      </c>
      <c r="B46" s="11">
        <v>1.41954347826087E9</v>
      </c>
      <c r="C46" s="2">
        <v>-102.5112457</v>
      </c>
      <c r="D46" s="3">
        <f t="shared" si="1"/>
        <v>-856521.7391</v>
      </c>
      <c r="E46" s="4">
        <f t="shared" si="2"/>
        <v>179.9860419</v>
      </c>
      <c r="F46" s="3">
        <f t="shared" si="3"/>
        <v>0.000210135988</v>
      </c>
      <c r="G46" s="3">
        <f t="shared" si="4"/>
        <v>0</v>
      </c>
      <c r="H46" s="2">
        <f t="shared" si="5"/>
        <v>0</v>
      </c>
      <c r="I46" s="3">
        <f t="shared" si="6"/>
        <v>0</v>
      </c>
      <c r="J46" s="3">
        <f t="shared" si="7"/>
        <v>0</v>
      </c>
      <c r="K46" s="3"/>
      <c r="L46" s="3">
        <f t="shared" si="8"/>
        <v>426.5614435</v>
      </c>
      <c r="M46" s="14">
        <f t="shared" si="9"/>
        <v>429.7703564</v>
      </c>
      <c r="N46" s="14">
        <f t="shared" si="10"/>
        <v>-3.20891294</v>
      </c>
      <c r="O46" s="3"/>
      <c r="P46" s="23">
        <f t="shared" si="11"/>
        <v>179.9860419</v>
      </c>
      <c r="Q46" s="14">
        <f t="shared" si="12"/>
        <v>426.5614435</v>
      </c>
      <c r="R46" s="2"/>
      <c r="S46" s="9">
        <f t="shared" si="13"/>
        <v>-2.946732343</v>
      </c>
    </row>
    <row r="47">
      <c r="A47" s="11">
        <v>35.0</v>
      </c>
      <c r="B47" s="11">
        <v>1.41954782608695E9</v>
      </c>
      <c r="C47" s="2">
        <v>-102.4837723</v>
      </c>
      <c r="D47" s="3">
        <f t="shared" si="1"/>
        <v>-852173.913</v>
      </c>
      <c r="E47" s="4">
        <f t="shared" si="2"/>
        <v>179.0677458</v>
      </c>
      <c r="F47" s="3">
        <f t="shared" si="3"/>
        <v>0.000210130518</v>
      </c>
      <c r="G47" s="3">
        <f t="shared" si="4"/>
        <v>0</v>
      </c>
      <c r="H47" s="2">
        <f t="shared" si="5"/>
        <v>0</v>
      </c>
      <c r="I47" s="3">
        <f t="shared" si="6"/>
        <v>0</v>
      </c>
      <c r="J47" s="3">
        <f t="shared" si="7"/>
        <v>0</v>
      </c>
      <c r="K47" s="3"/>
      <c r="L47" s="3">
        <f t="shared" si="8"/>
        <v>429.2684175</v>
      </c>
      <c r="M47" s="14">
        <f t="shared" si="9"/>
        <v>429.7379638</v>
      </c>
      <c r="N47" s="14">
        <f t="shared" si="10"/>
        <v>-0.469546283</v>
      </c>
      <c r="O47" s="3"/>
      <c r="P47" s="23">
        <f t="shared" si="11"/>
        <v>179.0677458</v>
      </c>
      <c r="Q47" s="14">
        <f t="shared" si="12"/>
        <v>429.2684175</v>
      </c>
      <c r="R47" s="2"/>
      <c r="S47" s="9">
        <f t="shared" si="13"/>
        <v>-0.4311825359</v>
      </c>
    </row>
    <row r="48">
      <c r="A48" s="11">
        <v>36.0</v>
      </c>
      <c r="B48" s="11">
        <v>1.41955217391304E9</v>
      </c>
      <c r="C48" s="2">
        <v>-102.4875412</v>
      </c>
      <c r="D48" s="3">
        <f t="shared" si="1"/>
        <v>-847826.087</v>
      </c>
      <c r="E48" s="4">
        <f t="shared" si="2"/>
        <v>178.1494496</v>
      </c>
      <c r="F48" s="3">
        <f t="shared" si="3"/>
        <v>0.0002101249919</v>
      </c>
      <c r="G48" s="3">
        <f t="shared" si="4"/>
        <v>0</v>
      </c>
      <c r="H48" s="2">
        <f t="shared" si="5"/>
        <v>0</v>
      </c>
      <c r="I48" s="3">
        <f t="shared" si="6"/>
        <v>0</v>
      </c>
      <c r="J48" s="3">
        <f t="shared" si="7"/>
        <v>0</v>
      </c>
      <c r="K48" s="3"/>
      <c r="L48" s="3">
        <f t="shared" si="8"/>
        <v>428.8960508</v>
      </c>
      <c r="M48" s="14">
        <f t="shared" si="9"/>
        <v>429.7050425</v>
      </c>
      <c r="N48" s="14">
        <f t="shared" si="10"/>
        <v>-0.8089917102</v>
      </c>
      <c r="O48" s="3"/>
      <c r="P48" s="23">
        <f t="shared" si="11"/>
        <v>178.1494496</v>
      </c>
      <c r="Q48" s="14">
        <f t="shared" si="12"/>
        <v>428.8960508</v>
      </c>
      <c r="R48" s="2"/>
      <c r="S48" s="9">
        <f t="shared" si="13"/>
        <v>-0.7428939573</v>
      </c>
    </row>
    <row r="49">
      <c r="A49" s="11">
        <v>37.0</v>
      </c>
      <c r="B49" s="11">
        <v>1.41955652173913E9</v>
      </c>
      <c r="C49" s="2">
        <v>-102.4880829</v>
      </c>
      <c r="D49" s="3">
        <f t="shared" si="1"/>
        <v>-843478.2609</v>
      </c>
      <c r="E49" s="4">
        <f t="shared" si="2"/>
        <v>177.2311535</v>
      </c>
      <c r="F49" s="3">
        <f t="shared" si="3"/>
        <v>0.0002101194088</v>
      </c>
      <c r="G49" s="3">
        <f t="shared" si="4"/>
        <v>0</v>
      </c>
      <c r="H49" s="2">
        <f t="shared" si="5"/>
        <v>0</v>
      </c>
      <c r="I49" s="3">
        <f t="shared" si="6"/>
        <v>0</v>
      </c>
      <c r="J49" s="3">
        <f t="shared" si="7"/>
        <v>0</v>
      </c>
      <c r="K49" s="3"/>
      <c r="L49" s="3">
        <f t="shared" si="8"/>
        <v>428.8425575</v>
      </c>
      <c r="M49" s="14">
        <f t="shared" si="9"/>
        <v>429.6715947</v>
      </c>
      <c r="N49" s="14">
        <f t="shared" si="10"/>
        <v>-0.8290372009</v>
      </c>
      <c r="O49" s="3"/>
      <c r="P49" s="23">
        <f t="shared" si="11"/>
        <v>177.2311535</v>
      </c>
      <c r="Q49" s="14">
        <f t="shared" si="12"/>
        <v>428.8425575</v>
      </c>
      <c r="R49" s="2"/>
      <c r="S49" s="9">
        <f t="shared" si="13"/>
        <v>-0.7613016555</v>
      </c>
    </row>
    <row r="50">
      <c r="A50" s="11">
        <v>38.0</v>
      </c>
      <c r="B50" s="11">
        <v>1.41956086956521E9</v>
      </c>
      <c r="C50" s="2">
        <v>-102.45755</v>
      </c>
      <c r="D50" s="3">
        <f t="shared" si="1"/>
        <v>-839130.4348</v>
      </c>
      <c r="E50" s="4">
        <f t="shared" si="2"/>
        <v>176.3128574</v>
      </c>
      <c r="F50" s="3">
        <f t="shared" si="3"/>
        <v>0.0002101137678</v>
      </c>
      <c r="G50" s="3">
        <f t="shared" si="4"/>
        <v>0</v>
      </c>
      <c r="H50" s="2">
        <f t="shared" si="5"/>
        <v>0</v>
      </c>
      <c r="I50" s="3">
        <f t="shared" si="6"/>
        <v>0</v>
      </c>
      <c r="J50" s="3">
        <f t="shared" si="7"/>
        <v>0</v>
      </c>
      <c r="K50" s="3"/>
      <c r="L50" s="3">
        <f t="shared" si="8"/>
        <v>431.8681411</v>
      </c>
      <c r="M50" s="14">
        <f t="shared" si="9"/>
        <v>429.6376224</v>
      </c>
      <c r="N50" s="14">
        <f t="shared" si="10"/>
        <v>2.230518762</v>
      </c>
      <c r="O50" s="3"/>
      <c r="P50" s="23">
        <f t="shared" si="11"/>
        <v>176.3128574</v>
      </c>
      <c r="Q50" s="14">
        <f t="shared" si="12"/>
        <v>431.8681411</v>
      </c>
      <c r="R50" s="2"/>
      <c r="S50" s="9">
        <f t="shared" si="13"/>
        <v>2.048276754</v>
      </c>
    </row>
    <row r="51">
      <c r="A51" s="11">
        <v>39.0</v>
      </c>
      <c r="B51" s="11">
        <v>1.4195652173913E9</v>
      </c>
      <c r="C51" s="2">
        <v>-102.4485092</v>
      </c>
      <c r="D51" s="3">
        <f t="shared" si="1"/>
        <v>-834782.6087</v>
      </c>
      <c r="E51" s="4">
        <f t="shared" si="2"/>
        <v>175.3945612</v>
      </c>
      <c r="F51" s="3">
        <f t="shared" si="3"/>
        <v>0.0002101080681</v>
      </c>
      <c r="G51" s="3">
        <f t="shared" si="4"/>
        <v>0</v>
      </c>
      <c r="H51" s="2">
        <f t="shared" si="5"/>
        <v>0</v>
      </c>
      <c r="I51" s="3">
        <f t="shared" si="6"/>
        <v>0</v>
      </c>
      <c r="J51" s="3">
        <f t="shared" si="7"/>
        <v>0</v>
      </c>
      <c r="K51" s="3"/>
      <c r="L51" s="3">
        <f t="shared" si="8"/>
        <v>432.7681066</v>
      </c>
      <c r="M51" s="14">
        <f t="shared" si="9"/>
        <v>429.6031276</v>
      </c>
      <c r="N51" s="14">
        <f t="shared" si="10"/>
        <v>3.164979016</v>
      </c>
      <c r="O51" s="3"/>
      <c r="P51" s="23">
        <f t="shared" si="11"/>
        <v>175.3945612</v>
      </c>
      <c r="Q51" s="14">
        <f t="shared" si="12"/>
        <v>432.7681066</v>
      </c>
      <c r="R51" s="2"/>
      <c r="S51" s="9">
        <f t="shared" si="13"/>
        <v>2.906387984</v>
      </c>
    </row>
    <row r="52">
      <c r="A52" s="11">
        <v>40.0</v>
      </c>
      <c r="B52" s="11">
        <v>1.41956956521739E9</v>
      </c>
      <c r="C52" s="2">
        <v>-102.5037231</v>
      </c>
      <c r="D52" s="3">
        <f t="shared" si="1"/>
        <v>-830434.7826</v>
      </c>
      <c r="E52" s="4">
        <f t="shared" si="2"/>
        <v>174.4762651</v>
      </c>
      <c r="F52" s="3">
        <f t="shared" si="3"/>
        <v>0.0002101023088</v>
      </c>
      <c r="G52" s="3">
        <f t="shared" si="4"/>
        <v>0</v>
      </c>
      <c r="H52" s="2">
        <f t="shared" si="5"/>
        <v>0</v>
      </c>
      <c r="I52" s="3">
        <f t="shared" si="6"/>
        <v>0</v>
      </c>
      <c r="J52" s="3">
        <f t="shared" si="7"/>
        <v>0</v>
      </c>
      <c r="K52" s="3"/>
      <c r="L52" s="3">
        <f t="shared" si="8"/>
        <v>427.300949</v>
      </c>
      <c r="M52" s="14">
        <f t="shared" si="9"/>
        <v>429.5681124</v>
      </c>
      <c r="N52" s="14">
        <f t="shared" si="10"/>
        <v>-2.267163328</v>
      </c>
      <c r="O52" s="3"/>
      <c r="P52" s="23">
        <f t="shared" si="11"/>
        <v>174.4762651</v>
      </c>
      <c r="Q52" s="14">
        <f t="shared" si="12"/>
        <v>427.300949</v>
      </c>
      <c r="R52" s="2"/>
      <c r="S52" s="9">
        <f t="shared" si="13"/>
        <v>-2.081927317</v>
      </c>
    </row>
    <row r="53">
      <c r="A53" s="11">
        <v>41.0</v>
      </c>
      <c r="B53" s="11">
        <v>1.41957391304347E9</v>
      </c>
      <c r="C53" s="2">
        <v>-102.4644012</v>
      </c>
      <c r="D53" s="3">
        <f t="shared" si="1"/>
        <v>-826086.9565</v>
      </c>
      <c r="E53" s="4">
        <f t="shared" si="2"/>
        <v>173.557969</v>
      </c>
      <c r="F53" s="3">
        <f t="shared" si="3"/>
        <v>0.0002100964888</v>
      </c>
      <c r="G53" s="3">
        <f t="shared" si="4"/>
        <v>0</v>
      </c>
      <c r="H53" s="2">
        <f t="shared" si="5"/>
        <v>0</v>
      </c>
      <c r="I53" s="3">
        <f t="shared" si="6"/>
        <v>0</v>
      </c>
      <c r="J53" s="3">
        <f t="shared" si="7"/>
        <v>0</v>
      </c>
      <c r="K53" s="3"/>
      <c r="L53" s="3">
        <f t="shared" si="8"/>
        <v>431.1873859</v>
      </c>
      <c r="M53" s="14">
        <f t="shared" si="9"/>
        <v>429.5325788</v>
      </c>
      <c r="N53" s="14">
        <f t="shared" si="10"/>
        <v>1.65480713</v>
      </c>
      <c r="O53" s="3"/>
      <c r="P53" s="23">
        <f t="shared" si="11"/>
        <v>173.557969</v>
      </c>
      <c r="Q53" s="14">
        <f t="shared" si="12"/>
        <v>431.1873859</v>
      </c>
      <c r="R53" s="2"/>
      <c r="S53" s="9">
        <f t="shared" si="13"/>
        <v>1.519602988</v>
      </c>
    </row>
    <row r="54">
      <c r="A54" s="11">
        <v>42.0</v>
      </c>
      <c r="B54" s="11">
        <v>1.41957826086956E9</v>
      </c>
      <c r="C54" s="2">
        <v>-102.5044403</v>
      </c>
      <c r="D54" s="3">
        <f t="shared" si="1"/>
        <v>-821739.1304</v>
      </c>
      <c r="E54" s="4">
        <f t="shared" si="2"/>
        <v>172.6396728</v>
      </c>
      <c r="F54" s="3">
        <f t="shared" si="3"/>
        <v>0.0002100906072</v>
      </c>
      <c r="G54" s="3">
        <f t="shared" si="4"/>
        <v>0</v>
      </c>
      <c r="H54" s="2">
        <f t="shared" si="5"/>
        <v>0</v>
      </c>
      <c r="I54" s="3">
        <f t="shared" si="6"/>
        <v>0</v>
      </c>
      <c r="J54" s="3">
        <f t="shared" si="7"/>
        <v>0</v>
      </c>
      <c r="K54" s="3"/>
      <c r="L54" s="3">
        <f t="shared" si="8"/>
        <v>427.2303898</v>
      </c>
      <c r="M54" s="14">
        <f t="shared" si="9"/>
        <v>429.4965289</v>
      </c>
      <c r="N54" s="14">
        <f t="shared" si="10"/>
        <v>-2.266139123</v>
      </c>
      <c r="O54" s="3"/>
      <c r="P54" s="23">
        <f t="shared" si="11"/>
        <v>172.6396728</v>
      </c>
      <c r="Q54" s="14">
        <f t="shared" si="12"/>
        <v>427.2303898</v>
      </c>
      <c r="R54" s="2"/>
      <c r="S54" s="9">
        <f t="shared" si="13"/>
        <v>-2.080986788</v>
      </c>
    </row>
    <row r="55">
      <c r="A55" s="11">
        <v>43.0</v>
      </c>
      <c r="B55" s="11">
        <v>1.41958260869565E9</v>
      </c>
      <c r="C55" s="2">
        <v>-102.4945221</v>
      </c>
      <c r="D55" s="3">
        <f t="shared" si="1"/>
        <v>-817391.3043</v>
      </c>
      <c r="E55" s="4">
        <f t="shared" si="2"/>
        <v>171.7213767</v>
      </c>
      <c r="F55" s="3">
        <f t="shared" si="3"/>
        <v>0.000210084663</v>
      </c>
      <c r="G55" s="3">
        <f t="shared" si="4"/>
        <v>0</v>
      </c>
      <c r="H55" s="2">
        <f t="shared" si="5"/>
        <v>0</v>
      </c>
      <c r="I55" s="3">
        <f t="shared" si="6"/>
        <v>0</v>
      </c>
      <c r="J55" s="3">
        <f t="shared" si="7"/>
        <v>0</v>
      </c>
      <c r="K55" s="3"/>
      <c r="L55" s="3">
        <f t="shared" si="8"/>
        <v>428.2071921</v>
      </c>
      <c r="M55" s="14">
        <f t="shared" si="9"/>
        <v>429.4599648</v>
      </c>
      <c r="N55" s="14">
        <f t="shared" si="10"/>
        <v>-1.252772647</v>
      </c>
      <c r="O55" s="3"/>
      <c r="P55" s="23">
        <f t="shared" si="11"/>
        <v>171.7213767</v>
      </c>
      <c r="Q55" s="14">
        <f t="shared" si="12"/>
        <v>428.2071921</v>
      </c>
      <c r="R55" s="2"/>
      <c r="S55" s="9">
        <f t="shared" si="13"/>
        <v>-1.150416277</v>
      </c>
    </row>
    <row r="56">
      <c r="A56" s="11">
        <v>44.0</v>
      </c>
      <c r="B56" s="11">
        <v>1.41958695652173E9</v>
      </c>
      <c r="C56" s="2">
        <v>-102.4727173</v>
      </c>
      <c r="D56" s="3">
        <f t="shared" si="1"/>
        <v>-813043.4783</v>
      </c>
      <c r="E56" s="4">
        <f t="shared" si="2"/>
        <v>170.8030806</v>
      </c>
      <c r="F56" s="3">
        <f t="shared" si="3"/>
        <v>0.0002100786553</v>
      </c>
      <c r="G56" s="3">
        <f t="shared" si="4"/>
        <v>0</v>
      </c>
      <c r="H56" s="2">
        <f t="shared" si="5"/>
        <v>0</v>
      </c>
      <c r="I56" s="3">
        <f t="shared" si="6"/>
        <v>0</v>
      </c>
      <c r="J56" s="3">
        <f t="shared" si="7"/>
        <v>0</v>
      </c>
      <c r="K56" s="3"/>
      <c r="L56" s="3">
        <f t="shared" si="8"/>
        <v>430.3625155</v>
      </c>
      <c r="M56" s="14">
        <f t="shared" si="9"/>
        <v>429.4228884</v>
      </c>
      <c r="N56" s="14">
        <f t="shared" si="10"/>
        <v>0.9396271149</v>
      </c>
      <c r="O56" s="3"/>
      <c r="P56" s="23">
        <f t="shared" si="11"/>
        <v>170.8030806</v>
      </c>
      <c r="Q56" s="14">
        <f t="shared" si="12"/>
        <v>430.3625155</v>
      </c>
      <c r="R56" s="2"/>
      <c r="S56" s="9">
        <f t="shared" si="13"/>
        <v>0.8628559458</v>
      </c>
    </row>
    <row r="57">
      <c r="A57" s="11">
        <v>45.0</v>
      </c>
      <c r="B57" s="11">
        <v>1.41959130434782E9</v>
      </c>
      <c r="C57" s="2">
        <v>-102.500679</v>
      </c>
      <c r="D57" s="3">
        <f t="shared" si="1"/>
        <v>-808695.6522</v>
      </c>
      <c r="E57" s="4">
        <f t="shared" si="2"/>
        <v>169.8847844</v>
      </c>
      <c r="F57" s="3">
        <f t="shared" si="3"/>
        <v>0.0002100725829</v>
      </c>
      <c r="G57" s="3">
        <f t="shared" si="4"/>
        <v>0</v>
      </c>
      <c r="H57" s="2">
        <f t="shared" si="5"/>
        <v>0</v>
      </c>
      <c r="I57" s="3">
        <f t="shared" si="6"/>
        <v>0</v>
      </c>
      <c r="J57" s="3">
        <f t="shared" si="7"/>
        <v>0</v>
      </c>
      <c r="K57" s="3"/>
      <c r="L57" s="3">
        <f t="shared" si="8"/>
        <v>427.600562</v>
      </c>
      <c r="M57" s="14">
        <f t="shared" si="9"/>
        <v>429.385302</v>
      </c>
      <c r="N57" s="14">
        <f t="shared" si="10"/>
        <v>-1.784739909</v>
      </c>
      <c r="O57" s="3"/>
      <c r="P57" s="23">
        <f t="shared" si="11"/>
        <v>169.8847844</v>
      </c>
      <c r="Q57" s="14">
        <f t="shared" si="12"/>
        <v>427.600562</v>
      </c>
      <c r="R57" s="2"/>
      <c r="S57" s="9">
        <f t="shared" si="13"/>
        <v>-1.638919756</v>
      </c>
    </row>
    <row r="58">
      <c r="A58" s="11">
        <v>46.0</v>
      </c>
      <c r="B58" s="11">
        <v>1.41959565217391E9</v>
      </c>
      <c r="C58" s="2">
        <v>-102.427887</v>
      </c>
      <c r="D58" s="3">
        <f t="shared" si="1"/>
        <v>-804347.8261</v>
      </c>
      <c r="E58" s="4">
        <f t="shared" si="2"/>
        <v>168.9664883</v>
      </c>
      <c r="F58" s="3">
        <f t="shared" si="3"/>
        <v>0.0002100664449</v>
      </c>
      <c r="G58" s="3">
        <f t="shared" si="4"/>
        <v>0</v>
      </c>
      <c r="H58" s="2">
        <f t="shared" si="5"/>
        <v>0</v>
      </c>
      <c r="I58" s="3">
        <f t="shared" si="6"/>
        <v>0</v>
      </c>
      <c r="J58" s="3">
        <f t="shared" si="7"/>
        <v>0</v>
      </c>
      <c r="K58" s="3"/>
      <c r="L58" s="3">
        <f t="shared" si="8"/>
        <v>434.8279654</v>
      </c>
      <c r="M58" s="14">
        <f t="shared" si="9"/>
        <v>429.3472074</v>
      </c>
      <c r="N58" s="14">
        <f t="shared" si="10"/>
        <v>5.480757998</v>
      </c>
      <c r="O58" s="3"/>
      <c r="P58" s="23">
        <f t="shared" si="11"/>
        <v>168.9664883</v>
      </c>
      <c r="Q58" s="14">
        <f t="shared" si="12"/>
        <v>434.8279654</v>
      </c>
      <c r="R58" s="2"/>
      <c r="S58" s="9">
        <f t="shared" si="13"/>
        <v>5.032958862</v>
      </c>
    </row>
    <row r="59">
      <c r="A59" s="11">
        <v>47.0</v>
      </c>
      <c r="B59" s="11">
        <v>1.4196E9</v>
      </c>
      <c r="C59" s="2">
        <v>-102.4868851</v>
      </c>
      <c r="D59" s="3">
        <f t="shared" si="1"/>
        <v>-800000</v>
      </c>
      <c r="E59" s="4">
        <f t="shared" si="2"/>
        <v>168.0481922</v>
      </c>
      <c r="F59" s="3">
        <f t="shared" si="3"/>
        <v>0.0002100602402</v>
      </c>
      <c r="G59" s="3">
        <f t="shared" si="4"/>
        <v>0</v>
      </c>
      <c r="H59" s="2">
        <f t="shared" si="5"/>
        <v>0</v>
      </c>
      <c r="I59" s="3">
        <f t="shared" si="6"/>
        <v>0</v>
      </c>
      <c r="J59" s="3">
        <f t="shared" si="7"/>
        <v>0</v>
      </c>
      <c r="K59" s="3"/>
      <c r="L59" s="3">
        <f t="shared" si="8"/>
        <v>428.9608502</v>
      </c>
      <c r="M59" s="14">
        <f t="shared" si="9"/>
        <v>429.3086068</v>
      </c>
      <c r="N59" s="14">
        <f t="shared" si="10"/>
        <v>-0.3477565982</v>
      </c>
      <c r="O59" s="3"/>
      <c r="P59" s="23">
        <f t="shared" si="11"/>
        <v>168.0481922</v>
      </c>
      <c r="Q59" s="14">
        <f t="shared" si="12"/>
        <v>428.9608502</v>
      </c>
      <c r="R59" s="2"/>
      <c r="S59" s="9">
        <f t="shared" si="13"/>
        <v>-0.3193435393</v>
      </c>
    </row>
    <row r="60">
      <c r="A60" s="11">
        <v>48.0</v>
      </c>
      <c r="B60" s="11">
        <v>1.41960434782608E9</v>
      </c>
      <c r="C60" s="2">
        <v>-102.4977112</v>
      </c>
      <c r="D60" s="3">
        <f t="shared" si="1"/>
        <v>-795652.1739</v>
      </c>
      <c r="E60" s="4">
        <f t="shared" si="2"/>
        <v>167.129896</v>
      </c>
      <c r="F60" s="3">
        <f t="shared" si="3"/>
        <v>0.0002100539677</v>
      </c>
      <c r="G60" s="3">
        <f t="shared" si="4"/>
        <v>0</v>
      </c>
      <c r="H60" s="2">
        <f t="shared" si="5"/>
        <v>0</v>
      </c>
      <c r="I60" s="3">
        <f t="shared" si="6"/>
        <v>0</v>
      </c>
      <c r="J60" s="3">
        <f t="shared" si="7"/>
        <v>0</v>
      </c>
      <c r="K60" s="3"/>
      <c r="L60" s="3">
        <f t="shared" si="8"/>
        <v>427.8928675</v>
      </c>
      <c r="M60" s="14">
        <f t="shared" si="9"/>
        <v>429.2695022</v>
      </c>
      <c r="N60" s="14">
        <f t="shared" si="10"/>
        <v>-1.376634625</v>
      </c>
      <c r="O60" s="3"/>
      <c r="P60" s="23">
        <f t="shared" si="11"/>
        <v>167.129896</v>
      </c>
      <c r="Q60" s="14">
        <f t="shared" si="12"/>
        <v>427.8928675</v>
      </c>
      <c r="R60" s="2"/>
      <c r="S60" s="9">
        <f t="shared" si="13"/>
        <v>-1.264158253</v>
      </c>
    </row>
    <row r="61">
      <c r="A61" s="11">
        <v>49.0</v>
      </c>
      <c r="B61" s="11">
        <v>1.41960869565217E9</v>
      </c>
      <c r="C61" s="2">
        <v>-102.547554</v>
      </c>
      <c r="D61" s="3">
        <f t="shared" si="1"/>
        <v>-791304.3478</v>
      </c>
      <c r="E61" s="4">
        <f t="shared" si="2"/>
        <v>166.2115999</v>
      </c>
      <c r="F61" s="3">
        <f t="shared" si="3"/>
        <v>0.0002100476263</v>
      </c>
      <c r="G61" s="3">
        <f t="shared" si="4"/>
        <v>0</v>
      </c>
      <c r="H61" s="2">
        <f t="shared" si="5"/>
        <v>0</v>
      </c>
      <c r="I61" s="3">
        <f t="shared" si="6"/>
        <v>0</v>
      </c>
      <c r="J61" s="3">
        <f t="shared" si="7"/>
        <v>0</v>
      </c>
      <c r="K61" s="3"/>
      <c r="L61" s="3">
        <f t="shared" si="8"/>
        <v>423.0101297</v>
      </c>
      <c r="M61" s="14">
        <f t="shared" si="9"/>
        <v>429.2298956</v>
      </c>
      <c r="N61" s="14">
        <f t="shared" si="10"/>
        <v>-6.219765977</v>
      </c>
      <c r="O61" s="3"/>
      <c r="P61" s="23">
        <f t="shared" si="11"/>
        <v>166.2115999</v>
      </c>
      <c r="Q61" s="14">
        <f t="shared" si="12"/>
        <v>423.0101297</v>
      </c>
      <c r="R61" s="2"/>
      <c r="S61" s="9">
        <f t="shared" si="13"/>
        <v>-5.71158703</v>
      </c>
    </row>
    <row r="62">
      <c r="A62" s="11">
        <v>50.0</v>
      </c>
      <c r="B62" s="11">
        <v>1.41961304347826E9</v>
      </c>
      <c r="C62" s="2">
        <v>-102.4670715</v>
      </c>
      <c r="D62" s="3">
        <f t="shared" si="1"/>
        <v>-786956.5217</v>
      </c>
      <c r="E62" s="4">
        <f t="shared" si="2"/>
        <v>165.2933038</v>
      </c>
      <c r="F62" s="3">
        <f t="shared" si="3"/>
        <v>0.0002100412148</v>
      </c>
      <c r="G62" s="3">
        <f t="shared" si="4"/>
        <v>0</v>
      </c>
      <c r="H62" s="2">
        <f t="shared" si="5"/>
        <v>0</v>
      </c>
      <c r="I62" s="3">
        <f t="shared" si="6"/>
        <v>0</v>
      </c>
      <c r="J62" s="3">
        <f t="shared" si="7"/>
        <v>0</v>
      </c>
      <c r="K62" s="3"/>
      <c r="L62" s="3">
        <f t="shared" si="8"/>
        <v>430.9223478</v>
      </c>
      <c r="M62" s="14">
        <f t="shared" si="9"/>
        <v>429.1897892</v>
      </c>
      <c r="N62" s="14">
        <f t="shared" si="10"/>
        <v>1.732558605</v>
      </c>
      <c r="O62" s="3"/>
      <c r="P62" s="23">
        <f t="shared" si="11"/>
        <v>165.2933038</v>
      </c>
      <c r="Q62" s="14">
        <f t="shared" si="12"/>
        <v>430.9223478</v>
      </c>
      <c r="R62" s="2"/>
      <c r="S62" s="9">
        <f t="shared" si="13"/>
        <v>1.591001867</v>
      </c>
    </row>
    <row r="63">
      <c r="A63" s="11">
        <v>51.0</v>
      </c>
      <c r="B63" s="11">
        <v>1.41961739130434E9</v>
      </c>
      <c r="C63" s="2">
        <v>-102.4584045</v>
      </c>
      <c r="D63" s="3">
        <f t="shared" si="1"/>
        <v>-782608.6957</v>
      </c>
      <c r="E63" s="4">
        <f t="shared" si="2"/>
        <v>164.3750077</v>
      </c>
      <c r="F63" s="3">
        <f t="shared" si="3"/>
        <v>0.000210034732</v>
      </c>
      <c r="G63" s="3">
        <f t="shared" si="4"/>
        <v>0</v>
      </c>
      <c r="H63" s="2">
        <f t="shared" si="5"/>
        <v>0</v>
      </c>
      <c r="I63" s="3">
        <f t="shared" si="6"/>
        <v>0</v>
      </c>
      <c r="J63" s="3">
        <f t="shared" si="7"/>
        <v>0</v>
      </c>
      <c r="K63" s="3"/>
      <c r="L63" s="3">
        <f t="shared" si="8"/>
        <v>431.7831769</v>
      </c>
      <c r="M63" s="14">
        <f t="shared" si="9"/>
        <v>429.149185</v>
      </c>
      <c r="N63" s="14">
        <f t="shared" si="10"/>
        <v>2.633991916</v>
      </c>
      <c r="O63" s="3"/>
      <c r="P63" s="23">
        <f t="shared" si="11"/>
        <v>164.3750077</v>
      </c>
      <c r="Q63" s="14">
        <f t="shared" si="12"/>
        <v>431.7831769</v>
      </c>
      <c r="R63" s="2"/>
      <c r="S63" s="9">
        <f t="shared" si="13"/>
        <v>2.41878459</v>
      </c>
    </row>
    <row r="64">
      <c r="A64" s="11">
        <v>52.0</v>
      </c>
      <c r="B64" s="11">
        <v>1.41962173913043E9</v>
      </c>
      <c r="C64" s="2">
        <v>-102.4088211</v>
      </c>
      <c r="D64" s="3">
        <f t="shared" si="1"/>
        <v>-778260.8696</v>
      </c>
      <c r="E64" s="4">
        <f t="shared" si="2"/>
        <v>163.4567115</v>
      </c>
      <c r="F64" s="3">
        <f t="shared" si="3"/>
        <v>0.0002100281768</v>
      </c>
      <c r="G64" s="3">
        <f t="shared" si="4"/>
        <v>0</v>
      </c>
      <c r="H64" s="2">
        <f t="shared" si="5"/>
        <v>0</v>
      </c>
      <c r="I64" s="3">
        <f t="shared" si="6"/>
        <v>0</v>
      </c>
      <c r="J64" s="3">
        <f t="shared" si="7"/>
        <v>0</v>
      </c>
      <c r="K64" s="3"/>
      <c r="L64" s="3">
        <f t="shared" si="8"/>
        <v>436.7410937</v>
      </c>
      <c r="M64" s="14">
        <f t="shared" si="9"/>
        <v>429.108085</v>
      </c>
      <c r="N64" s="14">
        <f t="shared" si="10"/>
        <v>7.633008775</v>
      </c>
      <c r="O64" s="3"/>
      <c r="P64" s="23">
        <f t="shared" si="11"/>
        <v>163.4567115</v>
      </c>
      <c r="Q64" s="14">
        <f t="shared" si="12"/>
        <v>436.7410937</v>
      </c>
      <c r="R64" s="2"/>
      <c r="S64" s="9">
        <f t="shared" si="13"/>
        <v>7.009362423</v>
      </c>
    </row>
    <row r="65">
      <c r="A65" s="11">
        <v>53.0</v>
      </c>
      <c r="B65" s="11">
        <v>1.41962608695652E9</v>
      </c>
      <c r="C65" s="2">
        <v>-102.482193</v>
      </c>
      <c r="D65" s="3">
        <f t="shared" si="1"/>
        <v>-773913.0435</v>
      </c>
      <c r="E65" s="4">
        <f t="shared" si="2"/>
        <v>162.5384154</v>
      </c>
      <c r="F65" s="3">
        <f t="shared" si="3"/>
        <v>0.000210021548</v>
      </c>
      <c r="G65" s="3">
        <f t="shared" si="4"/>
        <v>0</v>
      </c>
      <c r="H65" s="2">
        <f t="shared" si="5"/>
        <v>0</v>
      </c>
      <c r="I65" s="3">
        <f t="shared" si="6"/>
        <v>0</v>
      </c>
      <c r="J65" s="3">
        <f t="shared" si="7"/>
        <v>0</v>
      </c>
      <c r="K65" s="3"/>
      <c r="L65" s="3">
        <f t="shared" si="8"/>
        <v>429.4245482</v>
      </c>
      <c r="M65" s="14">
        <f t="shared" si="9"/>
        <v>429.0664912</v>
      </c>
      <c r="N65" s="14">
        <f t="shared" si="10"/>
        <v>0.3580569476</v>
      </c>
      <c r="O65" s="3"/>
      <c r="P65" s="23">
        <f t="shared" si="11"/>
        <v>162.5384154</v>
      </c>
      <c r="Q65" s="14">
        <f t="shared" si="12"/>
        <v>429.4245482</v>
      </c>
      <c r="R65" s="2"/>
      <c r="S65" s="9">
        <f t="shared" si="13"/>
        <v>0.3288023103</v>
      </c>
    </row>
    <row r="66">
      <c r="A66" s="11">
        <v>54.0</v>
      </c>
      <c r="B66" s="11">
        <v>1.4196304347826E9</v>
      </c>
      <c r="C66" s="2">
        <v>-102.4333954</v>
      </c>
      <c r="D66" s="3">
        <f t="shared" si="1"/>
        <v>-769565.2174</v>
      </c>
      <c r="E66" s="4">
        <f t="shared" si="2"/>
        <v>161.6201193</v>
      </c>
      <c r="F66" s="3">
        <f t="shared" si="3"/>
        <v>0.0002100148442</v>
      </c>
      <c r="G66" s="3">
        <f t="shared" si="4"/>
        <v>0</v>
      </c>
      <c r="H66" s="2">
        <f t="shared" si="5"/>
        <v>0</v>
      </c>
      <c r="I66" s="3">
        <f t="shared" si="6"/>
        <v>0</v>
      </c>
      <c r="J66" s="3">
        <f t="shared" si="7"/>
        <v>0</v>
      </c>
      <c r="K66" s="3"/>
      <c r="L66" s="3">
        <f t="shared" si="8"/>
        <v>434.2767983</v>
      </c>
      <c r="M66" s="14">
        <f t="shared" si="9"/>
        <v>429.0244058</v>
      </c>
      <c r="N66" s="14">
        <f t="shared" si="10"/>
        <v>5.252392515</v>
      </c>
      <c r="O66" s="3"/>
      <c r="P66" s="23">
        <f t="shared" si="11"/>
        <v>161.6201193</v>
      </c>
      <c r="Q66" s="14">
        <f t="shared" si="12"/>
        <v>434.2767983</v>
      </c>
      <c r="R66" s="2"/>
      <c r="S66" s="9">
        <f t="shared" si="13"/>
        <v>4.823251734</v>
      </c>
    </row>
    <row r="67">
      <c r="A67" s="11">
        <v>55.0</v>
      </c>
      <c r="B67" s="11">
        <v>1.41963478260869E9</v>
      </c>
      <c r="C67" s="2">
        <v>-102.4393921</v>
      </c>
      <c r="D67" s="3">
        <f t="shared" si="1"/>
        <v>-765217.3913</v>
      </c>
      <c r="E67" s="4">
        <f t="shared" si="2"/>
        <v>160.7018231</v>
      </c>
      <c r="F67" s="3">
        <f t="shared" si="3"/>
        <v>0.0002100080643</v>
      </c>
      <c r="G67" s="3">
        <f t="shared" si="4"/>
        <v>0</v>
      </c>
      <c r="H67" s="2">
        <f t="shared" si="5"/>
        <v>0</v>
      </c>
      <c r="I67" s="3">
        <f t="shared" si="6"/>
        <v>0</v>
      </c>
      <c r="J67" s="3">
        <f t="shared" si="7"/>
        <v>0</v>
      </c>
      <c r="K67" s="3"/>
      <c r="L67" s="3">
        <f t="shared" si="8"/>
        <v>433.6775666</v>
      </c>
      <c r="M67" s="14">
        <f t="shared" si="9"/>
        <v>428.9818308</v>
      </c>
      <c r="N67" s="14">
        <f t="shared" si="10"/>
        <v>4.695735752</v>
      </c>
      <c r="O67" s="3"/>
      <c r="P67" s="23">
        <f t="shared" si="11"/>
        <v>160.7018231</v>
      </c>
      <c r="Q67" s="14">
        <f t="shared" si="12"/>
        <v>433.6775666</v>
      </c>
      <c r="R67" s="2"/>
      <c r="S67" s="9">
        <f t="shared" si="13"/>
        <v>4.312075982</v>
      </c>
    </row>
    <row r="68">
      <c r="A68" s="11">
        <v>56.0</v>
      </c>
      <c r="B68" s="11">
        <v>1.41963913043478E9</v>
      </c>
      <c r="C68" s="2">
        <v>-102.4563293</v>
      </c>
      <c r="D68" s="24">
        <f t="shared" si="1"/>
        <v>-760869.5652</v>
      </c>
      <c r="E68" s="25">
        <f t="shared" si="2"/>
        <v>159.783527</v>
      </c>
      <c r="F68" s="24">
        <f t="shared" si="3"/>
        <v>0.0002100012069</v>
      </c>
      <c r="G68" s="24">
        <f t="shared" si="4"/>
        <v>0</v>
      </c>
      <c r="H68" s="26">
        <f t="shared" si="5"/>
        <v>0</v>
      </c>
      <c r="I68" s="24">
        <f t="shared" si="6"/>
        <v>0</v>
      </c>
      <c r="J68" s="24">
        <f t="shared" si="7"/>
        <v>0</v>
      </c>
      <c r="K68" s="24"/>
      <c r="L68" s="24">
        <f t="shared" si="8"/>
        <v>431.9895462</v>
      </c>
      <c r="M68" s="14">
        <f t="shared" si="9"/>
        <v>428.9387682</v>
      </c>
      <c r="N68" s="27">
        <f t="shared" si="10"/>
        <v>3.050777985</v>
      </c>
      <c r="O68" s="24"/>
      <c r="P68" s="28">
        <f t="shared" ref="P68:P123" si="14">-((B418-$B$4)/$B$4)*(3*10^5)</f>
        <v>-160.7018231</v>
      </c>
      <c r="Q68" s="27">
        <f t="shared" ref="Q68:Q123" si="15">(1/(2*$K$13))*(I417)</f>
        <v>402.6539904</v>
      </c>
      <c r="R68" s="26"/>
      <c r="S68" s="9">
        <f t="shared" si="13"/>
        <v>2.801517619</v>
      </c>
    </row>
    <row r="69">
      <c r="A69" s="11">
        <v>57.0</v>
      </c>
      <c r="B69" s="11">
        <v>1.41964347826087E9</v>
      </c>
      <c r="C69" s="2">
        <v>-102.4468613</v>
      </c>
      <c r="D69" s="24">
        <f t="shared" si="1"/>
        <v>-756521.7391</v>
      </c>
      <c r="E69" s="25">
        <f t="shared" si="2"/>
        <v>158.8652309</v>
      </c>
      <c r="F69" s="24">
        <f t="shared" si="3"/>
        <v>0.0002099942707</v>
      </c>
      <c r="G69" s="24">
        <f t="shared" si="4"/>
        <v>0</v>
      </c>
      <c r="H69" s="26">
        <f t="shared" si="5"/>
        <v>0</v>
      </c>
      <c r="I69" s="24">
        <f t="shared" si="6"/>
        <v>0</v>
      </c>
      <c r="J69" s="24">
        <f t="shared" si="7"/>
        <v>0</v>
      </c>
      <c r="K69" s="24"/>
      <c r="L69" s="24">
        <f t="shared" si="8"/>
        <v>432.9323486</v>
      </c>
      <c r="M69" s="14">
        <f t="shared" si="9"/>
        <v>428.8952201</v>
      </c>
      <c r="N69" s="27">
        <f t="shared" si="10"/>
        <v>4.037128433</v>
      </c>
      <c r="O69" s="24"/>
      <c r="P69" s="28">
        <f t="shared" si="14"/>
        <v>-161.6201193</v>
      </c>
      <c r="Q69" s="27">
        <f t="shared" si="15"/>
        <v>403.1034057</v>
      </c>
      <c r="R69" s="26"/>
      <c r="S69" s="9">
        <f t="shared" si="13"/>
        <v>3.707279427</v>
      </c>
    </row>
    <row r="70">
      <c r="A70" s="11">
        <v>58.0</v>
      </c>
      <c r="B70" s="11">
        <v>1.41964782608695E9</v>
      </c>
      <c r="C70" s="2">
        <v>-102.4490662</v>
      </c>
      <c r="D70" s="24">
        <f t="shared" si="1"/>
        <v>-752173.913</v>
      </c>
      <c r="E70" s="25">
        <f t="shared" si="2"/>
        <v>157.9469347</v>
      </c>
      <c r="F70" s="24">
        <f t="shared" si="3"/>
        <v>0.0002099872543</v>
      </c>
      <c r="G70" s="24">
        <f t="shared" si="4"/>
        <v>0</v>
      </c>
      <c r="H70" s="26">
        <f t="shared" si="5"/>
        <v>0</v>
      </c>
      <c r="I70" s="24">
        <f t="shared" si="6"/>
        <v>0</v>
      </c>
      <c r="J70" s="24">
        <f t="shared" si="7"/>
        <v>0</v>
      </c>
      <c r="K70" s="24"/>
      <c r="L70" s="24">
        <f t="shared" si="8"/>
        <v>432.7126059</v>
      </c>
      <c r="M70" s="14">
        <f t="shared" si="9"/>
        <v>428.8511886</v>
      </c>
      <c r="N70" s="27">
        <f t="shared" si="10"/>
        <v>3.861417313</v>
      </c>
      <c r="O70" s="24"/>
      <c r="P70" s="28">
        <f t="shared" si="14"/>
        <v>-162.5384154</v>
      </c>
      <c r="Q70" s="27">
        <f t="shared" si="15"/>
        <v>398.1116966</v>
      </c>
      <c r="R70" s="26"/>
      <c r="S70" s="9">
        <f t="shared" si="13"/>
        <v>3.545924585</v>
      </c>
    </row>
    <row r="71">
      <c r="A71" s="11">
        <v>59.0</v>
      </c>
      <c r="B71" s="11">
        <v>1.41965217391304E9</v>
      </c>
      <c r="C71" s="2">
        <v>-102.4618073</v>
      </c>
      <c r="D71" s="24">
        <f t="shared" si="1"/>
        <v>-747826.087</v>
      </c>
      <c r="E71" s="25">
        <f t="shared" si="2"/>
        <v>157.0286386</v>
      </c>
      <c r="F71" s="24">
        <f t="shared" si="3"/>
        <v>0.0002099801563</v>
      </c>
      <c r="G71" s="24">
        <f t="shared" si="4"/>
        <v>0</v>
      </c>
      <c r="H71" s="26">
        <f t="shared" si="5"/>
        <v>0</v>
      </c>
      <c r="I71" s="24">
        <f t="shared" si="6"/>
        <v>0</v>
      </c>
      <c r="J71" s="24">
        <f t="shared" si="7"/>
        <v>0</v>
      </c>
      <c r="K71" s="24"/>
      <c r="L71" s="24">
        <f t="shared" si="8"/>
        <v>431.4449971</v>
      </c>
      <c r="M71" s="14">
        <f t="shared" si="9"/>
        <v>428.8066757</v>
      </c>
      <c r="N71" s="27">
        <f t="shared" si="10"/>
        <v>2.638321412</v>
      </c>
      <c r="O71" s="24"/>
      <c r="P71" s="28">
        <f t="shared" si="14"/>
        <v>-163.4567115</v>
      </c>
      <c r="Q71" s="27">
        <f t="shared" si="15"/>
        <v>397.5812249</v>
      </c>
      <c r="R71" s="26"/>
      <c r="S71" s="9">
        <f t="shared" si="13"/>
        <v>2.422760344</v>
      </c>
    </row>
    <row r="72">
      <c r="A72" s="11">
        <v>60.0</v>
      </c>
      <c r="B72" s="11">
        <v>1.41965652173913E9</v>
      </c>
      <c r="C72" s="2">
        <v>-102.5354385</v>
      </c>
      <c r="D72" s="24">
        <f t="shared" si="1"/>
        <v>-743478.2609</v>
      </c>
      <c r="E72" s="25">
        <f t="shared" si="2"/>
        <v>156.1103425</v>
      </c>
      <c r="F72" s="24">
        <f t="shared" si="3"/>
        <v>0.0002099729752</v>
      </c>
      <c r="G72" s="24">
        <f t="shared" si="4"/>
        <v>0</v>
      </c>
      <c r="H72" s="26">
        <f t="shared" si="5"/>
        <v>0</v>
      </c>
      <c r="I72" s="24">
        <f t="shared" si="6"/>
        <v>0</v>
      </c>
      <c r="J72" s="24">
        <f t="shared" si="7"/>
        <v>0</v>
      </c>
      <c r="K72" s="24"/>
      <c r="L72" s="24">
        <f t="shared" si="8"/>
        <v>424.1918473</v>
      </c>
      <c r="M72" s="14">
        <f t="shared" si="9"/>
        <v>428.7616834</v>
      </c>
      <c r="N72" s="27">
        <f t="shared" si="10"/>
        <v>-4.569836077</v>
      </c>
      <c r="O72" s="24"/>
      <c r="P72" s="28">
        <f t="shared" si="14"/>
        <v>-164.3750077</v>
      </c>
      <c r="Q72" s="27">
        <f t="shared" si="15"/>
        <v>396.1840045</v>
      </c>
      <c r="R72" s="26"/>
      <c r="S72" s="9">
        <f t="shared" si="13"/>
        <v>-4.196462797</v>
      </c>
    </row>
    <row r="73">
      <c r="A73" s="11">
        <v>61.0</v>
      </c>
      <c r="B73" s="11">
        <v>1.41966086956521E9</v>
      </c>
      <c r="C73" s="2">
        <v>-102.457283</v>
      </c>
      <c r="D73" s="24">
        <f t="shared" si="1"/>
        <v>-739130.4348</v>
      </c>
      <c r="E73" s="25">
        <f t="shared" si="2"/>
        <v>155.1920463</v>
      </c>
      <c r="F73" s="24">
        <f t="shared" si="3"/>
        <v>0.0002099657097</v>
      </c>
      <c r="G73" s="24">
        <f t="shared" si="4"/>
        <v>0</v>
      </c>
      <c r="H73" s="26">
        <f t="shared" si="5"/>
        <v>0</v>
      </c>
      <c r="I73" s="24">
        <f t="shared" si="6"/>
        <v>0</v>
      </c>
      <c r="J73" s="24">
        <f t="shared" si="7"/>
        <v>0</v>
      </c>
      <c r="K73" s="24"/>
      <c r="L73" s="24">
        <f t="shared" si="8"/>
        <v>431.8946928</v>
      </c>
      <c r="M73" s="14">
        <f t="shared" si="9"/>
        <v>428.7162138</v>
      </c>
      <c r="N73" s="27">
        <f t="shared" si="10"/>
        <v>3.178479015</v>
      </c>
      <c r="O73" s="24"/>
      <c r="P73" s="28">
        <f t="shared" si="14"/>
        <v>-165.2933038</v>
      </c>
      <c r="Q73" s="27">
        <f t="shared" si="15"/>
        <v>397.8257566</v>
      </c>
      <c r="R73" s="26"/>
      <c r="S73" s="9">
        <f t="shared" si="13"/>
        <v>2.918784988</v>
      </c>
    </row>
    <row r="74">
      <c r="A74" s="11">
        <v>62.0</v>
      </c>
      <c r="B74" s="11">
        <v>1.4196652173913E9</v>
      </c>
      <c r="C74" s="2">
        <v>-102.4209518</v>
      </c>
      <c r="D74" s="24">
        <f t="shared" si="1"/>
        <v>-734782.6087</v>
      </c>
      <c r="E74" s="25">
        <f t="shared" si="2"/>
        <v>154.2737502</v>
      </c>
      <c r="F74" s="24">
        <f t="shared" si="3"/>
        <v>0.0002099583583</v>
      </c>
      <c r="G74" s="24">
        <f t="shared" si="4"/>
        <v>0</v>
      </c>
      <c r="H74" s="26">
        <f t="shared" si="5"/>
        <v>0</v>
      </c>
      <c r="I74" s="24">
        <f t="shared" si="6"/>
        <v>0</v>
      </c>
      <c r="J74" s="24">
        <f t="shared" si="7"/>
        <v>0</v>
      </c>
      <c r="K74" s="24"/>
      <c r="L74" s="24">
        <f t="shared" si="8"/>
        <v>435.522892</v>
      </c>
      <c r="M74" s="14">
        <f t="shared" si="9"/>
        <v>428.6702689</v>
      </c>
      <c r="N74" s="27">
        <f t="shared" si="10"/>
        <v>6.852623062</v>
      </c>
      <c r="O74" s="24"/>
      <c r="P74" s="28">
        <f t="shared" si="14"/>
        <v>-166.2115999</v>
      </c>
      <c r="Q74" s="27">
        <f t="shared" si="15"/>
        <v>394.5961625</v>
      </c>
      <c r="R74" s="26"/>
      <c r="S74" s="9">
        <f t="shared" si="13"/>
        <v>6.292737242</v>
      </c>
    </row>
    <row r="75">
      <c r="A75" s="11">
        <v>63.0</v>
      </c>
      <c r="B75" s="11">
        <v>1.41966956521739E9</v>
      </c>
      <c r="C75" s="2">
        <v>-102.437149</v>
      </c>
      <c r="D75" s="24">
        <f t="shared" si="1"/>
        <v>-730434.7826</v>
      </c>
      <c r="E75" s="25">
        <f t="shared" si="2"/>
        <v>153.3554541</v>
      </c>
      <c r="F75" s="24">
        <f t="shared" si="3"/>
        <v>0.0002099509193</v>
      </c>
      <c r="G75" s="24">
        <f t="shared" si="4"/>
        <v>0</v>
      </c>
      <c r="H75" s="26">
        <f t="shared" si="5"/>
        <v>0</v>
      </c>
      <c r="I75" s="24">
        <f t="shared" si="6"/>
        <v>0</v>
      </c>
      <c r="J75" s="24">
        <f t="shared" si="7"/>
        <v>0</v>
      </c>
      <c r="K75" s="24"/>
      <c r="L75" s="24">
        <f t="shared" si="8"/>
        <v>433.9016158</v>
      </c>
      <c r="M75" s="14">
        <f t="shared" si="9"/>
        <v>428.6238509</v>
      </c>
      <c r="N75" s="27">
        <f t="shared" si="10"/>
        <v>5.277764863</v>
      </c>
      <c r="O75" s="24"/>
      <c r="P75" s="28">
        <f t="shared" si="14"/>
        <v>-167.129896</v>
      </c>
      <c r="Q75" s="27">
        <f t="shared" si="15"/>
        <v>404.240877</v>
      </c>
      <c r="R75" s="26"/>
      <c r="S75" s="9">
        <f t="shared" si="13"/>
        <v>4.846551064</v>
      </c>
    </row>
    <row r="76">
      <c r="A76" s="11">
        <v>64.0</v>
      </c>
      <c r="B76" s="11">
        <v>1.41967391304347E9</v>
      </c>
      <c r="C76" s="2">
        <v>-102.4457169</v>
      </c>
      <c r="D76" s="24">
        <f t="shared" si="1"/>
        <v>-726086.9565</v>
      </c>
      <c r="E76" s="25">
        <f t="shared" si="2"/>
        <v>152.4371579</v>
      </c>
      <c r="F76" s="24">
        <f t="shared" si="3"/>
        <v>0.0002099433912</v>
      </c>
      <c r="G76" s="24">
        <f t="shared" si="4"/>
        <v>0</v>
      </c>
      <c r="H76" s="26">
        <f t="shared" si="5"/>
        <v>0</v>
      </c>
      <c r="I76" s="24">
        <f t="shared" si="6"/>
        <v>0</v>
      </c>
      <c r="J76" s="24">
        <f t="shared" si="7"/>
        <v>0</v>
      </c>
      <c r="K76" s="24"/>
      <c r="L76" s="24">
        <f t="shared" si="8"/>
        <v>433.0464447</v>
      </c>
      <c r="M76" s="14">
        <f t="shared" si="9"/>
        <v>428.5769618</v>
      </c>
      <c r="N76" s="27">
        <f t="shared" si="10"/>
        <v>4.469482911</v>
      </c>
      <c r="O76" s="24"/>
      <c r="P76" s="28">
        <f t="shared" si="14"/>
        <v>-168.0481922</v>
      </c>
      <c r="Q76" s="27">
        <f t="shared" si="15"/>
        <v>400.3145149</v>
      </c>
      <c r="R76" s="26"/>
      <c r="S76" s="9">
        <f t="shared" si="13"/>
        <v>4.104308872</v>
      </c>
    </row>
    <row r="77">
      <c r="A77" s="11">
        <v>65.0</v>
      </c>
      <c r="B77" s="11">
        <v>1.41967826086956E9</v>
      </c>
      <c r="C77" s="2">
        <v>-102.546814</v>
      </c>
      <c r="D77" s="24">
        <f t="shared" si="1"/>
        <v>-721739.1304</v>
      </c>
      <c r="E77" s="25">
        <f t="shared" si="2"/>
        <v>151.5188618</v>
      </c>
      <c r="F77" s="24">
        <f t="shared" si="3"/>
        <v>0.0002099357724</v>
      </c>
      <c r="G77" s="24">
        <f t="shared" si="4"/>
        <v>0</v>
      </c>
      <c r="H77" s="26">
        <f t="shared" si="5"/>
        <v>0</v>
      </c>
      <c r="I77" s="24">
        <f t="shared" si="6"/>
        <v>0</v>
      </c>
      <c r="J77" s="24">
        <f t="shared" si="7"/>
        <v>0</v>
      </c>
      <c r="K77" s="24"/>
      <c r="L77" s="24">
        <f t="shared" si="8"/>
        <v>423.082213</v>
      </c>
      <c r="M77" s="14">
        <f t="shared" si="9"/>
        <v>428.5296035</v>
      </c>
      <c r="N77" s="27">
        <f t="shared" si="10"/>
        <v>-5.447390481</v>
      </c>
      <c r="O77" s="24"/>
      <c r="P77" s="28">
        <f t="shared" si="14"/>
        <v>-168.9664883</v>
      </c>
      <c r="Q77" s="27">
        <f t="shared" si="15"/>
        <v>396.043443</v>
      </c>
      <c r="R77" s="26"/>
      <c r="S77" s="9">
        <f t="shared" si="13"/>
        <v>-5.002317601</v>
      </c>
    </row>
    <row r="78">
      <c r="A78" s="11">
        <v>66.0</v>
      </c>
      <c r="B78" s="11">
        <v>1.41968260869565E9</v>
      </c>
      <c r="C78" s="2">
        <v>-102.5241547</v>
      </c>
      <c r="D78" s="24">
        <f t="shared" si="1"/>
        <v>-717391.3043</v>
      </c>
      <c r="E78" s="25">
        <f t="shared" si="2"/>
        <v>150.6005657</v>
      </c>
      <c r="F78" s="24">
        <f t="shared" si="3"/>
        <v>0.0002099280612</v>
      </c>
      <c r="G78" s="24">
        <f t="shared" si="4"/>
        <v>0</v>
      </c>
      <c r="H78" s="26">
        <f t="shared" si="5"/>
        <v>0</v>
      </c>
      <c r="I78" s="24">
        <f t="shared" si="6"/>
        <v>0</v>
      </c>
      <c r="J78" s="24">
        <f t="shared" si="7"/>
        <v>0</v>
      </c>
      <c r="K78" s="24"/>
      <c r="L78" s="24">
        <f t="shared" si="8"/>
        <v>425.2954117</v>
      </c>
      <c r="M78" s="14">
        <f t="shared" si="9"/>
        <v>428.4817783</v>
      </c>
      <c r="N78" s="27">
        <f t="shared" si="10"/>
        <v>-3.186366529</v>
      </c>
      <c r="O78" s="24"/>
      <c r="P78" s="28">
        <f t="shared" si="14"/>
        <v>-169.8847844</v>
      </c>
      <c r="Q78" s="27">
        <f t="shared" si="15"/>
        <v>400.2484119</v>
      </c>
      <c r="R78" s="26"/>
      <c r="S78" s="9">
        <f t="shared" si="13"/>
        <v>-2.926028061</v>
      </c>
    </row>
    <row r="79">
      <c r="A79" s="11">
        <v>67.0</v>
      </c>
      <c r="B79" s="11">
        <v>1.41968695652173E9</v>
      </c>
      <c r="C79" s="2">
        <v>-102.5044479</v>
      </c>
      <c r="D79" s="24">
        <f t="shared" si="1"/>
        <v>-713043.4783</v>
      </c>
      <c r="E79" s="25">
        <f t="shared" si="2"/>
        <v>149.6822695</v>
      </c>
      <c r="F79" s="24">
        <f t="shared" si="3"/>
        <v>0.0002099202561</v>
      </c>
      <c r="G79" s="24">
        <f t="shared" si="4"/>
        <v>0</v>
      </c>
      <c r="H79" s="26">
        <f t="shared" si="5"/>
        <v>0</v>
      </c>
      <c r="I79" s="24">
        <f t="shared" si="6"/>
        <v>0</v>
      </c>
      <c r="J79" s="24">
        <f t="shared" si="7"/>
        <v>0</v>
      </c>
      <c r="K79" s="24"/>
      <c r="L79" s="24">
        <f t="shared" si="8"/>
        <v>427.2296421</v>
      </c>
      <c r="M79" s="14">
        <f t="shared" si="9"/>
        <v>428.433488</v>
      </c>
      <c r="N79" s="27">
        <f t="shared" si="10"/>
        <v>-1.203845869</v>
      </c>
      <c r="O79" s="24"/>
      <c r="P79" s="28">
        <f t="shared" si="14"/>
        <v>-170.8030806</v>
      </c>
      <c r="Q79" s="27">
        <f t="shared" si="15"/>
        <v>399.3908099</v>
      </c>
      <c r="R79" s="26"/>
      <c r="S79" s="9">
        <f t="shared" si="13"/>
        <v>-1.105487006</v>
      </c>
    </row>
    <row r="80">
      <c r="A80" s="11">
        <v>68.0</v>
      </c>
      <c r="B80" s="11">
        <v>1.41969130434782E9</v>
      </c>
      <c r="C80" s="2">
        <v>-102.5531693</v>
      </c>
      <c r="D80" s="24">
        <f t="shared" si="1"/>
        <v>-708695.6522</v>
      </c>
      <c r="E80" s="25">
        <f t="shared" si="2"/>
        <v>148.7639734</v>
      </c>
      <c r="F80" s="24">
        <f t="shared" si="3"/>
        <v>0.0002099123551</v>
      </c>
      <c r="G80" s="24">
        <f t="shared" si="4"/>
        <v>0</v>
      </c>
      <c r="H80" s="26">
        <f t="shared" si="5"/>
        <v>0</v>
      </c>
      <c r="I80" s="24">
        <f t="shared" si="6"/>
        <v>0</v>
      </c>
      <c r="J80" s="24">
        <f t="shared" si="7"/>
        <v>0</v>
      </c>
      <c r="K80" s="24"/>
      <c r="L80" s="24">
        <f t="shared" si="8"/>
        <v>422.4635434</v>
      </c>
      <c r="M80" s="14">
        <f t="shared" si="9"/>
        <v>428.3847348</v>
      </c>
      <c r="N80" s="27">
        <f t="shared" si="10"/>
        <v>-5.921191409</v>
      </c>
      <c r="O80" s="24"/>
      <c r="P80" s="28">
        <f t="shared" si="14"/>
        <v>-171.7213767</v>
      </c>
      <c r="Q80" s="27">
        <f t="shared" si="15"/>
        <v>394.4915067</v>
      </c>
      <c r="R80" s="26"/>
      <c r="S80" s="9">
        <f t="shared" si="13"/>
        <v>-5.437407173</v>
      </c>
    </row>
    <row r="81">
      <c r="A81" s="11">
        <v>69.0</v>
      </c>
      <c r="B81" s="11">
        <v>1.41969565217391E9</v>
      </c>
      <c r="C81" s="2">
        <v>-102.5232239</v>
      </c>
      <c r="D81" s="24">
        <f t="shared" si="1"/>
        <v>-704347.8261</v>
      </c>
      <c r="E81" s="25">
        <f t="shared" si="2"/>
        <v>147.8456773</v>
      </c>
      <c r="F81" s="24">
        <f t="shared" si="3"/>
        <v>0.0002099043566</v>
      </c>
      <c r="G81" s="24">
        <f t="shared" si="4"/>
        <v>0</v>
      </c>
      <c r="H81" s="26">
        <f t="shared" si="5"/>
        <v>0</v>
      </c>
      <c r="I81" s="24">
        <f t="shared" si="6"/>
        <v>0</v>
      </c>
      <c r="J81" s="24">
        <f t="shared" si="7"/>
        <v>0</v>
      </c>
      <c r="K81" s="24"/>
      <c r="L81" s="24">
        <f t="shared" si="8"/>
        <v>425.3865728</v>
      </c>
      <c r="M81" s="14">
        <f t="shared" si="9"/>
        <v>428.3355208</v>
      </c>
      <c r="N81" s="27">
        <f t="shared" si="10"/>
        <v>-2.948948027</v>
      </c>
      <c r="O81" s="24"/>
      <c r="P81" s="28">
        <f t="shared" si="14"/>
        <v>-172.6396728</v>
      </c>
      <c r="Q81" s="27">
        <f t="shared" si="15"/>
        <v>393.0215892</v>
      </c>
      <c r="R81" s="26"/>
      <c r="S81" s="9">
        <f t="shared" si="13"/>
        <v>-2.708007562</v>
      </c>
    </row>
    <row r="82">
      <c r="A82" s="11">
        <v>70.0</v>
      </c>
      <c r="B82" s="11">
        <v>1.4197E9</v>
      </c>
      <c r="C82" s="2">
        <v>-102.514389</v>
      </c>
      <c r="D82" s="24">
        <f t="shared" si="1"/>
        <v>-700000</v>
      </c>
      <c r="E82" s="25">
        <f t="shared" si="2"/>
        <v>146.9273811</v>
      </c>
      <c r="F82" s="24">
        <f t="shared" si="3"/>
        <v>0.0002098962588</v>
      </c>
      <c r="G82" s="24">
        <f t="shared" si="4"/>
        <v>0</v>
      </c>
      <c r="H82" s="26">
        <f t="shared" si="5"/>
        <v>0</v>
      </c>
      <c r="I82" s="24">
        <f t="shared" si="6"/>
        <v>0</v>
      </c>
      <c r="J82" s="24">
        <f t="shared" si="7"/>
        <v>0</v>
      </c>
      <c r="K82" s="24"/>
      <c r="L82" s="24">
        <f t="shared" si="8"/>
        <v>426.2528221</v>
      </c>
      <c r="M82" s="14">
        <f t="shared" si="9"/>
        <v>428.2858479</v>
      </c>
      <c r="N82" s="27">
        <f t="shared" si="10"/>
        <v>-2.033025815</v>
      </c>
      <c r="O82" s="24"/>
      <c r="P82" s="28">
        <f t="shared" si="14"/>
        <v>-173.557969</v>
      </c>
      <c r="Q82" s="27">
        <f t="shared" si="15"/>
        <v>397.4660029</v>
      </c>
      <c r="R82" s="26"/>
      <c r="S82" s="9">
        <f t="shared" si="13"/>
        <v>-1.866919744</v>
      </c>
    </row>
    <row r="83">
      <c r="A83" s="11">
        <v>71.0</v>
      </c>
      <c r="B83" s="11">
        <v>1.41970434782608E9</v>
      </c>
      <c r="C83" s="2">
        <v>-102.4832687</v>
      </c>
      <c r="D83" s="24">
        <f t="shared" si="1"/>
        <v>-695652.1739</v>
      </c>
      <c r="E83" s="25">
        <f t="shared" si="2"/>
        <v>146.009085</v>
      </c>
      <c r="F83" s="24">
        <f t="shared" si="3"/>
        <v>0.0002098880597</v>
      </c>
      <c r="G83" s="24">
        <f t="shared" si="4"/>
        <v>0</v>
      </c>
      <c r="H83" s="26">
        <f t="shared" si="5"/>
        <v>0</v>
      </c>
      <c r="I83" s="24">
        <f t="shared" si="6"/>
        <v>0</v>
      </c>
      <c r="J83" s="24">
        <f t="shared" si="7"/>
        <v>0</v>
      </c>
      <c r="K83" s="24"/>
      <c r="L83" s="24">
        <f t="shared" si="8"/>
        <v>429.3181976</v>
      </c>
      <c r="M83" s="14">
        <f t="shared" si="9"/>
        <v>428.2357183</v>
      </c>
      <c r="N83" s="27">
        <f t="shared" si="10"/>
        <v>1.082479258</v>
      </c>
      <c r="O83" s="24"/>
      <c r="P83" s="28">
        <f t="shared" si="14"/>
        <v>-174.4762651</v>
      </c>
      <c r="Q83" s="27">
        <f t="shared" si="15"/>
        <v>398.4258404</v>
      </c>
      <c r="R83" s="26"/>
      <c r="S83" s="9">
        <f t="shared" si="13"/>
        <v>0.9940365167</v>
      </c>
    </row>
    <row r="84">
      <c r="A84" s="11">
        <v>72.0</v>
      </c>
      <c r="B84" s="11">
        <v>1.41970869565217E9</v>
      </c>
      <c r="C84" s="2">
        <v>-102.4905396</v>
      </c>
      <c r="D84" s="24">
        <f t="shared" si="1"/>
        <v>-691304.3478</v>
      </c>
      <c r="E84" s="25">
        <f t="shared" si="2"/>
        <v>145.0907889</v>
      </c>
      <c r="F84" s="24">
        <f t="shared" si="3"/>
        <v>0.0002098797575</v>
      </c>
      <c r="G84" s="24">
        <f t="shared" si="4"/>
        <v>0</v>
      </c>
      <c r="H84" s="26">
        <f t="shared" si="5"/>
        <v>0</v>
      </c>
      <c r="I84" s="24">
        <f t="shared" si="6"/>
        <v>0</v>
      </c>
      <c r="J84" s="24">
        <f t="shared" si="7"/>
        <v>0</v>
      </c>
      <c r="K84" s="24"/>
      <c r="L84" s="24">
        <f t="shared" si="8"/>
        <v>428.6000401</v>
      </c>
      <c r="M84" s="14">
        <f t="shared" si="9"/>
        <v>428.185134</v>
      </c>
      <c r="N84" s="27">
        <f t="shared" si="10"/>
        <v>0.4149061512</v>
      </c>
      <c r="O84" s="24"/>
      <c r="P84" s="28">
        <f t="shared" si="14"/>
        <v>-175.3945612</v>
      </c>
      <c r="Q84" s="27">
        <f t="shared" si="15"/>
        <v>397.6280262</v>
      </c>
      <c r="R84" s="26"/>
      <c r="S84" s="9">
        <f t="shared" si="13"/>
        <v>0.3810067132</v>
      </c>
    </row>
    <row r="85">
      <c r="A85" s="11">
        <v>73.0</v>
      </c>
      <c r="B85" s="11">
        <v>1.41971304347826E9</v>
      </c>
      <c r="C85" s="2">
        <v>-102.459938</v>
      </c>
      <c r="D85" s="24">
        <f t="shared" si="1"/>
        <v>-686956.5217</v>
      </c>
      <c r="E85" s="25">
        <f t="shared" si="2"/>
        <v>144.1724927</v>
      </c>
      <c r="F85" s="24">
        <f t="shared" si="3"/>
        <v>0.0002098713502</v>
      </c>
      <c r="G85" s="24">
        <f t="shared" si="4"/>
        <v>0</v>
      </c>
      <c r="H85" s="26">
        <f t="shared" si="5"/>
        <v>0</v>
      </c>
      <c r="I85" s="24">
        <f t="shared" si="6"/>
        <v>0</v>
      </c>
      <c r="J85" s="24">
        <f t="shared" si="7"/>
        <v>0</v>
      </c>
      <c r="K85" s="24"/>
      <c r="L85" s="24">
        <f t="shared" si="8"/>
        <v>431.6307406</v>
      </c>
      <c r="M85" s="14">
        <f t="shared" si="9"/>
        <v>428.134097</v>
      </c>
      <c r="N85" s="27">
        <f t="shared" si="10"/>
        <v>3.496643557</v>
      </c>
      <c r="O85" s="24"/>
      <c r="P85" s="28">
        <f t="shared" si="14"/>
        <v>-176.3128574</v>
      </c>
      <c r="Q85" s="27">
        <f t="shared" si="15"/>
        <v>395.3288666</v>
      </c>
      <c r="R85" s="26"/>
      <c r="S85" s="9">
        <f t="shared" si="13"/>
        <v>3.210954256</v>
      </c>
    </row>
    <row r="86">
      <c r="A86" s="11">
        <v>74.0</v>
      </c>
      <c r="B86" s="11">
        <v>1.41971739130434E9</v>
      </c>
      <c r="C86" s="2">
        <v>-102.4977875</v>
      </c>
      <c r="D86" s="24">
        <f t="shared" si="1"/>
        <v>-682608.6957</v>
      </c>
      <c r="E86" s="25">
        <f t="shared" si="2"/>
        <v>143.2541966</v>
      </c>
      <c r="F86" s="24">
        <f t="shared" si="3"/>
        <v>0.0002098628358</v>
      </c>
      <c r="G86" s="24">
        <f t="shared" si="4"/>
        <v>0</v>
      </c>
      <c r="H86" s="26">
        <f t="shared" si="5"/>
        <v>0</v>
      </c>
      <c r="I86" s="24">
        <f t="shared" si="6"/>
        <v>0</v>
      </c>
      <c r="J86" s="24">
        <f t="shared" si="7"/>
        <v>0</v>
      </c>
      <c r="K86" s="24"/>
      <c r="L86" s="24">
        <f t="shared" si="8"/>
        <v>427.8853501</v>
      </c>
      <c r="M86" s="14">
        <f t="shared" si="9"/>
        <v>428.0826094</v>
      </c>
      <c r="N86" s="27">
        <f t="shared" si="10"/>
        <v>-0.1972593291</v>
      </c>
      <c r="O86" s="24"/>
      <c r="P86" s="28">
        <f t="shared" si="14"/>
        <v>-177.2311535</v>
      </c>
      <c r="Q86" s="27">
        <f t="shared" si="15"/>
        <v>399.9609372</v>
      </c>
      <c r="R86" s="26"/>
      <c r="S86" s="9">
        <f t="shared" si="13"/>
        <v>-0.181142479</v>
      </c>
    </row>
    <row r="87">
      <c r="A87" s="11">
        <v>75.0</v>
      </c>
      <c r="B87" s="11">
        <v>1.41972173913043E9</v>
      </c>
      <c r="C87" s="2">
        <v>-102.5213852</v>
      </c>
      <c r="D87" s="24">
        <f t="shared" si="1"/>
        <v>-678260.8696</v>
      </c>
      <c r="E87" s="25">
        <f t="shared" si="2"/>
        <v>142.3359005</v>
      </c>
      <c r="F87" s="24">
        <f t="shared" si="3"/>
        <v>0.0002098542122</v>
      </c>
      <c r="G87" s="24">
        <f t="shared" si="4"/>
        <v>0</v>
      </c>
      <c r="H87" s="26">
        <f t="shared" si="5"/>
        <v>0</v>
      </c>
      <c r="I87" s="24">
        <f t="shared" si="6"/>
        <v>0</v>
      </c>
      <c r="J87" s="24">
        <f t="shared" si="7"/>
        <v>0</v>
      </c>
      <c r="K87" s="24"/>
      <c r="L87" s="24">
        <f t="shared" si="8"/>
        <v>425.5667095</v>
      </c>
      <c r="M87" s="14">
        <f t="shared" si="9"/>
        <v>428.0306733</v>
      </c>
      <c r="N87" s="27">
        <f t="shared" si="10"/>
        <v>-2.463963756</v>
      </c>
      <c r="O87" s="24"/>
      <c r="P87" s="28">
        <f t="shared" si="14"/>
        <v>-178.1494496</v>
      </c>
      <c r="Q87" s="27">
        <f t="shared" si="15"/>
        <v>395.6533228</v>
      </c>
      <c r="R87" s="26"/>
      <c r="S87" s="9">
        <f t="shared" si="13"/>
        <v>-2.262648383</v>
      </c>
    </row>
    <row r="88">
      <c r="A88" s="11">
        <v>76.0</v>
      </c>
      <c r="B88" s="11">
        <v>1.41972608695652E9</v>
      </c>
      <c r="C88" s="2">
        <v>-102.4747696</v>
      </c>
      <c r="D88" s="24">
        <f t="shared" si="1"/>
        <v>-673913.0435</v>
      </c>
      <c r="E88" s="25">
        <f t="shared" si="2"/>
        <v>141.4176044</v>
      </c>
      <c r="F88" s="24">
        <f t="shared" si="3"/>
        <v>0.0002098454774</v>
      </c>
      <c r="G88" s="24">
        <f t="shared" si="4"/>
        <v>0</v>
      </c>
      <c r="H88" s="26">
        <f t="shared" si="5"/>
        <v>0</v>
      </c>
      <c r="I88" s="24">
        <f t="shared" si="6"/>
        <v>0</v>
      </c>
      <c r="J88" s="24">
        <f t="shared" si="7"/>
        <v>0</v>
      </c>
      <c r="K88" s="24"/>
      <c r="L88" s="24">
        <f t="shared" si="8"/>
        <v>430.1591917</v>
      </c>
      <c r="M88" s="14">
        <f t="shared" si="9"/>
        <v>427.9782906</v>
      </c>
      <c r="N88" s="27">
        <f t="shared" si="10"/>
        <v>2.180901063</v>
      </c>
      <c r="O88" s="24"/>
      <c r="P88" s="28">
        <f t="shared" si="14"/>
        <v>-179.0677458</v>
      </c>
      <c r="Q88" s="27">
        <f t="shared" si="15"/>
        <v>394.7882309</v>
      </c>
      <c r="R88" s="26"/>
      <c r="S88" s="9">
        <f t="shared" si="13"/>
        <v>2.002713013</v>
      </c>
    </row>
    <row r="89">
      <c r="A89" s="11">
        <v>77.0</v>
      </c>
      <c r="B89" s="11">
        <v>1.4197304347826E9</v>
      </c>
      <c r="C89" s="2">
        <v>-102.5105591</v>
      </c>
      <c r="D89" s="24">
        <f t="shared" si="1"/>
        <v>-669565.2174</v>
      </c>
      <c r="E89" s="25">
        <f t="shared" si="2"/>
        <v>140.4993082</v>
      </c>
      <c r="F89" s="24">
        <f t="shared" si="3"/>
        <v>0.0002098366292</v>
      </c>
      <c r="G89" s="24">
        <f t="shared" si="4"/>
        <v>0</v>
      </c>
      <c r="H89" s="26">
        <f t="shared" si="5"/>
        <v>0</v>
      </c>
      <c r="I89" s="24">
        <f t="shared" si="6"/>
        <v>0</v>
      </c>
      <c r="J89" s="24">
        <f t="shared" si="7"/>
        <v>0</v>
      </c>
      <c r="K89" s="24"/>
      <c r="L89" s="24">
        <f t="shared" si="8"/>
        <v>426.6288862</v>
      </c>
      <c r="M89" s="14">
        <f t="shared" si="9"/>
        <v>427.9254635</v>
      </c>
      <c r="N89" s="27">
        <f t="shared" si="10"/>
        <v>-1.296577281</v>
      </c>
      <c r="O89" s="24"/>
      <c r="P89" s="28">
        <f t="shared" si="14"/>
        <v>-179.9860419</v>
      </c>
      <c r="Q89" s="27">
        <f t="shared" si="15"/>
        <v>389.7666329</v>
      </c>
      <c r="R89" s="26"/>
      <c r="S89" s="9">
        <f t="shared" si="13"/>
        <v>-1.190641903</v>
      </c>
    </row>
    <row r="90">
      <c r="A90" s="11">
        <v>78.0</v>
      </c>
      <c r="B90" s="11">
        <v>1.41973478260869E9</v>
      </c>
      <c r="C90" s="2">
        <v>-102.5046844</v>
      </c>
      <c r="D90" s="24">
        <f t="shared" si="1"/>
        <v>-665217.3913</v>
      </c>
      <c r="E90" s="25">
        <f t="shared" si="2"/>
        <v>139.5810121</v>
      </c>
      <c r="F90" s="24">
        <f t="shared" si="3"/>
        <v>0.0002098276652</v>
      </c>
      <c r="G90" s="24">
        <f t="shared" si="4"/>
        <v>0</v>
      </c>
      <c r="H90" s="26">
        <f t="shared" si="5"/>
        <v>0</v>
      </c>
      <c r="I90" s="24">
        <f t="shared" si="6"/>
        <v>0</v>
      </c>
      <c r="J90" s="24">
        <f t="shared" si="7"/>
        <v>0</v>
      </c>
      <c r="K90" s="24"/>
      <c r="L90" s="24">
        <f t="shared" si="8"/>
        <v>427.2063775</v>
      </c>
      <c r="M90" s="14">
        <f t="shared" si="9"/>
        <v>427.872194</v>
      </c>
      <c r="N90" s="27">
        <f t="shared" si="10"/>
        <v>-0.6658165515</v>
      </c>
      <c r="O90" s="24"/>
      <c r="P90" s="28">
        <f t="shared" si="14"/>
        <v>-180.904338</v>
      </c>
      <c r="Q90" s="27">
        <f t="shared" si="15"/>
        <v>402.3859863</v>
      </c>
      <c r="R90" s="26"/>
      <c r="S90" s="9">
        <f t="shared" si="13"/>
        <v>-0.6114167644</v>
      </c>
    </row>
    <row r="91">
      <c r="A91" s="11">
        <v>79.0</v>
      </c>
      <c r="B91" s="11">
        <v>1.41973913043478E9</v>
      </c>
      <c r="C91" s="2">
        <v>-102.4632874</v>
      </c>
      <c r="D91" s="24">
        <f t="shared" si="1"/>
        <v>-660869.5652</v>
      </c>
      <c r="E91" s="25">
        <f t="shared" si="2"/>
        <v>138.662716</v>
      </c>
      <c r="F91" s="24">
        <f t="shared" si="3"/>
        <v>0.0002098185833</v>
      </c>
      <c r="G91" s="24">
        <f t="shared" si="4"/>
        <v>0</v>
      </c>
      <c r="H91" s="26">
        <f t="shared" si="5"/>
        <v>0</v>
      </c>
      <c r="I91" s="24">
        <f t="shared" si="6"/>
        <v>0</v>
      </c>
      <c r="J91" s="24">
        <f t="shared" si="7"/>
        <v>0</v>
      </c>
      <c r="K91" s="24"/>
      <c r="L91" s="24">
        <f t="shared" si="8"/>
        <v>431.2979832</v>
      </c>
      <c r="M91" s="14">
        <f t="shared" si="9"/>
        <v>427.8184842</v>
      </c>
      <c r="N91" s="27">
        <f t="shared" si="10"/>
        <v>3.479499011</v>
      </c>
      <c r="O91" s="24"/>
      <c r="P91" s="28">
        <f t="shared" si="14"/>
        <v>-181.8226342</v>
      </c>
      <c r="Q91" s="27">
        <f t="shared" si="15"/>
        <v>392.0513534</v>
      </c>
      <c r="R91" s="26"/>
      <c r="S91" s="9">
        <f t="shared" si="13"/>
        <v>3.195210479</v>
      </c>
    </row>
    <row r="92">
      <c r="A92" s="11">
        <v>80.0</v>
      </c>
      <c r="B92" s="11">
        <v>1.41974347826087E9</v>
      </c>
      <c r="C92" s="2">
        <v>-102.4213562</v>
      </c>
      <c r="D92" s="24">
        <f t="shared" si="1"/>
        <v>-656521.7391</v>
      </c>
      <c r="E92" s="25">
        <f t="shared" si="2"/>
        <v>137.7444198</v>
      </c>
      <c r="F92" s="24">
        <f t="shared" si="3"/>
        <v>0.0002098093812</v>
      </c>
      <c r="G92" s="24">
        <f t="shared" si="4"/>
        <v>0</v>
      </c>
      <c r="H92" s="26">
        <f t="shared" si="5"/>
        <v>0</v>
      </c>
      <c r="I92" s="24">
        <f t="shared" si="6"/>
        <v>0</v>
      </c>
      <c r="J92" s="24">
        <f t="shared" si="7"/>
        <v>0</v>
      </c>
      <c r="K92" s="24"/>
      <c r="L92" s="24">
        <f t="shared" si="8"/>
        <v>435.4823395</v>
      </c>
      <c r="M92" s="14">
        <f t="shared" si="9"/>
        <v>427.7643361</v>
      </c>
      <c r="N92" s="27">
        <f t="shared" si="10"/>
        <v>7.718003382</v>
      </c>
      <c r="O92" s="24"/>
      <c r="P92" s="28">
        <f t="shared" si="14"/>
        <v>-182.7409303</v>
      </c>
      <c r="Q92" s="27">
        <f t="shared" si="15"/>
        <v>392.139515</v>
      </c>
      <c r="R92" s="26"/>
      <c r="S92" s="9">
        <f t="shared" si="13"/>
        <v>7.087412658</v>
      </c>
    </row>
    <row r="93">
      <c r="A93" s="11">
        <v>81.0</v>
      </c>
      <c r="B93" s="11">
        <v>1.41974782608695E9</v>
      </c>
      <c r="C93" s="2">
        <v>-102.4972839</v>
      </c>
      <c r="D93" s="24">
        <f t="shared" si="1"/>
        <v>-652173.913</v>
      </c>
      <c r="E93" s="25">
        <f t="shared" si="2"/>
        <v>136.8261237</v>
      </c>
      <c r="F93" s="24">
        <f t="shared" si="3"/>
        <v>0.0002098000563</v>
      </c>
      <c r="G93" s="24">
        <f t="shared" si="4"/>
        <v>0</v>
      </c>
      <c r="H93" s="26">
        <f t="shared" si="5"/>
        <v>0</v>
      </c>
      <c r="I93" s="24">
        <f t="shared" si="6"/>
        <v>0</v>
      </c>
      <c r="J93" s="24">
        <f t="shared" si="7"/>
        <v>0</v>
      </c>
      <c r="K93" s="24"/>
      <c r="L93" s="24">
        <f t="shared" si="8"/>
        <v>427.9349698</v>
      </c>
      <c r="M93" s="14">
        <f t="shared" si="9"/>
        <v>427.7097518</v>
      </c>
      <c r="N93" s="27">
        <f t="shared" si="10"/>
        <v>0.2252179742</v>
      </c>
      <c r="O93" s="24"/>
      <c r="P93" s="28">
        <f t="shared" si="14"/>
        <v>-183.6592264</v>
      </c>
      <c r="Q93" s="27">
        <f t="shared" si="15"/>
        <v>396.0476196</v>
      </c>
      <c r="R93" s="26"/>
      <c r="S93" s="9">
        <f t="shared" si="13"/>
        <v>0.2068167947</v>
      </c>
    </row>
    <row r="94">
      <c r="A94" s="11">
        <v>82.0</v>
      </c>
      <c r="B94" s="11">
        <v>1.41975217391304E9</v>
      </c>
      <c r="C94" s="2">
        <v>-102.4780884</v>
      </c>
      <c r="D94" s="24">
        <f t="shared" si="1"/>
        <v>-647826.087</v>
      </c>
      <c r="E94" s="25">
        <f t="shared" si="2"/>
        <v>135.9078276</v>
      </c>
      <c r="F94" s="24">
        <f t="shared" si="3"/>
        <v>0.0002097906063</v>
      </c>
      <c r="G94" s="24">
        <f t="shared" si="4"/>
        <v>0</v>
      </c>
      <c r="H94" s="26">
        <f t="shared" si="5"/>
        <v>0</v>
      </c>
      <c r="I94" s="24">
        <f t="shared" si="6"/>
        <v>0</v>
      </c>
      <c r="J94" s="24">
        <f t="shared" si="7"/>
        <v>0</v>
      </c>
      <c r="K94" s="24"/>
      <c r="L94" s="24">
        <f t="shared" si="8"/>
        <v>429.8305974</v>
      </c>
      <c r="M94" s="14">
        <f t="shared" si="9"/>
        <v>427.6547333</v>
      </c>
      <c r="N94" s="27">
        <f t="shared" si="10"/>
        <v>2.175864091</v>
      </c>
      <c r="O94" s="24"/>
      <c r="P94" s="28">
        <f t="shared" si="14"/>
        <v>-184.5775226</v>
      </c>
      <c r="Q94" s="27">
        <f t="shared" si="15"/>
        <v>394.2441769</v>
      </c>
      <c r="R94" s="26"/>
      <c r="S94" s="9">
        <f t="shared" si="13"/>
        <v>1.998087576</v>
      </c>
    </row>
    <row r="95">
      <c r="A95" s="11">
        <v>83.0</v>
      </c>
      <c r="B95" s="11">
        <v>1.41975652173913E9</v>
      </c>
      <c r="C95" s="2">
        <v>-102.5349731</v>
      </c>
      <c r="D95" s="24">
        <f t="shared" si="1"/>
        <v>-643478.2609</v>
      </c>
      <c r="E95" s="25">
        <f t="shared" si="2"/>
        <v>134.9895314</v>
      </c>
      <c r="F95" s="24">
        <f t="shared" si="3"/>
        <v>0.0002097810286</v>
      </c>
      <c r="G95" s="24">
        <f t="shared" si="4"/>
        <v>0</v>
      </c>
      <c r="H95" s="26">
        <f t="shared" si="5"/>
        <v>0</v>
      </c>
      <c r="I95" s="24">
        <f t="shared" si="6"/>
        <v>0</v>
      </c>
      <c r="J95" s="24">
        <f t="shared" si="7"/>
        <v>0</v>
      </c>
      <c r="K95" s="24"/>
      <c r="L95" s="24">
        <f t="shared" si="8"/>
        <v>424.2373071</v>
      </c>
      <c r="M95" s="14">
        <f t="shared" si="9"/>
        <v>427.5992826</v>
      </c>
      <c r="N95" s="27">
        <f t="shared" si="10"/>
        <v>-3.361975531</v>
      </c>
      <c r="O95" s="24"/>
      <c r="P95" s="28">
        <f t="shared" si="14"/>
        <v>-185.4958187</v>
      </c>
      <c r="Q95" s="27">
        <f t="shared" si="15"/>
        <v>397.1484276</v>
      </c>
      <c r="R95" s="26"/>
      <c r="S95" s="9">
        <f t="shared" si="13"/>
        <v>-3.087289128</v>
      </c>
    </row>
    <row r="96">
      <c r="A96" s="11">
        <v>84.0</v>
      </c>
      <c r="B96" s="11">
        <v>1.41976086956521E9</v>
      </c>
      <c r="C96" s="2">
        <v>-102.4690018</v>
      </c>
      <c r="D96" s="24">
        <f t="shared" si="1"/>
        <v>-639130.4348</v>
      </c>
      <c r="E96" s="25">
        <f t="shared" si="2"/>
        <v>134.0712353</v>
      </c>
      <c r="F96" s="24">
        <f t="shared" si="3"/>
        <v>0.0002097713205</v>
      </c>
      <c r="G96" s="24">
        <f t="shared" si="4"/>
        <v>0</v>
      </c>
      <c r="H96" s="26">
        <f t="shared" si="5"/>
        <v>0</v>
      </c>
      <c r="I96" s="24">
        <f t="shared" si="6"/>
        <v>0</v>
      </c>
      <c r="J96" s="24">
        <f t="shared" si="7"/>
        <v>0</v>
      </c>
      <c r="K96" s="24"/>
      <c r="L96" s="24">
        <f t="shared" si="8"/>
        <v>430.7308592</v>
      </c>
      <c r="M96" s="14">
        <f t="shared" si="9"/>
        <v>427.5434019</v>
      </c>
      <c r="N96" s="27">
        <f t="shared" si="10"/>
        <v>3.187457276</v>
      </c>
      <c r="O96" s="24"/>
      <c r="P96" s="28">
        <f t="shared" si="14"/>
        <v>-186.4141148</v>
      </c>
      <c r="Q96" s="27">
        <f t="shared" si="15"/>
        <v>392.9021609</v>
      </c>
      <c r="R96" s="26"/>
      <c r="S96" s="9">
        <f t="shared" si="13"/>
        <v>2.92702969</v>
      </c>
    </row>
    <row r="97">
      <c r="A97" s="11">
        <v>85.0</v>
      </c>
      <c r="B97" s="11">
        <v>1.4197652173913E9</v>
      </c>
      <c r="C97" s="2">
        <v>-102.5273743</v>
      </c>
      <c r="D97" s="24">
        <f t="shared" si="1"/>
        <v>-634782.6087</v>
      </c>
      <c r="E97" s="25">
        <f t="shared" si="2"/>
        <v>133.1529392</v>
      </c>
      <c r="F97" s="24">
        <f t="shared" si="3"/>
        <v>0.0002097614795</v>
      </c>
      <c r="G97" s="24">
        <f t="shared" si="4"/>
        <v>0</v>
      </c>
      <c r="H97" s="26">
        <f t="shared" si="5"/>
        <v>0</v>
      </c>
      <c r="I97" s="24">
        <f t="shared" si="6"/>
        <v>0</v>
      </c>
      <c r="J97" s="24">
        <f t="shared" si="7"/>
        <v>0</v>
      </c>
      <c r="K97" s="24"/>
      <c r="L97" s="24">
        <f t="shared" si="8"/>
        <v>424.9802399</v>
      </c>
      <c r="M97" s="14">
        <f t="shared" si="9"/>
        <v>427.4870932</v>
      </c>
      <c r="N97" s="27">
        <f t="shared" si="10"/>
        <v>-2.506853242</v>
      </c>
      <c r="O97" s="24"/>
      <c r="P97" s="28">
        <f t="shared" si="14"/>
        <v>-187.332411</v>
      </c>
      <c r="Q97" s="27">
        <f t="shared" si="15"/>
        <v>391.1625218</v>
      </c>
      <c r="R97" s="26"/>
      <c r="S97" s="9">
        <f t="shared" si="13"/>
        <v>-2.302033632</v>
      </c>
    </row>
    <row r="98">
      <c r="A98" s="11">
        <v>86.0</v>
      </c>
      <c r="B98" s="11">
        <v>1.41976956521739E9</v>
      </c>
      <c r="C98" s="2">
        <v>-102.4807816</v>
      </c>
      <c r="D98" s="24">
        <f t="shared" si="1"/>
        <v>-630434.7826</v>
      </c>
      <c r="E98" s="25">
        <f t="shared" si="2"/>
        <v>132.234643</v>
      </c>
      <c r="F98" s="24">
        <f t="shared" si="3"/>
        <v>0.0002097515027</v>
      </c>
      <c r="G98" s="24">
        <f t="shared" si="4"/>
        <v>0</v>
      </c>
      <c r="H98" s="26">
        <f t="shared" si="5"/>
        <v>0</v>
      </c>
      <c r="I98" s="24">
        <f t="shared" si="6"/>
        <v>0</v>
      </c>
      <c r="J98" s="24">
        <f t="shared" si="7"/>
        <v>0</v>
      </c>
      <c r="K98" s="24"/>
      <c r="L98" s="24">
        <f t="shared" si="8"/>
        <v>429.5641282</v>
      </c>
      <c r="M98" s="14">
        <f t="shared" si="9"/>
        <v>427.4303585</v>
      </c>
      <c r="N98" s="27">
        <f t="shared" si="10"/>
        <v>2.133769714</v>
      </c>
      <c r="O98" s="24"/>
      <c r="P98" s="28">
        <f t="shared" si="14"/>
        <v>-188.2507071</v>
      </c>
      <c r="Q98" s="27">
        <f t="shared" si="15"/>
        <v>398.6386812</v>
      </c>
      <c r="R98" s="26"/>
      <c r="S98" s="9">
        <f t="shared" si="13"/>
        <v>1.959432476</v>
      </c>
    </row>
    <row r="99">
      <c r="A99" s="11">
        <v>87.0</v>
      </c>
      <c r="B99" s="11">
        <v>1.41977391304347E9</v>
      </c>
      <c r="C99" s="2">
        <v>-102.5039444</v>
      </c>
      <c r="D99" s="24">
        <f t="shared" si="1"/>
        <v>-626086.9565</v>
      </c>
      <c r="E99" s="25">
        <f t="shared" si="2"/>
        <v>131.3163469</v>
      </c>
      <c r="F99" s="24">
        <f t="shared" si="3"/>
        <v>0.0002097413874</v>
      </c>
      <c r="G99" s="24">
        <f t="shared" si="4"/>
        <v>0</v>
      </c>
      <c r="H99" s="26">
        <f t="shared" si="5"/>
        <v>0</v>
      </c>
      <c r="I99" s="24">
        <f t="shared" si="6"/>
        <v>0</v>
      </c>
      <c r="J99" s="24">
        <f t="shared" si="7"/>
        <v>0</v>
      </c>
      <c r="K99" s="24"/>
      <c r="L99" s="24">
        <f t="shared" si="8"/>
        <v>427.2791759</v>
      </c>
      <c r="M99" s="14">
        <f t="shared" si="9"/>
        <v>427.3731999</v>
      </c>
      <c r="N99" s="27">
        <f t="shared" si="10"/>
        <v>-0.09402391801</v>
      </c>
      <c r="O99" s="24"/>
      <c r="P99" s="28">
        <f t="shared" si="14"/>
        <v>-189.1690032</v>
      </c>
      <c r="Q99" s="27">
        <f t="shared" si="15"/>
        <v>401.6317406</v>
      </c>
      <c r="R99" s="26"/>
      <c r="S99" s="9">
        <f t="shared" si="13"/>
        <v>-0.0863418003</v>
      </c>
    </row>
    <row r="100">
      <c r="A100" s="11">
        <v>88.0</v>
      </c>
      <c r="B100" s="11">
        <v>1.41977826086956E9</v>
      </c>
      <c r="C100" s="2">
        <v>-102.5234604</v>
      </c>
      <c r="D100" s="24">
        <f t="shared" si="1"/>
        <v>-621739.1304</v>
      </c>
      <c r="E100" s="25">
        <f t="shared" si="2"/>
        <v>130.3980508</v>
      </c>
      <c r="F100" s="24">
        <f t="shared" si="3"/>
        <v>0.0002097311306</v>
      </c>
      <c r="G100" s="24">
        <f t="shared" si="4"/>
        <v>0</v>
      </c>
      <c r="H100" s="26">
        <f t="shared" si="5"/>
        <v>0</v>
      </c>
      <c r="I100" s="24">
        <f t="shared" si="6"/>
        <v>0</v>
      </c>
      <c r="J100" s="24">
        <f t="shared" si="7"/>
        <v>0</v>
      </c>
      <c r="K100" s="24"/>
      <c r="L100" s="24">
        <f t="shared" si="8"/>
        <v>425.3634085</v>
      </c>
      <c r="M100" s="14">
        <f t="shared" si="9"/>
        <v>427.3156194</v>
      </c>
      <c r="N100" s="27">
        <f t="shared" si="10"/>
        <v>-1.952210897</v>
      </c>
      <c r="O100" s="24"/>
      <c r="P100" s="28">
        <f t="shared" si="14"/>
        <v>-190.0872994</v>
      </c>
      <c r="Q100" s="27">
        <f t="shared" si="15"/>
        <v>395.3545555</v>
      </c>
      <c r="R100" s="26"/>
      <c r="S100" s="9">
        <f t="shared" si="13"/>
        <v>-1.792707713</v>
      </c>
    </row>
    <row r="101">
      <c r="A101" s="11">
        <v>89.0</v>
      </c>
      <c r="B101" s="11">
        <v>1.41978260869565E9</v>
      </c>
      <c r="C101" s="2">
        <v>-102.5200348</v>
      </c>
      <c r="D101" s="24">
        <f t="shared" si="1"/>
        <v>-617391.3043</v>
      </c>
      <c r="E101" s="25">
        <f t="shared" si="2"/>
        <v>129.4797546</v>
      </c>
      <c r="F101" s="24">
        <f t="shared" si="3"/>
        <v>0.0002097207293</v>
      </c>
      <c r="G101" s="24">
        <f t="shared" si="4"/>
        <v>0</v>
      </c>
      <c r="H101" s="26">
        <f t="shared" si="5"/>
        <v>0</v>
      </c>
      <c r="I101" s="24">
        <f t="shared" si="6"/>
        <v>0</v>
      </c>
      <c r="J101" s="24">
        <f t="shared" si="7"/>
        <v>0</v>
      </c>
      <c r="K101" s="24"/>
      <c r="L101" s="24">
        <f t="shared" si="8"/>
        <v>425.6990563</v>
      </c>
      <c r="M101" s="14">
        <f t="shared" si="9"/>
        <v>427.2576191</v>
      </c>
      <c r="N101" s="27">
        <f t="shared" si="10"/>
        <v>-1.558562853</v>
      </c>
      <c r="O101" s="24"/>
      <c r="P101" s="28">
        <f t="shared" si="14"/>
        <v>-191.0055955</v>
      </c>
      <c r="Q101" s="27">
        <f t="shared" si="15"/>
        <v>396.1791331</v>
      </c>
      <c r="R101" s="26"/>
      <c r="S101" s="9">
        <f t="shared" si="13"/>
        <v>-1.43122224</v>
      </c>
    </row>
    <row r="102">
      <c r="A102" s="11">
        <v>90.0</v>
      </c>
      <c r="B102" s="11">
        <v>1.41978695652173E9</v>
      </c>
      <c r="C102" s="2">
        <v>-102.5333633</v>
      </c>
      <c r="D102" s="24">
        <f t="shared" si="1"/>
        <v>-613043.4783</v>
      </c>
      <c r="E102" s="25">
        <f t="shared" si="2"/>
        <v>128.5614585</v>
      </c>
      <c r="F102" s="24">
        <f t="shared" si="3"/>
        <v>0.0002097101805</v>
      </c>
      <c r="G102" s="24">
        <f t="shared" si="4"/>
        <v>0</v>
      </c>
      <c r="H102" s="26">
        <f t="shared" si="5"/>
        <v>0</v>
      </c>
      <c r="I102" s="24">
        <f t="shared" si="6"/>
        <v>0</v>
      </c>
      <c r="J102" s="24">
        <f t="shared" si="7"/>
        <v>0</v>
      </c>
      <c r="K102" s="24"/>
      <c r="L102" s="24">
        <f t="shared" si="8"/>
        <v>424.3945884</v>
      </c>
      <c r="M102" s="14">
        <f t="shared" si="9"/>
        <v>427.1992011</v>
      </c>
      <c r="N102" s="27">
        <f t="shared" si="10"/>
        <v>-2.804612721</v>
      </c>
      <c r="O102" s="24"/>
      <c r="P102" s="28">
        <f t="shared" si="14"/>
        <v>-191.9238916</v>
      </c>
      <c r="Q102" s="27">
        <f t="shared" si="15"/>
        <v>396.2278587</v>
      </c>
      <c r="R102" s="26"/>
      <c r="S102" s="9">
        <f t="shared" si="13"/>
        <v>-2.575465015</v>
      </c>
    </row>
    <row r="103">
      <c r="A103" s="11">
        <v>91.0</v>
      </c>
      <c r="B103" s="11">
        <v>1.41979130434782E9</v>
      </c>
      <c r="C103" s="2">
        <v>-102.4980087</v>
      </c>
      <c r="D103" s="24">
        <f t="shared" si="1"/>
        <v>-608695.6522</v>
      </c>
      <c r="E103" s="25">
        <f t="shared" si="2"/>
        <v>127.6431624</v>
      </c>
      <c r="F103" s="24">
        <f t="shared" si="3"/>
        <v>0.000209699481</v>
      </c>
      <c r="G103" s="24">
        <f t="shared" si="4"/>
        <v>0</v>
      </c>
      <c r="H103" s="26">
        <f t="shared" si="5"/>
        <v>0</v>
      </c>
      <c r="I103" s="24">
        <f t="shared" si="6"/>
        <v>0</v>
      </c>
      <c r="J103" s="24">
        <f t="shared" si="7"/>
        <v>0</v>
      </c>
      <c r="K103" s="24"/>
      <c r="L103" s="24">
        <f t="shared" si="8"/>
        <v>427.8635571</v>
      </c>
      <c r="M103" s="14">
        <f t="shared" si="9"/>
        <v>427.1403673</v>
      </c>
      <c r="N103" s="27">
        <f t="shared" si="10"/>
        <v>0.7231897316</v>
      </c>
      <c r="O103" s="24"/>
      <c r="P103" s="28">
        <f t="shared" si="14"/>
        <v>-192.8421877</v>
      </c>
      <c r="Q103" s="27">
        <f t="shared" si="15"/>
        <v>399.9820182</v>
      </c>
      <c r="R103" s="26"/>
      <c r="S103" s="9">
        <f t="shared" si="13"/>
        <v>0.6641023338</v>
      </c>
    </row>
    <row r="104">
      <c r="A104" s="11">
        <v>92.0</v>
      </c>
      <c r="B104" s="11">
        <v>1.41979565217391E9</v>
      </c>
      <c r="C104" s="2">
        <v>-102.5088348</v>
      </c>
      <c r="D104" s="24">
        <f t="shared" si="1"/>
        <v>-604347.8261</v>
      </c>
      <c r="E104" s="25">
        <f t="shared" si="2"/>
        <v>126.7248662</v>
      </c>
      <c r="F104" s="24">
        <f t="shared" si="3"/>
        <v>0.0002096886276</v>
      </c>
      <c r="G104" s="24">
        <f t="shared" si="4"/>
        <v>0</v>
      </c>
      <c r="H104" s="26">
        <f t="shared" si="5"/>
        <v>0</v>
      </c>
      <c r="I104" s="24">
        <f t="shared" si="6"/>
        <v>0</v>
      </c>
      <c r="J104" s="24">
        <f t="shared" si="7"/>
        <v>0</v>
      </c>
      <c r="K104" s="24"/>
      <c r="L104" s="24">
        <f t="shared" si="8"/>
        <v>426.7983064</v>
      </c>
      <c r="M104" s="14">
        <f t="shared" si="9"/>
        <v>427.08112</v>
      </c>
      <c r="N104" s="27">
        <f t="shared" si="10"/>
        <v>-0.2828135836</v>
      </c>
      <c r="O104" s="24"/>
      <c r="P104" s="28">
        <f t="shared" si="14"/>
        <v>-193.7604839</v>
      </c>
      <c r="Q104" s="27">
        <f t="shared" si="15"/>
        <v>397.8376376</v>
      </c>
      <c r="R104" s="26"/>
      <c r="S104" s="9">
        <f t="shared" si="13"/>
        <v>-0.2597066195</v>
      </c>
    </row>
    <row r="105">
      <c r="A105" s="11">
        <v>93.0</v>
      </c>
      <c r="B105" s="11">
        <v>1.4198E9</v>
      </c>
      <c r="C105" s="2">
        <v>-102.5269623</v>
      </c>
      <c r="D105" s="24">
        <f t="shared" si="1"/>
        <v>-600000</v>
      </c>
      <c r="E105" s="25">
        <f t="shared" si="2"/>
        <v>125.8065701</v>
      </c>
      <c r="F105" s="24">
        <f t="shared" si="3"/>
        <v>0.0002096776168</v>
      </c>
      <c r="G105" s="24">
        <f t="shared" si="4"/>
        <v>0</v>
      </c>
      <c r="H105" s="26">
        <f t="shared" si="5"/>
        <v>0</v>
      </c>
      <c r="I105" s="24">
        <f t="shared" si="6"/>
        <v>0</v>
      </c>
      <c r="J105" s="24">
        <f t="shared" si="7"/>
        <v>0</v>
      </c>
      <c r="K105" s="24"/>
      <c r="L105" s="24">
        <f t="shared" si="8"/>
        <v>425.0205582</v>
      </c>
      <c r="M105" s="14">
        <f t="shared" si="9"/>
        <v>427.021461</v>
      </c>
      <c r="N105" s="27">
        <f t="shared" si="10"/>
        <v>-2.000902734</v>
      </c>
      <c r="O105" s="24"/>
      <c r="P105" s="28">
        <f t="shared" si="14"/>
        <v>-194.67878</v>
      </c>
      <c r="Q105" s="27">
        <f t="shared" si="15"/>
        <v>396.7363079</v>
      </c>
      <c r="R105" s="26"/>
      <c r="S105" s="9">
        <f t="shared" si="13"/>
        <v>-1.837421243</v>
      </c>
    </row>
    <row r="106">
      <c r="A106" s="11">
        <v>94.0</v>
      </c>
      <c r="B106" s="11">
        <v>1.41980434782608E9</v>
      </c>
      <c r="C106" s="2">
        <v>-102.6089935</v>
      </c>
      <c r="D106" s="24">
        <f t="shared" si="1"/>
        <v>-595652.1739</v>
      </c>
      <c r="E106" s="25">
        <f t="shared" si="2"/>
        <v>124.888274</v>
      </c>
      <c r="F106" s="24">
        <f t="shared" si="3"/>
        <v>0.0002096664454</v>
      </c>
      <c r="G106" s="24">
        <f t="shared" si="4"/>
        <v>0</v>
      </c>
      <c r="H106" s="26">
        <f t="shared" si="5"/>
        <v>0</v>
      </c>
      <c r="I106" s="24">
        <f t="shared" si="6"/>
        <v>0</v>
      </c>
      <c r="J106" s="24">
        <f t="shared" si="7"/>
        <v>0</v>
      </c>
      <c r="K106" s="24"/>
      <c r="L106" s="24">
        <f t="shared" si="8"/>
        <v>417.06795</v>
      </c>
      <c r="M106" s="14">
        <f t="shared" si="9"/>
        <v>426.9613925</v>
      </c>
      <c r="N106" s="27">
        <f t="shared" si="10"/>
        <v>-9.893442417</v>
      </c>
      <c r="O106" s="24"/>
      <c r="P106" s="28">
        <f t="shared" si="14"/>
        <v>-195.5970761</v>
      </c>
      <c r="Q106" s="27">
        <f t="shared" si="15"/>
        <v>392.7744936</v>
      </c>
      <c r="R106" s="26"/>
      <c r="S106" s="9">
        <f t="shared" si="13"/>
        <v>-9.085109911</v>
      </c>
    </row>
    <row r="107">
      <c r="A107" s="11">
        <v>95.0</v>
      </c>
      <c r="B107" s="11">
        <v>1.41980869565217E9</v>
      </c>
      <c r="C107" s="2">
        <v>-102.4432831</v>
      </c>
      <c r="D107" s="24">
        <f t="shared" si="1"/>
        <v>-591304.3478</v>
      </c>
      <c r="E107" s="25">
        <f t="shared" si="2"/>
        <v>123.9699778</v>
      </c>
      <c r="F107" s="24">
        <f t="shared" si="3"/>
        <v>0.0002096551096</v>
      </c>
      <c r="G107" s="24">
        <f t="shared" si="4"/>
        <v>0</v>
      </c>
      <c r="H107" s="26">
        <f t="shared" si="5"/>
        <v>0</v>
      </c>
      <c r="I107" s="24">
        <f t="shared" si="6"/>
        <v>0</v>
      </c>
      <c r="J107" s="24">
        <f t="shared" si="7"/>
        <v>0</v>
      </c>
      <c r="K107" s="24"/>
      <c r="L107" s="24">
        <f t="shared" si="8"/>
        <v>433.2891933</v>
      </c>
      <c r="M107" s="14">
        <f t="shared" si="9"/>
        <v>426.9009164</v>
      </c>
      <c r="N107" s="27">
        <f t="shared" si="10"/>
        <v>6.388276834</v>
      </c>
      <c r="O107" s="24"/>
      <c r="P107" s="28">
        <f t="shared" si="14"/>
        <v>-196.5153723</v>
      </c>
      <c r="Q107" s="27">
        <f t="shared" si="15"/>
        <v>397.9816401</v>
      </c>
      <c r="R107" s="26"/>
      <c r="S107" s="9">
        <f t="shared" si="13"/>
        <v>5.866329898</v>
      </c>
    </row>
    <row r="108">
      <c r="A108" s="11">
        <v>96.0</v>
      </c>
      <c r="B108" s="11">
        <v>1.41981304347826E9</v>
      </c>
      <c r="C108" s="2">
        <v>-102.5242462</v>
      </c>
      <c r="D108" s="24">
        <f t="shared" si="1"/>
        <v>-586956.5217</v>
      </c>
      <c r="E108" s="25">
        <f t="shared" si="2"/>
        <v>123.0516817</v>
      </c>
      <c r="F108" s="24">
        <f t="shared" si="3"/>
        <v>0.0002096436059</v>
      </c>
      <c r="G108" s="24">
        <f t="shared" si="4"/>
        <v>0</v>
      </c>
      <c r="H108" s="26">
        <f t="shared" si="5"/>
        <v>0</v>
      </c>
      <c r="I108" s="24">
        <f t="shared" si="6"/>
        <v>0</v>
      </c>
      <c r="J108" s="24">
        <f t="shared" si="7"/>
        <v>0</v>
      </c>
      <c r="K108" s="24"/>
      <c r="L108" s="24">
        <f t="shared" si="8"/>
        <v>425.2864514</v>
      </c>
      <c r="M108" s="14">
        <f t="shared" si="9"/>
        <v>426.840035</v>
      </c>
      <c r="N108" s="27">
        <f t="shared" si="10"/>
        <v>-1.553583588</v>
      </c>
      <c r="O108" s="24"/>
      <c r="P108" s="28">
        <f t="shared" si="14"/>
        <v>-197.4336684</v>
      </c>
      <c r="Q108" s="27">
        <f t="shared" si="15"/>
        <v>397.7537816</v>
      </c>
      <c r="R108" s="26"/>
      <c r="S108" s="9">
        <f t="shared" si="13"/>
        <v>-1.426649801</v>
      </c>
    </row>
    <row r="109">
      <c r="A109" s="11">
        <v>97.0</v>
      </c>
      <c r="B109" s="11">
        <v>1.41981739130434E9</v>
      </c>
      <c r="C109" s="2">
        <v>-102.5755463</v>
      </c>
      <c r="D109" s="24">
        <f t="shared" si="1"/>
        <v>-582608.6957</v>
      </c>
      <c r="E109" s="25">
        <f t="shared" si="2"/>
        <v>122.1333856</v>
      </c>
      <c r="F109" s="24">
        <f t="shared" si="3"/>
        <v>0.0002096319305</v>
      </c>
      <c r="G109" s="24">
        <f t="shared" si="4"/>
        <v>0</v>
      </c>
      <c r="H109" s="26">
        <f t="shared" si="5"/>
        <v>0</v>
      </c>
      <c r="I109" s="24">
        <f t="shared" si="6"/>
        <v>0</v>
      </c>
      <c r="J109" s="24">
        <f t="shared" si="7"/>
        <v>0</v>
      </c>
      <c r="K109" s="24"/>
      <c r="L109" s="24">
        <f t="shared" si="8"/>
        <v>420.2924005</v>
      </c>
      <c r="M109" s="14">
        <f t="shared" si="9"/>
        <v>426.7787502</v>
      </c>
      <c r="N109" s="27">
        <f t="shared" si="10"/>
        <v>-6.486349701</v>
      </c>
      <c r="O109" s="24"/>
      <c r="P109" s="28">
        <f t="shared" si="14"/>
        <v>-198.3519645</v>
      </c>
      <c r="Q109" s="27">
        <f t="shared" si="15"/>
        <v>399.3017167</v>
      </c>
      <c r="R109" s="26"/>
      <c r="S109" s="9">
        <f t="shared" si="13"/>
        <v>-5.956389846</v>
      </c>
    </row>
    <row r="110">
      <c r="A110" s="11">
        <v>98.0</v>
      </c>
      <c r="B110" s="11">
        <v>1.41982173913043E9</v>
      </c>
      <c r="C110" s="2">
        <v>-102.5161514</v>
      </c>
      <c r="D110" s="24">
        <f t="shared" si="1"/>
        <v>-578260.8696</v>
      </c>
      <c r="E110" s="25">
        <f t="shared" si="2"/>
        <v>121.2150894</v>
      </c>
      <c r="F110" s="24">
        <f t="shared" si="3"/>
        <v>0.0002096200795</v>
      </c>
      <c r="G110" s="24">
        <f t="shared" si="4"/>
        <v>0</v>
      </c>
      <c r="H110" s="26">
        <f t="shared" si="5"/>
        <v>0</v>
      </c>
      <c r="I110" s="24">
        <f t="shared" si="6"/>
        <v>0</v>
      </c>
      <c r="J110" s="24">
        <f t="shared" si="7"/>
        <v>0</v>
      </c>
      <c r="K110" s="24"/>
      <c r="L110" s="24">
        <f t="shared" si="8"/>
        <v>426.0798806</v>
      </c>
      <c r="M110" s="14">
        <f t="shared" si="9"/>
        <v>426.717064</v>
      </c>
      <c r="N110" s="27">
        <f t="shared" si="10"/>
        <v>-0.6371834434</v>
      </c>
      <c r="O110" s="24"/>
      <c r="P110" s="28">
        <f t="shared" si="14"/>
        <v>-199.2702607</v>
      </c>
      <c r="Q110" s="27">
        <f t="shared" si="15"/>
        <v>399.8070863</v>
      </c>
      <c r="R110" s="26"/>
      <c r="S110" s="9">
        <f t="shared" si="13"/>
        <v>-0.5851230906</v>
      </c>
    </row>
    <row r="111">
      <c r="A111" s="11">
        <v>99.0</v>
      </c>
      <c r="B111" s="11">
        <v>1.41982608695652E9</v>
      </c>
      <c r="C111" s="2">
        <v>-102.490181</v>
      </c>
      <c r="D111" s="24">
        <f t="shared" si="1"/>
        <v>-573913.0435</v>
      </c>
      <c r="E111" s="25">
        <f t="shared" si="2"/>
        <v>120.2967933</v>
      </c>
      <c r="F111" s="24">
        <f t="shared" si="3"/>
        <v>0.000209608049</v>
      </c>
      <c r="G111" s="24">
        <f t="shared" si="4"/>
        <v>0</v>
      </c>
      <c r="H111" s="26">
        <f t="shared" si="5"/>
        <v>0</v>
      </c>
      <c r="I111" s="24">
        <f t="shared" si="6"/>
        <v>0</v>
      </c>
      <c r="J111" s="24">
        <f t="shared" si="7"/>
        <v>0</v>
      </c>
      <c r="K111" s="24"/>
      <c r="L111" s="24">
        <f t="shared" si="8"/>
        <v>428.6354314</v>
      </c>
      <c r="M111" s="14">
        <f t="shared" si="9"/>
        <v>426.6549786</v>
      </c>
      <c r="N111" s="27">
        <f t="shared" si="10"/>
        <v>1.980452805</v>
      </c>
      <c r="O111" s="24"/>
      <c r="P111" s="28">
        <f t="shared" si="14"/>
        <v>-200.1885568</v>
      </c>
      <c r="Q111" s="27">
        <f t="shared" si="15"/>
        <v>398.7507449</v>
      </c>
      <c r="R111" s="26"/>
      <c r="S111" s="9">
        <f t="shared" si="13"/>
        <v>1.818642152</v>
      </c>
    </row>
    <row r="112">
      <c r="A112" s="11">
        <v>100.0</v>
      </c>
      <c r="B112" s="11">
        <v>1.4198304347826E9</v>
      </c>
      <c r="C112" s="2">
        <v>-102.5193787</v>
      </c>
      <c r="D112" s="24">
        <f t="shared" si="1"/>
        <v>-569565.2174</v>
      </c>
      <c r="E112" s="25">
        <f t="shared" si="2"/>
        <v>119.3784972</v>
      </c>
      <c r="F112" s="24">
        <f t="shared" si="3"/>
        <v>0.0002095958347</v>
      </c>
      <c r="G112" s="24">
        <f t="shared" si="4"/>
        <v>0</v>
      </c>
      <c r="H112" s="26">
        <f t="shared" si="5"/>
        <v>0</v>
      </c>
      <c r="I112" s="24">
        <f t="shared" si="6"/>
        <v>0</v>
      </c>
      <c r="J112" s="24">
        <f t="shared" si="7"/>
        <v>0</v>
      </c>
      <c r="K112" s="24"/>
      <c r="L112" s="24">
        <f t="shared" si="8"/>
        <v>425.7633726</v>
      </c>
      <c r="M112" s="14">
        <f t="shared" si="9"/>
        <v>426.592496</v>
      </c>
      <c r="N112" s="27">
        <f t="shared" si="10"/>
        <v>-0.8291233707</v>
      </c>
      <c r="O112" s="24"/>
      <c r="P112" s="28">
        <f t="shared" si="14"/>
        <v>-201.1068529</v>
      </c>
      <c r="Q112" s="27">
        <f t="shared" si="15"/>
        <v>392.1346934</v>
      </c>
      <c r="R112" s="26"/>
      <c r="S112" s="9">
        <f t="shared" si="13"/>
        <v>-0.7613807849</v>
      </c>
      <c r="U112" s="21"/>
      <c r="V112" s="21"/>
    </row>
    <row r="113">
      <c r="A113" s="11">
        <v>101.0</v>
      </c>
      <c r="B113" s="11">
        <v>1.41983478260869E9</v>
      </c>
      <c r="C113" s="2">
        <v>-102.4851151</v>
      </c>
      <c r="D113" s="24">
        <f t="shared" si="1"/>
        <v>-565217.3913</v>
      </c>
      <c r="E113" s="25">
        <f t="shared" si="2"/>
        <v>118.460201</v>
      </c>
      <c r="F113" s="24">
        <f t="shared" si="3"/>
        <v>0.0002095834326</v>
      </c>
      <c r="G113" s="24">
        <f t="shared" si="4"/>
        <v>0</v>
      </c>
      <c r="H113" s="26">
        <f t="shared" si="5"/>
        <v>0</v>
      </c>
      <c r="I113" s="24">
        <f t="shared" si="6"/>
        <v>0</v>
      </c>
      <c r="J113" s="24">
        <f t="shared" si="7"/>
        <v>0</v>
      </c>
      <c r="K113" s="24"/>
      <c r="L113" s="24">
        <f t="shared" si="8"/>
        <v>429.135712</v>
      </c>
      <c r="M113" s="14">
        <f t="shared" si="9"/>
        <v>426.5296181</v>
      </c>
      <c r="N113" s="27">
        <f t="shared" si="10"/>
        <v>2.606093905</v>
      </c>
      <c r="O113" s="24"/>
      <c r="P113" s="28">
        <f t="shared" si="14"/>
        <v>-202.0251491</v>
      </c>
      <c r="Q113" s="27">
        <f t="shared" si="15"/>
        <v>399.4329128</v>
      </c>
      <c r="R113" s="26"/>
      <c r="S113" s="9">
        <f t="shared" si="13"/>
        <v>2.393165955</v>
      </c>
      <c r="U113" s="21"/>
      <c r="V113" s="21"/>
    </row>
    <row r="114">
      <c r="A114" s="11">
        <v>102.0</v>
      </c>
      <c r="B114" s="11">
        <v>1.41983913043478E9</v>
      </c>
      <c r="C114" s="2">
        <v>-102.4865341</v>
      </c>
      <c r="D114" s="24">
        <f t="shared" si="1"/>
        <v>-560869.5652</v>
      </c>
      <c r="E114" s="25">
        <f t="shared" si="2"/>
        <v>117.5419049</v>
      </c>
      <c r="F114" s="24">
        <f t="shared" si="3"/>
        <v>0.0002095708382</v>
      </c>
      <c r="G114" s="24">
        <f t="shared" si="4"/>
        <v>0</v>
      </c>
      <c r="H114" s="26">
        <f t="shared" si="5"/>
        <v>0</v>
      </c>
      <c r="I114" s="24">
        <f t="shared" si="6"/>
        <v>0</v>
      </c>
      <c r="J114" s="24">
        <f t="shared" si="7"/>
        <v>0</v>
      </c>
      <c r="K114" s="24"/>
      <c r="L114" s="24">
        <f t="shared" si="8"/>
        <v>428.9955205</v>
      </c>
      <c r="M114" s="14">
        <f t="shared" si="9"/>
        <v>426.4663472</v>
      </c>
      <c r="N114" s="27">
        <f t="shared" si="10"/>
        <v>2.529173304</v>
      </c>
      <c r="O114" s="24"/>
      <c r="P114" s="28">
        <f t="shared" si="14"/>
        <v>-202.9434452</v>
      </c>
      <c r="Q114" s="27">
        <f t="shared" si="15"/>
        <v>403.0474682</v>
      </c>
      <c r="R114" s="26"/>
      <c r="S114" s="9">
        <f t="shared" si="13"/>
        <v>2.322530059</v>
      </c>
      <c r="U114" s="21"/>
      <c r="V114" s="21"/>
    </row>
    <row r="115">
      <c r="A115" s="11">
        <v>103.0</v>
      </c>
      <c r="B115" s="11">
        <v>1.41984347826087E9</v>
      </c>
      <c r="C115" s="2">
        <v>-102.581192</v>
      </c>
      <c r="D115" s="24">
        <f t="shared" si="1"/>
        <v>-556521.7391</v>
      </c>
      <c r="E115" s="25">
        <f t="shared" si="2"/>
        <v>116.6236088</v>
      </c>
      <c r="F115" s="24">
        <f t="shared" si="3"/>
        <v>0.000209558047</v>
      </c>
      <c r="G115" s="24">
        <f t="shared" si="4"/>
        <v>0</v>
      </c>
      <c r="H115" s="26">
        <f t="shared" si="5"/>
        <v>0</v>
      </c>
      <c r="I115" s="24">
        <f t="shared" si="6"/>
        <v>0</v>
      </c>
      <c r="J115" s="24">
        <f t="shared" si="7"/>
        <v>0</v>
      </c>
      <c r="K115" s="24"/>
      <c r="L115" s="24">
        <f t="shared" si="8"/>
        <v>419.7463878</v>
      </c>
      <c r="M115" s="14">
        <f t="shared" si="9"/>
        <v>426.4026852</v>
      </c>
      <c r="N115" s="27">
        <f t="shared" si="10"/>
        <v>-6.656297449</v>
      </c>
      <c r="O115" s="24"/>
      <c r="P115" s="28">
        <f t="shared" si="14"/>
        <v>-203.8617413</v>
      </c>
      <c r="Q115" s="27">
        <f t="shared" si="15"/>
        <v>391.9969405</v>
      </c>
      <c r="R115" s="26"/>
      <c r="S115" s="9">
        <f t="shared" si="13"/>
        <v>-6.112452206</v>
      </c>
      <c r="U115" s="21"/>
      <c r="V115" s="21"/>
    </row>
    <row r="116">
      <c r="A116" s="11">
        <v>104.0</v>
      </c>
      <c r="B116" s="11">
        <v>1.41984782608695E9</v>
      </c>
      <c r="C116" s="2">
        <v>-102.5575027</v>
      </c>
      <c r="D116" s="24">
        <f t="shared" si="1"/>
        <v>-552173.913</v>
      </c>
      <c r="E116" s="25">
        <f t="shared" si="2"/>
        <v>115.7053126</v>
      </c>
      <c r="F116" s="24">
        <f t="shared" si="3"/>
        <v>0.0002095450544</v>
      </c>
      <c r="G116" s="24">
        <f t="shared" si="4"/>
        <v>0</v>
      </c>
      <c r="H116" s="26">
        <f t="shared" si="5"/>
        <v>0</v>
      </c>
      <c r="I116" s="24">
        <f t="shared" si="6"/>
        <v>0</v>
      </c>
      <c r="J116" s="24">
        <f t="shared" si="7"/>
        <v>0</v>
      </c>
      <c r="K116" s="24"/>
      <c r="L116" s="24">
        <f t="shared" si="8"/>
        <v>422.0422186</v>
      </c>
      <c r="M116" s="14">
        <f t="shared" si="9"/>
        <v>426.3386342</v>
      </c>
      <c r="N116" s="27">
        <f t="shared" si="10"/>
        <v>-4.296415591</v>
      </c>
      <c r="O116" s="24"/>
      <c r="P116" s="28">
        <f t="shared" si="14"/>
        <v>-204.7800375</v>
      </c>
      <c r="Q116" s="27">
        <f t="shared" si="15"/>
        <v>397.9886321</v>
      </c>
      <c r="R116" s="26"/>
      <c r="S116" s="9">
        <f t="shared" si="13"/>
        <v>-3.945381823</v>
      </c>
      <c r="U116" s="21"/>
      <c r="V116" s="21"/>
    </row>
    <row r="117">
      <c r="A117" s="11">
        <v>105.0</v>
      </c>
      <c r="B117" s="11">
        <v>1.41985217391304E9</v>
      </c>
      <c r="C117" s="2">
        <v>-102.5182266</v>
      </c>
      <c r="D117" s="24">
        <f t="shared" si="1"/>
        <v>-547826.087</v>
      </c>
      <c r="E117" s="25">
        <f t="shared" si="2"/>
        <v>114.7870165</v>
      </c>
      <c r="F117" s="24">
        <f t="shared" si="3"/>
        <v>0.0002095318555</v>
      </c>
      <c r="G117" s="24">
        <f t="shared" si="4"/>
        <v>0</v>
      </c>
      <c r="H117" s="26">
        <f t="shared" si="5"/>
        <v>0</v>
      </c>
      <c r="I117" s="24">
        <f t="shared" si="6"/>
        <v>0</v>
      </c>
      <c r="J117" s="24">
        <f t="shared" si="7"/>
        <v>0</v>
      </c>
      <c r="K117" s="24"/>
      <c r="L117" s="24">
        <f t="shared" si="8"/>
        <v>425.8763344</v>
      </c>
      <c r="M117" s="14">
        <f t="shared" si="9"/>
        <v>426.2741962</v>
      </c>
      <c r="N117" s="27">
        <f t="shared" si="10"/>
        <v>-0.3978618042</v>
      </c>
      <c r="O117" s="24"/>
      <c r="P117" s="28">
        <f t="shared" si="14"/>
        <v>-205.6983336</v>
      </c>
      <c r="Q117" s="27">
        <f t="shared" si="15"/>
        <v>394.9366767</v>
      </c>
      <c r="R117" s="26"/>
      <c r="S117" s="9">
        <f t="shared" si="13"/>
        <v>-0.3653549553</v>
      </c>
      <c r="U117" s="21"/>
      <c r="V117" s="21"/>
    </row>
    <row r="118">
      <c r="A118" s="11">
        <v>106.0</v>
      </c>
      <c r="B118" s="11">
        <v>1.41985652173913E9</v>
      </c>
      <c r="C118" s="2">
        <v>-102.5617752</v>
      </c>
      <c r="D118" s="24">
        <f t="shared" si="1"/>
        <v>-543478.2609</v>
      </c>
      <c r="E118" s="25">
        <f t="shared" si="2"/>
        <v>113.8687204</v>
      </c>
      <c r="F118" s="24">
        <f t="shared" si="3"/>
        <v>0.0002095184455</v>
      </c>
      <c r="G118" s="24">
        <f t="shared" si="4"/>
        <v>0</v>
      </c>
      <c r="H118" s="26">
        <f t="shared" si="5"/>
        <v>0</v>
      </c>
      <c r="I118" s="24">
        <f t="shared" si="6"/>
        <v>0</v>
      </c>
      <c r="J118" s="24">
        <f t="shared" si="7"/>
        <v>0</v>
      </c>
      <c r="K118" s="24"/>
      <c r="L118" s="24">
        <f t="shared" si="8"/>
        <v>421.6272263</v>
      </c>
      <c r="M118" s="14">
        <f t="shared" si="9"/>
        <v>426.2093734</v>
      </c>
      <c r="N118" s="27">
        <f t="shared" si="10"/>
        <v>-4.582147071</v>
      </c>
      <c r="O118" s="24"/>
      <c r="P118" s="28">
        <f t="shared" si="14"/>
        <v>-206.6166297</v>
      </c>
      <c r="Q118" s="27">
        <f t="shared" si="15"/>
        <v>396.9824132</v>
      </c>
      <c r="R118" s="26"/>
      <c r="S118" s="9">
        <f t="shared" si="13"/>
        <v>-4.207767935</v>
      </c>
      <c r="U118" s="21"/>
      <c r="V118" s="21"/>
    </row>
    <row r="119">
      <c r="A119" s="11">
        <v>107.0</v>
      </c>
      <c r="B119" s="11">
        <v>1.41986086956521E9</v>
      </c>
      <c r="C119" s="2">
        <v>-102.5326309</v>
      </c>
      <c r="D119" s="24">
        <f t="shared" si="1"/>
        <v>-539130.4348</v>
      </c>
      <c r="E119" s="25">
        <f t="shared" si="2"/>
        <v>112.9504243</v>
      </c>
      <c r="F119" s="24">
        <f t="shared" si="3"/>
        <v>0.0002095048192</v>
      </c>
      <c r="G119" s="24">
        <f t="shared" si="4"/>
        <v>0</v>
      </c>
      <c r="H119" s="26">
        <f t="shared" si="5"/>
        <v>0</v>
      </c>
      <c r="I119" s="24">
        <f t="shared" si="6"/>
        <v>0</v>
      </c>
      <c r="J119" s="24">
        <f t="shared" si="7"/>
        <v>0</v>
      </c>
      <c r="K119" s="24"/>
      <c r="L119" s="24">
        <f t="shared" si="8"/>
        <v>424.4661649</v>
      </c>
      <c r="M119" s="14">
        <f t="shared" si="9"/>
        <v>426.1441676</v>
      </c>
      <c r="N119" s="27">
        <f t="shared" si="10"/>
        <v>-1.678002787</v>
      </c>
      <c r="O119" s="24"/>
      <c r="P119" s="28">
        <f t="shared" si="14"/>
        <v>-207.5349259</v>
      </c>
      <c r="Q119" s="27">
        <f t="shared" si="15"/>
        <v>396.601121</v>
      </c>
      <c r="R119" s="26"/>
      <c r="S119" s="9">
        <f t="shared" si="13"/>
        <v>-1.54090347</v>
      </c>
      <c r="U119" s="21"/>
      <c r="V119" s="21"/>
    </row>
    <row r="120">
      <c r="A120" s="11">
        <v>108.0</v>
      </c>
      <c r="B120" s="11">
        <v>1.4198652173913E9</v>
      </c>
      <c r="C120" s="2">
        <v>-102.5351334</v>
      </c>
      <c r="D120" s="24">
        <f t="shared" si="1"/>
        <v>-534782.6087</v>
      </c>
      <c r="E120" s="25">
        <f t="shared" si="2"/>
        <v>112.0321281</v>
      </c>
      <c r="F120" s="24">
        <f t="shared" si="3"/>
        <v>0.0002094909713</v>
      </c>
      <c r="G120" s="24">
        <f t="shared" si="4"/>
        <v>0</v>
      </c>
      <c r="H120" s="26">
        <f t="shared" si="5"/>
        <v>0</v>
      </c>
      <c r="I120" s="24">
        <f t="shared" si="6"/>
        <v>0</v>
      </c>
      <c r="J120" s="24">
        <f t="shared" si="7"/>
        <v>0</v>
      </c>
      <c r="K120" s="24"/>
      <c r="L120" s="24">
        <f t="shared" si="8"/>
        <v>424.2216486</v>
      </c>
      <c r="M120" s="14">
        <f t="shared" si="9"/>
        <v>426.0785811</v>
      </c>
      <c r="N120" s="27">
        <f t="shared" si="10"/>
        <v>-1.856932527</v>
      </c>
      <c r="O120" s="24"/>
      <c r="P120" s="28">
        <f t="shared" si="14"/>
        <v>-208.453222</v>
      </c>
      <c r="Q120" s="27">
        <f t="shared" si="15"/>
        <v>385.6988797</v>
      </c>
      <c r="R120" s="26"/>
      <c r="S120" s="9">
        <f t="shared" si="13"/>
        <v>-1.705213954</v>
      </c>
      <c r="U120" s="21"/>
      <c r="V120" s="21"/>
    </row>
    <row r="121">
      <c r="A121" s="11">
        <v>109.0</v>
      </c>
      <c r="B121" s="11">
        <v>1.41986956521739E9</v>
      </c>
      <c r="C121" s="2">
        <v>-102.5112686</v>
      </c>
      <c r="D121" s="24">
        <f t="shared" si="1"/>
        <v>-530434.7826</v>
      </c>
      <c r="E121" s="25">
        <f t="shared" si="2"/>
        <v>111.113832</v>
      </c>
      <c r="F121" s="24">
        <f t="shared" si="3"/>
        <v>0.0002094768964</v>
      </c>
      <c r="G121" s="24">
        <f t="shared" si="4"/>
        <v>0</v>
      </c>
      <c r="H121" s="26">
        <f t="shared" si="5"/>
        <v>0</v>
      </c>
      <c r="I121" s="24">
        <f t="shared" si="6"/>
        <v>0</v>
      </c>
      <c r="J121" s="24">
        <f t="shared" si="7"/>
        <v>0</v>
      </c>
      <c r="K121" s="24"/>
      <c r="L121" s="24">
        <f t="shared" si="8"/>
        <v>426.5591943</v>
      </c>
      <c r="M121" s="14">
        <f t="shared" si="9"/>
        <v>426.0126159</v>
      </c>
      <c r="N121" s="27">
        <f t="shared" si="10"/>
        <v>0.5465783842</v>
      </c>
      <c r="O121" s="24"/>
      <c r="P121" s="28">
        <f t="shared" si="14"/>
        <v>-209.3715181</v>
      </c>
      <c r="Q121" s="27">
        <f t="shared" si="15"/>
        <v>392.3200442</v>
      </c>
      <c r="R121" s="26"/>
      <c r="S121" s="9">
        <f t="shared" si="13"/>
        <v>0.5019208165</v>
      </c>
      <c r="U121" s="21"/>
      <c r="V121" s="21"/>
    </row>
    <row r="122">
      <c r="A122" s="11">
        <v>110.0</v>
      </c>
      <c r="B122" s="11">
        <v>1.41987391304347E9</v>
      </c>
      <c r="C122" s="2">
        <v>-102.5094986</v>
      </c>
      <c r="D122" s="24">
        <f t="shared" si="1"/>
        <v>-526086.9565</v>
      </c>
      <c r="E122" s="25">
        <f t="shared" si="2"/>
        <v>110.1955359</v>
      </c>
      <c r="F122" s="24">
        <f t="shared" si="3"/>
        <v>0.0002094625888</v>
      </c>
      <c r="G122" s="24">
        <f t="shared" si="4"/>
        <v>0</v>
      </c>
      <c r="H122" s="26">
        <f t="shared" si="5"/>
        <v>0</v>
      </c>
      <c r="I122" s="24">
        <f t="shared" si="6"/>
        <v>0</v>
      </c>
      <c r="J122" s="24">
        <f t="shared" si="7"/>
        <v>0</v>
      </c>
      <c r="K122" s="24"/>
      <c r="L122" s="24">
        <f t="shared" si="8"/>
        <v>426.7330771</v>
      </c>
      <c r="M122" s="14">
        <f t="shared" si="9"/>
        <v>425.9462739</v>
      </c>
      <c r="N122" s="27">
        <f t="shared" si="10"/>
        <v>0.786803189</v>
      </c>
      <c r="O122" s="24"/>
      <c r="P122" s="28">
        <f t="shared" si="14"/>
        <v>-210.2898143</v>
      </c>
      <c r="Q122" s="27">
        <f t="shared" si="15"/>
        <v>386.8986883</v>
      </c>
      <c r="R122" s="26"/>
      <c r="S122" s="9">
        <f t="shared" si="13"/>
        <v>0.7225183258</v>
      </c>
      <c r="U122" s="21"/>
      <c r="V122" s="21"/>
    </row>
    <row r="123">
      <c r="A123" s="11">
        <v>111.0</v>
      </c>
      <c r="B123" s="11">
        <v>1.41987826086956E9</v>
      </c>
      <c r="C123" s="2">
        <v>-102.5409012</v>
      </c>
      <c r="D123" s="24">
        <f t="shared" si="1"/>
        <v>-521739.1304</v>
      </c>
      <c r="E123" s="25">
        <f t="shared" si="2"/>
        <v>109.2772397</v>
      </c>
      <c r="F123" s="24">
        <f t="shared" si="3"/>
        <v>0.0002094480428</v>
      </c>
      <c r="G123" s="24">
        <f t="shared" si="4"/>
        <v>0</v>
      </c>
      <c r="H123" s="26">
        <f t="shared" si="5"/>
        <v>0</v>
      </c>
      <c r="I123" s="24">
        <f t="shared" si="6"/>
        <v>0</v>
      </c>
      <c r="J123" s="24">
        <f t="shared" si="7"/>
        <v>0</v>
      </c>
      <c r="K123" s="24"/>
      <c r="L123" s="24">
        <f t="shared" si="8"/>
        <v>423.6586201</v>
      </c>
      <c r="M123" s="14">
        <f t="shared" si="9"/>
        <v>425.8795573</v>
      </c>
      <c r="N123" s="27">
        <f t="shared" si="10"/>
        <v>-2.220937198</v>
      </c>
      <c r="O123" s="24"/>
      <c r="P123" s="28">
        <f t="shared" si="14"/>
        <v>-211.2081104</v>
      </c>
      <c r="Q123" s="27">
        <f t="shared" si="15"/>
        <v>393.7036375</v>
      </c>
      <c r="R123" s="26"/>
      <c r="S123" s="9">
        <f t="shared" si="13"/>
        <v>-2.039478035</v>
      </c>
      <c r="U123" s="21"/>
      <c r="V123" s="21"/>
    </row>
    <row r="124">
      <c r="A124" s="11">
        <v>112.0</v>
      </c>
      <c r="B124" s="11">
        <v>1.41988260869565E9</v>
      </c>
      <c r="C124" s="2">
        <v>-102.583519</v>
      </c>
      <c r="D124" s="24">
        <f t="shared" si="1"/>
        <v>-517391.3043</v>
      </c>
      <c r="E124" s="25">
        <f t="shared" si="2"/>
        <v>108.3589436</v>
      </c>
      <c r="F124" s="24">
        <f t="shared" si="3"/>
        <v>0.0002094332523</v>
      </c>
      <c r="G124" s="24">
        <f t="shared" si="4"/>
        <v>0</v>
      </c>
      <c r="H124" s="26">
        <f t="shared" si="5"/>
        <v>0</v>
      </c>
      <c r="I124" s="24">
        <f t="shared" si="6"/>
        <v>0</v>
      </c>
      <c r="J124" s="24">
        <f t="shared" si="7"/>
        <v>0</v>
      </c>
      <c r="K124" s="24"/>
      <c r="L124" s="24">
        <f t="shared" si="8"/>
        <v>419.521543</v>
      </c>
      <c r="M124" s="14">
        <f t="shared" si="9"/>
        <v>425.8124682</v>
      </c>
      <c r="N124" s="27">
        <f t="shared" si="10"/>
        <v>-6.290925137</v>
      </c>
      <c r="O124" s="24"/>
      <c r="P124" s="28"/>
      <c r="Q124" s="27"/>
      <c r="R124" s="26"/>
      <c r="S124" s="9">
        <f t="shared" si="13"/>
        <v>-5.776932225</v>
      </c>
      <c r="U124" s="21"/>
      <c r="V124" s="21"/>
    </row>
    <row r="125">
      <c r="A125" s="11">
        <v>113.0</v>
      </c>
      <c r="B125" s="11">
        <v>1.41988695652173E9</v>
      </c>
      <c r="C125" s="2">
        <v>-102.5753098</v>
      </c>
      <c r="D125" s="24">
        <f t="shared" si="1"/>
        <v>-513043.4783</v>
      </c>
      <c r="E125" s="25">
        <f t="shared" si="2"/>
        <v>107.4406475</v>
      </c>
      <c r="F125" s="24">
        <f t="shared" si="3"/>
        <v>0.0002094182111</v>
      </c>
      <c r="G125" s="24">
        <f t="shared" si="4"/>
        <v>0</v>
      </c>
      <c r="H125" s="26">
        <f t="shared" si="5"/>
        <v>0</v>
      </c>
      <c r="I125" s="24">
        <f t="shared" si="6"/>
        <v>0</v>
      </c>
      <c r="J125" s="24">
        <f t="shared" si="7"/>
        <v>0</v>
      </c>
      <c r="K125" s="24"/>
      <c r="L125" s="24">
        <f t="shared" si="8"/>
        <v>420.3152886</v>
      </c>
      <c r="M125" s="14">
        <f t="shared" si="9"/>
        <v>425.7450085</v>
      </c>
      <c r="N125" s="27">
        <f t="shared" si="10"/>
        <v>-5.429719861</v>
      </c>
      <c r="O125" s="24"/>
      <c r="P125" s="24"/>
      <c r="Q125" s="24"/>
      <c r="R125" s="26"/>
      <c r="S125" s="9">
        <f t="shared" si="13"/>
        <v>-4.98609075</v>
      </c>
      <c r="U125" s="21"/>
      <c r="V125" s="21"/>
    </row>
    <row r="126">
      <c r="A126" s="11">
        <v>114.0</v>
      </c>
      <c r="B126" s="11">
        <v>1.41989130434782E9</v>
      </c>
      <c r="C126" s="2">
        <v>-102.558815</v>
      </c>
      <c r="D126" s="24">
        <f t="shared" si="1"/>
        <v>-508695.6522</v>
      </c>
      <c r="E126" s="25">
        <f t="shared" si="2"/>
        <v>106.5223513</v>
      </c>
      <c r="F126" s="24">
        <f t="shared" si="3"/>
        <v>0.0002094029129</v>
      </c>
      <c r="G126" s="24">
        <f t="shared" si="4"/>
        <v>0</v>
      </c>
      <c r="H126" s="26">
        <f t="shared" si="5"/>
        <v>0</v>
      </c>
      <c r="I126" s="24">
        <f t="shared" si="6"/>
        <v>0</v>
      </c>
      <c r="J126" s="24">
        <f t="shared" si="7"/>
        <v>0</v>
      </c>
      <c r="K126" s="24"/>
      <c r="L126" s="24">
        <f t="shared" si="8"/>
        <v>421.9147101</v>
      </c>
      <c r="M126" s="14">
        <f t="shared" si="9"/>
        <v>425.6771803</v>
      </c>
      <c r="N126" s="27">
        <f t="shared" si="10"/>
        <v>-3.762470176</v>
      </c>
      <c r="O126" s="24"/>
      <c r="P126" s="24"/>
      <c r="Q126" s="24"/>
      <c r="R126" s="26"/>
      <c r="S126" s="9">
        <f t="shared" si="13"/>
        <v>-3.455061812</v>
      </c>
      <c r="U126" s="21"/>
      <c r="V126" s="21"/>
    </row>
    <row r="127">
      <c r="A127" s="11">
        <v>115.0</v>
      </c>
      <c r="B127" s="11">
        <v>1.41989565217391E9</v>
      </c>
      <c r="C127" s="2">
        <v>-102.5285034</v>
      </c>
      <c r="D127" s="24">
        <f t="shared" si="1"/>
        <v>-504347.8261</v>
      </c>
      <c r="E127" s="25">
        <f t="shared" si="2"/>
        <v>105.6040552</v>
      </c>
      <c r="F127" s="24">
        <f t="shared" si="3"/>
        <v>0.0002093873508</v>
      </c>
      <c r="G127" s="24">
        <f t="shared" si="4"/>
        <v>0</v>
      </c>
      <c r="H127" s="26">
        <f t="shared" si="5"/>
        <v>0</v>
      </c>
      <c r="I127" s="24">
        <f t="shared" si="6"/>
        <v>0</v>
      </c>
      <c r="J127" s="24">
        <f t="shared" si="7"/>
        <v>0</v>
      </c>
      <c r="K127" s="24"/>
      <c r="L127" s="24">
        <f t="shared" si="8"/>
        <v>424.8697659</v>
      </c>
      <c r="M127" s="14">
        <f t="shared" si="9"/>
        <v>425.6089857</v>
      </c>
      <c r="N127" s="27">
        <f t="shared" si="10"/>
        <v>-0.7392198205</v>
      </c>
      <c r="O127" s="24"/>
      <c r="P127" s="24"/>
      <c r="Q127" s="24"/>
      <c r="R127" s="26"/>
      <c r="S127" s="9">
        <f t="shared" si="13"/>
        <v>-0.6788227009</v>
      </c>
      <c r="U127" s="21"/>
      <c r="V127" s="21"/>
    </row>
    <row r="128">
      <c r="A128" s="11">
        <v>116.0</v>
      </c>
      <c r="B128" s="11">
        <v>1.4199E9</v>
      </c>
      <c r="C128" s="2">
        <v>-102.5222931</v>
      </c>
      <c r="D128" s="24">
        <f t="shared" si="1"/>
        <v>-500000</v>
      </c>
      <c r="E128" s="25">
        <f t="shared" si="2"/>
        <v>104.6857591</v>
      </c>
      <c r="F128" s="24">
        <f t="shared" si="3"/>
        <v>0.0002093715181</v>
      </c>
      <c r="G128" s="24">
        <f t="shared" si="4"/>
        <v>0</v>
      </c>
      <c r="H128" s="26">
        <f t="shared" si="5"/>
        <v>0</v>
      </c>
      <c r="I128" s="24">
        <f t="shared" si="6"/>
        <v>0</v>
      </c>
      <c r="J128" s="24">
        <f t="shared" si="7"/>
        <v>0</v>
      </c>
      <c r="K128" s="24"/>
      <c r="L128" s="24">
        <f t="shared" si="8"/>
        <v>425.4777534</v>
      </c>
      <c r="M128" s="14">
        <f t="shared" si="9"/>
        <v>425.5404267</v>
      </c>
      <c r="N128" s="27">
        <f t="shared" si="10"/>
        <v>-0.06267334815</v>
      </c>
      <c r="O128" s="24"/>
      <c r="P128" s="24"/>
      <c r="Q128" s="24"/>
      <c r="R128" s="26"/>
      <c r="S128" s="9">
        <f t="shared" si="13"/>
        <v>-0.05755269323</v>
      </c>
      <c r="U128" s="21"/>
      <c r="V128" s="21"/>
    </row>
    <row r="129">
      <c r="A129" s="11">
        <v>117.0</v>
      </c>
      <c r="B129" s="11">
        <v>1.41990434782608E9</v>
      </c>
      <c r="C129" s="2">
        <v>-102.5839233</v>
      </c>
      <c r="D129" s="24">
        <f t="shared" si="1"/>
        <v>-495652.1739</v>
      </c>
      <c r="E129" s="25">
        <f t="shared" si="2"/>
        <v>103.7674629</v>
      </c>
      <c r="F129" s="24">
        <f t="shared" si="3"/>
        <v>0.0002093554077</v>
      </c>
      <c r="G129" s="24">
        <f t="shared" si="4"/>
        <v>0</v>
      </c>
      <c r="H129" s="26">
        <f t="shared" si="5"/>
        <v>0</v>
      </c>
      <c r="I129" s="24">
        <f t="shared" si="6"/>
        <v>0</v>
      </c>
      <c r="J129" s="24">
        <f t="shared" si="7"/>
        <v>0</v>
      </c>
      <c r="K129" s="24"/>
      <c r="L129" s="24">
        <f t="shared" si="8"/>
        <v>419.4824901</v>
      </c>
      <c r="M129" s="14">
        <f t="shared" si="9"/>
        <v>425.4715054</v>
      </c>
      <c r="N129" s="27">
        <f t="shared" si="10"/>
        <v>-5.9890153</v>
      </c>
      <c r="O129" s="24"/>
      <c r="P129" s="24"/>
      <c r="Q129" s="24"/>
      <c r="R129" s="26"/>
      <c r="S129" s="9">
        <f t="shared" si="13"/>
        <v>-5.499689589</v>
      </c>
      <c r="U129" s="21"/>
      <c r="V129" s="21"/>
    </row>
    <row r="130">
      <c r="A130" s="11">
        <v>118.0</v>
      </c>
      <c r="B130" s="11">
        <v>1.41990869565217E9</v>
      </c>
      <c r="C130" s="2">
        <v>-102.5414734</v>
      </c>
      <c r="D130" s="24">
        <f t="shared" si="1"/>
        <v>-491304.3478</v>
      </c>
      <c r="E130" s="25">
        <f t="shared" si="2"/>
        <v>102.8491668</v>
      </c>
      <c r="F130" s="24">
        <f t="shared" si="3"/>
        <v>0.0002093390121</v>
      </c>
      <c r="G130" s="24">
        <f t="shared" si="4"/>
        <v>0</v>
      </c>
      <c r="H130" s="26">
        <f t="shared" si="5"/>
        <v>0</v>
      </c>
      <c r="I130" s="24">
        <f t="shared" si="6"/>
        <v>0</v>
      </c>
      <c r="J130" s="24">
        <f t="shared" si="7"/>
        <v>0</v>
      </c>
      <c r="K130" s="24"/>
      <c r="L130" s="24">
        <f t="shared" si="8"/>
        <v>423.6028051</v>
      </c>
      <c r="M130" s="14">
        <f t="shared" si="9"/>
        <v>425.4022239</v>
      </c>
      <c r="N130" s="27">
        <f t="shared" si="10"/>
        <v>-1.79941872</v>
      </c>
      <c r="O130" s="24"/>
      <c r="P130" s="24"/>
      <c r="Q130" s="24"/>
      <c r="R130" s="26"/>
      <c r="S130" s="9">
        <f t="shared" si="13"/>
        <v>-1.652399248</v>
      </c>
      <c r="U130" s="21"/>
      <c r="V130" s="21"/>
    </row>
    <row r="131">
      <c r="A131" s="11">
        <v>119.0</v>
      </c>
      <c r="B131" s="11">
        <v>1.41991304347826E9</v>
      </c>
      <c r="C131" s="2">
        <v>-102.5533371</v>
      </c>
      <c r="D131" s="24">
        <f t="shared" si="1"/>
        <v>-486956.5217</v>
      </c>
      <c r="E131" s="25">
        <f t="shared" si="2"/>
        <v>101.9308707</v>
      </c>
      <c r="F131" s="24">
        <f t="shared" si="3"/>
        <v>0.0002093223237</v>
      </c>
      <c r="G131" s="24">
        <f t="shared" si="4"/>
        <v>0</v>
      </c>
      <c r="H131" s="26">
        <f t="shared" si="5"/>
        <v>0</v>
      </c>
      <c r="I131" s="24">
        <f t="shared" si="6"/>
        <v>0</v>
      </c>
      <c r="J131" s="24">
        <f t="shared" si="7"/>
        <v>0</v>
      </c>
      <c r="K131" s="24"/>
      <c r="L131" s="24">
        <f t="shared" si="8"/>
        <v>422.4472209</v>
      </c>
      <c r="M131" s="14">
        <f t="shared" si="9"/>
        <v>425.3325841</v>
      </c>
      <c r="N131" s="27">
        <f t="shared" si="10"/>
        <v>-2.88536322</v>
      </c>
      <c r="O131" s="24"/>
      <c r="P131" s="24"/>
      <c r="Q131" s="24"/>
      <c r="R131" s="26"/>
      <c r="S131" s="9">
        <f t="shared" si="13"/>
        <v>-2.649617887</v>
      </c>
      <c r="U131" s="21"/>
      <c r="V131" s="21"/>
    </row>
    <row r="132">
      <c r="A132" s="11">
        <v>120.0</v>
      </c>
      <c r="B132" s="11">
        <v>1.41991739130434E9</v>
      </c>
      <c r="C132" s="2">
        <v>-102.5731049</v>
      </c>
      <c r="D132" s="24">
        <f t="shared" si="1"/>
        <v>-482608.6957</v>
      </c>
      <c r="E132" s="25">
        <f t="shared" si="2"/>
        <v>101.0125745</v>
      </c>
      <c r="F132" s="24">
        <f t="shared" si="3"/>
        <v>0.0002093053346</v>
      </c>
      <c r="G132" s="24">
        <f t="shared" si="4"/>
        <v>0</v>
      </c>
      <c r="H132" s="26">
        <f t="shared" si="5"/>
        <v>0</v>
      </c>
      <c r="I132" s="24">
        <f t="shared" si="6"/>
        <v>0</v>
      </c>
      <c r="J132" s="24">
        <f t="shared" si="7"/>
        <v>0</v>
      </c>
      <c r="K132" s="24"/>
      <c r="L132" s="24">
        <f t="shared" si="8"/>
        <v>420.5287356</v>
      </c>
      <c r="M132" s="14">
        <f t="shared" si="9"/>
        <v>425.2625882</v>
      </c>
      <c r="N132" s="27">
        <f t="shared" si="10"/>
        <v>-4.733852562</v>
      </c>
      <c r="O132" s="24"/>
      <c r="P132" s="24"/>
      <c r="Q132" s="24"/>
      <c r="R132" s="26"/>
      <c r="S132" s="9">
        <f t="shared" si="13"/>
        <v>-4.347078501</v>
      </c>
      <c r="U132" s="21"/>
      <c r="V132" s="21"/>
    </row>
    <row r="133">
      <c r="A133" s="11">
        <v>121.0</v>
      </c>
      <c r="B133" s="11">
        <v>1.41992173913043E9</v>
      </c>
      <c r="C133" s="2">
        <v>-102.5656052</v>
      </c>
      <c r="D133" s="24">
        <f t="shared" si="1"/>
        <v>-478260.8696</v>
      </c>
      <c r="E133" s="25">
        <f t="shared" si="2"/>
        <v>100.0942784</v>
      </c>
      <c r="F133" s="24">
        <f t="shared" si="3"/>
        <v>0.0002092880367</v>
      </c>
      <c r="G133" s="24">
        <f t="shared" si="4"/>
        <v>0</v>
      </c>
      <c r="H133" s="26">
        <f t="shared" si="5"/>
        <v>0</v>
      </c>
      <c r="I133" s="24">
        <f t="shared" si="6"/>
        <v>0</v>
      </c>
      <c r="J133" s="24">
        <f t="shared" si="7"/>
        <v>0</v>
      </c>
      <c r="K133" s="24"/>
      <c r="L133" s="24">
        <f t="shared" si="8"/>
        <v>421.2555613</v>
      </c>
      <c r="M133" s="14">
        <f t="shared" si="9"/>
        <v>425.1922381</v>
      </c>
      <c r="N133" s="27">
        <f t="shared" si="10"/>
        <v>-3.93667679</v>
      </c>
      <c r="O133" s="24"/>
      <c r="P133" s="24"/>
      <c r="Q133" s="24"/>
      <c r="R133" s="26"/>
      <c r="S133" s="9">
        <f t="shared" si="13"/>
        <v>-3.615035064</v>
      </c>
      <c r="U133" s="21"/>
      <c r="V133" s="21"/>
    </row>
    <row r="134">
      <c r="A134" s="11">
        <v>122.0</v>
      </c>
      <c r="B134" s="11">
        <v>1.41992608695652E9</v>
      </c>
      <c r="C134" s="2">
        <v>-102.5779877</v>
      </c>
      <c r="D134" s="24">
        <f t="shared" si="1"/>
        <v>-473913.0435</v>
      </c>
      <c r="E134" s="25">
        <f t="shared" si="2"/>
        <v>99.17598227</v>
      </c>
      <c r="F134" s="24">
        <f t="shared" si="3"/>
        <v>0.0002092704213</v>
      </c>
      <c r="G134" s="24">
        <f t="shared" si="4"/>
        <v>0</v>
      </c>
      <c r="H134" s="26">
        <f t="shared" si="5"/>
        <v>0</v>
      </c>
      <c r="I134" s="24">
        <f t="shared" si="6"/>
        <v>0</v>
      </c>
      <c r="J134" s="24">
        <f t="shared" si="7"/>
        <v>0</v>
      </c>
      <c r="K134" s="24"/>
      <c r="L134" s="24">
        <f t="shared" si="8"/>
        <v>420.0561982</v>
      </c>
      <c r="M134" s="14">
        <f t="shared" si="9"/>
        <v>425.121536</v>
      </c>
      <c r="N134" s="27">
        <f t="shared" si="10"/>
        <v>-5.065337834</v>
      </c>
      <c r="O134" s="24"/>
      <c r="P134" s="24"/>
      <c r="Q134" s="24"/>
      <c r="R134" s="26"/>
      <c r="S134" s="9">
        <f t="shared" si="13"/>
        <v>-4.651480144</v>
      </c>
      <c r="U134" s="21"/>
      <c r="V134" s="21"/>
    </row>
    <row r="135">
      <c r="A135" s="11">
        <v>123.0</v>
      </c>
      <c r="B135" s="11">
        <v>1.4199304347826E9</v>
      </c>
      <c r="C135" s="2">
        <v>-102.566124</v>
      </c>
      <c r="D135" s="24">
        <f t="shared" si="1"/>
        <v>-469565.2174</v>
      </c>
      <c r="E135" s="25">
        <f t="shared" si="2"/>
        <v>98.25768614</v>
      </c>
      <c r="F135" s="24">
        <f t="shared" si="3"/>
        <v>0.0002092524797</v>
      </c>
      <c r="G135" s="24">
        <f t="shared" si="4"/>
        <v>0</v>
      </c>
      <c r="H135" s="26">
        <f t="shared" si="5"/>
        <v>0</v>
      </c>
      <c r="I135" s="24">
        <f t="shared" si="6"/>
        <v>0</v>
      </c>
      <c r="J135" s="24">
        <f t="shared" si="7"/>
        <v>0</v>
      </c>
      <c r="K135" s="24"/>
      <c r="L135" s="24">
        <f t="shared" si="8"/>
        <v>421.2052419</v>
      </c>
      <c r="M135" s="14">
        <f t="shared" si="9"/>
        <v>425.0504839</v>
      </c>
      <c r="N135" s="27">
        <f t="shared" si="10"/>
        <v>-3.845242002</v>
      </c>
      <c r="O135" s="24"/>
      <c r="P135" s="24"/>
      <c r="Q135" s="24"/>
      <c r="R135" s="26"/>
      <c r="S135" s="9">
        <f t="shared" si="13"/>
        <v>-3.53107086</v>
      </c>
      <c r="U135" s="21"/>
      <c r="V135" s="21"/>
    </row>
    <row r="136">
      <c r="A136" s="11">
        <v>124.0</v>
      </c>
      <c r="B136" s="11">
        <v>1.41993478260869E9</v>
      </c>
      <c r="C136" s="2">
        <v>-102.5501785</v>
      </c>
      <c r="D136" s="24">
        <f t="shared" si="1"/>
        <v>-465217.3913</v>
      </c>
      <c r="E136" s="25">
        <f t="shared" si="2"/>
        <v>97.33939001</v>
      </c>
      <c r="F136" s="24">
        <f t="shared" si="3"/>
        <v>0.0002092342028</v>
      </c>
      <c r="G136" s="24">
        <f t="shared" si="4"/>
        <v>0</v>
      </c>
      <c r="H136" s="26">
        <f t="shared" si="5"/>
        <v>0</v>
      </c>
      <c r="I136" s="24">
        <f t="shared" si="6"/>
        <v>0</v>
      </c>
      <c r="J136" s="24">
        <f t="shared" si="7"/>
        <v>0</v>
      </c>
      <c r="K136" s="24"/>
      <c r="L136" s="24">
        <f t="shared" si="8"/>
        <v>422.7545762</v>
      </c>
      <c r="M136" s="14">
        <f t="shared" si="9"/>
        <v>424.9790839</v>
      </c>
      <c r="N136" s="27">
        <f t="shared" si="10"/>
        <v>-2.224507734</v>
      </c>
      <c r="O136" s="24"/>
      <c r="P136" s="24"/>
      <c r="Q136" s="24"/>
      <c r="R136" s="26"/>
      <c r="S136" s="9">
        <f t="shared" si="13"/>
        <v>-2.04275685</v>
      </c>
      <c r="U136" s="21"/>
      <c r="V136" s="21"/>
    </row>
    <row r="137">
      <c r="A137" s="11">
        <v>125.0</v>
      </c>
      <c r="B137" s="11">
        <v>1.41993913043478E9</v>
      </c>
      <c r="C137" s="2">
        <v>-102.5960846</v>
      </c>
      <c r="D137" s="24">
        <f t="shared" si="1"/>
        <v>-460869.5652</v>
      </c>
      <c r="E137" s="25">
        <f t="shared" si="2"/>
        <v>96.42109387</v>
      </c>
      <c r="F137" s="24">
        <f t="shared" si="3"/>
        <v>0.000209215581</v>
      </c>
      <c r="G137" s="24">
        <f t="shared" si="4"/>
        <v>0</v>
      </c>
      <c r="H137" s="26">
        <f t="shared" si="5"/>
        <v>0</v>
      </c>
      <c r="I137" s="24">
        <f t="shared" si="6"/>
        <v>0</v>
      </c>
      <c r="J137" s="24">
        <f t="shared" si="7"/>
        <v>0</v>
      </c>
      <c r="K137" s="24"/>
      <c r="L137" s="24">
        <f t="shared" si="8"/>
        <v>418.3094804</v>
      </c>
      <c r="M137" s="14">
        <f t="shared" si="9"/>
        <v>424.907338</v>
      </c>
      <c r="N137" s="27">
        <f t="shared" si="10"/>
        <v>-6.597857566</v>
      </c>
      <c r="O137" s="24"/>
      <c r="P137" s="24"/>
      <c r="Q137" s="24"/>
      <c r="R137" s="26"/>
      <c r="S137" s="9">
        <f t="shared" si="13"/>
        <v>-6.058787074</v>
      </c>
      <c r="U137" s="21"/>
      <c r="V137" s="21"/>
    </row>
    <row r="138">
      <c r="A138" s="11">
        <v>126.0</v>
      </c>
      <c r="B138" s="11">
        <v>1.41994347826087E9</v>
      </c>
      <c r="C138" s="2">
        <v>-102.552803</v>
      </c>
      <c r="D138" s="24">
        <f t="shared" si="1"/>
        <v>-456521.7391</v>
      </c>
      <c r="E138" s="25">
        <f t="shared" si="2"/>
        <v>95.50279774</v>
      </c>
      <c r="F138" s="24">
        <f t="shared" si="3"/>
        <v>0.0002091966046</v>
      </c>
      <c r="G138" s="24">
        <f t="shared" si="4"/>
        <v>0</v>
      </c>
      <c r="H138" s="26">
        <f t="shared" si="5"/>
        <v>0</v>
      </c>
      <c r="I138" s="24">
        <f t="shared" si="6"/>
        <v>0</v>
      </c>
      <c r="J138" s="24">
        <f t="shared" si="7"/>
        <v>0</v>
      </c>
      <c r="K138" s="24"/>
      <c r="L138" s="24">
        <f t="shared" si="8"/>
        <v>422.4991771</v>
      </c>
      <c r="M138" s="14">
        <f t="shared" si="9"/>
        <v>424.8352482</v>
      </c>
      <c r="N138" s="27">
        <f t="shared" si="10"/>
        <v>-2.33607114</v>
      </c>
      <c r="O138" s="24"/>
      <c r="P138" s="24"/>
      <c r="Q138" s="24"/>
      <c r="R138" s="26"/>
      <c r="S138" s="9">
        <f t="shared" si="13"/>
        <v>-2.145205094</v>
      </c>
      <c r="U138" s="21"/>
      <c r="V138" s="21"/>
    </row>
    <row r="139">
      <c r="A139" s="11">
        <v>127.0</v>
      </c>
      <c r="B139" s="11">
        <v>1.41994782608695E9</v>
      </c>
      <c r="C139" s="2">
        <v>-102.6153641</v>
      </c>
      <c r="D139" s="24">
        <f t="shared" si="1"/>
        <v>-452173.913</v>
      </c>
      <c r="E139" s="25">
        <f t="shared" si="2"/>
        <v>94.58450161</v>
      </c>
      <c r="F139" s="24">
        <f t="shared" si="3"/>
        <v>0.0002091772632</v>
      </c>
      <c r="G139" s="24">
        <f t="shared" si="4"/>
        <v>0</v>
      </c>
      <c r="H139" s="26">
        <f t="shared" si="5"/>
        <v>0</v>
      </c>
      <c r="I139" s="24">
        <f t="shared" si="6"/>
        <v>0</v>
      </c>
      <c r="J139" s="24">
        <f t="shared" si="7"/>
        <v>0</v>
      </c>
      <c r="K139" s="24"/>
      <c r="L139" s="24">
        <f t="shared" si="8"/>
        <v>416.4566079</v>
      </c>
      <c r="M139" s="14">
        <f t="shared" si="9"/>
        <v>424.7628167</v>
      </c>
      <c r="N139" s="27">
        <f t="shared" si="10"/>
        <v>-8.30620878</v>
      </c>
      <c r="O139" s="24"/>
      <c r="P139" s="24"/>
      <c r="Q139" s="24"/>
      <c r="R139" s="26"/>
      <c r="S139" s="9">
        <f t="shared" si="13"/>
        <v>-7.627559401</v>
      </c>
      <c r="U139" s="21"/>
      <c r="V139" s="21"/>
    </row>
    <row r="140">
      <c r="A140" s="11">
        <v>128.0</v>
      </c>
      <c r="B140" s="11">
        <v>1.41995217391304E9</v>
      </c>
      <c r="C140" s="2">
        <v>-102.5699158</v>
      </c>
      <c r="D140" s="24">
        <f t="shared" si="1"/>
        <v>-447826.087</v>
      </c>
      <c r="E140" s="25">
        <f t="shared" si="2"/>
        <v>93.66620548</v>
      </c>
      <c r="F140" s="24">
        <f t="shared" si="3"/>
        <v>0.0002091575462</v>
      </c>
      <c r="G140" s="24">
        <f t="shared" si="4"/>
        <v>0</v>
      </c>
      <c r="H140" s="26">
        <f t="shared" si="5"/>
        <v>0</v>
      </c>
      <c r="I140" s="24">
        <f t="shared" si="6"/>
        <v>0</v>
      </c>
      <c r="J140" s="24">
        <f t="shared" si="7"/>
        <v>0</v>
      </c>
      <c r="K140" s="24"/>
      <c r="L140" s="24">
        <f t="shared" si="8"/>
        <v>420.8376506</v>
      </c>
      <c r="M140" s="14">
        <f t="shared" si="9"/>
        <v>424.6900454</v>
      </c>
      <c r="N140" s="27">
        <f t="shared" si="10"/>
        <v>-3.852394795</v>
      </c>
      <c r="O140" s="24"/>
      <c r="P140" s="24"/>
      <c r="Q140" s="24"/>
      <c r="R140" s="26"/>
      <c r="S140" s="9">
        <f t="shared" si="13"/>
        <v>-3.537639234</v>
      </c>
      <c r="U140" s="21"/>
      <c r="V140" s="21"/>
    </row>
    <row r="141">
      <c r="A141" s="11">
        <v>129.0</v>
      </c>
      <c r="B141" s="11">
        <v>1.41995652173913E9</v>
      </c>
      <c r="C141" s="2">
        <v>-102.5774689</v>
      </c>
      <c r="D141" s="24">
        <f t="shared" si="1"/>
        <v>-443478.2609</v>
      </c>
      <c r="E141" s="25">
        <f t="shared" si="2"/>
        <v>92.74790935</v>
      </c>
      <c r="F141" s="24">
        <f t="shared" si="3"/>
        <v>0.0002091374426</v>
      </c>
      <c r="G141" s="24">
        <f t="shared" si="4"/>
        <v>0</v>
      </c>
      <c r="H141" s="26">
        <f t="shared" si="5"/>
        <v>0</v>
      </c>
      <c r="I141" s="24">
        <f t="shared" si="6"/>
        <v>0</v>
      </c>
      <c r="J141" s="24">
        <f t="shared" si="7"/>
        <v>0</v>
      </c>
      <c r="K141" s="24"/>
      <c r="L141" s="24">
        <f t="shared" si="8"/>
        <v>420.1063803</v>
      </c>
      <c r="M141" s="14">
        <f t="shared" si="9"/>
        <v>424.6169364</v>
      </c>
      <c r="N141" s="27">
        <f t="shared" si="10"/>
        <v>-4.510556084</v>
      </c>
      <c r="O141" s="24"/>
      <c r="P141" s="24"/>
      <c r="Q141" s="24"/>
      <c r="R141" s="26"/>
      <c r="S141" s="9">
        <f t="shared" si="13"/>
        <v>-4.142026209</v>
      </c>
      <c r="U141" s="21"/>
      <c r="V141" s="21"/>
    </row>
    <row r="142">
      <c r="A142" s="11">
        <v>130.0</v>
      </c>
      <c r="B142" s="11">
        <v>1.41996086956521E9</v>
      </c>
      <c r="C142" s="2">
        <v>-102.5576935</v>
      </c>
      <c r="D142" s="24">
        <f t="shared" si="1"/>
        <v>-439130.4348</v>
      </c>
      <c r="E142" s="25">
        <f t="shared" si="2"/>
        <v>91.82961321</v>
      </c>
      <c r="F142" s="24">
        <f t="shared" si="3"/>
        <v>0.000209116941</v>
      </c>
      <c r="G142" s="24">
        <f t="shared" si="4"/>
        <v>0</v>
      </c>
      <c r="H142" s="26">
        <f t="shared" si="5"/>
        <v>0</v>
      </c>
      <c r="I142" s="24">
        <f t="shared" si="6"/>
        <v>0</v>
      </c>
      <c r="J142" s="24">
        <f t="shared" si="7"/>
        <v>0</v>
      </c>
      <c r="K142" s="24"/>
      <c r="L142" s="24">
        <f t="shared" si="8"/>
        <v>422.0236773</v>
      </c>
      <c r="M142" s="14">
        <f t="shared" si="9"/>
        <v>424.5434918</v>
      </c>
      <c r="N142" s="27">
        <f t="shared" si="10"/>
        <v>-2.519814508</v>
      </c>
      <c r="O142" s="24"/>
      <c r="P142" s="24"/>
      <c r="Q142" s="24"/>
      <c r="R142" s="26"/>
      <c r="S142" s="9">
        <f t="shared" si="13"/>
        <v>-2.313935918</v>
      </c>
      <c r="U142" s="21"/>
      <c r="V142" s="21"/>
    </row>
    <row r="143">
      <c r="A143" s="11">
        <v>131.0</v>
      </c>
      <c r="B143" s="11">
        <v>1.4199652173913E9</v>
      </c>
      <c r="C143" s="2">
        <v>-102.6501617</v>
      </c>
      <c r="D143" s="24">
        <f t="shared" si="1"/>
        <v>-434782.6087</v>
      </c>
      <c r="E143" s="25">
        <f t="shared" si="2"/>
        <v>90.91131708</v>
      </c>
      <c r="F143" s="24">
        <f t="shared" si="3"/>
        <v>0.0002090960293</v>
      </c>
      <c r="G143" s="24">
        <f t="shared" si="4"/>
        <v>0</v>
      </c>
      <c r="H143" s="26">
        <f t="shared" si="5"/>
        <v>0</v>
      </c>
      <c r="I143" s="24">
        <f t="shared" si="6"/>
        <v>0</v>
      </c>
      <c r="J143" s="24">
        <f t="shared" si="7"/>
        <v>0</v>
      </c>
      <c r="K143" s="24"/>
      <c r="L143" s="24">
        <f t="shared" si="8"/>
        <v>413.1331053</v>
      </c>
      <c r="M143" s="14">
        <f t="shared" si="9"/>
        <v>424.4697136</v>
      </c>
      <c r="N143" s="27">
        <f t="shared" si="10"/>
        <v>-11.33660833</v>
      </c>
      <c r="O143" s="24"/>
      <c r="P143" s="24"/>
      <c r="Q143" s="24"/>
      <c r="R143" s="26"/>
      <c r="S143" s="9">
        <f t="shared" si="13"/>
        <v>-10.41036356</v>
      </c>
      <c r="U143" s="21"/>
      <c r="V143" s="21"/>
    </row>
    <row r="144">
      <c r="A144" s="11">
        <v>132.0</v>
      </c>
      <c r="B144" s="11">
        <v>1.41996956521739E9</v>
      </c>
      <c r="C144" s="2">
        <v>-102.5100708</v>
      </c>
      <c r="D144" s="24">
        <f t="shared" si="1"/>
        <v>-430434.7826</v>
      </c>
      <c r="E144" s="25">
        <f t="shared" si="2"/>
        <v>89.99302095</v>
      </c>
      <c r="F144" s="24">
        <f t="shared" si="3"/>
        <v>0.0002090746951</v>
      </c>
      <c r="G144" s="24">
        <f t="shared" si="4"/>
        <v>0</v>
      </c>
      <c r="H144" s="26">
        <f t="shared" si="5"/>
        <v>0</v>
      </c>
      <c r="I144" s="24">
        <f t="shared" si="6"/>
        <v>0</v>
      </c>
      <c r="J144" s="24">
        <f t="shared" si="7"/>
        <v>0</v>
      </c>
      <c r="K144" s="24"/>
      <c r="L144" s="24">
        <f t="shared" si="8"/>
        <v>426.6768571</v>
      </c>
      <c r="M144" s="14">
        <f t="shared" si="9"/>
        <v>424.3956039</v>
      </c>
      <c r="N144" s="27">
        <f t="shared" si="10"/>
        <v>2.281253123</v>
      </c>
      <c r="O144" s="24"/>
      <c r="P144" s="24"/>
      <c r="Q144" s="24"/>
      <c r="R144" s="26"/>
      <c r="S144" s="9">
        <f t="shared" si="13"/>
        <v>2.094865921</v>
      </c>
      <c r="U144" s="21"/>
      <c r="V144" s="21"/>
    </row>
    <row r="145">
      <c r="A145" s="11">
        <v>133.0</v>
      </c>
      <c r="B145" s="11">
        <v>1.41997391304347E9</v>
      </c>
      <c r="C145" s="2">
        <v>-102.5710297</v>
      </c>
      <c r="D145" s="24">
        <f t="shared" si="1"/>
        <v>-426086.9565</v>
      </c>
      <c r="E145" s="25">
        <f t="shared" si="2"/>
        <v>89.07472482</v>
      </c>
      <c r="F145" s="24">
        <f t="shared" si="3"/>
        <v>0.0002090529256</v>
      </c>
      <c r="G145" s="24">
        <f t="shared" si="4"/>
        <v>0</v>
      </c>
      <c r="H145" s="26">
        <f t="shared" si="5"/>
        <v>0</v>
      </c>
      <c r="I145" s="24">
        <f t="shared" si="6"/>
        <v>0</v>
      </c>
      <c r="J145" s="24">
        <f t="shared" si="7"/>
        <v>0</v>
      </c>
      <c r="K145" s="24"/>
      <c r="L145" s="24">
        <f t="shared" si="8"/>
        <v>420.7297259</v>
      </c>
      <c r="M145" s="14">
        <f t="shared" si="9"/>
        <v>424.3211648</v>
      </c>
      <c r="N145" s="27">
        <f t="shared" si="10"/>
        <v>-3.591438893</v>
      </c>
      <c r="O145" s="24"/>
      <c r="P145" s="24"/>
      <c r="Q145" s="24"/>
      <c r="R145" s="26"/>
      <c r="S145" s="9">
        <f t="shared" si="13"/>
        <v>-3.298004446</v>
      </c>
      <c r="U145" s="21"/>
      <c r="V145" s="21"/>
    </row>
    <row r="146">
      <c r="A146" s="11">
        <v>134.0</v>
      </c>
      <c r="B146" s="11">
        <v>1.41997826086956E9</v>
      </c>
      <c r="C146" s="2">
        <v>-102.6181107</v>
      </c>
      <c r="D146" s="24">
        <f t="shared" si="1"/>
        <v>-421739.1304</v>
      </c>
      <c r="E146" s="25">
        <f t="shared" si="2"/>
        <v>88.15642869</v>
      </c>
      <c r="F146" s="24">
        <f t="shared" si="3"/>
        <v>0.0002090307072</v>
      </c>
      <c r="G146" s="24">
        <f t="shared" si="4"/>
        <v>0</v>
      </c>
      <c r="H146" s="26">
        <f t="shared" si="5"/>
        <v>0</v>
      </c>
      <c r="I146" s="24">
        <f t="shared" si="6"/>
        <v>0</v>
      </c>
      <c r="J146" s="24">
        <f t="shared" si="7"/>
        <v>0</v>
      </c>
      <c r="K146" s="24"/>
      <c r="L146" s="24">
        <f t="shared" si="8"/>
        <v>416.1933123</v>
      </c>
      <c r="M146" s="14">
        <f t="shared" si="9"/>
        <v>424.2463982</v>
      </c>
      <c r="N146" s="27">
        <f t="shared" si="10"/>
        <v>-8.053085894</v>
      </c>
      <c r="O146" s="24"/>
      <c r="P146" s="24"/>
      <c r="Q146" s="24"/>
      <c r="R146" s="26"/>
      <c r="S146" s="9">
        <f t="shared" si="13"/>
        <v>-7.395117616</v>
      </c>
      <c r="U146" s="21"/>
      <c r="V146" s="21"/>
    </row>
    <row r="147">
      <c r="A147" s="11">
        <v>135.0</v>
      </c>
      <c r="B147" s="11">
        <v>1.41998260869565E9</v>
      </c>
      <c r="C147" s="2">
        <v>-102.5300064</v>
      </c>
      <c r="D147" s="24">
        <f t="shared" si="1"/>
        <v>-417391.3043</v>
      </c>
      <c r="E147" s="25">
        <f t="shared" si="2"/>
        <v>87.23813255</v>
      </c>
      <c r="F147" s="24">
        <f t="shared" si="3"/>
        <v>0.0002090080259</v>
      </c>
      <c r="G147" s="24">
        <f t="shared" si="4"/>
        <v>0</v>
      </c>
      <c r="H147" s="26">
        <f t="shared" si="5"/>
        <v>0</v>
      </c>
      <c r="I147" s="24">
        <f t="shared" si="6"/>
        <v>0</v>
      </c>
      <c r="J147" s="24">
        <f t="shared" si="7"/>
        <v>0</v>
      </c>
      <c r="K147" s="24"/>
      <c r="L147" s="24">
        <f t="shared" si="8"/>
        <v>424.722753</v>
      </c>
      <c r="M147" s="14">
        <f t="shared" si="9"/>
        <v>424.1713063</v>
      </c>
      <c r="N147" s="27">
        <f t="shared" si="10"/>
        <v>0.5514467254</v>
      </c>
      <c r="O147" s="24"/>
      <c r="P147" s="24"/>
      <c r="Q147" s="24"/>
      <c r="R147" s="26"/>
      <c r="S147" s="9">
        <f t="shared" si="13"/>
        <v>0.5063913954</v>
      </c>
      <c r="U147" s="21"/>
      <c r="V147" s="21"/>
    </row>
    <row r="148">
      <c r="A148" s="11">
        <v>136.0</v>
      </c>
      <c r="B148" s="11">
        <v>1.41998695652173E9</v>
      </c>
      <c r="C148" s="2">
        <v>-102.5513992</v>
      </c>
      <c r="D148" s="24">
        <f t="shared" si="1"/>
        <v>-413043.4783</v>
      </c>
      <c r="E148" s="25">
        <f t="shared" si="2"/>
        <v>86.31983642</v>
      </c>
      <c r="F148" s="24">
        <f t="shared" si="3"/>
        <v>0.0002089848671</v>
      </c>
      <c r="G148" s="24">
        <f t="shared" si="4"/>
        <v>0</v>
      </c>
      <c r="H148" s="26">
        <f t="shared" si="5"/>
        <v>0</v>
      </c>
      <c r="I148" s="24">
        <f t="shared" si="6"/>
        <v>0</v>
      </c>
      <c r="J148" s="24">
        <f t="shared" si="7"/>
        <v>0</v>
      </c>
      <c r="K148" s="24"/>
      <c r="L148" s="24">
        <f t="shared" si="8"/>
        <v>422.6357665</v>
      </c>
      <c r="M148" s="14">
        <f t="shared" si="9"/>
        <v>424.095891</v>
      </c>
      <c r="N148" s="27">
        <f t="shared" si="10"/>
        <v>-1.460124561</v>
      </c>
      <c r="O148" s="24"/>
      <c r="P148" s="24"/>
      <c r="Q148" s="24"/>
      <c r="R148" s="26"/>
      <c r="S148" s="9">
        <f t="shared" si="13"/>
        <v>-1.340826738</v>
      </c>
      <c r="U148" s="21"/>
      <c r="V148" s="21"/>
    </row>
    <row r="149">
      <c r="A149" s="11">
        <v>137.0</v>
      </c>
      <c r="B149" s="11">
        <v>1.41999130434782E9</v>
      </c>
      <c r="C149" s="2">
        <v>-102.6046982</v>
      </c>
      <c r="D149" s="24">
        <f t="shared" si="1"/>
        <v>-408695.6522</v>
      </c>
      <c r="E149" s="25">
        <f t="shared" si="2"/>
        <v>85.40154029</v>
      </c>
      <c r="F149" s="24">
        <f t="shared" si="3"/>
        <v>0.0002089612156</v>
      </c>
      <c r="G149" s="24">
        <f t="shared" si="4"/>
        <v>0</v>
      </c>
      <c r="H149" s="26">
        <f t="shared" si="5"/>
        <v>0</v>
      </c>
      <c r="I149" s="24">
        <f t="shared" si="6"/>
        <v>0</v>
      </c>
      <c r="J149" s="24">
        <f t="shared" si="7"/>
        <v>0</v>
      </c>
      <c r="K149" s="24"/>
      <c r="L149" s="24">
        <f t="shared" si="8"/>
        <v>417.4806465</v>
      </c>
      <c r="M149" s="14">
        <f t="shared" si="9"/>
        <v>424.0201545</v>
      </c>
      <c r="N149" s="27">
        <f t="shared" si="10"/>
        <v>-6.539507982</v>
      </c>
      <c r="O149" s="24"/>
      <c r="P149" s="24"/>
      <c r="Q149" s="24"/>
      <c r="R149" s="26"/>
      <c r="S149" s="9">
        <f t="shared" si="13"/>
        <v>-6.00520489</v>
      </c>
      <c r="U149" s="21"/>
      <c r="V149" s="21"/>
    </row>
    <row r="150">
      <c r="A150" s="11">
        <v>138.0</v>
      </c>
      <c r="B150" s="11">
        <v>1.41999565217391E9</v>
      </c>
      <c r="C150" s="2">
        <v>-102.5560226</v>
      </c>
      <c r="D150" s="24">
        <f t="shared" si="1"/>
        <v>-404347.8261</v>
      </c>
      <c r="E150" s="25">
        <f t="shared" si="2"/>
        <v>84.48324416</v>
      </c>
      <c r="F150" s="24">
        <f t="shared" si="3"/>
        <v>0.0002089370554</v>
      </c>
      <c r="G150" s="24">
        <f t="shared" si="4"/>
        <v>0</v>
      </c>
      <c r="H150" s="26">
        <f t="shared" si="5"/>
        <v>0</v>
      </c>
      <c r="I150" s="24">
        <f t="shared" si="6"/>
        <v>0</v>
      </c>
      <c r="J150" s="24">
        <f t="shared" si="7"/>
        <v>0</v>
      </c>
      <c r="K150" s="24"/>
      <c r="L150" s="24">
        <f t="shared" si="8"/>
        <v>422.1860775</v>
      </c>
      <c r="M150" s="14">
        <f t="shared" si="9"/>
        <v>423.9440988</v>
      </c>
      <c r="N150" s="27">
        <f t="shared" si="10"/>
        <v>-1.758021352</v>
      </c>
      <c r="O150" s="24"/>
      <c r="P150" s="24"/>
      <c r="Q150" s="24"/>
      <c r="R150" s="26"/>
      <c r="S150" s="9">
        <f t="shared" si="13"/>
        <v>-1.614384205</v>
      </c>
      <c r="U150" s="21"/>
      <c r="V150" s="21"/>
    </row>
    <row r="151">
      <c r="A151" s="11">
        <v>139.0</v>
      </c>
      <c r="B151" s="11">
        <v>1.42E9</v>
      </c>
      <c r="C151" s="2">
        <v>-102.5451965</v>
      </c>
      <c r="D151" s="24">
        <f t="shared" si="1"/>
        <v>-400000</v>
      </c>
      <c r="E151" s="25">
        <f t="shared" si="2"/>
        <v>83.56494803</v>
      </c>
      <c r="F151" s="24">
        <f t="shared" si="3"/>
        <v>0.0002089123701</v>
      </c>
      <c r="G151" s="24">
        <f t="shared" si="4"/>
        <v>0</v>
      </c>
      <c r="H151" s="26">
        <f t="shared" si="5"/>
        <v>0</v>
      </c>
      <c r="I151" s="24">
        <f t="shared" si="6"/>
        <v>0</v>
      </c>
      <c r="J151" s="24">
        <f t="shared" si="7"/>
        <v>0</v>
      </c>
      <c r="K151" s="24"/>
      <c r="L151" s="24">
        <f t="shared" si="8"/>
        <v>423.2398165</v>
      </c>
      <c r="M151" s="14">
        <f t="shared" si="9"/>
        <v>423.867726</v>
      </c>
      <c r="N151" s="27">
        <f t="shared" si="10"/>
        <v>-0.6279095175</v>
      </c>
      <c r="O151" s="24"/>
      <c r="P151" s="24"/>
      <c r="Q151" s="24"/>
      <c r="R151" s="26"/>
      <c r="S151" s="9">
        <f t="shared" si="13"/>
        <v>-0.5766068817</v>
      </c>
      <c r="U151" s="21"/>
      <c r="V151" s="21"/>
    </row>
    <row r="152">
      <c r="A152" s="11">
        <v>140.0</v>
      </c>
      <c r="B152" s="11">
        <v>1.42000434782608E9</v>
      </c>
      <c r="C152" s="2">
        <v>-102.5785065</v>
      </c>
      <c r="D152" s="24">
        <f t="shared" si="1"/>
        <v>-395652.1739</v>
      </c>
      <c r="E152" s="25">
        <f t="shared" si="2"/>
        <v>82.64665189</v>
      </c>
      <c r="F152" s="24">
        <f t="shared" si="3"/>
        <v>0.0002088871421</v>
      </c>
      <c r="G152" s="24">
        <f t="shared" si="4"/>
        <v>0</v>
      </c>
      <c r="H152" s="26">
        <f t="shared" si="5"/>
        <v>0</v>
      </c>
      <c r="I152" s="24">
        <f t="shared" si="6"/>
        <v>0</v>
      </c>
      <c r="J152" s="24">
        <f t="shared" si="7"/>
        <v>0</v>
      </c>
      <c r="K152" s="24"/>
      <c r="L152" s="24">
        <f t="shared" si="8"/>
        <v>420.0060221</v>
      </c>
      <c r="M152" s="14">
        <f t="shared" si="9"/>
        <v>423.791038</v>
      </c>
      <c r="N152" s="27">
        <f t="shared" si="10"/>
        <v>-3.785015962</v>
      </c>
      <c r="O152" s="24"/>
      <c r="P152" s="24"/>
      <c r="Q152" s="24"/>
      <c r="R152" s="26"/>
      <c r="S152" s="9">
        <f t="shared" si="13"/>
        <v>-3.47576552</v>
      </c>
      <c r="U152" s="21"/>
      <c r="V152" s="21"/>
    </row>
    <row r="153">
      <c r="A153" s="11">
        <v>141.0</v>
      </c>
      <c r="B153" s="11">
        <v>1.42000869565217E9</v>
      </c>
      <c r="C153" s="2">
        <v>-102.5821457</v>
      </c>
      <c r="D153" s="24">
        <f t="shared" si="1"/>
        <v>-391304.3478</v>
      </c>
      <c r="E153" s="25">
        <f t="shared" si="2"/>
        <v>81.72835576</v>
      </c>
      <c r="F153" s="24">
        <f t="shared" si="3"/>
        <v>0.0002088613536</v>
      </c>
      <c r="G153" s="24">
        <f t="shared" si="4"/>
        <v>0</v>
      </c>
      <c r="H153" s="26">
        <f t="shared" si="5"/>
        <v>0</v>
      </c>
      <c r="I153" s="24">
        <f t="shared" si="6"/>
        <v>0</v>
      </c>
      <c r="J153" s="24">
        <f t="shared" si="7"/>
        <v>0</v>
      </c>
      <c r="K153" s="24"/>
      <c r="L153" s="24">
        <f t="shared" si="8"/>
        <v>419.6542226</v>
      </c>
      <c r="M153" s="14">
        <f t="shared" si="9"/>
        <v>423.714037</v>
      </c>
      <c r="N153" s="27">
        <f t="shared" si="10"/>
        <v>-4.059814445</v>
      </c>
      <c r="O153" s="24"/>
      <c r="P153" s="24"/>
      <c r="Q153" s="24"/>
      <c r="R153" s="26"/>
      <c r="S153" s="9">
        <f t="shared" si="13"/>
        <v>-3.728111896</v>
      </c>
      <c r="U153" s="21"/>
      <c r="V153" s="21"/>
    </row>
    <row r="154">
      <c r="A154" s="11">
        <v>142.0</v>
      </c>
      <c r="B154" s="11">
        <v>1.42001304347826E9</v>
      </c>
      <c r="C154" s="2">
        <v>-102.5860291</v>
      </c>
      <c r="D154" s="24">
        <f t="shared" si="1"/>
        <v>-386956.5217</v>
      </c>
      <c r="E154" s="25">
        <f t="shared" si="2"/>
        <v>80.81005963</v>
      </c>
      <c r="F154" s="24">
        <f t="shared" si="3"/>
        <v>0.0002088349856</v>
      </c>
      <c r="G154" s="24">
        <f t="shared" si="4"/>
        <v>0</v>
      </c>
      <c r="H154" s="26">
        <f t="shared" si="5"/>
        <v>0</v>
      </c>
      <c r="I154" s="24">
        <f t="shared" si="6"/>
        <v>0</v>
      </c>
      <c r="J154" s="24">
        <f t="shared" si="7"/>
        <v>0</v>
      </c>
      <c r="K154" s="24"/>
      <c r="L154" s="24">
        <f t="shared" si="8"/>
        <v>419.2791414</v>
      </c>
      <c r="M154" s="14">
        <f t="shared" si="9"/>
        <v>423.6367251</v>
      </c>
      <c r="N154" s="27">
        <f t="shared" si="10"/>
        <v>-4.357583634</v>
      </c>
      <c r="O154" s="24"/>
      <c r="P154" s="24"/>
      <c r="Q154" s="24"/>
      <c r="R154" s="26"/>
      <c r="S154" s="9">
        <f t="shared" si="13"/>
        <v>-4.001552199</v>
      </c>
      <c r="U154" s="21"/>
      <c r="V154" s="21"/>
    </row>
    <row r="155">
      <c r="A155" s="11">
        <v>143.0</v>
      </c>
      <c r="B155" s="11">
        <v>1.42001739130434E9</v>
      </c>
      <c r="C155" s="2">
        <v>-102.5881958</v>
      </c>
      <c r="D155" s="24">
        <f t="shared" si="1"/>
        <v>-382608.6957</v>
      </c>
      <c r="E155" s="25">
        <f t="shared" si="2"/>
        <v>79.8917635</v>
      </c>
      <c r="F155" s="24">
        <f t="shared" si="3"/>
        <v>0.0002088080182</v>
      </c>
      <c r="G155" s="24">
        <f t="shared" si="4"/>
        <v>0</v>
      </c>
      <c r="H155" s="26">
        <f t="shared" si="5"/>
        <v>0</v>
      </c>
      <c r="I155" s="24">
        <f t="shared" si="6"/>
        <v>0</v>
      </c>
      <c r="J155" s="24">
        <f t="shared" si="7"/>
        <v>0</v>
      </c>
      <c r="K155" s="24"/>
      <c r="L155" s="24">
        <f t="shared" si="8"/>
        <v>419.0700148</v>
      </c>
      <c r="M155" s="14">
        <f t="shared" si="9"/>
        <v>423.5591042</v>
      </c>
      <c r="N155" s="27">
        <f t="shared" si="10"/>
        <v>-4.489089379</v>
      </c>
      <c r="O155" s="24"/>
      <c r="P155" s="24"/>
      <c r="Q155" s="24"/>
      <c r="R155" s="26"/>
      <c r="S155" s="9">
        <f t="shared" si="13"/>
        <v>-4.122313416</v>
      </c>
      <c r="U155" s="21"/>
      <c r="V155" s="21"/>
    </row>
    <row r="156">
      <c r="A156" s="11">
        <v>144.0</v>
      </c>
      <c r="B156" s="11">
        <v>1.42002173913043E9</v>
      </c>
      <c r="C156" s="2">
        <v>-102.5565796</v>
      </c>
      <c r="D156" s="24">
        <f t="shared" si="1"/>
        <v>-378260.8696</v>
      </c>
      <c r="E156" s="25">
        <f t="shared" si="2"/>
        <v>78.97346736</v>
      </c>
      <c r="F156" s="24">
        <f t="shared" si="3"/>
        <v>0.000208780431</v>
      </c>
      <c r="G156" s="24">
        <f t="shared" si="4"/>
        <v>0</v>
      </c>
      <c r="H156" s="26">
        <f t="shared" si="5"/>
        <v>0</v>
      </c>
      <c r="I156" s="24">
        <f t="shared" si="6"/>
        <v>0</v>
      </c>
      <c r="J156" s="24">
        <f t="shared" si="7"/>
        <v>0</v>
      </c>
      <c r="K156" s="24"/>
      <c r="L156" s="24">
        <f t="shared" si="8"/>
        <v>422.1319339</v>
      </c>
      <c r="M156" s="14">
        <f t="shared" si="9"/>
        <v>423.4811764</v>
      </c>
      <c r="N156" s="27">
        <f t="shared" si="10"/>
        <v>-1.349242458</v>
      </c>
      <c r="O156" s="24"/>
      <c r="P156" s="24"/>
      <c r="Q156" s="24"/>
      <c r="R156" s="26"/>
      <c r="S156" s="9">
        <f t="shared" si="13"/>
        <v>-1.239004128</v>
      </c>
      <c r="U156" s="21"/>
      <c r="V156" s="21"/>
    </row>
    <row r="157">
      <c r="A157" s="11">
        <v>145.0</v>
      </c>
      <c r="B157" s="11">
        <v>1.42002608695652E9</v>
      </c>
      <c r="C157" s="2">
        <v>-102.6102219</v>
      </c>
      <c r="D157" s="24">
        <f t="shared" si="1"/>
        <v>-373913.0435</v>
      </c>
      <c r="E157" s="25">
        <f t="shared" si="2"/>
        <v>78.05517123</v>
      </c>
      <c r="F157" s="24">
        <f t="shared" si="3"/>
        <v>0.0002087522021</v>
      </c>
      <c r="G157" s="24">
        <f t="shared" si="4"/>
        <v>0</v>
      </c>
      <c r="H157" s="26">
        <f t="shared" si="5"/>
        <v>0</v>
      </c>
      <c r="I157" s="24">
        <f t="shared" si="6"/>
        <v>0</v>
      </c>
      <c r="J157" s="24">
        <f t="shared" si="7"/>
        <v>0</v>
      </c>
      <c r="K157" s="24"/>
      <c r="L157" s="24">
        <f t="shared" si="8"/>
        <v>416.9499992</v>
      </c>
      <c r="M157" s="14">
        <f t="shared" si="9"/>
        <v>423.4029437</v>
      </c>
      <c r="N157" s="27">
        <f t="shared" si="10"/>
        <v>-6.45294449</v>
      </c>
      <c r="O157" s="24"/>
      <c r="P157" s="24"/>
      <c r="Q157" s="24"/>
      <c r="R157" s="26"/>
      <c r="S157" s="9">
        <f t="shared" si="13"/>
        <v>-5.92571397</v>
      </c>
      <c r="U157" s="21"/>
      <c r="V157" s="21"/>
    </row>
    <row r="158">
      <c r="A158" s="11">
        <v>146.0</v>
      </c>
      <c r="B158" s="11">
        <v>1.4200304347826E9</v>
      </c>
      <c r="C158" s="2">
        <v>-102.584259</v>
      </c>
      <c r="D158" s="24">
        <f t="shared" si="1"/>
        <v>-369565.2174</v>
      </c>
      <c r="E158" s="25">
        <f t="shared" si="2"/>
        <v>77.1368751</v>
      </c>
      <c r="F158" s="24">
        <f t="shared" si="3"/>
        <v>0.0002087233091</v>
      </c>
      <c r="G158" s="24">
        <f t="shared" si="4"/>
        <v>0</v>
      </c>
      <c r="H158" s="26">
        <f t="shared" si="5"/>
        <v>0</v>
      </c>
      <c r="I158" s="24">
        <f t="shared" si="6"/>
        <v>0</v>
      </c>
      <c r="J158" s="24">
        <f t="shared" si="7"/>
        <v>0</v>
      </c>
      <c r="K158" s="24"/>
      <c r="L158" s="24">
        <f t="shared" si="8"/>
        <v>419.4500663</v>
      </c>
      <c r="M158" s="14">
        <f t="shared" si="9"/>
        <v>423.3244083</v>
      </c>
      <c r="N158" s="27">
        <f t="shared" si="10"/>
        <v>-3.874342024</v>
      </c>
      <c r="O158" s="24"/>
      <c r="P158" s="24"/>
      <c r="Q158" s="24"/>
      <c r="R158" s="26"/>
      <c r="S158" s="9">
        <f t="shared" si="13"/>
        <v>-3.557793298</v>
      </c>
      <c r="U158" s="21"/>
      <c r="V158" s="21"/>
    </row>
    <row r="159">
      <c r="A159" s="11">
        <v>147.0</v>
      </c>
      <c r="B159" s="11">
        <v>1.42003478260869E9</v>
      </c>
      <c r="C159" s="2">
        <v>-102.5964355</v>
      </c>
      <c r="D159" s="24">
        <f t="shared" si="1"/>
        <v>-365217.3913</v>
      </c>
      <c r="E159" s="25">
        <f t="shared" si="2"/>
        <v>76.21857897</v>
      </c>
      <c r="F159" s="24">
        <f t="shared" si="3"/>
        <v>0.0002086937281</v>
      </c>
      <c r="G159" s="24">
        <f t="shared" si="4"/>
        <v>0</v>
      </c>
      <c r="H159" s="26">
        <f t="shared" si="5"/>
        <v>0</v>
      </c>
      <c r="I159" s="24">
        <f t="shared" si="6"/>
        <v>0</v>
      </c>
      <c r="J159" s="24">
        <f t="shared" si="7"/>
        <v>0</v>
      </c>
      <c r="K159" s="24"/>
      <c r="L159" s="24">
        <f t="shared" si="8"/>
        <v>418.2756833</v>
      </c>
      <c r="M159" s="14">
        <f t="shared" si="9"/>
        <v>423.2455722</v>
      </c>
      <c r="N159" s="27">
        <f t="shared" si="10"/>
        <v>-4.969888872</v>
      </c>
      <c r="O159" s="24"/>
      <c r="P159" s="24"/>
      <c r="Q159" s="24"/>
      <c r="R159" s="26"/>
      <c r="S159" s="9">
        <f t="shared" si="13"/>
        <v>-4.563829731</v>
      </c>
      <c r="U159" s="21"/>
      <c r="V159" s="21"/>
    </row>
    <row r="160">
      <c r="A160" s="11">
        <v>148.0</v>
      </c>
      <c r="B160" s="11">
        <v>1.42003913043478E9</v>
      </c>
      <c r="C160" s="2">
        <v>-102.5944366</v>
      </c>
      <c r="D160" s="24">
        <f t="shared" si="1"/>
        <v>-360869.5652</v>
      </c>
      <c r="E160" s="25">
        <f t="shared" si="2"/>
        <v>75.30028284</v>
      </c>
      <c r="F160" s="24">
        <f t="shared" si="3"/>
        <v>0.0002086634344</v>
      </c>
      <c r="G160" s="24">
        <f t="shared" si="4"/>
        <v>0</v>
      </c>
      <c r="H160" s="26">
        <f t="shared" si="5"/>
        <v>0</v>
      </c>
      <c r="I160" s="24">
        <f t="shared" si="6"/>
        <v>0</v>
      </c>
      <c r="J160" s="24">
        <f t="shared" si="7"/>
        <v>0</v>
      </c>
      <c r="K160" s="24"/>
      <c r="L160" s="24">
        <f t="shared" si="8"/>
        <v>418.4682448</v>
      </c>
      <c r="M160" s="14">
        <f t="shared" si="9"/>
        <v>423.1664374</v>
      </c>
      <c r="N160" s="27">
        <f t="shared" si="10"/>
        <v>-4.698192636</v>
      </c>
      <c r="O160" s="24"/>
      <c r="P160" s="24"/>
      <c r="Q160" s="24"/>
      <c r="R160" s="26"/>
      <c r="S160" s="9">
        <f t="shared" si="13"/>
        <v>-4.314332118</v>
      </c>
      <c r="U160" s="21"/>
      <c r="V160" s="21"/>
    </row>
    <row r="161">
      <c r="A161" s="11">
        <v>149.0</v>
      </c>
      <c r="B161" s="11">
        <v>1.42004347826087E9</v>
      </c>
      <c r="C161" s="2">
        <v>-102.5955734</v>
      </c>
      <c r="D161" s="24">
        <f t="shared" si="1"/>
        <v>-356521.7391</v>
      </c>
      <c r="E161" s="25">
        <f t="shared" si="2"/>
        <v>74.3819867</v>
      </c>
      <c r="F161" s="24">
        <f t="shared" si="3"/>
        <v>0.0002086324017</v>
      </c>
      <c r="G161" s="24">
        <f t="shared" si="4"/>
        <v>0</v>
      </c>
      <c r="H161" s="26">
        <f t="shared" si="5"/>
        <v>0</v>
      </c>
      <c r="I161" s="24">
        <f t="shared" si="6"/>
        <v>0</v>
      </c>
      <c r="J161" s="24">
        <f t="shared" si="7"/>
        <v>0</v>
      </c>
      <c r="K161" s="24"/>
      <c r="L161" s="24">
        <f t="shared" si="8"/>
        <v>418.3587217</v>
      </c>
      <c r="M161" s="14">
        <f t="shared" si="9"/>
        <v>423.087006</v>
      </c>
      <c r="N161" s="27">
        <f t="shared" si="10"/>
        <v>-4.728284244</v>
      </c>
      <c r="O161" s="24"/>
      <c r="P161" s="24"/>
      <c r="Q161" s="24"/>
      <c r="R161" s="26"/>
      <c r="S161" s="9">
        <f t="shared" si="13"/>
        <v>-4.341965136</v>
      </c>
      <c r="U161" s="21"/>
      <c r="V161" s="21"/>
    </row>
    <row r="162">
      <c r="A162" s="11">
        <v>150.0</v>
      </c>
      <c r="B162" s="11">
        <v>1.42004782608695E9</v>
      </c>
      <c r="C162" s="2">
        <v>-102.5565414</v>
      </c>
      <c r="D162" s="24">
        <f t="shared" si="1"/>
        <v>-352173.913</v>
      </c>
      <c r="E162" s="25">
        <f t="shared" si="2"/>
        <v>73.46369057</v>
      </c>
      <c r="F162" s="24">
        <f t="shared" si="3"/>
        <v>0.0002086006029</v>
      </c>
      <c r="G162" s="24">
        <f t="shared" si="4"/>
        <v>0</v>
      </c>
      <c r="H162" s="26">
        <f t="shared" si="5"/>
        <v>0</v>
      </c>
      <c r="I162" s="24">
        <f t="shared" si="6"/>
        <v>0</v>
      </c>
      <c r="J162" s="24">
        <f t="shared" si="7"/>
        <v>0</v>
      </c>
      <c r="K162" s="24"/>
      <c r="L162" s="24">
        <f t="shared" si="8"/>
        <v>422.1356469</v>
      </c>
      <c r="M162" s="14">
        <f t="shared" si="9"/>
        <v>423.00728</v>
      </c>
      <c r="N162" s="27">
        <f t="shared" si="10"/>
        <v>-0.8716330752</v>
      </c>
      <c r="O162" s="24"/>
      <c r="P162" s="24"/>
      <c r="Q162" s="24"/>
      <c r="R162" s="26"/>
      <c r="S162" s="9">
        <f t="shared" si="13"/>
        <v>-0.8004172822</v>
      </c>
      <c r="U162" s="21"/>
      <c r="V162" s="21"/>
    </row>
    <row r="163">
      <c r="A163" s="11">
        <v>151.0</v>
      </c>
      <c r="B163" s="11">
        <v>1.42005217391304E9</v>
      </c>
      <c r="C163" s="2">
        <v>-102.5753784</v>
      </c>
      <c r="D163" s="24">
        <f t="shared" si="1"/>
        <v>-347826.087</v>
      </c>
      <c r="E163" s="25">
        <f t="shared" si="2"/>
        <v>72.54539444</v>
      </c>
      <c r="F163" s="24">
        <f t="shared" si="3"/>
        <v>0.000208568009</v>
      </c>
      <c r="G163" s="24">
        <f t="shared" si="4"/>
        <v>0</v>
      </c>
      <c r="H163" s="26">
        <f t="shared" si="5"/>
        <v>0</v>
      </c>
      <c r="I163" s="24">
        <f t="shared" si="6"/>
        <v>0</v>
      </c>
      <c r="J163" s="24">
        <f t="shared" si="7"/>
        <v>0</v>
      </c>
      <c r="K163" s="24"/>
      <c r="L163" s="24">
        <f t="shared" si="8"/>
        <v>420.3086495</v>
      </c>
      <c r="M163" s="14">
        <f t="shared" si="9"/>
        <v>422.9272615</v>
      </c>
      <c r="N163" s="27">
        <f t="shared" si="10"/>
        <v>-2.618612049</v>
      </c>
      <c r="O163" s="24"/>
      <c r="P163" s="24"/>
      <c r="Q163" s="24"/>
      <c r="R163" s="26"/>
      <c r="S163" s="9">
        <f t="shared" si="13"/>
        <v>-2.404661312</v>
      </c>
      <c r="U163" s="21"/>
      <c r="V163" s="21"/>
    </row>
    <row r="164">
      <c r="A164" s="11">
        <v>152.0</v>
      </c>
      <c r="B164" s="11">
        <v>1.42005652173913E9</v>
      </c>
      <c r="C164" s="2">
        <v>-102.5691071</v>
      </c>
      <c r="D164" s="24">
        <f t="shared" si="1"/>
        <v>-343478.2609</v>
      </c>
      <c r="E164" s="25">
        <f t="shared" si="2"/>
        <v>71.62709831</v>
      </c>
      <c r="F164" s="24">
        <f t="shared" si="3"/>
        <v>0.00020853459</v>
      </c>
      <c r="G164" s="24">
        <f t="shared" si="4"/>
        <v>0</v>
      </c>
      <c r="H164" s="26">
        <f t="shared" si="5"/>
        <v>0</v>
      </c>
      <c r="I164" s="24">
        <f t="shared" si="6"/>
        <v>0</v>
      </c>
      <c r="J164" s="24">
        <f t="shared" si="7"/>
        <v>0</v>
      </c>
      <c r="K164" s="24"/>
      <c r="L164" s="24">
        <f t="shared" si="8"/>
        <v>420.9160221</v>
      </c>
      <c r="M164" s="14">
        <f t="shared" si="9"/>
        <v>422.8469526</v>
      </c>
      <c r="N164" s="27">
        <f t="shared" si="10"/>
        <v>-1.930930503</v>
      </c>
      <c r="O164" s="24"/>
      <c r="P164" s="24"/>
      <c r="Q164" s="24"/>
      <c r="R164" s="26"/>
      <c r="S164" s="9">
        <f t="shared" si="13"/>
        <v>-1.773166013</v>
      </c>
      <c r="U164" s="21"/>
      <c r="V164" s="21"/>
    </row>
    <row r="165">
      <c r="A165" s="11">
        <v>153.0</v>
      </c>
      <c r="B165" s="11">
        <v>1.42006086956521E9</v>
      </c>
      <c r="C165" s="2">
        <v>-102.575119</v>
      </c>
      <c r="D165" s="24">
        <f t="shared" si="1"/>
        <v>-339130.4348</v>
      </c>
      <c r="E165" s="25">
        <f t="shared" si="2"/>
        <v>70.70880218</v>
      </c>
      <c r="F165" s="24">
        <f t="shared" si="3"/>
        <v>0.0002085003141</v>
      </c>
      <c r="G165" s="24">
        <f t="shared" si="4"/>
        <v>0</v>
      </c>
      <c r="H165" s="26">
        <f t="shared" si="5"/>
        <v>0</v>
      </c>
      <c r="I165" s="24">
        <f t="shared" si="6"/>
        <v>0</v>
      </c>
      <c r="J165" s="24">
        <f t="shared" si="7"/>
        <v>0</v>
      </c>
      <c r="K165" s="24"/>
      <c r="L165" s="24">
        <f t="shared" si="8"/>
        <v>420.3337549</v>
      </c>
      <c r="M165" s="14">
        <f t="shared" si="9"/>
        <v>422.7663552</v>
      </c>
      <c r="N165" s="27">
        <f t="shared" si="10"/>
        <v>-2.432600361</v>
      </c>
      <c r="O165" s="24"/>
      <c r="P165" s="24"/>
      <c r="Q165" s="24"/>
      <c r="R165" s="26"/>
      <c r="S165" s="9">
        <f t="shared" si="13"/>
        <v>-2.233847504</v>
      </c>
      <c r="U165" s="21"/>
      <c r="V165" s="21"/>
    </row>
    <row r="166">
      <c r="A166" s="11">
        <v>154.0</v>
      </c>
      <c r="B166" s="11">
        <v>1.4200652173913E9</v>
      </c>
      <c r="C166" s="2">
        <v>-102.6179199</v>
      </c>
      <c r="D166" s="24">
        <f t="shared" si="1"/>
        <v>-334782.6087</v>
      </c>
      <c r="E166" s="25">
        <f t="shared" si="2"/>
        <v>69.79050604</v>
      </c>
      <c r="F166" s="24">
        <f t="shared" si="3"/>
        <v>0.0002084651479</v>
      </c>
      <c r="G166" s="24">
        <f t="shared" si="4"/>
        <v>0</v>
      </c>
      <c r="H166" s="26">
        <f t="shared" si="5"/>
        <v>0</v>
      </c>
      <c r="I166" s="24">
        <f t="shared" si="6"/>
        <v>0</v>
      </c>
      <c r="J166" s="24">
        <f t="shared" si="7"/>
        <v>0</v>
      </c>
      <c r="K166" s="24"/>
      <c r="L166" s="24">
        <f t="shared" si="8"/>
        <v>416.2115975</v>
      </c>
      <c r="M166" s="14">
        <f t="shared" si="9"/>
        <v>422.6854715</v>
      </c>
      <c r="N166" s="27">
        <f t="shared" si="10"/>
        <v>-6.473874049</v>
      </c>
      <c r="O166" s="24"/>
      <c r="P166" s="24"/>
      <c r="Q166" s="24"/>
      <c r="R166" s="26"/>
      <c r="S166" s="9">
        <f t="shared" si="13"/>
        <v>-5.94493349</v>
      </c>
      <c r="U166" s="21"/>
      <c r="V166" s="21"/>
    </row>
    <row r="167">
      <c r="A167" s="11">
        <v>155.0</v>
      </c>
      <c r="B167" s="11">
        <v>1.42006956521739E9</v>
      </c>
      <c r="C167" s="2">
        <v>-102.5426559</v>
      </c>
      <c r="D167" s="24">
        <f t="shared" si="1"/>
        <v>-330434.7826</v>
      </c>
      <c r="E167" s="25">
        <f t="shared" si="2"/>
        <v>68.87220991</v>
      </c>
      <c r="F167" s="24">
        <f t="shared" si="3"/>
        <v>0.0002084290563</v>
      </c>
      <c r="G167" s="24">
        <f t="shared" si="4"/>
        <v>0</v>
      </c>
      <c r="H167" s="26">
        <f t="shared" si="5"/>
        <v>0</v>
      </c>
      <c r="I167" s="24">
        <f t="shared" si="6"/>
        <v>0</v>
      </c>
      <c r="J167" s="24">
        <f t="shared" si="7"/>
        <v>0</v>
      </c>
      <c r="K167" s="24"/>
      <c r="L167" s="24">
        <f t="shared" si="8"/>
        <v>423.487482</v>
      </c>
      <c r="M167" s="14">
        <f t="shared" si="9"/>
        <v>422.6043035</v>
      </c>
      <c r="N167" s="27">
        <f t="shared" si="10"/>
        <v>0.8831784559</v>
      </c>
      <c r="O167" s="24"/>
      <c r="P167" s="24"/>
      <c r="Q167" s="24"/>
      <c r="R167" s="26"/>
      <c r="S167" s="9">
        <f t="shared" si="13"/>
        <v>0.8110193606</v>
      </c>
      <c r="U167" s="21"/>
      <c r="V167" s="21"/>
    </row>
    <row r="168">
      <c r="A168" s="11">
        <v>156.0</v>
      </c>
      <c r="B168" s="11">
        <v>1.42007391304347E9</v>
      </c>
      <c r="C168" s="2">
        <v>-102.5477676</v>
      </c>
      <c r="D168" s="24">
        <f t="shared" si="1"/>
        <v>-326086.9565</v>
      </c>
      <c r="E168" s="25">
        <f t="shared" si="2"/>
        <v>67.95391378</v>
      </c>
      <c r="F168" s="24">
        <f t="shared" si="3"/>
        <v>0.0002083920023</v>
      </c>
      <c r="G168" s="24">
        <f t="shared" si="4"/>
        <v>0</v>
      </c>
      <c r="H168" s="26">
        <f t="shared" si="5"/>
        <v>0</v>
      </c>
      <c r="I168" s="24">
        <f t="shared" si="6"/>
        <v>0</v>
      </c>
      <c r="J168" s="24">
        <f t="shared" si="7"/>
        <v>0</v>
      </c>
      <c r="K168" s="24"/>
      <c r="L168" s="24">
        <f t="shared" si="8"/>
        <v>422.9893252</v>
      </c>
      <c r="M168" s="14">
        <f t="shared" si="9"/>
        <v>422.5228533</v>
      </c>
      <c r="N168" s="27">
        <f t="shared" si="10"/>
        <v>0.4664719014</v>
      </c>
      <c r="O168" s="24"/>
      <c r="P168" s="24"/>
      <c r="Q168" s="24"/>
      <c r="R168" s="26"/>
      <c r="S168" s="9">
        <f t="shared" si="13"/>
        <v>0.4283593431</v>
      </c>
      <c r="U168" s="21"/>
      <c r="V168" s="21"/>
    </row>
    <row r="169">
      <c r="A169" s="11">
        <v>157.0</v>
      </c>
      <c r="B169" s="11">
        <v>1.42007826086956E9</v>
      </c>
      <c r="C169" s="2">
        <v>-102.5142059</v>
      </c>
      <c r="D169" s="24">
        <f t="shared" si="1"/>
        <v>-321739.1304</v>
      </c>
      <c r="E169" s="25">
        <f t="shared" si="2"/>
        <v>67.03561765</v>
      </c>
      <c r="F169" s="24">
        <f t="shared" si="3"/>
        <v>0.0002083539467</v>
      </c>
      <c r="G169" s="24">
        <f t="shared" si="4"/>
        <v>0</v>
      </c>
      <c r="H169" s="26">
        <f t="shared" si="5"/>
        <v>0</v>
      </c>
      <c r="I169" s="24">
        <f t="shared" si="6"/>
        <v>0</v>
      </c>
      <c r="J169" s="24">
        <f t="shared" si="7"/>
        <v>0</v>
      </c>
      <c r="K169" s="24"/>
      <c r="L169" s="24">
        <f t="shared" si="8"/>
        <v>426.2707935</v>
      </c>
      <c r="M169" s="14">
        <f t="shared" si="9"/>
        <v>422.4411228</v>
      </c>
      <c r="N169" s="27">
        <f t="shared" si="10"/>
        <v>3.829670637</v>
      </c>
      <c r="O169" s="24"/>
      <c r="P169" s="24"/>
      <c r="Q169" s="24"/>
      <c r="R169" s="26"/>
      <c r="S169" s="9">
        <f t="shared" si="13"/>
        <v>3.516771727</v>
      </c>
      <c r="U169" s="21"/>
      <c r="V169" s="21"/>
    </row>
    <row r="170">
      <c r="A170" s="11">
        <v>158.0</v>
      </c>
      <c r="B170" s="11">
        <v>1.42008260869565E9</v>
      </c>
      <c r="C170" s="2">
        <v>-102.5546951</v>
      </c>
      <c r="D170" s="24">
        <f t="shared" si="1"/>
        <v>-317391.3043</v>
      </c>
      <c r="E170" s="25">
        <f t="shared" si="2"/>
        <v>66.11732152</v>
      </c>
      <c r="F170" s="24">
        <f t="shared" si="3"/>
        <v>0.0002083148486</v>
      </c>
      <c r="G170" s="24">
        <f t="shared" si="4"/>
        <v>0</v>
      </c>
      <c r="H170" s="26">
        <f t="shared" si="5"/>
        <v>0</v>
      </c>
      <c r="I170" s="24">
        <f t="shared" si="6"/>
        <v>0</v>
      </c>
      <c r="J170" s="24">
        <f t="shared" si="7"/>
        <v>0</v>
      </c>
      <c r="K170" s="24"/>
      <c r="L170" s="24">
        <f t="shared" si="8"/>
        <v>422.315146</v>
      </c>
      <c r="M170" s="14">
        <f t="shared" si="9"/>
        <v>422.3591143</v>
      </c>
      <c r="N170" s="27">
        <f t="shared" si="10"/>
        <v>-0.04396820902</v>
      </c>
      <c r="O170" s="24"/>
      <c r="P170" s="24"/>
      <c r="Q170" s="24"/>
      <c r="R170" s="26"/>
      <c r="S170" s="9">
        <f t="shared" si="13"/>
        <v>-0.0403758363</v>
      </c>
      <c r="U170" s="21"/>
      <c r="V170" s="21"/>
    </row>
    <row r="171">
      <c r="A171" s="11">
        <v>159.0</v>
      </c>
      <c r="B171" s="11">
        <v>1.42008695652173E9</v>
      </c>
      <c r="C171" s="2">
        <v>-102.5810699</v>
      </c>
      <c r="D171" s="24">
        <f t="shared" si="1"/>
        <v>-313043.4783</v>
      </c>
      <c r="E171" s="25">
        <f t="shared" si="2"/>
        <v>65.19902538</v>
      </c>
      <c r="F171" s="24">
        <f t="shared" si="3"/>
        <v>0.0002082746644</v>
      </c>
      <c r="G171" s="24">
        <f t="shared" si="4"/>
        <v>0</v>
      </c>
      <c r="H171" s="26">
        <f t="shared" si="5"/>
        <v>0</v>
      </c>
      <c r="I171" s="24">
        <f t="shared" si="6"/>
        <v>0</v>
      </c>
      <c r="J171" s="24">
        <f t="shared" si="7"/>
        <v>0</v>
      </c>
      <c r="K171" s="24"/>
      <c r="L171" s="24">
        <f t="shared" si="8"/>
        <v>419.7581889</v>
      </c>
      <c r="M171" s="14">
        <f t="shared" si="9"/>
        <v>422.2768296</v>
      </c>
      <c r="N171" s="27">
        <f t="shared" si="10"/>
        <v>-2.518640687</v>
      </c>
      <c r="O171" s="24"/>
      <c r="P171" s="24"/>
      <c r="Q171" s="24"/>
      <c r="R171" s="26"/>
      <c r="S171" s="9">
        <f t="shared" si="13"/>
        <v>-2.312858003</v>
      </c>
      <c r="U171" s="21"/>
      <c r="V171" s="21"/>
    </row>
    <row r="172">
      <c r="A172" s="11">
        <v>160.0</v>
      </c>
      <c r="B172" s="11">
        <v>1.42009130434782E9</v>
      </c>
      <c r="C172" s="2">
        <v>-102.5349579</v>
      </c>
      <c r="D172" s="24">
        <f t="shared" si="1"/>
        <v>-308695.6522</v>
      </c>
      <c r="E172" s="25">
        <f t="shared" si="2"/>
        <v>64.28072925</v>
      </c>
      <c r="F172" s="24">
        <f t="shared" si="3"/>
        <v>0.0002082333483</v>
      </c>
      <c r="G172" s="24">
        <f t="shared" si="4"/>
        <v>0</v>
      </c>
      <c r="H172" s="26">
        <f t="shared" si="5"/>
        <v>0</v>
      </c>
      <c r="I172" s="24">
        <f t="shared" si="6"/>
        <v>0</v>
      </c>
      <c r="J172" s="24">
        <f t="shared" si="7"/>
        <v>0</v>
      </c>
      <c r="K172" s="24"/>
      <c r="L172" s="24">
        <f t="shared" si="8"/>
        <v>424.2387919</v>
      </c>
      <c r="M172" s="14">
        <f t="shared" si="9"/>
        <v>422.1942709</v>
      </c>
      <c r="N172" s="27">
        <f t="shared" si="10"/>
        <v>2.044521007</v>
      </c>
      <c r="O172" s="24"/>
      <c r="P172" s="24"/>
      <c r="Q172" s="24"/>
      <c r="R172" s="26"/>
      <c r="S172" s="9">
        <f t="shared" si="13"/>
        <v>1.877475734</v>
      </c>
      <c r="U172" s="21"/>
      <c r="V172" s="21"/>
    </row>
    <row r="173">
      <c r="A173" s="11">
        <v>161.0</v>
      </c>
      <c r="B173" s="11">
        <v>1.42009565217391E9</v>
      </c>
      <c r="C173" s="2">
        <v>-102.5454025</v>
      </c>
      <c r="D173" s="24">
        <f t="shared" si="1"/>
        <v>-304347.8261</v>
      </c>
      <c r="E173" s="25">
        <f t="shared" si="2"/>
        <v>63.36243312</v>
      </c>
      <c r="F173" s="24">
        <f t="shared" si="3"/>
        <v>0.0002081908517</v>
      </c>
      <c r="G173" s="24">
        <f t="shared" si="4"/>
        <v>0</v>
      </c>
      <c r="H173" s="26">
        <f t="shared" si="5"/>
        <v>0</v>
      </c>
      <c r="I173" s="24">
        <f t="shared" si="6"/>
        <v>0</v>
      </c>
      <c r="J173" s="24">
        <f t="shared" si="7"/>
        <v>0</v>
      </c>
      <c r="K173" s="24"/>
      <c r="L173" s="24">
        <f t="shared" si="8"/>
        <v>423.2197413</v>
      </c>
      <c r="M173" s="14">
        <f t="shared" si="9"/>
        <v>422.1114402</v>
      </c>
      <c r="N173" s="27">
        <f t="shared" si="10"/>
        <v>1.108301072</v>
      </c>
      <c r="O173" s="24"/>
      <c r="P173" s="24"/>
      <c r="Q173" s="24"/>
      <c r="R173" s="26"/>
      <c r="S173" s="9">
        <f t="shared" si="13"/>
        <v>1.017748586</v>
      </c>
      <c r="U173" s="21"/>
      <c r="V173" s="21"/>
    </row>
    <row r="174">
      <c r="A174" s="11">
        <v>162.0</v>
      </c>
      <c r="B174" s="11">
        <v>1.4201E9</v>
      </c>
      <c r="C174" s="2">
        <v>-102.5370407</v>
      </c>
      <c r="D174" s="24">
        <f t="shared" si="1"/>
        <v>-300000</v>
      </c>
      <c r="E174" s="25">
        <f t="shared" si="2"/>
        <v>62.44413699</v>
      </c>
      <c r="F174" s="24">
        <f t="shared" si="3"/>
        <v>0.0002081471233</v>
      </c>
      <c r="G174" s="24">
        <f t="shared" si="4"/>
        <v>0</v>
      </c>
      <c r="H174" s="26">
        <f t="shared" si="5"/>
        <v>0</v>
      </c>
      <c r="I174" s="24">
        <f t="shared" si="6"/>
        <v>0</v>
      </c>
      <c r="J174" s="24">
        <f t="shared" si="7"/>
        <v>0</v>
      </c>
      <c r="K174" s="24"/>
      <c r="L174" s="24">
        <f t="shared" si="8"/>
        <v>424.0353832</v>
      </c>
      <c r="M174" s="14">
        <f t="shared" si="9"/>
        <v>422.0283396</v>
      </c>
      <c r="N174" s="27">
        <f t="shared" si="10"/>
        <v>2.007043593</v>
      </c>
      <c r="O174" s="24"/>
      <c r="P174" s="24"/>
      <c r="Q174" s="24"/>
      <c r="R174" s="26"/>
      <c r="S174" s="9">
        <f t="shared" si="13"/>
        <v>1.84306037</v>
      </c>
      <c r="U174" s="21"/>
      <c r="V174" s="21"/>
    </row>
    <row r="175">
      <c r="A175" s="11">
        <v>163.0</v>
      </c>
      <c r="B175" s="11">
        <v>1.42010434782608E9</v>
      </c>
      <c r="C175" s="2">
        <v>-102.6003265</v>
      </c>
      <c r="D175" s="24">
        <f t="shared" si="1"/>
        <v>-295652.1739</v>
      </c>
      <c r="E175" s="25">
        <f t="shared" si="2"/>
        <v>61.52584085</v>
      </c>
      <c r="F175" s="24">
        <f t="shared" si="3"/>
        <v>0.0002081021088</v>
      </c>
      <c r="G175" s="24">
        <f t="shared" si="4"/>
        <v>0</v>
      </c>
      <c r="H175" s="26">
        <f t="shared" si="5"/>
        <v>0</v>
      </c>
      <c r="I175" s="24">
        <f t="shared" si="6"/>
        <v>0</v>
      </c>
      <c r="J175" s="24">
        <f t="shared" si="7"/>
        <v>0</v>
      </c>
      <c r="K175" s="24"/>
      <c r="L175" s="24">
        <f t="shared" si="8"/>
        <v>417.901103</v>
      </c>
      <c r="M175" s="14">
        <f t="shared" si="9"/>
        <v>421.9449711</v>
      </c>
      <c r="N175" s="27">
        <f t="shared" si="10"/>
        <v>-4.04386818</v>
      </c>
      <c r="O175" s="24"/>
      <c r="P175" s="24"/>
      <c r="Q175" s="24"/>
      <c r="R175" s="26"/>
      <c r="S175" s="9">
        <f t="shared" si="13"/>
        <v>-3.713468511</v>
      </c>
      <c r="U175" s="21"/>
      <c r="V175" s="21"/>
    </row>
    <row r="176">
      <c r="A176" s="11">
        <v>164.0</v>
      </c>
      <c r="B176" s="11">
        <v>1.42010869565217E9</v>
      </c>
      <c r="C176" s="2">
        <v>-102.6168823</v>
      </c>
      <c r="D176" s="24">
        <f t="shared" si="1"/>
        <v>-291304.3478</v>
      </c>
      <c r="E176" s="25">
        <f t="shared" si="2"/>
        <v>60.60754472</v>
      </c>
      <c r="F176" s="24">
        <f t="shared" si="3"/>
        <v>0.0002080557505</v>
      </c>
      <c r="G176" s="24">
        <f t="shared" si="4"/>
        <v>0</v>
      </c>
      <c r="H176" s="26">
        <f t="shared" si="5"/>
        <v>0</v>
      </c>
      <c r="I176" s="24">
        <f t="shared" si="6"/>
        <v>0</v>
      </c>
      <c r="J176" s="24">
        <f t="shared" si="7"/>
        <v>0</v>
      </c>
      <c r="K176" s="24"/>
      <c r="L176" s="24">
        <f t="shared" si="8"/>
        <v>416.3110491</v>
      </c>
      <c r="M176" s="14">
        <f t="shared" si="9"/>
        <v>421.8613369</v>
      </c>
      <c r="N176" s="27">
        <f t="shared" si="10"/>
        <v>-5.550287802</v>
      </c>
      <c r="O176" s="24"/>
      <c r="P176" s="24"/>
      <c r="Q176" s="24"/>
      <c r="R176" s="26"/>
      <c r="S176" s="9">
        <f t="shared" si="13"/>
        <v>-5.096807812</v>
      </c>
      <c r="U176" s="21"/>
      <c r="V176" s="21"/>
    </row>
    <row r="177">
      <c r="A177" s="11">
        <v>165.0</v>
      </c>
      <c r="B177" s="11">
        <v>1.42011304347826E9</v>
      </c>
      <c r="C177" s="2">
        <v>-102.572937</v>
      </c>
      <c r="D177" s="24">
        <f t="shared" si="1"/>
        <v>-286956.5217</v>
      </c>
      <c r="E177" s="25">
        <f t="shared" si="2"/>
        <v>59.68924859</v>
      </c>
      <c r="F177" s="24">
        <f t="shared" si="3"/>
        <v>0.0002080079875</v>
      </c>
      <c r="G177" s="24">
        <f t="shared" si="4"/>
        <v>0</v>
      </c>
      <c r="H177" s="26">
        <f t="shared" si="5"/>
        <v>0</v>
      </c>
      <c r="I177" s="24">
        <f t="shared" si="6"/>
        <v>0</v>
      </c>
      <c r="J177" s="24">
        <f t="shared" si="7"/>
        <v>0</v>
      </c>
      <c r="K177" s="24"/>
      <c r="L177" s="24">
        <f t="shared" si="8"/>
        <v>420.5449937</v>
      </c>
      <c r="M177" s="14">
        <f t="shared" si="9"/>
        <v>421.7774388</v>
      </c>
      <c r="N177" s="27">
        <f t="shared" si="10"/>
        <v>-1.23244508</v>
      </c>
      <c r="O177" s="24"/>
      <c r="P177" s="24"/>
      <c r="Q177" s="24"/>
      <c r="R177" s="26"/>
      <c r="S177" s="9">
        <f t="shared" si="13"/>
        <v>-1.13174955</v>
      </c>
      <c r="U177" s="21"/>
      <c r="V177" s="21"/>
    </row>
    <row r="178">
      <c r="A178" s="11">
        <v>166.0</v>
      </c>
      <c r="B178" s="11">
        <v>1.42011739130434E9</v>
      </c>
      <c r="C178" s="2">
        <v>-102.5386124</v>
      </c>
      <c r="D178" s="24">
        <f t="shared" si="1"/>
        <v>-282608.6957</v>
      </c>
      <c r="E178" s="25">
        <f t="shared" si="2"/>
        <v>58.77095246</v>
      </c>
      <c r="F178" s="24">
        <f t="shared" si="3"/>
        <v>0.0002079587548</v>
      </c>
      <c r="G178" s="24">
        <f t="shared" si="4"/>
        <v>0</v>
      </c>
      <c r="H178" s="26">
        <f t="shared" si="5"/>
        <v>0</v>
      </c>
      <c r="I178" s="24">
        <f t="shared" si="6"/>
        <v>0</v>
      </c>
      <c r="J178" s="24">
        <f t="shared" si="7"/>
        <v>0</v>
      </c>
      <c r="K178" s="24"/>
      <c r="L178" s="24">
        <f t="shared" si="8"/>
        <v>423.8819537</v>
      </c>
      <c r="M178" s="14">
        <f t="shared" si="9"/>
        <v>421.693279</v>
      </c>
      <c r="N178" s="27">
        <f t="shared" si="10"/>
        <v>2.188674698</v>
      </c>
      <c r="O178" s="24"/>
      <c r="P178" s="24"/>
      <c r="Q178" s="24"/>
      <c r="R178" s="26"/>
      <c r="S178" s="9">
        <f t="shared" si="13"/>
        <v>2.009851511</v>
      </c>
      <c r="U178" s="21"/>
      <c r="V178" s="21"/>
    </row>
    <row r="179">
      <c r="A179" s="11">
        <v>167.0</v>
      </c>
      <c r="B179" s="11">
        <v>1.42012173913043E9</v>
      </c>
      <c r="C179" s="2">
        <v>-102.5576096</v>
      </c>
      <c r="D179" s="24">
        <f t="shared" si="1"/>
        <v>-278260.8696</v>
      </c>
      <c r="E179" s="25">
        <f t="shared" si="2"/>
        <v>57.85265632</v>
      </c>
      <c r="F179" s="24">
        <f t="shared" si="3"/>
        <v>0.0002079079837</v>
      </c>
      <c r="G179" s="24">
        <f t="shared" si="4"/>
        <v>0</v>
      </c>
      <c r="H179" s="26">
        <f t="shared" si="5"/>
        <v>0</v>
      </c>
      <c r="I179" s="24">
        <f t="shared" si="6"/>
        <v>0</v>
      </c>
      <c r="J179" s="24">
        <f t="shared" si="7"/>
        <v>0</v>
      </c>
      <c r="K179" s="24"/>
      <c r="L179" s="24">
        <f t="shared" si="8"/>
        <v>422.0318303</v>
      </c>
      <c r="M179" s="14">
        <f t="shared" si="9"/>
        <v>421.6088596</v>
      </c>
      <c r="N179" s="27">
        <f t="shared" si="10"/>
        <v>0.4229707262</v>
      </c>
      <c r="O179" s="24"/>
      <c r="P179" s="24"/>
      <c r="Q179" s="24"/>
      <c r="R179" s="26"/>
      <c r="S179" s="9">
        <f t="shared" si="13"/>
        <v>0.3884123813</v>
      </c>
      <c r="U179" s="21"/>
      <c r="V179" s="21"/>
    </row>
    <row r="180">
      <c r="A180" s="11">
        <v>168.0</v>
      </c>
      <c r="B180" s="11">
        <v>1.42012608695652E9</v>
      </c>
      <c r="C180" s="2">
        <v>-102.5663071</v>
      </c>
      <c r="D180" s="24">
        <f t="shared" si="1"/>
        <v>-273913.0435</v>
      </c>
      <c r="E180" s="25">
        <f t="shared" si="2"/>
        <v>56.93436019</v>
      </c>
      <c r="F180" s="24">
        <f t="shared" si="3"/>
        <v>0.0002078556007</v>
      </c>
      <c r="G180" s="24">
        <f t="shared" si="4"/>
        <v>0</v>
      </c>
      <c r="H180" s="26">
        <f t="shared" si="5"/>
        <v>0</v>
      </c>
      <c r="I180" s="24">
        <f t="shared" si="6"/>
        <v>0</v>
      </c>
      <c r="J180" s="24">
        <f t="shared" si="7"/>
        <v>0</v>
      </c>
      <c r="K180" s="24"/>
      <c r="L180" s="24">
        <f t="shared" si="8"/>
        <v>421.1874842</v>
      </c>
      <c r="M180" s="14">
        <f t="shared" si="9"/>
        <v>421.5241825</v>
      </c>
      <c r="N180" s="27">
        <f t="shared" si="10"/>
        <v>-0.3366983903</v>
      </c>
      <c r="O180" s="24"/>
      <c r="P180" s="24"/>
      <c r="Q180" s="24"/>
      <c r="R180" s="26"/>
      <c r="S180" s="9">
        <f t="shared" si="13"/>
        <v>-0.3091888297</v>
      </c>
      <c r="U180" s="21"/>
      <c r="V180" s="21"/>
    </row>
    <row r="181">
      <c r="A181" s="11">
        <v>169.0</v>
      </c>
      <c r="B181" s="11">
        <v>1.4201304347826E9</v>
      </c>
      <c r="C181" s="2">
        <v>-102.5207214</v>
      </c>
      <c r="D181" s="24">
        <f t="shared" si="1"/>
        <v>-269565.2174</v>
      </c>
      <c r="E181" s="25">
        <f t="shared" si="2"/>
        <v>56.01606406</v>
      </c>
      <c r="F181" s="24">
        <f t="shared" si="3"/>
        <v>0.000207801528</v>
      </c>
      <c r="G181" s="24">
        <f t="shared" si="4"/>
        <v>0</v>
      </c>
      <c r="H181" s="26">
        <f t="shared" si="5"/>
        <v>0</v>
      </c>
      <c r="I181" s="24">
        <f t="shared" si="6"/>
        <v>0</v>
      </c>
      <c r="J181" s="24">
        <f t="shared" si="7"/>
        <v>0</v>
      </c>
      <c r="K181" s="24"/>
      <c r="L181" s="24">
        <f t="shared" si="8"/>
        <v>425.6317605</v>
      </c>
      <c r="M181" s="14">
        <f t="shared" si="9"/>
        <v>421.43925</v>
      </c>
      <c r="N181" s="27">
        <f t="shared" si="10"/>
        <v>4.192510522</v>
      </c>
      <c r="O181" s="24"/>
      <c r="P181" s="24"/>
      <c r="Q181" s="24"/>
      <c r="R181" s="26"/>
      <c r="S181" s="9">
        <f t="shared" si="13"/>
        <v>3.849966199</v>
      </c>
      <c r="U181" s="21"/>
      <c r="V181" s="21"/>
    </row>
    <row r="182">
      <c r="A182" s="11">
        <v>170.0</v>
      </c>
      <c r="B182" s="11">
        <v>1.42013478260869E9</v>
      </c>
      <c r="C182" s="2">
        <v>-102.5672073</v>
      </c>
      <c r="D182" s="24">
        <f t="shared" si="1"/>
        <v>-265217.3913</v>
      </c>
      <c r="E182" s="25">
        <f t="shared" si="2"/>
        <v>55.09776793</v>
      </c>
      <c r="F182" s="24">
        <f t="shared" si="3"/>
        <v>0.0002077456823</v>
      </c>
      <c r="G182" s="24">
        <f t="shared" si="4"/>
        <v>0</v>
      </c>
      <c r="H182" s="26">
        <f t="shared" si="5"/>
        <v>0</v>
      </c>
      <c r="I182" s="24">
        <f t="shared" si="6"/>
        <v>0</v>
      </c>
      <c r="J182" s="24">
        <f t="shared" si="7"/>
        <v>0</v>
      </c>
      <c r="K182" s="24"/>
      <c r="L182" s="24">
        <f t="shared" si="8"/>
        <v>421.10019</v>
      </c>
      <c r="M182" s="14">
        <f t="shared" si="9"/>
        <v>421.3540639</v>
      </c>
      <c r="N182" s="27">
        <f t="shared" si="10"/>
        <v>-0.2538738512</v>
      </c>
      <c r="O182" s="24"/>
      <c r="P182" s="24"/>
      <c r="Q182" s="24"/>
      <c r="R182" s="26"/>
      <c r="S182" s="9">
        <f t="shared" si="13"/>
        <v>-0.2331313757</v>
      </c>
      <c r="U182" s="21"/>
      <c r="V182" s="21"/>
    </row>
    <row r="183">
      <c r="A183" s="11">
        <v>171.0</v>
      </c>
      <c r="B183" s="11">
        <v>1.42013913043478E9</v>
      </c>
      <c r="C183" s="2">
        <v>-102.5174408</v>
      </c>
      <c r="D183" s="24">
        <f t="shared" si="1"/>
        <v>-260869.5652</v>
      </c>
      <c r="E183" s="25">
        <f t="shared" si="2"/>
        <v>54.1794718</v>
      </c>
      <c r="F183" s="24">
        <f t="shared" si="3"/>
        <v>0.0002076879752</v>
      </c>
      <c r="G183" s="24">
        <f t="shared" si="4"/>
        <v>0</v>
      </c>
      <c r="H183" s="26">
        <f t="shared" si="5"/>
        <v>0</v>
      </c>
      <c r="I183" s="24">
        <f t="shared" si="6"/>
        <v>0</v>
      </c>
      <c r="J183" s="24">
        <f t="shared" si="7"/>
        <v>0</v>
      </c>
      <c r="K183" s="24"/>
      <c r="L183" s="24">
        <f t="shared" si="8"/>
        <v>425.9533982</v>
      </c>
      <c r="M183" s="14">
        <f t="shared" si="9"/>
        <v>421.2686263</v>
      </c>
      <c r="N183" s="27">
        <f t="shared" si="10"/>
        <v>4.684771927</v>
      </c>
      <c r="O183" s="24"/>
      <c r="P183" s="24"/>
      <c r="Q183" s="24"/>
      <c r="R183" s="26"/>
      <c r="S183" s="9">
        <f t="shared" si="13"/>
        <v>4.302007933</v>
      </c>
      <c r="U183" s="21"/>
      <c r="V183" s="21"/>
    </row>
    <row r="184">
      <c r="A184" s="11">
        <v>172.0</v>
      </c>
      <c r="B184" s="11">
        <v>1.42014347826087E9</v>
      </c>
      <c r="C184" s="2">
        <v>-102.5218964</v>
      </c>
      <c r="D184" s="24">
        <f t="shared" si="1"/>
        <v>-256521.7391</v>
      </c>
      <c r="E184" s="25">
        <f t="shared" si="2"/>
        <v>53.26117567</v>
      </c>
      <c r="F184" s="24">
        <f t="shared" si="3"/>
        <v>0.0002076283119</v>
      </c>
      <c r="G184" s="24">
        <f t="shared" si="4"/>
        <v>0</v>
      </c>
      <c r="H184" s="26">
        <f t="shared" si="5"/>
        <v>0</v>
      </c>
      <c r="I184" s="24">
        <f t="shared" si="6"/>
        <v>0</v>
      </c>
      <c r="J184" s="24">
        <f t="shared" si="7"/>
        <v>0</v>
      </c>
      <c r="K184" s="24"/>
      <c r="L184" s="24">
        <f t="shared" si="8"/>
        <v>425.5166198</v>
      </c>
      <c r="M184" s="14">
        <f t="shared" si="9"/>
        <v>421.1829394</v>
      </c>
      <c r="N184" s="27">
        <f t="shared" si="10"/>
        <v>4.333680406</v>
      </c>
      <c r="O184" s="24"/>
      <c r="P184" s="24"/>
      <c r="Q184" s="24"/>
      <c r="R184" s="26"/>
      <c r="S184" s="9">
        <f t="shared" si="13"/>
        <v>3.979601958</v>
      </c>
      <c r="U184" s="21"/>
      <c r="V184" s="21"/>
    </row>
    <row r="185">
      <c r="A185" s="11">
        <v>173.0</v>
      </c>
      <c r="B185" s="11">
        <v>1.42014782608695E9</v>
      </c>
      <c r="C185" s="2">
        <v>-102.5562973</v>
      </c>
      <c r="D185" s="24">
        <f t="shared" si="1"/>
        <v>-252173.913</v>
      </c>
      <c r="E185" s="25">
        <f t="shared" si="2"/>
        <v>52.34287953</v>
      </c>
      <c r="F185" s="24">
        <f t="shared" si="3"/>
        <v>0.0002075665912</v>
      </c>
      <c r="G185" s="24">
        <f t="shared" si="4"/>
        <v>0</v>
      </c>
      <c r="H185" s="26">
        <f t="shared" si="5"/>
        <v>0</v>
      </c>
      <c r="I185" s="24">
        <f t="shared" si="6"/>
        <v>0</v>
      </c>
      <c r="J185" s="24">
        <f t="shared" si="7"/>
        <v>0</v>
      </c>
      <c r="K185" s="24"/>
      <c r="L185" s="24">
        <f t="shared" si="8"/>
        <v>422.1593742</v>
      </c>
      <c r="M185" s="14">
        <f t="shared" si="9"/>
        <v>421.0970051</v>
      </c>
      <c r="N185" s="27">
        <f t="shared" si="10"/>
        <v>1.062369101</v>
      </c>
      <c r="O185" s="24"/>
      <c r="P185" s="24"/>
      <c r="Q185" s="24"/>
      <c r="R185" s="26"/>
      <c r="S185" s="9">
        <f t="shared" si="13"/>
        <v>0.9755694373</v>
      </c>
      <c r="U185" s="21"/>
      <c r="V185" s="21"/>
    </row>
    <row r="186">
      <c r="A186" s="11">
        <v>174.0</v>
      </c>
      <c r="B186" s="11">
        <v>1.42015217391304E9</v>
      </c>
      <c r="C186" s="2">
        <v>-102.5529633</v>
      </c>
      <c r="D186" s="24">
        <f t="shared" si="1"/>
        <v>-247826.087</v>
      </c>
      <c r="E186" s="25">
        <f t="shared" si="2"/>
        <v>51.4245834</v>
      </c>
      <c r="F186" s="24">
        <f t="shared" si="3"/>
        <v>0.0002075027049</v>
      </c>
      <c r="G186" s="24">
        <f t="shared" si="4"/>
        <v>0</v>
      </c>
      <c r="H186" s="26">
        <f t="shared" si="5"/>
        <v>0</v>
      </c>
      <c r="I186" s="24">
        <f t="shared" si="6"/>
        <v>0</v>
      </c>
      <c r="J186" s="24">
        <f t="shared" si="7"/>
        <v>0</v>
      </c>
      <c r="K186" s="24"/>
      <c r="L186" s="24">
        <f t="shared" si="8"/>
        <v>422.4835827</v>
      </c>
      <c r="M186" s="14">
        <f t="shared" si="9"/>
        <v>421.0108255</v>
      </c>
      <c r="N186" s="27">
        <f t="shared" si="10"/>
        <v>1.472757195</v>
      </c>
      <c r="O186" s="24"/>
      <c r="P186" s="24"/>
      <c r="Q186" s="24"/>
      <c r="R186" s="26"/>
      <c r="S186" s="9">
        <f t="shared" si="13"/>
        <v>1.352427233</v>
      </c>
      <c r="U186" s="21"/>
      <c r="V186" s="21"/>
    </row>
    <row r="187">
      <c r="A187" s="11">
        <v>175.0</v>
      </c>
      <c r="B187" s="11">
        <v>1.42015652173913E9</v>
      </c>
      <c r="C187" s="2">
        <v>-102.5278397</v>
      </c>
      <c r="D187" s="24">
        <f t="shared" si="1"/>
        <v>-243478.2609</v>
      </c>
      <c r="E187" s="25">
        <f t="shared" si="2"/>
        <v>50.50628727</v>
      </c>
      <c r="F187" s="24">
        <f t="shared" si="3"/>
        <v>0.000207436537</v>
      </c>
      <c r="G187" s="24">
        <f t="shared" si="4"/>
        <v>0</v>
      </c>
      <c r="H187" s="26">
        <f t="shared" si="5"/>
        <v>0</v>
      </c>
      <c r="I187" s="24">
        <f t="shared" si="6"/>
        <v>0</v>
      </c>
      <c r="J187" s="24">
        <f t="shared" si="7"/>
        <v>0</v>
      </c>
      <c r="K187" s="24"/>
      <c r="L187" s="24">
        <f t="shared" si="8"/>
        <v>424.9347005</v>
      </c>
      <c r="M187" s="14">
        <f t="shared" si="9"/>
        <v>420.9244027</v>
      </c>
      <c r="N187" s="27">
        <f t="shared" si="10"/>
        <v>4.010297786</v>
      </c>
      <c r="O187" s="24"/>
      <c r="P187" s="24"/>
      <c r="Q187" s="24"/>
      <c r="R187" s="26"/>
      <c r="S187" s="9">
        <f t="shared" si="13"/>
        <v>3.682640948</v>
      </c>
      <c r="U187" s="21"/>
      <c r="V187" s="21"/>
    </row>
    <row r="188">
      <c r="A188" s="11">
        <v>176.0</v>
      </c>
      <c r="B188" s="11">
        <v>1.42016086956521E9</v>
      </c>
      <c r="C188" s="2">
        <v>-102.5029449</v>
      </c>
      <c r="D188" s="24">
        <f t="shared" si="1"/>
        <v>-239130.4348</v>
      </c>
      <c r="E188" s="25">
        <f t="shared" si="2"/>
        <v>49.58799114</v>
      </c>
      <c r="F188" s="24">
        <f t="shared" si="3"/>
        <v>0.0002073679629</v>
      </c>
      <c r="G188" s="24">
        <f t="shared" si="4"/>
        <v>0</v>
      </c>
      <c r="H188" s="26">
        <f t="shared" si="5"/>
        <v>0</v>
      </c>
      <c r="I188" s="24">
        <f t="shared" si="6"/>
        <v>0</v>
      </c>
      <c r="J188" s="24">
        <f t="shared" si="7"/>
        <v>0</v>
      </c>
      <c r="K188" s="24"/>
      <c r="L188" s="24">
        <f t="shared" si="8"/>
        <v>427.3775227</v>
      </c>
      <c r="M188" s="14">
        <f t="shared" si="9"/>
        <v>420.8377387</v>
      </c>
      <c r="N188" s="27">
        <f t="shared" si="10"/>
        <v>6.539783993</v>
      </c>
      <c r="O188" s="24"/>
      <c r="P188" s="24"/>
      <c r="Q188" s="24"/>
      <c r="R188" s="26"/>
      <c r="S188" s="9">
        <f t="shared" si="13"/>
        <v>6.00545835</v>
      </c>
      <c r="U188" s="21"/>
      <c r="V188" s="21"/>
    </row>
    <row r="189">
      <c r="A189" s="11">
        <v>177.0</v>
      </c>
      <c r="B189" s="11">
        <v>1.4201652173913E9</v>
      </c>
      <c r="C189" s="2">
        <v>-102.538559</v>
      </c>
      <c r="D189" s="24">
        <f t="shared" si="1"/>
        <v>-234782.6087</v>
      </c>
      <c r="E189" s="25">
        <f t="shared" si="2"/>
        <v>48.669695</v>
      </c>
      <c r="F189" s="24">
        <f t="shared" si="3"/>
        <v>0.0002072968491</v>
      </c>
      <c r="G189" s="24">
        <f t="shared" si="4"/>
        <v>0</v>
      </c>
      <c r="H189" s="26">
        <f t="shared" si="5"/>
        <v>0</v>
      </c>
      <c r="I189" s="24">
        <f t="shared" si="6"/>
        <v>0</v>
      </c>
      <c r="J189" s="24">
        <f t="shared" si="7"/>
        <v>0</v>
      </c>
      <c r="K189" s="24"/>
      <c r="L189" s="24">
        <f t="shared" si="8"/>
        <v>423.8871657</v>
      </c>
      <c r="M189" s="14">
        <f t="shared" si="9"/>
        <v>420.7508356</v>
      </c>
      <c r="N189" s="27">
        <f t="shared" si="10"/>
        <v>3.136330088</v>
      </c>
      <c r="O189" s="24"/>
      <c r="P189" s="24"/>
      <c r="Q189" s="24"/>
      <c r="R189" s="26"/>
      <c r="S189" s="9">
        <f t="shared" si="13"/>
        <v>2.880079784</v>
      </c>
      <c r="U189" s="21"/>
      <c r="V189" s="21"/>
    </row>
    <row r="190">
      <c r="A190" s="11">
        <v>178.0</v>
      </c>
      <c r="B190" s="11">
        <v>1.42016956521739E9</v>
      </c>
      <c r="C190" s="2">
        <v>-102.5823898</v>
      </c>
      <c r="D190" s="24">
        <f t="shared" si="1"/>
        <v>-230434.7826</v>
      </c>
      <c r="E190" s="25">
        <f t="shared" si="2"/>
        <v>47.75139887</v>
      </c>
      <c r="F190" s="24">
        <f t="shared" si="3"/>
        <v>0.0002072230517</v>
      </c>
      <c r="G190" s="24">
        <f t="shared" si="4"/>
        <v>0</v>
      </c>
      <c r="H190" s="26">
        <f t="shared" si="5"/>
        <v>0</v>
      </c>
      <c r="I190" s="24">
        <f t="shared" si="6"/>
        <v>0</v>
      </c>
      <c r="J190" s="24">
        <f t="shared" si="7"/>
        <v>0</v>
      </c>
      <c r="K190" s="24"/>
      <c r="L190" s="24">
        <f t="shared" si="8"/>
        <v>419.6306361</v>
      </c>
      <c r="M190" s="14">
        <f t="shared" si="9"/>
        <v>420.6636954</v>
      </c>
      <c r="N190" s="27">
        <f t="shared" si="10"/>
        <v>-1.033059313</v>
      </c>
      <c r="O190" s="24"/>
      <c r="P190" s="24"/>
      <c r="Q190" s="24"/>
      <c r="R190" s="26"/>
      <c r="S190" s="9">
        <f t="shared" si="13"/>
        <v>-0.9486543722</v>
      </c>
      <c r="U190" s="21"/>
      <c r="V190" s="21"/>
    </row>
    <row r="191">
      <c r="A191" s="11">
        <v>179.0</v>
      </c>
      <c r="B191" s="11">
        <v>1.42017391304347E9</v>
      </c>
      <c r="C191" s="2">
        <v>-102.5591431</v>
      </c>
      <c r="D191" s="24">
        <f t="shared" si="1"/>
        <v>-226086.9565</v>
      </c>
      <c r="E191" s="25">
        <f t="shared" si="2"/>
        <v>46.83310274</v>
      </c>
      <c r="F191" s="24">
        <f t="shared" si="3"/>
        <v>0.000207146416</v>
      </c>
      <c r="G191" s="24">
        <f t="shared" si="4"/>
        <v>0</v>
      </c>
      <c r="H191" s="26">
        <f t="shared" si="5"/>
        <v>0</v>
      </c>
      <c r="I191" s="24">
        <f t="shared" si="6"/>
        <v>0</v>
      </c>
      <c r="J191" s="24">
        <f t="shared" si="7"/>
        <v>0</v>
      </c>
      <c r="K191" s="24"/>
      <c r="L191" s="24">
        <f t="shared" si="8"/>
        <v>421.8828366</v>
      </c>
      <c r="M191" s="14">
        <f t="shared" si="9"/>
        <v>420.5763202</v>
      </c>
      <c r="N191" s="27">
        <f t="shared" si="10"/>
        <v>1.306516346</v>
      </c>
      <c r="O191" s="24"/>
      <c r="P191" s="24"/>
      <c r="Q191" s="24"/>
      <c r="R191" s="26"/>
      <c r="S191" s="9">
        <f t="shared" si="13"/>
        <v>1.199768908</v>
      </c>
      <c r="U191" s="21"/>
      <c r="V191" s="21"/>
    </row>
    <row r="192">
      <c r="A192" s="11">
        <v>180.0</v>
      </c>
      <c r="B192" s="11">
        <v>1.42017826086956E9</v>
      </c>
      <c r="C192" s="2">
        <v>-102.5162048</v>
      </c>
      <c r="D192" s="24">
        <f t="shared" si="1"/>
        <v>-221739.1304</v>
      </c>
      <c r="E192" s="25">
        <f t="shared" si="2"/>
        <v>45.91480661</v>
      </c>
      <c r="F192" s="24">
        <f t="shared" si="3"/>
        <v>0.0002070667749</v>
      </c>
      <c r="G192" s="24">
        <f t="shared" si="4"/>
        <v>0</v>
      </c>
      <c r="H192" s="26">
        <f t="shared" si="5"/>
        <v>0</v>
      </c>
      <c r="I192" s="24">
        <f t="shared" si="6"/>
        <v>0</v>
      </c>
      <c r="J192" s="24">
        <f t="shared" si="7"/>
        <v>0</v>
      </c>
      <c r="K192" s="24"/>
      <c r="L192" s="24">
        <f t="shared" si="8"/>
        <v>426.0746416</v>
      </c>
      <c r="M192" s="14">
        <f t="shared" si="9"/>
        <v>420.4887121</v>
      </c>
      <c r="N192" s="27">
        <f t="shared" si="10"/>
        <v>5.585929569</v>
      </c>
      <c r="O192" s="24"/>
      <c r="P192" s="24"/>
      <c r="Q192" s="24"/>
      <c r="R192" s="26"/>
      <c r="S192" s="9">
        <f t="shared" si="13"/>
        <v>5.129537509</v>
      </c>
      <c r="U192" s="21"/>
      <c r="V192" s="21"/>
    </row>
    <row r="193">
      <c r="A193" s="11">
        <v>181.0</v>
      </c>
      <c r="B193" s="11">
        <v>1.42018260869565E9</v>
      </c>
      <c r="C193" s="2">
        <v>-102.5362701</v>
      </c>
      <c r="D193" s="24">
        <f t="shared" si="1"/>
        <v>-217391.3043</v>
      </c>
      <c r="E193" s="25">
        <f t="shared" si="2"/>
        <v>44.99651048</v>
      </c>
      <c r="F193" s="24">
        <f t="shared" si="3"/>
        <v>0.0002069839482</v>
      </c>
      <c r="G193" s="24">
        <f t="shared" si="4"/>
        <v>0</v>
      </c>
      <c r="H193" s="26">
        <f t="shared" si="5"/>
        <v>0</v>
      </c>
      <c r="I193" s="24">
        <f t="shared" si="6"/>
        <v>0</v>
      </c>
      <c r="J193" s="24">
        <f t="shared" si="7"/>
        <v>0</v>
      </c>
      <c r="K193" s="24"/>
      <c r="L193" s="24">
        <f t="shared" si="8"/>
        <v>424.1106295</v>
      </c>
      <c r="M193" s="14">
        <f t="shared" si="9"/>
        <v>420.400873</v>
      </c>
      <c r="N193" s="27">
        <f t="shared" si="10"/>
        <v>3.709756584</v>
      </c>
      <c r="O193" s="24"/>
      <c r="P193" s="24"/>
      <c r="Q193" s="24"/>
      <c r="R193" s="26"/>
      <c r="S193" s="9">
        <f t="shared" si="13"/>
        <v>3.406655125</v>
      </c>
      <c r="U193" s="21"/>
      <c r="V193" s="21"/>
    </row>
    <row r="194">
      <c r="A194" s="11">
        <v>182.0</v>
      </c>
      <c r="B194" s="11">
        <v>1.42018695652173E9</v>
      </c>
      <c r="C194" s="2">
        <v>-102.5250702</v>
      </c>
      <c r="D194" s="24">
        <f t="shared" si="1"/>
        <v>-213043.4783</v>
      </c>
      <c r="E194" s="25">
        <f t="shared" si="2"/>
        <v>44.07821434</v>
      </c>
      <c r="F194" s="24">
        <f t="shared" si="3"/>
        <v>0.0002068977408</v>
      </c>
      <c r="G194" s="24">
        <f t="shared" si="4"/>
        <v>0</v>
      </c>
      <c r="H194" s="26">
        <f t="shared" si="5"/>
        <v>0</v>
      </c>
      <c r="I194" s="24">
        <f t="shared" si="6"/>
        <v>0</v>
      </c>
      <c r="J194" s="24">
        <f t="shared" si="7"/>
        <v>0</v>
      </c>
      <c r="K194" s="24"/>
      <c r="L194" s="24">
        <f t="shared" si="8"/>
        <v>425.2057682</v>
      </c>
      <c r="M194" s="14">
        <f t="shared" si="9"/>
        <v>420.312805</v>
      </c>
      <c r="N194" s="27">
        <f t="shared" si="10"/>
        <v>4.892963192</v>
      </c>
      <c r="O194" s="24"/>
      <c r="P194" s="24"/>
      <c r="Q194" s="24"/>
      <c r="R194" s="26"/>
      <c r="S194" s="9">
        <f t="shared" si="13"/>
        <v>4.493189177</v>
      </c>
      <c r="U194" s="21"/>
      <c r="V194" s="21"/>
    </row>
    <row r="195">
      <c r="A195" s="11">
        <v>183.0</v>
      </c>
      <c r="B195" s="11">
        <v>1.42019130434782E9</v>
      </c>
      <c r="C195" s="2">
        <v>-102.5209427</v>
      </c>
      <c r="D195" s="24">
        <f t="shared" si="1"/>
        <v>-208695.6522</v>
      </c>
      <c r="E195" s="25">
        <f t="shared" si="2"/>
        <v>43.15991821</v>
      </c>
      <c r="F195" s="24">
        <f t="shared" si="3"/>
        <v>0.0002068079414</v>
      </c>
      <c r="G195" s="24">
        <f t="shared" si="4"/>
        <v>0</v>
      </c>
      <c r="H195" s="26">
        <f t="shared" si="5"/>
        <v>0</v>
      </c>
      <c r="I195" s="24">
        <f t="shared" si="6"/>
        <v>0</v>
      </c>
      <c r="J195" s="24">
        <f t="shared" si="7"/>
        <v>0</v>
      </c>
      <c r="K195" s="24"/>
      <c r="L195" s="24">
        <f t="shared" si="8"/>
        <v>425.6100724</v>
      </c>
      <c r="M195" s="14">
        <f t="shared" si="9"/>
        <v>420.2245102</v>
      </c>
      <c r="N195" s="27">
        <f t="shared" si="10"/>
        <v>5.385562213</v>
      </c>
      <c r="O195" s="24"/>
      <c r="P195" s="24"/>
      <c r="Q195" s="24"/>
      <c r="R195" s="26"/>
      <c r="S195" s="9">
        <f t="shared" si="13"/>
        <v>4.945540953</v>
      </c>
      <c r="U195" s="21"/>
      <c r="V195" s="21"/>
    </row>
    <row r="196">
      <c r="A196" s="11">
        <v>184.0</v>
      </c>
      <c r="B196" s="11">
        <v>1.42019565217391E9</v>
      </c>
      <c r="C196" s="2">
        <v>-102.494339</v>
      </c>
      <c r="D196" s="24">
        <f t="shared" si="1"/>
        <v>-204347.8261</v>
      </c>
      <c r="E196" s="25">
        <f t="shared" si="2"/>
        <v>42.24162208</v>
      </c>
      <c r="F196" s="24">
        <f t="shared" si="3"/>
        <v>0.0002067143208</v>
      </c>
      <c r="G196" s="24">
        <f t="shared" si="4"/>
        <v>0</v>
      </c>
      <c r="H196" s="26">
        <f t="shared" si="5"/>
        <v>0</v>
      </c>
      <c r="I196" s="24">
        <f t="shared" si="6"/>
        <v>0</v>
      </c>
      <c r="J196" s="24">
        <f t="shared" si="7"/>
        <v>0</v>
      </c>
      <c r="K196" s="24"/>
      <c r="L196" s="24">
        <f t="shared" si="8"/>
        <v>428.2252459</v>
      </c>
      <c r="M196" s="14">
        <f t="shared" si="9"/>
        <v>420.1359907</v>
      </c>
      <c r="N196" s="27">
        <f t="shared" si="10"/>
        <v>8.089255148</v>
      </c>
      <c r="O196" s="24"/>
      <c r="P196" s="24"/>
      <c r="Q196" s="24"/>
      <c r="R196" s="26"/>
      <c r="S196" s="9">
        <f t="shared" si="13"/>
        <v>7.428331702</v>
      </c>
      <c r="U196" s="21"/>
      <c r="V196" s="21"/>
    </row>
    <row r="197">
      <c r="A197" s="11">
        <v>185.0</v>
      </c>
      <c r="B197" s="11">
        <v>1.4202E9</v>
      </c>
      <c r="C197" s="2">
        <v>-102.5060272</v>
      </c>
      <c r="D197" s="24">
        <f t="shared" si="1"/>
        <v>-200000</v>
      </c>
      <c r="E197" s="25">
        <f t="shared" si="2"/>
        <v>41.32332595</v>
      </c>
      <c r="F197" s="24">
        <f t="shared" si="3"/>
        <v>0.0002066166297</v>
      </c>
      <c r="G197" s="24">
        <f t="shared" si="4"/>
        <v>0</v>
      </c>
      <c r="H197" s="26">
        <f t="shared" si="5"/>
        <v>0</v>
      </c>
      <c r="I197" s="24">
        <f t="shared" si="6"/>
        <v>0</v>
      </c>
      <c r="J197" s="24">
        <f t="shared" si="7"/>
        <v>0</v>
      </c>
      <c r="K197" s="24"/>
      <c r="L197" s="24">
        <f t="shared" si="8"/>
        <v>427.0743095</v>
      </c>
      <c r="M197" s="14">
        <f t="shared" si="9"/>
        <v>420.0472485</v>
      </c>
      <c r="N197" s="27">
        <f t="shared" si="10"/>
        <v>7.027061012</v>
      </c>
      <c r="O197" s="24"/>
      <c r="P197" s="24"/>
      <c r="Q197" s="24"/>
      <c r="R197" s="26"/>
      <c r="S197" s="9">
        <f t="shared" si="13"/>
        <v>6.452922952</v>
      </c>
      <c r="U197" s="21"/>
      <c r="V197" s="21"/>
    </row>
    <row r="198">
      <c r="A198" s="11">
        <v>186.0</v>
      </c>
      <c r="B198" s="11">
        <v>1.42020434782608E9</v>
      </c>
      <c r="C198" s="2">
        <v>-102.5605621</v>
      </c>
      <c r="D198" s="24">
        <f t="shared" si="1"/>
        <v>-195652.1739</v>
      </c>
      <c r="E198" s="25">
        <f t="shared" si="2"/>
        <v>40.40502981</v>
      </c>
      <c r="F198" s="24">
        <f t="shared" si="3"/>
        <v>0.0002065145968</v>
      </c>
      <c r="G198" s="24">
        <f t="shared" si="4"/>
        <v>0</v>
      </c>
      <c r="H198" s="26">
        <f t="shared" si="5"/>
        <v>0</v>
      </c>
      <c r="I198" s="24">
        <f t="shared" si="6"/>
        <v>0</v>
      </c>
      <c r="J198" s="24">
        <f t="shared" si="7"/>
        <v>0</v>
      </c>
      <c r="K198" s="24"/>
      <c r="L198" s="24">
        <f t="shared" si="8"/>
        <v>421.7450144</v>
      </c>
      <c r="M198" s="14">
        <f t="shared" si="9"/>
        <v>419.9582856</v>
      </c>
      <c r="N198" s="27">
        <f t="shared" si="10"/>
        <v>1.786728835</v>
      </c>
      <c r="O198" s="24"/>
      <c r="P198" s="24"/>
      <c r="Q198" s="24"/>
      <c r="R198" s="26"/>
      <c r="S198" s="9">
        <f t="shared" si="13"/>
        <v>1.640746179</v>
      </c>
      <c r="U198" s="21"/>
      <c r="V198" s="21"/>
    </row>
    <row r="199">
      <c r="A199" s="11">
        <v>187.0</v>
      </c>
      <c r="B199" s="11">
        <v>1.42020869565217E9</v>
      </c>
      <c r="C199" s="2">
        <v>-102.5411148</v>
      </c>
      <c r="D199" s="24">
        <f t="shared" si="1"/>
        <v>-191304.3478</v>
      </c>
      <c r="E199" s="25">
        <f t="shared" si="2"/>
        <v>39.48673368</v>
      </c>
      <c r="F199" s="24">
        <f t="shared" si="3"/>
        <v>0.0002064079261</v>
      </c>
      <c r="G199" s="24">
        <f t="shared" si="4"/>
        <v>0</v>
      </c>
      <c r="H199" s="26">
        <f t="shared" si="5"/>
        <v>0</v>
      </c>
      <c r="I199" s="24">
        <f t="shared" si="6"/>
        <v>0</v>
      </c>
      <c r="J199" s="24">
        <f t="shared" si="7"/>
        <v>0</v>
      </c>
      <c r="K199" s="24"/>
      <c r="L199" s="24">
        <f t="shared" si="8"/>
        <v>423.6377838</v>
      </c>
      <c r="M199" s="14">
        <f t="shared" si="9"/>
        <v>419.8691041</v>
      </c>
      <c r="N199" s="27">
        <f t="shared" si="10"/>
        <v>3.768679629</v>
      </c>
      <c r="O199" s="24"/>
      <c r="P199" s="24"/>
      <c r="Q199" s="24"/>
      <c r="R199" s="26"/>
      <c r="S199" s="9">
        <f t="shared" si="13"/>
        <v>3.460763921</v>
      </c>
      <c r="U199" s="21"/>
      <c r="V199" s="21"/>
    </row>
    <row r="200">
      <c r="A200" s="11">
        <v>188.0</v>
      </c>
      <c r="B200" s="11">
        <v>1.42021304347826E9</v>
      </c>
      <c r="C200" s="2">
        <v>-102.5358887</v>
      </c>
      <c r="D200" s="24">
        <f t="shared" si="1"/>
        <v>-186956.5217</v>
      </c>
      <c r="E200" s="25">
        <f t="shared" si="2"/>
        <v>38.56843755</v>
      </c>
      <c r="F200" s="24">
        <f t="shared" si="3"/>
        <v>0.0002062962939</v>
      </c>
      <c r="G200" s="24">
        <f t="shared" si="4"/>
        <v>0</v>
      </c>
      <c r="H200" s="26">
        <f t="shared" si="5"/>
        <v>0</v>
      </c>
      <c r="I200" s="24">
        <f t="shared" si="6"/>
        <v>0</v>
      </c>
      <c r="J200" s="24">
        <f t="shared" si="7"/>
        <v>0</v>
      </c>
      <c r="K200" s="24"/>
      <c r="L200" s="24">
        <f t="shared" si="8"/>
        <v>424.1478768</v>
      </c>
      <c r="M200" s="14">
        <f t="shared" si="9"/>
        <v>419.7797061</v>
      </c>
      <c r="N200" s="27">
        <f t="shared" si="10"/>
        <v>4.368170717</v>
      </c>
      <c r="O200" s="24"/>
      <c r="P200" s="24"/>
      <c r="Q200" s="24"/>
      <c r="R200" s="26"/>
      <c r="S200" s="9">
        <f t="shared" si="13"/>
        <v>4.011274277</v>
      </c>
      <c r="U200" s="21"/>
      <c r="V200" s="21"/>
    </row>
    <row r="201">
      <c r="A201" s="11">
        <v>189.0</v>
      </c>
      <c r="B201" s="11">
        <v>1.42021739130434E9</v>
      </c>
      <c r="C201" s="2">
        <v>-102.5198746</v>
      </c>
      <c r="D201" s="24">
        <f t="shared" si="1"/>
        <v>-182608.6957</v>
      </c>
      <c r="E201" s="25">
        <f t="shared" si="2"/>
        <v>37.65014142</v>
      </c>
      <c r="F201" s="24">
        <f t="shared" si="3"/>
        <v>0.0002061793459</v>
      </c>
      <c r="G201" s="24">
        <f t="shared" si="4"/>
        <v>0</v>
      </c>
      <c r="H201" s="26">
        <f t="shared" si="5"/>
        <v>0</v>
      </c>
      <c r="I201" s="24">
        <f t="shared" si="6"/>
        <v>0</v>
      </c>
      <c r="J201" s="24">
        <f t="shared" si="7"/>
        <v>0</v>
      </c>
      <c r="K201" s="24"/>
      <c r="L201" s="24">
        <f t="shared" si="8"/>
        <v>425.7147595</v>
      </c>
      <c r="M201" s="14">
        <f t="shared" si="9"/>
        <v>419.6900936</v>
      </c>
      <c r="N201" s="27">
        <f t="shared" si="10"/>
        <v>6.024665883</v>
      </c>
      <c r="O201" s="24"/>
      <c r="P201" s="24"/>
      <c r="Q201" s="24"/>
      <c r="R201" s="26"/>
      <c r="S201" s="9">
        <f t="shared" si="13"/>
        <v>5.532427381</v>
      </c>
      <c r="U201" s="21"/>
      <c r="V201" s="21"/>
    </row>
    <row r="202">
      <c r="A202" s="11">
        <v>190.0</v>
      </c>
      <c r="B202" s="11">
        <v>1.42022173913043E9</v>
      </c>
      <c r="C202" s="2">
        <v>-102.5408096</v>
      </c>
      <c r="D202" s="24">
        <f t="shared" si="1"/>
        <v>-178260.8696</v>
      </c>
      <c r="E202" s="25">
        <f t="shared" si="2"/>
        <v>36.73184529</v>
      </c>
      <c r="F202" s="24">
        <f t="shared" si="3"/>
        <v>0.0002060566931</v>
      </c>
      <c r="G202" s="24">
        <f t="shared" si="4"/>
        <v>0</v>
      </c>
      <c r="H202" s="26">
        <f t="shared" si="5"/>
        <v>0</v>
      </c>
      <c r="I202" s="24">
        <f t="shared" si="6"/>
        <v>0</v>
      </c>
      <c r="J202" s="24">
        <f t="shared" si="7"/>
        <v>0</v>
      </c>
      <c r="K202" s="24"/>
      <c r="L202" s="24">
        <f t="shared" si="8"/>
        <v>423.6675559</v>
      </c>
      <c r="M202" s="14">
        <f t="shared" si="9"/>
        <v>419.6002687</v>
      </c>
      <c r="N202" s="27">
        <f t="shared" si="10"/>
        <v>4.067287252</v>
      </c>
      <c r="O202" s="24"/>
      <c r="P202" s="24"/>
      <c r="Q202" s="24"/>
      <c r="R202" s="26"/>
      <c r="S202" s="9">
        <f t="shared" si="13"/>
        <v>3.734974146</v>
      </c>
      <c r="U202" s="21"/>
      <c r="V202" s="21"/>
    </row>
    <row r="203">
      <c r="A203" s="11">
        <v>191.0</v>
      </c>
      <c r="B203" s="11">
        <v>1.42022608695652E9</v>
      </c>
      <c r="C203" s="2">
        <v>-102.5209351</v>
      </c>
      <c r="D203" s="24">
        <f t="shared" si="1"/>
        <v>-173913.0435</v>
      </c>
      <c r="E203" s="25">
        <f t="shared" si="2"/>
        <v>35.81354916</v>
      </c>
      <c r="F203" s="24">
        <f t="shared" si="3"/>
        <v>0.0002059279076</v>
      </c>
      <c r="G203" s="24">
        <f t="shared" si="4"/>
        <v>0</v>
      </c>
      <c r="H203" s="26">
        <f t="shared" si="5"/>
        <v>0</v>
      </c>
      <c r="I203" s="24">
        <f t="shared" si="6"/>
        <v>0</v>
      </c>
      <c r="J203" s="24">
        <f t="shared" si="7"/>
        <v>0</v>
      </c>
      <c r="K203" s="24"/>
      <c r="L203" s="24">
        <f t="shared" si="8"/>
        <v>425.6108172</v>
      </c>
      <c r="M203" s="14">
        <f t="shared" si="9"/>
        <v>419.5102333</v>
      </c>
      <c r="N203" s="27">
        <f t="shared" si="10"/>
        <v>6.100583927</v>
      </c>
      <c r="O203" s="24"/>
      <c r="P203" s="24"/>
      <c r="Q203" s="24"/>
      <c r="R203" s="26"/>
      <c r="S203" s="9">
        <f t="shared" si="13"/>
        <v>5.602142628</v>
      </c>
      <c r="U203" s="21"/>
      <c r="V203" s="21"/>
    </row>
    <row r="204">
      <c r="A204" s="11">
        <v>192.0</v>
      </c>
      <c r="B204" s="11">
        <v>1.4202304347826E9</v>
      </c>
      <c r="C204" s="2">
        <v>-102.4980164</v>
      </c>
      <c r="D204" s="24">
        <f t="shared" si="1"/>
        <v>-169565.2174</v>
      </c>
      <c r="E204" s="25">
        <f t="shared" si="2"/>
        <v>34.89525302</v>
      </c>
      <c r="F204" s="24">
        <f t="shared" si="3"/>
        <v>0.0002057925178</v>
      </c>
      <c r="G204" s="24">
        <f t="shared" si="4"/>
        <v>0</v>
      </c>
      <c r="H204" s="26">
        <f t="shared" si="5"/>
        <v>0</v>
      </c>
      <c r="I204" s="24">
        <f t="shared" si="6"/>
        <v>0</v>
      </c>
      <c r="J204" s="24">
        <f t="shared" si="7"/>
        <v>0</v>
      </c>
      <c r="K204" s="24"/>
      <c r="L204" s="24">
        <f t="shared" si="8"/>
        <v>427.8627985</v>
      </c>
      <c r="M204" s="14">
        <f t="shared" si="9"/>
        <v>419.4199897</v>
      </c>
      <c r="N204" s="27">
        <f t="shared" si="10"/>
        <v>8.442808812</v>
      </c>
      <c r="O204" s="24"/>
      <c r="P204" s="24"/>
      <c r="Q204" s="24"/>
      <c r="R204" s="26"/>
      <c r="S204" s="9">
        <f t="shared" si="13"/>
        <v>7.752998682</v>
      </c>
      <c r="U204" s="21"/>
      <c r="V204" s="21"/>
    </row>
    <row r="205">
      <c r="A205" s="11">
        <v>193.0</v>
      </c>
      <c r="B205" s="11">
        <v>1.42023478260869E9</v>
      </c>
      <c r="C205" s="2">
        <v>-102.4732971</v>
      </c>
      <c r="D205" s="24">
        <f t="shared" si="1"/>
        <v>-165217.3913</v>
      </c>
      <c r="E205" s="25">
        <f t="shared" si="2"/>
        <v>33.97695689</v>
      </c>
      <c r="F205" s="24">
        <f t="shared" si="3"/>
        <v>0.0002056500022</v>
      </c>
      <c r="G205" s="24">
        <f t="shared" si="4"/>
        <v>0</v>
      </c>
      <c r="H205" s="26">
        <f t="shared" si="5"/>
        <v>0</v>
      </c>
      <c r="I205" s="24">
        <f t="shared" si="6"/>
        <v>0</v>
      </c>
      <c r="J205" s="24">
        <f t="shared" si="7"/>
        <v>0</v>
      </c>
      <c r="K205" s="24"/>
      <c r="L205" s="24">
        <f t="shared" si="8"/>
        <v>430.3050643</v>
      </c>
      <c r="M205" s="14">
        <f t="shared" si="9"/>
        <v>419.3295397</v>
      </c>
      <c r="N205" s="27">
        <f t="shared" si="10"/>
        <v>10.9755246</v>
      </c>
      <c r="O205" s="24"/>
      <c r="P205" s="24"/>
      <c r="Q205" s="24"/>
      <c r="R205" s="26"/>
      <c r="S205" s="9">
        <f t="shared" si="13"/>
        <v>10.07878179</v>
      </c>
      <c r="U205" s="21"/>
      <c r="V205" s="21"/>
    </row>
    <row r="206">
      <c r="A206" s="11">
        <v>194.0</v>
      </c>
      <c r="B206" s="11">
        <v>1.42023913043478E9</v>
      </c>
      <c r="C206" s="2">
        <v>-102.5147934</v>
      </c>
      <c r="D206" s="24">
        <f t="shared" si="1"/>
        <v>-160869.5652</v>
      </c>
      <c r="E206" s="25">
        <f t="shared" si="2"/>
        <v>33.05866076</v>
      </c>
      <c r="F206" s="24">
        <f t="shared" si="3"/>
        <v>0.0002054997831</v>
      </c>
      <c r="G206" s="24">
        <f t="shared" si="4"/>
        <v>0</v>
      </c>
      <c r="H206" s="26">
        <f t="shared" si="5"/>
        <v>0</v>
      </c>
      <c r="I206" s="24">
        <f t="shared" si="6"/>
        <v>0</v>
      </c>
      <c r="J206" s="24">
        <f t="shared" si="7"/>
        <v>0</v>
      </c>
      <c r="K206" s="24"/>
      <c r="L206" s="24">
        <f t="shared" si="8"/>
        <v>426.2131328</v>
      </c>
      <c r="M206" s="14">
        <f t="shared" si="9"/>
        <v>419.2388856</v>
      </c>
      <c r="N206" s="27">
        <f t="shared" si="10"/>
        <v>6.974247233</v>
      </c>
      <c r="O206" s="24"/>
      <c r="P206" s="24"/>
      <c r="Q206" s="24"/>
      <c r="R206" s="26"/>
      <c r="S206" s="9">
        <f t="shared" si="13"/>
        <v>6.404424249</v>
      </c>
      <c r="U206" s="21"/>
      <c r="V206" s="21"/>
    </row>
    <row r="207">
      <c r="A207" s="11">
        <v>195.0</v>
      </c>
      <c r="B207" s="11">
        <v>1.42024347826087E9</v>
      </c>
      <c r="C207" s="2">
        <v>-102.4793243</v>
      </c>
      <c r="D207" s="24">
        <f t="shared" si="1"/>
        <v>-156521.7391</v>
      </c>
      <c r="E207" s="25">
        <f t="shared" si="2"/>
        <v>32.14036463</v>
      </c>
      <c r="F207" s="24">
        <f t="shared" si="3"/>
        <v>0.0002053412184</v>
      </c>
      <c r="G207" s="24">
        <f t="shared" si="4"/>
        <v>0</v>
      </c>
      <c r="H207" s="26">
        <f t="shared" si="5"/>
        <v>0</v>
      </c>
      <c r="I207" s="24">
        <f t="shared" si="6"/>
        <v>0</v>
      </c>
      <c r="J207" s="24">
        <f t="shared" si="7"/>
        <v>0</v>
      </c>
      <c r="K207" s="24"/>
      <c r="L207" s="24">
        <f t="shared" si="8"/>
        <v>429.7082951</v>
      </c>
      <c r="M207" s="14">
        <f t="shared" si="9"/>
        <v>419.1480292</v>
      </c>
      <c r="N207" s="27">
        <f t="shared" si="10"/>
        <v>10.56026587</v>
      </c>
      <c r="O207" s="24"/>
      <c r="P207" s="24"/>
      <c r="Q207" s="24"/>
      <c r="R207" s="26"/>
      <c r="S207" s="9">
        <f t="shared" si="13"/>
        <v>9.697451306</v>
      </c>
      <c r="U207" s="21"/>
      <c r="V207" s="21"/>
    </row>
    <row r="208">
      <c r="A208" s="11">
        <v>196.0</v>
      </c>
      <c r="B208" s="11">
        <v>1.42024782608695E9</v>
      </c>
      <c r="C208" s="2">
        <v>-102.461792</v>
      </c>
      <c r="D208" s="24">
        <f t="shared" si="1"/>
        <v>-152173.913</v>
      </c>
      <c r="E208" s="25">
        <f t="shared" si="2"/>
        <v>31.22206849</v>
      </c>
      <c r="F208" s="24">
        <f t="shared" si="3"/>
        <v>0.0002051735929</v>
      </c>
      <c r="G208" s="24">
        <f t="shared" si="4"/>
        <v>0</v>
      </c>
      <c r="H208" s="26">
        <f t="shared" si="5"/>
        <v>0</v>
      </c>
      <c r="I208" s="24">
        <f t="shared" si="6"/>
        <v>0</v>
      </c>
      <c r="J208" s="24">
        <f t="shared" si="7"/>
        <v>0</v>
      </c>
      <c r="K208" s="24"/>
      <c r="L208" s="24">
        <f t="shared" si="8"/>
        <v>431.446517</v>
      </c>
      <c r="M208" s="14">
        <f t="shared" si="9"/>
        <v>419.0569728</v>
      </c>
      <c r="N208" s="27">
        <f t="shared" si="10"/>
        <v>12.38954427</v>
      </c>
      <c r="O208" s="24"/>
      <c r="P208" s="24"/>
      <c r="Q208" s="24"/>
      <c r="R208" s="26"/>
      <c r="S208" s="9">
        <f t="shared" si="13"/>
        <v>11.37727059</v>
      </c>
      <c r="U208" s="21"/>
      <c r="V208" s="21"/>
    </row>
    <row r="209">
      <c r="A209" s="11">
        <v>197.0</v>
      </c>
      <c r="B209" s="11">
        <v>1.42025217391304E9</v>
      </c>
      <c r="C209" s="2">
        <v>-102.4814682</v>
      </c>
      <c r="D209" s="24">
        <f t="shared" si="1"/>
        <v>-147826.087</v>
      </c>
      <c r="E209" s="25">
        <f t="shared" si="2"/>
        <v>30.30377236</v>
      </c>
      <c r="F209" s="24">
        <f t="shared" si="3"/>
        <v>0.0002049961071</v>
      </c>
      <c r="G209" s="24">
        <f t="shared" si="4"/>
        <v>0</v>
      </c>
      <c r="H209" s="26">
        <f t="shared" si="5"/>
        <v>0</v>
      </c>
      <c r="I209" s="24">
        <f t="shared" si="6"/>
        <v>0</v>
      </c>
      <c r="J209" s="24">
        <f t="shared" si="7"/>
        <v>0</v>
      </c>
      <c r="K209" s="24"/>
      <c r="L209" s="24">
        <f t="shared" si="8"/>
        <v>429.4962214</v>
      </c>
      <c r="M209" s="14">
        <f t="shared" si="9"/>
        <v>418.9657182</v>
      </c>
      <c r="N209" s="27">
        <f t="shared" si="10"/>
        <v>10.53050317</v>
      </c>
      <c r="O209" s="24"/>
      <c r="P209" s="24"/>
      <c r="Q209" s="24"/>
      <c r="R209" s="26"/>
      <c r="S209" s="9">
        <f t="shared" si="13"/>
        <v>9.670120315</v>
      </c>
      <c r="U209" s="21"/>
      <c r="V209" s="21"/>
    </row>
    <row r="210">
      <c r="A210" s="11">
        <v>198.0</v>
      </c>
      <c r="B210" s="11">
        <v>1.42025652173913E9</v>
      </c>
      <c r="C210" s="2">
        <v>-102.4368896</v>
      </c>
      <c r="D210" s="24">
        <f t="shared" si="1"/>
        <v>-143478.2609</v>
      </c>
      <c r="E210" s="25">
        <f t="shared" si="2"/>
        <v>29.38547623</v>
      </c>
      <c r="F210" s="24">
        <f t="shared" si="3"/>
        <v>0.0002048078646</v>
      </c>
      <c r="G210" s="24">
        <f t="shared" si="4"/>
        <v>0</v>
      </c>
      <c r="H210" s="26">
        <f t="shared" si="5"/>
        <v>0</v>
      </c>
      <c r="I210" s="24">
        <f t="shared" si="6"/>
        <v>0</v>
      </c>
      <c r="J210" s="24">
        <f t="shared" si="7"/>
        <v>0</v>
      </c>
      <c r="K210" s="24"/>
      <c r="L210" s="24">
        <f t="shared" si="8"/>
        <v>433.9275331</v>
      </c>
      <c r="M210" s="14">
        <f t="shared" si="9"/>
        <v>418.8742677</v>
      </c>
      <c r="N210" s="27">
        <f t="shared" si="10"/>
        <v>15.05326539</v>
      </c>
      <c r="O210" s="24"/>
      <c r="P210" s="24"/>
      <c r="Q210" s="24"/>
      <c r="R210" s="26"/>
      <c r="S210" s="9">
        <f t="shared" si="13"/>
        <v>13.82335539</v>
      </c>
      <c r="U210" s="21"/>
      <c r="V210" s="21"/>
    </row>
    <row r="211">
      <c r="A211" s="11">
        <v>199.0</v>
      </c>
      <c r="B211" s="11">
        <v>1.42026086956521E9</v>
      </c>
      <c r="C211" s="2">
        <v>-102.4354477</v>
      </c>
      <c r="D211" s="24">
        <f t="shared" si="1"/>
        <v>-139130.4348</v>
      </c>
      <c r="E211" s="25">
        <f t="shared" si="2"/>
        <v>28.4671801</v>
      </c>
      <c r="F211" s="24">
        <f t="shared" si="3"/>
        <v>0.0002046078569</v>
      </c>
      <c r="G211" s="24">
        <f t="shared" si="4"/>
        <v>0</v>
      </c>
      <c r="H211" s="26">
        <f t="shared" si="5"/>
        <v>0</v>
      </c>
      <c r="I211" s="24">
        <f t="shared" si="6"/>
        <v>0</v>
      </c>
      <c r="J211" s="24">
        <f t="shared" si="7"/>
        <v>0</v>
      </c>
      <c r="K211" s="24"/>
      <c r="L211" s="24">
        <f t="shared" si="8"/>
        <v>434.0716252</v>
      </c>
      <c r="M211" s="14">
        <f t="shared" si="9"/>
        <v>418.7826232</v>
      </c>
      <c r="N211" s="27">
        <f t="shared" si="10"/>
        <v>15.28900197</v>
      </c>
      <c r="O211" s="24"/>
      <c r="P211" s="24"/>
      <c r="Q211" s="24"/>
      <c r="R211" s="26"/>
      <c r="S211" s="9">
        <f t="shared" si="13"/>
        <v>14.03983138</v>
      </c>
      <c r="U211" s="21"/>
      <c r="V211" s="21"/>
    </row>
    <row r="212">
      <c r="A212" s="11">
        <v>200.0</v>
      </c>
      <c r="B212" s="11">
        <v>1.4202652173913E9</v>
      </c>
      <c r="C212" s="2">
        <v>-102.4701767</v>
      </c>
      <c r="D212" s="24">
        <f t="shared" si="1"/>
        <v>-134782.6087</v>
      </c>
      <c r="E212" s="25">
        <f t="shared" si="2"/>
        <v>27.54888396</v>
      </c>
      <c r="F212" s="24">
        <f t="shared" si="3"/>
        <v>0.0002043949455</v>
      </c>
      <c r="G212" s="24">
        <f t="shared" si="4"/>
        <v>0</v>
      </c>
      <c r="H212" s="26">
        <f t="shared" si="5"/>
        <v>0</v>
      </c>
      <c r="I212" s="24">
        <f t="shared" si="6"/>
        <v>0</v>
      </c>
      <c r="J212" s="24">
        <f t="shared" si="7"/>
        <v>0</v>
      </c>
      <c r="K212" s="24"/>
      <c r="L212" s="24">
        <f t="shared" si="8"/>
        <v>430.614349</v>
      </c>
      <c r="M212" s="14">
        <f t="shared" si="9"/>
        <v>418.6907868</v>
      </c>
      <c r="N212" s="27">
        <f t="shared" si="10"/>
        <v>11.9235622</v>
      </c>
      <c r="O212" s="24"/>
      <c r="P212" s="24"/>
      <c r="Q212" s="24"/>
      <c r="R212" s="26"/>
      <c r="S212" s="9">
        <f t="shared" si="13"/>
        <v>10.94936104</v>
      </c>
      <c r="U212" s="21"/>
      <c r="V212" s="21"/>
    </row>
    <row r="213">
      <c r="A213" s="11">
        <v>201.0</v>
      </c>
      <c r="B213" s="11">
        <v>1.42026956521739E9</v>
      </c>
      <c r="C213" s="2">
        <v>-102.4618225</v>
      </c>
      <c r="D213" s="24">
        <f t="shared" si="1"/>
        <v>-130434.7826</v>
      </c>
      <c r="E213" s="25">
        <f t="shared" si="2"/>
        <v>26.63058783</v>
      </c>
      <c r="F213" s="24">
        <f t="shared" si="3"/>
        <v>0.0002041678401</v>
      </c>
      <c r="G213" s="24">
        <f t="shared" si="4"/>
        <v>0</v>
      </c>
      <c r="H213" s="26">
        <f t="shared" si="5"/>
        <v>0</v>
      </c>
      <c r="I213" s="24">
        <f t="shared" si="6"/>
        <v>0</v>
      </c>
      <c r="J213" s="24">
        <f t="shared" si="7"/>
        <v>0</v>
      </c>
      <c r="K213" s="24"/>
      <c r="L213" s="24">
        <f t="shared" si="8"/>
        <v>431.443487</v>
      </c>
      <c r="M213" s="14">
        <f t="shared" si="9"/>
        <v>418.5987606</v>
      </c>
      <c r="N213" s="27">
        <f t="shared" si="10"/>
        <v>12.84472648</v>
      </c>
      <c r="O213" s="24"/>
      <c r="P213" s="24"/>
      <c r="Q213" s="24"/>
      <c r="R213" s="26"/>
      <c r="S213" s="9">
        <f t="shared" si="13"/>
        <v>11.79526265</v>
      </c>
      <c r="U213" s="21"/>
      <c r="V213" s="21"/>
    </row>
    <row r="214">
      <c r="A214" s="11">
        <v>202.0</v>
      </c>
      <c r="B214" s="11">
        <v>1.42027391304347E9</v>
      </c>
      <c r="C214" s="2">
        <v>-102.4010696</v>
      </c>
      <c r="D214" s="24">
        <f t="shared" si="1"/>
        <v>-126086.9565</v>
      </c>
      <c r="E214" s="25">
        <f t="shared" si="2"/>
        <v>25.7122917</v>
      </c>
      <c r="F214" s="24">
        <f t="shared" si="3"/>
        <v>0.0002039250721</v>
      </c>
      <c r="G214" s="24">
        <f t="shared" si="4"/>
        <v>0</v>
      </c>
      <c r="H214" s="26">
        <f t="shared" si="5"/>
        <v>0</v>
      </c>
      <c r="I214" s="24">
        <f t="shared" si="6"/>
        <v>0</v>
      </c>
      <c r="J214" s="24">
        <f t="shared" si="7"/>
        <v>0</v>
      </c>
      <c r="K214" s="24"/>
      <c r="L214" s="24">
        <f t="shared" si="8"/>
        <v>437.5213066</v>
      </c>
      <c r="M214" s="14">
        <f t="shared" si="9"/>
        <v>418.5065465</v>
      </c>
      <c r="N214" s="27">
        <f t="shared" si="10"/>
        <v>19.01476013</v>
      </c>
      <c r="O214" s="24"/>
      <c r="P214" s="24"/>
      <c r="Q214" s="24"/>
      <c r="R214" s="26"/>
      <c r="S214" s="9">
        <f t="shared" si="13"/>
        <v>17.4611807</v>
      </c>
      <c r="U214" s="21"/>
      <c r="V214" s="21"/>
    </row>
    <row r="215">
      <c r="A215" s="11">
        <v>203.0</v>
      </c>
      <c r="B215" s="11">
        <v>1.42027826086956E9</v>
      </c>
      <c r="C215" s="2">
        <v>-102.4269028</v>
      </c>
      <c r="D215" s="24">
        <f t="shared" si="1"/>
        <v>-121739.1304</v>
      </c>
      <c r="E215" s="25">
        <f t="shared" si="2"/>
        <v>24.79399557</v>
      </c>
      <c r="F215" s="24">
        <f t="shared" si="3"/>
        <v>0.0002036649636</v>
      </c>
      <c r="G215" s="24">
        <f t="shared" si="4"/>
        <v>0</v>
      </c>
      <c r="H215" s="26">
        <f t="shared" si="5"/>
        <v>0</v>
      </c>
      <c r="I215" s="24">
        <f t="shared" si="6"/>
        <v>0</v>
      </c>
      <c r="J215" s="24">
        <f t="shared" si="7"/>
        <v>0</v>
      </c>
      <c r="K215" s="24"/>
      <c r="L215" s="24">
        <f t="shared" si="8"/>
        <v>434.9265174</v>
      </c>
      <c r="M215" s="14">
        <f t="shared" si="9"/>
        <v>418.4141467</v>
      </c>
      <c r="N215" s="27">
        <f t="shared" si="10"/>
        <v>16.51237072</v>
      </c>
      <c r="O215" s="24"/>
      <c r="P215" s="24"/>
      <c r="Q215" s="24"/>
      <c r="R215" s="26"/>
      <c r="S215" s="9">
        <f t="shared" si="13"/>
        <v>15.16324614</v>
      </c>
      <c r="U215" s="21"/>
      <c r="V215" s="21"/>
    </row>
    <row r="216">
      <c r="A216" s="11">
        <v>204.0</v>
      </c>
      <c r="B216" s="11">
        <v>1.42028260869565E9</v>
      </c>
      <c r="C216" s="2">
        <v>-102.3821869</v>
      </c>
      <c r="D216" s="24">
        <f t="shared" si="1"/>
        <v>-117391.3043</v>
      </c>
      <c r="E216" s="25">
        <f t="shared" si="2"/>
        <v>23.87569944</v>
      </c>
      <c r="F216" s="24">
        <f t="shared" si="3"/>
        <v>0.0002033855878</v>
      </c>
      <c r="G216" s="24">
        <f t="shared" si="4"/>
        <v>0</v>
      </c>
      <c r="H216" s="26">
        <f t="shared" si="5"/>
        <v>0</v>
      </c>
      <c r="I216" s="24">
        <f t="shared" si="6"/>
        <v>0</v>
      </c>
      <c r="J216" s="24">
        <f t="shared" si="7"/>
        <v>0</v>
      </c>
      <c r="K216" s="24"/>
      <c r="L216" s="24">
        <f t="shared" si="8"/>
        <v>439.4277481</v>
      </c>
      <c r="M216" s="14">
        <f t="shared" si="9"/>
        <v>418.3215632</v>
      </c>
      <c r="N216" s="27">
        <f t="shared" si="10"/>
        <v>21.10618485</v>
      </c>
      <c r="O216" s="24"/>
      <c r="P216" s="24"/>
      <c r="Q216" s="24"/>
      <c r="R216" s="26"/>
      <c r="S216" s="9">
        <f t="shared" si="13"/>
        <v>19.38172792</v>
      </c>
      <c r="U216" s="21"/>
      <c r="V216" s="21"/>
    </row>
    <row r="217">
      <c r="A217" s="11">
        <v>205.0</v>
      </c>
      <c r="B217" s="11">
        <v>1.42028695652173E9</v>
      </c>
      <c r="C217" s="2">
        <v>-102.3642578</v>
      </c>
      <c r="D217" s="24">
        <f t="shared" si="1"/>
        <v>-113043.4783</v>
      </c>
      <c r="E217" s="25">
        <f t="shared" si="2"/>
        <v>22.9574033</v>
      </c>
      <c r="F217" s="24">
        <f t="shared" si="3"/>
        <v>0.0002030847215</v>
      </c>
      <c r="G217" s="24">
        <f t="shared" si="4"/>
        <v>0</v>
      </c>
      <c r="H217" s="26">
        <f t="shared" si="5"/>
        <v>0</v>
      </c>
      <c r="I217" s="24">
        <f t="shared" si="6"/>
        <v>0</v>
      </c>
      <c r="J217" s="24">
        <f t="shared" si="7"/>
        <v>0</v>
      </c>
      <c r="K217" s="24"/>
      <c r="L217" s="24">
        <f t="shared" si="8"/>
        <v>441.2455996</v>
      </c>
      <c r="M217" s="14">
        <f t="shared" si="9"/>
        <v>418.2287981</v>
      </c>
      <c r="N217" s="27">
        <f t="shared" si="10"/>
        <v>23.01680154</v>
      </c>
      <c r="O217" s="24"/>
      <c r="P217" s="24"/>
      <c r="Q217" s="24"/>
      <c r="R217" s="26"/>
      <c r="S217" s="9">
        <f t="shared" si="13"/>
        <v>21.13623985</v>
      </c>
      <c r="U217" s="21"/>
      <c r="V217" s="21"/>
    </row>
    <row r="218">
      <c r="A218" s="11">
        <v>206.0</v>
      </c>
      <c r="B218" s="11">
        <v>1.42029130434782E9</v>
      </c>
      <c r="C218" s="2">
        <v>-102.4339142</v>
      </c>
      <c r="D218" s="24">
        <f t="shared" si="1"/>
        <v>-108695.6522</v>
      </c>
      <c r="E218" s="25">
        <f t="shared" si="2"/>
        <v>22.03910717</v>
      </c>
      <c r="F218" s="24">
        <f t="shared" si="3"/>
        <v>0.000202759786</v>
      </c>
      <c r="G218" s="24">
        <f t="shared" si="4"/>
        <v>0</v>
      </c>
      <c r="H218" s="26">
        <f t="shared" si="5"/>
        <v>0</v>
      </c>
      <c r="I218" s="24">
        <f t="shared" si="6"/>
        <v>0</v>
      </c>
      <c r="J218" s="24">
        <f t="shared" si="7"/>
        <v>0</v>
      </c>
      <c r="K218" s="24"/>
      <c r="L218" s="24">
        <f t="shared" si="8"/>
        <v>434.2249236</v>
      </c>
      <c r="M218" s="14">
        <f t="shared" si="9"/>
        <v>418.1358534</v>
      </c>
      <c r="N218" s="27">
        <f t="shared" si="10"/>
        <v>16.08907017</v>
      </c>
      <c r="O218" s="24"/>
      <c r="P218" s="24"/>
      <c r="Q218" s="24"/>
      <c r="R218" s="26"/>
      <c r="S218" s="9">
        <f t="shared" si="13"/>
        <v>14.77453092</v>
      </c>
      <c r="U218" s="21"/>
      <c r="V218" s="21"/>
    </row>
    <row r="219">
      <c r="A219" s="11">
        <v>207.0</v>
      </c>
      <c r="B219" s="11">
        <v>1.42029565217391E9</v>
      </c>
      <c r="C219" s="2">
        <v>-102.4238586</v>
      </c>
      <c r="D219" s="24">
        <f t="shared" si="1"/>
        <v>-104347.8261</v>
      </c>
      <c r="E219" s="25">
        <f t="shared" si="2"/>
        <v>21.12081104</v>
      </c>
      <c r="F219" s="24">
        <f t="shared" si="3"/>
        <v>0.0002024077725</v>
      </c>
      <c r="G219" s="24">
        <f t="shared" si="4"/>
        <v>0</v>
      </c>
      <c r="H219" s="26">
        <f t="shared" si="5"/>
        <v>0</v>
      </c>
      <c r="I219" s="24">
        <f t="shared" si="6"/>
        <v>0</v>
      </c>
      <c r="J219" s="24">
        <f t="shared" si="7"/>
        <v>0</v>
      </c>
      <c r="K219" s="24"/>
      <c r="L219" s="24">
        <f t="shared" si="8"/>
        <v>435.2314873</v>
      </c>
      <c r="M219" s="14">
        <f t="shared" si="9"/>
        <v>418.0427311</v>
      </c>
      <c r="N219" s="27">
        <f t="shared" si="10"/>
        <v>17.18875621</v>
      </c>
      <c r="O219" s="24"/>
      <c r="P219" s="24"/>
      <c r="Q219" s="24"/>
      <c r="R219" s="26"/>
      <c r="S219" s="9">
        <f t="shared" si="13"/>
        <v>15.78436832</v>
      </c>
      <c r="U219" s="21"/>
      <c r="V219" s="21"/>
    </row>
    <row r="220">
      <c r="A220" s="11">
        <v>208.0</v>
      </c>
      <c r="B220" s="11">
        <v>1.4203E9</v>
      </c>
      <c r="C220" s="2">
        <v>-102.4035797</v>
      </c>
      <c r="D220" s="24">
        <f t="shared" si="1"/>
        <v>-100000</v>
      </c>
      <c r="E220" s="25">
        <f t="shared" si="2"/>
        <v>20.20251491</v>
      </c>
      <c r="F220" s="24">
        <f t="shared" si="3"/>
        <v>0.0002020251491</v>
      </c>
      <c r="G220" s="24">
        <f t="shared" si="4"/>
        <v>0</v>
      </c>
      <c r="H220" s="26">
        <f t="shared" si="5"/>
        <v>0</v>
      </c>
      <c r="I220" s="24">
        <f t="shared" si="6"/>
        <v>0</v>
      </c>
      <c r="J220" s="24">
        <f t="shared" si="7"/>
        <v>0</v>
      </c>
      <c r="K220" s="24"/>
      <c r="L220" s="24">
        <f t="shared" si="8"/>
        <v>437.2685047</v>
      </c>
      <c r="M220" s="14">
        <f t="shared" si="9"/>
        <v>417.9494334</v>
      </c>
      <c r="N220" s="27">
        <f t="shared" si="10"/>
        <v>19.3190713</v>
      </c>
      <c r="O220" s="24"/>
      <c r="P220" s="24"/>
      <c r="Q220" s="24"/>
      <c r="R220" s="26"/>
      <c r="S220" s="9">
        <f t="shared" si="13"/>
        <v>17.74062846</v>
      </c>
      <c r="U220" s="21"/>
      <c r="V220" s="21"/>
    </row>
    <row r="221">
      <c r="A221" s="11">
        <v>209.0</v>
      </c>
      <c r="B221" s="11">
        <v>1.42030434782608E9</v>
      </c>
      <c r="C221" s="2">
        <v>-102.443573</v>
      </c>
      <c r="D221" s="24">
        <f t="shared" si="1"/>
        <v>-95652.17392</v>
      </c>
      <c r="E221" s="25">
        <f t="shared" si="2"/>
        <v>19.28421878</v>
      </c>
      <c r="F221" s="24">
        <f t="shared" si="3"/>
        <v>0.0002016077417</v>
      </c>
      <c r="G221" s="24">
        <f t="shared" si="4"/>
        <v>0</v>
      </c>
      <c r="H221" s="26">
        <f t="shared" si="5"/>
        <v>0</v>
      </c>
      <c r="I221" s="24">
        <f t="shared" si="6"/>
        <v>0</v>
      </c>
      <c r="J221" s="24">
        <f t="shared" si="7"/>
        <v>0</v>
      </c>
      <c r="K221" s="24"/>
      <c r="L221" s="24">
        <f t="shared" si="8"/>
        <v>433.2602714</v>
      </c>
      <c r="M221" s="14">
        <f t="shared" si="9"/>
        <v>417.8559622</v>
      </c>
      <c r="N221" s="27">
        <f t="shared" si="10"/>
        <v>15.40430911</v>
      </c>
      <c r="O221" s="24"/>
      <c r="P221" s="24"/>
      <c r="Q221" s="24"/>
      <c r="R221" s="26"/>
      <c r="S221" s="9">
        <f t="shared" si="13"/>
        <v>14.14571749</v>
      </c>
      <c r="U221" s="21"/>
      <c r="V221" s="21"/>
    </row>
    <row r="222">
      <c r="A222" s="11">
        <v>210.0</v>
      </c>
      <c r="B222" s="11">
        <v>1.42030869565217E9</v>
      </c>
      <c r="C222" s="2">
        <v>-102.3949814</v>
      </c>
      <c r="D222" s="24">
        <f t="shared" si="1"/>
        <v>-91304.34783</v>
      </c>
      <c r="E222" s="25">
        <f t="shared" si="2"/>
        <v>18.36592264</v>
      </c>
      <c r="F222" s="24">
        <f t="shared" si="3"/>
        <v>0.0002011505813</v>
      </c>
      <c r="G222" s="24">
        <f t="shared" si="4"/>
        <v>0</v>
      </c>
      <c r="H222" s="26">
        <f t="shared" si="5"/>
        <v>0</v>
      </c>
      <c r="I222" s="24">
        <f t="shared" si="6"/>
        <v>0</v>
      </c>
      <c r="J222" s="24">
        <f t="shared" si="7"/>
        <v>0</v>
      </c>
      <c r="K222" s="24"/>
      <c r="L222" s="24">
        <f t="shared" si="8"/>
        <v>438.1350803</v>
      </c>
      <c r="M222" s="14">
        <f t="shared" si="9"/>
        <v>417.7623197</v>
      </c>
      <c r="N222" s="27">
        <f t="shared" si="10"/>
        <v>20.37276061</v>
      </c>
      <c r="O222" s="24"/>
      <c r="P222" s="24"/>
      <c r="Q222" s="24"/>
      <c r="R222" s="26"/>
      <c r="S222" s="9">
        <f t="shared" si="13"/>
        <v>18.70822724</v>
      </c>
      <c r="U222" s="21"/>
      <c r="V222" s="21"/>
    </row>
    <row r="223">
      <c r="A223" s="11">
        <v>211.0</v>
      </c>
      <c r="B223" s="11">
        <v>1.42031304347826E9</v>
      </c>
      <c r="C223" s="2">
        <v>-102.3915405</v>
      </c>
      <c r="D223" s="24">
        <f t="shared" si="1"/>
        <v>-86956.52174</v>
      </c>
      <c r="E223" s="25">
        <f t="shared" si="2"/>
        <v>17.44762651</v>
      </c>
      <c r="F223" s="24">
        <f t="shared" si="3"/>
        <v>0.0002006477049</v>
      </c>
      <c r="G223" s="24">
        <f t="shared" si="4"/>
        <v>0</v>
      </c>
      <c r="H223" s="26">
        <f t="shared" si="5"/>
        <v>0</v>
      </c>
      <c r="I223" s="24">
        <f t="shared" si="6"/>
        <v>0</v>
      </c>
      <c r="J223" s="24">
        <f t="shared" si="7"/>
        <v>0</v>
      </c>
      <c r="K223" s="24"/>
      <c r="L223" s="24">
        <f t="shared" si="8"/>
        <v>438.4823508</v>
      </c>
      <c r="M223" s="14">
        <f t="shared" si="9"/>
        <v>417.6685079</v>
      </c>
      <c r="N223" s="27">
        <f t="shared" si="10"/>
        <v>20.81384291</v>
      </c>
      <c r="O223" s="24"/>
      <c r="P223" s="24"/>
      <c r="Q223" s="24"/>
      <c r="R223" s="26"/>
      <c r="S223" s="9">
        <f t="shared" si="13"/>
        <v>19.11327145</v>
      </c>
      <c r="U223" s="21"/>
      <c r="V223" s="21"/>
    </row>
    <row r="224">
      <c r="A224" s="11">
        <v>212.0</v>
      </c>
      <c r="B224" s="11">
        <v>1.42031739130434E9</v>
      </c>
      <c r="C224" s="2">
        <v>-102.4148865</v>
      </c>
      <c r="D224" s="24">
        <f t="shared" si="1"/>
        <v>-82608.69566</v>
      </c>
      <c r="E224" s="25">
        <f t="shared" si="2"/>
        <v>16.52933038</v>
      </c>
      <c r="F224" s="24">
        <f t="shared" si="3"/>
        <v>0.000200091894</v>
      </c>
      <c r="G224" s="24">
        <f t="shared" si="4"/>
        <v>0</v>
      </c>
      <c r="H224" s="26">
        <f t="shared" si="5"/>
        <v>0</v>
      </c>
      <c r="I224" s="24">
        <f t="shared" si="6"/>
        <v>0</v>
      </c>
      <c r="J224" s="24">
        <f t="shared" si="7"/>
        <v>0</v>
      </c>
      <c r="K224" s="24"/>
      <c r="L224" s="24">
        <f t="shared" si="8"/>
        <v>436.1315625</v>
      </c>
      <c r="M224" s="14">
        <f t="shared" si="9"/>
        <v>417.5745287</v>
      </c>
      <c r="N224" s="27">
        <f t="shared" si="10"/>
        <v>18.55703379</v>
      </c>
      <c r="O224" s="24"/>
      <c r="P224" s="24"/>
      <c r="Q224" s="24"/>
      <c r="R224" s="26"/>
      <c r="S224" s="9">
        <f t="shared" si="13"/>
        <v>17.04085236</v>
      </c>
      <c r="U224" s="21"/>
      <c r="V224" s="21"/>
    </row>
    <row r="225">
      <c r="A225" s="11">
        <v>213.0</v>
      </c>
      <c r="B225" s="11">
        <v>1.42032173913043E9</v>
      </c>
      <c r="C225" s="2">
        <v>-102.3984146</v>
      </c>
      <c r="D225" s="24">
        <f t="shared" si="1"/>
        <v>-78260.86957</v>
      </c>
      <c r="E225" s="25">
        <f t="shared" si="2"/>
        <v>15.61103425</v>
      </c>
      <c r="F225" s="24">
        <f t="shared" si="3"/>
        <v>0.0001994743265</v>
      </c>
      <c r="G225" s="24">
        <f t="shared" si="4"/>
        <v>0</v>
      </c>
      <c r="H225" s="26">
        <f t="shared" si="5"/>
        <v>0</v>
      </c>
      <c r="I225" s="24">
        <f t="shared" si="6"/>
        <v>0</v>
      </c>
      <c r="J225" s="24">
        <f t="shared" si="7"/>
        <v>0</v>
      </c>
      <c r="K225" s="24"/>
      <c r="L225" s="24">
        <f t="shared" si="8"/>
        <v>437.7888611</v>
      </c>
      <c r="M225" s="14">
        <f t="shared" si="9"/>
        <v>417.4803844</v>
      </c>
      <c r="N225" s="27">
        <f t="shared" si="10"/>
        <v>20.30847671</v>
      </c>
      <c r="O225" s="24"/>
      <c r="P225" s="24"/>
      <c r="Q225" s="24"/>
      <c r="R225" s="26"/>
      <c r="S225" s="9">
        <f t="shared" si="13"/>
        <v>18.64919558</v>
      </c>
      <c r="U225" s="21"/>
      <c r="V225" s="21"/>
    </row>
    <row r="226">
      <c r="A226" s="11">
        <v>214.0</v>
      </c>
      <c r="B226" s="11">
        <v>1.42032608695652E9</v>
      </c>
      <c r="C226" s="2">
        <v>-102.3494873</v>
      </c>
      <c r="D226" s="24">
        <f t="shared" si="1"/>
        <v>-73913.04348</v>
      </c>
      <c r="E226" s="25">
        <f t="shared" si="2"/>
        <v>14.69273812</v>
      </c>
      <c r="F226" s="24">
        <f t="shared" si="3"/>
        <v>0.0001987841039</v>
      </c>
      <c r="G226" s="24">
        <f t="shared" si="4"/>
        <v>0</v>
      </c>
      <c r="H226" s="26">
        <f t="shared" si="5"/>
        <v>0</v>
      </c>
      <c r="I226" s="24">
        <f t="shared" si="6"/>
        <v>0</v>
      </c>
      <c r="J226" s="24">
        <f t="shared" si="7"/>
        <v>0</v>
      </c>
      <c r="K226" s="24"/>
      <c r="L226" s="24">
        <f t="shared" si="8"/>
        <v>442.7488455</v>
      </c>
      <c r="M226" s="14">
        <f t="shared" si="9"/>
        <v>417.3860769</v>
      </c>
      <c r="N226" s="27">
        <f t="shared" si="10"/>
        <v>25.36276858</v>
      </c>
      <c r="O226" s="24"/>
      <c r="P226" s="24"/>
      <c r="Q226" s="24"/>
      <c r="R226" s="26"/>
      <c r="S226" s="9">
        <f t="shared" si="13"/>
        <v>23.2905323</v>
      </c>
      <c r="U226" s="21"/>
      <c r="V226" s="21"/>
    </row>
    <row r="227">
      <c r="A227" s="11">
        <v>215.0</v>
      </c>
      <c r="B227" s="11">
        <v>1.4203304347826E9</v>
      </c>
      <c r="C227" s="2">
        <v>-102.390358</v>
      </c>
      <c r="D227" s="24">
        <f t="shared" si="1"/>
        <v>-69565.2174</v>
      </c>
      <c r="E227" s="25">
        <f t="shared" si="2"/>
        <v>13.77444198</v>
      </c>
      <c r="F227" s="24">
        <f t="shared" si="3"/>
        <v>0.0001980076035</v>
      </c>
      <c r="G227" s="24">
        <f t="shared" si="4"/>
        <v>0</v>
      </c>
      <c r="H227" s="26">
        <f t="shared" si="5"/>
        <v>0</v>
      </c>
      <c r="I227" s="24">
        <f t="shared" si="6"/>
        <v>0</v>
      </c>
      <c r="J227" s="24">
        <f t="shared" si="7"/>
        <v>0</v>
      </c>
      <c r="K227" s="24"/>
      <c r="L227" s="24">
        <f t="shared" si="8"/>
        <v>438.6017573</v>
      </c>
      <c r="M227" s="14">
        <f t="shared" si="9"/>
        <v>417.2916083</v>
      </c>
      <c r="N227" s="27">
        <f t="shared" si="10"/>
        <v>21.31014901</v>
      </c>
      <c r="O227" s="24"/>
      <c r="P227" s="24"/>
      <c r="Q227" s="24"/>
      <c r="R227" s="26"/>
      <c r="S227" s="9">
        <f t="shared" si="13"/>
        <v>19.56902742</v>
      </c>
      <c r="U227" s="21"/>
      <c r="V227" s="21"/>
    </row>
    <row r="228">
      <c r="A228" s="11">
        <v>216.0</v>
      </c>
      <c r="B228" s="11">
        <v>1.42033478260869E9</v>
      </c>
      <c r="C228" s="2">
        <v>-102.3894501</v>
      </c>
      <c r="D228" s="24">
        <f t="shared" si="1"/>
        <v>-65217.39131</v>
      </c>
      <c r="E228" s="25">
        <f t="shared" si="2"/>
        <v>12.85614585</v>
      </c>
      <c r="F228" s="24">
        <f t="shared" si="3"/>
        <v>0.0001971275697</v>
      </c>
      <c r="G228" s="24">
        <f t="shared" si="4"/>
        <v>0</v>
      </c>
      <c r="H228" s="26">
        <f t="shared" si="5"/>
        <v>0</v>
      </c>
      <c r="I228" s="24">
        <f t="shared" si="6"/>
        <v>0</v>
      </c>
      <c r="J228" s="24">
        <f t="shared" si="7"/>
        <v>0</v>
      </c>
      <c r="K228" s="24"/>
      <c r="L228" s="24">
        <f t="shared" si="8"/>
        <v>438.6934573</v>
      </c>
      <c r="M228" s="14">
        <f t="shared" si="9"/>
        <v>417.1969806</v>
      </c>
      <c r="N228" s="27">
        <f t="shared" si="10"/>
        <v>21.4964767</v>
      </c>
      <c r="O228" s="24"/>
      <c r="P228" s="24"/>
      <c r="Q228" s="24"/>
      <c r="R228" s="26"/>
      <c r="S228" s="9">
        <f t="shared" si="13"/>
        <v>19.74013142</v>
      </c>
      <c r="U228" s="21"/>
      <c r="V228" s="21"/>
    </row>
    <row r="229">
      <c r="A229" s="11">
        <v>217.0</v>
      </c>
      <c r="B229" s="11">
        <v>1.42033913043478E9</v>
      </c>
      <c r="C229" s="2">
        <v>-102.3320389</v>
      </c>
      <c r="D229" s="24">
        <f t="shared" si="1"/>
        <v>-60869.56522</v>
      </c>
      <c r="E229" s="25">
        <f t="shared" si="2"/>
        <v>11.93784972</v>
      </c>
      <c r="F229" s="24">
        <f t="shared" si="3"/>
        <v>0.0001961218168</v>
      </c>
      <c r="G229" s="24">
        <f t="shared" si="4"/>
        <v>0</v>
      </c>
      <c r="H229" s="26">
        <f t="shared" si="5"/>
        <v>0</v>
      </c>
      <c r="I229" s="24">
        <f t="shared" si="6"/>
        <v>0</v>
      </c>
      <c r="J229" s="24">
        <f t="shared" si="7"/>
        <v>0</v>
      </c>
      <c r="K229" s="24"/>
      <c r="L229" s="24">
        <f t="shared" si="8"/>
        <v>444.5312302</v>
      </c>
      <c r="M229" s="14">
        <f t="shared" si="9"/>
        <v>417.102196</v>
      </c>
      <c r="N229" s="27">
        <f t="shared" si="10"/>
        <v>27.42903422</v>
      </c>
      <c r="O229" s="24"/>
      <c r="P229" s="24"/>
      <c r="Q229" s="24"/>
      <c r="R229" s="26"/>
      <c r="S229" s="9">
        <f t="shared" si="13"/>
        <v>25.18797599</v>
      </c>
      <c r="U229" s="21"/>
      <c r="V229" s="21"/>
    </row>
    <row r="230">
      <c r="A230" s="11">
        <v>218.0</v>
      </c>
      <c r="B230" s="11">
        <v>1.42034347826087E9</v>
      </c>
      <c r="C230" s="2">
        <v>-102.3451157</v>
      </c>
      <c r="D230" s="24">
        <f t="shared" si="1"/>
        <v>-56521.73913</v>
      </c>
      <c r="E230" s="25">
        <f t="shared" si="2"/>
        <v>11.01955359</v>
      </c>
      <c r="F230" s="24">
        <f t="shared" si="3"/>
        <v>0.0001949613327</v>
      </c>
      <c r="G230" s="24">
        <f t="shared" si="4"/>
        <v>0</v>
      </c>
      <c r="H230" s="26">
        <f t="shared" si="5"/>
        <v>0</v>
      </c>
      <c r="I230" s="24">
        <f t="shared" si="6"/>
        <v>0</v>
      </c>
      <c r="J230" s="24">
        <f t="shared" si="7"/>
        <v>0</v>
      </c>
      <c r="K230" s="24"/>
      <c r="L230" s="24">
        <f t="shared" si="8"/>
        <v>443.19474</v>
      </c>
      <c r="M230" s="14">
        <f t="shared" si="9"/>
        <v>417.0072563</v>
      </c>
      <c r="N230" s="27">
        <f t="shared" si="10"/>
        <v>26.18748365</v>
      </c>
      <c r="O230" s="24"/>
      <c r="P230" s="24"/>
      <c r="Q230" s="24"/>
      <c r="R230" s="26"/>
      <c r="S230" s="9">
        <f t="shared" si="13"/>
        <v>24.04786496</v>
      </c>
      <c r="U230" s="21"/>
      <c r="V230" s="21"/>
    </row>
    <row r="231">
      <c r="A231" s="11">
        <v>219.0</v>
      </c>
      <c r="B231" s="11">
        <v>1.42034782608695E9</v>
      </c>
      <c r="C231" s="2">
        <v>-102.3987045</v>
      </c>
      <c r="D231" s="24">
        <f t="shared" si="1"/>
        <v>-52173.91305</v>
      </c>
      <c r="E231" s="25">
        <f t="shared" si="2"/>
        <v>10.10125745</v>
      </c>
      <c r="F231" s="24">
        <f t="shared" si="3"/>
        <v>0.0001936074345</v>
      </c>
      <c r="G231" s="24">
        <f t="shared" si="4"/>
        <v>0</v>
      </c>
      <c r="H231" s="26">
        <f t="shared" si="5"/>
        <v>0</v>
      </c>
      <c r="I231" s="24">
        <f t="shared" si="6"/>
        <v>0</v>
      </c>
      <c r="J231" s="24">
        <f t="shared" si="7"/>
        <v>0</v>
      </c>
      <c r="K231" s="24"/>
      <c r="L231" s="24">
        <f t="shared" si="8"/>
        <v>437.7596388</v>
      </c>
      <c r="M231" s="14">
        <f t="shared" si="9"/>
        <v>416.9121638</v>
      </c>
      <c r="N231" s="27">
        <f t="shared" si="10"/>
        <v>20.84747498</v>
      </c>
      <c r="O231" s="24"/>
      <c r="P231" s="24"/>
      <c r="Q231" s="24"/>
      <c r="R231" s="26"/>
      <c r="S231" s="9">
        <f t="shared" si="13"/>
        <v>19.14415565</v>
      </c>
      <c r="U231" s="21"/>
      <c r="V231" s="21"/>
    </row>
    <row r="232">
      <c r="A232" s="11">
        <v>220.0</v>
      </c>
      <c r="B232" s="11">
        <v>1.42035217391304E9</v>
      </c>
      <c r="C232" s="2">
        <v>-102.3675079</v>
      </c>
      <c r="D232" s="24">
        <f t="shared" si="1"/>
        <v>-47826.08696</v>
      </c>
      <c r="E232" s="25">
        <f t="shared" si="2"/>
        <v>9.182961321</v>
      </c>
      <c r="F232" s="24">
        <f t="shared" si="3"/>
        <v>0.0001920073731</v>
      </c>
      <c r="G232" s="24">
        <f t="shared" si="4"/>
        <v>0</v>
      </c>
      <c r="H232" s="26">
        <f t="shared" si="5"/>
        <v>0</v>
      </c>
      <c r="I232" s="24">
        <f t="shared" si="6"/>
        <v>0</v>
      </c>
      <c r="J232" s="24">
        <f t="shared" si="7"/>
        <v>0</v>
      </c>
      <c r="K232" s="24"/>
      <c r="L232" s="24">
        <f t="shared" si="8"/>
        <v>440.9155112</v>
      </c>
      <c r="M232" s="14">
        <f t="shared" si="9"/>
        <v>416.8169205</v>
      </c>
      <c r="N232" s="27">
        <f t="shared" si="10"/>
        <v>24.09859072</v>
      </c>
      <c r="O232" s="24"/>
      <c r="P232" s="24"/>
      <c r="Q232" s="24"/>
      <c r="R232" s="26"/>
      <c r="S232" s="9">
        <f t="shared" si="13"/>
        <v>22.12964262</v>
      </c>
      <c r="U232" s="21"/>
      <c r="V232" s="21"/>
    </row>
    <row r="233">
      <c r="A233" s="11">
        <v>221.0</v>
      </c>
      <c r="B233" s="11">
        <v>1.42035652173913E9</v>
      </c>
      <c r="C233" s="2">
        <v>-102.2917862</v>
      </c>
      <c r="D233" s="24">
        <f t="shared" si="1"/>
        <v>-43478.26087</v>
      </c>
      <c r="E233" s="25">
        <f t="shared" si="2"/>
        <v>8.264665191</v>
      </c>
      <c r="F233" s="24">
        <f t="shared" si="3"/>
        <v>0.0001900872994</v>
      </c>
      <c r="G233" s="24">
        <f t="shared" si="4"/>
        <v>0</v>
      </c>
      <c r="H233" s="26">
        <f t="shared" si="5"/>
        <v>0</v>
      </c>
      <c r="I233" s="24">
        <f t="shared" si="6"/>
        <v>0</v>
      </c>
      <c r="J233" s="24">
        <f t="shared" si="7"/>
        <v>0</v>
      </c>
      <c r="K233" s="24"/>
      <c r="L233" s="24">
        <f t="shared" si="8"/>
        <v>448.6705327</v>
      </c>
      <c r="M233" s="14">
        <f t="shared" si="9"/>
        <v>416.7215283</v>
      </c>
      <c r="N233" s="27">
        <f t="shared" si="10"/>
        <v>31.94900439</v>
      </c>
      <c r="O233" s="24"/>
      <c r="P233" s="24"/>
      <c r="Q233" s="24"/>
      <c r="R233" s="26"/>
      <c r="S233" s="9">
        <f t="shared" si="13"/>
        <v>29.33864718</v>
      </c>
      <c r="U233" s="21"/>
      <c r="V233" s="21"/>
    </row>
    <row r="234">
      <c r="A234" s="11">
        <v>222.0</v>
      </c>
      <c r="B234" s="11">
        <v>1.42036086956521E9</v>
      </c>
      <c r="C234" s="2">
        <v>-102.3341827</v>
      </c>
      <c r="D234" s="24">
        <f t="shared" si="1"/>
        <v>-39130.43479</v>
      </c>
      <c r="E234" s="25">
        <f t="shared" si="2"/>
        <v>7.346369058</v>
      </c>
      <c r="F234" s="24">
        <f t="shared" si="3"/>
        <v>0.0001877405426</v>
      </c>
      <c r="G234" s="24">
        <f t="shared" si="4"/>
        <v>0</v>
      </c>
      <c r="H234" s="26">
        <f t="shared" si="5"/>
        <v>0</v>
      </c>
      <c r="I234" s="24">
        <f t="shared" si="6"/>
        <v>0</v>
      </c>
      <c r="J234" s="24">
        <f t="shared" si="7"/>
        <v>0</v>
      </c>
      <c r="K234" s="24"/>
      <c r="L234" s="24">
        <f t="shared" si="8"/>
        <v>444.3118512</v>
      </c>
      <c r="M234" s="14">
        <f t="shared" si="9"/>
        <v>416.6259895</v>
      </c>
      <c r="N234" s="27">
        <f t="shared" si="10"/>
        <v>27.68586171</v>
      </c>
      <c r="O234" s="24"/>
      <c r="P234" s="24"/>
      <c r="Q234" s="24"/>
      <c r="R234" s="26"/>
      <c r="S234" s="9">
        <f t="shared" si="13"/>
        <v>25.42381974</v>
      </c>
      <c r="U234" s="21"/>
      <c r="V234" s="21"/>
    </row>
    <row r="235">
      <c r="A235" s="11">
        <v>223.0</v>
      </c>
      <c r="B235" s="11">
        <v>1.4203652173913E9</v>
      </c>
      <c r="C235" s="2">
        <v>-102.2746124</v>
      </c>
      <c r="D235" s="24">
        <f t="shared" si="1"/>
        <v>-34782.6087</v>
      </c>
      <c r="E235" s="25">
        <f t="shared" si="2"/>
        <v>6.428072925</v>
      </c>
      <c r="F235" s="24">
        <f t="shared" si="3"/>
        <v>0.0001848070966</v>
      </c>
      <c r="G235" s="24">
        <f t="shared" si="4"/>
        <v>0</v>
      </c>
      <c r="H235" s="26">
        <f t="shared" si="5"/>
        <v>0</v>
      </c>
      <c r="I235" s="24">
        <f t="shared" si="6"/>
        <v>0</v>
      </c>
      <c r="J235" s="24">
        <f t="shared" si="7"/>
        <v>0</v>
      </c>
      <c r="K235" s="24"/>
      <c r="L235" s="24">
        <f t="shared" si="8"/>
        <v>450.4482742</v>
      </c>
      <c r="M235" s="14">
        <f t="shared" si="9"/>
        <v>416.5303059</v>
      </c>
      <c r="N235" s="27">
        <f t="shared" si="10"/>
        <v>33.91796833</v>
      </c>
      <c r="O235" s="24"/>
      <c r="P235" s="24"/>
      <c r="Q235" s="24"/>
      <c r="R235" s="26"/>
      <c r="S235" s="9">
        <f t="shared" si="13"/>
        <v>31.14673907</v>
      </c>
      <c r="U235" s="21"/>
      <c r="V235" s="21"/>
    </row>
    <row r="236">
      <c r="A236" s="11">
        <v>224.0</v>
      </c>
      <c r="B236" s="11">
        <v>1.42036956521739E9</v>
      </c>
      <c r="C236" s="2">
        <v>-102.3013992</v>
      </c>
      <c r="D236" s="24">
        <f t="shared" si="1"/>
        <v>-30434.78261</v>
      </c>
      <c r="E236" s="25">
        <f t="shared" si="2"/>
        <v>5.509776795</v>
      </c>
      <c r="F236" s="24">
        <f t="shared" si="3"/>
        <v>0.0001810355232</v>
      </c>
      <c r="G236" s="24">
        <f t="shared" si="4"/>
        <v>0</v>
      </c>
      <c r="H236" s="26">
        <f t="shared" si="5"/>
        <v>0</v>
      </c>
      <c r="I236" s="24">
        <f t="shared" si="6"/>
        <v>0</v>
      </c>
      <c r="J236" s="24">
        <f t="shared" si="7"/>
        <v>0</v>
      </c>
      <c r="K236" s="24"/>
      <c r="L236" s="24">
        <f t="shared" si="8"/>
        <v>447.67851</v>
      </c>
      <c r="M236" s="14">
        <f t="shared" si="9"/>
        <v>416.4344797</v>
      </c>
      <c r="N236" s="27">
        <f t="shared" si="10"/>
        <v>31.2440303</v>
      </c>
      <c r="O236" s="24"/>
      <c r="P236" s="24"/>
      <c r="Q236" s="24"/>
      <c r="R236" s="26"/>
      <c r="S236" s="9">
        <f t="shared" si="13"/>
        <v>28.6912722</v>
      </c>
      <c r="U236" s="21"/>
      <c r="V236" s="21"/>
    </row>
    <row r="237">
      <c r="A237" s="11">
        <v>225.0</v>
      </c>
      <c r="B237" s="11">
        <v>1.42037391304347E9</v>
      </c>
      <c r="C237" s="2">
        <v>-102.2298279</v>
      </c>
      <c r="D237" s="24">
        <f t="shared" si="1"/>
        <v>-26086.95653</v>
      </c>
      <c r="E237" s="25">
        <f t="shared" si="2"/>
        <v>4.591480662</v>
      </c>
      <c r="F237" s="24">
        <f t="shared" si="3"/>
        <v>0.0001760067586</v>
      </c>
      <c r="G237" s="24">
        <f t="shared" si="4"/>
        <v>0</v>
      </c>
      <c r="H237" s="26">
        <f t="shared" si="5"/>
        <v>0</v>
      </c>
      <c r="I237" s="24">
        <f t="shared" si="6"/>
        <v>0</v>
      </c>
      <c r="J237" s="24">
        <f t="shared" si="7"/>
        <v>0</v>
      </c>
      <c r="K237" s="24"/>
      <c r="L237" s="24">
        <f t="shared" si="8"/>
        <v>455.1173347</v>
      </c>
      <c r="M237" s="14">
        <f t="shared" si="9"/>
        <v>416.3385129</v>
      </c>
      <c r="N237" s="27">
        <f t="shared" si="10"/>
        <v>38.77882172</v>
      </c>
      <c r="O237" s="24"/>
      <c r="P237" s="24"/>
      <c r="Q237" s="24"/>
      <c r="R237" s="26"/>
      <c r="S237" s="9">
        <f t="shared" si="13"/>
        <v>35.61044202</v>
      </c>
      <c r="U237" s="21"/>
      <c r="V237" s="21"/>
    </row>
    <row r="238">
      <c r="A238" s="11">
        <v>226.0</v>
      </c>
      <c r="B238" s="11">
        <v>1.42037826086956E9</v>
      </c>
      <c r="C238" s="2">
        <v>-102.2768097</v>
      </c>
      <c r="D238" s="24">
        <f t="shared" si="1"/>
        <v>-21739.13044</v>
      </c>
      <c r="E238" s="25">
        <f t="shared" si="2"/>
        <v>3.673184529</v>
      </c>
      <c r="F238" s="24">
        <f t="shared" si="3"/>
        <v>0.0001689664883</v>
      </c>
      <c r="G238" s="24">
        <f t="shared" si="4"/>
        <v>0</v>
      </c>
      <c r="H238" s="26">
        <f t="shared" si="5"/>
        <v>0</v>
      </c>
      <c r="I238" s="24">
        <f t="shared" si="6"/>
        <v>0</v>
      </c>
      <c r="J238" s="24">
        <f t="shared" si="7"/>
        <v>0</v>
      </c>
      <c r="K238" s="24"/>
      <c r="L238" s="24">
        <f t="shared" si="8"/>
        <v>450.2204289</v>
      </c>
      <c r="M238" s="14">
        <f t="shared" si="9"/>
        <v>416.2424077</v>
      </c>
      <c r="N238" s="27">
        <f t="shared" si="10"/>
        <v>33.97802126</v>
      </c>
      <c r="O238" s="24"/>
      <c r="P238" s="24"/>
      <c r="Q238" s="24"/>
      <c r="R238" s="26"/>
      <c r="S238" s="9">
        <f t="shared" si="13"/>
        <v>31.20188545</v>
      </c>
      <c r="U238" s="21"/>
      <c r="V238" s="21"/>
    </row>
    <row r="239">
      <c r="A239" s="11">
        <v>227.0</v>
      </c>
      <c r="B239" s="11">
        <v>1.42038260869565E9</v>
      </c>
      <c r="C239" s="2">
        <v>-102.2669296</v>
      </c>
      <c r="D239" s="24">
        <f t="shared" si="1"/>
        <v>-17391.30435</v>
      </c>
      <c r="E239" s="25">
        <f t="shared" si="2"/>
        <v>2.754888398</v>
      </c>
      <c r="F239" s="24">
        <f t="shared" si="3"/>
        <v>0.0001584060829</v>
      </c>
      <c r="G239" s="24">
        <f t="shared" si="4"/>
        <v>0</v>
      </c>
      <c r="H239" s="26">
        <f t="shared" si="5"/>
        <v>0</v>
      </c>
      <c r="I239" s="24">
        <f t="shared" si="6"/>
        <v>0</v>
      </c>
      <c r="J239" s="24">
        <f t="shared" si="7"/>
        <v>0</v>
      </c>
      <c r="K239" s="24"/>
      <c r="L239" s="24">
        <f t="shared" si="8"/>
        <v>451.245836</v>
      </c>
      <c r="M239" s="14">
        <f t="shared" si="9"/>
        <v>416.1461659</v>
      </c>
      <c r="N239" s="27">
        <f t="shared" si="10"/>
        <v>35.09967013</v>
      </c>
      <c r="O239" s="24"/>
      <c r="P239" s="24"/>
      <c r="Q239" s="24"/>
      <c r="R239" s="26"/>
      <c r="S239" s="9">
        <f t="shared" si="13"/>
        <v>32.23189134</v>
      </c>
      <c r="U239" s="21"/>
      <c r="V239" s="21"/>
    </row>
    <row r="240">
      <c r="A240" s="11">
        <v>228.0</v>
      </c>
      <c r="B240" s="11">
        <v>1.42038695652173E9</v>
      </c>
      <c r="C240" s="2">
        <v>-102.190567</v>
      </c>
      <c r="D240" s="24">
        <f t="shared" si="1"/>
        <v>-13043.47827</v>
      </c>
      <c r="E240" s="25">
        <f t="shared" si="2"/>
        <v>1.836592266</v>
      </c>
      <c r="F240" s="24">
        <f t="shared" si="3"/>
        <v>0.0001408054069</v>
      </c>
      <c r="G240" s="24">
        <f t="shared" si="4"/>
        <v>0</v>
      </c>
      <c r="H240" s="26">
        <f t="shared" si="5"/>
        <v>0</v>
      </c>
      <c r="I240" s="24">
        <f t="shared" si="6"/>
        <v>0</v>
      </c>
      <c r="J240" s="24">
        <f t="shared" si="7"/>
        <v>0</v>
      </c>
      <c r="K240" s="24"/>
      <c r="L240" s="24">
        <f t="shared" si="8"/>
        <v>459.2503198</v>
      </c>
      <c r="M240" s="14">
        <f t="shared" si="9"/>
        <v>416.0497897</v>
      </c>
      <c r="N240" s="27">
        <f t="shared" si="10"/>
        <v>43.20053006</v>
      </c>
      <c r="O240" s="24"/>
      <c r="P240" s="24"/>
      <c r="Q240" s="24"/>
      <c r="R240" s="26"/>
      <c r="S240" s="9">
        <f t="shared" si="13"/>
        <v>39.67087969</v>
      </c>
      <c r="U240" s="21"/>
      <c r="V240" s="21"/>
    </row>
    <row r="241">
      <c r="A241" s="11">
        <v>229.0</v>
      </c>
      <c r="B241" s="11">
        <v>1.42039130434782E9</v>
      </c>
      <c r="C241" s="2">
        <v>-102.1730347</v>
      </c>
      <c r="D241" s="24">
        <f t="shared" si="1"/>
        <v>-8695.65218</v>
      </c>
      <c r="E241" s="25">
        <f t="shared" si="2"/>
        <v>0.9182961328</v>
      </c>
      <c r="F241" s="24">
        <f t="shared" si="3"/>
        <v>0.0001056040552</v>
      </c>
      <c r="G241" s="24">
        <f t="shared" si="4"/>
        <v>0</v>
      </c>
      <c r="H241" s="26">
        <f t="shared" si="5"/>
        <v>0</v>
      </c>
      <c r="I241" s="24">
        <f t="shared" si="6"/>
        <v>0</v>
      </c>
      <c r="J241" s="24">
        <f t="shared" si="7"/>
        <v>0</v>
      </c>
      <c r="K241" s="24"/>
      <c r="L241" s="24">
        <f t="shared" si="8"/>
        <v>461.1080428</v>
      </c>
      <c r="M241" s="14">
        <f t="shared" si="9"/>
        <v>415.9532812</v>
      </c>
      <c r="N241" s="27">
        <f t="shared" si="10"/>
        <v>45.15476161</v>
      </c>
      <c r="O241" s="24"/>
      <c r="P241" s="24"/>
      <c r="Q241" s="24"/>
      <c r="R241" s="26"/>
      <c r="S241" s="9">
        <f t="shared" si="13"/>
        <v>41.46544296</v>
      </c>
      <c r="U241" s="21"/>
      <c r="V241" s="21"/>
    </row>
    <row r="242">
      <c r="A242" s="11">
        <v>230.0</v>
      </c>
      <c r="B242" s="11">
        <v>1.42039565217391E9</v>
      </c>
      <c r="C242" s="2">
        <v>-102.1178741</v>
      </c>
      <c r="D242" s="24">
        <f t="shared" si="1"/>
        <v>-4347.82609</v>
      </c>
      <c r="E242" s="25">
        <f t="shared" si="2"/>
        <v>0</v>
      </c>
      <c r="F242" s="24">
        <f t="shared" si="3"/>
        <v>0</v>
      </c>
      <c r="G242" s="24">
        <f t="shared" si="4"/>
        <v>0</v>
      </c>
      <c r="H242" s="26">
        <f t="shared" si="5"/>
        <v>0</v>
      </c>
      <c r="I242" s="24">
        <f t="shared" si="6"/>
        <v>0</v>
      </c>
      <c r="J242" s="24" t="str">
        <f t="shared" si="7"/>
        <v>#DIV/0!</v>
      </c>
      <c r="K242" s="24"/>
      <c r="L242" s="24">
        <f t="shared" si="8"/>
        <v>467.0020182</v>
      </c>
      <c r="M242" s="14">
        <f t="shared" si="9"/>
        <v>415.8566423</v>
      </c>
      <c r="N242" s="27">
        <f t="shared" si="10"/>
        <v>51.14537584</v>
      </c>
      <c r="O242" s="24"/>
      <c r="P242" s="24"/>
      <c r="Q242" s="24"/>
      <c r="R242" s="26"/>
      <c r="S242" s="9">
        <f t="shared" si="13"/>
        <v>46.96660073</v>
      </c>
      <c r="U242" s="21"/>
      <c r="V242" s="21"/>
    </row>
    <row r="243">
      <c r="A243" s="11">
        <v>231.0</v>
      </c>
      <c r="B243" s="11">
        <v>1.4204E9</v>
      </c>
      <c r="C243" s="2">
        <v>-102.1424789</v>
      </c>
      <c r="D243" s="24">
        <f t="shared" si="1"/>
        <v>0</v>
      </c>
      <c r="E243" s="25">
        <f t="shared" si="2"/>
        <v>-0.9182961307</v>
      </c>
      <c r="F243" s="24" t="str">
        <f t="shared" si="3"/>
        <v>#DIV/0!</v>
      </c>
      <c r="G243" s="24">
        <f t="shared" si="4"/>
        <v>0</v>
      </c>
      <c r="H243" s="26">
        <f t="shared" si="5"/>
        <v>0</v>
      </c>
      <c r="I243" s="24">
        <f t="shared" si="6"/>
        <v>0</v>
      </c>
      <c r="J243" s="24" t="str">
        <f t="shared" si="7"/>
        <v>#DIV/0!</v>
      </c>
      <c r="K243" s="24"/>
      <c r="L243" s="24">
        <f t="shared" si="8"/>
        <v>464.3637154</v>
      </c>
      <c r="M243" s="14">
        <f t="shared" si="9"/>
        <v>415.7598752</v>
      </c>
      <c r="N243" s="27">
        <f t="shared" si="10"/>
        <v>48.60384022</v>
      </c>
      <c r="O243" s="24"/>
      <c r="P243" s="24"/>
      <c r="Q243" s="24"/>
      <c r="R243" s="26"/>
      <c r="S243" s="9">
        <f t="shared" si="13"/>
        <v>44.63271851</v>
      </c>
      <c r="U243" s="21"/>
      <c r="V243" s="21"/>
    </row>
    <row r="244">
      <c r="A244" s="11">
        <v>232.0</v>
      </c>
      <c r="B244" s="11">
        <v>1.42040434782608E9</v>
      </c>
      <c r="C244" s="2">
        <v>-102.0699539</v>
      </c>
      <c r="D244" s="24">
        <f t="shared" si="1"/>
        <v>4347.82608</v>
      </c>
      <c r="E244" s="25">
        <f t="shared" si="2"/>
        <v>-1.836592263</v>
      </c>
      <c r="F244" s="24">
        <f t="shared" si="3"/>
        <v>0.0004224162213</v>
      </c>
      <c r="G244" s="24">
        <f t="shared" si="4"/>
        <v>0</v>
      </c>
      <c r="H244" s="26">
        <f t="shared" si="5"/>
        <v>0</v>
      </c>
      <c r="I244" s="24">
        <f t="shared" si="6"/>
        <v>0</v>
      </c>
      <c r="J244" s="24">
        <f t="shared" si="7"/>
        <v>0</v>
      </c>
      <c r="K244" s="24"/>
      <c r="L244" s="24">
        <f t="shared" si="8"/>
        <v>472.1834678</v>
      </c>
      <c r="M244" s="14">
        <f t="shared" si="9"/>
        <v>415.6629819</v>
      </c>
      <c r="N244" s="27">
        <f t="shared" si="10"/>
        <v>56.5204859</v>
      </c>
      <c r="O244" s="24"/>
      <c r="P244" s="24"/>
      <c r="Q244" s="24"/>
      <c r="R244" s="26"/>
      <c r="S244" s="9">
        <f t="shared" si="13"/>
        <v>51.90254363</v>
      </c>
      <c r="U244" s="21"/>
      <c r="V244" s="21"/>
    </row>
    <row r="245">
      <c r="A245" s="11">
        <v>233.0</v>
      </c>
      <c r="B245" s="11">
        <v>1.42040869565217E9</v>
      </c>
      <c r="C245" s="2">
        <v>-101.9871826</v>
      </c>
      <c r="D245" s="24">
        <f t="shared" si="1"/>
        <v>8695.65217</v>
      </c>
      <c r="E245" s="25">
        <f t="shared" si="2"/>
        <v>-2.754888396</v>
      </c>
      <c r="F245" s="24">
        <f t="shared" si="3"/>
        <v>0.0003168121657</v>
      </c>
      <c r="G245" s="24">
        <f t="shared" si="4"/>
        <v>0</v>
      </c>
      <c r="H245" s="26">
        <f t="shared" si="5"/>
        <v>0</v>
      </c>
      <c r="I245" s="24">
        <f t="shared" si="6"/>
        <v>0</v>
      </c>
      <c r="J245" s="24">
        <f t="shared" si="7"/>
        <v>0</v>
      </c>
      <c r="K245" s="24"/>
      <c r="L245" s="24">
        <f t="shared" si="8"/>
        <v>481.2690211</v>
      </c>
      <c r="M245" s="14">
        <f t="shared" si="9"/>
        <v>415.5659644</v>
      </c>
      <c r="N245" s="27">
        <f t="shared" si="10"/>
        <v>65.70305667</v>
      </c>
      <c r="O245" s="24"/>
      <c r="P245" s="24"/>
      <c r="Q245" s="24"/>
      <c r="R245" s="26"/>
      <c r="S245" s="9">
        <f t="shared" si="13"/>
        <v>60.33486271</v>
      </c>
      <c r="U245" s="21"/>
      <c r="V245" s="21"/>
    </row>
    <row r="246">
      <c r="A246" s="11">
        <v>234.0</v>
      </c>
      <c r="B246" s="11">
        <v>1.42041304347826E9</v>
      </c>
      <c r="C246" s="2">
        <v>-101.9498901</v>
      </c>
      <c r="D246" s="24">
        <f t="shared" si="1"/>
        <v>13043.47826</v>
      </c>
      <c r="E246" s="25">
        <f t="shared" si="2"/>
        <v>-3.673184527</v>
      </c>
      <c r="F246" s="24">
        <f t="shared" si="3"/>
        <v>0.0002816108137</v>
      </c>
      <c r="G246" s="24">
        <f t="shared" si="4"/>
        <v>0</v>
      </c>
      <c r="H246" s="26">
        <f t="shared" si="5"/>
        <v>0</v>
      </c>
      <c r="I246" s="24">
        <f t="shared" si="6"/>
        <v>0</v>
      </c>
      <c r="J246" s="24">
        <f t="shared" si="7"/>
        <v>0</v>
      </c>
      <c r="K246" s="24"/>
      <c r="L246" s="24">
        <f t="shared" si="8"/>
        <v>485.4194316</v>
      </c>
      <c r="M246" s="14">
        <f t="shared" si="9"/>
        <v>415.4688249</v>
      </c>
      <c r="N246" s="27">
        <f t="shared" si="10"/>
        <v>69.95060674</v>
      </c>
      <c r="O246" s="24"/>
      <c r="P246" s="24"/>
      <c r="Q246" s="24"/>
      <c r="R246" s="26"/>
      <c r="S246" s="9">
        <f t="shared" si="13"/>
        <v>64.23537165</v>
      </c>
      <c r="U246" s="21"/>
      <c r="V246" s="21"/>
    </row>
    <row r="247">
      <c r="A247" s="11">
        <v>235.0</v>
      </c>
      <c r="B247" s="11">
        <v>1.42041739130434E9</v>
      </c>
      <c r="C247" s="2">
        <v>-101.8546829</v>
      </c>
      <c r="D247" s="24">
        <f t="shared" si="1"/>
        <v>17391.30434</v>
      </c>
      <c r="E247" s="25">
        <f t="shared" si="2"/>
        <v>-4.59148066</v>
      </c>
      <c r="F247" s="24">
        <f t="shared" si="3"/>
        <v>0.0002640101381</v>
      </c>
      <c r="G247" s="24">
        <f t="shared" si="4"/>
        <v>0</v>
      </c>
      <c r="H247" s="26">
        <f t="shared" si="5"/>
        <v>0</v>
      </c>
      <c r="I247" s="24">
        <f t="shared" si="6"/>
        <v>0</v>
      </c>
      <c r="J247" s="24">
        <f t="shared" si="7"/>
        <v>0</v>
      </c>
      <c r="K247" s="24"/>
      <c r="L247" s="24">
        <f t="shared" si="8"/>
        <v>496.1784263</v>
      </c>
      <c r="M247" s="14">
        <f t="shared" si="9"/>
        <v>415.3715652</v>
      </c>
      <c r="N247" s="27">
        <f t="shared" si="10"/>
        <v>80.8068611</v>
      </c>
      <c r="O247" s="24"/>
      <c r="P247" s="24"/>
      <c r="Q247" s="24"/>
      <c r="R247" s="26"/>
      <c r="S247" s="9">
        <f t="shared" si="13"/>
        <v>74.20462805</v>
      </c>
      <c r="U247" s="21"/>
      <c r="V247" s="21"/>
    </row>
    <row r="248">
      <c r="A248" s="11">
        <v>236.0</v>
      </c>
      <c r="B248" s="11">
        <v>1.42042173913043E9</v>
      </c>
      <c r="C248" s="2">
        <v>-101.7854233</v>
      </c>
      <c r="D248" s="24">
        <f t="shared" si="1"/>
        <v>21739.13043</v>
      </c>
      <c r="E248" s="25">
        <f t="shared" si="2"/>
        <v>-5.509776792</v>
      </c>
      <c r="F248" s="24">
        <f t="shared" si="3"/>
        <v>0.0002534497325</v>
      </c>
      <c r="G248" s="24">
        <f t="shared" si="4"/>
        <v>0</v>
      </c>
      <c r="H248" s="26">
        <f t="shared" si="5"/>
        <v>0</v>
      </c>
      <c r="I248" s="24">
        <f t="shared" si="6"/>
        <v>0</v>
      </c>
      <c r="J248" s="24">
        <f t="shared" si="7"/>
        <v>0</v>
      </c>
      <c r="K248" s="24"/>
      <c r="L248" s="24">
        <f t="shared" si="8"/>
        <v>504.1547199</v>
      </c>
      <c r="M248" s="14">
        <f t="shared" si="9"/>
        <v>415.2741876</v>
      </c>
      <c r="N248" s="27">
        <f t="shared" si="10"/>
        <v>88.88053222</v>
      </c>
      <c r="O248" s="24"/>
      <c r="P248" s="24"/>
      <c r="Q248" s="24"/>
      <c r="R248" s="26"/>
      <c r="S248" s="9">
        <f t="shared" si="13"/>
        <v>81.61864883</v>
      </c>
      <c r="U248" s="21"/>
      <c r="V248" s="21"/>
    </row>
    <row r="249">
      <c r="A249" s="11">
        <v>237.0</v>
      </c>
      <c r="B249" s="11">
        <v>1.42042608695652E9</v>
      </c>
      <c r="C249" s="2">
        <v>-101.7265396</v>
      </c>
      <c r="D249" s="24">
        <f t="shared" si="1"/>
        <v>26086.95652</v>
      </c>
      <c r="E249" s="25">
        <f t="shared" si="2"/>
        <v>-6.428072923</v>
      </c>
      <c r="F249" s="24">
        <f t="shared" si="3"/>
        <v>0.0002464094621</v>
      </c>
      <c r="G249" s="24">
        <f t="shared" si="4"/>
        <v>0</v>
      </c>
      <c r="H249" s="26">
        <f t="shared" si="5"/>
        <v>0</v>
      </c>
      <c r="I249" s="24">
        <f t="shared" si="6"/>
        <v>0</v>
      </c>
      <c r="J249" s="24">
        <f t="shared" si="7"/>
        <v>0</v>
      </c>
      <c r="K249" s="24"/>
      <c r="L249" s="24">
        <f t="shared" si="8"/>
        <v>511.0368381</v>
      </c>
      <c r="M249" s="14">
        <f t="shared" si="9"/>
        <v>415.1766941</v>
      </c>
      <c r="N249" s="27">
        <f t="shared" si="10"/>
        <v>95.86014399</v>
      </c>
      <c r="O249" s="24"/>
      <c r="P249" s="24"/>
      <c r="Q249" s="24"/>
      <c r="R249" s="26"/>
      <c r="S249" s="9">
        <f t="shared" si="13"/>
        <v>88.02799952</v>
      </c>
      <c r="U249" s="21"/>
      <c r="V249" s="21"/>
    </row>
    <row r="250">
      <c r="A250" s="11">
        <v>238.0</v>
      </c>
      <c r="B250" s="11">
        <v>1.4204304347826E9</v>
      </c>
      <c r="C250" s="2">
        <v>-101.6609344</v>
      </c>
      <c r="D250" s="24">
        <f t="shared" si="1"/>
        <v>30434.7826</v>
      </c>
      <c r="E250" s="25">
        <f t="shared" si="2"/>
        <v>-7.346369056</v>
      </c>
      <c r="F250" s="24">
        <f t="shared" si="3"/>
        <v>0.0002413806976</v>
      </c>
      <c r="G250" s="24">
        <f t="shared" si="4"/>
        <v>0</v>
      </c>
      <c r="H250" s="26">
        <f t="shared" si="5"/>
        <v>0</v>
      </c>
      <c r="I250" s="24">
        <f t="shared" si="6"/>
        <v>0</v>
      </c>
      <c r="J250" s="24">
        <f t="shared" si="7"/>
        <v>0</v>
      </c>
      <c r="K250" s="24"/>
      <c r="L250" s="24">
        <f t="shared" si="8"/>
        <v>518.815243</v>
      </c>
      <c r="M250" s="14">
        <f t="shared" si="9"/>
        <v>415.0790867</v>
      </c>
      <c r="N250" s="27">
        <f t="shared" si="10"/>
        <v>103.7361564</v>
      </c>
      <c r="O250" s="24"/>
      <c r="P250" s="24"/>
      <c r="Q250" s="24"/>
      <c r="R250" s="26"/>
      <c r="S250" s="9">
        <f t="shared" si="13"/>
        <v>95.26051122</v>
      </c>
      <c r="U250" s="21"/>
      <c r="V250" s="21"/>
    </row>
    <row r="251">
      <c r="A251" s="11">
        <v>239.0</v>
      </c>
      <c r="B251" s="11">
        <v>1.42043478260869E9</v>
      </c>
      <c r="C251" s="2">
        <v>-101.5973969</v>
      </c>
      <c r="D251" s="24">
        <f t="shared" si="1"/>
        <v>34782.60869</v>
      </c>
      <c r="E251" s="25">
        <f t="shared" si="2"/>
        <v>-8.264665189</v>
      </c>
      <c r="F251" s="24">
        <f t="shared" si="3"/>
        <v>0.0002376091242</v>
      </c>
      <c r="G251" s="24">
        <f t="shared" si="4"/>
        <v>0</v>
      </c>
      <c r="H251" s="26">
        <f t="shared" si="5"/>
        <v>0</v>
      </c>
      <c r="I251" s="24">
        <f t="shared" si="6"/>
        <v>0</v>
      </c>
      <c r="J251" s="24">
        <f t="shared" si="7"/>
        <v>0</v>
      </c>
      <c r="K251" s="24"/>
      <c r="L251" s="24">
        <f t="shared" si="8"/>
        <v>526.461331</v>
      </c>
      <c r="M251" s="14">
        <f t="shared" si="9"/>
        <v>414.9813674</v>
      </c>
      <c r="N251" s="27">
        <f t="shared" si="10"/>
        <v>111.4799635</v>
      </c>
      <c r="O251" s="24"/>
      <c r="P251" s="24"/>
      <c r="Q251" s="24"/>
      <c r="R251" s="26"/>
      <c r="S251" s="9">
        <f t="shared" si="13"/>
        <v>102.3716194</v>
      </c>
      <c r="U251" s="21"/>
      <c r="V251" s="21"/>
    </row>
    <row r="252">
      <c r="A252" s="11">
        <v>240.0</v>
      </c>
      <c r="B252" s="11">
        <v>1.42043913043478E9</v>
      </c>
      <c r="C252" s="2">
        <v>-101.5126343</v>
      </c>
      <c r="D252" s="24">
        <f t="shared" si="1"/>
        <v>39130.43478</v>
      </c>
      <c r="E252" s="25">
        <f t="shared" si="2"/>
        <v>-9.182961321</v>
      </c>
      <c r="F252" s="24">
        <f t="shared" si="3"/>
        <v>0.0002346756782</v>
      </c>
      <c r="G252" s="24">
        <f t="shared" si="4"/>
        <v>0</v>
      </c>
      <c r="H252" s="26">
        <f t="shared" si="5"/>
        <v>0</v>
      </c>
      <c r="I252" s="24">
        <f t="shared" si="6"/>
        <v>0</v>
      </c>
      <c r="J252" s="24">
        <f t="shared" si="7"/>
        <v>0</v>
      </c>
      <c r="K252" s="24"/>
      <c r="L252" s="24">
        <f t="shared" si="8"/>
        <v>536.8373667</v>
      </c>
      <c r="M252" s="14">
        <f t="shared" si="9"/>
        <v>414.8835384</v>
      </c>
      <c r="N252" s="27">
        <f t="shared" si="10"/>
        <v>121.9538283</v>
      </c>
      <c r="O252" s="24"/>
      <c r="P252" s="24"/>
      <c r="Q252" s="24"/>
      <c r="R252" s="26"/>
      <c r="S252" s="9">
        <f t="shared" si="13"/>
        <v>111.9897287</v>
      </c>
      <c r="U252" s="21"/>
      <c r="V252" s="21"/>
    </row>
    <row r="253">
      <c r="A253" s="11">
        <v>241.0</v>
      </c>
      <c r="B253" s="11">
        <v>1.42044347826087E9</v>
      </c>
      <c r="C253" s="2">
        <v>-101.4424362</v>
      </c>
      <c r="D253" s="24">
        <f t="shared" si="1"/>
        <v>43478.26087</v>
      </c>
      <c r="E253" s="25">
        <f t="shared" si="2"/>
        <v>-10.10125745</v>
      </c>
      <c r="F253" s="24">
        <f t="shared" si="3"/>
        <v>0.0002323289214</v>
      </c>
      <c r="G253" s="24">
        <f t="shared" si="4"/>
        <v>0</v>
      </c>
      <c r="H253" s="26">
        <f t="shared" si="5"/>
        <v>0</v>
      </c>
      <c r="I253" s="24">
        <f t="shared" si="6"/>
        <v>0</v>
      </c>
      <c r="J253" s="24">
        <f t="shared" si="7"/>
        <v>0</v>
      </c>
      <c r="K253" s="24"/>
      <c r="L253" s="24">
        <f t="shared" si="8"/>
        <v>545.585158</v>
      </c>
      <c r="M253" s="14">
        <f t="shared" si="9"/>
        <v>414.7856016</v>
      </c>
      <c r="N253" s="27">
        <f t="shared" si="10"/>
        <v>130.7995564</v>
      </c>
      <c r="O253" s="24"/>
      <c r="P253" s="24"/>
      <c r="Q253" s="24"/>
      <c r="R253" s="26"/>
      <c r="S253" s="9">
        <f t="shared" si="13"/>
        <v>120.1127268</v>
      </c>
      <c r="U253" s="21"/>
      <c r="V253" s="21"/>
    </row>
    <row r="254">
      <c r="A254" s="11">
        <v>242.0</v>
      </c>
      <c r="B254" s="11">
        <v>1.42044782608695E9</v>
      </c>
      <c r="C254" s="2">
        <v>-101.4460526</v>
      </c>
      <c r="D254" s="24">
        <f t="shared" si="1"/>
        <v>47826.08695</v>
      </c>
      <c r="E254" s="25">
        <f t="shared" si="2"/>
        <v>-11.01955358</v>
      </c>
      <c r="F254" s="24">
        <f t="shared" si="3"/>
        <v>0.0002304088477</v>
      </c>
      <c r="G254" s="24">
        <f t="shared" si="4"/>
        <v>0</v>
      </c>
      <c r="H254" s="26">
        <f t="shared" si="5"/>
        <v>0</v>
      </c>
      <c r="I254" s="24">
        <f t="shared" si="6"/>
        <v>0</v>
      </c>
      <c r="J254" s="24">
        <f t="shared" si="7"/>
        <v>0</v>
      </c>
      <c r="K254" s="24"/>
      <c r="L254" s="24">
        <f t="shared" si="8"/>
        <v>545.1310346</v>
      </c>
      <c r="M254" s="14">
        <f t="shared" si="9"/>
        <v>414.6875592</v>
      </c>
      <c r="N254" s="27">
        <f t="shared" si="10"/>
        <v>130.4434755</v>
      </c>
      <c r="O254" s="24"/>
      <c r="P254" s="24"/>
      <c r="Q254" s="24"/>
      <c r="R254" s="26"/>
      <c r="S254" s="9">
        <f t="shared" si="13"/>
        <v>119.7857391</v>
      </c>
      <c r="U254" s="21"/>
      <c r="V254" s="21"/>
    </row>
    <row r="255">
      <c r="A255" s="11">
        <v>243.0</v>
      </c>
      <c r="B255" s="11">
        <v>1.42045217391304E9</v>
      </c>
      <c r="C255" s="2">
        <v>-101.359024</v>
      </c>
      <c r="D255" s="24">
        <f t="shared" si="1"/>
        <v>52173.91304</v>
      </c>
      <c r="E255" s="25">
        <f t="shared" si="2"/>
        <v>-11.93784972</v>
      </c>
      <c r="F255" s="24">
        <f t="shared" si="3"/>
        <v>0.0002288087863</v>
      </c>
      <c r="G255" s="24">
        <f t="shared" si="4"/>
        <v>0</v>
      </c>
      <c r="H255" s="26">
        <f t="shared" si="5"/>
        <v>0</v>
      </c>
      <c r="I255" s="24">
        <f t="shared" si="6"/>
        <v>0</v>
      </c>
      <c r="J255" s="24">
        <f t="shared" si="7"/>
        <v>0</v>
      </c>
      <c r="K255" s="24"/>
      <c r="L255" s="24">
        <f t="shared" si="8"/>
        <v>556.1651441</v>
      </c>
      <c r="M255" s="14">
        <f t="shared" si="9"/>
        <v>414.5894131</v>
      </c>
      <c r="N255" s="27">
        <f t="shared" si="10"/>
        <v>141.575731</v>
      </c>
      <c r="O255" s="24"/>
      <c r="P255" s="24"/>
      <c r="Q255" s="24"/>
      <c r="R255" s="26"/>
      <c r="S255" s="9">
        <f t="shared" si="13"/>
        <v>130.008446</v>
      </c>
      <c r="U255" s="21"/>
      <c r="V255" s="21"/>
    </row>
    <row r="256">
      <c r="A256" s="11">
        <v>244.0</v>
      </c>
      <c r="B256" s="11">
        <v>1.42045652173913E9</v>
      </c>
      <c r="C256" s="2">
        <v>-101.2981186</v>
      </c>
      <c r="D256" s="24">
        <f t="shared" si="1"/>
        <v>56521.73913</v>
      </c>
      <c r="E256" s="25">
        <f t="shared" si="2"/>
        <v>-12.85614585</v>
      </c>
      <c r="F256" s="24">
        <f t="shared" si="3"/>
        <v>0.0002274548881</v>
      </c>
      <c r="G256" s="24">
        <f t="shared" si="4"/>
        <v>0</v>
      </c>
      <c r="H256" s="26">
        <f t="shared" si="5"/>
        <v>0</v>
      </c>
      <c r="I256" s="24">
        <f t="shared" si="6"/>
        <v>0</v>
      </c>
      <c r="J256" s="24">
        <f t="shared" si="7"/>
        <v>0</v>
      </c>
      <c r="K256" s="24"/>
      <c r="L256" s="24">
        <f t="shared" si="8"/>
        <v>564.0197444</v>
      </c>
      <c r="M256" s="14">
        <f t="shared" si="9"/>
        <v>414.4911655</v>
      </c>
      <c r="N256" s="27">
        <f t="shared" si="10"/>
        <v>149.5285789</v>
      </c>
      <c r="O256" s="24"/>
      <c r="P256" s="24"/>
      <c r="Q256" s="24"/>
      <c r="R256" s="26"/>
      <c r="S256" s="9">
        <f t="shared" si="13"/>
        <v>137.3115157</v>
      </c>
      <c r="U256" s="21"/>
      <c r="V256" s="21"/>
    </row>
    <row r="257">
      <c r="A257" s="11">
        <v>245.0</v>
      </c>
      <c r="B257" s="11">
        <v>1.42046086956521E9</v>
      </c>
      <c r="C257" s="2">
        <v>-101.3164215</v>
      </c>
      <c r="D257" s="24">
        <f t="shared" si="1"/>
        <v>60869.56521</v>
      </c>
      <c r="E257" s="25">
        <f t="shared" si="2"/>
        <v>-13.77444198</v>
      </c>
      <c r="F257" s="24">
        <f t="shared" si="3"/>
        <v>0.000226294404</v>
      </c>
      <c r="G257" s="24">
        <f t="shared" si="4"/>
        <v>0</v>
      </c>
      <c r="H257" s="26">
        <f t="shared" si="5"/>
        <v>0</v>
      </c>
      <c r="I257" s="24">
        <f t="shared" si="6"/>
        <v>0</v>
      </c>
      <c r="J257" s="24">
        <f t="shared" si="7"/>
        <v>0</v>
      </c>
      <c r="K257" s="24"/>
      <c r="L257" s="24">
        <f t="shared" si="8"/>
        <v>561.6477422</v>
      </c>
      <c r="M257" s="14">
        <f t="shared" si="9"/>
        <v>414.3928183</v>
      </c>
      <c r="N257" s="27">
        <f t="shared" si="10"/>
        <v>147.2549239</v>
      </c>
      <c r="O257" s="24"/>
      <c r="P257" s="24"/>
      <c r="Q257" s="24"/>
      <c r="R257" s="26"/>
      <c r="S257" s="9">
        <f t="shared" si="13"/>
        <v>135.2236271</v>
      </c>
      <c r="U257" s="21"/>
      <c r="V257" s="21"/>
    </row>
    <row r="258">
      <c r="A258" s="11">
        <v>246.0</v>
      </c>
      <c r="B258" s="11">
        <v>1.4204652173913E9</v>
      </c>
      <c r="C258" s="2">
        <v>-101.3228989</v>
      </c>
      <c r="D258" s="24">
        <f t="shared" si="1"/>
        <v>65217.3913</v>
      </c>
      <c r="E258" s="25">
        <f t="shared" si="2"/>
        <v>-14.69273811</v>
      </c>
      <c r="F258" s="24">
        <f t="shared" si="3"/>
        <v>0.0002252886511</v>
      </c>
      <c r="G258" s="24">
        <f t="shared" si="4"/>
        <v>0</v>
      </c>
      <c r="H258" s="26">
        <f t="shared" si="5"/>
        <v>0</v>
      </c>
      <c r="I258" s="24">
        <f t="shared" si="6"/>
        <v>0</v>
      </c>
      <c r="J258" s="24">
        <f t="shared" si="7"/>
        <v>0</v>
      </c>
      <c r="K258" s="24"/>
      <c r="L258" s="24">
        <f t="shared" si="8"/>
        <v>560.8106822</v>
      </c>
      <c r="M258" s="14">
        <f t="shared" si="9"/>
        <v>414.2943737</v>
      </c>
      <c r="N258" s="27">
        <f t="shared" si="10"/>
        <v>146.5163085</v>
      </c>
      <c r="O258" s="24"/>
      <c r="P258" s="24"/>
      <c r="Q258" s="24"/>
      <c r="R258" s="26"/>
      <c r="S258" s="9">
        <f t="shared" si="13"/>
        <v>134.5453591</v>
      </c>
      <c r="U258" s="21"/>
      <c r="V258" s="21"/>
    </row>
    <row r="259">
      <c r="A259" s="11">
        <v>247.0</v>
      </c>
      <c r="B259" s="11">
        <v>1.42046956521739E9</v>
      </c>
      <c r="C259" s="2">
        <v>-101.2781677</v>
      </c>
      <c r="D259" s="24">
        <f t="shared" si="1"/>
        <v>69565.21739</v>
      </c>
      <c r="E259" s="25">
        <f t="shared" si="2"/>
        <v>-15.61103424</v>
      </c>
      <c r="F259" s="24">
        <f t="shared" si="3"/>
        <v>0.0002244086173</v>
      </c>
      <c r="G259" s="24">
        <f t="shared" si="4"/>
        <v>0</v>
      </c>
      <c r="H259" s="26">
        <f t="shared" si="5"/>
        <v>0</v>
      </c>
      <c r="I259" s="24">
        <f t="shared" si="6"/>
        <v>0</v>
      </c>
      <c r="J259" s="24">
        <f t="shared" si="7"/>
        <v>0</v>
      </c>
      <c r="K259" s="24"/>
      <c r="L259" s="24">
        <f t="shared" si="8"/>
        <v>566.6167352</v>
      </c>
      <c r="M259" s="14">
        <f t="shared" si="9"/>
        <v>414.1958337</v>
      </c>
      <c r="N259" s="27">
        <f t="shared" si="10"/>
        <v>152.4209014</v>
      </c>
      <c r="O259" s="24"/>
      <c r="P259" s="24"/>
      <c r="Q259" s="24"/>
      <c r="R259" s="26"/>
      <c r="S259" s="9">
        <f t="shared" si="13"/>
        <v>139.9675244</v>
      </c>
      <c r="U259" s="21"/>
      <c r="V259" s="21"/>
    </row>
    <row r="260">
      <c r="A260" s="11">
        <v>248.0</v>
      </c>
      <c r="B260" s="11">
        <v>1.42047391304347E9</v>
      </c>
      <c r="C260" s="2">
        <v>-101.2942657</v>
      </c>
      <c r="D260" s="24">
        <f t="shared" si="1"/>
        <v>73913.04347</v>
      </c>
      <c r="E260" s="25">
        <f t="shared" si="2"/>
        <v>-16.52933038</v>
      </c>
      <c r="F260" s="24">
        <f t="shared" si="3"/>
        <v>0.0002236321169</v>
      </c>
      <c r="G260" s="24">
        <f t="shared" si="4"/>
        <v>0</v>
      </c>
      <c r="H260" s="26">
        <f t="shared" si="5"/>
        <v>0</v>
      </c>
      <c r="I260" s="24">
        <f t="shared" si="6"/>
        <v>0</v>
      </c>
      <c r="J260" s="24">
        <f t="shared" si="7"/>
        <v>0</v>
      </c>
      <c r="K260" s="24"/>
      <c r="L260" s="24">
        <f t="shared" si="8"/>
        <v>564.5203438</v>
      </c>
      <c r="M260" s="14">
        <f t="shared" si="9"/>
        <v>414.0972004</v>
      </c>
      <c r="N260" s="27">
        <f t="shared" si="10"/>
        <v>150.4231435</v>
      </c>
      <c r="O260" s="24"/>
      <c r="P260" s="24"/>
      <c r="Q260" s="24"/>
      <c r="R260" s="26"/>
      <c r="S260" s="9">
        <f t="shared" si="13"/>
        <v>138.1329909</v>
      </c>
      <c r="U260" s="21"/>
      <c r="V260" s="21"/>
    </row>
    <row r="261">
      <c r="A261" s="11">
        <v>249.0</v>
      </c>
      <c r="B261" s="11">
        <v>1.42047826086956E9</v>
      </c>
      <c r="C261" s="2">
        <v>-101.3072281</v>
      </c>
      <c r="D261" s="24">
        <f t="shared" si="1"/>
        <v>78260.86956</v>
      </c>
      <c r="E261" s="25">
        <f t="shared" si="2"/>
        <v>-17.44762651</v>
      </c>
      <c r="F261" s="24">
        <f t="shared" si="3"/>
        <v>0.0002229418943</v>
      </c>
      <c r="G261" s="24">
        <f t="shared" si="4"/>
        <v>0</v>
      </c>
      <c r="H261" s="26">
        <f t="shared" si="5"/>
        <v>0</v>
      </c>
      <c r="I261" s="24">
        <f t="shared" si="6"/>
        <v>0</v>
      </c>
      <c r="J261" s="24">
        <f t="shared" si="7"/>
        <v>0</v>
      </c>
      <c r="K261" s="24"/>
      <c r="L261" s="24">
        <f t="shared" si="8"/>
        <v>562.8379303</v>
      </c>
      <c r="M261" s="14">
        <f t="shared" si="9"/>
        <v>413.9984757</v>
      </c>
      <c r="N261" s="27">
        <f t="shared" si="10"/>
        <v>148.8394546</v>
      </c>
      <c r="O261" s="24"/>
      <c r="P261" s="24"/>
      <c r="Q261" s="24"/>
      <c r="R261" s="26"/>
      <c r="S261" s="9">
        <f t="shared" si="13"/>
        <v>136.6786953</v>
      </c>
      <c r="U261" s="21"/>
      <c r="V261" s="21"/>
    </row>
    <row r="262">
      <c r="A262" s="11">
        <v>250.0</v>
      </c>
      <c r="B262" s="11">
        <v>1.42048260869565E9</v>
      </c>
      <c r="C262" s="2">
        <v>-101.3639145</v>
      </c>
      <c r="D262" s="24">
        <f t="shared" si="1"/>
        <v>82608.69565</v>
      </c>
      <c r="E262" s="25">
        <f t="shared" si="2"/>
        <v>-18.36592264</v>
      </c>
      <c r="F262" s="24">
        <f t="shared" si="3"/>
        <v>0.0002223243267</v>
      </c>
      <c r="G262" s="24">
        <f t="shared" si="4"/>
        <v>0</v>
      </c>
      <c r="H262" s="26">
        <f t="shared" si="5"/>
        <v>0</v>
      </c>
      <c r="I262" s="24">
        <f t="shared" si="6"/>
        <v>0</v>
      </c>
      <c r="J262" s="24">
        <f t="shared" si="7"/>
        <v>0</v>
      </c>
      <c r="K262" s="24"/>
      <c r="L262" s="24">
        <f t="shared" si="8"/>
        <v>555.5392106</v>
      </c>
      <c r="M262" s="14">
        <f t="shared" si="9"/>
        <v>413.8996618</v>
      </c>
      <c r="N262" s="27">
        <f t="shared" si="10"/>
        <v>141.6395488</v>
      </c>
      <c r="O262" s="24"/>
      <c r="P262" s="24"/>
      <c r="Q262" s="24"/>
      <c r="R262" s="26"/>
      <c r="S262" s="9">
        <f t="shared" si="13"/>
        <v>130.0670499</v>
      </c>
      <c r="U262" s="21"/>
      <c r="V262" s="21"/>
    </row>
    <row r="263">
      <c r="A263" s="11">
        <v>251.0</v>
      </c>
      <c r="B263" s="11">
        <v>1.42048695652173E9</v>
      </c>
      <c r="C263" s="2">
        <v>-101.4523773</v>
      </c>
      <c r="D263" s="24">
        <f t="shared" si="1"/>
        <v>86956.52173</v>
      </c>
      <c r="E263" s="25">
        <f t="shared" si="2"/>
        <v>-19.28421877</v>
      </c>
      <c r="F263" s="24">
        <f t="shared" si="3"/>
        <v>0.0002217685159</v>
      </c>
      <c r="G263" s="24">
        <f t="shared" si="4"/>
        <v>0</v>
      </c>
      <c r="H263" s="26">
        <f t="shared" si="5"/>
        <v>0</v>
      </c>
      <c r="I263" s="24">
        <f t="shared" si="6"/>
        <v>0</v>
      </c>
      <c r="J263" s="24">
        <f t="shared" si="7"/>
        <v>0</v>
      </c>
      <c r="K263" s="24"/>
      <c r="L263" s="24">
        <f t="shared" si="8"/>
        <v>544.3377294</v>
      </c>
      <c r="M263" s="14">
        <f t="shared" si="9"/>
        <v>413.8007607</v>
      </c>
      <c r="N263" s="27">
        <f t="shared" si="10"/>
        <v>130.5369687</v>
      </c>
      <c r="O263" s="24"/>
      <c r="P263" s="24"/>
      <c r="Q263" s="24"/>
      <c r="R263" s="26"/>
      <c r="S263" s="9">
        <f t="shared" si="13"/>
        <v>119.8715935</v>
      </c>
      <c r="U263" s="21"/>
      <c r="V263" s="21"/>
    </row>
    <row r="264">
      <c r="A264" s="11">
        <v>252.0</v>
      </c>
      <c r="B264" s="11">
        <v>1.42049130434782E9</v>
      </c>
      <c r="C264" s="2">
        <v>-101.5612335</v>
      </c>
      <c r="D264" s="24">
        <f t="shared" si="1"/>
        <v>91304.34782</v>
      </c>
      <c r="E264" s="25">
        <f t="shared" si="2"/>
        <v>-20.20251491</v>
      </c>
      <c r="F264" s="24">
        <f t="shared" si="3"/>
        <v>0.0002212656395</v>
      </c>
      <c r="G264" s="24">
        <f t="shared" si="4"/>
        <v>0</v>
      </c>
      <c r="H264" s="26">
        <f t="shared" si="5"/>
        <v>0</v>
      </c>
      <c r="I264" s="24">
        <f t="shared" si="6"/>
        <v>0</v>
      </c>
      <c r="J264" s="24">
        <f t="shared" si="7"/>
        <v>0</v>
      </c>
      <c r="K264" s="24"/>
      <c r="L264" s="24">
        <f t="shared" si="8"/>
        <v>530.8634405</v>
      </c>
      <c r="M264" s="14">
        <f t="shared" si="9"/>
        <v>413.7017745</v>
      </c>
      <c r="N264" s="27">
        <f t="shared" si="10"/>
        <v>117.161666</v>
      </c>
      <c r="O264" s="24"/>
      <c r="P264" s="24"/>
      <c r="Q264" s="24"/>
      <c r="R264" s="26"/>
      <c r="S264" s="9">
        <f t="shared" si="13"/>
        <v>107.5891048</v>
      </c>
      <c r="U264" s="21"/>
      <c r="V264" s="21"/>
    </row>
    <row r="265">
      <c r="A265" s="11">
        <v>253.0</v>
      </c>
      <c r="B265" s="11">
        <v>1.42049565217391E9</v>
      </c>
      <c r="C265" s="2">
        <v>-101.6930008</v>
      </c>
      <c r="D265" s="24">
        <f t="shared" si="1"/>
        <v>95652.17391</v>
      </c>
      <c r="E265" s="25">
        <f t="shared" si="2"/>
        <v>-21.12081104</v>
      </c>
      <c r="F265" s="24">
        <f t="shared" si="3"/>
        <v>0.0002208084791</v>
      </c>
      <c r="G265" s="24">
        <f t="shared" si="4"/>
        <v>0</v>
      </c>
      <c r="H265" s="26">
        <f t="shared" si="5"/>
        <v>0</v>
      </c>
      <c r="I265" s="24">
        <f t="shared" si="6"/>
        <v>0</v>
      </c>
      <c r="J265" s="24">
        <f t="shared" si="7"/>
        <v>0</v>
      </c>
      <c r="K265" s="24"/>
      <c r="L265" s="24">
        <f t="shared" si="8"/>
        <v>514.9986462</v>
      </c>
      <c r="M265" s="14">
        <f t="shared" si="9"/>
        <v>413.6027051</v>
      </c>
      <c r="N265" s="27">
        <f t="shared" si="10"/>
        <v>101.3959411</v>
      </c>
      <c r="O265" s="24"/>
      <c r="P265" s="24"/>
      <c r="Q265" s="24"/>
      <c r="R265" s="26"/>
      <c r="S265" s="9">
        <f t="shared" si="13"/>
        <v>93.11150035</v>
      </c>
      <c r="U265" s="21"/>
      <c r="V265" s="21"/>
    </row>
    <row r="266">
      <c r="A266" s="11">
        <v>254.0</v>
      </c>
      <c r="B266" s="11">
        <v>1.4205E9</v>
      </c>
      <c r="C266" s="2">
        <v>-101.7711487</v>
      </c>
      <c r="D266" s="24">
        <f t="shared" si="1"/>
        <v>100000</v>
      </c>
      <c r="E266" s="25">
        <f t="shared" si="2"/>
        <v>-22.03910717</v>
      </c>
      <c r="F266" s="24">
        <f t="shared" si="3"/>
        <v>0.0002203910717</v>
      </c>
      <c r="G266" s="24">
        <f t="shared" si="4"/>
        <v>0</v>
      </c>
      <c r="H266" s="26">
        <f t="shared" si="5"/>
        <v>0</v>
      </c>
      <c r="I266" s="24">
        <f t="shared" si="6"/>
        <v>0</v>
      </c>
      <c r="J266" s="24">
        <f t="shared" si="7"/>
        <v>0</v>
      </c>
      <c r="K266" s="24"/>
      <c r="L266" s="24">
        <f t="shared" si="8"/>
        <v>505.8145261</v>
      </c>
      <c r="M266" s="14">
        <f t="shared" si="9"/>
        <v>413.5035548</v>
      </c>
      <c r="N266" s="27">
        <f t="shared" si="10"/>
        <v>92.31097137</v>
      </c>
      <c r="O266" s="24"/>
      <c r="P266" s="24"/>
      <c r="Q266" s="24"/>
      <c r="R266" s="26"/>
      <c r="S266" s="9">
        <f t="shared" si="13"/>
        <v>84.76880802</v>
      </c>
      <c r="U266" s="21"/>
      <c r="V266" s="21"/>
    </row>
    <row r="267">
      <c r="A267" s="11">
        <v>255.0</v>
      </c>
      <c r="B267" s="11">
        <v>1.42050434782608E9</v>
      </c>
      <c r="C267" s="2">
        <v>-101.8378601</v>
      </c>
      <c r="D267" s="24">
        <f t="shared" si="1"/>
        <v>104347.8261</v>
      </c>
      <c r="E267" s="25">
        <f t="shared" si="2"/>
        <v>-22.9574033</v>
      </c>
      <c r="F267" s="24">
        <f t="shared" si="3"/>
        <v>0.0002200084483</v>
      </c>
      <c r="G267" s="24">
        <f t="shared" si="4"/>
        <v>0</v>
      </c>
      <c r="H267" s="26">
        <f t="shared" si="5"/>
        <v>0</v>
      </c>
      <c r="I267" s="24">
        <f t="shared" si="6"/>
        <v>0</v>
      </c>
      <c r="J267" s="24">
        <f t="shared" si="7"/>
        <v>0</v>
      </c>
      <c r="K267" s="24"/>
      <c r="L267" s="24">
        <f t="shared" si="8"/>
        <v>498.1041469</v>
      </c>
      <c r="M267" s="14">
        <f t="shared" si="9"/>
        <v>413.4043254</v>
      </c>
      <c r="N267" s="27">
        <f t="shared" si="10"/>
        <v>84.69982147</v>
      </c>
      <c r="O267" s="24"/>
      <c r="P267" s="24"/>
      <c r="Q267" s="24"/>
      <c r="R267" s="26"/>
      <c r="S267" s="9">
        <f t="shared" si="13"/>
        <v>77.7795185</v>
      </c>
      <c r="U267" s="21"/>
      <c r="V267" s="21"/>
    </row>
    <row r="268">
      <c r="A268" s="11">
        <v>256.0</v>
      </c>
      <c r="B268" s="11">
        <v>1.42050869565217E9</v>
      </c>
      <c r="C268" s="2">
        <v>-102.0370102</v>
      </c>
      <c r="D268" s="24">
        <f t="shared" si="1"/>
        <v>108695.6522</v>
      </c>
      <c r="E268" s="25">
        <f t="shared" si="2"/>
        <v>-23.87569944</v>
      </c>
      <c r="F268" s="24">
        <f t="shared" si="3"/>
        <v>0.0002196564348</v>
      </c>
      <c r="G268" s="24">
        <f t="shared" si="4"/>
        <v>0</v>
      </c>
      <c r="H268" s="26">
        <f t="shared" si="5"/>
        <v>0</v>
      </c>
      <c r="I268" s="24">
        <f t="shared" si="6"/>
        <v>0</v>
      </c>
      <c r="J268" s="24">
        <f t="shared" si="7"/>
        <v>0</v>
      </c>
      <c r="K268" s="24"/>
      <c r="L268" s="24">
        <f t="shared" si="8"/>
        <v>475.7788666</v>
      </c>
      <c r="M268" s="14">
        <f t="shared" si="9"/>
        <v>413.3050191</v>
      </c>
      <c r="N268" s="27">
        <f t="shared" si="10"/>
        <v>62.47384745</v>
      </c>
      <c r="O268" s="24"/>
      <c r="P268" s="24"/>
      <c r="Q268" s="24"/>
      <c r="R268" s="26"/>
      <c r="S268" s="9">
        <f t="shared" si="13"/>
        <v>57.36949238</v>
      </c>
      <c r="U268" s="21"/>
      <c r="V268" s="21"/>
    </row>
    <row r="269">
      <c r="A269" s="11">
        <v>257.0</v>
      </c>
      <c r="B269" s="11">
        <v>1.42051304347826E9</v>
      </c>
      <c r="C269" s="2">
        <v>-102.1622543</v>
      </c>
      <c r="D269" s="24">
        <f t="shared" si="1"/>
        <v>113043.4783</v>
      </c>
      <c r="E269" s="25">
        <f t="shared" si="2"/>
        <v>-24.79399557</v>
      </c>
      <c r="F269" s="24">
        <f t="shared" si="3"/>
        <v>0.0002193314992</v>
      </c>
      <c r="G269" s="24">
        <f t="shared" si="4"/>
        <v>0</v>
      </c>
      <c r="H269" s="26">
        <f t="shared" si="5"/>
        <v>0</v>
      </c>
      <c r="I269" s="24">
        <f t="shared" si="6"/>
        <v>0</v>
      </c>
      <c r="J269" s="24">
        <f t="shared" si="7"/>
        <v>0</v>
      </c>
      <c r="K269" s="24"/>
      <c r="L269" s="24">
        <f t="shared" si="8"/>
        <v>462.2540633</v>
      </c>
      <c r="M269" s="14">
        <f t="shared" si="9"/>
        <v>413.205638</v>
      </c>
      <c r="N269" s="27">
        <f t="shared" si="10"/>
        <v>49.04842534</v>
      </c>
      <c r="O269" s="24"/>
      <c r="P269" s="24"/>
      <c r="Q269" s="24"/>
      <c r="R269" s="26"/>
      <c r="S269" s="9">
        <f t="shared" si="13"/>
        <v>45.04097931</v>
      </c>
      <c r="U269" s="21"/>
      <c r="V269" s="21"/>
    </row>
    <row r="270">
      <c r="A270" s="11">
        <v>258.0</v>
      </c>
      <c r="B270" s="11">
        <v>1.42051739130434E9</v>
      </c>
      <c r="C270" s="2">
        <v>-102.2465668</v>
      </c>
      <c r="D270" s="24">
        <f t="shared" si="1"/>
        <v>117391.3043</v>
      </c>
      <c r="E270" s="25">
        <f t="shared" si="2"/>
        <v>-25.7122917</v>
      </c>
      <c r="F270" s="24">
        <f t="shared" si="3"/>
        <v>0.000219030633</v>
      </c>
      <c r="G270" s="24">
        <f t="shared" si="4"/>
        <v>0</v>
      </c>
      <c r="H270" s="26">
        <f t="shared" si="5"/>
        <v>0</v>
      </c>
      <c r="I270" s="24">
        <f t="shared" si="6"/>
        <v>0</v>
      </c>
      <c r="J270" s="24">
        <f t="shared" si="7"/>
        <v>0</v>
      </c>
      <c r="K270" s="24"/>
      <c r="L270" s="24">
        <f t="shared" si="8"/>
        <v>453.3665638</v>
      </c>
      <c r="M270" s="14">
        <f t="shared" si="9"/>
        <v>413.106184</v>
      </c>
      <c r="N270" s="27">
        <f t="shared" si="10"/>
        <v>40.26037984</v>
      </c>
      <c r="O270" s="24"/>
      <c r="P270" s="24"/>
      <c r="Q270" s="24"/>
      <c r="R270" s="26"/>
      <c r="S270" s="9">
        <f t="shared" si="13"/>
        <v>36.97095111</v>
      </c>
      <c r="U270" s="21"/>
      <c r="V270" s="21"/>
    </row>
    <row r="271">
      <c r="A271" s="11">
        <v>259.0</v>
      </c>
      <c r="B271" s="11">
        <v>1.42052173913043E9</v>
      </c>
      <c r="C271" s="2">
        <v>-102.2768326</v>
      </c>
      <c r="D271" s="24">
        <f t="shared" si="1"/>
        <v>121739.1304</v>
      </c>
      <c r="E271" s="25">
        <f t="shared" si="2"/>
        <v>-26.63058783</v>
      </c>
      <c r="F271" s="24">
        <f t="shared" si="3"/>
        <v>0.0002187512572</v>
      </c>
      <c r="G271" s="24">
        <f t="shared" si="4"/>
        <v>0</v>
      </c>
      <c r="H271" s="26">
        <f t="shared" si="5"/>
        <v>0</v>
      </c>
      <c r="I271" s="24">
        <f t="shared" si="6"/>
        <v>0</v>
      </c>
      <c r="J271" s="24">
        <f t="shared" si="7"/>
        <v>0</v>
      </c>
      <c r="K271" s="24"/>
      <c r="L271" s="24">
        <f t="shared" si="8"/>
        <v>450.2180549</v>
      </c>
      <c r="M271" s="14">
        <f t="shared" si="9"/>
        <v>413.0066592</v>
      </c>
      <c r="N271" s="27">
        <f t="shared" si="10"/>
        <v>37.2113957</v>
      </c>
      <c r="O271" s="24"/>
      <c r="P271" s="24"/>
      <c r="Q271" s="24"/>
      <c r="R271" s="26"/>
      <c r="S271" s="9">
        <f t="shared" si="13"/>
        <v>34.17108069</v>
      </c>
      <c r="U271" s="21"/>
      <c r="V271" s="21"/>
    </row>
    <row r="272">
      <c r="A272" s="11">
        <v>260.0</v>
      </c>
      <c r="B272" s="11">
        <v>1.42052608695652E9</v>
      </c>
      <c r="C272" s="2">
        <v>-102.3567505</v>
      </c>
      <c r="D272" s="24">
        <f t="shared" si="1"/>
        <v>126086.9565</v>
      </c>
      <c r="E272" s="25">
        <f t="shared" si="2"/>
        <v>-27.54888396</v>
      </c>
      <c r="F272" s="24">
        <f t="shared" si="3"/>
        <v>0.0002184911487</v>
      </c>
      <c r="G272" s="24">
        <f t="shared" si="4"/>
        <v>0</v>
      </c>
      <c r="H272" s="26">
        <f t="shared" si="5"/>
        <v>0</v>
      </c>
      <c r="I272" s="24">
        <f t="shared" si="6"/>
        <v>0</v>
      </c>
      <c r="J272" s="24">
        <f t="shared" si="7"/>
        <v>0</v>
      </c>
      <c r="K272" s="24"/>
      <c r="L272" s="24">
        <f t="shared" si="8"/>
        <v>442.0090051</v>
      </c>
      <c r="M272" s="14">
        <f t="shared" si="9"/>
        <v>412.9070658</v>
      </c>
      <c r="N272" s="27">
        <f t="shared" si="10"/>
        <v>29.10193933</v>
      </c>
      <c r="O272" s="24"/>
      <c r="P272" s="24"/>
      <c r="Q272" s="24"/>
      <c r="R272" s="26"/>
      <c r="S272" s="9">
        <f t="shared" si="13"/>
        <v>26.72419834</v>
      </c>
      <c r="U272" s="21"/>
      <c r="V272" s="21"/>
    </row>
    <row r="273">
      <c r="A273" s="11">
        <v>261.0</v>
      </c>
      <c r="B273" s="11">
        <v>1.4205304347826E9</v>
      </c>
      <c r="C273" s="2">
        <v>-102.44104</v>
      </c>
      <c r="D273" s="24">
        <f t="shared" si="1"/>
        <v>130434.7826</v>
      </c>
      <c r="E273" s="25">
        <f t="shared" si="2"/>
        <v>-28.4671801</v>
      </c>
      <c r="F273" s="24">
        <f t="shared" si="3"/>
        <v>0.0002182483807</v>
      </c>
      <c r="G273" s="24">
        <f t="shared" si="4"/>
        <v>0</v>
      </c>
      <c r="H273" s="26">
        <f t="shared" si="5"/>
        <v>0</v>
      </c>
      <c r="I273" s="24">
        <f t="shared" si="6"/>
        <v>0</v>
      </c>
      <c r="J273" s="24">
        <f t="shared" si="7"/>
        <v>0</v>
      </c>
      <c r="K273" s="24"/>
      <c r="L273" s="24">
        <f t="shared" si="8"/>
        <v>433.5130419</v>
      </c>
      <c r="M273" s="14">
        <f t="shared" si="9"/>
        <v>412.8074057</v>
      </c>
      <c r="N273" s="27">
        <f t="shared" si="10"/>
        <v>20.70563621</v>
      </c>
      <c r="O273" s="24"/>
      <c r="P273" s="24"/>
      <c r="Q273" s="24"/>
      <c r="R273" s="26"/>
      <c r="S273" s="9">
        <f t="shared" si="13"/>
        <v>19.01390566</v>
      </c>
      <c r="U273" s="21"/>
      <c r="V273" s="21"/>
    </row>
    <row r="274">
      <c r="A274" s="11">
        <v>262.0</v>
      </c>
      <c r="B274" s="11">
        <v>1.42053478260869E9</v>
      </c>
      <c r="C274" s="2">
        <v>-102.4722443</v>
      </c>
      <c r="D274" s="24">
        <f t="shared" si="1"/>
        <v>134782.6087</v>
      </c>
      <c r="E274" s="25">
        <f t="shared" si="2"/>
        <v>-29.38547623</v>
      </c>
      <c r="F274" s="24">
        <f t="shared" si="3"/>
        <v>0.0002180212752</v>
      </c>
      <c r="G274" s="24">
        <f t="shared" si="4"/>
        <v>0</v>
      </c>
      <c r="H274" s="26">
        <f t="shared" si="5"/>
        <v>0</v>
      </c>
      <c r="I274" s="24">
        <f t="shared" si="6"/>
        <v>0</v>
      </c>
      <c r="J274" s="24">
        <f t="shared" si="7"/>
        <v>0</v>
      </c>
      <c r="K274" s="24"/>
      <c r="L274" s="24">
        <f t="shared" si="8"/>
        <v>430.4093899</v>
      </c>
      <c r="M274" s="14">
        <f t="shared" si="9"/>
        <v>412.7076809</v>
      </c>
      <c r="N274" s="27">
        <f t="shared" si="10"/>
        <v>17.70170894</v>
      </c>
      <c r="O274" s="24"/>
      <c r="P274" s="24"/>
      <c r="Q274" s="24"/>
      <c r="R274" s="26"/>
      <c r="S274" s="9">
        <f t="shared" si="13"/>
        <v>16.25541087</v>
      </c>
      <c r="U274" s="21"/>
      <c r="V274" s="21"/>
    </row>
    <row r="275">
      <c r="A275" s="11">
        <v>263.0</v>
      </c>
      <c r="B275" s="11">
        <v>1.42053913043478E9</v>
      </c>
      <c r="C275" s="2">
        <v>-102.5318069</v>
      </c>
      <c r="D275" s="24">
        <f t="shared" si="1"/>
        <v>139130.4348</v>
      </c>
      <c r="E275" s="25">
        <f t="shared" si="2"/>
        <v>-30.30377236</v>
      </c>
      <c r="F275" s="24">
        <f t="shared" si="3"/>
        <v>0.0002178083638</v>
      </c>
      <c r="G275" s="24">
        <f t="shared" si="4"/>
        <v>0</v>
      </c>
      <c r="H275" s="26">
        <f t="shared" si="5"/>
        <v>0</v>
      </c>
      <c r="I275" s="24">
        <f t="shared" si="6"/>
        <v>0</v>
      </c>
      <c r="J275" s="24">
        <f t="shared" si="7"/>
        <v>0</v>
      </c>
      <c r="K275" s="24"/>
      <c r="L275" s="24">
        <f t="shared" si="8"/>
        <v>424.5467077</v>
      </c>
      <c r="M275" s="14">
        <f t="shared" si="9"/>
        <v>412.6078936</v>
      </c>
      <c r="N275" s="27">
        <f t="shared" si="10"/>
        <v>11.93881411</v>
      </c>
      <c r="O275" s="24"/>
      <c r="P275" s="24"/>
      <c r="Q275" s="24"/>
      <c r="R275" s="26"/>
      <c r="S275" s="9">
        <f t="shared" si="13"/>
        <v>10.96336681</v>
      </c>
      <c r="U275" s="21"/>
      <c r="V275" s="21"/>
    </row>
    <row r="276">
      <c r="A276" s="11">
        <v>264.0</v>
      </c>
      <c r="B276" s="11">
        <v>1.42054347826087E9</v>
      </c>
      <c r="C276" s="2">
        <v>-102.4059067</v>
      </c>
      <c r="D276" s="24">
        <f t="shared" si="1"/>
        <v>143478.2609</v>
      </c>
      <c r="E276" s="25">
        <f t="shared" si="2"/>
        <v>-31.22206849</v>
      </c>
      <c r="F276" s="24">
        <f t="shared" si="3"/>
        <v>0.0002176083562</v>
      </c>
      <c r="G276" s="24">
        <f t="shared" si="4"/>
        <v>0</v>
      </c>
      <c r="H276" s="26">
        <f t="shared" si="5"/>
        <v>0</v>
      </c>
      <c r="I276" s="24">
        <f t="shared" si="6"/>
        <v>0</v>
      </c>
      <c r="J276" s="24">
        <f t="shared" si="7"/>
        <v>0</v>
      </c>
      <c r="K276" s="24"/>
      <c r="L276" s="24">
        <f t="shared" si="8"/>
        <v>437.0342739</v>
      </c>
      <c r="M276" s="14">
        <f t="shared" si="9"/>
        <v>412.5080458</v>
      </c>
      <c r="N276" s="27">
        <f t="shared" si="10"/>
        <v>24.52622811</v>
      </c>
      <c r="O276" s="24"/>
      <c r="P276" s="24"/>
      <c r="Q276" s="24"/>
      <c r="R276" s="26"/>
      <c r="S276" s="9">
        <f t="shared" si="13"/>
        <v>22.52234042</v>
      </c>
      <c r="U276" s="21"/>
      <c r="V276" s="21"/>
    </row>
    <row r="277">
      <c r="A277" s="11">
        <v>265.0</v>
      </c>
      <c r="B277" s="11">
        <v>1.42054782608695E9</v>
      </c>
      <c r="C277" s="2">
        <v>-102.4774475</v>
      </c>
      <c r="D277" s="24">
        <f t="shared" si="1"/>
        <v>147826.087</v>
      </c>
      <c r="E277" s="25">
        <f t="shared" si="2"/>
        <v>-32.14036462</v>
      </c>
      <c r="F277" s="24">
        <f t="shared" si="3"/>
        <v>0.0002174201136</v>
      </c>
      <c r="G277" s="24">
        <f t="shared" si="4"/>
        <v>0</v>
      </c>
      <c r="H277" s="26">
        <f t="shared" si="5"/>
        <v>0</v>
      </c>
      <c r="I277" s="24">
        <f t="shared" si="6"/>
        <v>0</v>
      </c>
      <c r="J277" s="24">
        <f t="shared" si="7"/>
        <v>0</v>
      </c>
      <c r="K277" s="24"/>
      <c r="L277" s="24">
        <f t="shared" si="8"/>
        <v>429.8940333</v>
      </c>
      <c r="M277" s="14">
        <f t="shared" si="9"/>
        <v>412.4081396</v>
      </c>
      <c r="N277" s="27">
        <f t="shared" si="10"/>
        <v>17.48589371</v>
      </c>
      <c r="O277" s="24"/>
      <c r="P277" s="24"/>
      <c r="Q277" s="24"/>
      <c r="R277" s="26"/>
      <c r="S277" s="9">
        <f t="shared" si="13"/>
        <v>16.05722857</v>
      </c>
      <c r="U277" s="21"/>
      <c r="V277" s="21"/>
    </row>
    <row r="278">
      <c r="A278" s="11">
        <v>266.0</v>
      </c>
      <c r="B278" s="11">
        <v>1.42055217391304E9</v>
      </c>
      <c r="C278" s="2">
        <v>-102.4583969</v>
      </c>
      <c r="D278" s="24">
        <f t="shared" si="1"/>
        <v>152173.913</v>
      </c>
      <c r="E278" s="25">
        <f t="shared" si="2"/>
        <v>-33.05866076</v>
      </c>
      <c r="F278" s="24">
        <f t="shared" si="3"/>
        <v>0.0002172426278</v>
      </c>
      <c r="G278" s="24">
        <f t="shared" si="4"/>
        <v>0</v>
      </c>
      <c r="H278" s="26">
        <f t="shared" si="5"/>
        <v>0</v>
      </c>
      <c r="I278" s="24">
        <f t="shared" si="6"/>
        <v>0</v>
      </c>
      <c r="J278" s="24">
        <f t="shared" si="7"/>
        <v>0</v>
      </c>
      <c r="K278" s="24"/>
      <c r="L278" s="24">
        <f t="shared" si="8"/>
        <v>431.7839325</v>
      </c>
      <c r="M278" s="14">
        <f t="shared" si="9"/>
        <v>412.3081769</v>
      </c>
      <c r="N278" s="27">
        <f t="shared" si="10"/>
        <v>19.47575556</v>
      </c>
      <c r="O278" s="24"/>
      <c r="P278" s="24"/>
      <c r="Q278" s="24"/>
      <c r="R278" s="26"/>
      <c r="S278" s="9">
        <f t="shared" si="13"/>
        <v>17.88451097</v>
      </c>
      <c r="U278" s="21"/>
      <c r="V278" s="21"/>
    </row>
    <row r="279">
      <c r="A279" s="11">
        <v>267.0</v>
      </c>
      <c r="B279" s="11">
        <v>1.42055652173913E9</v>
      </c>
      <c r="C279" s="2">
        <v>-102.494339</v>
      </c>
      <c r="D279" s="24">
        <f t="shared" si="1"/>
        <v>156521.7391</v>
      </c>
      <c r="E279" s="25">
        <f t="shared" si="2"/>
        <v>-33.97695689</v>
      </c>
      <c r="F279" s="24">
        <f t="shared" si="3"/>
        <v>0.0002170750023</v>
      </c>
      <c r="G279" s="24">
        <f t="shared" si="4"/>
        <v>0</v>
      </c>
      <c r="H279" s="26">
        <f t="shared" si="5"/>
        <v>0</v>
      </c>
      <c r="I279" s="24">
        <f t="shared" si="6"/>
        <v>0</v>
      </c>
      <c r="J279" s="24">
        <f t="shared" si="7"/>
        <v>0</v>
      </c>
      <c r="K279" s="24"/>
      <c r="L279" s="24">
        <f t="shared" si="8"/>
        <v>428.2252459</v>
      </c>
      <c r="M279" s="14">
        <f t="shared" si="9"/>
        <v>412.20816</v>
      </c>
      <c r="N279" s="27">
        <f t="shared" si="10"/>
        <v>16.0170859</v>
      </c>
      <c r="O279" s="24"/>
      <c r="P279" s="24"/>
      <c r="Q279" s="24"/>
      <c r="R279" s="26"/>
      <c r="S279" s="9">
        <f t="shared" si="13"/>
        <v>14.70842804</v>
      </c>
      <c r="U279" s="21"/>
      <c r="V279" s="21"/>
    </row>
    <row r="280">
      <c r="A280" s="11">
        <v>268.0</v>
      </c>
      <c r="B280" s="11">
        <v>1.42056086956521E9</v>
      </c>
      <c r="C280" s="2">
        <v>-102.5018311</v>
      </c>
      <c r="D280" s="24">
        <f t="shared" si="1"/>
        <v>160869.5652</v>
      </c>
      <c r="E280" s="25">
        <f t="shared" si="2"/>
        <v>-34.89525302</v>
      </c>
      <c r="F280" s="24">
        <f t="shared" si="3"/>
        <v>0.0002169164377</v>
      </c>
      <c r="G280" s="24">
        <f t="shared" si="4"/>
        <v>0</v>
      </c>
      <c r="H280" s="26">
        <f t="shared" si="5"/>
        <v>0</v>
      </c>
      <c r="I280" s="24">
        <f t="shared" si="6"/>
        <v>0</v>
      </c>
      <c r="J280" s="24">
        <f t="shared" si="7"/>
        <v>0</v>
      </c>
      <c r="K280" s="24"/>
      <c r="L280" s="24">
        <f t="shared" si="8"/>
        <v>427.4871429</v>
      </c>
      <c r="M280" s="14">
        <f t="shared" si="9"/>
        <v>412.1080907</v>
      </c>
      <c r="N280" s="27">
        <f t="shared" si="10"/>
        <v>15.37905218</v>
      </c>
      <c r="O280" s="24"/>
      <c r="P280" s="24"/>
      <c r="Q280" s="24"/>
      <c r="R280" s="26"/>
      <c r="S280" s="9">
        <f t="shared" si="13"/>
        <v>14.12252414</v>
      </c>
      <c r="U280" s="21"/>
      <c r="V280" s="21"/>
    </row>
    <row r="281">
      <c r="A281" s="11">
        <v>269.0</v>
      </c>
      <c r="B281" s="11">
        <v>1.4205652173913E9</v>
      </c>
      <c r="C281" s="2">
        <v>-102.5036316</v>
      </c>
      <c r="D281" s="24">
        <f t="shared" si="1"/>
        <v>165217.3913</v>
      </c>
      <c r="E281" s="25">
        <f t="shared" si="2"/>
        <v>-35.81354915</v>
      </c>
      <c r="F281" s="24">
        <f t="shared" si="3"/>
        <v>0.0002167662186</v>
      </c>
      <c r="G281" s="24">
        <f t="shared" si="4"/>
        <v>0</v>
      </c>
      <c r="H281" s="26">
        <f t="shared" si="5"/>
        <v>0</v>
      </c>
      <c r="I281" s="24">
        <f t="shared" si="6"/>
        <v>0</v>
      </c>
      <c r="J281" s="24">
        <f t="shared" si="7"/>
        <v>0</v>
      </c>
      <c r="K281" s="24"/>
      <c r="L281" s="24">
        <f t="shared" si="8"/>
        <v>427.3099518</v>
      </c>
      <c r="M281" s="14">
        <f t="shared" si="9"/>
        <v>412.0079712</v>
      </c>
      <c r="N281" s="27">
        <f t="shared" si="10"/>
        <v>15.30198062</v>
      </c>
      <c r="O281" s="24"/>
      <c r="P281" s="24"/>
      <c r="Q281" s="24"/>
      <c r="R281" s="26"/>
      <c r="S281" s="9">
        <f t="shared" si="13"/>
        <v>14.05174959</v>
      </c>
      <c r="U281" s="21"/>
      <c r="V281" s="21"/>
    </row>
    <row r="282">
      <c r="A282" s="11">
        <v>270.0</v>
      </c>
      <c r="B282" s="11">
        <v>1.42056956521739E9</v>
      </c>
      <c r="C282" s="2">
        <v>-102.5552444</v>
      </c>
      <c r="D282" s="24">
        <f t="shared" si="1"/>
        <v>169565.2174</v>
      </c>
      <c r="E282" s="25">
        <f t="shared" si="2"/>
        <v>-36.73184528</v>
      </c>
      <c r="F282" s="24">
        <f t="shared" si="3"/>
        <v>0.000216623703</v>
      </c>
      <c r="G282" s="24">
        <f t="shared" si="4"/>
        <v>0</v>
      </c>
      <c r="H282" s="26">
        <f t="shared" si="5"/>
        <v>0</v>
      </c>
      <c r="I282" s="24">
        <f t="shared" si="6"/>
        <v>0</v>
      </c>
      <c r="J282" s="24">
        <f t="shared" si="7"/>
        <v>0</v>
      </c>
      <c r="K282" s="24"/>
      <c r="L282" s="24">
        <f t="shared" si="8"/>
        <v>422.2617346</v>
      </c>
      <c r="M282" s="14">
        <f t="shared" si="9"/>
        <v>411.9078035</v>
      </c>
      <c r="N282" s="27">
        <f t="shared" si="10"/>
        <v>10.35393112</v>
      </c>
      <c r="O282" s="24"/>
      <c r="P282" s="24"/>
      <c r="Q282" s="24"/>
      <c r="R282" s="26"/>
      <c r="S282" s="9">
        <f t="shared" si="13"/>
        <v>9.507974904</v>
      </c>
      <c r="U282" s="21"/>
      <c r="V282" s="21"/>
    </row>
    <row r="283">
      <c r="A283" s="11">
        <v>271.0</v>
      </c>
      <c r="B283" s="11">
        <v>1.42057391304347E9</v>
      </c>
      <c r="C283" s="2">
        <v>-102.5648575</v>
      </c>
      <c r="D283" s="24">
        <f t="shared" si="1"/>
        <v>173913.0435</v>
      </c>
      <c r="E283" s="25">
        <f t="shared" si="2"/>
        <v>-37.65014142</v>
      </c>
      <c r="F283" s="24">
        <f t="shared" si="3"/>
        <v>0.0002164883132</v>
      </c>
      <c r="G283" s="24">
        <f t="shared" si="4"/>
        <v>0</v>
      </c>
      <c r="H283" s="26">
        <f t="shared" si="5"/>
        <v>0</v>
      </c>
      <c r="I283" s="24">
        <f t="shared" si="6"/>
        <v>0</v>
      </c>
      <c r="J283" s="24">
        <f t="shared" si="7"/>
        <v>0</v>
      </c>
      <c r="K283" s="24"/>
      <c r="L283" s="24">
        <f t="shared" si="8"/>
        <v>421.3280927</v>
      </c>
      <c r="M283" s="14">
        <f t="shared" si="9"/>
        <v>411.8075896</v>
      </c>
      <c r="N283" s="27">
        <f t="shared" si="10"/>
        <v>9.520503099</v>
      </c>
      <c r="O283" s="24"/>
      <c r="P283" s="24"/>
      <c r="Q283" s="24"/>
      <c r="R283" s="26"/>
      <c r="S283" s="9">
        <f t="shared" si="13"/>
        <v>8.742641179</v>
      </c>
      <c r="U283" s="21"/>
      <c r="V283" s="21"/>
    </row>
    <row r="284">
      <c r="A284" s="11">
        <v>272.0</v>
      </c>
      <c r="B284" s="11">
        <v>1.42057826086956E9</v>
      </c>
      <c r="C284" s="2">
        <v>-102.4822006</v>
      </c>
      <c r="D284" s="24">
        <f t="shared" si="1"/>
        <v>178260.8696</v>
      </c>
      <c r="E284" s="25">
        <f t="shared" si="2"/>
        <v>-38.56843755</v>
      </c>
      <c r="F284" s="24">
        <f t="shared" si="3"/>
        <v>0.0002163595277</v>
      </c>
      <c r="G284" s="24">
        <f t="shared" si="4"/>
        <v>0</v>
      </c>
      <c r="H284" s="26">
        <f t="shared" si="5"/>
        <v>0</v>
      </c>
      <c r="I284" s="24">
        <f t="shared" si="6"/>
        <v>0</v>
      </c>
      <c r="J284" s="24">
        <f t="shared" si="7"/>
        <v>0</v>
      </c>
      <c r="K284" s="24"/>
      <c r="L284" s="24">
        <f t="shared" si="8"/>
        <v>429.4237967</v>
      </c>
      <c r="M284" s="14">
        <f t="shared" si="9"/>
        <v>411.7073317</v>
      </c>
      <c r="N284" s="27">
        <f t="shared" si="10"/>
        <v>17.71646498</v>
      </c>
      <c r="O284" s="24"/>
      <c r="P284" s="24"/>
      <c r="Q284" s="24"/>
      <c r="R284" s="26"/>
      <c r="S284" s="9">
        <f t="shared" si="13"/>
        <v>16.26896124</v>
      </c>
      <c r="U284" s="21"/>
      <c r="V284" s="21"/>
    </row>
    <row r="285">
      <c r="A285" s="11">
        <v>273.0</v>
      </c>
      <c r="B285" s="11">
        <v>1.42058260869565E9</v>
      </c>
      <c r="C285" s="2">
        <v>-102.5404053</v>
      </c>
      <c r="D285" s="24">
        <f t="shared" si="1"/>
        <v>182608.6957</v>
      </c>
      <c r="E285" s="25">
        <f t="shared" si="2"/>
        <v>-39.48673368</v>
      </c>
      <c r="F285" s="24">
        <f t="shared" si="3"/>
        <v>0.0002162368749</v>
      </c>
      <c r="G285" s="24">
        <f t="shared" si="4"/>
        <v>0</v>
      </c>
      <c r="H285" s="26">
        <f t="shared" si="5"/>
        <v>0</v>
      </c>
      <c r="I285" s="24">
        <f t="shared" si="6"/>
        <v>0</v>
      </c>
      <c r="J285" s="24">
        <f t="shared" si="7"/>
        <v>0</v>
      </c>
      <c r="K285" s="24"/>
      <c r="L285" s="24">
        <f t="shared" si="8"/>
        <v>423.7069984</v>
      </c>
      <c r="M285" s="14">
        <f t="shared" si="9"/>
        <v>411.6070318</v>
      </c>
      <c r="N285" s="27">
        <f t="shared" si="10"/>
        <v>12.09996665</v>
      </c>
      <c r="O285" s="24"/>
      <c r="P285" s="24"/>
      <c r="Q285" s="24"/>
      <c r="R285" s="26"/>
      <c r="S285" s="9">
        <f t="shared" si="13"/>
        <v>11.11135259</v>
      </c>
      <c r="U285" s="21"/>
      <c r="V285" s="21"/>
    </row>
    <row r="286">
      <c r="A286" s="11">
        <v>274.0</v>
      </c>
      <c r="B286" s="11">
        <v>1.42058695652173E9</v>
      </c>
      <c r="C286" s="2">
        <v>-102.48983</v>
      </c>
      <c r="D286" s="24">
        <f t="shared" si="1"/>
        <v>186956.5217</v>
      </c>
      <c r="E286" s="25">
        <f t="shared" si="2"/>
        <v>-40.40502981</v>
      </c>
      <c r="F286" s="24">
        <f t="shared" si="3"/>
        <v>0.0002161199269</v>
      </c>
      <c r="G286" s="24">
        <f t="shared" si="4"/>
        <v>0</v>
      </c>
      <c r="H286" s="26">
        <f t="shared" si="5"/>
        <v>0</v>
      </c>
      <c r="I286" s="24">
        <f t="shared" si="6"/>
        <v>0</v>
      </c>
      <c r="J286" s="24">
        <f t="shared" si="7"/>
        <v>0</v>
      </c>
      <c r="K286" s="24"/>
      <c r="L286" s="24">
        <f t="shared" si="8"/>
        <v>428.6700754</v>
      </c>
      <c r="M286" s="14">
        <f t="shared" si="9"/>
        <v>411.5066919</v>
      </c>
      <c r="N286" s="27">
        <f t="shared" si="10"/>
        <v>17.16338355</v>
      </c>
      <c r="O286" s="24"/>
      <c r="P286" s="24"/>
      <c r="Q286" s="24"/>
      <c r="R286" s="26"/>
      <c r="S286" s="9">
        <f t="shared" si="13"/>
        <v>15.76106874</v>
      </c>
      <c r="U286" s="21"/>
      <c r="V286" s="21"/>
    </row>
    <row r="287">
      <c r="A287" s="11">
        <v>275.0</v>
      </c>
      <c r="B287" s="11">
        <v>1.42059130434782E9</v>
      </c>
      <c r="C287" s="2">
        <v>-102.5567322</v>
      </c>
      <c r="D287" s="24">
        <f t="shared" si="1"/>
        <v>191304.3478</v>
      </c>
      <c r="E287" s="25">
        <f t="shared" si="2"/>
        <v>-41.32332595</v>
      </c>
      <c r="F287" s="24">
        <f t="shared" si="3"/>
        <v>0.0002160082947</v>
      </c>
      <c r="G287" s="24">
        <f t="shared" si="4"/>
        <v>0</v>
      </c>
      <c r="H287" s="26">
        <f t="shared" si="5"/>
        <v>0</v>
      </c>
      <c r="I287" s="24">
        <f t="shared" si="6"/>
        <v>0</v>
      </c>
      <c r="J287" s="24">
        <f t="shared" si="7"/>
        <v>0</v>
      </c>
      <c r="K287" s="24"/>
      <c r="L287" s="24">
        <f t="shared" si="8"/>
        <v>422.1171015</v>
      </c>
      <c r="M287" s="14">
        <f t="shared" si="9"/>
        <v>411.4063141</v>
      </c>
      <c r="N287" s="27">
        <f t="shared" si="10"/>
        <v>10.71078746</v>
      </c>
      <c r="O287" s="24"/>
      <c r="P287" s="24"/>
      <c r="Q287" s="24"/>
      <c r="R287" s="26"/>
      <c r="S287" s="9">
        <f t="shared" si="13"/>
        <v>9.835674702</v>
      </c>
      <c r="U287" s="21"/>
      <c r="V287" s="21"/>
    </row>
    <row r="288">
      <c r="A288" s="11">
        <v>276.0</v>
      </c>
      <c r="B288" s="11">
        <v>1.42059565217391E9</v>
      </c>
      <c r="C288" s="2">
        <v>-102.5608292</v>
      </c>
      <c r="D288" s="24">
        <f t="shared" si="1"/>
        <v>195652.1739</v>
      </c>
      <c r="E288" s="25">
        <f t="shared" si="2"/>
        <v>-42.24162208</v>
      </c>
      <c r="F288" s="24">
        <f t="shared" si="3"/>
        <v>0.000215901624</v>
      </c>
      <c r="G288" s="24">
        <f t="shared" si="4"/>
        <v>0</v>
      </c>
      <c r="H288" s="26">
        <f t="shared" si="5"/>
        <v>0</v>
      </c>
      <c r="I288" s="24">
        <f t="shared" si="6"/>
        <v>0</v>
      </c>
      <c r="J288" s="24">
        <f t="shared" si="7"/>
        <v>0</v>
      </c>
      <c r="K288" s="24"/>
      <c r="L288" s="24">
        <f t="shared" si="8"/>
        <v>421.7190771</v>
      </c>
      <c r="M288" s="14">
        <f t="shared" si="9"/>
        <v>411.3059004</v>
      </c>
      <c r="N288" s="27">
        <f t="shared" si="10"/>
        <v>10.41317668</v>
      </c>
      <c r="O288" s="24"/>
      <c r="P288" s="24"/>
      <c r="Q288" s="24"/>
      <c r="R288" s="26"/>
      <c r="S288" s="9">
        <f t="shared" si="13"/>
        <v>9.562379858</v>
      </c>
      <c r="U288" s="21"/>
      <c r="V288" s="21"/>
    </row>
    <row r="289">
      <c r="A289" s="11">
        <v>277.0</v>
      </c>
      <c r="B289" s="11">
        <v>1.4206E9</v>
      </c>
      <c r="C289" s="2">
        <v>-102.638504</v>
      </c>
      <c r="D289" s="24">
        <f t="shared" si="1"/>
        <v>200000</v>
      </c>
      <c r="E289" s="25">
        <f t="shared" si="2"/>
        <v>-43.15991821</v>
      </c>
      <c r="F289" s="24">
        <f t="shared" si="3"/>
        <v>0.000215799591</v>
      </c>
      <c r="G289" s="24">
        <f t="shared" si="4"/>
        <v>0</v>
      </c>
      <c r="H289" s="26">
        <f t="shared" si="5"/>
        <v>0</v>
      </c>
      <c r="I289" s="24">
        <f t="shared" si="6"/>
        <v>0</v>
      </c>
      <c r="J289" s="24">
        <f t="shared" si="7"/>
        <v>0</v>
      </c>
      <c r="K289" s="24"/>
      <c r="L289" s="24">
        <f t="shared" si="8"/>
        <v>414.2435619</v>
      </c>
      <c r="M289" s="14">
        <f t="shared" si="9"/>
        <v>411.2054529</v>
      </c>
      <c r="N289" s="27">
        <f t="shared" si="10"/>
        <v>3.038108998</v>
      </c>
      <c r="O289" s="24"/>
      <c r="P289" s="24"/>
      <c r="Q289" s="24"/>
      <c r="R289" s="26"/>
      <c r="S289" s="9">
        <f t="shared" si="13"/>
        <v>2.789883743</v>
      </c>
      <c r="U289" s="21"/>
      <c r="V289" s="21"/>
    </row>
    <row r="290">
      <c r="A290" s="11">
        <v>278.0</v>
      </c>
      <c r="B290" s="11">
        <v>1.42060434782608E9</v>
      </c>
      <c r="C290" s="2">
        <v>-102.5955124</v>
      </c>
      <c r="D290" s="24">
        <f t="shared" si="1"/>
        <v>204347.8261</v>
      </c>
      <c r="E290" s="25">
        <f t="shared" si="2"/>
        <v>-44.07821434</v>
      </c>
      <c r="F290" s="24">
        <f t="shared" si="3"/>
        <v>0.0002157019</v>
      </c>
      <c r="G290" s="24">
        <f t="shared" si="4"/>
        <v>0</v>
      </c>
      <c r="H290" s="26">
        <f t="shared" si="5"/>
        <v>0</v>
      </c>
      <c r="I290" s="24">
        <f t="shared" si="6"/>
        <v>0</v>
      </c>
      <c r="J290" s="24">
        <f t="shared" si="7"/>
        <v>0</v>
      </c>
      <c r="K290" s="24"/>
      <c r="L290" s="24">
        <f t="shared" si="8"/>
        <v>418.364598</v>
      </c>
      <c r="M290" s="14">
        <f t="shared" si="9"/>
        <v>411.1049736</v>
      </c>
      <c r="N290" s="27">
        <f t="shared" si="10"/>
        <v>7.259624347</v>
      </c>
      <c r="O290" s="24"/>
      <c r="P290" s="24"/>
      <c r="Q290" s="24"/>
      <c r="R290" s="26"/>
      <c r="S290" s="9">
        <f t="shared" si="13"/>
        <v>6.666484964</v>
      </c>
      <c r="U290" s="21"/>
      <c r="V290" s="21"/>
    </row>
    <row r="291">
      <c r="A291" s="11">
        <v>279.0</v>
      </c>
      <c r="B291" s="11">
        <v>1.42060869565217E9</v>
      </c>
      <c r="C291" s="2">
        <v>-102.6200867</v>
      </c>
      <c r="D291" s="24">
        <f t="shared" si="1"/>
        <v>208695.6522</v>
      </c>
      <c r="E291" s="25">
        <f t="shared" si="2"/>
        <v>-44.99651047</v>
      </c>
      <c r="F291" s="24">
        <f t="shared" si="3"/>
        <v>0.0002156082794</v>
      </c>
      <c r="G291" s="24">
        <f t="shared" si="4"/>
        <v>0</v>
      </c>
      <c r="H291" s="26">
        <f t="shared" si="5"/>
        <v>0</v>
      </c>
      <c r="I291" s="24">
        <f t="shared" si="6"/>
        <v>0</v>
      </c>
      <c r="J291" s="24">
        <f t="shared" si="7"/>
        <v>0</v>
      </c>
      <c r="K291" s="24"/>
      <c r="L291" s="24">
        <f t="shared" si="8"/>
        <v>416.0039912</v>
      </c>
      <c r="M291" s="14">
        <f t="shared" si="9"/>
        <v>411.0044646</v>
      </c>
      <c r="N291" s="27">
        <f t="shared" si="10"/>
        <v>4.99952661</v>
      </c>
      <c r="O291" s="24"/>
      <c r="P291" s="24"/>
      <c r="Q291" s="24"/>
      <c r="R291" s="26"/>
      <c r="S291" s="9">
        <f t="shared" si="13"/>
        <v>4.591045941</v>
      </c>
      <c r="U291" s="21"/>
      <c r="V291" s="21"/>
    </row>
    <row r="292">
      <c r="A292" s="11">
        <v>280.0</v>
      </c>
      <c r="B292" s="11">
        <v>1.42061304347826E9</v>
      </c>
      <c r="C292" s="2">
        <v>-102.5514297</v>
      </c>
      <c r="D292" s="24">
        <f t="shared" si="1"/>
        <v>213043.4783</v>
      </c>
      <c r="E292" s="25">
        <f t="shared" si="2"/>
        <v>-45.91480661</v>
      </c>
      <c r="F292" s="24">
        <f t="shared" si="3"/>
        <v>0.00021551848</v>
      </c>
      <c r="G292" s="24">
        <f t="shared" si="4"/>
        <v>0</v>
      </c>
      <c r="H292" s="26">
        <f t="shared" si="5"/>
        <v>0</v>
      </c>
      <c r="I292" s="24">
        <f t="shared" si="6"/>
        <v>0</v>
      </c>
      <c r="J292" s="24">
        <f t="shared" si="7"/>
        <v>0</v>
      </c>
      <c r="K292" s="24"/>
      <c r="L292" s="24">
        <f t="shared" si="8"/>
        <v>422.6327984</v>
      </c>
      <c r="M292" s="14">
        <f t="shared" si="9"/>
        <v>410.903928</v>
      </c>
      <c r="N292" s="27">
        <f t="shared" si="10"/>
        <v>11.72887033</v>
      </c>
      <c r="O292" s="24"/>
      <c r="P292" s="24"/>
      <c r="Q292" s="24"/>
      <c r="R292" s="26"/>
      <c r="S292" s="9">
        <f t="shared" si="13"/>
        <v>10.77057627</v>
      </c>
      <c r="U292" s="21"/>
      <c r="V292" s="21"/>
    </row>
    <row r="293">
      <c r="A293" s="11">
        <v>281.0</v>
      </c>
      <c r="B293" s="11">
        <v>1.42061739130434E9</v>
      </c>
      <c r="C293" s="2">
        <v>-102.6334381</v>
      </c>
      <c r="D293" s="24">
        <f t="shared" si="1"/>
        <v>217391.3043</v>
      </c>
      <c r="E293" s="25">
        <f t="shared" si="2"/>
        <v>-46.83310274</v>
      </c>
      <c r="F293" s="24">
        <f t="shared" si="3"/>
        <v>0.0002154322726</v>
      </c>
      <c r="G293" s="24">
        <f t="shared" si="4"/>
        <v>0</v>
      </c>
      <c r="H293" s="26">
        <f t="shared" si="5"/>
        <v>0</v>
      </c>
      <c r="I293" s="24">
        <f t="shared" si="6"/>
        <v>0</v>
      </c>
      <c r="J293" s="24">
        <f t="shared" si="7"/>
        <v>0</v>
      </c>
      <c r="K293" s="24"/>
      <c r="L293" s="24">
        <f t="shared" si="8"/>
        <v>414.7270451</v>
      </c>
      <c r="M293" s="14">
        <f t="shared" si="9"/>
        <v>410.8033658</v>
      </c>
      <c r="N293" s="27">
        <f t="shared" si="10"/>
        <v>3.923679267</v>
      </c>
      <c r="O293" s="24"/>
      <c r="P293" s="24"/>
      <c r="Q293" s="24"/>
      <c r="R293" s="26"/>
      <c r="S293" s="9">
        <f t="shared" si="13"/>
        <v>3.603099497</v>
      </c>
      <c r="U293" s="21"/>
      <c r="V293" s="21"/>
    </row>
    <row r="294">
      <c r="A294" s="11">
        <v>282.0</v>
      </c>
      <c r="B294" s="11">
        <v>1.42062173913043E9</v>
      </c>
      <c r="C294" s="2">
        <v>-102.5340042</v>
      </c>
      <c r="D294" s="24">
        <f t="shared" si="1"/>
        <v>221739.1304</v>
      </c>
      <c r="E294" s="25">
        <f t="shared" si="2"/>
        <v>-47.75139887</v>
      </c>
      <c r="F294" s="24">
        <f t="shared" si="3"/>
        <v>0.0002153494459</v>
      </c>
      <c r="G294" s="24">
        <f t="shared" si="4"/>
        <v>0</v>
      </c>
      <c r="H294" s="26">
        <f t="shared" si="5"/>
        <v>0</v>
      </c>
      <c r="I294" s="24">
        <f t="shared" si="6"/>
        <v>0</v>
      </c>
      <c r="J294" s="24">
        <f t="shared" si="7"/>
        <v>0</v>
      </c>
      <c r="K294" s="24"/>
      <c r="L294" s="24">
        <f t="shared" si="8"/>
        <v>424.3319639</v>
      </c>
      <c r="M294" s="14">
        <f t="shared" si="9"/>
        <v>410.70278</v>
      </c>
      <c r="N294" s="27">
        <f t="shared" si="10"/>
        <v>13.62918389</v>
      </c>
      <c r="O294" s="24"/>
      <c r="P294" s="24"/>
      <c r="Q294" s="24"/>
      <c r="R294" s="26"/>
      <c r="S294" s="9">
        <f t="shared" si="13"/>
        <v>12.51562683</v>
      </c>
      <c r="U294" s="21"/>
      <c r="V294" s="21"/>
    </row>
    <row r="295">
      <c r="A295" s="11">
        <v>283.0</v>
      </c>
      <c r="B295" s="11">
        <v>1.42062608695652E9</v>
      </c>
      <c r="C295" s="2">
        <v>-102.57827</v>
      </c>
      <c r="D295" s="24">
        <f t="shared" si="1"/>
        <v>226086.9565</v>
      </c>
      <c r="E295" s="25">
        <f t="shared" si="2"/>
        <v>-48.669695</v>
      </c>
      <c r="F295" s="24">
        <f t="shared" si="3"/>
        <v>0.0002152698048</v>
      </c>
      <c r="G295" s="24">
        <f t="shared" si="4"/>
        <v>0</v>
      </c>
      <c r="H295" s="26">
        <f t="shared" si="5"/>
        <v>0</v>
      </c>
      <c r="I295" s="24">
        <f t="shared" si="6"/>
        <v>0</v>
      </c>
      <c r="J295" s="24">
        <f t="shared" si="7"/>
        <v>0</v>
      </c>
      <c r="K295" s="24"/>
      <c r="L295" s="24">
        <f t="shared" si="8"/>
        <v>420.0288946</v>
      </c>
      <c r="M295" s="14">
        <f t="shared" si="9"/>
        <v>410.6021728</v>
      </c>
      <c r="N295" s="27">
        <f t="shared" si="10"/>
        <v>9.426721823</v>
      </c>
      <c r="O295" s="24"/>
      <c r="P295" s="24"/>
      <c r="Q295" s="24"/>
      <c r="R295" s="26"/>
      <c r="S295" s="9">
        <f t="shared" si="13"/>
        <v>8.656522195</v>
      </c>
      <c r="U295" s="21"/>
      <c r="V295" s="21"/>
    </row>
    <row r="296">
      <c r="A296" s="11">
        <v>284.0</v>
      </c>
      <c r="B296" s="11">
        <v>1.4206304347826E9</v>
      </c>
      <c r="C296" s="2">
        <v>-102.6480179</v>
      </c>
      <c r="D296" s="24">
        <f t="shared" si="1"/>
        <v>230434.7826</v>
      </c>
      <c r="E296" s="25">
        <f t="shared" si="2"/>
        <v>-49.58799113</v>
      </c>
      <c r="F296" s="24">
        <f t="shared" si="3"/>
        <v>0.0002151931691</v>
      </c>
      <c r="G296" s="24">
        <f t="shared" si="4"/>
        <v>0</v>
      </c>
      <c r="H296" s="26">
        <f t="shared" si="5"/>
        <v>0</v>
      </c>
      <c r="I296" s="24">
        <f t="shared" si="6"/>
        <v>0</v>
      </c>
      <c r="J296" s="24">
        <f t="shared" si="7"/>
        <v>0</v>
      </c>
      <c r="K296" s="24"/>
      <c r="L296" s="24">
        <f t="shared" si="8"/>
        <v>413.3370898</v>
      </c>
      <c r="M296" s="14">
        <f t="shared" si="9"/>
        <v>410.5015461</v>
      </c>
      <c r="N296" s="27">
        <f t="shared" si="10"/>
        <v>2.835543716</v>
      </c>
      <c r="O296" s="24"/>
      <c r="P296" s="24"/>
      <c r="Q296" s="24"/>
      <c r="R296" s="26"/>
      <c r="S296" s="9">
        <f t="shared" si="13"/>
        <v>2.603868828</v>
      </c>
      <c r="U296" s="21"/>
      <c r="V296" s="21"/>
    </row>
    <row r="297">
      <c r="A297" s="11">
        <v>285.0</v>
      </c>
      <c r="B297" s="11">
        <v>1.42063478260869E9</v>
      </c>
      <c r="C297" s="2">
        <v>-102.6692886</v>
      </c>
      <c r="D297" s="24">
        <f t="shared" si="1"/>
        <v>234782.6087</v>
      </c>
      <c r="E297" s="25">
        <f t="shared" si="2"/>
        <v>-50.50628727</v>
      </c>
      <c r="F297" s="24">
        <f t="shared" si="3"/>
        <v>0.0002151193717</v>
      </c>
      <c r="G297" s="24">
        <f t="shared" si="4"/>
        <v>0</v>
      </c>
      <c r="H297" s="26">
        <f t="shared" si="5"/>
        <v>0</v>
      </c>
      <c r="I297" s="24">
        <f t="shared" si="6"/>
        <v>0</v>
      </c>
      <c r="J297" s="24">
        <f t="shared" si="7"/>
        <v>0</v>
      </c>
      <c r="K297" s="24"/>
      <c r="L297" s="24">
        <f t="shared" si="8"/>
        <v>411.3176136</v>
      </c>
      <c r="M297" s="14">
        <f t="shared" si="9"/>
        <v>410.400902</v>
      </c>
      <c r="N297" s="27">
        <f t="shared" si="10"/>
        <v>0.916711564</v>
      </c>
      <c r="O297" s="24"/>
      <c r="P297" s="24"/>
      <c r="Q297" s="24"/>
      <c r="R297" s="26"/>
      <c r="S297" s="9">
        <f t="shared" si="13"/>
        <v>0.8418126841</v>
      </c>
      <c r="U297" s="21"/>
      <c r="V297" s="21"/>
    </row>
    <row r="298">
      <c r="A298" s="11">
        <v>286.0</v>
      </c>
      <c r="B298" s="11">
        <v>1.42063913043478E9</v>
      </c>
      <c r="C298" s="2">
        <v>-102.5838242</v>
      </c>
      <c r="D298" s="24">
        <f t="shared" si="1"/>
        <v>239130.4348</v>
      </c>
      <c r="E298" s="25">
        <f t="shared" si="2"/>
        <v>-51.4245834</v>
      </c>
      <c r="F298" s="24">
        <f t="shared" si="3"/>
        <v>0.0002150482579</v>
      </c>
      <c r="G298" s="24">
        <f t="shared" si="4"/>
        <v>0</v>
      </c>
      <c r="H298" s="26">
        <f t="shared" si="5"/>
        <v>0</v>
      </c>
      <c r="I298" s="24">
        <f t="shared" si="6"/>
        <v>0</v>
      </c>
      <c r="J298" s="24">
        <f t="shared" si="7"/>
        <v>0</v>
      </c>
      <c r="K298" s="24"/>
      <c r="L298" s="24">
        <f t="shared" si="8"/>
        <v>419.4920622</v>
      </c>
      <c r="M298" s="14">
        <f t="shared" si="9"/>
        <v>410.3002426</v>
      </c>
      <c r="N298" s="27">
        <f t="shared" si="10"/>
        <v>9.191819667</v>
      </c>
      <c r="O298" s="24"/>
      <c r="P298" s="24"/>
      <c r="Q298" s="24"/>
      <c r="R298" s="26"/>
      <c r="S298" s="9">
        <f t="shared" si="13"/>
        <v>8.440812434</v>
      </c>
      <c r="U298" s="21"/>
      <c r="V298" s="21"/>
    </row>
    <row r="299">
      <c r="A299" s="11">
        <v>287.0</v>
      </c>
      <c r="B299" s="11">
        <v>1.42064347826087E9</v>
      </c>
      <c r="C299" s="2">
        <v>-102.6068039</v>
      </c>
      <c r="D299" s="24">
        <f t="shared" si="1"/>
        <v>243478.2609</v>
      </c>
      <c r="E299" s="25">
        <f t="shared" si="2"/>
        <v>-52.34287953</v>
      </c>
      <c r="F299" s="24">
        <f t="shared" si="3"/>
        <v>0.0002149796838</v>
      </c>
      <c r="G299" s="24">
        <f t="shared" si="4"/>
        <v>0</v>
      </c>
      <c r="H299" s="26">
        <f t="shared" si="5"/>
        <v>0</v>
      </c>
      <c r="I299" s="24">
        <f t="shared" si="6"/>
        <v>0</v>
      </c>
      <c r="J299" s="24">
        <f t="shared" si="7"/>
        <v>0</v>
      </c>
      <c r="K299" s="24"/>
      <c r="L299" s="24">
        <f t="shared" si="8"/>
        <v>417.2782779</v>
      </c>
      <c r="M299" s="14">
        <f t="shared" si="9"/>
        <v>410.1995699</v>
      </c>
      <c r="N299" s="27">
        <f t="shared" si="10"/>
        <v>7.078708021</v>
      </c>
      <c r="O299" s="24"/>
      <c r="P299" s="24"/>
      <c r="Q299" s="24"/>
      <c r="R299" s="26"/>
      <c r="S299" s="9">
        <f t="shared" si="13"/>
        <v>6.500350201</v>
      </c>
      <c r="U299" s="21"/>
      <c r="V299" s="21"/>
    </row>
    <row r="300">
      <c r="A300" s="11">
        <v>288.0</v>
      </c>
      <c r="B300" s="11">
        <v>1.42064782608695E9</v>
      </c>
      <c r="C300" s="2">
        <v>-102.6029434</v>
      </c>
      <c r="D300" s="24">
        <f t="shared" si="1"/>
        <v>247826.087</v>
      </c>
      <c r="E300" s="25">
        <f t="shared" si="2"/>
        <v>-53.26117566</v>
      </c>
      <c r="F300" s="24">
        <f t="shared" si="3"/>
        <v>0.0002149135158</v>
      </c>
      <c r="G300" s="24">
        <f t="shared" si="4"/>
        <v>0</v>
      </c>
      <c r="H300" s="26">
        <f t="shared" si="5"/>
        <v>0</v>
      </c>
      <c r="I300" s="24">
        <f t="shared" si="6"/>
        <v>0</v>
      </c>
      <c r="J300" s="24">
        <f t="shared" si="7"/>
        <v>0</v>
      </c>
      <c r="K300" s="24"/>
      <c r="L300" s="24">
        <f t="shared" si="8"/>
        <v>417.6493669</v>
      </c>
      <c r="M300" s="14">
        <f t="shared" si="9"/>
        <v>410.0988859</v>
      </c>
      <c r="N300" s="27">
        <f t="shared" si="10"/>
        <v>7.550480934</v>
      </c>
      <c r="O300" s="24"/>
      <c r="P300" s="24"/>
      <c r="Q300" s="24"/>
      <c r="R300" s="26"/>
      <c r="S300" s="9">
        <f t="shared" si="13"/>
        <v>6.933577443</v>
      </c>
      <c r="U300" s="21"/>
      <c r="V300" s="21"/>
    </row>
    <row r="301">
      <c r="A301" s="11">
        <v>289.0</v>
      </c>
      <c r="B301" s="11">
        <v>1.42065217391304E9</v>
      </c>
      <c r="C301" s="2">
        <v>-102.548912</v>
      </c>
      <c r="D301" s="24">
        <f t="shared" si="1"/>
        <v>252173.913</v>
      </c>
      <c r="E301" s="25">
        <f t="shared" si="2"/>
        <v>-54.1794718</v>
      </c>
      <c r="F301" s="24">
        <f t="shared" si="3"/>
        <v>0.0002148496295</v>
      </c>
      <c r="G301" s="24">
        <f t="shared" si="4"/>
        <v>0</v>
      </c>
      <c r="H301" s="26">
        <f t="shared" si="5"/>
        <v>0</v>
      </c>
      <c r="I301" s="24">
        <f t="shared" si="6"/>
        <v>0</v>
      </c>
      <c r="J301" s="24">
        <f t="shared" si="7"/>
        <v>0</v>
      </c>
      <c r="K301" s="24"/>
      <c r="L301" s="24">
        <f t="shared" si="8"/>
        <v>422.8778789</v>
      </c>
      <c r="M301" s="14">
        <f t="shared" si="9"/>
        <v>409.9981928</v>
      </c>
      <c r="N301" s="27">
        <f t="shared" si="10"/>
        <v>12.87968602</v>
      </c>
      <c r="O301" s="24"/>
      <c r="P301" s="24"/>
      <c r="Q301" s="24"/>
      <c r="R301" s="26"/>
      <c r="S301" s="9">
        <f t="shared" si="13"/>
        <v>11.82736584</v>
      </c>
      <c r="U301" s="21"/>
      <c r="V301" s="21"/>
    </row>
    <row r="302">
      <c r="A302" s="11">
        <v>290.0</v>
      </c>
      <c r="B302" s="11">
        <v>1.42065652173913E9</v>
      </c>
      <c r="C302" s="2">
        <v>-102.6318359</v>
      </c>
      <c r="D302" s="24">
        <f t="shared" si="1"/>
        <v>256521.7391</v>
      </c>
      <c r="E302" s="25">
        <f t="shared" si="2"/>
        <v>-55.09776793</v>
      </c>
      <c r="F302" s="24">
        <f t="shared" si="3"/>
        <v>0.0002147879089</v>
      </c>
      <c r="G302" s="24">
        <f t="shared" si="4"/>
        <v>0</v>
      </c>
      <c r="H302" s="26">
        <f t="shared" si="5"/>
        <v>0</v>
      </c>
      <c r="I302" s="24">
        <f t="shared" si="6"/>
        <v>0</v>
      </c>
      <c r="J302" s="24">
        <f t="shared" si="7"/>
        <v>0</v>
      </c>
      <c r="K302" s="24"/>
      <c r="L302" s="24">
        <f t="shared" si="8"/>
        <v>414.8800745</v>
      </c>
      <c r="M302" s="14">
        <f t="shared" si="9"/>
        <v>409.8974926</v>
      </c>
      <c r="N302" s="27">
        <f t="shared" si="10"/>
        <v>4.982581861</v>
      </c>
      <c r="O302" s="24"/>
      <c r="P302" s="24"/>
      <c r="Q302" s="24"/>
      <c r="R302" s="26"/>
      <c r="S302" s="9">
        <f t="shared" si="13"/>
        <v>4.575485654</v>
      </c>
      <c r="U302" s="21"/>
      <c r="V302" s="21"/>
    </row>
    <row r="303">
      <c r="A303" s="11">
        <v>291.0</v>
      </c>
      <c r="B303" s="11">
        <v>1.42066086956521E9</v>
      </c>
      <c r="C303" s="2">
        <v>-102.5677719</v>
      </c>
      <c r="D303" s="24">
        <f t="shared" si="1"/>
        <v>260869.5652</v>
      </c>
      <c r="E303" s="25">
        <f t="shared" si="2"/>
        <v>-56.01606406</v>
      </c>
      <c r="F303" s="24">
        <f t="shared" si="3"/>
        <v>0.0002147282456</v>
      </c>
      <c r="G303" s="24">
        <f t="shared" si="4"/>
        <v>0</v>
      </c>
      <c r="H303" s="26">
        <f t="shared" si="5"/>
        <v>0</v>
      </c>
      <c r="I303" s="24">
        <f t="shared" si="6"/>
        <v>0</v>
      </c>
      <c r="J303" s="24">
        <f t="shared" si="7"/>
        <v>0</v>
      </c>
      <c r="K303" s="24"/>
      <c r="L303" s="24">
        <f t="shared" si="8"/>
        <v>421.0454489</v>
      </c>
      <c r="M303" s="14">
        <f t="shared" si="9"/>
        <v>409.7967873</v>
      </c>
      <c r="N303" s="27">
        <f t="shared" si="10"/>
        <v>11.24866156</v>
      </c>
      <c r="O303" s="24"/>
      <c r="P303" s="24"/>
      <c r="Q303" s="24"/>
      <c r="R303" s="26"/>
      <c r="S303" s="9">
        <f t="shared" si="13"/>
        <v>10.32960241</v>
      </c>
      <c r="U303" s="21"/>
      <c r="V303" s="21"/>
    </row>
    <row r="304">
      <c r="A304" s="11">
        <v>292.0</v>
      </c>
      <c r="B304" s="11">
        <v>1.4206652173913E9</v>
      </c>
      <c r="C304" s="2">
        <v>-102.633049</v>
      </c>
      <c r="D304" s="24">
        <f t="shared" si="1"/>
        <v>265217.3913</v>
      </c>
      <c r="E304" s="25">
        <f t="shared" si="2"/>
        <v>-56.93436019</v>
      </c>
      <c r="F304" s="24">
        <f t="shared" si="3"/>
        <v>0.0002146705384</v>
      </c>
      <c r="G304" s="24">
        <f t="shared" si="4"/>
        <v>0</v>
      </c>
      <c r="H304" s="26">
        <f t="shared" si="5"/>
        <v>0</v>
      </c>
      <c r="I304" s="24">
        <f t="shared" si="6"/>
        <v>0</v>
      </c>
      <c r="J304" s="24">
        <f t="shared" si="7"/>
        <v>0</v>
      </c>
      <c r="K304" s="24"/>
      <c r="L304" s="24">
        <f t="shared" si="8"/>
        <v>414.7642036</v>
      </c>
      <c r="M304" s="14">
        <f t="shared" si="9"/>
        <v>409.696079</v>
      </c>
      <c r="N304" s="27">
        <f t="shared" si="10"/>
        <v>5.068124605</v>
      </c>
      <c r="O304" s="24"/>
      <c r="P304" s="24"/>
      <c r="Q304" s="24"/>
      <c r="R304" s="26"/>
      <c r="S304" s="9">
        <f t="shared" si="13"/>
        <v>4.654039214</v>
      </c>
      <c r="U304" s="21"/>
      <c r="V304" s="21"/>
    </row>
    <row r="305">
      <c r="A305" s="11">
        <v>293.0</v>
      </c>
      <c r="B305" s="11">
        <v>1.42066956521739E9</v>
      </c>
      <c r="C305" s="2">
        <v>-102.6568985</v>
      </c>
      <c r="D305" s="24">
        <f t="shared" si="1"/>
        <v>269565.2174</v>
      </c>
      <c r="E305" s="25">
        <f t="shared" si="2"/>
        <v>-57.85265632</v>
      </c>
      <c r="F305" s="24">
        <f t="shared" si="3"/>
        <v>0.0002146146928</v>
      </c>
      <c r="G305" s="24">
        <f t="shared" si="4"/>
        <v>0</v>
      </c>
      <c r="H305" s="26">
        <f t="shared" si="5"/>
        <v>0</v>
      </c>
      <c r="I305" s="24">
        <f t="shared" si="6"/>
        <v>0</v>
      </c>
      <c r="J305" s="24">
        <f t="shared" si="7"/>
        <v>0</v>
      </c>
      <c r="K305" s="24"/>
      <c r="L305" s="24">
        <f t="shared" si="8"/>
        <v>412.4927477</v>
      </c>
      <c r="M305" s="14">
        <f t="shared" si="9"/>
        <v>409.5953697</v>
      </c>
      <c r="N305" s="27">
        <f t="shared" si="10"/>
        <v>2.897377995</v>
      </c>
      <c r="O305" s="24"/>
      <c r="P305" s="24"/>
      <c r="Q305" s="24"/>
      <c r="R305" s="26"/>
      <c r="S305" s="9">
        <f t="shared" si="13"/>
        <v>2.660651008</v>
      </c>
      <c r="U305" s="21"/>
      <c r="V305" s="21"/>
    </row>
    <row r="306">
      <c r="A306" s="11">
        <v>294.0</v>
      </c>
      <c r="B306" s="11">
        <v>1.42067391304347E9</v>
      </c>
      <c r="C306" s="2">
        <v>-102.6572113</v>
      </c>
      <c r="D306" s="24">
        <f t="shared" si="1"/>
        <v>273913.0435</v>
      </c>
      <c r="E306" s="25">
        <f t="shared" si="2"/>
        <v>-58.77095246</v>
      </c>
      <c r="F306" s="24">
        <f t="shared" si="3"/>
        <v>0.0002145606201</v>
      </c>
      <c r="G306" s="24">
        <f t="shared" si="4"/>
        <v>0</v>
      </c>
      <c r="H306" s="26">
        <f t="shared" si="5"/>
        <v>0</v>
      </c>
      <c r="I306" s="24">
        <f t="shared" si="6"/>
        <v>0</v>
      </c>
      <c r="J306" s="24">
        <f t="shared" si="7"/>
        <v>0</v>
      </c>
      <c r="K306" s="24"/>
      <c r="L306" s="24">
        <f t="shared" si="8"/>
        <v>412.4630391</v>
      </c>
      <c r="M306" s="14">
        <f t="shared" si="9"/>
        <v>409.4946616</v>
      </c>
      <c r="N306" s="27">
        <f t="shared" si="10"/>
        <v>2.968377509</v>
      </c>
      <c r="O306" s="24"/>
      <c r="P306" s="24"/>
      <c r="Q306" s="24"/>
      <c r="R306" s="26"/>
      <c r="S306" s="9">
        <f t="shared" si="13"/>
        <v>2.725849587</v>
      </c>
      <c r="U306" s="21"/>
      <c r="V306" s="21"/>
    </row>
    <row r="307">
      <c r="A307" s="11">
        <v>295.0</v>
      </c>
      <c r="B307" s="11">
        <v>1.42067826086956E9</v>
      </c>
      <c r="C307" s="2">
        <v>-102.612114</v>
      </c>
      <c r="D307" s="24">
        <f t="shared" si="1"/>
        <v>278260.8696</v>
      </c>
      <c r="E307" s="25">
        <f t="shared" si="2"/>
        <v>-59.68924859</v>
      </c>
      <c r="F307" s="24">
        <f t="shared" si="3"/>
        <v>0.0002145082371</v>
      </c>
      <c r="G307" s="24">
        <f t="shared" si="4"/>
        <v>0</v>
      </c>
      <c r="H307" s="26">
        <f t="shared" si="5"/>
        <v>0</v>
      </c>
      <c r="I307" s="24">
        <f t="shared" si="6"/>
        <v>0</v>
      </c>
      <c r="J307" s="24">
        <f t="shared" si="7"/>
        <v>0</v>
      </c>
      <c r="K307" s="24"/>
      <c r="L307" s="24">
        <f t="shared" si="8"/>
        <v>416.7683853</v>
      </c>
      <c r="M307" s="14">
        <f t="shared" si="9"/>
        <v>409.3939565</v>
      </c>
      <c r="N307" s="27">
        <f t="shared" si="10"/>
        <v>7.374428781</v>
      </c>
      <c r="O307" s="24"/>
      <c r="P307" s="24"/>
      <c r="Q307" s="24"/>
      <c r="R307" s="26"/>
      <c r="S307" s="9">
        <f t="shared" si="13"/>
        <v>6.771909415</v>
      </c>
      <c r="U307" s="21"/>
      <c r="V307" s="21"/>
    </row>
    <row r="308">
      <c r="A308" s="11">
        <v>296.0</v>
      </c>
      <c r="B308" s="11">
        <v>1.42068260869565E9</v>
      </c>
      <c r="C308" s="2">
        <v>-102.6107483</v>
      </c>
      <c r="D308" s="24">
        <f t="shared" si="1"/>
        <v>282608.6957</v>
      </c>
      <c r="E308" s="25">
        <f t="shared" si="2"/>
        <v>-60.60754472</v>
      </c>
      <c r="F308" s="24">
        <f t="shared" si="3"/>
        <v>0.0002144574659</v>
      </c>
      <c r="G308" s="24">
        <f t="shared" si="4"/>
        <v>0</v>
      </c>
      <c r="H308" s="26">
        <f t="shared" si="5"/>
        <v>0</v>
      </c>
      <c r="I308" s="24">
        <f t="shared" si="6"/>
        <v>0</v>
      </c>
      <c r="J308" s="24">
        <f t="shared" si="7"/>
        <v>0</v>
      </c>
      <c r="K308" s="24"/>
      <c r="L308" s="24">
        <f t="shared" si="8"/>
        <v>416.8994646</v>
      </c>
      <c r="M308" s="14">
        <f t="shared" si="9"/>
        <v>409.2932567</v>
      </c>
      <c r="N308" s="27">
        <f t="shared" si="10"/>
        <v>7.606207898</v>
      </c>
      <c r="O308" s="24"/>
      <c r="P308" s="24"/>
      <c r="Q308" s="24"/>
      <c r="R308" s="26"/>
      <c r="S308" s="9">
        <f t="shared" si="13"/>
        <v>6.984751298</v>
      </c>
      <c r="U308" s="21"/>
      <c r="V308" s="21"/>
    </row>
    <row r="309">
      <c r="A309" s="11">
        <v>297.0</v>
      </c>
      <c r="B309" s="11">
        <v>1.42068695652173E9</v>
      </c>
      <c r="C309" s="2">
        <v>-102.6549835</v>
      </c>
      <c r="D309" s="24">
        <f t="shared" si="1"/>
        <v>286956.5217</v>
      </c>
      <c r="E309" s="25">
        <f t="shared" si="2"/>
        <v>-61.52584085</v>
      </c>
      <c r="F309" s="24">
        <f t="shared" si="3"/>
        <v>0.0002144082333</v>
      </c>
      <c r="G309" s="24">
        <f t="shared" si="4"/>
        <v>0</v>
      </c>
      <c r="H309" s="26">
        <f t="shared" si="5"/>
        <v>0</v>
      </c>
      <c r="I309" s="24">
        <f t="shared" si="6"/>
        <v>0</v>
      </c>
      <c r="J309" s="24">
        <f t="shared" si="7"/>
        <v>0</v>
      </c>
      <c r="K309" s="24"/>
      <c r="L309" s="24">
        <f t="shared" si="8"/>
        <v>412.6746745</v>
      </c>
      <c r="M309" s="14">
        <f t="shared" si="9"/>
        <v>409.1925641</v>
      </c>
      <c r="N309" s="27">
        <f t="shared" si="10"/>
        <v>3.482110364</v>
      </c>
      <c r="O309" s="24"/>
      <c r="P309" s="24"/>
      <c r="Q309" s="24"/>
      <c r="R309" s="26"/>
      <c r="S309" s="9">
        <f t="shared" si="13"/>
        <v>3.197608481</v>
      </c>
      <c r="U309" s="21"/>
      <c r="V309" s="21"/>
    </row>
    <row r="310">
      <c r="A310" s="11">
        <v>298.0</v>
      </c>
      <c r="B310" s="11">
        <v>1.42069130434782E9</v>
      </c>
      <c r="C310" s="2">
        <v>-102.6478195</v>
      </c>
      <c r="D310" s="24">
        <f t="shared" si="1"/>
        <v>291304.3478</v>
      </c>
      <c r="E310" s="25">
        <f t="shared" si="2"/>
        <v>-62.44413698</v>
      </c>
      <c r="F310" s="24">
        <f t="shared" si="3"/>
        <v>0.0002143604703</v>
      </c>
      <c r="G310" s="24">
        <f t="shared" si="4"/>
        <v>0</v>
      </c>
      <c r="H310" s="26">
        <f t="shared" si="5"/>
        <v>0</v>
      </c>
      <c r="I310" s="24">
        <f t="shared" si="6"/>
        <v>0</v>
      </c>
      <c r="J310" s="24">
        <f t="shared" si="7"/>
        <v>0</v>
      </c>
      <c r="K310" s="24"/>
      <c r="L310" s="24">
        <f t="shared" si="8"/>
        <v>413.3559728</v>
      </c>
      <c r="M310" s="14">
        <f t="shared" si="9"/>
        <v>409.0918808</v>
      </c>
      <c r="N310" s="27">
        <f t="shared" si="10"/>
        <v>4.264091987</v>
      </c>
      <c r="O310" s="24"/>
      <c r="P310" s="24"/>
      <c r="Q310" s="24"/>
      <c r="R310" s="26"/>
      <c r="S310" s="9">
        <f t="shared" si="13"/>
        <v>3.915699181</v>
      </c>
      <c r="U310" s="21"/>
      <c r="V310" s="21"/>
    </row>
    <row r="311">
      <c r="A311" s="11">
        <v>299.0</v>
      </c>
      <c r="B311" s="11">
        <v>1.42069565217391E9</v>
      </c>
      <c r="C311" s="2">
        <v>-102.7043457</v>
      </c>
      <c r="D311" s="24">
        <f t="shared" si="1"/>
        <v>295652.1739</v>
      </c>
      <c r="E311" s="25">
        <f t="shared" si="2"/>
        <v>-63.36243312</v>
      </c>
      <c r="F311" s="24">
        <f t="shared" si="3"/>
        <v>0.000214314112</v>
      </c>
      <c r="G311" s="24">
        <f t="shared" si="4"/>
        <v>0</v>
      </c>
      <c r="H311" s="26">
        <f t="shared" si="5"/>
        <v>0</v>
      </c>
      <c r="I311" s="24">
        <f t="shared" si="6"/>
        <v>0</v>
      </c>
      <c r="J311" s="24">
        <f t="shared" si="7"/>
        <v>0</v>
      </c>
      <c r="K311" s="24"/>
      <c r="L311" s="24">
        <f t="shared" si="8"/>
        <v>408.0107421</v>
      </c>
      <c r="M311" s="14">
        <f t="shared" si="9"/>
        <v>408.9912089</v>
      </c>
      <c r="N311" s="27">
        <f t="shared" si="10"/>
        <v>-0.9804667695</v>
      </c>
      <c r="O311" s="24"/>
      <c r="P311" s="24"/>
      <c r="Q311" s="24"/>
      <c r="R311" s="26"/>
      <c r="S311" s="9">
        <f t="shared" si="13"/>
        <v>-0.9003588407</v>
      </c>
      <c r="U311" s="21"/>
      <c r="V311" s="21"/>
    </row>
    <row r="312">
      <c r="A312" s="11">
        <v>300.0</v>
      </c>
      <c r="B312" s="11">
        <v>1.4207E9</v>
      </c>
      <c r="C312" s="2">
        <v>-102.6886826</v>
      </c>
      <c r="D312" s="24">
        <f t="shared" si="1"/>
        <v>300000</v>
      </c>
      <c r="E312" s="25">
        <f t="shared" si="2"/>
        <v>-64.28072925</v>
      </c>
      <c r="F312" s="24">
        <f t="shared" si="3"/>
        <v>0.0002142690975</v>
      </c>
      <c r="G312" s="24">
        <f t="shared" si="4"/>
        <v>0</v>
      </c>
      <c r="H312" s="26">
        <f t="shared" si="5"/>
        <v>0</v>
      </c>
      <c r="I312" s="24">
        <f t="shared" si="6"/>
        <v>0</v>
      </c>
      <c r="J312" s="24">
        <f t="shared" si="7"/>
        <v>0</v>
      </c>
      <c r="K312" s="24"/>
      <c r="L312" s="24">
        <f t="shared" si="8"/>
        <v>409.484915</v>
      </c>
      <c r="M312" s="14">
        <f t="shared" si="9"/>
        <v>408.8905504</v>
      </c>
      <c r="N312" s="27">
        <f t="shared" si="10"/>
        <v>0.5943645539</v>
      </c>
      <c r="O312" s="24"/>
      <c r="P312" s="24"/>
      <c r="Q312" s="24"/>
      <c r="R312" s="26"/>
      <c r="S312" s="9">
        <f t="shared" si="13"/>
        <v>0.5458026713</v>
      </c>
      <c r="U312" s="21"/>
      <c r="V312" s="21"/>
    </row>
    <row r="313">
      <c r="A313" s="11">
        <v>301.0</v>
      </c>
      <c r="B313" s="11">
        <v>1.42070434782608E9</v>
      </c>
      <c r="C313" s="2">
        <v>-102.6818924</v>
      </c>
      <c r="D313" s="24">
        <f t="shared" si="1"/>
        <v>304347.8261</v>
      </c>
      <c r="E313" s="25">
        <f t="shared" si="2"/>
        <v>-65.19902538</v>
      </c>
      <c r="F313" s="24">
        <f t="shared" si="3"/>
        <v>0.0002142253691</v>
      </c>
      <c r="G313" s="24">
        <f t="shared" si="4"/>
        <v>0</v>
      </c>
      <c r="H313" s="26">
        <f t="shared" si="5"/>
        <v>0</v>
      </c>
      <c r="I313" s="24">
        <f t="shared" si="6"/>
        <v>0</v>
      </c>
      <c r="J313" s="24">
        <f t="shared" si="7"/>
        <v>0</v>
      </c>
      <c r="K313" s="24"/>
      <c r="L313" s="24">
        <f t="shared" si="8"/>
        <v>410.1256459</v>
      </c>
      <c r="M313" s="14">
        <f t="shared" si="9"/>
        <v>408.7899073</v>
      </c>
      <c r="N313" s="27">
        <f t="shared" si="10"/>
        <v>1.335738573</v>
      </c>
      <c r="O313" s="24"/>
      <c r="P313" s="24"/>
      <c r="Q313" s="24"/>
      <c r="R313" s="26"/>
      <c r="S313" s="9">
        <f t="shared" si="13"/>
        <v>1.226603566</v>
      </c>
      <c r="U313" s="21"/>
      <c r="V313" s="21"/>
    </row>
    <row r="314">
      <c r="A314" s="11">
        <v>302.0</v>
      </c>
      <c r="B314" s="11">
        <v>1.42070869565217E9</v>
      </c>
      <c r="C314" s="2">
        <v>-102.7198944</v>
      </c>
      <c r="D314" s="24">
        <f t="shared" si="1"/>
        <v>308695.6522</v>
      </c>
      <c r="E314" s="25">
        <f t="shared" si="2"/>
        <v>-66.11732151</v>
      </c>
      <c r="F314" s="24">
        <f t="shared" si="3"/>
        <v>0.0002141828725</v>
      </c>
      <c r="G314" s="24">
        <f t="shared" si="4"/>
        <v>0</v>
      </c>
      <c r="H314" s="26">
        <f t="shared" si="5"/>
        <v>0</v>
      </c>
      <c r="I314" s="24">
        <f t="shared" si="6"/>
        <v>0</v>
      </c>
      <c r="J314" s="24">
        <f t="shared" si="7"/>
        <v>0</v>
      </c>
      <c r="K314" s="24"/>
      <c r="L314" s="24">
        <f t="shared" si="8"/>
        <v>406.5525855</v>
      </c>
      <c r="M314" s="14">
        <f t="shared" si="9"/>
        <v>408.6892818</v>
      </c>
      <c r="N314" s="27">
        <f t="shared" si="10"/>
        <v>-2.136696275</v>
      </c>
      <c r="O314" s="24"/>
      <c r="P314" s="24"/>
      <c r="Q314" s="24"/>
      <c r="R314" s="26"/>
      <c r="S314" s="9">
        <f t="shared" si="13"/>
        <v>-1.962119922</v>
      </c>
      <c r="U314" s="21"/>
      <c r="V314" s="21"/>
    </row>
    <row r="315">
      <c r="A315" s="11">
        <v>303.0</v>
      </c>
      <c r="B315" s="11">
        <v>1.42071304347826E9</v>
      </c>
      <c r="C315" s="2">
        <v>-102.7198181</v>
      </c>
      <c r="D315" s="24">
        <f t="shared" si="1"/>
        <v>313043.4783</v>
      </c>
      <c r="E315" s="25">
        <f t="shared" si="2"/>
        <v>-67.03561764</v>
      </c>
      <c r="F315" s="24">
        <f t="shared" si="3"/>
        <v>0.0002141415564</v>
      </c>
      <c r="G315" s="24">
        <f t="shared" si="4"/>
        <v>0</v>
      </c>
      <c r="H315" s="26">
        <f t="shared" si="5"/>
        <v>0</v>
      </c>
      <c r="I315" s="24">
        <f t="shared" si="6"/>
        <v>0</v>
      </c>
      <c r="J315" s="24">
        <f t="shared" si="7"/>
        <v>0</v>
      </c>
      <c r="K315" s="24"/>
      <c r="L315" s="24">
        <f t="shared" si="8"/>
        <v>406.5597282</v>
      </c>
      <c r="M315" s="14">
        <f t="shared" si="9"/>
        <v>408.5886759</v>
      </c>
      <c r="N315" s="27">
        <f t="shared" si="10"/>
        <v>-2.02894764</v>
      </c>
      <c r="O315" s="24"/>
      <c r="P315" s="24"/>
      <c r="Q315" s="24"/>
      <c r="R315" s="26"/>
      <c r="S315" s="9">
        <f t="shared" si="13"/>
        <v>-1.863174772</v>
      </c>
      <c r="U315" s="21"/>
      <c r="V315" s="21"/>
    </row>
    <row r="316">
      <c r="A316" s="11">
        <v>304.0</v>
      </c>
      <c r="B316" s="11">
        <v>1.42071739130434E9</v>
      </c>
      <c r="C316" s="2">
        <v>-102.6453552</v>
      </c>
      <c r="D316" s="24">
        <f t="shared" si="1"/>
        <v>317391.3043</v>
      </c>
      <c r="E316" s="25">
        <f t="shared" si="2"/>
        <v>-67.95391378</v>
      </c>
      <c r="F316" s="24">
        <f t="shared" si="3"/>
        <v>0.0002141013722</v>
      </c>
      <c r="G316" s="24">
        <f t="shared" si="4"/>
        <v>0</v>
      </c>
      <c r="H316" s="26">
        <f t="shared" si="5"/>
        <v>0</v>
      </c>
      <c r="I316" s="24">
        <f t="shared" si="6"/>
        <v>0</v>
      </c>
      <c r="J316" s="24">
        <f t="shared" si="7"/>
        <v>0</v>
      </c>
      <c r="K316" s="24"/>
      <c r="L316" s="24">
        <f t="shared" si="8"/>
        <v>413.5905883</v>
      </c>
      <c r="M316" s="14">
        <f t="shared" si="9"/>
        <v>408.4880915</v>
      </c>
      <c r="N316" s="27">
        <f t="shared" si="10"/>
        <v>5.102496804</v>
      </c>
      <c r="O316" s="24"/>
      <c r="P316" s="24"/>
      <c r="Q316" s="24"/>
      <c r="R316" s="26"/>
      <c r="S316" s="9">
        <f t="shared" si="13"/>
        <v>4.685603083</v>
      </c>
      <c r="U316" s="21"/>
      <c r="V316" s="21"/>
    </row>
    <row r="317">
      <c r="A317" s="11">
        <v>305.0</v>
      </c>
      <c r="B317" s="11">
        <v>1.42072173913043E9</v>
      </c>
      <c r="C317" s="2">
        <v>-102.6212158</v>
      </c>
      <c r="D317" s="24">
        <f t="shared" si="1"/>
        <v>321739.1304</v>
      </c>
      <c r="E317" s="25">
        <f t="shared" si="2"/>
        <v>-68.87220991</v>
      </c>
      <c r="F317" s="24">
        <f t="shared" si="3"/>
        <v>0.000214062274</v>
      </c>
      <c r="G317" s="24">
        <f t="shared" si="4"/>
        <v>0</v>
      </c>
      <c r="H317" s="26">
        <f t="shared" si="5"/>
        <v>0</v>
      </c>
      <c r="I317" s="24">
        <f t="shared" si="6"/>
        <v>0</v>
      </c>
      <c r="J317" s="24">
        <f t="shared" si="7"/>
        <v>0</v>
      </c>
      <c r="K317" s="24"/>
      <c r="L317" s="24">
        <f t="shared" si="8"/>
        <v>415.8958506</v>
      </c>
      <c r="M317" s="14">
        <f t="shared" si="9"/>
        <v>408.3875309</v>
      </c>
      <c r="N317" s="27">
        <f t="shared" si="10"/>
        <v>7.508319706</v>
      </c>
      <c r="O317" s="24"/>
      <c r="P317" s="24"/>
      <c r="Q317" s="24"/>
      <c r="R317" s="26"/>
      <c r="S317" s="9">
        <f t="shared" si="13"/>
        <v>6.894860933</v>
      </c>
      <c r="U317" s="21"/>
      <c r="V317" s="21"/>
    </row>
    <row r="318">
      <c r="A318" s="11">
        <v>306.0</v>
      </c>
      <c r="B318" s="11">
        <v>1.42072608695652E9</v>
      </c>
      <c r="C318" s="2">
        <v>-102.66436</v>
      </c>
      <c r="D318" s="24">
        <f t="shared" si="1"/>
        <v>326086.9565</v>
      </c>
      <c r="E318" s="25">
        <f t="shared" si="2"/>
        <v>-69.79050604</v>
      </c>
      <c r="F318" s="24">
        <f t="shared" si="3"/>
        <v>0.0002140242185</v>
      </c>
      <c r="G318" s="24">
        <f t="shared" si="4"/>
        <v>0</v>
      </c>
      <c r="H318" s="26">
        <f t="shared" si="5"/>
        <v>0</v>
      </c>
      <c r="I318" s="24">
        <f t="shared" si="6"/>
        <v>0</v>
      </c>
      <c r="J318" s="24">
        <f t="shared" si="7"/>
        <v>0</v>
      </c>
      <c r="K318" s="24"/>
      <c r="L318" s="24">
        <f t="shared" si="8"/>
        <v>411.7846632</v>
      </c>
      <c r="M318" s="14">
        <f t="shared" si="9"/>
        <v>408.2869959</v>
      </c>
      <c r="N318" s="27">
        <f t="shared" si="10"/>
        <v>3.49766725</v>
      </c>
      <c r="O318" s="24"/>
      <c r="P318" s="24"/>
      <c r="Q318" s="24"/>
      <c r="R318" s="26"/>
      <c r="S318" s="9">
        <f t="shared" si="13"/>
        <v>3.211894309</v>
      </c>
      <c r="U318" s="21"/>
      <c r="V318" s="21"/>
    </row>
    <row r="319">
      <c r="A319" s="11">
        <v>307.0</v>
      </c>
      <c r="B319" s="11">
        <v>1.4207304347826E9</v>
      </c>
      <c r="C319" s="2">
        <v>-102.6608658</v>
      </c>
      <c r="D319" s="24">
        <f t="shared" si="1"/>
        <v>330434.7826</v>
      </c>
      <c r="E319" s="25">
        <f t="shared" si="2"/>
        <v>-70.70880217</v>
      </c>
      <c r="F319" s="24">
        <f t="shared" si="3"/>
        <v>0.0002139871645</v>
      </c>
      <c r="G319" s="24">
        <f t="shared" si="4"/>
        <v>0</v>
      </c>
      <c r="H319" s="26">
        <f t="shared" si="5"/>
        <v>0</v>
      </c>
      <c r="I319" s="24">
        <f t="shared" si="6"/>
        <v>0</v>
      </c>
      <c r="J319" s="24">
        <f t="shared" si="7"/>
        <v>0</v>
      </c>
      <c r="K319" s="24"/>
      <c r="L319" s="24">
        <f t="shared" si="8"/>
        <v>412.1161058</v>
      </c>
      <c r="M319" s="14">
        <f t="shared" si="9"/>
        <v>408.1864888</v>
      </c>
      <c r="N319" s="27">
        <f t="shared" si="10"/>
        <v>3.929617008</v>
      </c>
      <c r="O319" s="24"/>
      <c r="P319" s="24"/>
      <c r="Q319" s="24"/>
      <c r="R319" s="26"/>
      <c r="S319" s="9">
        <f t="shared" si="13"/>
        <v>3.608552102</v>
      </c>
      <c r="U319" s="21"/>
      <c r="V319" s="21"/>
    </row>
    <row r="320">
      <c r="A320" s="11">
        <v>308.0</v>
      </c>
      <c r="B320" s="11">
        <v>1.42073478260869E9</v>
      </c>
      <c r="C320" s="2">
        <v>-102.6748123</v>
      </c>
      <c r="D320" s="24">
        <f t="shared" si="1"/>
        <v>334782.6087</v>
      </c>
      <c r="E320" s="25">
        <f t="shared" si="2"/>
        <v>-71.62709831</v>
      </c>
      <c r="F320" s="24">
        <f t="shared" si="3"/>
        <v>0.0002139510729</v>
      </c>
      <c r="G320" s="24">
        <f t="shared" si="4"/>
        <v>0</v>
      </c>
      <c r="H320" s="26">
        <f t="shared" si="5"/>
        <v>0</v>
      </c>
      <c r="I320" s="24">
        <f t="shared" si="6"/>
        <v>0</v>
      </c>
      <c r="J320" s="24">
        <f t="shared" si="7"/>
        <v>0</v>
      </c>
      <c r="K320" s="24"/>
      <c r="L320" s="24">
        <f t="shared" si="8"/>
        <v>410.7947999</v>
      </c>
      <c r="M320" s="14">
        <f t="shared" si="9"/>
        <v>408.0860115</v>
      </c>
      <c r="N320" s="27">
        <f t="shared" si="10"/>
        <v>2.708788439</v>
      </c>
      <c r="O320" s="24"/>
      <c r="P320" s="24"/>
      <c r="Q320" s="24"/>
      <c r="R320" s="26"/>
      <c r="S320" s="9">
        <f t="shared" si="13"/>
        <v>2.487469948</v>
      </c>
      <c r="U320" s="21"/>
      <c r="V320" s="21"/>
    </row>
    <row r="321">
      <c r="A321" s="11">
        <v>309.0</v>
      </c>
      <c r="B321" s="11">
        <v>1.42073913043478E9</v>
      </c>
      <c r="C321" s="2">
        <v>-102.6968918</v>
      </c>
      <c r="D321" s="24">
        <f t="shared" si="1"/>
        <v>339130.4348</v>
      </c>
      <c r="E321" s="25">
        <f t="shared" si="2"/>
        <v>-72.54539444</v>
      </c>
      <c r="F321" s="24">
        <f t="shared" si="3"/>
        <v>0.0002139159067</v>
      </c>
      <c r="G321" s="24">
        <f t="shared" si="4"/>
        <v>0</v>
      </c>
      <c r="H321" s="26">
        <f t="shared" si="5"/>
        <v>0</v>
      </c>
      <c r="I321" s="24">
        <f t="shared" si="6"/>
        <v>0</v>
      </c>
      <c r="J321" s="24">
        <f t="shared" si="7"/>
        <v>0</v>
      </c>
      <c r="K321" s="24"/>
      <c r="L321" s="24">
        <f t="shared" si="8"/>
        <v>408.711622</v>
      </c>
      <c r="M321" s="14">
        <f t="shared" si="9"/>
        <v>407.985566</v>
      </c>
      <c r="N321" s="27">
        <f t="shared" si="10"/>
        <v>0.7260559957</v>
      </c>
      <c r="O321" s="24"/>
      <c r="P321" s="24"/>
      <c r="Q321" s="24"/>
      <c r="R321" s="26"/>
      <c r="S321" s="9">
        <f t="shared" si="13"/>
        <v>0.6667344115</v>
      </c>
      <c r="U321" s="21"/>
      <c r="V321" s="21"/>
    </row>
    <row r="322">
      <c r="A322" s="11">
        <v>310.0</v>
      </c>
      <c r="B322" s="11">
        <v>1.42074347826087E9</v>
      </c>
      <c r="C322" s="2">
        <v>-102.6416016</v>
      </c>
      <c r="D322" s="24">
        <f t="shared" si="1"/>
        <v>343478.2609</v>
      </c>
      <c r="E322" s="25">
        <f t="shared" si="2"/>
        <v>-73.46369057</v>
      </c>
      <c r="F322" s="24">
        <f t="shared" si="3"/>
        <v>0.0002138816308</v>
      </c>
      <c r="G322" s="24">
        <f t="shared" si="4"/>
        <v>0</v>
      </c>
      <c r="H322" s="26">
        <f t="shared" si="5"/>
        <v>0</v>
      </c>
      <c r="I322" s="24">
        <f t="shared" si="6"/>
        <v>0</v>
      </c>
      <c r="J322" s="24">
        <f t="shared" si="7"/>
        <v>0</v>
      </c>
      <c r="K322" s="24"/>
      <c r="L322" s="24">
        <f t="shared" si="8"/>
        <v>413.9482085</v>
      </c>
      <c r="M322" s="14">
        <f t="shared" si="9"/>
        <v>407.8851545</v>
      </c>
      <c r="N322" s="27">
        <f t="shared" si="10"/>
        <v>6.063053957</v>
      </c>
      <c r="O322" s="24"/>
      <c r="P322" s="24"/>
      <c r="Q322" s="24"/>
      <c r="R322" s="26"/>
      <c r="S322" s="9">
        <f t="shared" si="13"/>
        <v>5.567679001</v>
      </c>
      <c r="U322" s="21"/>
      <c r="V322" s="21"/>
    </row>
    <row r="323">
      <c r="A323" s="11">
        <v>311.0</v>
      </c>
      <c r="B323" s="11">
        <v>1.42074782608695E9</v>
      </c>
      <c r="C323" s="2">
        <v>-102.6955338</v>
      </c>
      <c r="D323" s="24">
        <f t="shared" si="1"/>
        <v>347826.087</v>
      </c>
      <c r="E323" s="25">
        <f t="shared" si="2"/>
        <v>-74.3819867</v>
      </c>
      <c r="F323" s="24">
        <f t="shared" si="3"/>
        <v>0.0002138482118</v>
      </c>
      <c r="G323" s="24">
        <f t="shared" si="4"/>
        <v>0</v>
      </c>
      <c r="H323" s="26">
        <f t="shared" si="5"/>
        <v>0</v>
      </c>
      <c r="I323" s="24">
        <f t="shared" si="6"/>
        <v>0</v>
      </c>
      <c r="J323" s="24">
        <f t="shared" si="7"/>
        <v>0</v>
      </c>
      <c r="K323" s="24"/>
      <c r="L323" s="24">
        <f t="shared" si="8"/>
        <v>408.8394425</v>
      </c>
      <c r="M323" s="14">
        <f t="shared" si="9"/>
        <v>407.7847791</v>
      </c>
      <c r="N323" s="27">
        <f t="shared" si="10"/>
        <v>1.054663419</v>
      </c>
      <c r="O323" s="24"/>
      <c r="P323" s="24"/>
      <c r="Q323" s="24"/>
      <c r="R323" s="26"/>
      <c r="S323" s="9">
        <f t="shared" si="13"/>
        <v>0.9684933394</v>
      </c>
      <c r="U323" s="21"/>
      <c r="V323" s="21"/>
    </row>
    <row r="324">
      <c r="A324" s="11">
        <v>312.0</v>
      </c>
      <c r="B324" s="11">
        <v>1.42075217391304E9</v>
      </c>
      <c r="C324" s="2">
        <v>-102.7196274</v>
      </c>
      <c r="D324" s="24">
        <f t="shared" si="1"/>
        <v>352173.913</v>
      </c>
      <c r="E324" s="25">
        <f t="shared" si="2"/>
        <v>-75.30028284</v>
      </c>
      <c r="F324" s="24">
        <f t="shared" si="3"/>
        <v>0.0002138156179</v>
      </c>
      <c r="G324" s="24">
        <f t="shared" si="4"/>
        <v>0</v>
      </c>
      <c r="H324" s="26">
        <f t="shared" si="5"/>
        <v>0</v>
      </c>
      <c r="I324" s="24">
        <f t="shared" si="6"/>
        <v>0</v>
      </c>
      <c r="J324" s="24">
        <f t="shared" si="7"/>
        <v>0</v>
      </c>
      <c r="K324" s="24"/>
      <c r="L324" s="24">
        <f t="shared" si="8"/>
        <v>406.5775808</v>
      </c>
      <c r="M324" s="14">
        <f t="shared" si="9"/>
        <v>407.6844416</v>
      </c>
      <c r="N324" s="27">
        <f t="shared" si="10"/>
        <v>-1.106860852</v>
      </c>
      <c r="O324" s="24"/>
      <c r="P324" s="24"/>
      <c r="Q324" s="24"/>
      <c r="R324" s="26"/>
      <c r="S324" s="9">
        <f t="shared" si="13"/>
        <v>-1.016426038</v>
      </c>
      <c r="U324" s="21"/>
      <c r="V324" s="21"/>
    </row>
    <row r="325">
      <c r="A325" s="11">
        <v>313.0</v>
      </c>
      <c r="B325" s="11">
        <v>1.42075652173913E9</v>
      </c>
      <c r="C325" s="2">
        <v>-102.6543732</v>
      </c>
      <c r="D325" s="24">
        <f t="shared" si="1"/>
        <v>356521.7391</v>
      </c>
      <c r="E325" s="25">
        <f t="shared" si="2"/>
        <v>-76.21857897</v>
      </c>
      <c r="F325" s="24">
        <f t="shared" si="3"/>
        <v>0.0002137838191</v>
      </c>
      <c r="G325" s="24">
        <f t="shared" si="4"/>
        <v>0</v>
      </c>
      <c r="H325" s="26">
        <f t="shared" si="5"/>
        <v>0</v>
      </c>
      <c r="I325" s="24">
        <f t="shared" si="6"/>
        <v>0</v>
      </c>
      <c r="J325" s="24">
        <f t="shared" si="7"/>
        <v>0</v>
      </c>
      <c r="K325" s="24"/>
      <c r="L325" s="24">
        <f t="shared" si="8"/>
        <v>412.7326704</v>
      </c>
      <c r="M325" s="14">
        <f t="shared" si="9"/>
        <v>407.5841443</v>
      </c>
      <c r="N325" s="27">
        <f t="shared" si="10"/>
        <v>5.14852611</v>
      </c>
      <c r="O325" s="24"/>
      <c r="P325" s="24"/>
      <c r="Q325" s="24"/>
      <c r="R325" s="26"/>
      <c r="S325" s="9">
        <f t="shared" si="13"/>
        <v>4.727871616</v>
      </c>
      <c r="U325" s="21"/>
      <c r="V325" s="21"/>
    </row>
    <row r="326">
      <c r="A326" s="11">
        <v>314.0</v>
      </c>
      <c r="B326" s="11">
        <v>1.42076086956521E9</v>
      </c>
      <c r="C326" s="2">
        <v>-102.632515</v>
      </c>
      <c r="D326" s="24">
        <f t="shared" si="1"/>
        <v>360869.5652</v>
      </c>
      <c r="E326" s="25">
        <f t="shared" si="2"/>
        <v>-77.1368751</v>
      </c>
      <c r="F326" s="24">
        <f t="shared" si="3"/>
        <v>0.0002137527864</v>
      </c>
      <c r="G326" s="24">
        <f t="shared" si="4"/>
        <v>0</v>
      </c>
      <c r="H326" s="26">
        <f t="shared" si="5"/>
        <v>0</v>
      </c>
      <c r="I326" s="24">
        <f t="shared" si="6"/>
        <v>0</v>
      </c>
      <c r="J326" s="24">
        <f t="shared" si="7"/>
        <v>0</v>
      </c>
      <c r="K326" s="24"/>
      <c r="L326" s="24">
        <f t="shared" si="8"/>
        <v>414.8152053</v>
      </c>
      <c r="M326" s="14">
        <f t="shared" si="9"/>
        <v>407.4838891</v>
      </c>
      <c r="N326" s="27">
        <f t="shared" si="10"/>
        <v>7.33131625</v>
      </c>
      <c r="O326" s="24"/>
      <c r="P326" s="24"/>
      <c r="Q326" s="24"/>
      <c r="R326" s="26"/>
      <c r="S326" s="9">
        <f t="shared" si="13"/>
        <v>6.73231936</v>
      </c>
      <c r="U326" s="21"/>
      <c r="V326" s="21"/>
    </row>
    <row r="327">
      <c r="A327" s="11">
        <v>315.0</v>
      </c>
      <c r="B327" s="11">
        <v>1.4207652173913E9</v>
      </c>
      <c r="C327" s="2">
        <v>-102.681427</v>
      </c>
      <c r="D327" s="24">
        <f t="shared" si="1"/>
        <v>365217.3913</v>
      </c>
      <c r="E327" s="25">
        <f t="shared" si="2"/>
        <v>-78.05517123</v>
      </c>
      <c r="F327" s="24">
        <f t="shared" si="3"/>
        <v>0.0002137224927</v>
      </c>
      <c r="G327" s="24">
        <f t="shared" si="4"/>
        <v>0</v>
      </c>
      <c r="H327" s="26">
        <f t="shared" si="5"/>
        <v>0</v>
      </c>
      <c r="I327" s="24">
        <f t="shared" si="6"/>
        <v>0</v>
      </c>
      <c r="J327" s="24">
        <f t="shared" si="7"/>
        <v>0</v>
      </c>
      <c r="K327" s="24"/>
      <c r="L327" s="24">
        <f t="shared" si="8"/>
        <v>410.1695983</v>
      </c>
      <c r="M327" s="14">
        <f t="shared" si="9"/>
        <v>407.3836781</v>
      </c>
      <c r="N327" s="27">
        <f t="shared" si="10"/>
        <v>2.785920169</v>
      </c>
      <c r="O327" s="24"/>
      <c r="P327" s="24"/>
      <c r="Q327" s="24"/>
      <c r="R327" s="26"/>
      <c r="S327" s="9">
        <f t="shared" si="13"/>
        <v>2.558299711</v>
      </c>
      <c r="U327" s="21"/>
      <c r="V327" s="21"/>
    </row>
    <row r="328">
      <c r="A328" s="11">
        <v>316.0</v>
      </c>
      <c r="B328" s="11">
        <v>1.42076956521739E9</v>
      </c>
      <c r="C328" s="2">
        <v>-102.7237854</v>
      </c>
      <c r="D328" s="24">
        <f t="shared" si="1"/>
        <v>369565.2174</v>
      </c>
      <c r="E328" s="25">
        <f t="shared" si="2"/>
        <v>-78.97346736</v>
      </c>
      <c r="F328" s="24">
        <f t="shared" si="3"/>
        <v>0.0002136929117</v>
      </c>
      <c r="G328" s="24">
        <f t="shared" si="4"/>
        <v>0</v>
      </c>
      <c r="H328" s="26">
        <f t="shared" si="5"/>
        <v>0</v>
      </c>
      <c r="I328" s="24">
        <f t="shared" si="6"/>
        <v>0</v>
      </c>
      <c r="J328" s="24">
        <f t="shared" si="7"/>
        <v>0</v>
      </c>
      <c r="K328" s="24"/>
      <c r="L328" s="24">
        <f t="shared" si="8"/>
        <v>406.1885036</v>
      </c>
      <c r="M328" s="14">
        <f t="shared" si="9"/>
        <v>407.2835134</v>
      </c>
      <c r="N328" s="27">
        <f t="shared" si="10"/>
        <v>-1.095009782</v>
      </c>
      <c r="O328" s="24"/>
      <c r="P328" s="24"/>
      <c r="Q328" s="24"/>
      <c r="R328" s="26"/>
      <c r="S328" s="9">
        <f t="shared" si="13"/>
        <v>-1.005543248</v>
      </c>
      <c r="U328" s="21"/>
      <c r="V328" s="21"/>
    </row>
    <row r="329">
      <c r="A329" s="11">
        <v>317.0</v>
      </c>
      <c r="B329" s="11">
        <v>1.42077391304347E9</v>
      </c>
      <c r="C329" s="2">
        <v>-102.7165451</v>
      </c>
      <c r="D329" s="24">
        <f t="shared" si="1"/>
        <v>373913.0435</v>
      </c>
      <c r="E329" s="25">
        <f t="shared" si="2"/>
        <v>-79.89176349</v>
      </c>
      <c r="F329" s="24">
        <f t="shared" si="3"/>
        <v>0.0002136640187</v>
      </c>
      <c r="G329" s="24">
        <f t="shared" si="4"/>
        <v>0</v>
      </c>
      <c r="H329" s="26">
        <f t="shared" si="5"/>
        <v>0</v>
      </c>
      <c r="I329" s="24">
        <f t="shared" si="6"/>
        <v>0</v>
      </c>
      <c r="J329" s="24">
        <f t="shared" si="7"/>
        <v>0</v>
      </c>
      <c r="K329" s="24"/>
      <c r="L329" s="24">
        <f t="shared" si="8"/>
        <v>406.8662418</v>
      </c>
      <c r="M329" s="14">
        <f t="shared" si="9"/>
        <v>407.183397</v>
      </c>
      <c r="N329" s="27">
        <f t="shared" si="10"/>
        <v>-0.3171552158</v>
      </c>
      <c r="O329" s="24"/>
      <c r="P329" s="24"/>
      <c r="Q329" s="24"/>
      <c r="R329" s="26"/>
      <c r="S329" s="9">
        <f t="shared" si="13"/>
        <v>-0.2912424082</v>
      </c>
      <c r="U329" s="21"/>
      <c r="V329" s="21"/>
    </row>
    <row r="330">
      <c r="A330" s="11">
        <v>318.0</v>
      </c>
      <c r="B330" s="11">
        <v>1.42077826086956E9</v>
      </c>
      <c r="C330" s="2">
        <v>-102.7152939</v>
      </c>
      <c r="D330" s="24">
        <f t="shared" si="1"/>
        <v>378260.8696</v>
      </c>
      <c r="E330" s="25">
        <f t="shared" si="2"/>
        <v>-80.81005963</v>
      </c>
      <c r="F330" s="24">
        <f t="shared" si="3"/>
        <v>0.0002136357898</v>
      </c>
      <c r="G330" s="24">
        <f t="shared" si="4"/>
        <v>0</v>
      </c>
      <c r="H330" s="26">
        <f t="shared" si="5"/>
        <v>0</v>
      </c>
      <c r="I330" s="24">
        <f t="shared" si="6"/>
        <v>0</v>
      </c>
      <c r="J330" s="24">
        <f t="shared" si="7"/>
        <v>0</v>
      </c>
      <c r="K330" s="24"/>
      <c r="L330" s="24">
        <f t="shared" si="8"/>
        <v>406.9834766</v>
      </c>
      <c r="M330" s="14">
        <f t="shared" si="9"/>
        <v>407.083331</v>
      </c>
      <c r="N330" s="27">
        <f t="shared" si="10"/>
        <v>-0.09985435655</v>
      </c>
      <c r="O330" s="24"/>
      <c r="P330" s="24"/>
      <c r="Q330" s="24"/>
      <c r="R330" s="26"/>
      <c r="S330" s="9">
        <f t="shared" si="13"/>
        <v>-0.09169586925</v>
      </c>
      <c r="U330" s="21"/>
      <c r="V330" s="21"/>
    </row>
    <row r="331">
      <c r="A331" s="11">
        <v>319.0</v>
      </c>
      <c r="B331" s="11">
        <v>1.42078260869565E9</v>
      </c>
      <c r="C331" s="2">
        <v>-102.6681976</v>
      </c>
      <c r="D331" s="24">
        <f t="shared" si="1"/>
        <v>382608.6957</v>
      </c>
      <c r="E331" s="25">
        <f t="shared" si="2"/>
        <v>-81.72835576</v>
      </c>
      <c r="F331" s="24">
        <f t="shared" si="3"/>
        <v>0.0002136082026</v>
      </c>
      <c r="G331" s="24">
        <f t="shared" si="4"/>
        <v>0</v>
      </c>
      <c r="H331" s="26">
        <f t="shared" si="5"/>
        <v>0</v>
      </c>
      <c r="I331" s="24">
        <f t="shared" si="6"/>
        <v>0</v>
      </c>
      <c r="J331" s="24">
        <f t="shared" si="7"/>
        <v>0</v>
      </c>
      <c r="K331" s="24"/>
      <c r="L331" s="24">
        <f t="shared" si="8"/>
        <v>411.4209545</v>
      </c>
      <c r="M331" s="14">
        <f t="shared" si="9"/>
        <v>406.9833174</v>
      </c>
      <c r="N331" s="27">
        <f t="shared" si="10"/>
        <v>4.437637107</v>
      </c>
      <c r="O331" s="24"/>
      <c r="P331" s="24"/>
      <c r="Q331" s="24"/>
      <c r="R331" s="26"/>
      <c r="S331" s="9">
        <f t="shared" si="13"/>
        <v>4.075064994</v>
      </c>
      <c r="U331" s="21"/>
      <c r="V331" s="21"/>
    </row>
    <row r="332">
      <c r="A332" s="11">
        <v>320.0</v>
      </c>
      <c r="B332" s="11">
        <v>1.42078695652173E9</v>
      </c>
      <c r="C332" s="2">
        <v>-102.6452026</v>
      </c>
      <c r="D332" s="24">
        <f t="shared" si="1"/>
        <v>386956.5217</v>
      </c>
      <c r="E332" s="25">
        <f t="shared" si="2"/>
        <v>-82.64665189</v>
      </c>
      <c r="F332" s="24">
        <f t="shared" si="3"/>
        <v>0.0002135812352</v>
      </c>
      <c r="G332" s="24">
        <f t="shared" si="4"/>
        <v>0</v>
      </c>
      <c r="H332" s="26">
        <f t="shared" si="5"/>
        <v>0</v>
      </c>
      <c r="I332" s="24">
        <f t="shared" si="6"/>
        <v>0</v>
      </c>
      <c r="J332" s="24">
        <f t="shared" si="7"/>
        <v>0</v>
      </c>
      <c r="K332" s="24"/>
      <c r="L332" s="24">
        <f t="shared" si="8"/>
        <v>413.6051211</v>
      </c>
      <c r="M332" s="14">
        <f t="shared" si="9"/>
        <v>406.8833582</v>
      </c>
      <c r="N332" s="27">
        <f t="shared" si="10"/>
        <v>6.721762874</v>
      </c>
      <c r="O332" s="24"/>
      <c r="P332" s="24"/>
      <c r="Q332" s="24"/>
      <c r="R332" s="26"/>
      <c r="S332" s="9">
        <f t="shared" si="13"/>
        <v>6.172568853</v>
      </c>
      <c r="U332" s="21"/>
      <c r="V332" s="21"/>
    </row>
    <row r="333">
      <c r="A333" s="11">
        <v>321.0</v>
      </c>
      <c r="B333" s="11">
        <v>1.42079130434782E9</v>
      </c>
      <c r="C333" s="2">
        <v>-102.7212448</v>
      </c>
      <c r="D333" s="24">
        <f t="shared" si="1"/>
        <v>391304.3478</v>
      </c>
      <c r="E333" s="25">
        <f t="shared" si="2"/>
        <v>-83.56494802</v>
      </c>
      <c r="F333" s="24">
        <f t="shared" si="3"/>
        <v>0.0002135548672</v>
      </c>
      <c r="G333" s="24">
        <f t="shared" si="4"/>
        <v>0</v>
      </c>
      <c r="H333" s="26">
        <f t="shared" si="5"/>
        <v>0</v>
      </c>
      <c r="I333" s="24">
        <f t="shared" si="6"/>
        <v>0</v>
      </c>
      <c r="J333" s="24">
        <f t="shared" si="7"/>
        <v>0</v>
      </c>
      <c r="K333" s="24"/>
      <c r="L333" s="24">
        <f t="shared" si="8"/>
        <v>406.4261913</v>
      </c>
      <c r="M333" s="14">
        <f t="shared" si="9"/>
        <v>406.7834556</v>
      </c>
      <c r="N333" s="27">
        <f t="shared" si="10"/>
        <v>-0.3572643188</v>
      </c>
      <c r="O333" s="24"/>
      <c r="P333" s="24"/>
      <c r="Q333" s="24"/>
      <c r="R333" s="26"/>
      <c r="S333" s="9">
        <f t="shared" si="13"/>
        <v>-0.3280744423</v>
      </c>
      <c r="U333" s="21"/>
      <c r="V333" s="21"/>
    </row>
    <row r="334">
      <c r="A334" s="11">
        <v>322.0</v>
      </c>
      <c r="B334" s="11">
        <v>1.42079565217391E9</v>
      </c>
      <c r="C334" s="2">
        <v>-102.6823959</v>
      </c>
      <c r="D334" s="24">
        <f t="shared" si="1"/>
        <v>395652.1739</v>
      </c>
      <c r="E334" s="25">
        <f t="shared" si="2"/>
        <v>-84.48324416</v>
      </c>
      <c r="F334" s="24">
        <f t="shared" si="3"/>
        <v>0.0002135290786</v>
      </c>
      <c r="G334" s="24">
        <f t="shared" si="4"/>
        <v>0</v>
      </c>
      <c r="H334" s="26">
        <f t="shared" si="5"/>
        <v>0</v>
      </c>
      <c r="I334" s="24">
        <f t="shared" si="6"/>
        <v>0</v>
      </c>
      <c r="J334" s="24">
        <f t="shared" si="7"/>
        <v>0</v>
      </c>
      <c r="K334" s="24"/>
      <c r="L334" s="24">
        <f t="shared" si="8"/>
        <v>410.0781007</v>
      </c>
      <c r="M334" s="14">
        <f t="shared" si="9"/>
        <v>406.6836116</v>
      </c>
      <c r="N334" s="27">
        <f t="shared" si="10"/>
        <v>3.39448912</v>
      </c>
      <c r="O334" s="24"/>
      <c r="P334" s="24"/>
      <c r="Q334" s="24"/>
      <c r="R334" s="26"/>
      <c r="S334" s="9">
        <f t="shared" si="13"/>
        <v>3.117146224</v>
      </c>
      <c r="U334" s="21"/>
      <c r="V334" s="21"/>
    </row>
    <row r="335">
      <c r="A335" s="11">
        <v>323.0</v>
      </c>
      <c r="B335" s="11">
        <v>1.4208E9</v>
      </c>
      <c r="C335" s="2">
        <v>-102.7014618</v>
      </c>
      <c r="D335" s="24">
        <f t="shared" si="1"/>
        <v>400000</v>
      </c>
      <c r="E335" s="25">
        <f t="shared" si="2"/>
        <v>-85.40154029</v>
      </c>
      <c r="F335" s="24">
        <f t="shared" si="3"/>
        <v>0.0002135038507</v>
      </c>
      <c r="G335" s="24">
        <f t="shared" si="4"/>
        <v>0</v>
      </c>
      <c r="H335" s="26">
        <f t="shared" si="5"/>
        <v>0</v>
      </c>
      <c r="I335" s="24">
        <f t="shared" si="6"/>
        <v>0</v>
      </c>
      <c r="J335" s="24">
        <f t="shared" si="7"/>
        <v>0</v>
      </c>
      <c r="K335" s="24"/>
      <c r="L335" s="24">
        <f t="shared" si="8"/>
        <v>408.2817686</v>
      </c>
      <c r="M335" s="14">
        <f t="shared" si="9"/>
        <v>406.5838282</v>
      </c>
      <c r="N335" s="27">
        <f t="shared" si="10"/>
        <v>1.697940418</v>
      </c>
      <c r="O335" s="24"/>
      <c r="P335" s="24"/>
      <c r="Q335" s="24"/>
      <c r="R335" s="26"/>
      <c r="S335" s="9">
        <f t="shared" si="13"/>
        <v>1.55921212</v>
      </c>
      <c r="U335" s="21"/>
      <c r="V335" s="21"/>
    </row>
    <row r="336">
      <c r="A336" s="11">
        <v>324.0</v>
      </c>
      <c r="B336" s="11">
        <v>1.42080434782608E9</v>
      </c>
      <c r="C336" s="2">
        <v>-102.7122498</v>
      </c>
      <c r="D336" s="24">
        <f t="shared" si="1"/>
        <v>404347.8261</v>
      </c>
      <c r="E336" s="25">
        <f t="shared" si="2"/>
        <v>-86.31983642</v>
      </c>
      <c r="F336" s="24">
        <f t="shared" si="3"/>
        <v>0.0002134791653</v>
      </c>
      <c r="G336" s="24">
        <f t="shared" si="4"/>
        <v>0</v>
      </c>
      <c r="H336" s="26">
        <f t="shared" si="5"/>
        <v>0</v>
      </c>
      <c r="I336" s="24">
        <f t="shared" si="6"/>
        <v>0</v>
      </c>
      <c r="J336" s="24">
        <f t="shared" si="7"/>
        <v>0</v>
      </c>
      <c r="K336" s="24"/>
      <c r="L336" s="24">
        <f t="shared" si="8"/>
        <v>407.2688435</v>
      </c>
      <c r="M336" s="14">
        <f t="shared" si="9"/>
        <v>406.4841075</v>
      </c>
      <c r="N336" s="27">
        <f t="shared" si="10"/>
        <v>0.7847360483</v>
      </c>
      <c r="O336" s="24"/>
      <c r="P336" s="24"/>
      <c r="Q336" s="24"/>
      <c r="R336" s="26"/>
      <c r="S336" s="9">
        <f t="shared" si="13"/>
        <v>0.7206200784</v>
      </c>
      <c r="U336" s="21"/>
      <c r="V336" s="21"/>
    </row>
    <row r="337">
      <c r="A337" s="11">
        <v>325.0</v>
      </c>
      <c r="B337" s="11">
        <v>1.42080869565217E9</v>
      </c>
      <c r="C337" s="2">
        <v>-102.7273178</v>
      </c>
      <c r="D337" s="24">
        <f t="shared" si="1"/>
        <v>408695.6522</v>
      </c>
      <c r="E337" s="25">
        <f t="shared" si="2"/>
        <v>-87.23813255</v>
      </c>
      <c r="F337" s="24">
        <f t="shared" si="3"/>
        <v>0.0002134550052</v>
      </c>
      <c r="G337" s="24">
        <f t="shared" si="4"/>
        <v>0</v>
      </c>
      <c r="H337" s="26">
        <f t="shared" si="5"/>
        <v>0</v>
      </c>
      <c r="I337" s="24">
        <f t="shared" si="6"/>
        <v>0</v>
      </c>
      <c r="J337" s="24">
        <f t="shared" si="7"/>
        <v>0</v>
      </c>
      <c r="K337" s="24"/>
      <c r="L337" s="24">
        <f t="shared" si="8"/>
        <v>405.8582584</v>
      </c>
      <c r="M337" s="14">
        <f t="shared" si="9"/>
        <v>406.3844515</v>
      </c>
      <c r="N337" s="27">
        <f t="shared" si="10"/>
        <v>-0.5261931222</v>
      </c>
      <c r="O337" s="24"/>
      <c r="P337" s="24"/>
      <c r="Q337" s="24"/>
      <c r="R337" s="26"/>
      <c r="S337" s="9">
        <f t="shared" si="13"/>
        <v>-0.4832011081</v>
      </c>
      <c r="U337" s="21"/>
      <c r="V337" s="21"/>
    </row>
    <row r="338">
      <c r="A338" s="11">
        <v>326.0</v>
      </c>
      <c r="B338" s="11">
        <v>1.42081304347826E9</v>
      </c>
      <c r="C338" s="2">
        <v>-102.7287292</v>
      </c>
      <c r="D338" s="24">
        <f t="shared" si="1"/>
        <v>413043.4783</v>
      </c>
      <c r="E338" s="25">
        <f t="shared" si="2"/>
        <v>-88.15642868</v>
      </c>
      <c r="F338" s="24">
        <f t="shared" si="3"/>
        <v>0.0002134313537</v>
      </c>
      <c r="G338" s="24">
        <f t="shared" si="4"/>
        <v>0</v>
      </c>
      <c r="H338" s="26">
        <f t="shared" si="5"/>
        <v>0</v>
      </c>
      <c r="I338" s="24">
        <f t="shared" si="6"/>
        <v>0</v>
      </c>
      <c r="J338" s="24">
        <f t="shared" si="7"/>
        <v>0</v>
      </c>
      <c r="K338" s="24"/>
      <c r="L338" s="24">
        <f t="shared" si="8"/>
        <v>405.7263812</v>
      </c>
      <c r="M338" s="14">
        <f t="shared" si="9"/>
        <v>406.2848623</v>
      </c>
      <c r="N338" s="27">
        <f t="shared" si="10"/>
        <v>-0.5584811129</v>
      </c>
      <c r="O338" s="24"/>
      <c r="P338" s="24"/>
      <c r="Q338" s="24"/>
      <c r="R338" s="26"/>
      <c r="S338" s="9">
        <f t="shared" si="13"/>
        <v>-0.5128510462</v>
      </c>
      <c r="U338" s="21"/>
      <c r="V338" s="21"/>
    </row>
    <row r="339">
      <c r="A339" s="11">
        <v>327.0</v>
      </c>
      <c r="B339" s="11">
        <v>1.42081739130434E9</v>
      </c>
      <c r="C339" s="2">
        <v>-102.6627121</v>
      </c>
      <c r="D339" s="24">
        <f t="shared" si="1"/>
        <v>417391.3043</v>
      </c>
      <c r="E339" s="25">
        <f t="shared" si="2"/>
        <v>-89.07472482</v>
      </c>
      <c r="F339" s="24">
        <f t="shared" si="3"/>
        <v>0.0002134081949</v>
      </c>
      <c r="G339" s="24">
        <f t="shared" si="4"/>
        <v>0</v>
      </c>
      <c r="H339" s="26">
        <f t="shared" si="5"/>
        <v>0</v>
      </c>
      <c r="I339" s="24">
        <f t="shared" si="6"/>
        <v>0</v>
      </c>
      <c r="J339" s="24">
        <f t="shared" si="7"/>
        <v>0</v>
      </c>
      <c r="K339" s="24"/>
      <c r="L339" s="24">
        <f t="shared" si="8"/>
        <v>411.9409416</v>
      </c>
      <c r="M339" s="14">
        <f t="shared" si="9"/>
        <v>406.185342</v>
      </c>
      <c r="N339" s="27">
        <f t="shared" si="10"/>
        <v>5.755599647</v>
      </c>
      <c r="O339" s="24"/>
      <c r="P339" s="24"/>
      <c r="Q339" s="24"/>
      <c r="R339" s="26"/>
      <c r="S339" s="9">
        <f t="shared" si="13"/>
        <v>5.285344898</v>
      </c>
      <c r="U339" s="21"/>
      <c r="V339" s="21"/>
    </row>
    <row r="340">
      <c r="A340" s="11">
        <v>328.0</v>
      </c>
      <c r="B340" s="11">
        <v>1.42082173913043E9</v>
      </c>
      <c r="C340" s="2">
        <v>-102.6737366</v>
      </c>
      <c r="D340" s="24">
        <f t="shared" si="1"/>
        <v>421739.1304</v>
      </c>
      <c r="E340" s="25">
        <f t="shared" si="2"/>
        <v>-89.99302095</v>
      </c>
      <c r="F340" s="24">
        <f t="shared" si="3"/>
        <v>0.0002133855136</v>
      </c>
      <c r="G340" s="24">
        <f t="shared" si="4"/>
        <v>0</v>
      </c>
      <c r="H340" s="26">
        <f t="shared" si="5"/>
        <v>0</v>
      </c>
      <c r="I340" s="24">
        <f t="shared" si="6"/>
        <v>0</v>
      </c>
      <c r="J340" s="24">
        <f t="shared" si="7"/>
        <v>0</v>
      </c>
      <c r="K340" s="24"/>
      <c r="L340" s="24">
        <f t="shared" si="8"/>
        <v>410.8965619</v>
      </c>
      <c r="M340" s="14">
        <f t="shared" si="9"/>
        <v>406.0858925</v>
      </c>
      <c r="N340" s="27">
        <f t="shared" si="10"/>
        <v>4.81066934</v>
      </c>
      <c r="O340" s="24"/>
      <c r="P340" s="24"/>
      <c r="Q340" s="24"/>
      <c r="R340" s="26"/>
      <c r="S340" s="9">
        <f t="shared" si="13"/>
        <v>4.417619041</v>
      </c>
      <c r="U340" s="21"/>
      <c r="V340" s="21"/>
    </row>
    <row r="341">
      <c r="A341" s="11">
        <v>329.0</v>
      </c>
      <c r="B341" s="11">
        <v>1.42082608695652E9</v>
      </c>
      <c r="C341" s="2">
        <v>-102.7497559</v>
      </c>
      <c r="D341" s="24">
        <f t="shared" si="1"/>
        <v>426086.9565</v>
      </c>
      <c r="E341" s="25">
        <f t="shared" si="2"/>
        <v>-90.91131708</v>
      </c>
      <c r="F341" s="24">
        <f t="shared" si="3"/>
        <v>0.0002133632952</v>
      </c>
      <c r="G341" s="24">
        <f t="shared" si="4"/>
        <v>0</v>
      </c>
      <c r="H341" s="26">
        <f t="shared" si="5"/>
        <v>0</v>
      </c>
      <c r="I341" s="24">
        <f t="shared" si="6"/>
        <v>0</v>
      </c>
      <c r="J341" s="24">
        <f t="shared" si="7"/>
        <v>0</v>
      </c>
      <c r="K341" s="24"/>
      <c r="L341" s="24">
        <f t="shared" si="8"/>
        <v>403.7667735</v>
      </c>
      <c r="M341" s="14">
        <f t="shared" si="9"/>
        <v>405.9865161</v>
      </c>
      <c r="N341" s="27">
        <f t="shared" si="10"/>
        <v>-2.219742589</v>
      </c>
      <c r="O341" s="24"/>
      <c r="P341" s="24"/>
      <c r="Q341" s="24"/>
      <c r="R341" s="26"/>
      <c r="S341" s="9">
        <f t="shared" si="13"/>
        <v>-2.038381035</v>
      </c>
      <c r="U341" s="21"/>
      <c r="V341" s="21"/>
    </row>
    <row r="342">
      <c r="A342" s="11">
        <v>330.0</v>
      </c>
      <c r="B342" s="11">
        <v>1.4208304347826E9</v>
      </c>
      <c r="C342" s="2">
        <v>-102.716217</v>
      </c>
      <c r="D342" s="24">
        <f t="shared" si="1"/>
        <v>430434.7826</v>
      </c>
      <c r="E342" s="25">
        <f t="shared" si="2"/>
        <v>-91.82961321</v>
      </c>
      <c r="F342" s="24">
        <f t="shared" si="3"/>
        <v>0.0002133415256</v>
      </c>
      <c r="G342" s="24">
        <f t="shared" si="4"/>
        <v>0</v>
      </c>
      <c r="H342" s="26">
        <f t="shared" si="5"/>
        <v>0</v>
      </c>
      <c r="I342" s="24">
        <f t="shared" si="6"/>
        <v>0</v>
      </c>
      <c r="J342" s="24">
        <f t="shared" si="7"/>
        <v>0</v>
      </c>
      <c r="K342" s="24"/>
      <c r="L342" s="24">
        <f t="shared" si="8"/>
        <v>406.8969808</v>
      </c>
      <c r="M342" s="14">
        <f t="shared" si="9"/>
        <v>405.8872146</v>
      </c>
      <c r="N342" s="27">
        <f t="shared" si="10"/>
        <v>1.009766224</v>
      </c>
      <c r="O342" s="24"/>
      <c r="P342" s="24"/>
      <c r="Q342" s="24"/>
      <c r="R342" s="26"/>
      <c r="S342" s="9">
        <f t="shared" si="13"/>
        <v>0.9272644189</v>
      </c>
      <c r="U342" s="21"/>
      <c r="V342" s="21"/>
    </row>
    <row r="343">
      <c r="A343" s="11">
        <v>331.0</v>
      </c>
      <c r="B343" s="11">
        <v>1.42083478260869E9</v>
      </c>
      <c r="C343" s="2">
        <v>-102.7263794</v>
      </c>
      <c r="D343" s="24">
        <f t="shared" si="1"/>
        <v>434782.6087</v>
      </c>
      <c r="E343" s="25">
        <f t="shared" si="2"/>
        <v>-92.74790935</v>
      </c>
      <c r="F343" s="24">
        <f t="shared" si="3"/>
        <v>0.0002133201915</v>
      </c>
      <c r="G343" s="24">
        <f t="shared" si="4"/>
        <v>0</v>
      </c>
      <c r="H343" s="26">
        <f t="shared" si="5"/>
        <v>0</v>
      </c>
      <c r="I343" s="24">
        <f t="shared" si="6"/>
        <v>0</v>
      </c>
      <c r="J343" s="24">
        <f t="shared" si="7"/>
        <v>0</v>
      </c>
      <c r="K343" s="24"/>
      <c r="L343" s="24">
        <f t="shared" si="8"/>
        <v>405.9459635</v>
      </c>
      <c r="M343" s="14">
        <f t="shared" si="9"/>
        <v>405.7879902</v>
      </c>
      <c r="N343" s="27">
        <f t="shared" si="10"/>
        <v>0.1579733372</v>
      </c>
      <c r="O343" s="24"/>
      <c r="P343" s="24"/>
      <c r="Q343" s="24"/>
      <c r="R343" s="26"/>
      <c r="S343" s="9">
        <f t="shared" si="13"/>
        <v>0.1450663046</v>
      </c>
      <c r="U343" s="21"/>
      <c r="V343" s="21"/>
    </row>
    <row r="344">
      <c r="A344" s="11">
        <v>332.0</v>
      </c>
      <c r="B344" s="11">
        <v>1.42083913043478E9</v>
      </c>
      <c r="C344" s="2">
        <v>-102.6656113</v>
      </c>
      <c r="D344" s="24">
        <f t="shared" si="1"/>
        <v>439130.4348</v>
      </c>
      <c r="E344" s="25">
        <f t="shared" si="2"/>
        <v>-93.66620548</v>
      </c>
      <c r="F344" s="24">
        <f t="shared" si="3"/>
        <v>0.0002132992798</v>
      </c>
      <c r="G344" s="24">
        <f t="shared" si="4"/>
        <v>0</v>
      </c>
      <c r="H344" s="26">
        <f t="shared" si="5"/>
        <v>0</v>
      </c>
      <c r="I344" s="24">
        <f t="shared" si="6"/>
        <v>0</v>
      </c>
      <c r="J344" s="24">
        <f t="shared" si="7"/>
        <v>0</v>
      </c>
      <c r="K344" s="24"/>
      <c r="L344" s="24">
        <f t="shared" si="8"/>
        <v>411.6660358</v>
      </c>
      <c r="M344" s="14">
        <f t="shared" si="9"/>
        <v>405.6888449</v>
      </c>
      <c r="N344" s="27">
        <f t="shared" si="10"/>
        <v>5.977190991</v>
      </c>
      <c r="O344" s="24"/>
      <c r="P344" s="24"/>
      <c r="Q344" s="24"/>
      <c r="R344" s="26"/>
      <c r="S344" s="9">
        <f t="shared" si="13"/>
        <v>5.488831359</v>
      </c>
      <c r="U344" s="21"/>
      <c r="V344" s="21"/>
    </row>
    <row r="345">
      <c r="A345" s="11">
        <v>333.0</v>
      </c>
      <c r="B345" s="11">
        <v>1.42084347826087E9</v>
      </c>
      <c r="C345" s="2">
        <v>-102.6998672</v>
      </c>
      <c r="D345" s="24">
        <f t="shared" si="1"/>
        <v>443478.2609</v>
      </c>
      <c r="E345" s="25">
        <f t="shared" si="2"/>
        <v>-94.58450161</v>
      </c>
      <c r="F345" s="24">
        <f t="shared" si="3"/>
        <v>0.0002132787781</v>
      </c>
      <c r="G345" s="24">
        <f t="shared" si="4"/>
        <v>0</v>
      </c>
      <c r="H345" s="26">
        <f t="shared" si="5"/>
        <v>0</v>
      </c>
      <c r="I345" s="24">
        <f t="shared" si="6"/>
        <v>0</v>
      </c>
      <c r="J345" s="24">
        <f t="shared" si="7"/>
        <v>0</v>
      </c>
      <c r="K345" s="24"/>
      <c r="L345" s="24">
        <f t="shared" si="8"/>
        <v>408.431705</v>
      </c>
      <c r="M345" s="14">
        <f t="shared" si="9"/>
        <v>405.5897807</v>
      </c>
      <c r="N345" s="27">
        <f t="shared" si="10"/>
        <v>2.841924314</v>
      </c>
      <c r="O345" s="24"/>
      <c r="P345" s="24"/>
      <c r="Q345" s="24"/>
      <c r="R345" s="26"/>
      <c r="S345" s="9">
        <f t="shared" si="13"/>
        <v>2.609728107</v>
      </c>
      <c r="U345" s="21"/>
      <c r="V345" s="21"/>
    </row>
    <row r="346">
      <c r="A346" s="11">
        <v>334.0</v>
      </c>
      <c r="B346" s="11">
        <v>1.42084782608695E9</v>
      </c>
      <c r="C346" s="2">
        <v>-102.7303009</v>
      </c>
      <c r="D346" s="24">
        <f t="shared" si="1"/>
        <v>447826.087</v>
      </c>
      <c r="E346" s="25">
        <f t="shared" si="2"/>
        <v>-95.50279774</v>
      </c>
      <c r="F346" s="24">
        <f t="shared" si="3"/>
        <v>0.0002132586746</v>
      </c>
      <c r="G346" s="24">
        <f t="shared" si="4"/>
        <v>0</v>
      </c>
      <c r="H346" s="26">
        <f t="shared" si="5"/>
        <v>0</v>
      </c>
      <c r="I346" s="24">
        <f t="shared" si="6"/>
        <v>0</v>
      </c>
      <c r="J346" s="24">
        <f t="shared" si="7"/>
        <v>0</v>
      </c>
      <c r="K346" s="24"/>
      <c r="L346" s="24">
        <f t="shared" si="8"/>
        <v>405.5795765</v>
      </c>
      <c r="M346" s="14">
        <f t="shared" si="9"/>
        <v>405.4907998</v>
      </c>
      <c r="N346" s="27">
        <f t="shared" si="10"/>
        <v>0.08877669561</v>
      </c>
      <c r="O346" s="24"/>
      <c r="P346" s="24"/>
      <c r="Q346" s="24"/>
      <c r="R346" s="26"/>
      <c r="S346" s="9">
        <f t="shared" si="13"/>
        <v>0.08152329626</v>
      </c>
      <c r="U346" s="21"/>
      <c r="V346" s="21"/>
    </row>
    <row r="347">
      <c r="A347" s="11">
        <v>335.0</v>
      </c>
      <c r="B347" s="11">
        <v>1.42085217391304E9</v>
      </c>
      <c r="C347" s="2">
        <v>-102.7576523</v>
      </c>
      <c r="D347" s="24">
        <f t="shared" si="1"/>
        <v>452173.913</v>
      </c>
      <c r="E347" s="25">
        <f t="shared" si="2"/>
        <v>-96.42109387</v>
      </c>
      <c r="F347" s="24">
        <f t="shared" si="3"/>
        <v>0.0002132389576</v>
      </c>
      <c r="G347" s="24">
        <f t="shared" si="4"/>
        <v>0</v>
      </c>
      <c r="H347" s="26">
        <f t="shared" si="5"/>
        <v>0</v>
      </c>
      <c r="I347" s="24">
        <f t="shared" si="6"/>
        <v>0</v>
      </c>
      <c r="J347" s="24">
        <f t="shared" si="7"/>
        <v>0</v>
      </c>
      <c r="K347" s="24"/>
      <c r="L347" s="24">
        <f t="shared" si="8"/>
        <v>403.0333064</v>
      </c>
      <c r="M347" s="14">
        <f t="shared" si="9"/>
        <v>405.3919041</v>
      </c>
      <c r="N347" s="27">
        <f t="shared" si="10"/>
        <v>-2.358597777</v>
      </c>
      <c r="O347" s="24"/>
      <c r="P347" s="24"/>
      <c r="Q347" s="24"/>
      <c r="R347" s="26"/>
      <c r="S347" s="9">
        <f t="shared" si="13"/>
        <v>-2.165891212</v>
      </c>
      <c r="U347" s="21"/>
      <c r="V347" s="21"/>
    </row>
    <row r="348">
      <c r="A348" s="11">
        <v>336.0</v>
      </c>
      <c r="B348" s="11">
        <v>1.42085652173913E9</v>
      </c>
      <c r="C348" s="2">
        <v>-102.7432327</v>
      </c>
      <c r="D348" s="24">
        <f t="shared" si="1"/>
        <v>456521.7391</v>
      </c>
      <c r="E348" s="25">
        <f t="shared" si="2"/>
        <v>-97.33939</v>
      </c>
      <c r="F348" s="24">
        <f t="shared" si="3"/>
        <v>0.0002132196162</v>
      </c>
      <c r="G348" s="24">
        <f t="shared" si="4"/>
        <v>0</v>
      </c>
      <c r="H348" s="26">
        <f t="shared" si="5"/>
        <v>0</v>
      </c>
      <c r="I348" s="24">
        <f t="shared" si="6"/>
        <v>0</v>
      </c>
      <c r="J348" s="24">
        <f t="shared" si="7"/>
        <v>0</v>
      </c>
      <c r="K348" s="24"/>
      <c r="L348" s="24">
        <f t="shared" si="8"/>
        <v>404.3736959</v>
      </c>
      <c r="M348" s="14">
        <f t="shared" si="9"/>
        <v>405.2930958</v>
      </c>
      <c r="N348" s="27">
        <f t="shared" si="10"/>
        <v>-0.9193999426</v>
      </c>
      <c r="O348" s="24"/>
      <c r="P348" s="24"/>
      <c r="Q348" s="24"/>
      <c r="R348" s="26"/>
      <c r="S348" s="9">
        <f t="shared" si="13"/>
        <v>-0.8442814117</v>
      </c>
      <c r="U348" s="21"/>
      <c r="V348" s="21"/>
    </row>
    <row r="349">
      <c r="A349" s="11">
        <v>337.0</v>
      </c>
      <c r="B349" s="11">
        <v>1.42086086956521E9</v>
      </c>
      <c r="C349" s="2">
        <v>-102.7090073</v>
      </c>
      <c r="D349" s="24">
        <f t="shared" si="1"/>
        <v>460869.5652</v>
      </c>
      <c r="E349" s="25">
        <f t="shared" si="2"/>
        <v>-98.25768614</v>
      </c>
      <c r="F349" s="24">
        <f t="shared" si="3"/>
        <v>0.0002132006397</v>
      </c>
      <c r="G349" s="24">
        <f t="shared" si="4"/>
        <v>0</v>
      </c>
      <c r="H349" s="26">
        <f t="shared" si="5"/>
        <v>0</v>
      </c>
      <c r="I349" s="24">
        <f t="shared" si="6"/>
        <v>0</v>
      </c>
      <c r="J349" s="24">
        <f t="shared" si="7"/>
        <v>0</v>
      </c>
      <c r="K349" s="24"/>
      <c r="L349" s="24">
        <f t="shared" si="8"/>
        <v>407.5730294</v>
      </c>
      <c r="M349" s="14">
        <f t="shared" si="9"/>
        <v>405.1943769</v>
      </c>
      <c r="N349" s="27">
        <f t="shared" si="10"/>
        <v>2.378652501</v>
      </c>
      <c r="O349" s="24"/>
      <c r="P349" s="24"/>
      <c r="Q349" s="24"/>
      <c r="R349" s="26"/>
      <c r="S349" s="9">
        <f t="shared" si="13"/>
        <v>2.184307393</v>
      </c>
      <c r="U349" s="21"/>
      <c r="V349" s="21"/>
    </row>
    <row r="350">
      <c r="A350" s="11">
        <v>338.0</v>
      </c>
      <c r="B350" s="11">
        <v>1.4208652173913E9</v>
      </c>
      <c r="C350" s="2">
        <v>-102.7325821</v>
      </c>
      <c r="D350" s="24">
        <f t="shared" si="1"/>
        <v>465217.3913</v>
      </c>
      <c r="E350" s="25">
        <f t="shared" si="2"/>
        <v>-99.17598227</v>
      </c>
      <c r="F350" s="24">
        <f t="shared" si="3"/>
        <v>0.000213182018</v>
      </c>
      <c r="G350" s="24">
        <f t="shared" si="4"/>
        <v>0</v>
      </c>
      <c r="H350" s="26">
        <f t="shared" si="5"/>
        <v>0</v>
      </c>
      <c r="I350" s="24">
        <f t="shared" si="6"/>
        <v>0</v>
      </c>
      <c r="J350" s="24">
        <f t="shared" si="7"/>
        <v>0</v>
      </c>
      <c r="K350" s="24"/>
      <c r="L350" s="24">
        <f t="shared" si="8"/>
        <v>405.3665954</v>
      </c>
      <c r="M350" s="14">
        <f t="shared" si="9"/>
        <v>405.0957493</v>
      </c>
      <c r="N350" s="27">
        <f t="shared" si="10"/>
        <v>0.2708460469</v>
      </c>
      <c r="O350" s="24"/>
      <c r="P350" s="24"/>
      <c r="Q350" s="24"/>
      <c r="R350" s="26"/>
      <c r="S350" s="9">
        <f t="shared" si="13"/>
        <v>0.2487168769</v>
      </c>
      <c r="U350" s="21"/>
      <c r="V350" s="21"/>
    </row>
    <row r="351">
      <c r="A351" s="11">
        <v>339.0</v>
      </c>
      <c r="B351" s="11">
        <v>1.42086956521739E9</v>
      </c>
      <c r="C351" s="2">
        <v>-102.8075485</v>
      </c>
      <c r="D351" s="24">
        <f t="shared" si="1"/>
        <v>469565.2174</v>
      </c>
      <c r="E351" s="25">
        <f t="shared" si="2"/>
        <v>-100.0942784</v>
      </c>
      <c r="F351" s="24">
        <f t="shared" si="3"/>
        <v>0.000213163741</v>
      </c>
      <c r="G351" s="24">
        <f t="shared" si="4"/>
        <v>0</v>
      </c>
      <c r="H351" s="26">
        <f t="shared" si="5"/>
        <v>0</v>
      </c>
      <c r="I351" s="24">
        <f t="shared" si="6"/>
        <v>0</v>
      </c>
      <c r="J351" s="24">
        <f t="shared" si="7"/>
        <v>0</v>
      </c>
      <c r="K351" s="24"/>
      <c r="L351" s="24">
        <f t="shared" si="8"/>
        <v>398.4293449</v>
      </c>
      <c r="M351" s="14">
        <f t="shared" si="9"/>
        <v>404.9972153</v>
      </c>
      <c r="N351" s="27">
        <f t="shared" si="10"/>
        <v>-6.567870366</v>
      </c>
      <c r="O351" s="24"/>
      <c r="P351" s="24"/>
      <c r="Q351" s="24"/>
      <c r="R351" s="26"/>
      <c r="S351" s="9">
        <f t="shared" si="13"/>
        <v>-6.031249958</v>
      </c>
      <c r="U351" s="21"/>
      <c r="V351" s="21"/>
    </row>
    <row r="352">
      <c r="A352" s="11">
        <v>340.0</v>
      </c>
      <c r="B352" s="11">
        <v>1.42087391304347E9</v>
      </c>
      <c r="C352" s="2">
        <v>-102.6995697</v>
      </c>
      <c r="D352" s="24">
        <f t="shared" si="1"/>
        <v>473913.0435</v>
      </c>
      <c r="E352" s="25">
        <f t="shared" si="2"/>
        <v>-101.0125745</v>
      </c>
      <c r="F352" s="24">
        <f t="shared" si="3"/>
        <v>0.0002131457995</v>
      </c>
      <c r="G352" s="24">
        <f t="shared" si="4"/>
        <v>0</v>
      </c>
      <c r="H352" s="26">
        <f t="shared" si="5"/>
        <v>0</v>
      </c>
      <c r="I352" s="24">
        <f t="shared" si="6"/>
        <v>0</v>
      </c>
      <c r="J352" s="24">
        <f t="shared" si="7"/>
        <v>0</v>
      </c>
      <c r="K352" s="24"/>
      <c r="L352" s="24">
        <f t="shared" si="8"/>
        <v>408.4596843</v>
      </c>
      <c r="M352" s="14">
        <f t="shared" si="9"/>
        <v>404.8987768</v>
      </c>
      <c r="N352" s="27">
        <f t="shared" si="10"/>
        <v>3.56090754</v>
      </c>
      <c r="O352" s="24"/>
      <c r="P352" s="24"/>
      <c r="Q352" s="24"/>
      <c r="R352" s="26"/>
      <c r="S352" s="9">
        <f t="shared" si="13"/>
        <v>3.269967623</v>
      </c>
      <c r="U352" s="21"/>
      <c r="V352" s="21"/>
    </row>
    <row r="353">
      <c r="A353" s="11">
        <v>341.0</v>
      </c>
      <c r="B353" s="11">
        <v>1.42087826086956E9</v>
      </c>
      <c r="C353" s="2">
        <v>-102.7774429</v>
      </c>
      <c r="D353" s="24">
        <f t="shared" si="1"/>
        <v>478260.8696</v>
      </c>
      <c r="E353" s="25">
        <f t="shared" si="2"/>
        <v>-101.9308707</v>
      </c>
      <c r="F353" s="24">
        <f t="shared" si="3"/>
        <v>0.0002131281841</v>
      </c>
      <c r="G353" s="24">
        <f t="shared" si="4"/>
        <v>0</v>
      </c>
      <c r="H353" s="26">
        <f t="shared" si="5"/>
        <v>0</v>
      </c>
      <c r="I353" s="24">
        <f t="shared" si="6"/>
        <v>0</v>
      </c>
      <c r="J353" s="24">
        <f t="shared" si="7"/>
        <v>0</v>
      </c>
      <c r="K353" s="24"/>
      <c r="L353" s="24">
        <f t="shared" si="8"/>
        <v>401.2008804</v>
      </c>
      <c r="M353" s="14">
        <f t="shared" si="9"/>
        <v>404.8004359</v>
      </c>
      <c r="N353" s="27">
        <f t="shared" si="10"/>
        <v>-3.599555476</v>
      </c>
      <c r="O353" s="24"/>
      <c r="P353" s="24"/>
      <c r="Q353" s="24"/>
      <c r="R353" s="26"/>
      <c r="S353" s="9">
        <f t="shared" si="13"/>
        <v>-3.305457865</v>
      </c>
      <c r="U353" s="21"/>
      <c r="V353" s="21"/>
    </row>
    <row r="354">
      <c r="A354" s="11">
        <v>342.0</v>
      </c>
      <c r="B354" s="11">
        <v>1.42088260869565E9</v>
      </c>
      <c r="C354" s="2">
        <v>-102.72435</v>
      </c>
      <c r="D354" s="24">
        <f t="shared" si="1"/>
        <v>482608.6957</v>
      </c>
      <c r="E354" s="25">
        <f t="shared" si="2"/>
        <v>-102.8491668</v>
      </c>
      <c r="F354" s="24">
        <f t="shared" si="3"/>
        <v>0.0002131108862</v>
      </c>
      <c r="G354" s="24">
        <f t="shared" si="4"/>
        <v>0</v>
      </c>
      <c r="H354" s="26">
        <f t="shared" si="5"/>
        <v>0</v>
      </c>
      <c r="I354" s="24">
        <f t="shared" si="6"/>
        <v>0</v>
      </c>
      <c r="J354" s="24">
        <f t="shared" si="7"/>
        <v>0</v>
      </c>
      <c r="K354" s="24"/>
      <c r="L354" s="24">
        <f t="shared" si="8"/>
        <v>406.1357009</v>
      </c>
      <c r="M354" s="14">
        <f t="shared" si="9"/>
        <v>404.7021946</v>
      </c>
      <c r="N354" s="27">
        <f t="shared" si="10"/>
        <v>1.433506325</v>
      </c>
      <c r="O354" s="24"/>
      <c r="P354" s="24"/>
      <c r="Q354" s="24"/>
      <c r="R354" s="26"/>
      <c r="S354" s="9">
        <f t="shared" si="13"/>
        <v>1.316383315</v>
      </c>
      <c r="U354" s="21"/>
      <c r="V354" s="21"/>
    </row>
    <row r="355">
      <c r="A355" s="11">
        <v>343.0</v>
      </c>
      <c r="B355" s="11">
        <v>1.42088695652173E9</v>
      </c>
      <c r="C355" s="2">
        <v>-102.6976013</v>
      </c>
      <c r="D355" s="24">
        <f t="shared" si="1"/>
        <v>486956.5217</v>
      </c>
      <c r="E355" s="25">
        <f t="shared" si="2"/>
        <v>-103.7674629</v>
      </c>
      <c r="F355" s="24">
        <f t="shared" si="3"/>
        <v>0.0002130938971</v>
      </c>
      <c r="G355" s="24">
        <f t="shared" si="4"/>
        <v>0</v>
      </c>
      <c r="H355" s="26">
        <f t="shared" si="5"/>
        <v>0</v>
      </c>
      <c r="I355" s="24">
        <f t="shared" si="6"/>
        <v>0</v>
      </c>
      <c r="J355" s="24">
        <f t="shared" si="7"/>
        <v>0</v>
      </c>
      <c r="K355" s="24"/>
      <c r="L355" s="24">
        <f t="shared" si="8"/>
        <v>408.6448569</v>
      </c>
      <c r="M355" s="14">
        <f t="shared" si="9"/>
        <v>404.604055</v>
      </c>
      <c r="N355" s="27">
        <f t="shared" si="10"/>
        <v>4.040801862</v>
      </c>
      <c r="O355" s="24"/>
      <c r="P355" s="24"/>
      <c r="Q355" s="24"/>
      <c r="R355" s="26"/>
      <c r="S355" s="9">
        <f t="shared" si="13"/>
        <v>3.710652723</v>
      </c>
      <c r="U355" s="21"/>
      <c r="V355" s="21"/>
    </row>
    <row r="356">
      <c r="A356" s="11">
        <v>344.0</v>
      </c>
      <c r="B356" s="11">
        <v>1.42089130434782E9</v>
      </c>
      <c r="C356" s="2">
        <v>-102.7014618</v>
      </c>
      <c r="D356" s="24">
        <f t="shared" si="1"/>
        <v>491304.3478</v>
      </c>
      <c r="E356" s="25">
        <f t="shared" si="2"/>
        <v>-104.6857591</v>
      </c>
      <c r="F356" s="24">
        <f t="shared" si="3"/>
        <v>0.0002130772087</v>
      </c>
      <c r="G356" s="24">
        <f t="shared" si="4"/>
        <v>0</v>
      </c>
      <c r="H356" s="26">
        <f t="shared" si="5"/>
        <v>0</v>
      </c>
      <c r="I356" s="24">
        <f t="shared" si="6"/>
        <v>0</v>
      </c>
      <c r="J356" s="24">
        <f t="shared" si="7"/>
        <v>0</v>
      </c>
      <c r="K356" s="24"/>
      <c r="L356" s="24">
        <f t="shared" si="8"/>
        <v>408.2817686</v>
      </c>
      <c r="M356" s="14">
        <f t="shared" si="9"/>
        <v>404.5060192</v>
      </c>
      <c r="N356" s="27">
        <f t="shared" si="10"/>
        <v>3.775749368</v>
      </c>
      <c r="O356" s="24"/>
      <c r="P356" s="24"/>
      <c r="Q356" s="24"/>
      <c r="R356" s="26"/>
      <c r="S356" s="9">
        <f t="shared" si="13"/>
        <v>3.467256043</v>
      </c>
      <c r="U356" s="21"/>
      <c r="V356" s="21"/>
    </row>
    <row r="357">
      <c r="A357" s="11">
        <v>345.0</v>
      </c>
      <c r="B357" s="11">
        <v>1.42089565217391E9</v>
      </c>
      <c r="C357" s="2">
        <v>-102.7374573</v>
      </c>
      <c r="D357" s="24">
        <f t="shared" si="1"/>
        <v>495652.1739</v>
      </c>
      <c r="E357" s="25">
        <f t="shared" si="2"/>
        <v>-105.6040552</v>
      </c>
      <c r="F357" s="24">
        <f t="shared" si="3"/>
        <v>0.0002130608131</v>
      </c>
      <c r="G357" s="24">
        <f t="shared" si="4"/>
        <v>0</v>
      </c>
      <c r="H357" s="26">
        <f t="shared" si="5"/>
        <v>0</v>
      </c>
      <c r="I357" s="24">
        <f t="shared" si="6"/>
        <v>0</v>
      </c>
      <c r="J357" s="24">
        <f t="shared" si="7"/>
        <v>0</v>
      </c>
      <c r="K357" s="24"/>
      <c r="L357" s="24">
        <f t="shared" si="8"/>
        <v>404.9118039</v>
      </c>
      <c r="M357" s="14">
        <f t="shared" si="9"/>
        <v>404.4080892</v>
      </c>
      <c r="N357" s="27">
        <f t="shared" si="10"/>
        <v>0.5037146628</v>
      </c>
      <c r="O357" s="24"/>
      <c r="P357" s="24"/>
      <c r="Q357" s="24"/>
      <c r="R357" s="26"/>
      <c r="S357" s="9">
        <f t="shared" si="13"/>
        <v>0.4625592258</v>
      </c>
      <c r="U357" s="21"/>
      <c r="V357" s="21"/>
    </row>
    <row r="358">
      <c r="A358" s="11">
        <v>346.0</v>
      </c>
      <c r="B358" s="11">
        <v>1.4209E9</v>
      </c>
      <c r="C358" s="2">
        <v>-102.7372818</v>
      </c>
      <c r="D358" s="24">
        <f t="shared" si="1"/>
        <v>500000</v>
      </c>
      <c r="E358" s="25">
        <f t="shared" si="2"/>
        <v>-106.5223513</v>
      </c>
      <c r="F358" s="24">
        <f t="shared" si="3"/>
        <v>0.0002130447027</v>
      </c>
      <c r="G358" s="24">
        <f t="shared" si="4"/>
        <v>0</v>
      </c>
      <c r="H358" s="26">
        <f t="shared" si="5"/>
        <v>0</v>
      </c>
      <c r="I358" s="24">
        <f t="shared" si="6"/>
        <v>0</v>
      </c>
      <c r="J358" s="24">
        <f t="shared" si="7"/>
        <v>0</v>
      </c>
      <c r="K358" s="24"/>
      <c r="L358" s="24">
        <f t="shared" si="8"/>
        <v>404.9281668</v>
      </c>
      <c r="M358" s="14">
        <f t="shared" si="9"/>
        <v>404.310267</v>
      </c>
      <c r="N358" s="27">
        <f t="shared" si="10"/>
        <v>0.6178997902</v>
      </c>
      <c r="O358" s="24"/>
      <c r="P358" s="24"/>
      <c r="Q358" s="24"/>
      <c r="R358" s="26"/>
      <c r="S358" s="9">
        <f t="shared" si="13"/>
        <v>0.5674149878</v>
      </c>
      <c r="U358" s="21"/>
      <c r="V358" s="21"/>
    </row>
    <row r="359">
      <c r="A359" s="11">
        <v>347.0</v>
      </c>
      <c r="B359" s="11">
        <v>1.42090434782608E9</v>
      </c>
      <c r="C359" s="2">
        <v>-102.6538162</v>
      </c>
      <c r="D359" s="24">
        <f t="shared" si="1"/>
        <v>504347.8261</v>
      </c>
      <c r="E359" s="25">
        <f t="shared" si="2"/>
        <v>-107.4406475</v>
      </c>
      <c r="F359" s="24">
        <f t="shared" si="3"/>
        <v>0.00021302887</v>
      </c>
      <c r="G359" s="24">
        <f t="shared" si="4"/>
        <v>0</v>
      </c>
      <c r="H359" s="26">
        <f t="shared" si="5"/>
        <v>0</v>
      </c>
      <c r="I359" s="24">
        <f t="shared" si="6"/>
        <v>0</v>
      </c>
      <c r="J359" s="24">
        <f t="shared" si="7"/>
        <v>0</v>
      </c>
      <c r="K359" s="24"/>
      <c r="L359" s="24">
        <f t="shared" si="8"/>
        <v>412.7856084</v>
      </c>
      <c r="M359" s="14">
        <f t="shared" si="9"/>
        <v>404.2125548</v>
      </c>
      <c r="N359" s="27">
        <f t="shared" si="10"/>
        <v>8.573053601</v>
      </c>
      <c r="O359" s="24"/>
      <c r="P359" s="24"/>
      <c r="Q359" s="24"/>
      <c r="R359" s="26"/>
      <c r="S359" s="9">
        <f t="shared" si="13"/>
        <v>7.872601968</v>
      </c>
      <c r="U359" s="21"/>
      <c r="V359" s="21"/>
    </row>
    <row r="360">
      <c r="A360" s="11">
        <v>348.0</v>
      </c>
      <c r="B360" s="11">
        <v>1.42090869565217E9</v>
      </c>
      <c r="C360" s="2">
        <v>-102.7748566</v>
      </c>
      <c r="D360" s="24">
        <f t="shared" si="1"/>
        <v>508695.6522</v>
      </c>
      <c r="E360" s="25">
        <f t="shared" si="2"/>
        <v>-108.3589436</v>
      </c>
      <c r="F360" s="24">
        <f t="shared" si="3"/>
        <v>0.0002130133079</v>
      </c>
      <c r="G360" s="24">
        <f t="shared" si="4"/>
        <v>0</v>
      </c>
      <c r="H360" s="26">
        <f t="shared" si="5"/>
        <v>0</v>
      </c>
      <c r="I360" s="24">
        <f t="shared" si="6"/>
        <v>0</v>
      </c>
      <c r="J360" s="24">
        <f t="shared" si="7"/>
        <v>0</v>
      </c>
      <c r="K360" s="24"/>
      <c r="L360" s="24">
        <f t="shared" si="8"/>
        <v>401.4398737</v>
      </c>
      <c r="M360" s="14">
        <f t="shared" si="9"/>
        <v>404.1149545</v>
      </c>
      <c r="N360" s="27">
        <f t="shared" si="10"/>
        <v>-2.675080761</v>
      </c>
      <c r="O360" s="24"/>
      <c r="P360" s="24"/>
      <c r="Q360" s="24"/>
      <c r="R360" s="26"/>
      <c r="S360" s="9">
        <f t="shared" si="13"/>
        <v>-2.456516312</v>
      </c>
      <c r="U360" s="21"/>
      <c r="V360" s="21"/>
    </row>
    <row r="361">
      <c r="A361" s="11">
        <v>349.0</v>
      </c>
      <c r="B361" s="11">
        <v>1.42091304347826E9</v>
      </c>
      <c r="C361" s="2">
        <v>-102.7453918</v>
      </c>
      <c r="D361" s="24">
        <f t="shared" si="1"/>
        <v>513043.4783</v>
      </c>
      <c r="E361" s="25">
        <f t="shared" si="2"/>
        <v>-109.2772397</v>
      </c>
      <c r="F361" s="24">
        <f t="shared" si="3"/>
        <v>0.0002129980096</v>
      </c>
      <c r="G361" s="24">
        <f t="shared" si="4"/>
        <v>0</v>
      </c>
      <c r="H361" s="26">
        <f t="shared" si="5"/>
        <v>0</v>
      </c>
      <c r="I361" s="24">
        <f t="shared" si="6"/>
        <v>0</v>
      </c>
      <c r="J361" s="24">
        <f t="shared" si="7"/>
        <v>0</v>
      </c>
      <c r="K361" s="24"/>
      <c r="L361" s="24">
        <f t="shared" si="8"/>
        <v>404.172711</v>
      </c>
      <c r="M361" s="14">
        <f t="shared" si="9"/>
        <v>404.0174682</v>
      </c>
      <c r="N361" s="27">
        <f t="shared" si="10"/>
        <v>0.1552427499</v>
      </c>
      <c r="O361" s="24"/>
      <c r="P361" s="24"/>
      <c r="Q361" s="24"/>
      <c r="R361" s="26"/>
      <c r="S361" s="9">
        <f t="shared" si="13"/>
        <v>0.1425588169</v>
      </c>
      <c r="U361" s="21"/>
      <c r="V361" s="21"/>
    </row>
    <row r="362">
      <c r="A362" s="11">
        <v>350.0</v>
      </c>
      <c r="B362" s="11">
        <v>1.42091739130434E9</v>
      </c>
      <c r="C362" s="2">
        <v>-102.7530441</v>
      </c>
      <c r="D362" s="24">
        <f t="shared" si="1"/>
        <v>517391.3043</v>
      </c>
      <c r="E362" s="25">
        <f t="shared" si="2"/>
        <v>-110.1955359</v>
      </c>
      <c r="F362" s="24">
        <f t="shared" si="3"/>
        <v>0.0002129829685</v>
      </c>
      <c r="G362" s="24">
        <f t="shared" si="4"/>
        <v>0</v>
      </c>
      <c r="H362" s="26">
        <f t="shared" si="5"/>
        <v>0</v>
      </c>
      <c r="I362" s="24">
        <f t="shared" si="6"/>
        <v>0</v>
      </c>
      <c r="J362" s="24">
        <f t="shared" si="7"/>
        <v>0</v>
      </c>
      <c r="K362" s="24"/>
      <c r="L362" s="24">
        <f t="shared" si="8"/>
        <v>403.4611828</v>
      </c>
      <c r="M362" s="14">
        <f t="shared" si="9"/>
        <v>403.920098</v>
      </c>
      <c r="N362" s="27">
        <f t="shared" si="10"/>
        <v>-0.4589152238</v>
      </c>
      <c r="O362" s="24"/>
      <c r="P362" s="24"/>
      <c r="Q362" s="24"/>
      <c r="R362" s="26"/>
      <c r="S362" s="9">
        <f t="shared" si="13"/>
        <v>-0.4214200753</v>
      </c>
      <c r="U362" s="21"/>
      <c r="V362" s="21"/>
    </row>
    <row r="363">
      <c r="A363" s="11">
        <v>351.0</v>
      </c>
      <c r="B363" s="11">
        <v>1.42092173913043E9</v>
      </c>
      <c r="C363" s="2">
        <v>-102.7388687</v>
      </c>
      <c r="D363" s="24">
        <f t="shared" si="1"/>
        <v>521739.1304</v>
      </c>
      <c r="E363" s="25">
        <f t="shared" si="2"/>
        <v>-111.113832</v>
      </c>
      <c r="F363" s="24">
        <f t="shared" si="3"/>
        <v>0.000212968178</v>
      </c>
      <c r="G363" s="24">
        <f t="shared" si="4"/>
        <v>0</v>
      </c>
      <c r="H363" s="26">
        <f t="shared" si="5"/>
        <v>0</v>
      </c>
      <c r="I363" s="24">
        <f t="shared" si="6"/>
        <v>0</v>
      </c>
      <c r="J363" s="24">
        <f t="shared" si="7"/>
        <v>0</v>
      </c>
      <c r="K363" s="24"/>
      <c r="L363" s="24">
        <f t="shared" si="8"/>
        <v>404.7802342</v>
      </c>
      <c r="M363" s="14">
        <f t="shared" si="9"/>
        <v>403.8228459</v>
      </c>
      <c r="N363" s="27">
        <f t="shared" si="10"/>
        <v>0.9573882981</v>
      </c>
      <c r="O363" s="24"/>
      <c r="P363" s="24"/>
      <c r="Q363" s="24"/>
      <c r="R363" s="26"/>
      <c r="S363" s="9">
        <f t="shared" si="13"/>
        <v>0.8791659697</v>
      </c>
      <c r="U363" s="21"/>
      <c r="V363" s="21"/>
    </row>
    <row r="364">
      <c r="A364" s="11">
        <v>352.0</v>
      </c>
      <c r="B364" s="11">
        <v>1.42092608695652E9</v>
      </c>
      <c r="C364" s="2">
        <v>-102.6974564</v>
      </c>
      <c r="D364" s="24">
        <f t="shared" si="1"/>
        <v>526086.9565</v>
      </c>
      <c r="E364" s="25">
        <f t="shared" si="2"/>
        <v>-112.0321281</v>
      </c>
      <c r="F364" s="24">
        <f t="shared" si="3"/>
        <v>0.000212953632</v>
      </c>
      <c r="G364" s="24">
        <f t="shared" si="4"/>
        <v>0</v>
      </c>
      <c r="H364" s="26">
        <f t="shared" si="5"/>
        <v>0</v>
      </c>
      <c r="I364" s="24">
        <f t="shared" si="6"/>
        <v>0</v>
      </c>
      <c r="J364" s="24">
        <f t="shared" si="7"/>
        <v>0</v>
      </c>
      <c r="K364" s="24"/>
      <c r="L364" s="24">
        <f t="shared" si="8"/>
        <v>408.6584914</v>
      </c>
      <c r="M364" s="14">
        <f t="shared" si="9"/>
        <v>403.725714</v>
      </c>
      <c r="N364" s="27">
        <f t="shared" si="10"/>
        <v>4.932777323</v>
      </c>
      <c r="O364" s="24"/>
      <c r="P364" s="24"/>
      <c r="Q364" s="24"/>
      <c r="R364" s="26"/>
      <c r="S364" s="9">
        <f t="shared" si="13"/>
        <v>4.529750339</v>
      </c>
      <c r="U364" s="21"/>
      <c r="V364" s="21"/>
    </row>
    <row r="365">
      <c r="A365" s="11">
        <v>353.0</v>
      </c>
      <c r="B365" s="11">
        <v>1.4209304347826E9</v>
      </c>
      <c r="C365" s="2">
        <v>-102.7719498</v>
      </c>
      <c r="D365" s="24">
        <f t="shared" si="1"/>
        <v>530434.7826</v>
      </c>
      <c r="E365" s="25">
        <f t="shared" si="2"/>
        <v>-112.9504243</v>
      </c>
      <c r="F365" s="24">
        <f t="shared" si="3"/>
        <v>0.0002129393244</v>
      </c>
      <c r="G365" s="24">
        <f t="shared" si="4"/>
        <v>0</v>
      </c>
      <c r="H365" s="26">
        <f t="shared" si="5"/>
        <v>0</v>
      </c>
      <c r="I365" s="24">
        <f t="shared" si="6"/>
        <v>0</v>
      </c>
      <c r="J365" s="24">
        <f t="shared" si="7"/>
        <v>0</v>
      </c>
      <c r="K365" s="24"/>
      <c r="L365" s="24">
        <f t="shared" si="8"/>
        <v>401.7086536</v>
      </c>
      <c r="M365" s="14">
        <f t="shared" si="9"/>
        <v>403.6287043</v>
      </c>
      <c r="N365" s="27">
        <f t="shared" si="10"/>
        <v>-1.920050762</v>
      </c>
      <c r="O365" s="24"/>
      <c r="P365" s="24"/>
      <c r="Q365" s="24"/>
      <c r="R365" s="26"/>
      <c r="S365" s="9">
        <f t="shared" si="13"/>
        <v>-1.763175189</v>
      </c>
      <c r="U365" s="21"/>
      <c r="V365" s="21"/>
    </row>
    <row r="366">
      <c r="A366" s="11">
        <v>354.0</v>
      </c>
      <c r="B366" s="11">
        <v>1.42093478260869E9</v>
      </c>
      <c r="C366" s="2">
        <v>-102.732254</v>
      </c>
      <c r="D366" s="24">
        <f t="shared" si="1"/>
        <v>534782.6087</v>
      </c>
      <c r="E366" s="25">
        <f t="shared" si="2"/>
        <v>-113.8687204</v>
      </c>
      <c r="F366" s="24">
        <f t="shared" si="3"/>
        <v>0.0002129252495</v>
      </c>
      <c r="G366" s="24">
        <f t="shared" si="4"/>
        <v>0</v>
      </c>
      <c r="H366" s="26">
        <f t="shared" si="5"/>
        <v>0</v>
      </c>
      <c r="I366" s="24">
        <f t="shared" si="6"/>
        <v>0</v>
      </c>
      <c r="J366" s="24">
        <f t="shared" si="7"/>
        <v>0</v>
      </c>
      <c r="K366" s="24"/>
      <c r="L366" s="24">
        <f t="shared" si="8"/>
        <v>405.3972211</v>
      </c>
      <c r="M366" s="14">
        <f t="shared" si="9"/>
        <v>403.5318189</v>
      </c>
      <c r="N366" s="27">
        <f t="shared" si="10"/>
        <v>1.86540215</v>
      </c>
      <c r="O366" s="24"/>
      <c r="P366" s="24"/>
      <c r="Q366" s="24"/>
      <c r="R366" s="26"/>
      <c r="S366" s="9">
        <f t="shared" si="13"/>
        <v>1.71299158</v>
      </c>
      <c r="U366" s="21"/>
      <c r="V366" s="21"/>
    </row>
    <row r="367">
      <c r="A367" s="11">
        <v>355.0</v>
      </c>
      <c r="B367" s="11">
        <v>1.42093913043478E9</v>
      </c>
      <c r="C367" s="2">
        <v>-102.7391129</v>
      </c>
      <c r="D367" s="24">
        <f t="shared" si="1"/>
        <v>539130.4348</v>
      </c>
      <c r="E367" s="25">
        <f t="shared" si="2"/>
        <v>-114.7870165</v>
      </c>
      <c r="F367" s="24">
        <f t="shared" si="3"/>
        <v>0.0002129114016</v>
      </c>
      <c r="G367" s="24">
        <f t="shared" si="4"/>
        <v>0</v>
      </c>
      <c r="H367" s="26">
        <f t="shared" si="5"/>
        <v>0</v>
      </c>
      <c r="I367" s="24">
        <f t="shared" si="6"/>
        <v>0</v>
      </c>
      <c r="J367" s="24">
        <f t="shared" si="7"/>
        <v>0</v>
      </c>
      <c r="K367" s="24"/>
      <c r="L367" s="24">
        <f t="shared" si="8"/>
        <v>404.7574744</v>
      </c>
      <c r="M367" s="14">
        <f t="shared" si="9"/>
        <v>403.4350599</v>
      </c>
      <c r="N367" s="27">
        <f t="shared" si="10"/>
        <v>1.322414556</v>
      </c>
      <c r="O367" s="24"/>
      <c r="P367" s="24"/>
      <c r="Q367" s="24"/>
      <c r="R367" s="26"/>
      <c r="S367" s="9">
        <f t="shared" si="13"/>
        <v>1.21436817</v>
      </c>
      <c r="U367" s="21"/>
      <c r="V367" s="21"/>
    </row>
    <row r="368">
      <c r="A368" s="11">
        <v>356.0</v>
      </c>
      <c r="B368" s="11">
        <v>1.42094347826087E9</v>
      </c>
      <c r="C368" s="2">
        <v>-102.7726212</v>
      </c>
      <c r="D368" s="24">
        <f t="shared" si="1"/>
        <v>543478.2609</v>
      </c>
      <c r="E368" s="25">
        <f t="shared" si="2"/>
        <v>-115.7053126</v>
      </c>
      <c r="F368" s="24">
        <f t="shared" si="3"/>
        <v>0.0002128977753</v>
      </c>
      <c r="G368" s="24">
        <f t="shared" si="4"/>
        <v>0</v>
      </c>
      <c r="H368" s="26">
        <f t="shared" si="5"/>
        <v>0</v>
      </c>
      <c r="I368" s="24">
        <f t="shared" si="6"/>
        <v>0</v>
      </c>
      <c r="J368" s="24">
        <f t="shared" si="7"/>
        <v>0</v>
      </c>
      <c r="K368" s="24"/>
      <c r="L368" s="24">
        <f t="shared" si="8"/>
        <v>401.646556</v>
      </c>
      <c r="M368" s="14">
        <f t="shared" si="9"/>
        <v>403.3384292</v>
      </c>
      <c r="N368" s="27">
        <f t="shared" si="10"/>
        <v>-1.691873193</v>
      </c>
      <c r="O368" s="24"/>
      <c r="P368" s="24"/>
      <c r="Q368" s="24"/>
      <c r="R368" s="26"/>
      <c r="S368" s="9">
        <f t="shared" si="13"/>
        <v>-1.55364061</v>
      </c>
      <c r="U368" s="21"/>
      <c r="V368" s="21"/>
    </row>
    <row r="369">
      <c r="A369" s="11">
        <v>357.0</v>
      </c>
      <c r="B369" s="11">
        <v>1.42094782608695E9</v>
      </c>
      <c r="C369" s="2">
        <v>-102.7355576</v>
      </c>
      <c r="D369" s="24">
        <f t="shared" si="1"/>
        <v>547826.087</v>
      </c>
      <c r="E369" s="25">
        <f t="shared" si="2"/>
        <v>-116.6236088</v>
      </c>
      <c r="F369" s="24">
        <f t="shared" si="3"/>
        <v>0.0002128843652</v>
      </c>
      <c r="G369" s="24">
        <f t="shared" si="4"/>
        <v>0</v>
      </c>
      <c r="H369" s="26">
        <f t="shared" si="5"/>
        <v>0</v>
      </c>
      <c r="I369" s="24">
        <f t="shared" si="6"/>
        <v>0</v>
      </c>
      <c r="J369" s="24">
        <f t="shared" si="7"/>
        <v>0</v>
      </c>
      <c r="K369" s="24"/>
      <c r="L369" s="24">
        <f t="shared" si="8"/>
        <v>405.08896</v>
      </c>
      <c r="M369" s="14">
        <f t="shared" si="9"/>
        <v>403.241929</v>
      </c>
      <c r="N369" s="27">
        <f t="shared" si="10"/>
        <v>1.847031017</v>
      </c>
      <c r="O369" s="24"/>
      <c r="P369" s="24"/>
      <c r="Q369" s="24"/>
      <c r="R369" s="26"/>
      <c r="S369" s="9">
        <f t="shared" si="13"/>
        <v>1.69612144</v>
      </c>
      <c r="U369" s="21"/>
      <c r="V369" s="21"/>
    </row>
    <row r="370">
      <c r="A370" s="11">
        <v>358.0</v>
      </c>
      <c r="B370" s="11">
        <v>1.42095217391304E9</v>
      </c>
      <c r="C370" s="2">
        <v>-102.7115097</v>
      </c>
      <c r="D370" s="24">
        <f t="shared" si="1"/>
        <v>552173.913</v>
      </c>
      <c r="E370" s="25">
        <f t="shared" si="2"/>
        <v>-117.5419049</v>
      </c>
      <c r="F370" s="24">
        <f t="shared" si="3"/>
        <v>0.0002128711664</v>
      </c>
      <c r="G370" s="24">
        <f t="shared" si="4"/>
        <v>0</v>
      </c>
      <c r="H370" s="26">
        <f t="shared" si="5"/>
        <v>0</v>
      </c>
      <c r="I370" s="24">
        <f t="shared" si="6"/>
        <v>0</v>
      </c>
      <c r="J370" s="24">
        <f t="shared" si="7"/>
        <v>0</v>
      </c>
      <c r="K370" s="24"/>
      <c r="L370" s="24">
        <f t="shared" si="8"/>
        <v>407.3382539</v>
      </c>
      <c r="M370" s="14">
        <f t="shared" si="9"/>
        <v>403.1455612</v>
      </c>
      <c r="N370" s="27">
        <f t="shared" si="10"/>
        <v>4.192692649</v>
      </c>
      <c r="O370" s="24"/>
      <c r="P370" s="24"/>
      <c r="Q370" s="24"/>
      <c r="R370" s="26"/>
      <c r="S370" s="9">
        <f t="shared" si="13"/>
        <v>3.850133436</v>
      </c>
      <c r="U370" s="21"/>
      <c r="V370" s="21"/>
    </row>
    <row r="371">
      <c r="A371" s="11">
        <v>359.0</v>
      </c>
      <c r="B371" s="11">
        <v>1.42095652173913E9</v>
      </c>
      <c r="C371" s="2">
        <v>-102.7036438</v>
      </c>
      <c r="D371" s="24">
        <f t="shared" si="1"/>
        <v>556521.7391</v>
      </c>
      <c r="E371" s="25">
        <f t="shared" si="2"/>
        <v>-118.460201</v>
      </c>
      <c r="F371" s="24">
        <f t="shared" si="3"/>
        <v>0.0002128581738</v>
      </c>
      <c r="G371" s="24">
        <f t="shared" si="4"/>
        <v>0</v>
      </c>
      <c r="H371" s="26">
        <f t="shared" si="5"/>
        <v>0</v>
      </c>
      <c r="I371" s="24">
        <f t="shared" si="6"/>
        <v>0</v>
      </c>
      <c r="J371" s="24">
        <f t="shared" si="7"/>
        <v>0</v>
      </c>
      <c r="K371" s="24"/>
      <c r="L371" s="24">
        <f t="shared" si="8"/>
        <v>408.0766895</v>
      </c>
      <c r="M371" s="14">
        <f t="shared" si="9"/>
        <v>403.049328</v>
      </c>
      <c r="N371" s="27">
        <f t="shared" si="10"/>
        <v>5.027361505</v>
      </c>
      <c r="O371" s="24"/>
      <c r="P371" s="24"/>
      <c r="Q371" s="24"/>
      <c r="R371" s="26"/>
      <c r="S371" s="9">
        <f t="shared" si="13"/>
        <v>4.616606628</v>
      </c>
      <c r="U371" s="21"/>
      <c r="V371" s="21"/>
    </row>
    <row r="372">
      <c r="A372" s="11">
        <v>360.0</v>
      </c>
      <c r="B372" s="11">
        <v>1.42096086956521E9</v>
      </c>
      <c r="C372" s="2">
        <v>-102.7385635</v>
      </c>
      <c r="D372" s="24">
        <f t="shared" si="1"/>
        <v>560869.5652</v>
      </c>
      <c r="E372" s="25">
        <f t="shared" si="2"/>
        <v>-119.3784972</v>
      </c>
      <c r="F372" s="24">
        <f t="shared" si="3"/>
        <v>0.0002128453826</v>
      </c>
      <c r="G372" s="24">
        <f t="shared" si="4"/>
        <v>0</v>
      </c>
      <c r="H372" s="26">
        <f t="shared" si="5"/>
        <v>0</v>
      </c>
      <c r="I372" s="24">
        <f t="shared" si="6"/>
        <v>0</v>
      </c>
      <c r="J372" s="24">
        <f t="shared" si="7"/>
        <v>0</v>
      </c>
      <c r="K372" s="24"/>
      <c r="L372" s="24">
        <f t="shared" si="8"/>
        <v>404.8086811</v>
      </c>
      <c r="M372" s="14">
        <f t="shared" si="9"/>
        <v>402.9532314</v>
      </c>
      <c r="N372" s="27">
        <f t="shared" si="10"/>
        <v>1.855449696</v>
      </c>
      <c r="O372" s="24"/>
      <c r="P372" s="24"/>
      <c r="Q372" s="24"/>
      <c r="R372" s="26"/>
      <c r="S372" s="9">
        <f t="shared" si="13"/>
        <v>1.70385228</v>
      </c>
      <c r="U372" s="21"/>
      <c r="V372" s="21"/>
    </row>
    <row r="373">
      <c r="A373" s="11">
        <v>361.0</v>
      </c>
      <c r="B373" s="11">
        <v>1.4209652173913E9</v>
      </c>
      <c r="C373" s="2">
        <v>-102.7045059</v>
      </c>
      <c r="D373" s="24">
        <f t="shared" si="1"/>
        <v>565217.3913</v>
      </c>
      <c r="E373" s="25">
        <f t="shared" si="2"/>
        <v>-120.2967933</v>
      </c>
      <c r="F373" s="24">
        <f t="shared" si="3"/>
        <v>0.0002128327882</v>
      </c>
      <c r="G373" s="24">
        <f t="shared" si="4"/>
        <v>0</v>
      </c>
      <c r="H373" s="26">
        <f t="shared" si="5"/>
        <v>0</v>
      </c>
      <c r="I373" s="24">
        <f t="shared" si="6"/>
        <v>0</v>
      </c>
      <c r="J373" s="24">
        <f t="shared" si="7"/>
        <v>0</v>
      </c>
      <c r="K373" s="24"/>
      <c r="L373" s="24">
        <f t="shared" si="8"/>
        <v>407.995692</v>
      </c>
      <c r="M373" s="14">
        <f t="shared" si="9"/>
        <v>402.8572735</v>
      </c>
      <c r="N373" s="27">
        <f t="shared" si="10"/>
        <v>5.138418469</v>
      </c>
      <c r="O373" s="24"/>
      <c r="P373" s="24"/>
      <c r="Q373" s="24"/>
      <c r="R373" s="26"/>
      <c r="S373" s="9">
        <f t="shared" si="13"/>
        <v>4.718589798</v>
      </c>
      <c r="U373" s="21"/>
      <c r="V373" s="21"/>
    </row>
    <row r="374">
      <c r="A374" s="11">
        <v>362.0</v>
      </c>
      <c r="B374" s="11">
        <v>1.42096956521739E9</v>
      </c>
      <c r="C374" s="2">
        <v>-102.7813873</v>
      </c>
      <c r="D374" s="24">
        <f t="shared" si="1"/>
        <v>569565.2174</v>
      </c>
      <c r="E374" s="25">
        <f t="shared" si="2"/>
        <v>-121.2150894</v>
      </c>
      <c r="F374" s="24">
        <f t="shared" si="3"/>
        <v>0.000212820386</v>
      </c>
      <c r="G374" s="24">
        <f t="shared" si="4"/>
        <v>0</v>
      </c>
      <c r="H374" s="26">
        <f t="shared" si="5"/>
        <v>0</v>
      </c>
      <c r="I374" s="24">
        <f t="shared" si="6"/>
        <v>0</v>
      </c>
      <c r="J374" s="24">
        <f t="shared" si="7"/>
        <v>0</v>
      </c>
      <c r="K374" s="24"/>
      <c r="L374" s="24">
        <f t="shared" si="8"/>
        <v>400.8366625</v>
      </c>
      <c r="M374" s="14">
        <f t="shared" si="9"/>
        <v>402.7614563</v>
      </c>
      <c r="N374" s="27">
        <f t="shared" si="10"/>
        <v>-1.924793763</v>
      </c>
      <c r="O374" s="24"/>
      <c r="P374" s="24"/>
      <c r="Q374" s="24"/>
      <c r="R374" s="26"/>
      <c r="S374" s="9">
        <f t="shared" si="13"/>
        <v>-1.767530669</v>
      </c>
    </row>
    <row r="375">
      <c r="A375" s="11">
        <v>363.0</v>
      </c>
      <c r="B375" s="11">
        <v>1.42097391304347E9</v>
      </c>
      <c r="C375" s="2">
        <v>-102.8171005</v>
      </c>
      <c r="D375" s="24">
        <f t="shared" si="1"/>
        <v>573913.0435</v>
      </c>
      <c r="E375" s="25">
        <f t="shared" si="2"/>
        <v>-122.1333856</v>
      </c>
      <c r="F375" s="24">
        <f t="shared" si="3"/>
        <v>0.0002128081718</v>
      </c>
      <c r="G375" s="24">
        <f t="shared" si="4"/>
        <v>0</v>
      </c>
      <c r="H375" s="26">
        <f t="shared" si="5"/>
        <v>0</v>
      </c>
      <c r="I375" s="24">
        <f t="shared" si="6"/>
        <v>0</v>
      </c>
      <c r="J375" s="24">
        <f t="shared" si="7"/>
        <v>0</v>
      </c>
      <c r="K375" s="24"/>
      <c r="L375" s="24">
        <f t="shared" si="8"/>
        <v>397.5539908</v>
      </c>
      <c r="M375" s="14">
        <f t="shared" si="9"/>
        <v>402.6657818</v>
      </c>
      <c r="N375" s="27">
        <f t="shared" si="10"/>
        <v>-5.111791021</v>
      </c>
      <c r="O375" s="24"/>
      <c r="P375" s="24"/>
      <c r="Q375" s="24"/>
      <c r="R375" s="26"/>
      <c r="S375" s="9">
        <f t="shared" si="13"/>
        <v>-4.694137926</v>
      </c>
    </row>
    <row r="376">
      <c r="A376" s="11">
        <v>364.0</v>
      </c>
      <c r="B376" s="11">
        <v>1.42097826086956E9</v>
      </c>
      <c r="C376" s="2">
        <v>-102.7727737</v>
      </c>
      <c r="D376" s="24">
        <f t="shared" si="1"/>
        <v>578260.8696</v>
      </c>
      <c r="E376" s="25">
        <f t="shared" si="2"/>
        <v>-123.0516817</v>
      </c>
      <c r="F376" s="24">
        <f t="shared" si="3"/>
        <v>0.0002127961413</v>
      </c>
      <c r="G376" s="24">
        <f t="shared" si="4"/>
        <v>0</v>
      </c>
      <c r="H376" s="26">
        <f t="shared" si="5"/>
        <v>0</v>
      </c>
      <c r="I376" s="24">
        <f t="shared" si="6"/>
        <v>0</v>
      </c>
      <c r="J376" s="24">
        <f t="shared" si="7"/>
        <v>0</v>
      </c>
      <c r="K376" s="24"/>
      <c r="L376" s="24">
        <f t="shared" si="8"/>
        <v>401.6324527</v>
      </c>
      <c r="M376" s="14">
        <f t="shared" si="9"/>
        <v>402.5702521</v>
      </c>
      <c r="N376" s="27">
        <f t="shared" si="10"/>
        <v>-0.9377994401</v>
      </c>
      <c r="O376" s="24"/>
      <c r="P376" s="24"/>
      <c r="Q376" s="24"/>
      <c r="R376" s="26"/>
      <c r="S376" s="9">
        <f t="shared" si="13"/>
        <v>-0.8611775971</v>
      </c>
    </row>
    <row r="377">
      <c r="A377" s="11">
        <v>365.0</v>
      </c>
      <c r="B377" s="11">
        <v>1.42098260869565E9</v>
      </c>
      <c r="C377" s="2">
        <v>-102.7090454</v>
      </c>
      <c r="D377" s="24">
        <f t="shared" si="1"/>
        <v>582608.6957</v>
      </c>
      <c r="E377" s="25">
        <f t="shared" si="2"/>
        <v>-123.9699778</v>
      </c>
      <c r="F377" s="24">
        <f t="shared" si="3"/>
        <v>0.0002127842903</v>
      </c>
      <c r="G377" s="24">
        <f t="shared" si="4"/>
        <v>0</v>
      </c>
      <c r="H377" s="26">
        <f t="shared" si="5"/>
        <v>0</v>
      </c>
      <c r="I377" s="24">
        <f t="shared" si="6"/>
        <v>0</v>
      </c>
      <c r="J377" s="24">
        <f t="shared" si="7"/>
        <v>0</v>
      </c>
      <c r="K377" s="24"/>
      <c r="L377" s="24">
        <f t="shared" si="8"/>
        <v>407.5694538</v>
      </c>
      <c r="M377" s="14">
        <f t="shared" si="9"/>
        <v>402.4748693</v>
      </c>
      <c r="N377" s="27">
        <f t="shared" si="10"/>
        <v>5.09458448</v>
      </c>
      <c r="O377" s="24"/>
      <c r="P377" s="24"/>
      <c r="Q377" s="24"/>
      <c r="R377" s="26"/>
      <c r="S377" s="9">
        <f t="shared" si="13"/>
        <v>4.678337226</v>
      </c>
    </row>
    <row r="378">
      <c r="A378" s="11">
        <v>366.0</v>
      </c>
      <c r="B378" s="11">
        <v>1.42098695652173E9</v>
      </c>
      <c r="C378" s="2">
        <v>-102.7242126</v>
      </c>
      <c r="D378" s="24">
        <f t="shared" si="1"/>
        <v>586956.5217</v>
      </c>
      <c r="E378" s="25">
        <f t="shared" si="2"/>
        <v>-124.888274</v>
      </c>
      <c r="F378" s="24">
        <f t="shared" si="3"/>
        <v>0.0002127726149</v>
      </c>
      <c r="G378" s="24">
        <f t="shared" si="4"/>
        <v>0</v>
      </c>
      <c r="H378" s="26">
        <f t="shared" si="5"/>
        <v>0</v>
      </c>
      <c r="I378" s="24">
        <f t="shared" si="6"/>
        <v>0</v>
      </c>
      <c r="J378" s="24">
        <f t="shared" si="7"/>
        <v>0</v>
      </c>
      <c r="K378" s="24"/>
      <c r="L378" s="24">
        <f t="shared" si="8"/>
        <v>406.1485503</v>
      </c>
      <c r="M378" s="14">
        <f t="shared" si="9"/>
        <v>402.3796354</v>
      </c>
      <c r="N378" s="27">
        <f t="shared" si="10"/>
        <v>3.768914837</v>
      </c>
      <c r="O378" s="24"/>
      <c r="P378" s="24"/>
      <c r="Q378" s="24"/>
      <c r="R378" s="26"/>
      <c r="S378" s="9">
        <f t="shared" si="13"/>
        <v>3.46097992</v>
      </c>
    </row>
    <row r="379">
      <c r="A379" s="11">
        <v>367.0</v>
      </c>
      <c r="B379" s="11">
        <v>1.42099130434782E9</v>
      </c>
      <c r="C379" s="2">
        <v>-102.768837</v>
      </c>
      <c r="D379" s="24">
        <f t="shared" si="1"/>
        <v>591304.3478</v>
      </c>
      <c r="E379" s="25">
        <f t="shared" si="2"/>
        <v>-125.8065701</v>
      </c>
      <c r="F379" s="24">
        <f t="shared" si="3"/>
        <v>0.0002127611112</v>
      </c>
      <c r="G379" s="24">
        <f t="shared" si="4"/>
        <v>0</v>
      </c>
      <c r="H379" s="26">
        <f t="shared" si="5"/>
        <v>0</v>
      </c>
      <c r="I379" s="24">
        <f t="shared" si="6"/>
        <v>0</v>
      </c>
      <c r="J379" s="24">
        <f t="shared" si="7"/>
        <v>0</v>
      </c>
      <c r="K379" s="24"/>
      <c r="L379" s="24">
        <f t="shared" si="8"/>
        <v>401.9966809</v>
      </c>
      <c r="M379" s="14">
        <f t="shared" si="9"/>
        <v>402.2845525</v>
      </c>
      <c r="N379" s="27">
        <f t="shared" si="10"/>
        <v>-0.2878715844</v>
      </c>
      <c r="O379" s="24"/>
      <c r="P379" s="24"/>
      <c r="Q379" s="24"/>
      <c r="R379" s="26"/>
      <c r="S379" s="9">
        <f t="shared" si="13"/>
        <v>-0.2643513627</v>
      </c>
    </row>
    <row r="380">
      <c r="A380" s="11">
        <v>368.0</v>
      </c>
      <c r="B380" s="11">
        <v>1.42099565217391E9</v>
      </c>
      <c r="C380" s="2">
        <v>-102.7237015</v>
      </c>
      <c r="D380" s="24">
        <f t="shared" si="1"/>
        <v>595652.1739</v>
      </c>
      <c r="E380" s="25">
        <f t="shared" si="2"/>
        <v>-126.7248662</v>
      </c>
      <c r="F380" s="24">
        <f t="shared" si="3"/>
        <v>0.0002127497754</v>
      </c>
      <c r="G380" s="24">
        <f t="shared" si="4"/>
        <v>0</v>
      </c>
      <c r="H380" s="26">
        <f t="shared" si="5"/>
        <v>0</v>
      </c>
      <c r="I380" s="24">
        <f t="shared" si="6"/>
        <v>0</v>
      </c>
      <c r="J380" s="24">
        <f t="shared" si="7"/>
        <v>0</v>
      </c>
      <c r="K380" s="24"/>
      <c r="L380" s="24">
        <f t="shared" si="8"/>
        <v>406.1963507</v>
      </c>
      <c r="M380" s="14">
        <f t="shared" si="9"/>
        <v>402.1896226</v>
      </c>
      <c r="N380" s="27">
        <f t="shared" si="10"/>
        <v>4.006728078</v>
      </c>
      <c r="O380" s="24"/>
      <c r="P380" s="24"/>
      <c r="Q380" s="24"/>
      <c r="R380" s="26"/>
      <c r="S380" s="9">
        <f t="shared" si="13"/>
        <v>3.679362891</v>
      </c>
    </row>
    <row r="381">
      <c r="A381" s="11">
        <v>369.0</v>
      </c>
      <c r="B381" s="11">
        <v>1.421E9</v>
      </c>
      <c r="C381" s="2">
        <v>-102.7272797</v>
      </c>
      <c r="D381" s="24">
        <f t="shared" si="1"/>
        <v>600000</v>
      </c>
      <c r="E381" s="25">
        <f t="shared" si="2"/>
        <v>-127.6431624</v>
      </c>
      <c r="F381" s="24">
        <f t="shared" si="3"/>
        <v>0.0002127386039</v>
      </c>
      <c r="G381" s="24">
        <f t="shared" si="4"/>
        <v>0</v>
      </c>
      <c r="H381" s="26">
        <f t="shared" si="5"/>
        <v>0</v>
      </c>
      <c r="I381" s="24">
        <f t="shared" si="6"/>
        <v>0</v>
      </c>
      <c r="J381" s="24">
        <f t="shared" si="7"/>
        <v>0</v>
      </c>
      <c r="K381" s="24"/>
      <c r="L381" s="24">
        <f t="shared" si="8"/>
        <v>405.8618189</v>
      </c>
      <c r="M381" s="14">
        <f t="shared" si="9"/>
        <v>402.0948478</v>
      </c>
      <c r="N381" s="27">
        <f t="shared" si="10"/>
        <v>3.76697107</v>
      </c>
      <c r="O381" s="24"/>
      <c r="P381" s="24"/>
      <c r="Q381" s="24"/>
      <c r="R381" s="26"/>
      <c r="S381" s="9">
        <f t="shared" si="13"/>
        <v>3.459194966</v>
      </c>
    </row>
    <row r="382">
      <c r="A382" s="11">
        <v>370.0</v>
      </c>
      <c r="B382" s="11">
        <v>1.42100434782608E9</v>
      </c>
      <c r="C382" s="2">
        <v>-102.7117462</v>
      </c>
      <c r="D382" s="24">
        <f t="shared" si="1"/>
        <v>604347.8261</v>
      </c>
      <c r="E382" s="25">
        <f t="shared" si="2"/>
        <v>-128.5614585</v>
      </c>
      <c r="F382" s="24">
        <f t="shared" si="3"/>
        <v>0.0002127275932</v>
      </c>
      <c r="G382" s="24">
        <f t="shared" si="4"/>
        <v>0</v>
      </c>
      <c r="H382" s="26">
        <f t="shared" si="5"/>
        <v>0</v>
      </c>
      <c r="I382" s="24">
        <f t="shared" si="6"/>
        <v>0</v>
      </c>
      <c r="J382" s="24">
        <f t="shared" si="7"/>
        <v>0</v>
      </c>
      <c r="K382" s="24"/>
      <c r="L382" s="24">
        <f t="shared" si="8"/>
        <v>407.3160724</v>
      </c>
      <c r="M382" s="14">
        <f t="shared" si="9"/>
        <v>402.0002302</v>
      </c>
      <c r="N382" s="27">
        <f t="shared" si="10"/>
        <v>5.315842229</v>
      </c>
      <c r="O382" s="24"/>
      <c r="P382" s="24"/>
      <c r="Q382" s="24"/>
      <c r="R382" s="26"/>
      <c r="S382" s="9">
        <f t="shared" si="13"/>
        <v>4.881517361</v>
      </c>
    </row>
    <row r="383">
      <c r="A383" s="11">
        <v>371.0</v>
      </c>
      <c r="B383" s="11">
        <v>1.42100869565217E9</v>
      </c>
      <c r="C383" s="2">
        <v>-102.7764282</v>
      </c>
      <c r="D383" s="24">
        <f t="shared" si="1"/>
        <v>608695.6522</v>
      </c>
      <c r="E383" s="25">
        <f t="shared" si="2"/>
        <v>-129.4797546</v>
      </c>
      <c r="F383" s="24">
        <f t="shared" si="3"/>
        <v>0.0002127167398</v>
      </c>
      <c r="G383" s="24">
        <f t="shared" si="4"/>
        <v>0</v>
      </c>
      <c r="H383" s="26">
        <f t="shared" si="5"/>
        <v>0</v>
      </c>
      <c r="I383" s="24">
        <f t="shared" si="6"/>
        <v>0</v>
      </c>
      <c r="J383" s="24">
        <f t="shared" si="7"/>
        <v>0</v>
      </c>
      <c r="K383" s="24"/>
      <c r="L383" s="24">
        <f t="shared" si="8"/>
        <v>401.2946293</v>
      </c>
      <c r="M383" s="14">
        <f t="shared" si="9"/>
        <v>401.9057717</v>
      </c>
      <c r="N383" s="27">
        <f t="shared" si="10"/>
        <v>-0.6111424318</v>
      </c>
      <c r="O383" s="24"/>
      <c r="P383" s="24"/>
      <c r="Q383" s="24"/>
      <c r="R383" s="26"/>
      <c r="S383" s="9">
        <f t="shared" si="13"/>
        <v>-0.5612097304</v>
      </c>
    </row>
    <row r="384">
      <c r="A384" s="11">
        <v>372.0</v>
      </c>
      <c r="B384" s="11">
        <v>1.42101304347826E9</v>
      </c>
      <c r="C384" s="2">
        <v>-102.8073654</v>
      </c>
      <c r="D384" s="24">
        <f t="shared" si="1"/>
        <v>613043.4783</v>
      </c>
      <c r="E384" s="25">
        <f t="shared" si="2"/>
        <v>-130.3980508</v>
      </c>
      <c r="F384" s="24">
        <f t="shared" si="3"/>
        <v>0.0002127060402</v>
      </c>
      <c r="G384" s="24">
        <f t="shared" si="4"/>
        <v>0</v>
      </c>
      <c r="H384" s="26">
        <f t="shared" si="5"/>
        <v>0</v>
      </c>
      <c r="I384" s="24">
        <f t="shared" si="6"/>
        <v>0</v>
      </c>
      <c r="J384" s="24">
        <f t="shared" si="7"/>
        <v>0</v>
      </c>
      <c r="K384" s="24"/>
      <c r="L384" s="24">
        <f t="shared" si="8"/>
        <v>398.4461432</v>
      </c>
      <c r="M384" s="14">
        <f t="shared" si="9"/>
        <v>401.8114744</v>
      </c>
      <c r="N384" s="27">
        <f t="shared" si="10"/>
        <v>-3.365331251</v>
      </c>
      <c r="O384" s="24"/>
      <c r="P384" s="24"/>
      <c r="Q384" s="24"/>
      <c r="R384" s="26"/>
      <c r="S384" s="9">
        <f t="shared" si="13"/>
        <v>-3.090370673</v>
      </c>
    </row>
    <row r="385">
      <c r="A385" s="11">
        <v>373.0</v>
      </c>
      <c r="B385" s="11">
        <v>1.42101739130434E9</v>
      </c>
      <c r="C385" s="2">
        <v>-102.7558136</v>
      </c>
      <c r="D385" s="24">
        <f t="shared" si="1"/>
        <v>617391.3043</v>
      </c>
      <c r="E385" s="25">
        <f t="shared" si="2"/>
        <v>-131.3163469</v>
      </c>
      <c r="F385" s="24">
        <f t="shared" si="3"/>
        <v>0.0002126954915</v>
      </c>
      <c r="G385" s="24">
        <f t="shared" si="4"/>
        <v>0</v>
      </c>
      <c r="H385" s="26">
        <f t="shared" si="5"/>
        <v>0</v>
      </c>
      <c r="I385" s="24">
        <f t="shared" si="6"/>
        <v>0</v>
      </c>
      <c r="J385" s="24">
        <f t="shared" si="7"/>
        <v>0</v>
      </c>
      <c r="K385" s="24"/>
      <c r="L385" s="24">
        <f t="shared" si="8"/>
        <v>403.2039772</v>
      </c>
      <c r="M385" s="14">
        <f t="shared" si="9"/>
        <v>401.7173405</v>
      </c>
      <c r="N385" s="27">
        <f t="shared" si="10"/>
        <v>1.486636749</v>
      </c>
      <c r="O385" s="24"/>
      <c r="P385" s="24"/>
      <c r="Q385" s="24"/>
      <c r="R385" s="26"/>
      <c r="S385" s="9">
        <f t="shared" si="13"/>
        <v>1.365172778</v>
      </c>
    </row>
    <row r="386">
      <c r="A386" s="11">
        <v>374.0</v>
      </c>
      <c r="B386" s="11">
        <v>1.42102173913043E9</v>
      </c>
      <c r="C386" s="2">
        <v>-102.776886</v>
      </c>
      <c r="D386" s="24">
        <f t="shared" si="1"/>
        <v>621739.1304</v>
      </c>
      <c r="E386" s="25">
        <f t="shared" si="2"/>
        <v>-132.234643</v>
      </c>
      <c r="F386" s="24">
        <f t="shared" si="3"/>
        <v>0.0002126850902</v>
      </c>
      <c r="G386" s="24">
        <f t="shared" si="4"/>
        <v>0</v>
      </c>
      <c r="H386" s="26">
        <f t="shared" si="5"/>
        <v>0</v>
      </c>
      <c r="I386" s="24">
        <f t="shared" si="6"/>
        <v>0</v>
      </c>
      <c r="J386" s="24">
        <f t="shared" si="7"/>
        <v>0</v>
      </c>
      <c r="K386" s="24"/>
      <c r="L386" s="24">
        <f t="shared" si="8"/>
        <v>401.2523301</v>
      </c>
      <c r="M386" s="14">
        <f t="shared" si="9"/>
        <v>401.6233719</v>
      </c>
      <c r="N386" s="27">
        <f t="shared" si="10"/>
        <v>-0.3710417988</v>
      </c>
      <c r="O386" s="24"/>
      <c r="P386" s="24"/>
      <c r="Q386" s="24"/>
      <c r="R386" s="26"/>
      <c r="S386" s="9">
        <f t="shared" si="13"/>
        <v>-0.3407262481</v>
      </c>
    </row>
    <row r="387">
      <c r="A387" s="11">
        <v>375.0</v>
      </c>
      <c r="B387" s="11">
        <v>1.42102608695652E9</v>
      </c>
      <c r="C387" s="2">
        <v>-102.7795029</v>
      </c>
      <c r="D387" s="24">
        <f t="shared" si="1"/>
        <v>626086.9565</v>
      </c>
      <c r="E387" s="25">
        <f t="shared" si="2"/>
        <v>-133.1529392</v>
      </c>
      <c r="F387" s="24">
        <f t="shared" si="3"/>
        <v>0.0002126748334</v>
      </c>
      <c r="G387" s="24">
        <f t="shared" si="4"/>
        <v>0</v>
      </c>
      <c r="H387" s="26">
        <f t="shared" si="5"/>
        <v>0</v>
      </c>
      <c r="I387" s="24">
        <f t="shared" si="6"/>
        <v>0</v>
      </c>
      <c r="J387" s="24">
        <f t="shared" si="7"/>
        <v>0</v>
      </c>
      <c r="K387" s="24"/>
      <c r="L387" s="24">
        <f t="shared" si="8"/>
        <v>401.0106229</v>
      </c>
      <c r="M387" s="14">
        <f t="shared" si="9"/>
        <v>401.5295707</v>
      </c>
      <c r="N387" s="27">
        <f t="shared" si="10"/>
        <v>-0.5189477625</v>
      </c>
      <c r="O387" s="24"/>
      <c r="P387" s="24"/>
      <c r="Q387" s="24"/>
      <c r="R387" s="26"/>
      <c r="S387" s="9">
        <f t="shared" si="13"/>
        <v>-0.4765477235</v>
      </c>
    </row>
    <row r="388">
      <c r="A388" s="11">
        <v>376.0</v>
      </c>
      <c r="B388" s="11">
        <v>1.4210304347826E9</v>
      </c>
      <c r="C388" s="2">
        <v>-102.7891006</v>
      </c>
      <c r="D388" s="24">
        <f t="shared" si="1"/>
        <v>630434.7826</v>
      </c>
      <c r="E388" s="25">
        <f t="shared" si="2"/>
        <v>-134.0712353</v>
      </c>
      <c r="F388" s="24">
        <f t="shared" si="3"/>
        <v>0.0002126647181</v>
      </c>
      <c r="G388" s="24">
        <f t="shared" si="4"/>
        <v>0</v>
      </c>
      <c r="H388" s="26">
        <f t="shared" si="5"/>
        <v>0</v>
      </c>
      <c r="I388" s="24">
        <f t="shared" si="6"/>
        <v>0</v>
      </c>
      <c r="J388" s="24">
        <f t="shared" si="7"/>
        <v>0</v>
      </c>
      <c r="K388" s="24"/>
      <c r="L388" s="24">
        <f t="shared" si="8"/>
        <v>400.1253872</v>
      </c>
      <c r="M388" s="14">
        <f t="shared" si="9"/>
        <v>401.4359389</v>
      </c>
      <c r="N388" s="27">
        <f t="shared" si="10"/>
        <v>-1.310551742</v>
      </c>
      <c r="O388" s="24"/>
      <c r="P388" s="24"/>
      <c r="Q388" s="24"/>
      <c r="R388" s="26"/>
      <c r="S388" s="9">
        <f t="shared" si="13"/>
        <v>-1.203474597</v>
      </c>
    </row>
    <row r="389">
      <c r="A389" s="11">
        <v>377.0</v>
      </c>
      <c r="B389" s="11">
        <v>1.42103478260869E9</v>
      </c>
      <c r="C389" s="2">
        <v>-102.812294</v>
      </c>
      <c r="D389" s="24">
        <f t="shared" si="1"/>
        <v>634782.6087</v>
      </c>
      <c r="E389" s="25">
        <f t="shared" si="2"/>
        <v>-134.9895314</v>
      </c>
      <c r="F389" s="24">
        <f t="shared" si="3"/>
        <v>0.0002126547413</v>
      </c>
      <c r="G389" s="24">
        <f t="shared" si="4"/>
        <v>0</v>
      </c>
      <c r="H389" s="26">
        <f t="shared" si="5"/>
        <v>0</v>
      </c>
      <c r="I389" s="24">
        <f t="shared" si="6"/>
        <v>0</v>
      </c>
      <c r="J389" s="24">
        <f t="shared" si="7"/>
        <v>0</v>
      </c>
      <c r="K389" s="24"/>
      <c r="L389" s="24">
        <f t="shared" si="8"/>
        <v>397.9942222</v>
      </c>
      <c r="M389" s="14">
        <f t="shared" si="9"/>
        <v>401.3424786</v>
      </c>
      <c r="N389" s="27">
        <f t="shared" si="10"/>
        <v>-3.348256411</v>
      </c>
      <c r="O389" s="24"/>
      <c r="P389" s="24"/>
      <c r="Q389" s="24"/>
      <c r="R389" s="26"/>
      <c r="S389" s="9">
        <f t="shared" si="13"/>
        <v>-3.074690914</v>
      </c>
    </row>
    <row r="390">
      <c r="A390" s="11">
        <v>378.0</v>
      </c>
      <c r="B390" s="11">
        <v>1.42103913043478E9</v>
      </c>
      <c r="C390" s="2">
        <v>-102.7624054</v>
      </c>
      <c r="D390" s="24">
        <f t="shared" si="1"/>
        <v>639130.4348</v>
      </c>
      <c r="E390" s="25">
        <f t="shared" si="2"/>
        <v>-135.9078276</v>
      </c>
      <c r="F390" s="24">
        <f t="shared" si="3"/>
        <v>0.0002126449003</v>
      </c>
      <c r="G390" s="24">
        <f t="shared" si="4"/>
        <v>0</v>
      </c>
      <c r="H390" s="26">
        <f t="shared" si="5"/>
        <v>0</v>
      </c>
      <c r="I390" s="24">
        <f t="shared" si="6"/>
        <v>0</v>
      </c>
      <c r="J390" s="24">
        <f t="shared" si="7"/>
        <v>0</v>
      </c>
      <c r="K390" s="24"/>
      <c r="L390" s="24">
        <f t="shared" si="8"/>
        <v>402.5924512</v>
      </c>
      <c r="M390" s="14">
        <f t="shared" si="9"/>
        <v>401.2491919</v>
      </c>
      <c r="N390" s="27">
        <f t="shared" si="10"/>
        <v>1.343259232</v>
      </c>
      <c r="O390" s="24"/>
      <c r="P390" s="24"/>
      <c r="Q390" s="24"/>
      <c r="R390" s="26"/>
      <c r="S390" s="9">
        <f t="shared" si="13"/>
        <v>1.233509755</v>
      </c>
    </row>
    <row r="391">
      <c r="A391" s="11">
        <v>379.0</v>
      </c>
      <c r="B391" s="11">
        <v>1.42104347826087E9</v>
      </c>
      <c r="C391" s="2">
        <v>-102.7353745</v>
      </c>
      <c r="D391" s="24">
        <f t="shared" si="1"/>
        <v>643478.2609</v>
      </c>
      <c r="E391" s="25">
        <f t="shared" si="2"/>
        <v>-136.8261237</v>
      </c>
      <c r="F391" s="24">
        <f t="shared" si="3"/>
        <v>0.0002126351922</v>
      </c>
      <c r="G391" s="24">
        <f t="shared" si="4"/>
        <v>0</v>
      </c>
      <c r="H391" s="26">
        <f t="shared" si="5"/>
        <v>0</v>
      </c>
      <c r="I391" s="24">
        <f t="shared" si="6"/>
        <v>0</v>
      </c>
      <c r="J391" s="24">
        <f t="shared" si="7"/>
        <v>0</v>
      </c>
      <c r="K391" s="24"/>
      <c r="L391" s="24">
        <f t="shared" si="8"/>
        <v>405.106039</v>
      </c>
      <c r="M391" s="14">
        <f t="shared" si="9"/>
        <v>401.1560809</v>
      </c>
      <c r="N391" s="27">
        <f t="shared" si="10"/>
        <v>3.949958169</v>
      </c>
      <c r="O391" s="24"/>
      <c r="P391" s="24"/>
      <c r="Q391" s="24"/>
      <c r="R391" s="26"/>
      <c r="S391" s="9">
        <f t="shared" si="13"/>
        <v>3.627231311</v>
      </c>
    </row>
    <row r="392">
      <c r="A392" s="11">
        <v>380.0</v>
      </c>
      <c r="B392" s="11">
        <v>1.42104782608695E9</v>
      </c>
      <c r="C392" s="2">
        <v>-102.7717667</v>
      </c>
      <c r="D392" s="24">
        <f t="shared" si="1"/>
        <v>647826.087</v>
      </c>
      <c r="E392" s="25">
        <f t="shared" si="2"/>
        <v>-137.7444198</v>
      </c>
      <c r="F392" s="24">
        <f t="shared" si="3"/>
        <v>0.0002126256145</v>
      </c>
      <c r="G392" s="24">
        <f t="shared" si="4"/>
        <v>0</v>
      </c>
      <c r="H392" s="26">
        <f t="shared" si="5"/>
        <v>0</v>
      </c>
      <c r="I392" s="24">
        <f t="shared" si="6"/>
        <v>0</v>
      </c>
      <c r="J392" s="24">
        <f t="shared" si="7"/>
        <v>0</v>
      </c>
      <c r="K392" s="24"/>
      <c r="L392" s="24">
        <f t="shared" si="8"/>
        <v>401.7255901</v>
      </c>
      <c r="M392" s="14">
        <f t="shared" si="9"/>
        <v>401.0631474</v>
      </c>
      <c r="N392" s="27">
        <f t="shared" si="10"/>
        <v>0.6624426811</v>
      </c>
      <c r="O392" s="24"/>
      <c r="P392" s="24"/>
      <c r="Q392" s="24"/>
      <c r="R392" s="26"/>
      <c r="S392" s="9">
        <f t="shared" si="13"/>
        <v>0.6083185523</v>
      </c>
    </row>
    <row r="393">
      <c r="A393" s="11">
        <v>381.0</v>
      </c>
      <c r="B393" s="11">
        <v>1.42105217391304E9</v>
      </c>
      <c r="C393" s="2">
        <v>-102.7753525</v>
      </c>
      <c r="D393" s="24">
        <f t="shared" si="1"/>
        <v>652173.913</v>
      </c>
      <c r="E393" s="25">
        <f t="shared" si="2"/>
        <v>-138.662716</v>
      </c>
      <c r="F393" s="24">
        <f t="shared" si="3"/>
        <v>0.0002126161645</v>
      </c>
      <c r="G393" s="24">
        <f t="shared" si="4"/>
        <v>0</v>
      </c>
      <c r="H393" s="26">
        <f t="shared" si="5"/>
        <v>0</v>
      </c>
      <c r="I393" s="24">
        <f t="shared" si="6"/>
        <v>0</v>
      </c>
      <c r="J393" s="24">
        <f t="shared" si="7"/>
        <v>0</v>
      </c>
      <c r="K393" s="24"/>
      <c r="L393" s="24">
        <f t="shared" si="8"/>
        <v>401.3940379</v>
      </c>
      <c r="M393" s="14">
        <f t="shared" si="9"/>
        <v>400.9703937</v>
      </c>
      <c r="N393" s="27">
        <f t="shared" si="10"/>
        <v>0.4236441475</v>
      </c>
      <c r="O393" s="24"/>
      <c r="P393" s="24"/>
      <c r="Q393" s="24"/>
      <c r="R393" s="26"/>
      <c r="S393" s="9">
        <f t="shared" si="13"/>
        <v>0.3890307814</v>
      </c>
    </row>
    <row r="394">
      <c r="A394" s="11">
        <v>382.0</v>
      </c>
      <c r="B394" s="11">
        <v>1.42105652173913E9</v>
      </c>
      <c r="C394" s="2">
        <v>-102.7783737</v>
      </c>
      <c r="D394" s="24">
        <f t="shared" si="1"/>
        <v>656521.7391</v>
      </c>
      <c r="E394" s="25">
        <f t="shared" si="2"/>
        <v>-139.5810121</v>
      </c>
      <c r="F394" s="24">
        <f t="shared" si="3"/>
        <v>0.0002126068396</v>
      </c>
      <c r="G394" s="24">
        <f t="shared" si="4"/>
        <v>0</v>
      </c>
      <c r="H394" s="26">
        <f t="shared" si="5"/>
        <v>0</v>
      </c>
      <c r="I394" s="24">
        <f t="shared" si="6"/>
        <v>0</v>
      </c>
      <c r="J394" s="24">
        <f t="shared" si="7"/>
        <v>0</v>
      </c>
      <c r="K394" s="24"/>
      <c r="L394" s="24">
        <f t="shared" si="8"/>
        <v>401.1149024</v>
      </c>
      <c r="M394" s="14">
        <f t="shared" si="9"/>
        <v>400.8778218</v>
      </c>
      <c r="N394" s="27">
        <f t="shared" si="10"/>
        <v>0.2370806145</v>
      </c>
      <c r="O394" s="24"/>
      <c r="P394" s="24"/>
      <c r="Q394" s="24"/>
      <c r="R394" s="26"/>
      <c r="S394" s="9">
        <f t="shared" si="13"/>
        <v>0.2177102115</v>
      </c>
    </row>
    <row r="395">
      <c r="A395" s="11">
        <v>383.0</v>
      </c>
      <c r="B395" s="11">
        <v>1.42106086956521E9</v>
      </c>
      <c r="C395" s="2">
        <v>-102.752449</v>
      </c>
      <c r="D395" s="24">
        <f t="shared" si="1"/>
        <v>660869.5652</v>
      </c>
      <c r="E395" s="25">
        <f t="shared" si="2"/>
        <v>-140.4993082</v>
      </c>
      <c r="F395" s="24">
        <f t="shared" si="3"/>
        <v>0.0002125976374</v>
      </c>
      <c r="G395" s="24">
        <f t="shared" si="4"/>
        <v>0</v>
      </c>
      <c r="H395" s="26">
        <f t="shared" si="5"/>
        <v>0</v>
      </c>
      <c r="I395" s="24">
        <f t="shared" si="6"/>
        <v>0</v>
      </c>
      <c r="J395" s="24">
        <f t="shared" si="7"/>
        <v>0</v>
      </c>
      <c r="K395" s="24"/>
      <c r="L395" s="24">
        <f t="shared" si="8"/>
        <v>403.5164716</v>
      </c>
      <c r="M395" s="14">
        <f t="shared" si="9"/>
        <v>400.7854337</v>
      </c>
      <c r="N395" s="27">
        <f t="shared" si="10"/>
        <v>2.731037933</v>
      </c>
      <c r="O395" s="24"/>
      <c r="P395" s="24"/>
      <c r="Q395" s="24"/>
      <c r="R395" s="26"/>
      <c r="S395" s="9">
        <f t="shared" si="13"/>
        <v>2.507901572</v>
      </c>
    </row>
    <row r="396">
      <c r="A396" s="11">
        <v>384.0</v>
      </c>
      <c r="B396" s="11">
        <v>1.4210652173913E9</v>
      </c>
      <c r="C396" s="2">
        <v>-102.8147583</v>
      </c>
      <c r="D396" s="24">
        <f t="shared" si="1"/>
        <v>665217.3913</v>
      </c>
      <c r="E396" s="25">
        <f t="shared" si="2"/>
        <v>-141.4176043</v>
      </c>
      <c r="F396" s="24">
        <f t="shared" si="3"/>
        <v>0.0002125885556</v>
      </c>
      <c r="G396" s="24">
        <f t="shared" si="4"/>
        <v>0</v>
      </c>
      <c r="H396" s="26">
        <f t="shared" si="5"/>
        <v>0</v>
      </c>
      <c r="I396" s="24">
        <f t="shared" si="6"/>
        <v>0</v>
      </c>
      <c r="J396" s="24">
        <f t="shared" si="7"/>
        <v>0</v>
      </c>
      <c r="K396" s="24"/>
      <c r="L396" s="24">
        <f t="shared" si="8"/>
        <v>397.768454</v>
      </c>
      <c r="M396" s="14">
        <f t="shared" si="9"/>
        <v>400.6932314</v>
      </c>
      <c r="N396" s="27">
        <f t="shared" si="10"/>
        <v>-2.924777413</v>
      </c>
      <c r="O396" s="24"/>
      <c r="P396" s="24"/>
      <c r="Q396" s="24"/>
      <c r="R396" s="26"/>
      <c r="S396" s="9">
        <f t="shared" si="13"/>
        <v>-2.685811781</v>
      </c>
    </row>
    <row r="397">
      <c r="A397" s="11">
        <v>385.0</v>
      </c>
      <c r="B397" s="11">
        <v>1.42106956521739E9</v>
      </c>
      <c r="C397" s="2">
        <v>-102.7736206</v>
      </c>
      <c r="D397" s="24">
        <f t="shared" si="1"/>
        <v>669565.2174</v>
      </c>
      <c r="E397" s="25">
        <f t="shared" si="2"/>
        <v>-142.3359005</v>
      </c>
      <c r="F397" s="24">
        <f t="shared" si="3"/>
        <v>0.0002125795916</v>
      </c>
      <c r="G397" s="24">
        <f t="shared" si="4"/>
        <v>0</v>
      </c>
      <c r="H397" s="26">
        <f t="shared" si="5"/>
        <v>0</v>
      </c>
      <c r="I397" s="24">
        <f t="shared" si="6"/>
        <v>0</v>
      </c>
      <c r="J397" s="24">
        <f t="shared" si="7"/>
        <v>0</v>
      </c>
      <c r="K397" s="24"/>
      <c r="L397" s="24">
        <f t="shared" si="8"/>
        <v>401.5541396</v>
      </c>
      <c r="M397" s="14">
        <f t="shared" si="9"/>
        <v>400.6012171</v>
      </c>
      <c r="N397" s="27">
        <f t="shared" si="10"/>
        <v>0.9529224842</v>
      </c>
      <c r="O397" s="24"/>
      <c r="P397" s="24"/>
      <c r="Q397" s="24"/>
      <c r="R397" s="26"/>
      <c r="S397" s="9">
        <f t="shared" si="13"/>
        <v>0.8750650321</v>
      </c>
    </row>
    <row r="398">
      <c r="A398" s="11">
        <v>386.0</v>
      </c>
      <c r="B398" s="11">
        <v>1.42107391304347E9</v>
      </c>
      <c r="C398" s="2">
        <v>-102.7520065</v>
      </c>
      <c r="D398" s="24">
        <f t="shared" si="1"/>
        <v>673913.0435</v>
      </c>
      <c r="E398" s="25">
        <f t="shared" si="2"/>
        <v>-143.2541966</v>
      </c>
      <c r="F398" s="24">
        <f t="shared" si="3"/>
        <v>0.0002125707434</v>
      </c>
      <c r="G398" s="24">
        <f t="shared" si="4"/>
        <v>0</v>
      </c>
      <c r="H398" s="26">
        <f t="shared" si="5"/>
        <v>0</v>
      </c>
      <c r="I398" s="24">
        <f t="shared" si="6"/>
        <v>0</v>
      </c>
      <c r="J398" s="24">
        <f t="shared" si="7"/>
        <v>0</v>
      </c>
      <c r="K398" s="24"/>
      <c r="L398" s="24">
        <f t="shared" si="8"/>
        <v>403.5575877</v>
      </c>
      <c r="M398" s="14">
        <f t="shared" si="9"/>
        <v>400.5093928</v>
      </c>
      <c r="N398" s="27">
        <f t="shared" si="10"/>
        <v>3.048194957</v>
      </c>
      <c r="O398" s="24"/>
      <c r="P398" s="24"/>
      <c r="Q398" s="24"/>
      <c r="R398" s="26"/>
      <c r="S398" s="9">
        <f t="shared" si="13"/>
        <v>2.799145641</v>
      </c>
    </row>
    <row r="399">
      <c r="A399" s="11">
        <v>387.0</v>
      </c>
      <c r="B399" s="11">
        <v>1.42107826086956E9</v>
      </c>
      <c r="C399" s="2">
        <v>-102.8213577</v>
      </c>
      <c r="D399" s="24">
        <f t="shared" si="1"/>
        <v>678260.8696</v>
      </c>
      <c r="E399" s="25">
        <f t="shared" si="2"/>
        <v>-144.1724927</v>
      </c>
      <c r="F399" s="24">
        <f t="shared" si="3"/>
        <v>0.0002125620085</v>
      </c>
      <c r="G399" s="24">
        <f t="shared" si="4"/>
        <v>0</v>
      </c>
      <c r="H399" s="26">
        <f t="shared" si="5"/>
        <v>0</v>
      </c>
      <c r="I399" s="24">
        <f t="shared" si="6"/>
        <v>0</v>
      </c>
      <c r="J399" s="24">
        <f t="shared" si="7"/>
        <v>0</v>
      </c>
      <c r="K399" s="24"/>
      <c r="L399" s="24">
        <f t="shared" si="8"/>
        <v>397.1644768</v>
      </c>
      <c r="M399" s="14">
        <f t="shared" si="9"/>
        <v>400.4177605</v>
      </c>
      <c r="N399" s="27">
        <f t="shared" si="10"/>
        <v>-3.253283687</v>
      </c>
      <c r="O399" s="24"/>
      <c r="P399" s="24"/>
      <c r="Q399" s="24"/>
      <c r="R399" s="26"/>
      <c r="S399" s="9">
        <f t="shared" si="13"/>
        <v>-2.987477821</v>
      </c>
    </row>
    <row r="400">
      <c r="A400" s="11">
        <v>388.0</v>
      </c>
      <c r="B400" s="11">
        <v>1.42108260869565E9</v>
      </c>
      <c r="C400" s="2">
        <v>-102.8220215</v>
      </c>
      <c r="D400" s="24">
        <f t="shared" si="1"/>
        <v>682608.6957</v>
      </c>
      <c r="E400" s="25">
        <f t="shared" si="2"/>
        <v>-145.0907889</v>
      </c>
      <c r="F400" s="24">
        <f t="shared" si="3"/>
        <v>0.000212553385</v>
      </c>
      <c r="G400" s="24">
        <f t="shared" si="4"/>
        <v>0</v>
      </c>
      <c r="H400" s="26">
        <f t="shared" si="5"/>
        <v>0</v>
      </c>
      <c r="I400" s="24">
        <f t="shared" si="6"/>
        <v>0</v>
      </c>
      <c r="J400" s="24">
        <f t="shared" si="7"/>
        <v>0</v>
      </c>
      <c r="K400" s="24"/>
      <c r="L400" s="24">
        <f t="shared" si="8"/>
        <v>397.1037766</v>
      </c>
      <c r="M400" s="14">
        <f t="shared" si="9"/>
        <v>400.3263223</v>
      </c>
      <c r="N400" s="27">
        <f t="shared" si="10"/>
        <v>-3.222545685</v>
      </c>
      <c r="O400" s="24"/>
      <c r="P400" s="24"/>
      <c r="Q400" s="24"/>
      <c r="R400" s="26"/>
      <c r="S400" s="9">
        <f t="shared" si="13"/>
        <v>-2.959251241</v>
      </c>
    </row>
    <row r="401">
      <c r="A401" s="11">
        <v>389.0</v>
      </c>
      <c r="B401" s="11">
        <v>1.42108695652173E9</v>
      </c>
      <c r="C401" s="2">
        <v>-102.7805023</v>
      </c>
      <c r="D401" s="24">
        <f t="shared" si="1"/>
        <v>686956.5217</v>
      </c>
      <c r="E401" s="25">
        <f t="shared" si="2"/>
        <v>-146.009085</v>
      </c>
      <c r="F401" s="24">
        <f t="shared" si="3"/>
        <v>0.0002125448706</v>
      </c>
      <c r="G401" s="24">
        <f t="shared" si="4"/>
        <v>0</v>
      </c>
      <c r="H401" s="26">
        <f t="shared" si="5"/>
        <v>0</v>
      </c>
      <c r="I401" s="24">
        <f t="shared" si="6"/>
        <v>0</v>
      </c>
      <c r="J401" s="24">
        <f t="shared" si="7"/>
        <v>0</v>
      </c>
      <c r="K401" s="24"/>
      <c r="L401" s="24">
        <f t="shared" si="8"/>
        <v>400.9183528</v>
      </c>
      <c r="M401" s="14">
        <f t="shared" si="9"/>
        <v>400.2350802</v>
      </c>
      <c r="N401" s="27">
        <f t="shared" si="10"/>
        <v>0.6832725952</v>
      </c>
      <c r="O401" s="24"/>
      <c r="P401" s="24"/>
      <c r="Q401" s="24"/>
      <c r="R401" s="26"/>
      <c r="S401" s="9">
        <f t="shared" si="13"/>
        <v>0.6274465818</v>
      </c>
    </row>
    <row r="402">
      <c r="A402" s="11">
        <v>390.0</v>
      </c>
      <c r="B402" s="11">
        <v>1.42109130434782E9</v>
      </c>
      <c r="C402" s="2">
        <v>-102.7670059</v>
      </c>
      <c r="D402" s="24">
        <f t="shared" si="1"/>
        <v>691304.3478</v>
      </c>
      <c r="E402" s="25">
        <f t="shared" si="2"/>
        <v>-146.9273811</v>
      </c>
      <c r="F402" s="24">
        <f t="shared" si="3"/>
        <v>0.0002125364633</v>
      </c>
      <c r="G402" s="24">
        <f t="shared" si="4"/>
        <v>0</v>
      </c>
      <c r="H402" s="26">
        <f t="shared" si="5"/>
        <v>0</v>
      </c>
      <c r="I402" s="24">
        <f t="shared" si="6"/>
        <v>0</v>
      </c>
      <c r="J402" s="24">
        <f t="shared" si="7"/>
        <v>0</v>
      </c>
      <c r="K402" s="24"/>
      <c r="L402" s="24">
        <f t="shared" si="8"/>
        <v>402.1662091</v>
      </c>
      <c r="M402" s="14">
        <f t="shared" si="9"/>
        <v>400.1440364</v>
      </c>
      <c r="N402" s="27">
        <f t="shared" si="10"/>
        <v>2.022172723</v>
      </c>
      <c r="O402" s="24"/>
      <c r="P402" s="24"/>
      <c r="Q402" s="24"/>
      <c r="R402" s="26"/>
      <c r="S402" s="9">
        <f t="shared" si="13"/>
        <v>1.856953391</v>
      </c>
    </row>
    <row r="403">
      <c r="A403" s="11">
        <v>391.0</v>
      </c>
      <c r="B403" s="11">
        <v>1.42109565217391E9</v>
      </c>
      <c r="C403" s="2">
        <v>-102.7881088</v>
      </c>
      <c r="D403" s="24">
        <f t="shared" si="1"/>
        <v>695652.1739</v>
      </c>
      <c r="E403" s="25">
        <f t="shared" si="2"/>
        <v>-147.8456773</v>
      </c>
      <c r="F403" s="24">
        <f t="shared" si="3"/>
        <v>0.0002125281611</v>
      </c>
      <c r="G403" s="24">
        <f t="shared" si="4"/>
        <v>0</v>
      </c>
      <c r="H403" s="26">
        <f t="shared" si="5"/>
        <v>0</v>
      </c>
      <c r="I403" s="24">
        <f t="shared" si="6"/>
        <v>0</v>
      </c>
      <c r="J403" s="24">
        <f t="shared" si="7"/>
        <v>0</v>
      </c>
      <c r="K403" s="24"/>
      <c r="L403" s="24">
        <f t="shared" si="8"/>
        <v>400.2167744</v>
      </c>
      <c r="M403" s="14">
        <f t="shared" si="9"/>
        <v>400.0531927</v>
      </c>
      <c r="N403" s="27">
        <f t="shared" si="10"/>
        <v>0.1635816553</v>
      </c>
      <c r="O403" s="24"/>
      <c r="P403" s="24"/>
      <c r="Q403" s="24"/>
      <c r="R403" s="26"/>
      <c r="S403" s="9">
        <f t="shared" si="13"/>
        <v>0.1502164011</v>
      </c>
    </row>
    <row r="404">
      <c r="A404" s="11">
        <v>392.0</v>
      </c>
      <c r="B404" s="11">
        <v>1.4211E9</v>
      </c>
      <c r="C404" s="2">
        <v>-102.7387772</v>
      </c>
      <c r="D404" s="24">
        <f t="shared" si="1"/>
        <v>700000</v>
      </c>
      <c r="E404" s="25">
        <f t="shared" si="2"/>
        <v>-148.7639734</v>
      </c>
      <c r="F404" s="24">
        <f t="shared" si="3"/>
        <v>0.000212519962</v>
      </c>
      <c r="G404" s="24">
        <f t="shared" si="4"/>
        <v>0</v>
      </c>
      <c r="H404" s="26">
        <f t="shared" si="5"/>
        <v>0</v>
      </c>
      <c r="I404" s="24">
        <f t="shared" si="6"/>
        <v>0</v>
      </c>
      <c r="J404" s="24">
        <f t="shared" si="7"/>
        <v>0</v>
      </c>
      <c r="K404" s="24"/>
      <c r="L404" s="24">
        <f t="shared" si="8"/>
        <v>404.7887625</v>
      </c>
      <c r="M404" s="14">
        <f t="shared" si="9"/>
        <v>399.9625514</v>
      </c>
      <c r="N404" s="27">
        <f t="shared" si="10"/>
        <v>4.826211083</v>
      </c>
      <c r="O404" s="24"/>
      <c r="P404" s="24"/>
      <c r="Q404" s="24"/>
      <c r="R404" s="26"/>
      <c r="S404" s="9">
        <f t="shared" si="13"/>
        <v>4.431890973</v>
      </c>
    </row>
    <row r="405">
      <c r="A405" s="11">
        <v>393.0</v>
      </c>
      <c r="B405" s="11">
        <v>1.42110434782608E9</v>
      </c>
      <c r="C405" s="2">
        <v>-102.8106842</v>
      </c>
      <c r="D405" s="24">
        <f t="shared" si="1"/>
        <v>704347.8261</v>
      </c>
      <c r="E405" s="25">
        <f t="shared" si="2"/>
        <v>-149.6822695</v>
      </c>
      <c r="F405" s="24">
        <f t="shared" si="3"/>
        <v>0.0002125118642</v>
      </c>
      <c r="G405" s="24">
        <f t="shared" si="4"/>
        <v>0</v>
      </c>
      <c r="H405" s="26">
        <f t="shared" si="5"/>
        <v>0</v>
      </c>
      <c r="I405" s="24">
        <f t="shared" si="6"/>
        <v>0</v>
      </c>
      <c r="J405" s="24">
        <f t="shared" si="7"/>
        <v>0</v>
      </c>
      <c r="K405" s="24"/>
      <c r="L405" s="24">
        <f t="shared" si="8"/>
        <v>398.1417742</v>
      </c>
      <c r="M405" s="14">
        <f t="shared" si="9"/>
        <v>399.8721145</v>
      </c>
      <c r="N405" s="27">
        <f t="shared" si="10"/>
        <v>-1.730340294</v>
      </c>
      <c r="O405" s="24"/>
      <c r="P405" s="24"/>
      <c r="Q405" s="24"/>
      <c r="R405" s="26"/>
      <c r="S405" s="9">
        <f t="shared" si="13"/>
        <v>-1.5889648</v>
      </c>
    </row>
    <row r="406">
      <c r="A406" s="11">
        <v>394.0</v>
      </c>
      <c r="B406" s="11">
        <v>1.42110869565217E9</v>
      </c>
      <c r="C406" s="2">
        <v>-102.7456818</v>
      </c>
      <c r="D406" s="24">
        <f t="shared" si="1"/>
        <v>708695.6522</v>
      </c>
      <c r="E406" s="25">
        <f t="shared" si="2"/>
        <v>-150.6005657</v>
      </c>
      <c r="F406" s="24">
        <f t="shared" si="3"/>
        <v>0.0002125038657</v>
      </c>
      <c r="G406" s="24">
        <f t="shared" si="4"/>
        <v>0</v>
      </c>
      <c r="H406" s="26">
        <f t="shared" si="5"/>
        <v>0</v>
      </c>
      <c r="I406" s="24">
        <f t="shared" si="6"/>
        <v>0</v>
      </c>
      <c r="J406" s="24">
        <f t="shared" si="7"/>
        <v>0</v>
      </c>
      <c r="K406" s="24"/>
      <c r="L406" s="24">
        <f t="shared" si="8"/>
        <v>404.1457233</v>
      </c>
      <c r="M406" s="14">
        <f t="shared" si="9"/>
        <v>399.7818839</v>
      </c>
      <c r="N406" s="27">
        <f t="shared" si="10"/>
        <v>4.363839361</v>
      </c>
      <c r="O406" s="24"/>
      <c r="P406" s="24"/>
      <c r="Q406" s="24"/>
      <c r="R406" s="26"/>
      <c r="S406" s="9">
        <f t="shared" si="13"/>
        <v>4.0072968</v>
      </c>
    </row>
    <row r="407">
      <c r="A407" s="11">
        <v>395.0</v>
      </c>
      <c r="B407" s="11">
        <v>1.42111304347826E9</v>
      </c>
      <c r="C407" s="2">
        <v>-102.7832718</v>
      </c>
      <c r="D407" s="24">
        <f t="shared" si="1"/>
        <v>713043.4783</v>
      </c>
      <c r="E407" s="25">
        <f t="shared" si="2"/>
        <v>-151.5188618</v>
      </c>
      <c r="F407" s="24">
        <f t="shared" si="3"/>
        <v>0.0002124959647</v>
      </c>
      <c r="G407" s="24">
        <f t="shared" si="4"/>
        <v>0</v>
      </c>
      <c r="H407" s="26">
        <f t="shared" si="5"/>
        <v>0</v>
      </c>
      <c r="I407" s="24">
        <f t="shared" si="6"/>
        <v>0</v>
      </c>
      <c r="J407" s="24">
        <f t="shared" si="7"/>
        <v>0</v>
      </c>
      <c r="K407" s="24"/>
      <c r="L407" s="24">
        <f t="shared" si="8"/>
        <v>400.6627683</v>
      </c>
      <c r="M407" s="14">
        <f t="shared" si="9"/>
        <v>399.6918618</v>
      </c>
      <c r="N407" s="27">
        <f t="shared" si="10"/>
        <v>0.970906503</v>
      </c>
      <c r="O407" s="24"/>
      <c r="P407" s="24"/>
      <c r="Q407" s="24"/>
      <c r="R407" s="26"/>
      <c r="S407" s="9">
        <f t="shared" si="13"/>
        <v>0.891579687</v>
      </c>
    </row>
    <row r="408">
      <c r="A408" s="11">
        <v>396.0</v>
      </c>
      <c r="B408" s="11">
        <v>1.42111739130434E9</v>
      </c>
      <c r="C408" s="2">
        <v>-102.7778931</v>
      </c>
      <c r="D408" s="24">
        <f t="shared" si="1"/>
        <v>717391.3043</v>
      </c>
      <c r="E408" s="25">
        <f t="shared" si="2"/>
        <v>-152.4371579</v>
      </c>
      <c r="F408" s="24">
        <f t="shared" si="3"/>
        <v>0.0002124881595</v>
      </c>
      <c r="G408" s="24">
        <f t="shared" si="4"/>
        <v>0</v>
      </c>
      <c r="H408" s="26">
        <f t="shared" si="5"/>
        <v>0</v>
      </c>
      <c r="I408" s="24">
        <f t="shared" si="6"/>
        <v>0</v>
      </c>
      <c r="J408" s="24">
        <f t="shared" si="7"/>
        <v>0</v>
      </c>
      <c r="K408" s="24"/>
      <c r="L408" s="24">
        <f t="shared" si="8"/>
        <v>401.1592931</v>
      </c>
      <c r="M408" s="14">
        <f t="shared" si="9"/>
        <v>399.6020502</v>
      </c>
      <c r="N408" s="27">
        <f t="shared" si="10"/>
        <v>1.557242901</v>
      </c>
      <c r="O408" s="24"/>
      <c r="P408" s="24"/>
      <c r="Q408" s="24"/>
      <c r="R408" s="26"/>
      <c r="S408" s="9">
        <f t="shared" si="13"/>
        <v>1.430010134</v>
      </c>
    </row>
    <row r="409">
      <c r="A409" s="11">
        <v>397.0</v>
      </c>
      <c r="B409" s="11">
        <v>1.42112173913043E9</v>
      </c>
      <c r="C409" s="2">
        <v>-102.750267</v>
      </c>
      <c r="D409" s="24">
        <f t="shared" si="1"/>
        <v>721739.1304</v>
      </c>
      <c r="E409" s="25">
        <f t="shared" si="2"/>
        <v>-153.3554541</v>
      </c>
      <c r="F409" s="24">
        <f t="shared" si="3"/>
        <v>0.0002124804484</v>
      </c>
      <c r="G409" s="24">
        <f t="shared" si="4"/>
        <v>0</v>
      </c>
      <c r="H409" s="26">
        <f t="shared" si="5"/>
        <v>0</v>
      </c>
      <c r="I409" s="24">
        <f t="shared" si="6"/>
        <v>0</v>
      </c>
      <c r="J409" s="24">
        <f t="shared" si="7"/>
        <v>0</v>
      </c>
      <c r="K409" s="24"/>
      <c r="L409" s="24">
        <f t="shared" si="8"/>
        <v>403.7192589</v>
      </c>
      <c r="M409" s="14">
        <f t="shared" si="9"/>
        <v>399.5124512</v>
      </c>
      <c r="N409" s="27">
        <f t="shared" si="10"/>
        <v>4.206807711</v>
      </c>
      <c r="O409" s="24"/>
      <c r="P409" s="24"/>
      <c r="Q409" s="24"/>
      <c r="R409" s="26"/>
      <c r="S409" s="9">
        <f t="shared" si="13"/>
        <v>3.863095243</v>
      </c>
    </row>
    <row r="410">
      <c r="A410" s="11">
        <v>398.0</v>
      </c>
      <c r="B410" s="11">
        <v>1.42112608695652E9</v>
      </c>
      <c r="C410" s="2">
        <v>-102.768959</v>
      </c>
      <c r="D410" s="24">
        <f t="shared" si="1"/>
        <v>726086.9565</v>
      </c>
      <c r="E410" s="25">
        <f t="shared" si="2"/>
        <v>-154.2737502</v>
      </c>
      <c r="F410" s="24">
        <f t="shared" si="3"/>
        <v>0.0002124728296</v>
      </c>
      <c r="G410" s="24">
        <f t="shared" si="4"/>
        <v>0</v>
      </c>
      <c r="H410" s="26">
        <f t="shared" si="5"/>
        <v>0</v>
      </c>
      <c r="I410" s="24">
        <f t="shared" si="6"/>
        <v>0</v>
      </c>
      <c r="J410" s="24">
        <f t="shared" si="7"/>
        <v>0</v>
      </c>
      <c r="K410" s="24"/>
      <c r="L410" s="24">
        <f t="shared" si="8"/>
        <v>401.9853884</v>
      </c>
      <c r="M410" s="14">
        <f t="shared" si="9"/>
        <v>399.4230668</v>
      </c>
      <c r="N410" s="27">
        <f t="shared" si="10"/>
        <v>2.562321579</v>
      </c>
      <c r="O410" s="24"/>
      <c r="P410" s="24"/>
      <c r="Q410" s="24"/>
      <c r="R410" s="26"/>
      <c r="S410" s="9">
        <f t="shared" si="13"/>
        <v>2.352969997</v>
      </c>
    </row>
    <row r="411">
      <c r="A411" s="11">
        <v>399.0</v>
      </c>
      <c r="B411" s="11">
        <v>1.4211304347826E9</v>
      </c>
      <c r="C411" s="2">
        <v>-102.7998276</v>
      </c>
      <c r="D411" s="24">
        <f t="shared" si="1"/>
        <v>730434.7826</v>
      </c>
      <c r="E411" s="25">
        <f t="shared" si="2"/>
        <v>-155.1920463</v>
      </c>
      <c r="F411" s="24">
        <f t="shared" si="3"/>
        <v>0.0002124653015</v>
      </c>
      <c r="G411" s="24">
        <f t="shared" si="4"/>
        <v>0</v>
      </c>
      <c r="H411" s="26">
        <f t="shared" si="5"/>
        <v>0</v>
      </c>
      <c r="I411" s="24">
        <f t="shared" si="6"/>
        <v>0</v>
      </c>
      <c r="J411" s="24">
        <f t="shared" si="7"/>
        <v>0</v>
      </c>
      <c r="K411" s="24"/>
      <c r="L411" s="24">
        <f t="shared" si="8"/>
        <v>399.1383038</v>
      </c>
      <c r="M411" s="14">
        <f t="shared" si="9"/>
        <v>399.3338991</v>
      </c>
      <c r="N411" s="27">
        <f t="shared" si="10"/>
        <v>-0.1955953102</v>
      </c>
      <c r="O411" s="24"/>
      <c r="P411" s="24"/>
      <c r="Q411" s="24"/>
      <c r="R411" s="26"/>
      <c r="S411" s="9">
        <f t="shared" si="13"/>
        <v>-0.1796144169</v>
      </c>
    </row>
    <row r="412">
      <c r="A412" s="11">
        <v>400.0</v>
      </c>
      <c r="B412" s="11">
        <v>1.42113478260869E9</v>
      </c>
      <c r="C412" s="2">
        <v>-102.8217163</v>
      </c>
      <c r="D412" s="24">
        <f t="shared" si="1"/>
        <v>734782.6087</v>
      </c>
      <c r="E412" s="25">
        <f t="shared" si="2"/>
        <v>-156.1103425</v>
      </c>
      <c r="F412" s="24">
        <f t="shared" si="3"/>
        <v>0.0002124578625</v>
      </c>
      <c r="G412" s="24">
        <f t="shared" si="4"/>
        <v>0</v>
      </c>
      <c r="H412" s="26">
        <f t="shared" si="5"/>
        <v>0</v>
      </c>
      <c r="I412" s="24">
        <f t="shared" si="6"/>
        <v>0</v>
      </c>
      <c r="J412" s="24">
        <f t="shared" si="7"/>
        <v>0</v>
      </c>
      <c r="K412" s="24"/>
      <c r="L412" s="24">
        <f t="shared" si="8"/>
        <v>397.131684</v>
      </c>
      <c r="M412" s="14">
        <f t="shared" si="9"/>
        <v>399.2449501</v>
      </c>
      <c r="N412" s="27">
        <f t="shared" si="10"/>
        <v>-2.113266102</v>
      </c>
      <c r="O412" s="24"/>
      <c r="P412" s="24"/>
      <c r="Q412" s="24"/>
      <c r="R412" s="26"/>
      <c r="S412" s="9">
        <f t="shared" si="13"/>
        <v>-1.940604089</v>
      </c>
    </row>
    <row r="413">
      <c r="A413" s="11">
        <v>401.0</v>
      </c>
      <c r="B413" s="11">
        <v>1.42113913043478E9</v>
      </c>
      <c r="C413" s="2">
        <v>-102.8057709</v>
      </c>
      <c r="D413" s="24">
        <f t="shared" si="1"/>
        <v>739130.4348</v>
      </c>
      <c r="E413" s="25">
        <f t="shared" si="2"/>
        <v>-157.0286386</v>
      </c>
      <c r="F413" s="24">
        <f t="shared" si="3"/>
        <v>0.000212450511</v>
      </c>
      <c r="G413" s="24">
        <f t="shared" si="4"/>
        <v>0</v>
      </c>
      <c r="H413" s="26">
        <f t="shared" si="5"/>
        <v>0</v>
      </c>
      <c r="I413" s="24">
        <f t="shared" si="6"/>
        <v>0</v>
      </c>
      <c r="J413" s="24">
        <f t="shared" si="7"/>
        <v>0</v>
      </c>
      <c r="K413" s="24"/>
      <c r="L413" s="24">
        <f t="shared" si="8"/>
        <v>398.5924584</v>
      </c>
      <c r="M413" s="14">
        <f t="shared" si="9"/>
        <v>399.1562219</v>
      </c>
      <c r="N413" s="27">
        <f t="shared" si="10"/>
        <v>-0.5637634595</v>
      </c>
      <c r="O413" s="24"/>
      <c r="P413" s="24"/>
      <c r="Q413" s="24"/>
      <c r="R413" s="26"/>
      <c r="S413" s="9">
        <f t="shared" si="13"/>
        <v>-0.5177018035</v>
      </c>
    </row>
    <row r="414">
      <c r="A414" s="11">
        <v>402.0</v>
      </c>
      <c r="B414" s="11">
        <v>1.42114347826087E9</v>
      </c>
      <c r="C414" s="2">
        <v>-102.790184</v>
      </c>
      <c r="D414" s="24">
        <f t="shared" si="1"/>
        <v>743478.2609</v>
      </c>
      <c r="E414" s="25">
        <f t="shared" si="2"/>
        <v>-157.9469347</v>
      </c>
      <c r="F414" s="24">
        <f t="shared" si="3"/>
        <v>0.0002124432455</v>
      </c>
      <c r="G414" s="24">
        <f t="shared" si="4"/>
        <v>0</v>
      </c>
      <c r="H414" s="26">
        <f t="shared" si="5"/>
        <v>0</v>
      </c>
      <c r="I414" s="24">
        <f t="shared" si="6"/>
        <v>0</v>
      </c>
      <c r="J414" s="24">
        <f t="shared" si="7"/>
        <v>0</v>
      </c>
      <c r="K414" s="24"/>
      <c r="L414" s="24">
        <f t="shared" si="8"/>
        <v>400.0255835</v>
      </c>
      <c r="M414" s="14">
        <f t="shared" si="9"/>
        <v>399.0677165</v>
      </c>
      <c r="N414" s="27">
        <f t="shared" si="10"/>
        <v>0.9578669893</v>
      </c>
      <c r="O414" s="24"/>
      <c r="P414" s="24"/>
      <c r="Q414" s="24"/>
      <c r="R414" s="26"/>
      <c r="S414" s="9">
        <f t="shared" si="13"/>
        <v>0.8796055519</v>
      </c>
    </row>
    <row r="415">
      <c r="A415" s="11">
        <v>403.0</v>
      </c>
      <c r="B415" s="11">
        <v>1.42114782608695E9</v>
      </c>
      <c r="C415" s="2">
        <v>-102.7541733</v>
      </c>
      <c r="D415" s="24">
        <f t="shared" si="1"/>
        <v>747826.087</v>
      </c>
      <c r="E415" s="25">
        <f t="shared" si="2"/>
        <v>-158.8652309</v>
      </c>
      <c r="F415" s="24">
        <f t="shared" si="3"/>
        <v>0.0002124360645</v>
      </c>
      <c r="G415" s="24">
        <f t="shared" si="4"/>
        <v>0</v>
      </c>
      <c r="H415" s="26">
        <f t="shared" si="5"/>
        <v>0</v>
      </c>
      <c r="I415" s="24">
        <f t="shared" si="6"/>
        <v>0</v>
      </c>
      <c r="J415" s="24">
        <f t="shared" si="7"/>
        <v>0</v>
      </c>
      <c r="K415" s="24"/>
      <c r="L415" s="24">
        <f t="shared" si="8"/>
        <v>403.3562933</v>
      </c>
      <c r="M415" s="14">
        <f t="shared" si="9"/>
        <v>398.979436</v>
      </c>
      <c r="N415" s="27">
        <f t="shared" si="10"/>
        <v>4.376857312</v>
      </c>
      <c r="O415" s="24"/>
      <c r="P415" s="24"/>
      <c r="Q415" s="24"/>
      <c r="R415" s="26"/>
      <c r="S415" s="9">
        <f t="shared" si="13"/>
        <v>4.019251143</v>
      </c>
    </row>
    <row r="416">
      <c r="A416" s="11">
        <v>404.0</v>
      </c>
      <c r="B416" s="11">
        <v>1.42115217391304E9</v>
      </c>
      <c r="C416" s="2">
        <v>-102.7995377</v>
      </c>
      <c r="D416" s="24">
        <f t="shared" si="1"/>
        <v>752173.913</v>
      </c>
      <c r="E416" s="25">
        <f t="shared" si="2"/>
        <v>-159.783527</v>
      </c>
      <c r="F416" s="24">
        <f t="shared" si="3"/>
        <v>0.0002124289665</v>
      </c>
      <c r="G416" s="24">
        <f t="shared" si="4"/>
        <v>0</v>
      </c>
      <c r="H416" s="26">
        <f t="shared" si="5"/>
        <v>0</v>
      </c>
      <c r="I416" s="24">
        <f t="shared" si="6"/>
        <v>0</v>
      </c>
      <c r="J416" s="24">
        <f t="shared" si="7"/>
        <v>0</v>
      </c>
      <c r="K416" s="24"/>
      <c r="L416" s="24">
        <f t="shared" si="8"/>
        <v>399.1649479</v>
      </c>
      <c r="M416" s="14">
        <f t="shared" si="9"/>
        <v>398.8913825</v>
      </c>
      <c r="N416" s="27">
        <f t="shared" si="10"/>
        <v>0.2735654646</v>
      </c>
      <c r="O416" s="24"/>
      <c r="P416" s="24"/>
      <c r="Q416" s="24"/>
      <c r="R416" s="26"/>
      <c r="S416" s="9">
        <f t="shared" si="13"/>
        <v>0.2512141076</v>
      </c>
    </row>
    <row r="417">
      <c r="A417" s="11">
        <v>405.0</v>
      </c>
      <c r="B417" s="11">
        <v>1.42115652173913E9</v>
      </c>
      <c r="C417" s="2">
        <v>-102.7617416</v>
      </c>
      <c r="D417" s="3">
        <f t="shared" si="1"/>
        <v>756521.7391</v>
      </c>
      <c r="E417" s="4">
        <f t="shared" si="2"/>
        <v>-160.7018231</v>
      </c>
      <c r="F417" s="3">
        <f t="shared" si="3"/>
        <v>0.0002124219501</v>
      </c>
      <c r="G417" s="3">
        <f t="shared" si="4"/>
        <v>0</v>
      </c>
      <c r="H417" s="2">
        <f t="shared" si="5"/>
        <v>0</v>
      </c>
      <c r="I417" s="3">
        <f t="shared" si="6"/>
        <v>0</v>
      </c>
      <c r="J417" s="3">
        <f t="shared" si="7"/>
        <v>0</v>
      </c>
      <c r="K417" s="3"/>
      <c r="L417" s="3">
        <f t="shared" si="8"/>
        <v>402.6539904</v>
      </c>
      <c r="M417" s="14">
        <f t="shared" si="9"/>
        <v>398.8035579</v>
      </c>
      <c r="N417" s="14">
        <f t="shared" si="10"/>
        <v>3.850432456</v>
      </c>
      <c r="O417" s="3"/>
      <c r="P417" s="3"/>
      <c r="Q417" s="3"/>
      <c r="R417" s="2"/>
      <c r="S417" s="9">
        <f t="shared" si="13"/>
        <v>3.535837234</v>
      </c>
    </row>
    <row r="418">
      <c r="A418" s="11">
        <v>406.0</v>
      </c>
      <c r="B418" s="11">
        <v>1.42116086956521E9</v>
      </c>
      <c r="C418" s="2">
        <v>-102.756897</v>
      </c>
      <c r="D418" s="3">
        <f t="shared" si="1"/>
        <v>760869.5652</v>
      </c>
      <c r="E418" s="4">
        <f t="shared" si="2"/>
        <v>-161.6201193</v>
      </c>
      <c r="F418" s="3">
        <f t="shared" si="3"/>
        <v>0.0002124150139</v>
      </c>
      <c r="G418" s="3">
        <f t="shared" si="4"/>
        <v>0</v>
      </c>
      <c r="H418" s="2">
        <f t="shared" si="5"/>
        <v>0</v>
      </c>
      <c r="I418" s="3">
        <f t="shared" si="6"/>
        <v>0</v>
      </c>
      <c r="J418" s="3">
        <f t="shared" si="7"/>
        <v>0</v>
      </c>
      <c r="K418" s="3"/>
      <c r="L418" s="3">
        <f t="shared" si="8"/>
        <v>403.1034057</v>
      </c>
      <c r="M418" s="14">
        <f t="shared" si="9"/>
        <v>398.7159644</v>
      </c>
      <c r="N418" s="14">
        <f t="shared" si="10"/>
        <v>4.387441291</v>
      </c>
      <c r="O418" s="3"/>
      <c r="P418" s="3"/>
      <c r="Q418" s="3"/>
      <c r="R418" s="2"/>
      <c r="S418" s="9">
        <f t="shared" si="13"/>
        <v>4.028970371</v>
      </c>
    </row>
    <row r="419">
      <c r="A419" s="11">
        <v>407.0</v>
      </c>
      <c r="B419" s="11">
        <v>1.4211652173913E9</v>
      </c>
      <c r="C419" s="2">
        <v>-102.8110123</v>
      </c>
      <c r="D419" s="3">
        <f t="shared" si="1"/>
        <v>765217.3913</v>
      </c>
      <c r="E419" s="4">
        <f t="shared" si="2"/>
        <v>-162.5384154</v>
      </c>
      <c r="F419" s="3">
        <f t="shared" si="3"/>
        <v>0.0002124081565</v>
      </c>
      <c r="G419" s="3">
        <f t="shared" si="4"/>
        <v>0</v>
      </c>
      <c r="H419" s="2">
        <f t="shared" si="5"/>
        <v>0</v>
      </c>
      <c r="I419" s="3">
        <f t="shared" si="6"/>
        <v>0</v>
      </c>
      <c r="J419" s="3">
        <f t="shared" si="7"/>
        <v>0</v>
      </c>
      <c r="K419" s="3"/>
      <c r="L419" s="3">
        <f t="shared" si="8"/>
        <v>398.1116966</v>
      </c>
      <c r="M419" s="14">
        <f t="shared" si="9"/>
        <v>398.628604</v>
      </c>
      <c r="N419" s="14">
        <f t="shared" si="10"/>
        <v>-0.516907426</v>
      </c>
      <c r="O419" s="3"/>
      <c r="P419" s="3"/>
      <c r="Q419" s="3"/>
      <c r="R419" s="2"/>
      <c r="S419" s="9">
        <f t="shared" si="13"/>
        <v>-0.4746740892</v>
      </c>
    </row>
    <row r="420">
      <c r="A420" s="11">
        <v>408.0</v>
      </c>
      <c r="B420" s="11">
        <v>1.42116956521739E9</v>
      </c>
      <c r="C420" s="2">
        <v>-102.816803</v>
      </c>
      <c r="D420" s="3">
        <f t="shared" si="1"/>
        <v>769565.2174</v>
      </c>
      <c r="E420" s="4">
        <f t="shared" si="2"/>
        <v>-163.4567115</v>
      </c>
      <c r="F420" s="3">
        <f t="shared" si="3"/>
        <v>0.0002124013765</v>
      </c>
      <c r="G420" s="3">
        <f t="shared" si="4"/>
        <v>0</v>
      </c>
      <c r="H420" s="2">
        <f t="shared" si="5"/>
        <v>0</v>
      </c>
      <c r="I420" s="3">
        <f t="shared" si="6"/>
        <v>0</v>
      </c>
      <c r="J420" s="3">
        <f t="shared" si="7"/>
        <v>0</v>
      </c>
      <c r="K420" s="3"/>
      <c r="L420" s="3">
        <f t="shared" si="8"/>
        <v>397.5812249</v>
      </c>
      <c r="M420" s="14">
        <f t="shared" si="9"/>
        <v>398.5414787</v>
      </c>
      <c r="N420" s="14">
        <f t="shared" si="10"/>
        <v>-0.960253825</v>
      </c>
      <c r="O420" s="3"/>
      <c r="P420" s="3"/>
      <c r="Q420" s="3"/>
      <c r="R420" s="2"/>
      <c r="S420" s="9">
        <f t="shared" si="13"/>
        <v>-0.881797374</v>
      </c>
    </row>
    <row r="421">
      <c r="A421" s="11">
        <v>409.0</v>
      </c>
      <c r="B421" s="11">
        <v>1.42117391304347E9</v>
      </c>
      <c r="C421" s="2">
        <v>-102.8320923</v>
      </c>
      <c r="D421" s="3">
        <f t="shared" si="1"/>
        <v>773913.0435</v>
      </c>
      <c r="E421" s="4">
        <f t="shared" si="2"/>
        <v>-164.3750077</v>
      </c>
      <c r="F421" s="3">
        <f t="shared" si="3"/>
        <v>0.0002123946728</v>
      </c>
      <c r="G421" s="3">
        <f t="shared" si="4"/>
        <v>0</v>
      </c>
      <c r="H421" s="2">
        <f t="shared" si="5"/>
        <v>0</v>
      </c>
      <c r="I421" s="3">
        <f t="shared" si="6"/>
        <v>0</v>
      </c>
      <c r="J421" s="3">
        <f t="shared" si="7"/>
        <v>0</v>
      </c>
      <c r="K421" s="3"/>
      <c r="L421" s="3">
        <f t="shared" si="8"/>
        <v>396.1840045</v>
      </c>
      <c r="M421" s="14">
        <f t="shared" si="9"/>
        <v>398.4545907</v>
      </c>
      <c r="N421" s="14">
        <f t="shared" si="10"/>
        <v>-2.270586166</v>
      </c>
      <c r="O421" s="3"/>
      <c r="P421" s="3"/>
      <c r="Q421" s="3"/>
      <c r="R421" s="2"/>
      <c r="S421" s="9">
        <f t="shared" si="13"/>
        <v>-2.085070495</v>
      </c>
    </row>
    <row r="422">
      <c r="A422" s="11">
        <v>410.0</v>
      </c>
      <c r="B422" s="11">
        <v>1.42117826086956E9</v>
      </c>
      <c r="C422" s="2">
        <v>-102.8141327</v>
      </c>
      <c r="D422" s="3">
        <f t="shared" si="1"/>
        <v>778260.8696</v>
      </c>
      <c r="E422" s="4">
        <f t="shared" si="2"/>
        <v>-165.2933038</v>
      </c>
      <c r="F422" s="3">
        <f t="shared" si="3"/>
        <v>0.000212388044</v>
      </c>
      <c r="G422" s="3">
        <f t="shared" si="4"/>
        <v>0</v>
      </c>
      <c r="H422" s="2">
        <f t="shared" si="5"/>
        <v>0</v>
      </c>
      <c r="I422" s="3">
        <f t="shared" si="6"/>
        <v>0</v>
      </c>
      <c r="J422" s="3">
        <f t="shared" si="7"/>
        <v>0</v>
      </c>
      <c r="K422" s="3"/>
      <c r="L422" s="3">
        <f t="shared" si="8"/>
        <v>397.8257566</v>
      </c>
      <c r="M422" s="14">
        <f t="shared" si="9"/>
        <v>398.3679419</v>
      </c>
      <c r="N422" s="14">
        <f t="shared" si="10"/>
        <v>-0.5421852852</v>
      </c>
      <c r="O422" s="3"/>
      <c r="P422" s="3"/>
      <c r="Q422" s="3"/>
      <c r="R422" s="2"/>
      <c r="S422" s="9">
        <f t="shared" si="13"/>
        <v>-0.4978866495</v>
      </c>
    </row>
    <row r="423">
      <c r="A423" s="11">
        <v>411.0</v>
      </c>
      <c r="B423" s="11">
        <v>1.42118260869565E9</v>
      </c>
      <c r="C423" s="2">
        <v>-102.8495331</v>
      </c>
      <c r="D423" s="3">
        <f t="shared" si="1"/>
        <v>782608.6957</v>
      </c>
      <c r="E423" s="4">
        <f t="shared" si="2"/>
        <v>-166.2115999</v>
      </c>
      <c r="F423" s="3">
        <f t="shared" si="3"/>
        <v>0.0002123814888</v>
      </c>
      <c r="G423" s="3">
        <f t="shared" si="4"/>
        <v>0</v>
      </c>
      <c r="H423" s="2">
        <f t="shared" si="5"/>
        <v>0</v>
      </c>
      <c r="I423" s="3">
        <f t="shared" si="6"/>
        <v>0</v>
      </c>
      <c r="J423" s="3">
        <f t="shared" si="7"/>
        <v>0</v>
      </c>
      <c r="K423" s="3"/>
      <c r="L423" s="3">
        <f t="shared" si="8"/>
        <v>394.5961625</v>
      </c>
      <c r="M423" s="14">
        <f t="shared" si="9"/>
        <v>398.2815344</v>
      </c>
      <c r="N423" s="14">
        <f t="shared" si="10"/>
        <v>-3.685371857</v>
      </c>
      <c r="O423" s="3"/>
      <c r="P423" s="3"/>
      <c r="Q423" s="3"/>
      <c r="R423" s="2"/>
      <c r="S423" s="9">
        <f t="shared" si="13"/>
        <v>-3.384262724</v>
      </c>
    </row>
    <row r="424">
      <c r="A424" s="11">
        <v>412.0</v>
      </c>
      <c r="B424" s="11">
        <v>1.42118695652173E9</v>
      </c>
      <c r="C424" s="2">
        <v>-102.7446594</v>
      </c>
      <c r="D424" s="3">
        <f t="shared" si="1"/>
        <v>786956.5217</v>
      </c>
      <c r="E424" s="4">
        <f t="shared" si="2"/>
        <v>-167.129896</v>
      </c>
      <c r="F424" s="3">
        <f t="shared" si="3"/>
        <v>0.000212375006</v>
      </c>
      <c r="G424" s="3">
        <f t="shared" si="4"/>
        <v>0</v>
      </c>
      <c r="H424" s="2">
        <f t="shared" si="5"/>
        <v>0</v>
      </c>
      <c r="I424" s="3">
        <f t="shared" si="6"/>
        <v>0</v>
      </c>
      <c r="J424" s="3">
        <f t="shared" si="7"/>
        <v>0</v>
      </c>
      <c r="K424" s="3"/>
      <c r="L424" s="3">
        <f t="shared" si="8"/>
        <v>404.240877</v>
      </c>
      <c r="M424" s="14">
        <f t="shared" si="9"/>
        <v>398.1953702</v>
      </c>
      <c r="N424" s="14">
        <f t="shared" si="10"/>
        <v>6.045506704</v>
      </c>
      <c r="O424" s="3"/>
      <c r="P424" s="3"/>
      <c r="Q424" s="3"/>
      <c r="R424" s="2"/>
      <c r="S424" s="9">
        <f t="shared" si="13"/>
        <v>5.551565427</v>
      </c>
    </row>
    <row r="425">
      <c r="A425" s="11">
        <v>413.0</v>
      </c>
      <c r="B425" s="11">
        <v>1.42119130434782E9</v>
      </c>
      <c r="C425" s="2">
        <v>-102.7870483</v>
      </c>
      <c r="D425" s="3">
        <f t="shared" si="1"/>
        <v>791304.3478</v>
      </c>
      <c r="E425" s="4">
        <f t="shared" si="2"/>
        <v>-168.0481922</v>
      </c>
      <c r="F425" s="3">
        <f t="shared" si="3"/>
        <v>0.0002123685945</v>
      </c>
      <c r="G425" s="3">
        <f t="shared" si="4"/>
        <v>0</v>
      </c>
      <c r="H425" s="2">
        <f t="shared" si="5"/>
        <v>0</v>
      </c>
      <c r="I425" s="3">
        <f t="shared" si="6"/>
        <v>0</v>
      </c>
      <c r="J425" s="3">
        <f t="shared" si="7"/>
        <v>0</v>
      </c>
      <c r="K425" s="3"/>
      <c r="L425" s="3">
        <f t="shared" si="8"/>
        <v>400.3145149</v>
      </c>
      <c r="M425" s="14">
        <f t="shared" si="9"/>
        <v>398.1094515</v>
      </c>
      <c r="N425" s="14">
        <f t="shared" si="10"/>
        <v>2.205063376</v>
      </c>
      <c r="O425" s="3"/>
      <c r="P425" s="3"/>
      <c r="Q425" s="3"/>
      <c r="R425" s="2"/>
      <c r="S425" s="9">
        <f t="shared" si="13"/>
        <v>2.024901171</v>
      </c>
    </row>
    <row r="426">
      <c r="A426" s="11">
        <v>414.0</v>
      </c>
      <c r="B426" s="11">
        <v>1.42119565217391E9</v>
      </c>
      <c r="C426" s="2">
        <v>-102.8336334</v>
      </c>
      <c r="D426" s="3">
        <f t="shared" si="1"/>
        <v>795652.1739</v>
      </c>
      <c r="E426" s="4">
        <f t="shared" si="2"/>
        <v>-168.9664883</v>
      </c>
      <c r="F426" s="3">
        <f t="shared" si="3"/>
        <v>0.0002123622531</v>
      </c>
      <c r="G426" s="3">
        <f t="shared" si="4"/>
        <v>0</v>
      </c>
      <c r="H426" s="2">
        <f t="shared" si="5"/>
        <v>0</v>
      </c>
      <c r="I426" s="3">
        <f t="shared" si="6"/>
        <v>0</v>
      </c>
      <c r="J426" s="3">
        <f t="shared" si="7"/>
        <v>0</v>
      </c>
      <c r="K426" s="3"/>
      <c r="L426" s="3">
        <f t="shared" si="8"/>
        <v>396.043443</v>
      </c>
      <c r="M426" s="14">
        <f t="shared" si="9"/>
        <v>398.0237803</v>
      </c>
      <c r="N426" s="14">
        <f t="shared" si="10"/>
        <v>-1.980337316</v>
      </c>
      <c r="O426" s="3"/>
      <c r="P426" s="3"/>
      <c r="Q426" s="3"/>
      <c r="R426" s="2"/>
      <c r="S426" s="9">
        <f t="shared" si="13"/>
        <v>-1.818536095</v>
      </c>
    </row>
    <row r="427">
      <c r="A427" s="11">
        <v>415.0</v>
      </c>
      <c r="B427" s="11">
        <v>1.4212E9</v>
      </c>
      <c r="C427" s="2">
        <v>-102.7877655</v>
      </c>
      <c r="D427" s="3">
        <f t="shared" si="1"/>
        <v>800000</v>
      </c>
      <c r="E427" s="4">
        <f t="shared" si="2"/>
        <v>-169.8847844</v>
      </c>
      <c r="F427" s="3">
        <f t="shared" si="3"/>
        <v>0.0002123559806</v>
      </c>
      <c r="G427" s="3">
        <f t="shared" si="4"/>
        <v>0</v>
      </c>
      <c r="H427" s="2">
        <f t="shared" si="5"/>
        <v>0</v>
      </c>
      <c r="I427" s="3">
        <f t="shared" si="6"/>
        <v>0</v>
      </c>
      <c r="J427" s="3">
        <f t="shared" si="7"/>
        <v>0</v>
      </c>
      <c r="K427" s="3"/>
      <c r="L427" s="3">
        <f t="shared" si="8"/>
        <v>400.2484119</v>
      </c>
      <c r="M427" s="14">
        <f t="shared" si="9"/>
        <v>397.9383586</v>
      </c>
      <c r="N427" s="14">
        <f t="shared" si="10"/>
        <v>2.310053279</v>
      </c>
      <c r="O427" s="3"/>
      <c r="P427" s="3"/>
      <c r="Q427" s="3"/>
      <c r="R427" s="2"/>
      <c r="S427" s="9">
        <f t="shared" si="13"/>
        <v>2.121312993</v>
      </c>
    </row>
    <row r="428">
      <c r="A428" s="11">
        <v>416.0</v>
      </c>
      <c r="B428" s="11">
        <v>1.42120434782608E9</v>
      </c>
      <c r="C428" s="2">
        <v>-102.797081</v>
      </c>
      <c r="D428" s="3">
        <f t="shared" si="1"/>
        <v>804347.8261</v>
      </c>
      <c r="E428" s="4">
        <f t="shared" si="2"/>
        <v>-170.8030806</v>
      </c>
      <c r="F428" s="3">
        <f t="shared" si="3"/>
        <v>0.0002123497759</v>
      </c>
      <c r="G428" s="3">
        <f t="shared" si="4"/>
        <v>0</v>
      </c>
      <c r="H428" s="2">
        <f t="shared" si="5"/>
        <v>0</v>
      </c>
      <c r="I428" s="3">
        <f t="shared" si="6"/>
        <v>0</v>
      </c>
      <c r="J428" s="3">
        <f t="shared" si="7"/>
        <v>0</v>
      </c>
      <c r="K428" s="3"/>
      <c r="L428" s="3">
        <f t="shared" si="8"/>
        <v>399.3908099</v>
      </c>
      <c r="M428" s="14">
        <f t="shared" si="9"/>
        <v>397.8531885</v>
      </c>
      <c r="N428" s="14">
        <f t="shared" si="10"/>
        <v>1.537621413</v>
      </c>
      <c r="O428" s="3"/>
      <c r="P428" s="3"/>
      <c r="Q428" s="3"/>
      <c r="R428" s="2"/>
      <c r="S428" s="9">
        <f t="shared" si="13"/>
        <v>1.411991798</v>
      </c>
    </row>
    <row r="429">
      <c r="A429" s="11">
        <v>417.0</v>
      </c>
      <c r="B429" s="11">
        <v>1.42120869565217E9</v>
      </c>
      <c r="C429" s="2">
        <v>-102.8506851</v>
      </c>
      <c r="D429" s="3">
        <f t="shared" si="1"/>
        <v>808695.6522</v>
      </c>
      <c r="E429" s="4">
        <f t="shared" si="2"/>
        <v>-171.7213767</v>
      </c>
      <c r="F429" s="3">
        <f t="shared" si="3"/>
        <v>0.0002123436379</v>
      </c>
      <c r="G429" s="3">
        <f t="shared" si="4"/>
        <v>0</v>
      </c>
      <c r="H429" s="2">
        <f t="shared" si="5"/>
        <v>0</v>
      </c>
      <c r="I429" s="3">
        <f t="shared" si="6"/>
        <v>0</v>
      </c>
      <c r="J429" s="3">
        <f t="shared" si="7"/>
        <v>0</v>
      </c>
      <c r="K429" s="3"/>
      <c r="L429" s="3">
        <f t="shared" si="8"/>
        <v>394.4915067</v>
      </c>
      <c r="M429" s="14">
        <f t="shared" si="9"/>
        <v>397.768272</v>
      </c>
      <c r="N429" s="14">
        <f t="shared" si="10"/>
        <v>-3.276765277</v>
      </c>
      <c r="O429" s="3"/>
      <c r="P429" s="3"/>
      <c r="Q429" s="3"/>
      <c r="R429" s="2"/>
      <c r="S429" s="9">
        <f t="shared" si="13"/>
        <v>-3.009040875</v>
      </c>
    </row>
    <row r="430">
      <c r="A430" s="11">
        <v>418.0</v>
      </c>
      <c r="B430" s="11">
        <v>1.42121304347826E9</v>
      </c>
      <c r="C430" s="2">
        <v>-102.8668976</v>
      </c>
      <c r="D430" s="3">
        <f t="shared" si="1"/>
        <v>813043.4783</v>
      </c>
      <c r="E430" s="4">
        <f t="shared" si="2"/>
        <v>-172.6396728</v>
      </c>
      <c r="F430" s="3">
        <f t="shared" si="3"/>
        <v>0.0002123375655</v>
      </c>
      <c r="G430" s="3">
        <f t="shared" si="4"/>
        <v>0</v>
      </c>
      <c r="H430" s="2">
        <f t="shared" si="5"/>
        <v>0</v>
      </c>
      <c r="I430" s="3">
        <f t="shared" si="6"/>
        <v>0</v>
      </c>
      <c r="J430" s="3">
        <f t="shared" si="7"/>
        <v>0</v>
      </c>
      <c r="K430" s="3"/>
      <c r="L430" s="3">
        <f t="shared" si="8"/>
        <v>393.0215892</v>
      </c>
      <c r="M430" s="14">
        <f t="shared" si="9"/>
        <v>397.6836111</v>
      </c>
      <c r="N430" s="14">
        <f t="shared" si="10"/>
        <v>-4.662021965</v>
      </c>
      <c r="O430" s="3"/>
      <c r="P430" s="3"/>
      <c r="Q430" s="3"/>
      <c r="R430" s="2"/>
      <c r="S430" s="9">
        <f t="shared" si="13"/>
        <v>-4.281116741</v>
      </c>
    </row>
    <row r="431">
      <c r="A431" s="11">
        <v>419.0</v>
      </c>
      <c r="B431" s="11">
        <v>1.42121739130434E9</v>
      </c>
      <c r="C431" s="2">
        <v>-102.8180618</v>
      </c>
      <c r="D431" s="3">
        <f t="shared" si="1"/>
        <v>817391.3043</v>
      </c>
      <c r="E431" s="4">
        <f t="shared" si="2"/>
        <v>-173.557969</v>
      </c>
      <c r="F431" s="3">
        <f t="shared" si="3"/>
        <v>0.0002123315578</v>
      </c>
      <c r="G431" s="3">
        <f t="shared" si="4"/>
        <v>0</v>
      </c>
      <c r="H431" s="2">
        <f t="shared" si="5"/>
        <v>0</v>
      </c>
      <c r="I431" s="3">
        <f t="shared" si="6"/>
        <v>0</v>
      </c>
      <c r="J431" s="3">
        <f t="shared" si="7"/>
        <v>0</v>
      </c>
      <c r="K431" s="3"/>
      <c r="L431" s="3">
        <f t="shared" si="8"/>
        <v>397.4660029</v>
      </c>
      <c r="M431" s="14">
        <f t="shared" si="9"/>
        <v>397.5992081</v>
      </c>
      <c r="N431" s="14">
        <f t="shared" si="10"/>
        <v>-0.1332051519</v>
      </c>
      <c r="O431" s="3"/>
      <c r="P431" s="3"/>
      <c r="Q431" s="3"/>
      <c r="R431" s="2"/>
      <c r="S431" s="9">
        <f t="shared" si="13"/>
        <v>-0.1223217759</v>
      </c>
    </row>
    <row r="432">
      <c r="A432" s="11">
        <v>420.0</v>
      </c>
      <c r="B432" s="11">
        <v>1.42122173913043E9</v>
      </c>
      <c r="C432" s="2">
        <v>-102.8075867</v>
      </c>
      <c r="D432" s="3">
        <f t="shared" si="1"/>
        <v>821739.1304</v>
      </c>
      <c r="E432" s="4">
        <f t="shared" si="2"/>
        <v>-174.4762651</v>
      </c>
      <c r="F432" s="3">
        <f t="shared" si="3"/>
        <v>0.0002123256136</v>
      </c>
      <c r="G432" s="3">
        <f t="shared" si="4"/>
        <v>0</v>
      </c>
      <c r="H432" s="2">
        <f t="shared" si="5"/>
        <v>0</v>
      </c>
      <c r="I432" s="3">
        <f t="shared" si="6"/>
        <v>0</v>
      </c>
      <c r="J432" s="3">
        <f t="shared" si="7"/>
        <v>0</v>
      </c>
      <c r="K432" s="3"/>
      <c r="L432" s="3">
        <f t="shared" si="8"/>
        <v>398.4258404</v>
      </c>
      <c r="M432" s="14">
        <f t="shared" si="9"/>
        <v>397.5150648</v>
      </c>
      <c r="N432" s="14">
        <f t="shared" si="10"/>
        <v>0.9107756412</v>
      </c>
      <c r="O432" s="3"/>
      <c r="P432" s="3"/>
      <c r="Q432" s="3"/>
      <c r="R432" s="2"/>
      <c r="S432" s="9">
        <f t="shared" si="13"/>
        <v>0.8363617472</v>
      </c>
    </row>
    <row r="433">
      <c r="A433" s="11">
        <v>421.0</v>
      </c>
      <c r="B433" s="11">
        <v>1.42122608695652E9</v>
      </c>
      <c r="C433" s="2">
        <v>-102.8162918</v>
      </c>
      <c r="D433" s="3">
        <f t="shared" si="1"/>
        <v>826086.9565</v>
      </c>
      <c r="E433" s="4">
        <f t="shared" si="2"/>
        <v>-175.3945612</v>
      </c>
      <c r="F433" s="3">
        <f t="shared" si="3"/>
        <v>0.000212319732</v>
      </c>
      <c r="G433" s="3">
        <f t="shared" si="4"/>
        <v>0</v>
      </c>
      <c r="H433" s="2">
        <f t="shared" si="5"/>
        <v>0</v>
      </c>
      <c r="I433" s="3">
        <f t="shared" si="6"/>
        <v>0</v>
      </c>
      <c r="J433" s="3">
        <f t="shared" si="7"/>
        <v>0</v>
      </c>
      <c r="K433" s="3"/>
      <c r="L433" s="3">
        <f t="shared" si="8"/>
        <v>397.6280262</v>
      </c>
      <c r="M433" s="14">
        <f t="shared" si="9"/>
        <v>397.4311833</v>
      </c>
      <c r="N433" s="14">
        <f t="shared" si="10"/>
        <v>0.196842878</v>
      </c>
      <c r="O433" s="3"/>
      <c r="P433" s="3"/>
      <c r="Q433" s="3"/>
      <c r="R433" s="2"/>
      <c r="S433" s="9">
        <f t="shared" si="13"/>
        <v>0.1807600536</v>
      </c>
    </row>
    <row r="434">
      <c r="A434" s="11">
        <v>422.0</v>
      </c>
      <c r="B434" s="11">
        <v>1.4212304347826E9</v>
      </c>
      <c r="C434" s="2">
        <v>-102.8414764</v>
      </c>
      <c r="D434" s="3">
        <f t="shared" si="1"/>
        <v>830434.7826</v>
      </c>
      <c r="E434" s="4">
        <f t="shared" si="2"/>
        <v>-176.3128574</v>
      </c>
      <c r="F434" s="3">
        <f t="shared" si="3"/>
        <v>0.000212313912</v>
      </c>
      <c r="G434" s="3">
        <f t="shared" si="4"/>
        <v>0</v>
      </c>
      <c r="H434" s="2">
        <f t="shared" si="5"/>
        <v>0</v>
      </c>
      <c r="I434" s="3">
        <f t="shared" si="6"/>
        <v>0</v>
      </c>
      <c r="J434" s="3">
        <f t="shared" si="7"/>
        <v>0</v>
      </c>
      <c r="K434" s="3"/>
      <c r="L434" s="3">
        <f t="shared" si="8"/>
        <v>395.3288666</v>
      </c>
      <c r="M434" s="14">
        <f t="shared" si="9"/>
        <v>397.3475658</v>
      </c>
      <c r="N434" s="14">
        <f t="shared" si="10"/>
        <v>-2.01869913</v>
      </c>
      <c r="O434" s="3"/>
      <c r="P434" s="3"/>
      <c r="Q434" s="3"/>
      <c r="R434" s="2"/>
      <c r="S434" s="9">
        <f t="shared" si="13"/>
        <v>-1.853763604</v>
      </c>
    </row>
    <row r="435">
      <c r="A435" s="11">
        <v>423.0</v>
      </c>
      <c r="B435" s="11">
        <v>1.42123478260869E9</v>
      </c>
      <c r="C435" s="2">
        <v>-102.7908859</v>
      </c>
      <c r="D435" s="3">
        <f t="shared" si="1"/>
        <v>834782.6087</v>
      </c>
      <c r="E435" s="4">
        <f t="shared" si="2"/>
        <v>-177.2311535</v>
      </c>
      <c r="F435" s="3">
        <f t="shared" si="3"/>
        <v>0.0002123081526</v>
      </c>
      <c r="G435" s="3">
        <f t="shared" si="4"/>
        <v>0</v>
      </c>
      <c r="H435" s="2">
        <f t="shared" si="5"/>
        <v>0</v>
      </c>
      <c r="I435" s="3">
        <f t="shared" si="6"/>
        <v>0</v>
      </c>
      <c r="J435" s="3">
        <f t="shared" si="7"/>
        <v>0</v>
      </c>
      <c r="K435" s="3"/>
      <c r="L435" s="3">
        <f t="shared" si="8"/>
        <v>399.9609372</v>
      </c>
      <c r="M435" s="14">
        <f t="shared" si="9"/>
        <v>397.2642142</v>
      </c>
      <c r="N435" s="14">
        <f t="shared" si="10"/>
        <v>2.696723053</v>
      </c>
      <c r="O435" s="3"/>
      <c r="P435" s="3"/>
      <c r="Q435" s="3"/>
      <c r="R435" s="2"/>
      <c r="S435" s="9">
        <f t="shared" si="13"/>
        <v>2.476390351</v>
      </c>
    </row>
    <row r="436">
      <c r="A436" s="11">
        <v>424.0</v>
      </c>
      <c r="B436" s="11">
        <v>1.42123913043478E9</v>
      </c>
      <c r="C436" s="2">
        <v>-102.8379135</v>
      </c>
      <c r="D436" s="3">
        <f t="shared" si="1"/>
        <v>839130.4348</v>
      </c>
      <c r="E436" s="4">
        <f t="shared" si="2"/>
        <v>-178.1494496</v>
      </c>
      <c r="F436" s="3">
        <f t="shared" si="3"/>
        <v>0.0002123024529</v>
      </c>
      <c r="G436" s="3">
        <f t="shared" si="4"/>
        <v>0</v>
      </c>
      <c r="H436" s="2">
        <f t="shared" si="5"/>
        <v>0</v>
      </c>
      <c r="I436" s="3">
        <f t="shared" si="6"/>
        <v>0</v>
      </c>
      <c r="J436" s="3">
        <f t="shared" si="7"/>
        <v>0</v>
      </c>
      <c r="K436" s="3"/>
      <c r="L436" s="3">
        <f t="shared" si="8"/>
        <v>395.6533228</v>
      </c>
      <c r="M436" s="14">
        <f t="shared" si="9"/>
        <v>397.1811306</v>
      </c>
      <c r="N436" s="14">
        <f t="shared" si="10"/>
        <v>-1.52780778</v>
      </c>
      <c r="O436" s="3"/>
      <c r="P436" s="3"/>
      <c r="Q436" s="3"/>
      <c r="R436" s="2"/>
      <c r="S436" s="9">
        <f t="shared" si="13"/>
        <v>-1.402979973</v>
      </c>
    </row>
    <row r="437">
      <c r="A437" s="11">
        <v>425.0</v>
      </c>
      <c r="B437" s="11">
        <v>1.42124347826087E9</v>
      </c>
      <c r="C437" s="2">
        <v>-102.8474197</v>
      </c>
      <c r="D437" s="3">
        <f t="shared" si="1"/>
        <v>843478.2609</v>
      </c>
      <c r="E437" s="4">
        <f t="shared" si="2"/>
        <v>-179.0677458</v>
      </c>
      <c r="F437" s="3">
        <f t="shared" si="3"/>
        <v>0.000212296812</v>
      </c>
      <c r="G437" s="3">
        <f t="shared" si="4"/>
        <v>0</v>
      </c>
      <c r="H437" s="2">
        <f t="shared" si="5"/>
        <v>0</v>
      </c>
      <c r="I437" s="3">
        <f t="shared" si="6"/>
        <v>0</v>
      </c>
      <c r="J437" s="3">
        <f t="shared" si="7"/>
        <v>0</v>
      </c>
      <c r="K437" s="3"/>
      <c r="L437" s="3">
        <f t="shared" si="8"/>
        <v>394.7882309</v>
      </c>
      <c r="M437" s="14">
        <f t="shared" si="9"/>
        <v>397.098317</v>
      </c>
      <c r="N437" s="14">
        <f t="shared" si="10"/>
        <v>-2.310086105</v>
      </c>
      <c r="O437" s="3"/>
      <c r="P437" s="3"/>
      <c r="Q437" s="3"/>
      <c r="R437" s="2"/>
      <c r="S437" s="9">
        <f t="shared" si="13"/>
        <v>-2.121343137</v>
      </c>
    </row>
    <row r="438">
      <c r="A438" s="11">
        <v>426.0</v>
      </c>
      <c r="B438" s="11">
        <v>1.42124782608695E9</v>
      </c>
      <c r="C438" s="2">
        <v>-102.9030151</v>
      </c>
      <c r="D438" s="3">
        <f t="shared" si="1"/>
        <v>847826.087</v>
      </c>
      <c r="E438" s="4">
        <f t="shared" si="2"/>
        <v>-179.9860419</v>
      </c>
      <c r="F438" s="3">
        <f t="shared" si="3"/>
        <v>0.0002122912289</v>
      </c>
      <c r="G438" s="3">
        <f t="shared" si="4"/>
        <v>0</v>
      </c>
      <c r="H438" s="2">
        <f t="shared" si="5"/>
        <v>0</v>
      </c>
      <c r="I438" s="3">
        <f t="shared" si="6"/>
        <v>0</v>
      </c>
      <c r="J438" s="3">
        <f t="shared" si="7"/>
        <v>0</v>
      </c>
      <c r="K438" s="3"/>
      <c r="L438" s="3">
        <f t="shared" si="8"/>
        <v>389.7666329</v>
      </c>
      <c r="M438" s="14">
        <f t="shared" si="9"/>
        <v>397.0157756</v>
      </c>
      <c r="N438" s="14">
        <f t="shared" si="10"/>
        <v>-7.249142647</v>
      </c>
      <c r="O438" s="3"/>
      <c r="P438" s="3"/>
      <c r="Q438" s="3"/>
      <c r="R438" s="2"/>
      <c r="S438" s="9">
        <f t="shared" si="13"/>
        <v>-6.656859659</v>
      </c>
    </row>
    <row r="439">
      <c r="A439" s="11">
        <v>427.0</v>
      </c>
      <c r="B439" s="11">
        <v>1.42125217391304E9</v>
      </c>
      <c r="C439" s="2">
        <v>-102.7646332</v>
      </c>
      <c r="D439" s="3">
        <f t="shared" si="1"/>
        <v>852173.913</v>
      </c>
      <c r="E439" s="4">
        <f t="shared" si="2"/>
        <v>-180.904338</v>
      </c>
      <c r="F439" s="3">
        <f t="shared" si="3"/>
        <v>0.0002122857028</v>
      </c>
      <c r="G439" s="3">
        <f t="shared" si="4"/>
        <v>0</v>
      </c>
      <c r="H439" s="2">
        <f t="shared" si="5"/>
        <v>0</v>
      </c>
      <c r="I439" s="3">
        <f t="shared" si="6"/>
        <v>0</v>
      </c>
      <c r="J439" s="3">
        <f t="shared" si="7"/>
        <v>0</v>
      </c>
      <c r="K439" s="3"/>
      <c r="L439" s="3">
        <f t="shared" si="8"/>
        <v>402.3859863</v>
      </c>
      <c r="M439" s="14">
        <f t="shared" si="9"/>
        <v>396.9335083</v>
      </c>
      <c r="N439" s="14">
        <f t="shared" si="10"/>
        <v>5.452478015</v>
      </c>
      <c r="O439" s="3"/>
      <c r="P439" s="3"/>
      <c r="Q439" s="3"/>
      <c r="R439" s="2"/>
      <c r="S439" s="9">
        <f t="shared" si="13"/>
        <v>5.006989464</v>
      </c>
    </row>
    <row r="440">
      <c r="A440" s="11">
        <v>428.0</v>
      </c>
      <c r="B440" s="11">
        <v>1.42125652173913E9</v>
      </c>
      <c r="C440" s="2">
        <v>-102.8776321</v>
      </c>
      <c r="D440" s="3">
        <f t="shared" si="1"/>
        <v>856521.7391</v>
      </c>
      <c r="E440" s="4">
        <f t="shared" si="2"/>
        <v>-181.8226342</v>
      </c>
      <c r="F440" s="3">
        <f t="shared" si="3"/>
        <v>0.0002122802328</v>
      </c>
      <c r="G440" s="3">
        <f t="shared" si="4"/>
        <v>0</v>
      </c>
      <c r="H440" s="2">
        <f t="shared" si="5"/>
        <v>0</v>
      </c>
      <c r="I440" s="3">
        <f t="shared" si="6"/>
        <v>0</v>
      </c>
      <c r="J440" s="3">
        <f t="shared" si="7"/>
        <v>0</v>
      </c>
      <c r="K440" s="3"/>
      <c r="L440" s="3">
        <f t="shared" si="8"/>
        <v>392.0513534</v>
      </c>
      <c r="M440" s="14">
        <f t="shared" si="9"/>
        <v>396.8515173</v>
      </c>
      <c r="N440" s="14">
        <f t="shared" si="10"/>
        <v>-4.800163893</v>
      </c>
      <c r="O440" s="3"/>
      <c r="P440" s="3"/>
      <c r="Q440" s="3"/>
      <c r="R440" s="2"/>
      <c r="S440" s="9">
        <f t="shared" si="13"/>
        <v>-4.40797194</v>
      </c>
    </row>
    <row r="441">
      <c r="A441" s="11">
        <v>429.0</v>
      </c>
      <c r="B441" s="11">
        <v>1.42126086956521E9</v>
      </c>
      <c r="C441" s="2">
        <v>-102.8766556</v>
      </c>
      <c r="D441" s="3">
        <f t="shared" si="1"/>
        <v>860869.5652</v>
      </c>
      <c r="E441" s="4">
        <f t="shared" si="2"/>
        <v>-182.7409303</v>
      </c>
      <c r="F441" s="3">
        <f t="shared" si="3"/>
        <v>0.000212274818</v>
      </c>
      <c r="G441" s="3">
        <f t="shared" si="4"/>
        <v>0</v>
      </c>
      <c r="H441" s="2">
        <f t="shared" si="5"/>
        <v>0</v>
      </c>
      <c r="I441" s="3">
        <f t="shared" si="6"/>
        <v>0</v>
      </c>
      <c r="J441" s="3">
        <f t="shared" si="7"/>
        <v>0</v>
      </c>
      <c r="K441" s="3"/>
      <c r="L441" s="3">
        <f t="shared" si="8"/>
        <v>392.139515</v>
      </c>
      <c r="M441" s="14">
        <f t="shared" si="9"/>
        <v>396.7698045</v>
      </c>
      <c r="N441" s="14">
        <f t="shared" si="10"/>
        <v>-4.630289452</v>
      </c>
      <c r="O441" s="3"/>
      <c r="P441" s="3"/>
      <c r="Q441" s="3"/>
      <c r="R441" s="2"/>
      <c r="S441" s="9">
        <f t="shared" si="13"/>
        <v>-4.251976898</v>
      </c>
    </row>
    <row r="442">
      <c r="A442" s="11">
        <v>430.0</v>
      </c>
      <c r="B442" s="11">
        <v>1.4212652173913E9</v>
      </c>
      <c r="C442" s="2">
        <v>-102.8335876</v>
      </c>
      <c r="D442" s="3">
        <f t="shared" si="1"/>
        <v>865217.3913</v>
      </c>
      <c r="E442" s="4">
        <f t="shared" si="2"/>
        <v>-183.6592264</v>
      </c>
      <c r="F442" s="3">
        <f t="shared" si="3"/>
        <v>0.0002122694577</v>
      </c>
      <c r="G442" s="3">
        <f t="shared" si="4"/>
        <v>0</v>
      </c>
      <c r="H442" s="2">
        <f t="shared" si="5"/>
        <v>0</v>
      </c>
      <c r="I442" s="3">
        <f t="shared" si="6"/>
        <v>0</v>
      </c>
      <c r="J442" s="3">
        <f t="shared" si="7"/>
        <v>0</v>
      </c>
      <c r="K442" s="3"/>
      <c r="L442" s="3">
        <f t="shared" si="8"/>
        <v>396.0476196</v>
      </c>
      <c r="M442" s="14">
        <f t="shared" si="9"/>
        <v>396.688372</v>
      </c>
      <c r="N442" s="14">
        <f t="shared" si="10"/>
        <v>-0.6407523764</v>
      </c>
      <c r="O442" s="3"/>
      <c r="P442" s="3"/>
      <c r="Q442" s="3"/>
      <c r="R442" s="2"/>
      <c r="S442" s="9">
        <f t="shared" si="13"/>
        <v>-0.588400428</v>
      </c>
    </row>
    <row r="443">
      <c r="A443" s="11">
        <v>431.0</v>
      </c>
      <c r="B443" s="11">
        <v>1.42126956521739E9</v>
      </c>
      <c r="C443" s="2">
        <v>-102.8534088</v>
      </c>
      <c r="D443" s="3">
        <f t="shared" si="1"/>
        <v>869565.2174</v>
      </c>
      <c r="E443" s="4">
        <f t="shared" si="2"/>
        <v>-184.5775226</v>
      </c>
      <c r="F443" s="3">
        <f t="shared" si="3"/>
        <v>0.0002122641509</v>
      </c>
      <c r="G443" s="3">
        <f t="shared" si="4"/>
        <v>0</v>
      </c>
      <c r="H443" s="2">
        <f t="shared" si="5"/>
        <v>0</v>
      </c>
      <c r="I443" s="3">
        <f t="shared" si="6"/>
        <v>0</v>
      </c>
      <c r="J443" s="3">
        <f t="shared" si="7"/>
        <v>0</v>
      </c>
      <c r="K443" s="3"/>
      <c r="L443" s="3">
        <f t="shared" si="8"/>
        <v>394.2441769</v>
      </c>
      <c r="M443" s="14">
        <f t="shared" si="9"/>
        <v>396.6072219</v>
      </c>
      <c r="N443" s="14">
        <f t="shared" si="10"/>
        <v>-2.363045019</v>
      </c>
      <c r="O443" s="3"/>
      <c r="P443" s="3"/>
      <c r="Q443" s="3"/>
      <c r="R443" s="2"/>
      <c r="S443" s="9">
        <f t="shared" si="13"/>
        <v>-2.169975103</v>
      </c>
    </row>
    <row r="444">
      <c r="A444" s="11">
        <v>432.0</v>
      </c>
      <c r="B444" s="11">
        <v>1.42127391304347E9</v>
      </c>
      <c r="C444" s="2">
        <v>-102.8215332</v>
      </c>
      <c r="D444" s="3">
        <f t="shared" si="1"/>
        <v>873913.0435</v>
      </c>
      <c r="E444" s="4">
        <f t="shared" si="2"/>
        <v>-185.4958187</v>
      </c>
      <c r="F444" s="3">
        <f t="shared" si="3"/>
        <v>0.000212258897</v>
      </c>
      <c r="G444" s="3">
        <f t="shared" si="4"/>
        <v>0</v>
      </c>
      <c r="H444" s="2">
        <f t="shared" si="5"/>
        <v>0</v>
      </c>
      <c r="I444" s="3">
        <f t="shared" si="6"/>
        <v>0</v>
      </c>
      <c r="J444" s="3">
        <f t="shared" si="7"/>
        <v>0</v>
      </c>
      <c r="K444" s="3"/>
      <c r="L444" s="3">
        <f t="shared" si="8"/>
        <v>397.1484276</v>
      </c>
      <c r="M444" s="14">
        <f t="shared" si="9"/>
        <v>396.5263562</v>
      </c>
      <c r="N444" s="14">
        <f t="shared" si="10"/>
        <v>0.6220713217</v>
      </c>
      <c r="O444" s="3"/>
      <c r="P444" s="3"/>
      <c r="Q444" s="3"/>
      <c r="R444" s="2"/>
      <c r="S444" s="9">
        <f t="shared" si="13"/>
        <v>0.571245689</v>
      </c>
    </row>
    <row r="445">
      <c r="A445" s="11">
        <v>433.0</v>
      </c>
      <c r="B445" s="11">
        <v>1.42127826086956E9</v>
      </c>
      <c r="C445" s="2">
        <v>-102.8682175</v>
      </c>
      <c r="D445" s="3">
        <f t="shared" si="1"/>
        <v>878260.8696</v>
      </c>
      <c r="E445" s="4">
        <f t="shared" si="2"/>
        <v>-186.4141148</v>
      </c>
      <c r="F445" s="3">
        <f t="shared" si="3"/>
        <v>0.0002122536951</v>
      </c>
      <c r="G445" s="3">
        <f t="shared" si="4"/>
        <v>0</v>
      </c>
      <c r="H445" s="2">
        <f t="shared" si="5"/>
        <v>0</v>
      </c>
      <c r="I445" s="3">
        <f t="shared" si="6"/>
        <v>0</v>
      </c>
      <c r="J445" s="3">
        <f t="shared" si="7"/>
        <v>0</v>
      </c>
      <c r="K445" s="3"/>
      <c r="L445" s="3">
        <f t="shared" si="8"/>
        <v>392.9021609</v>
      </c>
      <c r="M445" s="14">
        <f t="shared" si="9"/>
        <v>396.4457771</v>
      </c>
      <c r="N445" s="14">
        <f t="shared" si="10"/>
        <v>-3.54361615</v>
      </c>
      <c r="O445" s="3"/>
      <c r="P445" s="3"/>
      <c r="Q445" s="3"/>
      <c r="R445" s="2"/>
      <c r="S445" s="9">
        <f t="shared" si="13"/>
        <v>-3.254088999</v>
      </c>
    </row>
    <row r="446">
      <c r="A446" s="11">
        <v>434.0</v>
      </c>
      <c r="B446" s="11">
        <v>1.42128260869565E9</v>
      </c>
      <c r="C446" s="2">
        <v>-102.8874893</v>
      </c>
      <c r="D446" s="3">
        <f t="shared" si="1"/>
        <v>882608.6957</v>
      </c>
      <c r="E446" s="4">
        <f t="shared" si="2"/>
        <v>-187.332411</v>
      </c>
      <c r="F446" s="3">
        <f t="shared" si="3"/>
        <v>0.0002122485444</v>
      </c>
      <c r="G446" s="3">
        <f t="shared" si="4"/>
        <v>0</v>
      </c>
      <c r="H446" s="2">
        <f t="shared" si="5"/>
        <v>0</v>
      </c>
      <c r="I446" s="3">
        <f t="shared" si="6"/>
        <v>0</v>
      </c>
      <c r="J446" s="3">
        <f t="shared" si="7"/>
        <v>0</v>
      </c>
      <c r="K446" s="3"/>
      <c r="L446" s="3">
        <f t="shared" si="8"/>
        <v>391.1625218</v>
      </c>
      <c r="M446" s="14">
        <f t="shared" si="9"/>
        <v>396.3654864</v>
      </c>
      <c r="N446" s="14">
        <f t="shared" si="10"/>
        <v>-5.202964569</v>
      </c>
      <c r="O446" s="3"/>
      <c r="P446" s="3"/>
      <c r="Q446" s="3"/>
      <c r="R446" s="2"/>
      <c r="S446" s="9">
        <f t="shared" si="13"/>
        <v>-4.777862243</v>
      </c>
    </row>
    <row r="447">
      <c r="A447" s="11">
        <v>435.0</v>
      </c>
      <c r="B447" s="11">
        <v>1.42128695652173E9</v>
      </c>
      <c r="C447" s="2">
        <v>-102.8052673</v>
      </c>
      <c r="D447" s="3">
        <f t="shared" si="1"/>
        <v>886956.5217</v>
      </c>
      <c r="E447" s="4">
        <f t="shared" si="2"/>
        <v>-188.2507071</v>
      </c>
      <c r="F447" s="3">
        <f t="shared" si="3"/>
        <v>0.0002122434443</v>
      </c>
      <c r="G447" s="3">
        <f t="shared" si="4"/>
        <v>0</v>
      </c>
      <c r="H447" s="2">
        <f t="shared" si="5"/>
        <v>0</v>
      </c>
      <c r="I447" s="3">
        <f t="shared" si="6"/>
        <v>0</v>
      </c>
      <c r="J447" s="3">
        <f t="shared" si="7"/>
        <v>0</v>
      </c>
      <c r="K447" s="3"/>
      <c r="L447" s="3">
        <f t="shared" si="8"/>
        <v>398.6386812</v>
      </c>
      <c r="M447" s="14">
        <f t="shared" si="9"/>
        <v>396.2854863</v>
      </c>
      <c r="N447" s="14">
        <f t="shared" si="10"/>
        <v>2.353194826</v>
      </c>
      <c r="O447" s="3"/>
      <c r="P447" s="3"/>
      <c r="Q447" s="3"/>
      <c r="R447" s="2"/>
      <c r="S447" s="9">
        <f t="shared" si="13"/>
        <v>2.160929709</v>
      </c>
    </row>
    <row r="448">
      <c r="A448" s="11">
        <v>436.0</v>
      </c>
      <c r="B448" s="11">
        <v>1.42129130434782E9</v>
      </c>
      <c r="C448" s="2">
        <v>-102.7727814</v>
      </c>
      <c r="D448" s="3">
        <f t="shared" si="1"/>
        <v>891304.3478</v>
      </c>
      <c r="E448" s="4">
        <f t="shared" si="2"/>
        <v>-189.1690032</v>
      </c>
      <c r="F448" s="3">
        <f t="shared" si="3"/>
        <v>0.0002122383939</v>
      </c>
      <c r="G448" s="3">
        <f t="shared" si="4"/>
        <v>0</v>
      </c>
      <c r="H448" s="2">
        <f t="shared" si="5"/>
        <v>0</v>
      </c>
      <c r="I448" s="3">
        <f t="shared" si="6"/>
        <v>0</v>
      </c>
      <c r="J448" s="3">
        <f t="shared" si="7"/>
        <v>0</v>
      </c>
      <c r="K448" s="3"/>
      <c r="L448" s="3">
        <f t="shared" si="8"/>
        <v>401.6317406</v>
      </c>
      <c r="M448" s="14">
        <f t="shared" si="9"/>
        <v>396.2057789</v>
      </c>
      <c r="N448" s="14">
        <f t="shared" si="10"/>
        <v>5.425961652</v>
      </c>
      <c r="O448" s="3"/>
      <c r="P448" s="3"/>
      <c r="Q448" s="3"/>
      <c r="R448" s="2"/>
      <c r="S448" s="9">
        <f t="shared" si="13"/>
        <v>4.982639602</v>
      </c>
    </row>
    <row r="449">
      <c r="A449" s="11">
        <v>437.0</v>
      </c>
      <c r="B449" s="11">
        <v>1.42129565217391E9</v>
      </c>
      <c r="C449" s="2">
        <v>-102.8411942</v>
      </c>
      <c r="D449" s="3">
        <f t="shared" si="1"/>
        <v>895652.1739</v>
      </c>
      <c r="E449" s="4">
        <f t="shared" si="2"/>
        <v>-190.0872994</v>
      </c>
      <c r="F449" s="3">
        <f t="shared" si="3"/>
        <v>0.0002122333925</v>
      </c>
      <c r="G449" s="3">
        <f t="shared" si="4"/>
        <v>0</v>
      </c>
      <c r="H449" s="2">
        <f t="shared" si="5"/>
        <v>0</v>
      </c>
      <c r="I449" s="3">
        <f t="shared" si="6"/>
        <v>0</v>
      </c>
      <c r="J449" s="3">
        <f t="shared" si="7"/>
        <v>0</v>
      </c>
      <c r="K449" s="3"/>
      <c r="L449" s="3">
        <f t="shared" si="8"/>
        <v>395.3545555</v>
      </c>
      <c r="M449" s="14">
        <f t="shared" si="9"/>
        <v>396.1263662</v>
      </c>
      <c r="N449" s="14">
        <f t="shared" si="10"/>
        <v>-0.7718106746</v>
      </c>
      <c r="O449" s="3"/>
      <c r="P449" s="3"/>
      <c r="Q449" s="3"/>
      <c r="R449" s="2"/>
      <c r="S449" s="9">
        <f t="shared" si="13"/>
        <v>-0.7087507561</v>
      </c>
    </row>
    <row r="450">
      <c r="A450" s="11">
        <v>438.0</v>
      </c>
      <c r="B450" s="11">
        <v>1.4213E9</v>
      </c>
      <c r="C450" s="2">
        <v>-102.8321457</v>
      </c>
      <c r="D450" s="3">
        <f t="shared" si="1"/>
        <v>900000</v>
      </c>
      <c r="E450" s="4">
        <f t="shared" si="2"/>
        <v>-191.0055955</v>
      </c>
      <c r="F450" s="3">
        <f t="shared" si="3"/>
        <v>0.0002122284394</v>
      </c>
      <c r="G450" s="3">
        <f t="shared" si="4"/>
        <v>0</v>
      </c>
      <c r="H450" s="2">
        <f t="shared" si="5"/>
        <v>0</v>
      </c>
      <c r="I450" s="3">
        <f t="shared" si="6"/>
        <v>0</v>
      </c>
      <c r="J450" s="3">
        <f t="shared" si="7"/>
        <v>0</v>
      </c>
      <c r="K450" s="3"/>
      <c r="L450" s="3">
        <f t="shared" si="8"/>
        <v>396.1791331</v>
      </c>
      <c r="M450" s="14">
        <f t="shared" si="9"/>
        <v>396.0472502</v>
      </c>
      <c r="N450" s="14">
        <f t="shared" si="10"/>
        <v>0.1318829003</v>
      </c>
      <c r="O450" s="3"/>
      <c r="P450" s="3"/>
      <c r="Q450" s="3"/>
      <c r="R450" s="2"/>
      <c r="S450" s="9">
        <f t="shared" si="13"/>
        <v>0.1211075573</v>
      </c>
    </row>
    <row r="451">
      <c r="A451" s="11">
        <v>439.0</v>
      </c>
      <c r="B451" s="11">
        <v>1.42130434782608E9</v>
      </c>
      <c r="C451" s="2">
        <v>-102.8316116</v>
      </c>
      <c r="D451" s="3">
        <f t="shared" si="1"/>
        <v>904347.8261</v>
      </c>
      <c r="E451" s="4">
        <f t="shared" si="2"/>
        <v>-191.9238916</v>
      </c>
      <c r="F451" s="3">
        <f t="shared" si="3"/>
        <v>0.000212223534</v>
      </c>
      <c r="G451" s="3">
        <f t="shared" si="4"/>
        <v>0</v>
      </c>
      <c r="H451" s="2">
        <f t="shared" si="5"/>
        <v>0</v>
      </c>
      <c r="I451" s="3">
        <f t="shared" si="6"/>
        <v>0</v>
      </c>
      <c r="J451" s="3">
        <f t="shared" si="7"/>
        <v>0</v>
      </c>
      <c r="K451" s="3"/>
      <c r="L451" s="3">
        <f t="shared" si="8"/>
        <v>396.2278587</v>
      </c>
      <c r="M451" s="14">
        <f t="shared" si="9"/>
        <v>395.968433</v>
      </c>
      <c r="N451" s="14">
        <f t="shared" si="10"/>
        <v>0.2594256097</v>
      </c>
      <c r="O451" s="3"/>
      <c r="P451" s="3"/>
      <c r="Q451" s="3"/>
      <c r="R451" s="2"/>
      <c r="S451" s="9">
        <f t="shared" si="13"/>
        <v>0.2382295342</v>
      </c>
    </row>
    <row r="452">
      <c r="A452" s="11">
        <v>440.0</v>
      </c>
      <c r="B452" s="11">
        <v>1.42130869565217E9</v>
      </c>
      <c r="C452" s="2">
        <v>-102.790657</v>
      </c>
      <c r="D452" s="3">
        <f t="shared" si="1"/>
        <v>908695.6522</v>
      </c>
      <c r="E452" s="4">
        <f t="shared" si="2"/>
        <v>-192.8421877</v>
      </c>
      <c r="F452" s="3">
        <f t="shared" si="3"/>
        <v>0.0002122186755</v>
      </c>
      <c r="G452" s="3">
        <f t="shared" si="4"/>
        <v>0</v>
      </c>
      <c r="H452" s="2">
        <f t="shared" si="5"/>
        <v>0</v>
      </c>
      <c r="I452" s="3">
        <f t="shared" si="6"/>
        <v>0</v>
      </c>
      <c r="J452" s="3">
        <f t="shared" si="7"/>
        <v>0</v>
      </c>
      <c r="K452" s="3"/>
      <c r="L452" s="3">
        <f t="shared" si="8"/>
        <v>399.9820182</v>
      </c>
      <c r="M452" s="14">
        <f t="shared" si="9"/>
        <v>395.8899167</v>
      </c>
      <c r="N452" s="14">
        <f t="shared" si="10"/>
        <v>4.092101468</v>
      </c>
      <c r="O452" s="3"/>
      <c r="P452" s="3"/>
      <c r="Q452" s="3"/>
      <c r="R452" s="2"/>
      <c r="S452" s="9">
        <f t="shared" si="13"/>
        <v>3.757760944</v>
      </c>
    </row>
    <row r="453">
      <c r="A453" s="11">
        <v>441.0</v>
      </c>
      <c r="B453" s="11">
        <v>1.42131304347826E9</v>
      </c>
      <c r="C453" s="2">
        <v>-102.814003</v>
      </c>
      <c r="D453" s="3">
        <f t="shared" si="1"/>
        <v>913043.4783</v>
      </c>
      <c r="E453" s="4">
        <f t="shared" si="2"/>
        <v>-193.7604839</v>
      </c>
      <c r="F453" s="3">
        <f t="shared" si="3"/>
        <v>0.0002122138633</v>
      </c>
      <c r="G453" s="3">
        <f t="shared" si="4"/>
        <v>0</v>
      </c>
      <c r="H453" s="2">
        <f t="shared" si="5"/>
        <v>0</v>
      </c>
      <c r="I453" s="3">
        <f t="shared" si="6"/>
        <v>0</v>
      </c>
      <c r="J453" s="3">
        <f t="shared" si="7"/>
        <v>0</v>
      </c>
      <c r="K453" s="3"/>
      <c r="L453" s="3">
        <f t="shared" si="8"/>
        <v>397.8376376</v>
      </c>
      <c r="M453" s="14">
        <f t="shared" si="9"/>
        <v>395.8117033</v>
      </c>
      <c r="N453" s="14">
        <f t="shared" si="10"/>
        <v>2.025934334</v>
      </c>
      <c r="O453" s="3"/>
      <c r="P453" s="3"/>
      <c r="Q453" s="3"/>
      <c r="R453" s="2"/>
      <c r="S453" s="9">
        <f t="shared" si="13"/>
        <v>1.860407664</v>
      </c>
    </row>
    <row r="454">
      <c r="A454" s="11">
        <v>442.0</v>
      </c>
      <c r="B454" s="11">
        <v>1.42131739130434E9</v>
      </c>
      <c r="C454" s="2">
        <v>-102.8260422</v>
      </c>
      <c r="D454" s="3">
        <f t="shared" si="1"/>
        <v>917391.3043</v>
      </c>
      <c r="E454" s="4">
        <f t="shared" si="2"/>
        <v>-194.67878</v>
      </c>
      <c r="F454" s="3">
        <f t="shared" si="3"/>
        <v>0.0002122090967</v>
      </c>
      <c r="G454" s="3">
        <f t="shared" si="4"/>
        <v>0</v>
      </c>
      <c r="H454" s="2">
        <f t="shared" si="5"/>
        <v>0</v>
      </c>
      <c r="I454" s="3">
        <f t="shared" si="6"/>
        <v>0</v>
      </c>
      <c r="J454" s="3">
        <f t="shared" si="7"/>
        <v>0</v>
      </c>
      <c r="K454" s="3"/>
      <c r="L454" s="3">
        <f t="shared" si="8"/>
        <v>396.7363079</v>
      </c>
      <c r="M454" s="14">
        <f t="shared" si="9"/>
        <v>395.7337948</v>
      </c>
      <c r="N454" s="14">
        <f t="shared" si="10"/>
        <v>1.00251306</v>
      </c>
      <c r="O454" s="3"/>
      <c r="P454" s="3"/>
      <c r="Q454" s="3"/>
      <c r="R454" s="2"/>
      <c r="S454" s="9">
        <f t="shared" si="13"/>
        <v>0.9206038665</v>
      </c>
    </row>
    <row r="455">
      <c r="A455" s="11">
        <v>443.0</v>
      </c>
      <c r="B455" s="11">
        <v>1.42132173913043E9</v>
      </c>
      <c r="C455" s="2">
        <v>-102.8696289</v>
      </c>
      <c r="D455" s="3">
        <f t="shared" si="1"/>
        <v>921739.1304</v>
      </c>
      <c r="E455" s="4">
        <f t="shared" si="2"/>
        <v>-195.5970761</v>
      </c>
      <c r="F455" s="3">
        <f t="shared" si="3"/>
        <v>0.0002122043751</v>
      </c>
      <c r="G455" s="3">
        <f t="shared" si="4"/>
        <v>0</v>
      </c>
      <c r="H455" s="2">
        <f t="shared" si="5"/>
        <v>0</v>
      </c>
      <c r="I455" s="3">
        <f t="shared" si="6"/>
        <v>0</v>
      </c>
      <c r="J455" s="3">
        <f t="shared" si="7"/>
        <v>0</v>
      </c>
      <c r="K455" s="3"/>
      <c r="L455" s="3">
        <f t="shared" si="8"/>
        <v>392.7744936</v>
      </c>
      <c r="M455" s="14">
        <f t="shared" si="9"/>
        <v>395.6561934</v>
      </c>
      <c r="N455" s="14">
        <f t="shared" si="10"/>
        <v>-2.881699773</v>
      </c>
      <c r="O455" s="3"/>
      <c r="P455" s="3"/>
      <c r="Q455" s="3"/>
      <c r="R455" s="2"/>
      <c r="S455" s="9">
        <f t="shared" si="13"/>
        <v>-2.646253751</v>
      </c>
    </row>
    <row r="456">
      <c r="A456" s="11">
        <v>444.0</v>
      </c>
      <c r="B456" s="11">
        <v>1.42132608695652E9</v>
      </c>
      <c r="C456" s="2">
        <v>-102.8124313</v>
      </c>
      <c r="D456" s="3">
        <f t="shared" si="1"/>
        <v>926086.9565</v>
      </c>
      <c r="E456" s="4">
        <f t="shared" si="2"/>
        <v>-196.5153723</v>
      </c>
      <c r="F456" s="3">
        <f t="shared" si="3"/>
        <v>0.0002121996978</v>
      </c>
      <c r="G456" s="3">
        <f t="shared" si="4"/>
        <v>0</v>
      </c>
      <c r="H456" s="2">
        <f t="shared" si="5"/>
        <v>0</v>
      </c>
      <c r="I456" s="3">
        <f t="shared" si="6"/>
        <v>0</v>
      </c>
      <c r="J456" s="3">
        <f t="shared" si="7"/>
        <v>0</v>
      </c>
      <c r="K456" s="3"/>
      <c r="L456" s="3">
        <f t="shared" si="8"/>
        <v>397.9816401</v>
      </c>
      <c r="M456" s="14">
        <f t="shared" si="9"/>
        <v>395.578901</v>
      </c>
      <c r="N456" s="14">
        <f t="shared" si="10"/>
        <v>2.402739044</v>
      </c>
      <c r="O456" s="3"/>
      <c r="P456" s="3"/>
      <c r="Q456" s="3"/>
      <c r="R456" s="2"/>
      <c r="S456" s="9">
        <f t="shared" si="13"/>
        <v>2.206425973</v>
      </c>
    </row>
    <row r="457">
      <c r="A457" s="11">
        <v>445.0</v>
      </c>
      <c r="B457" s="11">
        <v>1.4213304347826E9</v>
      </c>
      <c r="C457" s="2">
        <v>-102.8149185</v>
      </c>
      <c r="D457" s="3">
        <f t="shared" si="1"/>
        <v>930434.7826</v>
      </c>
      <c r="E457" s="4">
        <f t="shared" si="2"/>
        <v>-197.4336684</v>
      </c>
      <c r="F457" s="3">
        <f t="shared" si="3"/>
        <v>0.0002121950642</v>
      </c>
      <c r="G457" s="3">
        <f t="shared" si="4"/>
        <v>0</v>
      </c>
      <c r="H457" s="2">
        <f t="shared" si="5"/>
        <v>0</v>
      </c>
      <c r="I457" s="3">
        <f t="shared" si="6"/>
        <v>0</v>
      </c>
      <c r="J457" s="3">
        <f t="shared" si="7"/>
        <v>0</v>
      </c>
      <c r="K457" s="3"/>
      <c r="L457" s="3">
        <f t="shared" si="8"/>
        <v>397.7537816</v>
      </c>
      <c r="M457" s="14">
        <f t="shared" si="9"/>
        <v>395.5019197</v>
      </c>
      <c r="N457" s="14">
        <f t="shared" si="10"/>
        <v>2.251861887</v>
      </c>
      <c r="O457" s="3"/>
      <c r="P457" s="3"/>
      <c r="Q457" s="3"/>
      <c r="R457" s="2"/>
      <c r="S457" s="9">
        <f t="shared" si="13"/>
        <v>2.067876062</v>
      </c>
    </row>
    <row r="458">
      <c r="A458" s="11">
        <v>446.0</v>
      </c>
      <c r="B458" s="11">
        <v>1.42133478260869E9</v>
      </c>
      <c r="C458" s="2">
        <v>-102.7980499</v>
      </c>
      <c r="D458" s="3">
        <f t="shared" si="1"/>
        <v>934782.6087</v>
      </c>
      <c r="E458" s="4">
        <f t="shared" si="2"/>
        <v>-198.3519645</v>
      </c>
      <c r="F458" s="3">
        <f t="shared" si="3"/>
        <v>0.0002121904737</v>
      </c>
      <c r="G458" s="3">
        <f t="shared" si="4"/>
        <v>0</v>
      </c>
      <c r="H458" s="2">
        <f t="shared" si="5"/>
        <v>0</v>
      </c>
      <c r="I458" s="3">
        <f t="shared" si="6"/>
        <v>0</v>
      </c>
      <c r="J458" s="3">
        <f t="shared" si="7"/>
        <v>0</v>
      </c>
      <c r="K458" s="3"/>
      <c r="L458" s="3">
        <f t="shared" si="8"/>
        <v>399.3017167</v>
      </c>
      <c r="M458" s="14">
        <f t="shared" si="9"/>
        <v>395.4252517</v>
      </c>
      <c r="N458" s="14">
        <f t="shared" si="10"/>
        <v>3.87646508</v>
      </c>
      <c r="O458" s="3"/>
      <c r="P458" s="3"/>
      <c r="Q458" s="3"/>
      <c r="R458" s="2"/>
      <c r="S458" s="9">
        <f t="shared" si="13"/>
        <v>3.559742892</v>
      </c>
    </row>
    <row r="459">
      <c r="A459" s="11">
        <v>447.0</v>
      </c>
      <c r="B459" s="11">
        <v>1.42133913043478E9</v>
      </c>
      <c r="C459" s="2">
        <v>-102.7925568</v>
      </c>
      <c r="D459" s="3">
        <f t="shared" si="1"/>
        <v>939130.4348</v>
      </c>
      <c r="E459" s="4">
        <f t="shared" si="2"/>
        <v>-199.2702607</v>
      </c>
      <c r="F459" s="3">
        <f t="shared" si="3"/>
        <v>0.0002121859257</v>
      </c>
      <c r="G459" s="3">
        <f t="shared" si="4"/>
        <v>0</v>
      </c>
      <c r="H459" s="2">
        <f t="shared" si="5"/>
        <v>0</v>
      </c>
      <c r="I459" s="3">
        <f t="shared" si="6"/>
        <v>0</v>
      </c>
      <c r="J459" s="3">
        <f t="shared" si="7"/>
        <v>0</v>
      </c>
      <c r="K459" s="3"/>
      <c r="L459" s="3">
        <f t="shared" si="8"/>
        <v>399.8070863</v>
      </c>
      <c r="M459" s="14">
        <f t="shared" si="9"/>
        <v>395.3488988</v>
      </c>
      <c r="N459" s="14">
        <f t="shared" si="10"/>
        <v>4.458187477</v>
      </c>
      <c r="O459" s="3"/>
      <c r="P459" s="3"/>
      <c r="Q459" s="3"/>
      <c r="R459" s="2"/>
      <c r="S459" s="9">
        <f t="shared" si="13"/>
        <v>4.09393631</v>
      </c>
    </row>
    <row r="460">
      <c r="A460" s="11">
        <v>448.0</v>
      </c>
      <c r="B460" s="11">
        <v>1.42134347826087E9</v>
      </c>
      <c r="C460" s="2">
        <v>-102.8040466</v>
      </c>
      <c r="D460" s="3">
        <f t="shared" si="1"/>
        <v>943478.2609</v>
      </c>
      <c r="E460" s="4">
        <f t="shared" si="2"/>
        <v>-200.1885568</v>
      </c>
      <c r="F460" s="3">
        <f t="shared" si="3"/>
        <v>0.0002121814197</v>
      </c>
      <c r="G460" s="3">
        <f t="shared" si="4"/>
        <v>0</v>
      </c>
      <c r="H460" s="2">
        <f t="shared" si="5"/>
        <v>0</v>
      </c>
      <c r="I460" s="3">
        <f t="shared" si="6"/>
        <v>0</v>
      </c>
      <c r="J460" s="3">
        <f t="shared" si="7"/>
        <v>0</v>
      </c>
      <c r="K460" s="3"/>
      <c r="L460" s="3">
        <f t="shared" si="8"/>
        <v>398.7507449</v>
      </c>
      <c r="M460" s="14">
        <f t="shared" si="9"/>
        <v>395.2728632</v>
      </c>
      <c r="N460" s="14">
        <f t="shared" si="10"/>
        <v>3.477881709</v>
      </c>
      <c r="O460" s="3"/>
      <c r="P460" s="3"/>
      <c r="Q460" s="3"/>
      <c r="R460" s="2"/>
      <c r="S460" s="9">
        <f t="shared" si="13"/>
        <v>3.193725323</v>
      </c>
    </row>
    <row r="461">
      <c r="A461" s="11">
        <v>449.0</v>
      </c>
      <c r="B461" s="11">
        <v>1.42134782608695E9</v>
      </c>
      <c r="C461" s="2">
        <v>-102.876709</v>
      </c>
      <c r="D461" s="3">
        <f t="shared" si="1"/>
        <v>947826.087</v>
      </c>
      <c r="E461" s="4">
        <f t="shared" si="2"/>
        <v>-201.1068529</v>
      </c>
      <c r="F461" s="3">
        <f t="shared" si="3"/>
        <v>0.0002121769549</v>
      </c>
      <c r="G461" s="3">
        <f t="shared" si="4"/>
        <v>0</v>
      </c>
      <c r="H461" s="2">
        <f t="shared" si="5"/>
        <v>0</v>
      </c>
      <c r="I461" s="3">
        <f t="shared" si="6"/>
        <v>0</v>
      </c>
      <c r="J461" s="3">
        <f t="shared" si="7"/>
        <v>0</v>
      </c>
      <c r="K461" s="3"/>
      <c r="L461" s="3">
        <f t="shared" si="8"/>
        <v>392.1346934</v>
      </c>
      <c r="M461" s="14">
        <f t="shared" si="9"/>
        <v>395.197147</v>
      </c>
      <c r="N461" s="14">
        <f t="shared" si="10"/>
        <v>-3.062453578</v>
      </c>
      <c r="O461" s="3"/>
      <c r="P461" s="3"/>
      <c r="Q461" s="3"/>
      <c r="R461" s="2"/>
      <c r="S461" s="9">
        <f t="shared" si="13"/>
        <v>-2.812239278</v>
      </c>
    </row>
    <row r="462">
      <c r="A462" s="11">
        <v>450.0</v>
      </c>
      <c r="B462" s="11">
        <v>1.42135217391304E9</v>
      </c>
      <c r="C462" s="2">
        <v>-102.7966232</v>
      </c>
      <c r="D462" s="3">
        <f t="shared" si="1"/>
        <v>952173.913</v>
      </c>
      <c r="E462" s="4">
        <f t="shared" si="2"/>
        <v>-202.0251491</v>
      </c>
      <c r="F462" s="3">
        <f t="shared" si="3"/>
        <v>0.000212172531</v>
      </c>
      <c r="G462" s="3">
        <f t="shared" si="4"/>
        <v>0</v>
      </c>
      <c r="H462" s="2">
        <f t="shared" si="5"/>
        <v>0</v>
      </c>
      <c r="I462" s="3">
        <f t="shared" si="6"/>
        <v>0</v>
      </c>
      <c r="J462" s="3">
        <f t="shared" si="7"/>
        <v>0</v>
      </c>
      <c r="K462" s="3"/>
      <c r="L462" s="3">
        <f t="shared" si="8"/>
        <v>399.4329128</v>
      </c>
      <c r="M462" s="14">
        <f t="shared" si="9"/>
        <v>395.1217521</v>
      </c>
      <c r="N462" s="14">
        <f t="shared" si="10"/>
        <v>4.311160735</v>
      </c>
      <c r="O462" s="3"/>
      <c r="P462" s="3"/>
      <c r="Q462" s="3"/>
      <c r="R462" s="2"/>
      <c r="S462" s="9">
        <f t="shared" si="13"/>
        <v>3.958922222</v>
      </c>
    </row>
    <row r="463">
      <c r="A463" s="11">
        <v>451.0</v>
      </c>
      <c r="B463" s="11">
        <v>1.42135652173913E9</v>
      </c>
      <c r="C463" s="2">
        <v>-102.7574997</v>
      </c>
      <c r="D463" s="3">
        <f t="shared" si="1"/>
        <v>956521.7391</v>
      </c>
      <c r="E463" s="4">
        <f t="shared" si="2"/>
        <v>-202.9434452</v>
      </c>
      <c r="F463" s="3">
        <f t="shared" si="3"/>
        <v>0.0002121681473</v>
      </c>
      <c r="G463" s="3">
        <f t="shared" si="4"/>
        <v>0</v>
      </c>
      <c r="H463" s="2">
        <f t="shared" si="5"/>
        <v>0</v>
      </c>
      <c r="I463" s="3">
        <f t="shared" si="6"/>
        <v>0</v>
      </c>
      <c r="J463" s="3">
        <f t="shared" si="7"/>
        <v>0</v>
      </c>
      <c r="K463" s="3"/>
      <c r="L463" s="3">
        <f t="shared" si="8"/>
        <v>403.0474682</v>
      </c>
      <c r="M463" s="14">
        <f t="shared" si="9"/>
        <v>395.0466807</v>
      </c>
      <c r="N463" s="14">
        <f t="shared" si="10"/>
        <v>8.000787516</v>
      </c>
      <c r="O463" s="3"/>
      <c r="P463" s="3"/>
      <c r="Q463" s="3"/>
      <c r="R463" s="2"/>
      <c r="S463" s="9">
        <f t="shared" si="13"/>
        <v>7.347092235</v>
      </c>
    </row>
    <row r="464">
      <c r="A464" s="11">
        <v>452.0</v>
      </c>
      <c r="B464" s="11">
        <v>1.42136086956521E9</v>
      </c>
      <c r="C464" s="2">
        <v>-102.8782349</v>
      </c>
      <c r="D464" s="3">
        <f t="shared" si="1"/>
        <v>960869.5652</v>
      </c>
      <c r="E464" s="4">
        <f t="shared" si="2"/>
        <v>-203.8617413</v>
      </c>
      <c r="F464" s="3">
        <f t="shared" si="3"/>
        <v>0.0002121638032</v>
      </c>
      <c r="G464" s="3">
        <f t="shared" si="4"/>
        <v>0</v>
      </c>
      <c r="H464" s="2">
        <f t="shared" si="5"/>
        <v>0</v>
      </c>
      <c r="I464" s="3">
        <f t="shared" si="6"/>
        <v>0</v>
      </c>
      <c r="J464" s="3">
        <f t="shared" si="7"/>
        <v>0</v>
      </c>
      <c r="K464" s="3"/>
      <c r="L464" s="3">
        <f t="shared" si="8"/>
        <v>391.9969405</v>
      </c>
      <c r="M464" s="14">
        <f t="shared" si="9"/>
        <v>394.9719347</v>
      </c>
      <c r="N464" s="14">
        <f t="shared" si="10"/>
        <v>-2.974994234</v>
      </c>
      <c r="O464" s="3"/>
      <c r="P464" s="3"/>
      <c r="Q464" s="3"/>
      <c r="R464" s="2"/>
      <c r="S464" s="9">
        <f t="shared" si="13"/>
        <v>-2.731925701</v>
      </c>
    </row>
    <row r="465">
      <c r="A465" s="11">
        <v>453.0</v>
      </c>
      <c r="B465" s="11">
        <v>1.4213652173913E9</v>
      </c>
      <c r="C465" s="2">
        <v>-102.812355</v>
      </c>
      <c r="D465" s="3">
        <f t="shared" si="1"/>
        <v>965217.3913</v>
      </c>
      <c r="E465" s="4">
        <f t="shared" si="2"/>
        <v>-204.7800375</v>
      </c>
      <c r="F465" s="3">
        <f t="shared" si="3"/>
        <v>0.0002121594983</v>
      </c>
      <c r="G465" s="3">
        <f t="shared" si="4"/>
        <v>0</v>
      </c>
      <c r="H465" s="2">
        <f t="shared" si="5"/>
        <v>0</v>
      </c>
      <c r="I465" s="3">
        <f t="shared" si="6"/>
        <v>0</v>
      </c>
      <c r="J465" s="3">
        <f t="shared" si="7"/>
        <v>0</v>
      </c>
      <c r="K465" s="3"/>
      <c r="L465" s="3">
        <f t="shared" si="8"/>
        <v>397.9886321</v>
      </c>
      <c r="M465" s="14">
        <f t="shared" si="9"/>
        <v>394.8975163</v>
      </c>
      <c r="N465" s="14">
        <f t="shared" si="10"/>
        <v>3.091115827</v>
      </c>
      <c r="O465" s="3"/>
      <c r="P465" s="3"/>
      <c r="Q465" s="3"/>
      <c r="R465" s="2"/>
      <c r="S465" s="9">
        <f t="shared" si="13"/>
        <v>2.838559703</v>
      </c>
    </row>
    <row r="466">
      <c r="A466" s="11">
        <v>454.0</v>
      </c>
      <c r="B466" s="11">
        <v>1.42136956521739E9</v>
      </c>
      <c r="C466" s="2">
        <v>-102.845787</v>
      </c>
      <c r="D466" s="3">
        <f t="shared" si="1"/>
        <v>969565.2174</v>
      </c>
      <c r="E466" s="4">
        <f t="shared" si="2"/>
        <v>-205.6983336</v>
      </c>
      <c r="F466" s="3">
        <f t="shared" si="3"/>
        <v>0.000212155232</v>
      </c>
      <c r="G466" s="3">
        <f t="shared" si="4"/>
        <v>0</v>
      </c>
      <c r="H466" s="2">
        <f t="shared" si="5"/>
        <v>0</v>
      </c>
      <c r="I466" s="3">
        <f t="shared" si="6"/>
        <v>0</v>
      </c>
      <c r="J466" s="3">
        <f t="shared" si="7"/>
        <v>0</v>
      </c>
      <c r="K466" s="3"/>
      <c r="L466" s="3">
        <f t="shared" si="8"/>
        <v>394.9366767</v>
      </c>
      <c r="M466" s="14">
        <f t="shared" si="9"/>
        <v>394.8234275</v>
      </c>
      <c r="N466" s="14">
        <f t="shared" si="10"/>
        <v>0.1132491972</v>
      </c>
      <c r="O466" s="3"/>
      <c r="P466" s="3"/>
      <c r="Q466" s="3"/>
      <c r="R466" s="2"/>
      <c r="S466" s="9">
        <f t="shared" si="13"/>
        <v>0.1039962998</v>
      </c>
    </row>
    <row r="467">
      <c r="A467" s="11">
        <v>455.0</v>
      </c>
      <c r="B467" s="11">
        <v>1.42137391304347E9</v>
      </c>
      <c r="C467" s="2">
        <v>-102.823349</v>
      </c>
      <c r="D467" s="3">
        <f t="shared" si="1"/>
        <v>973913.0435</v>
      </c>
      <c r="E467" s="4">
        <f t="shared" si="2"/>
        <v>-206.6166297</v>
      </c>
      <c r="F467" s="3">
        <f t="shared" si="3"/>
        <v>0.0002121510037</v>
      </c>
      <c r="G467" s="3">
        <f t="shared" si="4"/>
        <v>0</v>
      </c>
      <c r="H467" s="2">
        <f t="shared" si="5"/>
        <v>0</v>
      </c>
      <c r="I467" s="3">
        <f t="shared" si="6"/>
        <v>0</v>
      </c>
      <c r="J467" s="3">
        <f t="shared" si="7"/>
        <v>0</v>
      </c>
      <c r="K467" s="3"/>
      <c r="L467" s="3">
        <f t="shared" si="8"/>
        <v>396.9824132</v>
      </c>
      <c r="M467" s="14">
        <f t="shared" si="9"/>
        <v>394.7496704</v>
      </c>
      <c r="N467" s="14">
        <f t="shared" si="10"/>
        <v>2.232742792</v>
      </c>
      <c r="O467" s="3"/>
      <c r="P467" s="3"/>
      <c r="Q467" s="3"/>
      <c r="R467" s="2"/>
      <c r="S467" s="9">
        <f t="shared" si="13"/>
        <v>2.050319071</v>
      </c>
    </row>
    <row r="468">
      <c r="A468" s="11">
        <v>456.0</v>
      </c>
      <c r="B468" s="11">
        <v>1.42137826086956E9</v>
      </c>
      <c r="C468" s="2">
        <v>-102.8275223</v>
      </c>
      <c r="D468" s="3">
        <f t="shared" si="1"/>
        <v>978260.8696</v>
      </c>
      <c r="E468" s="4">
        <f t="shared" si="2"/>
        <v>-207.5349259</v>
      </c>
      <c r="F468" s="3">
        <f t="shared" si="3"/>
        <v>0.0002121468131</v>
      </c>
      <c r="G468" s="3">
        <f t="shared" si="4"/>
        <v>0</v>
      </c>
      <c r="H468" s="2">
        <f t="shared" si="5"/>
        <v>0</v>
      </c>
      <c r="I468" s="3">
        <f t="shared" si="6"/>
        <v>0</v>
      </c>
      <c r="J468" s="3">
        <f t="shared" si="7"/>
        <v>0</v>
      </c>
      <c r="K468" s="3"/>
      <c r="L468" s="3">
        <f t="shared" si="8"/>
        <v>396.601121</v>
      </c>
      <c r="M468" s="14">
        <f t="shared" si="9"/>
        <v>394.6762469</v>
      </c>
      <c r="N468" s="14">
        <f t="shared" si="10"/>
        <v>1.924874042</v>
      </c>
      <c r="O468" s="3"/>
      <c r="P468" s="3"/>
      <c r="Q468" s="3"/>
      <c r="R468" s="2"/>
      <c r="S468" s="9">
        <f t="shared" si="13"/>
        <v>1.767604384</v>
      </c>
    </row>
    <row r="469">
      <c r="A469" s="11">
        <v>457.0</v>
      </c>
      <c r="B469" s="11">
        <v>1.42138260869565E9</v>
      </c>
      <c r="C469" s="2">
        <v>-102.9485779</v>
      </c>
      <c r="D469" s="3">
        <f t="shared" si="1"/>
        <v>982608.6957</v>
      </c>
      <c r="E469" s="4">
        <f t="shared" si="2"/>
        <v>-208.453222</v>
      </c>
      <c r="F469" s="3">
        <f t="shared" si="3"/>
        <v>0.0002121426596</v>
      </c>
      <c r="G469" s="3">
        <f t="shared" si="4"/>
        <v>0</v>
      </c>
      <c r="H469" s="2">
        <f t="shared" si="5"/>
        <v>0</v>
      </c>
      <c r="I469" s="3">
        <f t="shared" si="6"/>
        <v>0</v>
      </c>
      <c r="J469" s="3">
        <f t="shared" si="7"/>
        <v>0</v>
      </c>
      <c r="K469" s="3"/>
      <c r="L469" s="3">
        <f t="shared" si="8"/>
        <v>385.6988797</v>
      </c>
      <c r="M469" s="14">
        <f t="shared" si="9"/>
        <v>394.6031592</v>
      </c>
      <c r="N469" s="14">
        <f t="shared" si="10"/>
        <v>-8.904279577</v>
      </c>
      <c r="O469" s="3"/>
      <c r="P469" s="3"/>
      <c r="Q469" s="3"/>
      <c r="R469" s="2"/>
      <c r="S469" s="9">
        <f t="shared" si="13"/>
        <v>-8.176765501</v>
      </c>
    </row>
    <row r="470">
      <c r="A470" s="11">
        <v>458.0</v>
      </c>
      <c r="B470" s="11">
        <v>1.42138695652173E9</v>
      </c>
      <c r="C470" s="2">
        <v>-102.8746567</v>
      </c>
      <c r="D470" s="3">
        <f t="shared" si="1"/>
        <v>986956.5217</v>
      </c>
      <c r="E470" s="4">
        <f t="shared" si="2"/>
        <v>-209.3715181</v>
      </c>
      <c r="F470" s="3">
        <f t="shared" si="3"/>
        <v>0.0002121385426</v>
      </c>
      <c r="G470" s="3">
        <f t="shared" si="4"/>
        <v>0</v>
      </c>
      <c r="H470" s="2">
        <f t="shared" si="5"/>
        <v>0</v>
      </c>
      <c r="I470" s="3">
        <f t="shared" si="6"/>
        <v>0</v>
      </c>
      <c r="J470" s="3">
        <f t="shared" si="7"/>
        <v>0</v>
      </c>
      <c r="K470" s="3"/>
      <c r="L470" s="3">
        <f t="shared" si="8"/>
        <v>392.3200442</v>
      </c>
      <c r="M470" s="14">
        <f t="shared" si="9"/>
        <v>394.5304094</v>
      </c>
      <c r="N470" s="14">
        <f t="shared" si="10"/>
        <v>-2.210365215</v>
      </c>
      <c r="O470" s="3"/>
      <c r="P470" s="3"/>
      <c r="Q470" s="3"/>
      <c r="R470" s="2"/>
      <c r="S470" s="9">
        <f t="shared" si="13"/>
        <v>-2.029769828</v>
      </c>
    </row>
    <row r="471">
      <c r="A471" s="11">
        <v>459.0</v>
      </c>
      <c r="B471" s="11">
        <v>1.42139130434782E9</v>
      </c>
      <c r="C471" s="2">
        <v>-102.9350891</v>
      </c>
      <c r="D471" s="3">
        <f t="shared" si="1"/>
        <v>991304.3478</v>
      </c>
      <c r="E471" s="4">
        <f t="shared" si="2"/>
        <v>-210.2898143</v>
      </c>
      <c r="F471" s="3">
        <f t="shared" si="3"/>
        <v>0.0002121344618</v>
      </c>
      <c r="G471" s="3">
        <f t="shared" si="4"/>
        <v>0</v>
      </c>
      <c r="H471" s="2">
        <f t="shared" si="5"/>
        <v>0</v>
      </c>
      <c r="I471" s="3">
        <f t="shared" si="6"/>
        <v>0</v>
      </c>
      <c r="J471" s="3">
        <f t="shared" si="7"/>
        <v>0</v>
      </c>
      <c r="K471" s="3"/>
      <c r="L471" s="3">
        <f t="shared" si="8"/>
        <v>386.8986883</v>
      </c>
      <c r="M471" s="14">
        <f t="shared" si="9"/>
        <v>394.4579994</v>
      </c>
      <c r="N471" s="14">
        <f t="shared" si="10"/>
        <v>-7.559311019</v>
      </c>
      <c r="O471" s="3"/>
      <c r="P471" s="3"/>
      <c r="Q471" s="3"/>
      <c r="R471" s="2"/>
      <c r="S471" s="9">
        <f t="shared" si="13"/>
        <v>-6.941686075</v>
      </c>
    </row>
    <row r="472">
      <c r="A472" s="11">
        <v>460.0</v>
      </c>
      <c r="B472" s="11">
        <v>1.42139565217391E9</v>
      </c>
      <c r="C472" s="2">
        <v>-102.8593674</v>
      </c>
      <c r="D472" s="3">
        <f t="shared" si="1"/>
        <v>995652.1739</v>
      </c>
      <c r="E472" s="4">
        <f t="shared" si="2"/>
        <v>-211.2081104</v>
      </c>
      <c r="F472" s="3">
        <f t="shared" si="3"/>
        <v>0.0002121304166</v>
      </c>
      <c r="G472" s="3">
        <f t="shared" si="4"/>
        <v>0</v>
      </c>
      <c r="H472" s="2">
        <f t="shared" si="5"/>
        <v>0</v>
      </c>
      <c r="I472" s="3">
        <f t="shared" si="6"/>
        <v>0</v>
      </c>
      <c r="J472" s="3">
        <f t="shared" si="7"/>
        <v>0</v>
      </c>
      <c r="K472" s="3"/>
      <c r="L472" s="3">
        <f t="shared" si="8"/>
        <v>393.7036375</v>
      </c>
      <c r="M472" s="14">
        <f t="shared" si="9"/>
        <v>394.3859313</v>
      </c>
      <c r="N472" s="14">
        <f t="shared" si="10"/>
        <v>-0.6822937199</v>
      </c>
      <c r="O472" s="3"/>
      <c r="P472" s="3"/>
      <c r="Q472" s="3"/>
      <c r="R472" s="2"/>
      <c r="S472" s="9">
        <f t="shared" si="13"/>
        <v>-0.5403013068</v>
      </c>
    </row>
    <row r="473">
      <c r="A473" s="11">
        <v>461.0</v>
      </c>
      <c r="B473" s="11">
        <v>1.4214E9</v>
      </c>
      <c r="C473" s="2">
        <v>-102.8863373</v>
      </c>
      <c r="D473" s="3">
        <f t="shared" si="1"/>
        <v>1000000</v>
      </c>
      <c r="E473" s="4">
        <f>-0.000212*D473</f>
        <v>-212</v>
      </c>
      <c r="F473" s="3">
        <f t="shared" si="3"/>
        <v>0.000212</v>
      </c>
      <c r="G473" s="3">
        <f t="shared" si="4"/>
        <v>0</v>
      </c>
      <c r="H473" s="2">
        <f t="shared" si="5"/>
        <v>0</v>
      </c>
      <c r="I473" s="3">
        <f t="shared" si="6"/>
        <v>0</v>
      </c>
      <c r="J473" s="3">
        <f t="shared" si="7"/>
        <v>0</v>
      </c>
      <c r="K473" s="3"/>
      <c r="L473" s="3">
        <f t="shared" si="8"/>
        <v>391.2662945</v>
      </c>
      <c r="M473" s="14">
        <f t="shared" si="9"/>
        <v>394.3240597</v>
      </c>
      <c r="N473" s="14">
        <f t="shared" si="10"/>
        <v>-3.057765194</v>
      </c>
      <c r="O473" s="3"/>
      <c r="P473" s="3"/>
      <c r="Q473" s="3"/>
      <c r="R473" s="2"/>
      <c r="S473" s="9"/>
    </row>
    <row r="474">
      <c r="A474" s="11" t="s">
        <v>40</v>
      </c>
      <c r="D474" s="3"/>
      <c r="E474" s="4"/>
      <c r="F474" s="3"/>
      <c r="G474" s="3"/>
      <c r="H474" s="3"/>
      <c r="I474" s="3"/>
      <c r="J474" s="3"/>
      <c r="K474" s="3"/>
      <c r="L474" s="3"/>
      <c r="M474" s="5"/>
      <c r="N474" s="3"/>
      <c r="O474" s="3"/>
      <c r="P474" s="3"/>
      <c r="Q474" s="3"/>
      <c r="R474" s="3"/>
    </row>
    <row r="479">
      <c r="O479" s="11" t="s">
        <v>42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43</v>
      </c>
      <c r="B1" s="1" t="s">
        <v>31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48</v>
      </c>
      <c r="K1" s="1" t="s">
        <v>51</v>
      </c>
      <c r="L1" s="33" t="s">
        <v>50</v>
      </c>
      <c r="M1" s="34" t="s">
        <v>48</v>
      </c>
      <c r="N1" s="1" t="s">
        <v>52</v>
      </c>
      <c r="O1" s="33" t="s">
        <v>50</v>
      </c>
      <c r="P1" s="34" t="s">
        <v>48</v>
      </c>
      <c r="Q1" s="1" t="s">
        <v>53</v>
      </c>
      <c r="R1" s="33" t="s">
        <v>50</v>
      </c>
      <c r="S1" s="34" t="s">
        <v>48</v>
      </c>
      <c r="T1" s="1" t="s">
        <v>54</v>
      </c>
      <c r="U1" s="33" t="s">
        <v>50</v>
      </c>
      <c r="V1" s="34" t="s">
        <v>48</v>
      </c>
      <c r="W1" s="1" t="s">
        <v>55</v>
      </c>
      <c r="X1" s="33" t="s">
        <v>50</v>
      </c>
      <c r="Y1" s="34" t="s">
        <v>48</v>
      </c>
      <c r="Z1" s="1" t="s">
        <v>56</v>
      </c>
      <c r="AA1" s="33" t="s">
        <v>50</v>
      </c>
      <c r="AB1" s="34" t="s">
        <v>48</v>
      </c>
      <c r="AC1" s="1" t="s">
        <v>57</v>
      </c>
      <c r="AD1" s="33" t="s">
        <v>50</v>
      </c>
      <c r="AE1" s="34" t="s">
        <v>48</v>
      </c>
      <c r="AF1" s="1" t="s">
        <v>58</v>
      </c>
      <c r="AG1" s="33" t="s">
        <v>50</v>
      </c>
      <c r="AH1" s="34" t="s">
        <v>48</v>
      </c>
      <c r="AI1" s="1" t="s">
        <v>59</v>
      </c>
      <c r="AJ1" s="33" t="s">
        <v>50</v>
      </c>
      <c r="AK1" s="34" t="s">
        <v>48</v>
      </c>
      <c r="AL1" s="1" t="s">
        <v>60</v>
      </c>
      <c r="AM1" s="33" t="s">
        <v>50</v>
      </c>
      <c r="AN1" s="34" t="s">
        <v>48</v>
      </c>
      <c r="AO1" s="1" t="s">
        <v>61</v>
      </c>
      <c r="AP1" s="33" t="s">
        <v>50</v>
      </c>
      <c r="AQ1" s="34" t="s">
        <v>48</v>
      </c>
      <c r="AR1" s="1" t="s">
        <v>62</v>
      </c>
      <c r="AS1" s="33" t="s">
        <v>50</v>
      </c>
      <c r="AT1" s="34" t="s">
        <v>48</v>
      </c>
      <c r="AU1" s="1" t="s">
        <v>63</v>
      </c>
      <c r="AV1" s="33" t="s">
        <v>50</v>
      </c>
      <c r="AW1" s="34" t="s">
        <v>48</v>
      </c>
      <c r="AX1" s="1" t="s">
        <v>64</v>
      </c>
      <c r="AY1" s="33" t="s">
        <v>50</v>
      </c>
      <c r="AZ1" s="34" t="s">
        <v>48</v>
      </c>
      <c r="BA1" s="1" t="s">
        <v>65</v>
      </c>
      <c r="BB1" s="33" t="s">
        <v>50</v>
      </c>
      <c r="BC1" s="34" t="s">
        <v>48</v>
      </c>
      <c r="BD1" s="1" t="s">
        <v>66</v>
      </c>
      <c r="BE1" s="33" t="s">
        <v>50</v>
      </c>
      <c r="BF1" s="35" t="s">
        <v>67</v>
      </c>
      <c r="BG1" s="1" t="s">
        <v>68</v>
      </c>
      <c r="BH1" s="33" t="s">
        <v>50</v>
      </c>
      <c r="BI1" s="1" t="s">
        <v>69</v>
      </c>
      <c r="BJ1" s="1" t="s">
        <v>70</v>
      </c>
      <c r="BK1" s="1" t="s">
        <v>71</v>
      </c>
    </row>
    <row r="2">
      <c r="A2" s="1">
        <v>0.0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34"/>
      <c r="N2" s="4"/>
      <c r="O2" s="4"/>
      <c r="P2" s="34"/>
      <c r="Q2" s="4"/>
      <c r="R2" s="4"/>
      <c r="S2" s="34"/>
      <c r="T2" s="4"/>
      <c r="U2" s="4"/>
      <c r="V2" s="34"/>
      <c r="W2" s="4"/>
      <c r="X2" s="4"/>
      <c r="Y2" s="34"/>
      <c r="Z2" s="4"/>
      <c r="AA2" s="4"/>
      <c r="AB2" s="34"/>
      <c r="AC2" s="4"/>
      <c r="AD2" s="4"/>
      <c r="AE2" s="34"/>
      <c r="AF2" s="4"/>
      <c r="AG2" s="4"/>
      <c r="AH2" s="34"/>
      <c r="AI2" s="4"/>
      <c r="AJ2" s="4"/>
      <c r="AK2" s="34"/>
      <c r="AL2" s="4"/>
      <c r="AM2" s="4"/>
      <c r="AN2" s="34"/>
      <c r="AO2" s="4"/>
      <c r="AP2" s="4"/>
      <c r="AQ2" s="34"/>
      <c r="AR2" s="4"/>
      <c r="AS2" s="4"/>
      <c r="AT2" s="34"/>
      <c r="AU2" s="4"/>
      <c r="AV2" s="4"/>
      <c r="AW2" s="34"/>
      <c r="AX2" s="4"/>
      <c r="AY2" s="4"/>
      <c r="AZ2" s="34"/>
      <c r="BA2" s="4"/>
      <c r="BB2" s="4"/>
      <c r="BC2" s="34"/>
      <c r="BD2" s="4"/>
      <c r="BE2" s="4"/>
      <c r="BF2" s="34"/>
      <c r="BG2" s="4"/>
      <c r="BH2" s="4"/>
      <c r="BI2" s="4"/>
      <c r="BJ2" s="4"/>
      <c r="BK2" s="4"/>
    </row>
    <row r="3">
      <c r="A3" s="1">
        <v>1.0</v>
      </c>
      <c r="B3" s="1">
        <f>TRACE001!V13</f>
        <v>5.82353E+21</v>
      </c>
      <c r="C3" s="4">
        <f t="shared" ref="C3:C21" si="1">($B$22-B3)^2</f>
        <v>1.01957E+44</v>
      </c>
      <c r="D3" s="4">
        <f>IFERROR(__xludf.DUMMYFUNCTION("query(TRACE001!E13:E473)"),210.2898142607539)</f>
        <v>210.2898143</v>
      </c>
      <c r="E3" s="23">
        <f>IFERROR(__xludf.DUMMYFUNCTION("query(TRACE001!N13:N473)"),0.37988223380421005)</f>
        <v>0.3798822338</v>
      </c>
      <c r="F3" s="36">
        <f>AVERAGE(E3:E463)</f>
        <v>7.544277856</v>
      </c>
      <c r="G3" s="37">
        <f>($BI$3-F3)^2</f>
        <v>127.5407597</v>
      </c>
      <c r="H3" s="36">
        <f>IFERROR(__xludf.DUMMYFUNCTION("query(TRACE002!N13:N473)"),-6.483171482914088)</f>
        <v>-6.483171483</v>
      </c>
      <c r="I3" s="36">
        <f>AVERAGE(H3:H463)</f>
        <v>8.640331805</v>
      </c>
      <c r="J3" s="37">
        <f>($BI$3-I3)^2</f>
        <v>103.9857547</v>
      </c>
      <c r="K3" s="36">
        <f>IFERROR(__xludf.DUMMYFUNCTION("query(TRACE003!N13:N473)"),3.079922295743586)</f>
        <v>3.079922296</v>
      </c>
      <c r="L3" s="36">
        <f>AVERAGE(K3:K463)</f>
        <v>9.962936676</v>
      </c>
      <c r="M3" s="37">
        <f>($BI$3-L3)^2</f>
        <v>78.7609337</v>
      </c>
      <c r="N3" s="36">
        <f>IFERROR(__xludf.DUMMYFUNCTION("query(TRACE004!N13:N473)"),-3.4106673425932854)</f>
        <v>-3.410667343</v>
      </c>
      <c r="O3" s="36">
        <f>AVERAGE(N3:N463)</f>
        <v>10.32253465</v>
      </c>
      <c r="P3" s="37">
        <f>($BI$3-O3)^2</f>
        <v>72.50757046</v>
      </c>
      <c r="Q3" s="36">
        <f>IFERROR(__xludf.DUMMYFUNCTION("query(TRACE005!N13:N473)"),-3.7161035817323977)</f>
        <v>-3.716103582</v>
      </c>
      <c r="R3" s="36">
        <f>AVERAGE(Q3:Q463)</f>
        <v>12.32050592</v>
      </c>
      <c r="S3" s="37">
        <f>($BI$3-R3)^2</f>
        <v>42.47345854</v>
      </c>
      <c r="T3" s="36">
        <f>IFERROR(__xludf.DUMMYFUNCTION("query(TRACE006!N13:N473)"),-0.22560893714461372)</f>
        <v>-0.2256089371</v>
      </c>
      <c r="U3" s="36">
        <f>AVERAGE(T3:T463)</f>
        <v>13.12549711</v>
      </c>
      <c r="V3" s="37">
        <f>($BI$3-U3)^2</f>
        <v>32.62894627</v>
      </c>
      <c r="W3" s="36">
        <f>IFERROR(__xludf.DUMMYFUNCTION("query(TRACE007!N13:N473)"),-3.7999393640295125)</f>
        <v>-3.799939364</v>
      </c>
      <c r="X3" s="36">
        <f>AVERAGE(W3:W463)</f>
        <v>13.94576688</v>
      </c>
      <c r="Y3" s="37">
        <f>($BI$3-X3)^2</f>
        <v>23.93073933</v>
      </c>
      <c r="Z3" s="36">
        <f>IFERROR(__xludf.DUMMYFUNCTION("query(TRACE008!N13:N473)"),0.22914796978881213)</f>
        <v>0.2291479698</v>
      </c>
      <c r="AA3" s="36">
        <f>AVERAGE(Z3:Z463)</f>
        <v>22.21113485</v>
      </c>
      <c r="AB3" s="37">
        <f>($BI$3-AA3)^2</f>
        <v>11.38024908</v>
      </c>
      <c r="AC3" s="36">
        <f>IFERROR(__xludf.DUMMYFUNCTION("query(TRACE009!N13:N473)"),-4.338893543649647)</f>
        <v>-4.338893544</v>
      </c>
      <c r="AD3" s="36">
        <f>AVERAGE(AC3:AC463)</f>
        <v>31.12430058</v>
      </c>
      <c r="AE3" s="37">
        <f>($BI$3-AD3)^2</f>
        <v>150.9612327</v>
      </c>
      <c r="AF3" s="23">
        <f>IFERROR(__xludf.DUMMYFUNCTION("query(TRACE010!N13:N473)"),-1.6632087095691759)</f>
        <v>-1.66320871</v>
      </c>
      <c r="AG3" s="36">
        <f>AVERAGE(AF3:AF463)</f>
        <v>34.16519048</v>
      </c>
      <c r="AH3" s="37">
        <f>($BI$3-AG3)^2</f>
        <v>234.9328113</v>
      </c>
      <c r="AI3" s="36">
        <f>IFERROR(__xludf.DUMMYFUNCTION("query(TRACE011!N13:N473)"),-0.19154022094403444)</f>
        <v>-0.1915402209</v>
      </c>
      <c r="AJ3" s="36">
        <f>AVERAGE(AI3:AI463)</f>
        <v>36.69589022</v>
      </c>
      <c r="AK3" s="37">
        <f>($BI$3-AJ3)^2</f>
        <v>318.9159448</v>
      </c>
      <c r="AL3" s="36">
        <f>IFERROR(__xludf.DUMMYFUNCTION("query(TRACE012!N13:N473)"),-0.6521319580448903)</f>
        <v>-0.652131958</v>
      </c>
      <c r="AM3" s="36">
        <f>AVERAGE(AL3:AL463)</f>
        <v>37.89283137</v>
      </c>
      <c r="AN3" s="37">
        <f>($BI$3-AM3)^2</f>
        <v>363.0990845</v>
      </c>
      <c r="AO3" s="36">
        <f>IFERROR(__xludf.DUMMYFUNCTION("query(TRACE013!N13:N473)"),0.5599483518990382)</f>
        <v>0.5599483519</v>
      </c>
      <c r="AP3" s="36">
        <f>AVERAGE(AO3:AO463)</f>
        <v>34.26653319</v>
      </c>
      <c r="AQ3" s="37">
        <f>($BI$3-AP3)^2</f>
        <v>238.0497461</v>
      </c>
      <c r="AR3" s="36">
        <f>IFERROR(__xludf.DUMMYFUNCTION("query(TRACE014!N13:N473)"),-0.9473756715973991)</f>
        <v>-0.9473756716</v>
      </c>
      <c r="AS3" s="36">
        <f>AVERAGE(AR3:AR463)</f>
        <v>31.9404967</v>
      </c>
      <c r="AT3" s="37">
        <f>($BI$3-AS3)^2</f>
        <v>171.6840054</v>
      </c>
      <c r="AU3" s="36">
        <f>IFERROR(__xludf.DUMMYFUNCTION("query(TRACE015!N13:N473)"),1.790106292757514)</f>
        <v>1.790106293</v>
      </c>
      <c r="AV3" s="36">
        <f>AVERAGE(AU3:AU463)</f>
        <v>26.4555054</v>
      </c>
      <c r="AW3" s="37">
        <f>($BI$3-AV3)^2</f>
        <v>58.03138</v>
      </c>
      <c r="AX3" s="4">
        <f>IFERROR(__xludf.DUMMYFUNCTION("query(TRACE016!N13:N473)"),1.8195750733121372)</f>
        <v>1.819575073</v>
      </c>
      <c r="AY3" s="36">
        <f>AVERAGE(AX3:AX463)</f>
        <v>21.90479151</v>
      </c>
      <c r="AZ3" s="37">
        <f>($BI$3-AY3)^2</f>
        <v>9.407219815</v>
      </c>
      <c r="BA3" s="36">
        <f>IFERROR(__xludf.DUMMYFUNCTION("query(TRACE017!N13:N473)"),4.001556893427107)</f>
        <v>4.001556893</v>
      </c>
      <c r="BB3" s="36">
        <f>AVERAGE(BA3:BA463)</f>
        <v>16.98286557</v>
      </c>
      <c r="BC3" s="37">
        <f>($BI$3-BB3)^2</f>
        <v>3.440308268</v>
      </c>
      <c r="BD3" s="36">
        <f>IFERROR(__xludf.DUMMYFUNCTION("query(TRACE018!N13:N473)"),-5.9164129527593445)</f>
        <v>-5.916412953</v>
      </c>
      <c r="BE3" s="36">
        <f>AVERAGE(BD3:BD463)</f>
        <v>13.14100329</v>
      </c>
      <c r="BF3" s="37">
        <f>($BI$3-BE3)^2</f>
        <v>32.45203867</v>
      </c>
      <c r="BG3" s="4">
        <f>IFERROR(__xludf.DUMMYFUNCTION("query(TRACE019!N13:N473)"),2.1749299173329746)</f>
        <v>2.174929917</v>
      </c>
      <c r="BH3" s="36">
        <f>AVERAGE(BG3:BG463)</f>
        <v>9.438571508</v>
      </c>
      <c r="BI3" s="4">
        <f>AVERAGE(F3,I3,L3,O3,R3,U3,X3,AA3,AD3,AJ3,AM3,AP3,AS3,AV3,AY3,BB3,BE3,BH3,)</f>
        <v>18.83767237</v>
      </c>
      <c r="BJ3" s="4">
        <f>SQRT(SUM(F3,I3,L3,O3,R3,U3,X3,AA3,AD3,AJ3,AM3,AP3,AS3,AV3,AY3,BB3,BE3,BH3,)/18)</f>
        <v>4.459171417</v>
      </c>
      <c r="BK3" s="4">
        <f>BJ3/SQRT(19)</f>
        <v>1.023004083</v>
      </c>
    </row>
    <row r="4">
      <c r="A4" s="1">
        <v>2.0</v>
      </c>
      <c r="B4" s="4">
        <f>TRACE002!V13</f>
        <v>6.6642E+21</v>
      </c>
      <c r="C4" s="4">
        <f t="shared" si="1"/>
        <v>8.56869E+43</v>
      </c>
      <c r="D4" s="4">
        <f>IFERROR(__xludf.DUMMYFUNCTION("""COMPUTED_VALUE"""),209.3715181280042)</f>
        <v>209.3715181</v>
      </c>
      <c r="E4" s="23">
        <f>IFERROR(__xludf.DUMMYFUNCTION("""COMPUTED_VALUE"""),0.8527945758937676)</f>
        <v>0.8527945759</v>
      </c>
      <c r="F4" s="4"/>
      <c r="G4" s="4"/>
      <c r="H4" s="4">
        <f>IFERROR(__xludf.DUMMYFUNCTION("""COMPUTED_VALUE"""),2.4447776374778414)</f>
        <v>2.444777637</v>
      </c>
      <c r="I4" s="4"/>
      <c r="J4" s="4"/>
      <c r="K4" s="4">
        <f>IFERROR(__xludf.DUMMYFUNCTION("""COMPUTED_VALUE"""),-2.649799593191176)</f>
        <v>-2.649799593</v>
      </c>
      <c r="L4" s="4"/>
      <c r="M4" s="4"/>
      <c r="N4" s="4">
        <f>IFERROR(__xludf.DUMMYFUNCTION("""COMPUTED_VALUE"""),4.229486384477639)</f>
        <v>4.229486384</v>
      </c>
      <c r="O4" s="4"/>
      <c r="P4" s="4"/>
      <c r="Q4" s="4">
        <f>IFERROR(__xludf.DUMMYFUNCTION("""COMPUTED_VALUE"""),4.048809068578237)</f>
        <v>4.048809069</v>
      </c>
      <c r="R4" s="4"/>
      <c r="S4" s="4"/>
      <c r="T4" s="4">
        <f>IFERROR(__xludf.DUMMYFUNCTION("""COMPUTED_VALUE"""),1.4332257196759315)</f>
        <v>1.43322572</v>
      </c>
      <c r="U4" s="4"/>
      <c r="V4" s="4"/>
      <c r="W4" s="4">
        <f>IFERROR(__xludf.DUMMYFUNCTION("""COMPUTED_VALUE"""),3.373075710554076)</f>
        <v>3.373075711</v>
      </c>
      <c r="X4" s="4"/>
      <c r="Y4" s="4"/>
      <c r="Z4" s="4">
        <f>IFERROR(__xludf.DUMMYFUNCTION("""COMPUTED_VALUE"""),2.423627618868352)</f>
        <v>2.423627619</v>
      </c>
      <c r="AA4" s="4"/>
      <c r="AB4" s="4"/>
      <c r="AC4" s="4">
        <f>IFERROR(__xludf.DUMMYFUNCTION("""COMPUTED_VALUE"""),-2.758173444136105)</f>
        <v>-2.758173444</v>
      </c>
      <c r="AD4" s="4"/>
      <c r="AE4" s="4"/>
      <c r="AF4" s="4">
        <f>IFERROR(__xludf.DUMMYFUNCTION("""COMPUTED_VALUE"""),2.67587680420138)</f>
        <v>2.675876804</v>
      </c>
      <c r="AG4" s="4"/>
      <c r="AH4" s="4"/>
      <c r="AI4" s="4">
        <f>IFERROR(__xludf.DUMMYFUNCTION("""COMPUTED_VALUE"""),0.9941598257014448)</f>
        <v>0.9941598257</v>
      </c>
      <c r="AJ4" s="4"/>
      <c r="AK4" s="4"/>
      <c r="AL4" s="4">
        <f>IFERROR(__xludf.DUMMYFUNCTION("""COMPUTED_VALUE"""),1.4288010380039395)</f>
        <v>1.428801038</v>
      </c>
      <c r="AM4" s="4"/>
      <c r="AN4" s="4"/>
      <c r="AO4" s="4">
        <f>IFERROR(__xludf.DUMMYFUNCTION("""COMPUTED_VALUE"""),-1.1134694633449271)</f>
        <v>-1.113469463</v>
      </c>
      <c r="AP4" s="4"/>
      <c r="AQ4" s="4"/>
      <c r="AR4" s="4">
        <f>IFERROR(__xludf.DUMMYFUNCTION("""COMPUTED_VALUE"""),-2.051923996228936)</f>
        <v>-2.051923996</v>
      </c>
      <c r="AS4" s="4"/>
      <c r="AT4" s="4"/>
      <c r="AU4" s="4">
        <f>IFERROR(__xludf.DUMMYFUNCTION("""COMPUTED_VALUE"""),1.1623532193632968)</f>
        <v>1.162353219</v>
      </c>
      <c r="AV4" s="4"/>
      <c r="AW4" s="4"/>
      <c r="AX4" s="4">
        <f>IFERROR(__xludf.DUMMYFUNCTION("""COMPUTED_VALUE"""),-2.074111220205225)</f>
        <v>-2.07411122</v>
      </c>
      <c r="AY4" s="4"/>
      <c r="AZ4" s="4"/>
      <c r="BA4" s="4">
        <f>IFERROR(__xludf.DUMMYFUNCTION("""COMPUTED_VALUE"""),1.9915956682593219)</f>
        <v>1.991595668</v>
      </c>
      <c r="BB4" s="4"/>
      <c r="BC4" s="4"/>
      <c r="BD4" s="4">
        <f>IFERROR(__xludf.DUMMYFUNCTION("""COMPUTED_VALUE"""),-2.130204519795882)</f>
        <v>-2.13020452</v>
      </c>
      <c r="BE4" s="4"/>
      <c r="BF4" s="4"/>
      <c r="BG4" s="4">
        <f>IFERROR(__xludf.DUMMYFUNCTION("""COMPUTED_VALUE"""),2.984574942065592)</f>
        <v>2.984574942</v>
      </c>
      <c r="BH4" s="4"/>
      <c r="BI4" s="4"/>
      <c r="BJ4" s="4"/>
      <c r="BK4" s="4"/>
    </row>
    <row r="5">
      <c r="A5" s="1">
        <v>3.0</v>
      </c>
      <c r="B5" s="4">
        <f>TRACE003!V13</f>
        <v>7.69316E+21</v>
      </c>
      <c r="C5" s="4">
        <f t="shared" si="1"/>
        <v>6.76961E+43</v>
      </c>
      <c r="D5" s="4">
        <f>IFERROR(__xludf.DUMMYFUNCTION("""COMPUTED_VALUE"""),208.4532219952041)</f>
        <v>208.453222</v>
      </c>
      <c r="E5" s="23">
        <f>IFERROR(__xludf.DUMMYFUNCTION("""COMPUTED_VALUE"""),1.833023657239437)</f>
        <v>1.833023657</v>
      </c>
      <c r="F5" s="4"/>
      <c r="G5" s="4"/>
      <c r="H5" s="4">
        <f>IFERROR(__xludf.DUMMYFUNCTION("""COMPUTED_VALUE"""),3.123380708466925)</f>
        <v>3.123380708</v>
      </c>
      <c r="I5" s="4"/>
      <c r="J5" s="4"/>
      <c r="K5" s="4">
        <f>IFERROR(__xludf.DUMMYFUNCTION("""COMPUTED_VALUE"""),-2.3687440973681078)</f>
        <v>-2.368744097</v>
      </c>
      <c r="L5" s="4"/>
      <c r="M5" s="4"/>
      <c r="N5" s="4">
        <f>IFERROR(__xludf.DUMMYFUNCTION("""COMPUTED_VALUE"""),-5.610060030129148)</f>
        <v>-5.61006003</v>
      </c>
      <c r="O5" s="4"/>
      <c r="P5" s="4"/>
      <c r="Q5" s="4">
        <f>IFERROR(__xludf.DUMMYFUNCTION("""COMPUTED_VALUE"""),3.6317378067980144)</f>
        <v>3.631737807</v>
      </c>
      <c r="R5" s="4"/>
      <c r="S5" s="4"/>
      <c r="T5" s="4">
        <f>IFERROR(__xludf.DUMMYFUNCTION("""COMPUTED_VALUE"""),1.7274272013435166)</f>
        <v>1.727427201</v>
      </c>
      <c r="U5" s="4"/>
      <c r="V5" s="4"/>
      <c r="W5" s="4">
        <f>IFERROR(__xludf.DUMMYFUNCTION("""COMPUTED_VALUE"""),3.498119584777214)</f>
        <v>3.498119585</v>
      </c>
      <c r="X5" s="4"/>
      <c r="Y5" s="4"/>
      <c r="Z5" s="4">
        <f>IFERROR(__xludf.DUMMYFUNCTION("""COMPUTED_VALUE"""),5.926235788820691)</f>
        <v>5.926235789</v>
      </c>
      <c r="AA5" s="4"/>
      <c r="AB5" s="4"/>
      <c r="AC5" s="4">
        <f>IFERROR(__xludf.DUMMYFUNCTION("""COMPUTED_VALUE"""),9.32096462857072)</f>
        <v>9.320964629</v>
      </c>
      <c r="AD5" s="4"/>
      <c r="AE5" s="4"/>
      <c r="AF5" s="4">
        <f>IFERROR(__xludf.DUMMYFUNCTION("""COMPUTED_VALUE"""),-3.4652614377185387)</f>
        <v>-3.465261438</v>
      </c>
      <c r="AG5" s="4"/>
      <c r="AH5" s="4"/>
      <c r="AI5" s="4">
        <f>IFERROR(__xludf.DUMMYFUNCTION("""COMPUTED_VALUE"""),-4.047949778111104)</f>
        <v>-4.047949778</v>
      </c>
      <c r="AJ5" s="4"/>
      <c r="AK5" s="4"/>
      <c r="AL5" s="4">
        <f>IFERROR(__xludf.DUMMYFUNCTION("""COMPUTED_VALUE"""),-1.0176395803159153)</f>
        <v>-1.01763958</v>
      </c>
      <c r="AM5" s="4"/>
      <c r="AN5" s="4"/>
      <c r="AO5" s="4">
        <f>IFERROR(__xludf.DUMMYFUNCTION("""COMPUTED_VALUE"""),-0.3038579658412459)</f>
        <v>-0.3038579658</v>
      </c>
      <c r="AP5" s="4"/>
      <c r="AQ5" s="4"/>
      <c r="AR5" s="4">
        <f>IFERROR(__xludf.DUMMYFUNCTION("""COMPUTED_VALUE"""),0.2087995435973653)</f>
        <v>0.2087995436</v>
      </c>
      <c r="AS5" s="4"/>
      <c r="AT5" s="4"/>
      <c r="AU5" s="4">
        <f>IFERROR(__xludf.DUMMYFUNCTION("""COMPUTED_VALUE"""),2.8087781098174105)</f>
        <v>2.80877811</v>
      </c>
      <c r="AV5" s="4"/>
      <c r="AW5" s="4"/>
      <c r="AX5" s="4">
        <f>IFERROR(__xludf.DUMMYFUNCTION("""COMPUTED_VALUE"""),-4.267858245617504)</f>
        <v>-4.267858246</v>
      </c>
      <c r="AY5" s="4"/>
      <c r="AZ5" s="4"/>
      <c r="BA5" s="4">
        <f>IFERROR(__xludf.DUMMYFUNCTION("""COMPUTED_VALUE"""),1.405687151470886)</f>
        <v>1.405687151</v>
      </c>
      <c r="BB5" s="4"/>
      <c r="BC5" s="4"/>
      <c r="BD5" s="4">
        <f>IFERROR(__xludf.DUMMYFUNCTION("""COMPUTED_VALUE"""),0.1819218094435655)</f>
        <v>0.1819218094</v>
      </c>
      <c r="BE5" s="4"/>
      <c r="BF5" s="4"/>
      <c r="BG5" s="4">
        <f>IFERROR(__xludf.DUMMYFUNCTION("""COMPUTED_VALUE"""),5.28426336005225)</f>
        <v>5.28426336</v>
      </c>
      <c r="BH5" s="4"/>
      <c r="BI5" s="4"/>
      <c r="BJ5" s="4"/>
      <c r="BK5" s="4"/>
    </row>
    <row r="6">
      <c r="A6" s="1">
        <v>4.0</v>
      </c>
      <c r="B6" s="4">
        <f>TRACE004!V13</f>
        <v>7.97017E+21</v>
      </c>
      <c r="C6" s="4">
        <f t="shared" si="1"/>
        <v>6.32144E+43</v>
      </c>
      <c r="D6" s="4">
        <f>IFERROR(__xludf.DUMMYFUNCTION("""COMPUTED_VALUE"""),207.53492586456932)</f>
        <v>207.5349259</v>
      </c>
      <c r="E6" s="23">
        <f>IFERROR(__xludf.DUMMYFUNCTION("""COMPUTED_VALUE"""),4.61180442173594)</f>
        <v>4.611804422</v>
      </c>
      <c r="F6" s="4"/>
      <c r="G6" s="4"/>
      <c r="H6" s="4">
        <f>IFERROR(__xludf.DUMMYFUNCTION("""COMPUTED_VALUE"""),0.4652017084572435)</f>
        <v>0.4652017085</v>
      </c>
      <c r="I6" s="4"/>
      <c r="J6" s="4"/>
      <c r="K6" s="4">
        <f>IFERROR(__xludf.DUMMYFUNCTION("""COMPUTED_VALUE"""),2.680539112976078)</f>
        <v>2.680539113</v>
      </c>
      <c r="L6" s="4"/>
      <c r="M6" s="4"/>
      <c r="N6" s="4">
        <f>IFERROR(__xludf.DUMMYFUNCTION("""COMPUTED_VALUE"""),-2.456962520258969)</f>
        <v>-2.45696252</v>
      </c>
      <c r="O6" s="4"/>
      <c r="P6" s="4"/>
      <c r="Q6" s="4">
        <f>IFERROR(__xludf.DUMMYFUNCTION("""COMPUTED_VALUE"""),4.722648069906313)</f>
        <v>4.72264807</v>
      </c>
      <c r="R6" s="4"/>
      <c r="S6" s="4"/>
      <c r="T6" s="4">
        <f>IFERROR(__xludf.DUMMYFUNCTION("""COMPUTED_VALUE"""),4.6499938678350645)</f>
        <v>4.649993868</v>
      </c>
      <c r="U6" s="4"/>
      <c r="V6" s="4"/>
      <c r="W6" s="4">
        <f>IFERROR(__xludf.DUMMYFUNCTION("""COMPUTED_VALUE"""),4.69519605033264)</f>
        <v>4.69519605</v>
      </c>
      <c r="X6" s="4"/>
      <c r="Y6" s="4"/>
      <c r="Z6" s="4">
        <f>IFERROR(__xludf.DUMMYFUNCTION("""COMPUTED_VALUE"""),0.24247156507163936)</f>
        <v>0.2424715651</v>
      </c>
      <c r="AA6" s="4"/>
      <c r="AB6" s="4"/>
      <c r="AC6" s="4">
        <f>IFERROR(__xludf.DUMMYFUNCTION("""COMPUTED_VALUE"""),-4.949739116884359)</f>
        <v>-4.949739117</v>
      </c>
      <c r="AD6" s="4"/>
      <c r="AE6" s="4"/>
      <c r="AF6" s="4">
        <f>IFERROR(__xludf.DUMMYFUNCTION("""COMPUTED_VALUE"""),0.68821631390432)</f>
        <v>0.6882163139</v>
      </c>
      <c r="AG6" s="4"/>
      <c r="AH6" s="4"/>
      <c r="AI6" s="4">
        <f>IFERROR(__xludf.DUMMYFUNCTION("""COMPUTED_VALUE"""),-3.1329783308400465)</f>
        <v>-3.132978331</v>
      </c>
      <c r="AJ6" s="4"/>
      <c r="AK6" s="4"/>
      <c r="AL6" s="4">
        <f>IFERROR(__xludf.DUMMYFUNCTION("""COMPUTED_VALUE"""),2.953504361761304)</f>
        <v>2.953504362</v>
      </c>
      <c r="AM6" s="4"/>
      <c r="AN6" s="4"/>
      <c r="AO6" s="4">
        <f>IFERROR(__xludf.DUMMYFUNCTION("""COMPUTED_VALUE"""),-1.3333620151898344)</f>
        <v>-1.333362015</v>
      </c>
      <c r="AP6" s="4"/>
      <c r="AQ6" s="4"/>
      <c r="AR6" s="4">
        <f>IFERROR(__xludf.DUMMYFUNCTION("""COMPUTED_VALUE"""),-0.4722779841012539)</f>
        <v>-0.4722779841</v>
      </c>
      <c r="AS6" s="4"/>
      <c r="AT6" s="4"/>
      <c r="AU6" s="4">
        <f>IFERROR(__xludf.DUMMYFUNCTION("""COMPUTED_VALUE"""),-1.2025171538147674)</f>
        <v>-1.202517154</v>
      </c>
      <c r="AV6" s="4"/>
      <c r="AW6" s="4"/>
      <c r="AX6" s="4">
        <f>IFERROR(__xludf.DUMMYFUNCTION("""COMPUTED_VALUE"""),-4.351872803606227)</f>
        <v>-4.351872804</v>
      </c>
      <c r="AY6" s="4"/>
      <c r="AZ6" s="4"/>
      <c r="BA6" s="4">
        <f>IFERROR(__xludf.DUMMYFUNCTION("""COMPUTED_VALUE"""),-2.6832465175120888)</f>
        <v>-2.683246518</v>
      </c>
      <c r="BB6" s="4"/>
      <c r="BC6" s="4"/>
      <c r="BD6" s="4">
        <f>IFERROR(__xludf.DUMMYFUNCTION("""COMPUTED_VALUE"""),1.3607896707531495)</f>
        <v>1.360789671</v>
      </c>
      <c r="BE6" s="4"/>
      <c r="BF6" s="4"/>
      <c r="BG6" s="4">
        <f>IFERROR(__xludf.DUMMYFUNCTION("""COMPUTED_VALUE"""),-1.1950977970087706)</f>
        <v>-1.195097797</v>
      </c>
      <c r="BH6" s="4"/>
      <c r="BI6" s="4"/>
      <c r="BJ6" s="4"/>
      <c r="BK6" s="4"/>
    </row>
    <row r="7">
      <c r="A7" s="1">
        <v>5.0</v>
      </c>
      <c r="B7" s="4">
        <f>TRACE005!V13</f>
        <v>9.50269E+21</v>
      </c>
      <c r="C7" s="4">
        <f t="shared" si="1"/>
        <v>4.11937E+43</v>
      </c>
      <c r="D7" s="4">
        <f>IFERROR(__xludf.DUMMYFUNCTION("""COMPUTED_VALUE"""),206.61662973176925)</f>
        <v>206.6166297</v>
      </c>
      <c r="E7" s="23">
        <f>IFERROR(__xludf.DUMMYFUNCTION("""COMPUTED_VALUE"""),2.509418443393656)</f>
        <v>2.509418443</v>
      </c>
      <c r="F7" s="4"/>
      <c r="G7" s="4"/>
      <c r="H7" s="4">
        <f>IFERROR(__xludf.DUMMYFUNCTION("""COMPUTED_VALUE"""),1.18476731058945)</f>
        <v>1.184767311</v>
      </c>
      <c r="I7" s="4"/>
      <c r="J7" s="4"/>
      <c r="K7" s="4">
        <f>IFERROR(__xludf.DUMMYFUNCTION("""COMPUTED_VALUE"""),-0.8097486434037933)</f>
        <v>-0.8097486434</v>
      </c>
      <c r="L7" s="4"/>
      <c r="M7" s="4"/>
      <c r="N7" s="4">
        <f>IFERROR(__xludf.DUMMYFUNCTION("""COMPUTED_VALUE"""),0.16612730106743356)</f>
        <v>0.1661273011</v>
      </c>
      <c r="O7" s="4"/>
      <c r="P7" s="4"/>
      <c r="Q7" s="4">
        <f>IFERROR(__xludf.DUMMYFUNCTION("""COMPUTED_VALUE"""),4.054416740021452)</f>
        <v>4.05441674</v>
      </c>
      <c r="R7" s="4"/>
      <c r="S7" s="4"/>
      <c r="T7" s="4">
        <f>IFERROR(__xludf.DUMMYFUNCTION("""COMPUTED_VALUE"""),-2.683322642364203)</f>
        <v>-2.683322642</v>
      </c>
      <c r="U7" s="4"/>
      <c r="V7" s="4"/>
      <c r="W7" s="4">
        <f>IFERROR(__xludf.DUMMYFUNCTION("""COMPUTED_VALUE"""),1.9454340047103074)</f>
        <v>1.945434005</v>
      </c>
      <c r="X7" s="4"/>
      <c r="Y7" s="4"/>
      <c r="Z7" s="4">
        <f>IFERROR(__xludf.DUMMYFUNCTION("""COMPUTED_VALUE"""),3.1686090692151083)</f>
        <v>3.168609069</v>
      </c>
      <c r="AA7" s="4"/>
      <c r="AB7" s="4"/>
      <c r="AC7" s="4">
        <f>IFERROR(__xludf.DUMMYFUNCTION("""COMPUTED_VALUE"""),-0.09269835226621126)</f>
        <v>-0.09269835227</v>
      </c>
      <c r="AD7" s="4"/>
      <c r="AE7" s="4"/>
      <c r="AF7" s="4">
        <f>IFERROR(__xludf.DUMMYFUNCTION("""COMPUTED_VALUE"""),-2.826634298446436)</f>
        <v>-2.826634298</v>
      </c>
      <c r="AG7" s="4"/>
      <c r="AH7" s="4"/>
      <c r="AI7" s="4">
        <f>IFERROR(__xludf.DUMMYFUNCTION("""COMPUTED_VALUE"""),1.5502694927316156)</f>
        <v>1.550269493</v>
      </c>
      <c r="AJ7" s="4"/>
      <c r="AK7" s="4"/>
      <c r="AL7" s="4">
        <f>IFERROR(__xludf.DUMMYFUNCTION("""COMPUTED_VALUE"""),-1.961474642955693)</f>
        <v>-1.961474643</v>
      </c>
      <c r="AM7" s="4"/>
      <c r="AN7" s="4"/>
      <c r="AO7" s="4">
        <f>IFERROR(__xludf.DUMMYFUNCTION("""COMPUTED_VALUE"""),-1.3320936563423516)</f>
        <v>-1.332093656</v>
      </c>
      <c r="AP7" s="4"/>
      <c r="AQ7" s="4"/>
      <c r="AR7" s="4">
        <f>IFERROR(__xludf.DUMMYFUNCTION("""COMPUTED_VALUE"""),0.1118540489075599)</f>
        <v>0.1118540489</v>
      </c>
      <c r="AS7" s="4"/>
      <c r="AT7" s="4"/>
      <c r="AU7" s="4">
        <f>IFERROR(__xludf.DUMMYFUNCTION("""COMPUTED_VALUE"""),0.16154505166906574)</f>
        <v>0.1615450517</v>
      </c>
      <c r="AV7" s="4"/>
      <c r="AW7" s="4"/>
      <c r="AX7" s="4">
        <f>IFERROR(__xludf.DUMMYFUNCTION("""COMPUTED_VALUE"""),-2.780004680466675)</f>
        <v>-2.78000468</v>
      </c>
      <c r="AY7" s="4"/>
      <c r="AZ7" s="4"/>
      <c r="BA7" s="4">
        <f>IFERROR(__xludf.DUMMYFUNCTION("""COMPUTED_VALUE"""),4.050339351104526)</f>
        <v>4.050339351</v>
      </c>
      <c r="BB7" s="4"/>
      <c r="BC7" s="4"/>
      <c r="BD7" s="4">
        <f>IFERROR(__xludf.DUMMYFUNCTION("""COMPUTED_VALUE"""),1.1978505042691836)</f>
        <v>1.197850504</v>
      </c>
      <c r="BE7" s="4"/>
      <c r="BF7" s="4"/>
      <c r="BG7" s="4">
        <f>IFERROR(__xludf.DUMMYFUNCTION("""COMPUTED_VALUE"""),-3.810190127167516)</f>
        <v>-3.810190127</v>
      </c>
      <c r="BH7" s="4"/>
      <c r="BI7" s="4"/>
      <c r="BJ7" s="4"/>
      <c r="BK7" s="4"/>
    </row>
    <row r="8">
      <c r="A8" s="1">
        <v>6.0</v>
      </c>
      <c r="B8" s="4">
        <f>TRACE006!V13</f>
        <v>1.01298E+22</v>
      </c>
      <c r="C8" s="4">
        <f t="shared" si="1"/>
        <v>3.35365E+43</v>
      </c>
      <c r="D8" s="4">
        <f>IFERROR(__xludf.DUMMYFUNCTION("""COMPUTED_VALUE"""),205.69833359896919)</f>
        <v>205.6983336</v>
      </c>
      <c r="E8" s="23">
        <f>IFERROR(__xludf.DUMMYFUNCTION("""COMPUTED_VALUE"""),-7.04598037766317)</f>
        <v>-7.045980378</v>
      </c>
      <c r="F8" s="4"/>
      <c r="G8" s="4"/>
      <c r="H8" s="4">
        <f>IFERROR(__xludf.DUMMYFUNCTION("""COMPUTED_VALUE"""),-0.3156303673657703)</f>
        <v>-0.3156303674</v>
      </c>
      <c r="I8" s="4"/>
      <c r="J8" s="4"/>
      <c r="K8" s="4">
        <f>IFERROR(__xludf.DUMMYFUNCTION("""COMPUTED_VALUE"""),2.59934736580135)</f>
        <v>2.599347366</v>
      </c>
      <c r="L8" s="4"/>
      <c r="M8" s="4"/>
      <c r="N8" s="4">
        <f>IFERROR(__xludf.DUMMYFUNCTION("""COMPUTED_VALUE"""),0.7476391189184142)</f>
        <v>0.7476391189</v>
      </c>
      <c r="O8" s="4"/>
      <c r="P8" s="4"/>
      <c r="Q8" s="4">
        <f>IFERROR(__xludf.DUMMYFUNCTION("""COMPUTED_VALUE"""),1.3102586841064294)</f>
        <v>1.310258684</v>
      </c>
      <c r="R8" s="4"/>
      <c r="S8" s="4"/>
      <c r="T8" s="4">
        <f>IFERROR(__xludf.DUMMYFUNCTION("""COMPUTED_VALUE"""),0.10296511011233633)</f>
        <v>0.1029651101</v>
      </c>
      <c r="U8" s="4"/>
      <c r="V8" s="4"/>
      <c r="W8" s="4">
        <f>IFERROR(__xludf.DUMMYFUNCTION("""COMPUTED_VALUE"""),4.155948930841589)</f>
        <v>4.155948931</v>
      </c>
      <c r="X8" s="4"/>
      <c r="Y8" s="4"/>
      <c r="Z8" s="4">
        <f>IFERROR(__xludf.DUMMYFUNCTION("""COMPUTED_VALUE"""),0.19394716450710803)</f>
        <v>0.1939471645</v>
      </c>
      <c r="AA8" s="4"/>
      <c r="AB8" s="4"/>
      <c r="AC8" s="4">
        <f>IFERROR(__xludf.DUMMYFUNCTION("""COMPUTED_VALUE"""),-6.45063017224885)</f>
        <v>-6.450630172</v>
      </c>
      <c r="AD8" s="4"/>
      <c r="AE8" s="4"/>
      <c r="AF8" s="4">
        <f>IFERROR(__xludf.DUMMYFUNCTION("""COMPUTED_VALUE"""),1.8972796171327104)</f>
        <v>1.897279617</v>
      </c>
      <c r="AG8" s="4"/>
      <c r="AH8" s="4"/>
      <c r="AI8" s="4">
        <f>IFERROR(__xludf.DUMMYFUNCTION("""COMPUTED_VALUE"""),-4.807260137069818)</f>
        <v>-4.807260137</v>
      </c>
      <c r="AJ8" s="4"/>
      <c r="AK8" s="4"/>
      <c r="AL8" s="4">
        <f>IFERROR(__xludf.DUMMYFUNCTION("""COMPUTED_VALUE"""),-0.9571629567156492)</f>
        <v>-0.9571629567</v>
      </c>
      <c r="AM8" s="4"/>
      <c r="AN8" s="4"/>
      <c r="AO8" s="4">
        <f>IFERROR(__xludf.DUMMYFUNCTION("""COMPUTED_VALUE"""),0.44499756270687385)</f>
        <v>0.4449975627</v>
      </c>
      <c r="AP8" s="4"/>
      <c r="AQ8" s="4"/>
      <c r="AR8" s="4">
        <f>IFERROR(__xludf.DUMMYFUNCTION("""COMPUTED_VALUE"""),0.6729172793480416)</f>
        <v>0.6729172793</v>
      </c>
      <c r="AS8" s="4"/>
      <c r="AT8" s="4"/>
      <c r="AU8" s="4">
        <f>IFERROR(__xludf.DUMMYFUNCTION("""COMPUTED_VALUE"""),-3.9740392041289283)</f>
        <v>-3.974039204</v>
      </c>
      <c r="AV8" s="4"/>
      <c r="AW8" s="4"/>
      <c r="AX8" s="4">
        <f>IFERROR(__xludf.DUMMYFUNCTION("""COMPUTED_VALUE"""),-3.692945646926603)</f>
        <v>-3.692945647</v>
      </c>
      <c r="AY8" s="4"/>
      <c r="AZ8" s="4"/>
      <c r="BA8" s="4">
        <f>IFERROR(__xludf.DUMMYFUNCTION("""COMPUTED_VALUE"""),3.7460912299712277)</f>
        <v>3.74609123</v>
      </c>
      <c r="BB8" s="4"/>
      <c r="BC8" s="4"/>
      <c r="BD8" s="4">
        <f>IFERROR(__xludf.DUMMYFUNCTION("""COMPUTED_VALUE"""),-0.8735461615469831)</f>
        <v>-0.8735461615</v>
      </c>
      <c r="BE8" s="4"/>
      <c r="BF8" s="4"/>
      <c r="BG8" s="4">
        <f>IFERROR(__xludf.DUMMYFUNCTION("""COMPUTED_VALUE"""),-6.149267523052288)</f>
        <v>-6.149267523</v>
      </c>
      <c r="BH8" s="4"/>
      <c r="BI8" s="4"/>
      <c r="BJ8" s="4"/>
      <c r="BK8" s="4"/>
    </row>
    <row r="9">
      <c r="A9" s="1">
        <v>7.0</v>
      </c>
      <c r="B9" s="4">
        <f>TRACE007!V13</f>
        <v>1.07579E+22</v>
      </c>
      <c r="C9" s="4">
        <f t="shared" si="1"/>
        <v>2.66566E+43</v>
      </c>
      <c r="D9" s="4">
        <f>IFERROR(__xludf.DUMMYFUNCTION("""COMPUTED_VALUE"""),204.78003746833443)</f>
        <v>204.7800375</v>
      </c>
      <c r="E9" s="23">
        <f>IFERROR(__xludf.DUMMYFUNCTION("""COMPUTED_VALUE"""),4.418433158429707)</f>
        <v>4.418433158</v>
      </c>
      <c r="F9" s="4"/>
      <c r="G9" s="4"/>
      <c r="H9" s="4">
        <f>IFERROR(__xludf.DUMMYFUNCTION("""COMPUTED_VALUE"""),4.8312896273797605)</f>
        <v>4.831289627</v>
      </c>
      <c r="I9" s="4"/>
      <c r="J9" s="4"/>
      <c r="K9" s="4">
        <f>IFERROR(__xludf.DUMMYFUNCTION("""COMPUTED_VALUE"""),5.077148441346878)</f>
        <v>5.077148441</v>
      </c>
      <c r="L9" s="4"/>
      <c r="M9" s="4"/>
      <c r="N9" s="4">
        <f>IFERROR(__xludf.DUMMYFUNCTION("""COMPUTED_VALUE"""),5.713180385827343)</f>
        <v>5.713180386</v>
      </c>
      <c r="O9" s="4"/>
      <c r="P9" s="4"/>
      <c r="Q9" s="4">
        <f>IFERROR(__xludf.DUMMYFUNCTION("""COMPUTED_VALUE"""),1.4472589102933284)</f>
        <v>1.44725891</v>
      </c>
      <c r="R9" s="4"/>
      <c r="S9" s="4"/>
      <c r="T9" s="4">
        <f>IFERROR(__xludf.DUMMYFUNCTION("""COMPUTED_VALUE"""),8.025063495877419)</f>
        <v>8.025063496</v>
      </c>
      <c r="U9" s="4"/>
      <c r="V9" s="4"/>
      <c r="W9" s="4">
        <f>IFERROR(__xludf.DUMMYFUNCTION("""COMPUTED_VALUE"""),-6.009729430686264)</f>
        <v>-6.009729431</v>
      </c>
      <c r="X9" s="4"/>
      <c r="Y9" s="4"/>
      <c r="Z9" s="4">
        <f>IFERROR(__xludf.DUMMYFUNCTION("""COMPUTED_VALUE"""),5.52477665330116)</f>
        <v>5.524776653</v>
      </c>
      <c r="AA9" s="4"/>
      <c r="AB9" s="4"/>
      <c r="AC9" s="4">
        <f>IFERROR(__xludf.DUMMYFUNCTION("""COMPUTED_VALUE"""),-6.128532018849285)</f>
        <v>-6.128532019</v>
      </c>
      <c r="AD9" s="4"/>
      <c r="AE9" s="4"/>
      <c r="AF9" s="4">
        <f>IFERROR(__xludf.DUMMYFUNCTION("""COMPUTED_VALUE"""),-4.155948072864533)</f>
        <v>-4.155948073</v>
      </c>
      <c r="AG9" s="4"/>
      <c r="AH9" s="4"/>
      <c r="AI9" s="4">
        <f>IFERROR(__xludf.DUMMYFUNCTION("""COMPUTED_VALUE"""),-0.9668428112001379)</f>
        <v>-0.9668428112</v>
      </c>
      <c r="AJ9" s="4"/>
      <c r="AK9" s="4"/>
      <c r="AL9" s="4">
        <f>IFERROR(__xludf.DUMMYFUNCTION("""COMPUTED_VALUE"""),-1.4515310385611997)</f>
        <v>-1.451531039</v>
      </c>
      <c r="AM9" s="4"/>
      <c r="AN9" s="4"/>
      <c r="AO9" s="4">
        <f>IFERROR(__xludf.DUMMYFUNCTION("""COMPUTED_VALUE"""),-1.4044927943750167)</f>
        <v>-1.404492794</v>
      </c>
      <c r="AP9" s="4"/>
      <c r="AQ9" s="4"/>
      <c r="AR9" s="4">
        <f>IFERROR(__xludf.DUMMYFUNCTION("""COMPUTED_VALUE"""),3.546047340215978)</f>
        <v>3.54604734</v>
      </c>
      <c r="AS9" s="4"/>
      <c r="AT9" s="4"/>
      <c r="AU9" s="4">
        <f>IFERROR(__xludf.DUMMYFUNCTION("""COMPUTED_VALUE"""),1.2707921039880716)</f>
        <v>1.270792104</v>
      </c>
      <c r="AV9" s="4"/>
      <c r="AW9" s="4"/>
      <c r="AX9" s="4">
        <f>IFERROR(__xludf.DUMMYFUNCTION("""COMPUTED_VALUE"""),-2.931835139633165)</f>
        <v>-2.93183514</v>
      </c>
      <c r="AY9" s="4"/>
      <c r="AZ9" s="4"/>
      <c r="BA9" s="4">
        <f>IFERROR(__xludf.DUMMYFUNCTION("""COMPUTED_VALUE"""),-7.330561851981088)</f>
        <v>-7.330561852</v>
      </c>
      <c r="BB9" s="4"/>
      <c r="BC9" s="4"/>
      <c r="BD9" s="4">
        <f>IFERROR(__xludf.DUMMYFUNCTION("""COMPUTED_VALUE"""),-3.998738556589217)</f>
        <v>-3.998738557</v>
      </c>
      <c r="BE9" s="4"/>
      <c r="BF9" s="4"/>
      <c r="BG9" s="4">
        <f>IFERROR(__xludf.DUMMYFUNCTION("""COMPUTED_VALUE"""),7.937656301130232)</f>
        <v>7.937656301</v>
      </c>
      <c r="BH9" s="4"/>
      <c r="BI9" s="4"/>
      <c r="BJ9" s="4"/>
      <c r="BK9" s="4"/>
    </row>
    <row r="10">
      <c r="A10" s="1">
        <v>8.0</v>
      </c>
      <c r="B10" s="4">
        <f>TRACE008!V13</f>
        <v>1.71295E+22</v>
      </c>
      <c r="C10" s="4">
        <f t="shared" si="1"/>
        <v>1.46064E+42</v>
      </c>
      <c r="D10" s="4">
        <f>IFERROR(__xludf.DUMMYFUNCTION("""COMPUTED_VALUE"""),203.86174133553433)</f>
        <v>203.8617413</v>
      </c>
      <c r="E10" s="23">
        <f>IFERROR(__xludf.DUMMYFUNCTION("""COMPUTED_VALUE"""),-0.030163507162512815)</f>
        <v>-0.03016350716</v>
      </c>
      <c r="F10" s="4"/>
      <c r="G10" s="4"/>
      <c r="H10" s="4">
        <f>IFERROR(__xludf.DUMMYFUNCTION("""COMPUTED_VALUE"""),0.691553687818498)</f>
        <v>0.6915536878</v>
      </c>
      <c r="I10" s="4"/>
      <c r="J10" s="4"/>
      <c r="K10" s="4">
        <f>IFERROR(__xludf.DUMMYFUNCTION("""COMPUTED_VALUE"""),1.7198294197726796)</f>
        <v>1.71982942</v>
      </c>
      <c r="L10" s="4"/>
      <c r="M10" s="4"/>
      <c r="N10" s="4">
        <f>IFERROR(__xludf.DUMMYFUNCTION("""COMPUTED_VALUE"""),2.829492147918984)</f>
        <v>2.829492148</v>
      </c>
      <c r="O10" s="4"/>
      <c r="P10" s="4"/>
      <c r="Q10" s="4">
        <f>IFERROR(__xludf.DUMMYFUNCTION("""COMPUTED_VALUE"""),-3.365716568163805)</f>
        <v>-3.365716568</v>
      </c>
      <c r="R10" s="4"/>
      <c r="S10" s="4"/>
      <c r="T10" s="4">
        <f>IFERROR(__xludf.DUMMYFUNCTION("""COMPUTED_VALUE"""),2.957083330213436)</f>
        <v>2.95708333</v>
      </c>
      <c r="U10" s="4"/>
      <c r="V10" s="4"/>
      <c r="W10" s="4">
        <f>IFERROR(__xludf.DUMMYFUNCTION("""COMPUTED_VALUE"""),-0.2985002178804166)</f>
        <v>-0.2985002179</v>
      </c>
      <c r="X10" s="4"/>
      <c r="Y10" s="4"/>
      <c r="Z10" s="4">
        <f>IFERROR(__xludf.DUMMYFUNCTION("""COMPUTED_VALUE"""),-5.4968201920222555)</f>
        <v>-5.496820192</v>
      </c>
      <c r="AA10" s="4"/>
      <c r="AB10" s="4"/>
      <c r="AC10" s="4">
        <f>IFERROR(__xludf.DUMMYFUNCTION("""COMPUTED_VALUE"""),-0.9473454090736482)</f>
        <v>-0.9473454091</v>
      </c>
      <c r="AD10" s="4"/>
      <c r="AE10" s="4"/>
      <c r="AF10" s="4">
        <f>IFERROR(__xludf.DUMMYFUNCTION("""COMPUTED_VALUE"""),1.654425680979216)</f>
        <v>1.654425681</v>
      </c>
      <c r="AG10" s="4"/>
      <c r="AH10" s="4"/>
      <c r="AI10" s="4">
        <f>IFERROR(__xludf.DUMMYFUNCTION("""COMPUTED_VALUE"""),-1.100241650168016)</f>
        <v>-1.10024165</v>
      </c>
      <c r="AJ10" s="4"/>
      <c r="AK10" s="4"/>
      <c r="AL10" s="4">
        <f>IFERROR(__xludf.DUMMYFUNCTION("""COMPUTED_VALUE"""),-1.1235987570178168)</f>
        <v>-1.123598757</v>
      </c>
      <c r="AM10" s="4"/>
      <c r="AN10" s="4"/>
      <c r="AO10" s="4">
        <f>IFERROR(__xludf.DUMMYFUNCTION("""COMPUTED_VALUE"""),-0.6096338081408135)</f>
        <v>-0.6096338081</v>
      </c>
      <c r="AP10" s="4"/>
      <c r="AQ10" s="4"/>
      <c r="AR10" s="4">
        <f>IFERROR(__xludf.DUMMYFUNCTION("""COMPUTED_VALUE"""),3.046130298776575)</f>
        <v>3.046130299</v>
      </c>
      <c r="AS10" s="4"/>
      <c r="AT10" s="4"/>
      <c r="AU10" s="4">
        <f>IFERROR(__xludf.DUMMYFUNCTION("""COMPUTED_VALUE"""),4.833546618617277)</f>
        <v>4.833546619</v>
      </c>
      <c r="AV10" s="4"/>
      <c r="AW10" s="4"/>
      <c r="AX10" s="4">
        <f>IFERROR(__xludf.DUMMYFUNCTION("""COMPUTED_VALUE"""),4.640923248785327)</f>
        <v>4.640923249</v>
      </c>
      <c r="AY10" s="4"/>
      <c r="AZ10" s="4"/>
      <c r="BA10" s="4">
        <f>IFERROR(__xludf.DUMMYFUNCTION("""COMPUTED_VALUE"""),-3.709235157312037)</f>
        <v>-3.709235157</v>
      </c>
      <c r="BB10" s="4"/>
      <c r="BC10" s="4"/>
      <c r="BD10" s="4">
        <f>IFERROR(__xludf.DUMMYFUNCTION("""COMPUTED_VALUE"""),3.243257055604488)</f>
        <v>3.243257056</v>
      </c>
      <c r="BE10" s="4"/>
      <c r="BF10" s="4"/>
      <c r="BG10" s="4">
        <f>IFERROR(__xludf.DUMMYFUNCTION("""COMPUTED_VALUE"""),-0.428071661426884)</f>
        <v>-0.4280716614</v>
      </c>
      <c r="BH10" s="4"/>
      <c r="BI10" s="4"/>
      <c r="BJ10" s="4"/>
      <c r="BK10" s="4"/>
    </row>
    <row r="11">
      <c r="A11" s="1">
        <v>9.0</v>
      </c>
      <c r="B11" s="4">
        <f>TRACE009!V13</f>
        <v>2.40101E+22</v>
      </c>
      <c r="C11" s="4">
        <f t="shared" si="1"/>
        <v>6.54341E+43</v>
      </c>
      <c r="D11" s="4">
        <f>IFERROR(__xludf.DUMMYFUNCTION("""COMPUTED_VALUE"""),202.9434452027846)</f>
        <v>202.9434452</v>
      </c>
      <c r="E11" s="23">
        <f>IFERROR(__xludf.DUMMYFUNCTION("""COMPUTED_VALUE"""),1.7868564007793566)</f>
        <v>1.786856401</v>
      </c>
      <c r="F11" s="4"/>
      <c r="G11" s="4"/>
      <c r="H11" s="4">
        <f>IFERROR(__xludf.DUMMYFUNCTION("""COMPUTED_VALUE"""),-1.7242916707220388)</f>
        <v>-1.724291671</v>
      </c>
      <c r="I11" s="4"/>
      <c r="J11" s="4"/>
      <c r="K11" s="4">
        <f>IFERROR(__xludf.DUMMYFUNCTION("""COMPUTED_VALUE"""),-0.41165812376863187)</f>
        <v>-0.4116581238</v>
      </c>
      <c r="L11" s="4"/>
      <c r="M11" s="4"/>
      <c r="N11" s="4">
        <f>IFERROR(__xludf.DUMMYFUNCTION("""COMPUTED_VALUE"""),1.811980015015365)</f>
        <v>1.811980015</v>
      </c>
      <c r="O11" s="4"/>
      <c r="P11" s="4"/>
      <c r="Q11" s="4">
        <f>IFERROR(__xludf.DUMMYFUNCTION("""COMPUTED_VALUE"""),-4.2240979274316715)</f>
        <v>-4.224097927</v>
      </c>
      <c r="R11" s="4"/>
      <c r="S11" s="4"/>
      <c r="T11" s="4">
        <f>IFERROR(__xludf.DUMMYFUNCTION("""COMPUTED_VALUE"""),-5.944005077202405)</f>
        <v>-5.944005077</v>
      </c>
      <c r="U11" s="4"/>
      <c r="V11" s="4"/>
      <c r="W11" s="4">
        <f>IFERROR(__xludf.DUMMYFUNCTION("""COMPUTED_VALUE"""),2.632754909269295)</f>
        <v>2.632754909</v>
      </c>
      <c r="X11" s="4"/>
      <c r="Y11" s="4"/>
      <c r="Z11" s="4">
        <f>IFERROR(__xludf.DUMMYFUNCTION("""COMPUTED_VALUE"""),-5.6418914139945855)</f>
        <v>-5.641891414</v>
      </c>
      <c r="AA11" s="4"/>
      <c r="AB11" s="4"/>
      <c r="AC11" s="4">
        <f>IFERROR(__xludf.DUMMYFUNCTION("""COMPUTED_VALUE"""),5.228794349184625)</f>
        <v>5.228794349</v>
      </c>
      <c r="AD11" s="4"/>
      <c r="AE11" s="4"/>
      <c r="AF11" s="4">
        <f>IFERROR(__xludf.DUMMYFUNCTION("""COMPUTED_VALUE"""),-6.272255783300125)</f>
        <v>-6.272255783</v>
      </c>
      <c r="AG11" s="4"/>
      <c r="AH11" s="4"/>
      <c r="AI11" s="4">
        <f>IFERROR(__xludf.DUMMYFUNCTION("""COMPUTED_VALUE"""),0.3653421615304069)</f>
        <v>0.3653421615</v>
      </c>
      <c r="AJ11" s="4"/>
      <c r="AK11" s="4"/>
      <c r="AL11" s="4">
        <f>IFERROR(__xludf.DUMMYFUNCTION("""COMPUTED_VALUE"""),-1.9249136350902063)</f>
        <v>-1.924913635</v>
      </c>
      <c r="AM11" s="4"/>
      <c r="AN11" s="4"/>
      <c r="AO11" s="4">
        <f>IFERROR(__xludf.DUMMYFUNCTION("""COMPUTED_VALUE"""),-0.09913718107702607)</f>
        <v>-0.09913718108</v>
      </c>
      <c r="AP11" s="4"/>
      <c r="AQ11" s="4"/>
      <c r="AR11" s="4">
        <f>IFERROR(__xludf.DUMMYFUNCTION("""COMPUTED_VALUE"""),0.27204266150488365)</f>
        <v>0.2720426615</v>
      </c>
      <c r="AS11" s="4"/>
      <c r="AT11" s="4"/>
      <c r="AU11" s="4">
        <f>IFERROR(__xludf.DUMMYFUNCTION("""COMPUTED_VALUE"""),-3.1238467767514067)</f>
        <v>-3.123846777</v>
      </c>
      <c r="AV11" s="4"/>
      <c r="AW11" s="4"/>
      <c r="AX11" s="4">
        <f>IFERROR(__xludf.DUMMYFUNCTION("""COMPUTED_VALUE"""),1.6191756259104295)</f>
        <v>1.619175626</v>
      </c>
      <c r="AY11" s="4"/>
      <c r="AZ11" s="4"/>
      <c r="BA11" s="4">
        <f>IFERROR(__xludf.DUMMYFUNCTION("""COMPUTED_VALUE"""),-2.394869952320448)</f>
        <v>-2.394869952</v>
      </c>
      <c r="BB11" s="4"/>
      <c r="BC11" s="4"/>
      <c r="BD11" s="4">
        <f>IFERROR(__xludf.DUMMYFUNCTION("""COMPUTED_VALUE"""),-2.0369175164652233)</f>
        <v>-2.036917516</v>
      </c>
      <c r="BE11" s="4"/>
      <c r="BF11" s="4"/>
      <c r="BG11" s="4">
        <f>IFERROR(__xludf.DUMMYFUNCTION("""COMPUTED_VALUE"""),-0.09276124700443233)</f>
        <v>-0.092761247</v>
      </c>
      <c r="BH11" s="4"/>
      <c r="BI11" s="4"/>
      <c r="BJ11" s="4"/>
      <c r="BK11" s="4"/>
    </row>
    <row r="12">
      <c r="A12" s="1">
        <v>10.0</v>
      </c>
      <c r="B12" s="4">
        <f>TRACE010!V13</f>
        <v>2.63563E+22</v>
      </c>
      <c r="C12" s="4">
        <f t="shared" si="1"/>
        <v>1.08898E+44</v>
      </c>
      <c r="D12" s="4">
        <f>IFERROR(__xludf.DUMMYFUNCTION("""COMPUTED_VALUE"""),202.02514906998454)</f>
        <v>202.0251491</v>
      </c>
      <c r="E12" s="23">
        <f>IFERROR(__xludf.DUMMYFUNCTION("""COMPUTED_VALUE"""),-7.8233666468743195)</f>
        <v>-7.823366647</v>
      </c>
      <c r="F12" s="4"/>
      <c r="G12" s="4"/>
      <c r="H12" s="4">
        <f>IFERROR(__xludf.DUMMYFUNCTION("""COMPUTED_VALUE"""),-3.8401246472470234)</f>
        <v>-3.840124647</v>
      </c>
      <c r="I12" s="4"/>
      <c r="J12" s="4"/>
      <c r="K12" s="4">
        <f>IFERROR(__xludf.DUMMYFUNCTION("""COMPUTED_VALUE"""),0.5315300647625918)</f>
        <v>0.5315300648</v>
      </c>
      <c r="L12" s="4"/>
      <c r="M12" s="4"/>
      <c r="N12" s="4">
        <f>IFERROR(__xludf.DUMMYFUNCTION("""COMPUTED_VALUE"""),2.5205683000718295)</f>
        <v>2.5205683</v>
      </c>
      <c r="O12" s="4"/>
      <c r="P12" s="4"/>
      <c r="Q12" s="4">
        <f>IFERROR(__xludf.DUMMYFUNCTION("""COMPUTED_VALUE"""),-6.45871803247735)</f>
        <v>-6.458718032</v>
      </c>
      <c r="R12" s="4"/>
      <c r="S12" s="4"/>
      <c r="T12" s="4">
        <f>IFERROR(__xludf.DUMMYFUNCTION("""COMPUTED_VALUE"""),3.7598767987583983)</f>
        <v>3.759876799</v>
      </c>
      <c r="U12" s="4"/>
      <c r="V12" s="4"/>
      <c r="W12" s="4">
        <f>IFERROR(__xludf.DUMMYFUNCTION("""COMPUTED_VALUE"""),0.7841162342916164)</f>
        <v>0.7841162343</v>
      </c>
      <c r="X12" s="4"/>
      <c r="Y12" s="4"/>
      <c r="Z12" s="4">
        <f>IFERROR(__xludf.DUMMYFUNCTION("""COMPUTED_VALUE"""),-7.831613621443637)</f>
        <v>-7.831613621</v>
      </c>
      <c r="AA12" s="4"/>
      <c r="AB12" s="4"/>
      <c r="AC12" s="4">
        <f>IFERROR(__xludf.DUMMYFUNCTION("""COMPUTED_VALUE"""),1.1914382549481957)</f>
        <v>1.191438255</v>
      </c>
      <c r="AD12" s="4"/>
      <c r="AE12" s="4"/>
      <c r="AF12" s="4">
        <f>IFERROR(__xludf.DUMMYFUNCTION("""COMPUTED_VALUE"""),-2.5734319691497376)</f>
        <v>-2.573431969</v>
      </c>
      <c r="AG12" s="4"/>
      <c r="AH12" s="4"/>
      <c r="AI12" s="4">
        <f>IFERROR(__xludf.DUMMYFUNCTION("""COMPUTED_VALUE"""),-2.910465746288935)</f>
        <v>-2.910465746</v>
      </c>
      <c r="AJ12" s="4"/>
      <c r="AK12" s="4"/>
      <c r="AL12" s="4">
        <f>IFERROR(__xludf.DUMMYFUNCTION("""COMPUTED_VALUE"""),-0.518356273491122)</f>
        <v>-0.5183562735</v>
      </c>
      <c r="AM12" s="4"/>
      <c r="AN12" s="4"/>
      <c r="AO12" s="4">
        <f>IFERROR(__xludf.DUMMYFUNCTION("""COMPUTED_VALUE"""),1.942947571117145)</f>
        <v>1.942947571</v>
      </c>
      <c r="AP12" s="4"/>
      <c r="AQ12" s="4"/>
      <c r="AR12" s="4">
        <f>IFERROR(__xludf.DUMMYFUNCTION("""COMPUTED_VALUE"""),-2.661201609982072)</f>
        <v>-2.66120161</v>
      </c>
      <c r="AS12" s="4"/>
      <c r="AT12" s="4"/>
      <c r="AU12" s="4">
        <f>IFERROR(__xludf.DUMMYFUNCTION("""COMPUTED_VALUE"""),-5.402355633669345)</f>
        <v>-5.402355634</v>
      </c>
      <c r="AV12" s="4"/>
      <c r="AW12" s="4"/>
      <c r="AX12" s="4">
        <f>IFERROR(__xludf.DUMMYFUNCTION("""COMPUTED_VALUE"""),2.6799103642321143)</f>
        <v>2.679910364</v>
      </c>
      <c r="AY12" s="4"/>
      <c r="AZ12" s="4"/>
      <c r="BA12" s="4">
        <f>IFERROR(__xludf.DUMMYFUNCTION("""COMPUTED_VALUE"""),3.600079166328271)</f>
        <v>3.600079166</v>
      </c>
      <c r="BB12" s="4"/>
      <c r="BC12" s="4"/>
      <c r="BD12" s="4">
        <f>IFERROR(__xludf.DUMMYFUNCTION("""COMPUTED_VALUE"""),-7.878418143320744)</f>
        <v>-7.878418143</v>
      </c>
      <c r="BE12" s="4"/>
      <c r="BF12" s="4"/>
      <c r="BG12" s="4">
        <f>IFERROR(__xludf.DUMMYFUNCTION("""COMPUTED_VALUE"""),-0.6189392196396284)</f>
        <v>-0.6189392196</v>
      </c>
      <c r="BH12" s="4"/>
      <c r="BI12" s="4"/>
      <c r="BJ12" s="4"/>
      <c r="BK12" s="4"/>
    </row>
    <row r="13">
      <c r="A13" s="1">
        <v>11.0</v>
      </c>
      <c r="B13" s="4">
        <f>TRACE011!V13</f>
        <v>2.83071E+22</v>
      </c>
      <c r="C13" s="4">
        <f t="shared" si="1"/>
        <v>1.53417E+44</v>
      </c>
      <c r="D13" s="4">
        <f>IFERROR(__xludf.DUMMYFUNCTION("""COMPUTED_VALUE"""),201.10685293929942)</f>
        <v>201.1068529</v>
      </c>
      <c r="E13" s="23">
        <f>IFERROR(__xludf.DUMMYFUNCTION("""COMPUTED_VALUE"""),-3.3469305640181233)</f>
        <v>-3.346930564</v>
      </c>
      <c r="F13" s="4"/>
      <c r="G13" s="4"/>
      <c r="H13" s="4">
        <f>IFERROR(__xludf.DUMMYFUNCTION("""COMPUTED_VALUE"""),-0.3917281272143782)</f>
        <v>-0.3917281272</v>
      </c>
      <c r="I13" s="4"/>
      <c r="J13" s="4"/>
      <c r="K13" s="4">
        <f>IFERROR(__xludf.DUMMYFUNCTION("""COMPUTED_VALUE"""),3.344914535939438)</f>
        <v>3.344914536</v>
      </c>
      <c r="L13" s="4"/>
      <c r="M13" s="4"/>
      <c r="N13" s="4">
        <f>IFERROR(__xludf.DUMMYFUNCTION("""COMPUTED_VALUE"""),1.5901726007055004)</f>
        <v>1.590172601</v>
      </c>
      <c r="O13" s="4"/>
      <c r="P13" s="4"/>
      <c r="Q13" s="4">
        <f>IFERROR(__xludf.DUMMYFUNCTION("""COMPUTED_VALUE"""),0.4629129547625439)</f>
        <v>0.4629129548</v>
      </c>
      <c r="R13" s="4"/>
      <c r="S13" s="4"/>
      <c r="T13" s="4">
        <f>IFERROR(__xludf.DUMMYFUNCTION("""COMPUTED_VALUE"""),0.2900758733537714)</f>
        <v>0.2900758734</v>
      </c>
      <c r="U13" s="4"/>
      <c r="V13" s="4"/>
      <c r="W13" s="4">
        <f>IFERROR(__xludf.DUMMYFUNCTION("""COMPUTED_VALUE"""),-3.499295525201603)</f>
        <v>-3.499295525</v>
      </c>
      <c r="X13" s="4"/>
      <c r="Y13" s="4"/>
      <c r="Z13" s="4">
        <f>IFERROR(__xludf.DUMMYFUNCTION("""COMPUTED_VALUE"""),0.19490261609337267)</f>
        <v>0.1949026161</v>
      </c>
      <c r="AA13" s="4"/>
      <c r="AB13" s="4"/>
      <c r="AC13" s="4">
        <f>IFERROR(__xludf.DUMMYFUNCTION("""COMPUTED_VALUE"""),-6.179572693891657)</f>
        <v>-6.179572694</v>
      </c>
      <c r="AD13" s="4"/>
      <c r="AE13" s="4"/>
      <c r="AF13" s="4">
        <f>IFERROR(__xludf.DUMMYFUNCTION("""COMPUTED_VALUE"""),3.935489353925277)</f>
        <v>3.935489354</v>
      </c>
      <c r="AG13" s="4"/>
      <c r="AH13" s="4"/>
      <c r="AI13" s="4">
        <f>IFERROR(__xludf.DUMMYFUNCTION("""COMPUTED_VALUE"""),0.6048111280121589)</f>
        <v>0.604811128</v>
      </c>
      <c r="AJ13" s="4"/>
      <c r="AK13" s="4"/>
      <c r="AL13" s="4">
        <f>IFERROR(__xludf.DUMMYFUNCTION("""COMPUTED_VALUE"""),-1.1931241303130378)</f>
        <v>-1.19312413</v>
      </c>
      <c r="AM13" s="4"/>
      <c r="AN13" s="4"/>
      <c r="AO13" s="4">
        <f>IFERROR(__xludf.DUMMYFUNCTION("""COMPUTED_VALUE"""),1.8116953642816611)</f>
        <v>1.811695364</v>
      </c>
      <c r="AP13" s="4"/>
      <c r="AQ13" s="4"/>
      <c r="AR13" s="4">
        <f>IFERROR(__xludf.DUMMYFUNCTION("""COMPUTED_VALUE"""),4.448257863755487)</f>
        <v>4.448257864</v>
      </c>
      <c r="AS13" s="4"/>
      <c r="AT13" s="4"/>
      <c r="AU13" s="4">
        <f>IFERROR(__xludf.DUMMYFUNCTION("""COMPUTED_VALUE"""),-1.491804571632656)</f>
        <v>-1.491804572</v>
      </c>
      <c r="AV13" s="4"/>
      <c r="AW13" s="4"/>
      <c r="AX13" s="4">
        <f>IFERROR(__xludf.DUMMYFUNCTION("""COMPUTED_VALUE"""),8.55951627188523)</f>
        <v>8.559516272</v>
      </c>
      <c r="AY13" s="4"/>
      <c r="AZ13" s="4"/>
      <c r="BA13" s="4">
        <f>IFERROR(__xludf.DUMMYFUNCTION("""COMPUTED_VALUE"""),0.5459227169234282)</f>
        <v>0.5459227169</v>
      </c>
      <c r="BB13" s="4"/>
      <c r="BC13" s="4"/>
      <c r="BD13" s="4">
        <f>IFERROR(__xludf.DUMMYFUNCTION("""COMPUTED_VALUE"""),3.530270290215867)</f>
        <v>3.53027029</v>
      </c>
      <c r="BE13" s="4"/>
      <c r="BF13" s="4"/>
      <c r="BG13" s="4">
        <f>IFERROR(__xludf.DUMMYFUNCTION("""COMPUTED_VALUE"""),3.1810199791614195)</f>
        <v>3.181019979</v>
      </c>
      <c r="BH13" s="4"/>
      <c r="BI13" s="4"/>
      <c r="BJ13" s="4"/>
      <c r="BK13" s="4"/>
    </row>
    <row r="14">
      <c r="A14" s="1">
        <v>12.0</v>
      </c>
      <c r="B14" s="4">
        <f>TRACE012!V13</f>
        <v>2.92404E+22</v>
      </c>
      <c r="C14" s="4">
        <f t="shared" si="1"/>
        <v>1.77409E+44</v>
      </c>
      <c r="D14" s="4">
        <f>IFERROR(__xludf.DUMMYFUNCTION("""COMPUTED_VALUE"""),200.18855680654968)</f>
        <v>200.1885568</v>
      </c>
      <c r="E14" s="23">
        <f>IFERROR(__xludf.DUMMYFUNCTION("""COMPUTED_VALUE"""),-6.437291840274611)</f>
        <v>-6.43729184</v>
      </c>
      <c r="F14" s="4"/>
      <c r="G14" s="4"/>
      <c r="H14" s="4">
        <f>IFERROR(__xludf.DUMMYFUNCTION("""COMPUTED_VALUE"""),-1.5990819441780104)</f>
        <v>-1.599081944</v>
      </c>
      <c r="I14" s="4"/>
      <c r="J14" s="4"/>
      <c r="K14" s="4">
        <f>IFERROR(__xludf.DUMMYFUNCTION("""COMPUTED_VALUE"""),-1.0689487274350427)</f>
        <v>-1.068948727</v>
      </c>
      <c r="L14" s="4"/>
      <c r="M14" s="4"/>
      <c r="N14" s="4">
        <f>IFERROR(__xludf.DUMMYFUNCTION("""COMPUTED_VALUE"""),-0.3688939698450895)</f>
        <v>-0.3688939698</v>
      </c>
      <c r="O14" s="4"/>
      <c r="P14" s="4"/>
      <c r="Q14" s="4">
        <f>IFERROR(__xludf.DUMMYFUNCTION("""COMPUTED_VALUE"""),-5.316270163775073)</f>
        <v>-5.316270164</v>
      </c>
      <c r="R14" s="4"/>
      <c r="S14" s="4"/>
      <c r="T14" s="4">
        <f>IFERROR(__xludf.DUMMYFUNCTION("""COMPUTED_VALUE"""),1.8338100833051953)</f>
        <v>1.833810083</v>
      </c>
      <c r="U14" s="4"/>
      <c r="V14" s="4"/>
      <c r="W14" s="4">
        <f>IFERROR(__xludf.DUMMYFUNCTION("""COMPUTED_VALUE"""),-3.6961388604910894)</f>
        <v>-3.69613886</v>
      </c>
      <c r="X14" s="4"/>
      <c r="Y14" s="4"/>
      <c r="Z14" s="4">
        <f>IFERROR(__xludf.DUMMYFUNCTION("""COMPUTED_VALUE"""),-0.13808845045667795)</f>
        <v>-0.1380884505</v>
      </c>
      <c r="AA14" s="4"/>
      <c r="AB14" s="4"/>
      <c r="AC14" s="4">
        <f>IFERROR(__xludf.DUMMYFUNCTION("""COMPUTED_VALUE"""),-5.529898573206481)</f>
        <v>-5.529898573</v>
      </c>
      <c r="AD14" s="4"/>
      <c r="AE14" s="4"/>
      <c r="AF14" s="4">
        <f>IFERROR(__xludf.DUMMYFUNCTION("""COMPUTED_VALUE"""),1.4548343715969168)</f>
        <v>1.454834372</v>
      </c>
      <c r="AG14" s="4"/>
      <c r="AH14" s="4"/>
      <c r="AI14" s="4">
        <f>IFERROR(__xludf.DUMMYFUNCTION("""COMPUTED_VALUE"""),-3.6476905879229093)</f>
        <v>-3.647690588</v>
      </c>
      <c r="AJ14" s="4"/>
      <c r="AK14" s="4"/>
      <c r="AL14" s="4">
        <f>IFERROR(__xludf.DUMMYFUNCTION("""COMPUTED_VALUE"""),-1.798677308241281)</f>
        <v>-1.798677308</v>
      </c>
      <c r="AM14" s="4"/>
      <c r="AN14" s="4"/>
      <c r="AO14" s="4">
        <f>IFERROR(__xludf.DUMMYFUNCTION("""COMPUTED_VALUE"""),-0.12424531342799128)</f>
        <v>-0.1242453134</v>
      </c>
      <c r="AP14" s="4"/>
      <c r="AQ14" s="4"/>
      <c r="AR14" s="4">
        <f>IFERROR(__xludf.DUMMYFUNCTION("""COMPUTED_VALUE"""),0.809845666033425)</f>
        <v>0.809845666</v>
      </c>
      <c r="AS14" s="4"/>
      <c r="AT14" s="4"/>
      <c r="AU14" s="4">
        <f>IFERROR(__xludf.DUMMYFUNCTION("""COMPUTED_VALUE"""),2.222036801321792)</f>
        <v>2.222036801</v>
      </c>
      <c r="AV14" s="4"/>
      <c r="AW14" s="4"/>
      <c r="AX14" s="4">
        <f>IFERROR(__xludf.DUMMYFUNCTION("""COMPUTED_VALUE"""),-4.286265440710906)</f>
        <v>-4.286265441</v>
      </c>
      <c r="AY14" s="4"/>
      <c r="AZ14" s="4"/>
      <c r="BA14" s="4">
        <f>IFERROR(__xludf.DUMMYFUNCTION("""COMPUTED_VALUE"""),2.5861026006267593)</f>
        <v>2.586102601</v>
      </c>
      <c r="BB14" s="4"/>
      <c r="BC14" s="4"/>
      <c r="BD14" s="4">
        <f>IFERROR(__xludf.DUMMYFUNCTION("""COMPUTED_VALUE"""),-1.0469908397472523)</f>
        <v>-1.04699084</v>
      </c>
      <c r="BE14" s="4"/>
      <c r="BF14" s="4"/>
      <c r="BG14" s="4">
        <f>IFERROR(__xludf.DUMMYFUNCTION("""COMPUTED_VALUE"""),2.682333377192549)</f>
        <v>2.682333377</v>
      </c>
      <c r="BH14" s="4"/>
      <c r="BI14" s="4"/>
      <c r="BJ14" s="4"/>
      <c r="BK14" s="4"/>
    </row>
    <row r="15">
      <c r="A15" s="1">
        <v>13.0</v>
      </c>
      <c r="B15" s="4">
        <f>TRACE013!V13</f>
        <v>2.64376E+22</v>
      </c>
      <c r="C15" s="4">
        <f t="shared" si="1"/>
        <v>1.106E+44</v>
      </c>
      <c r="D15" s="4">
        <f>IFERROR(__xludf.DUMMYFUNCTION("""COMPUTED_VALUE"""),199.27026067374962)</f>
        <v>199.2702607</v>
      </c>
      <c r="E15" s="23">
        <f>IFERROR(__xludf.DUMMYFUNCTION("""COMPUTED_VALUE"""),1.2009743206127155)</f>
        <v>1.200974321</v>
      </c>
      <c r="F15" s="4"/>
      <c r="G15" s="4"/>
      <c r="H15" s="4">
        <f>IFERROR(__xludf.DUMMYFUNCTION("""COMPUTED_VALUE"""),-2.079292366333732)</f>
        <v>-2.079292366</v>
      </c>
      <c r="I15" s="4"/>
      <c r="J15" s="4"/>
      <c r="K15" s="4">
        <f>IFERROR(__xludf.DUMMYFUNCTION("""COMPUTED_VALUE"""),1.6299792053793567)</f>
        <v>1.629979205</v>
      </c>
      <c r="L15" s="4"/>
      <c r="M15" s="4"/>
      <c r="N15" s="4">
        <f>IFERROR(__xludf.DUMMYFUNCTION("""COMPUTED_VALUE"""),0.6833113019245616)</f>
        <v>0.6833113019</v>
      </c>
      <c r="O15" s="4"/>
      <c r="P15" s="4"/>
      <c r="Q15" s="4">
        <f>IFERROR(__xludf.DUMMYFUNCTION("""COMPUTED_VALUE"""),-1.0838056215360439)</f>
        <v>-1.083805622</v>
      </c>
      <c r="R15" s="4"/>
      <c r="S15" s="4"/>
      <c r="T15" s="4">
        <f>IFERROR(__xludf.DUMMYFUNCTION("""COMPUTED_VALUE"""),-2.988238431198738)</f>
        <v>-2.988238431</v>
      </c>
      <c r="U15" s="4"/>
      <c r="V15" s="4"/>
      <c r="W15" s="4">
        <f>IFERROR(__xludf.DUMMYFUNCTION("""COMPUTED_VALUE"""),3.7970294539691167)</f>
        <v>3.797029454</v>
      </c>
      <c r="X15" s="4"/>
      <c r="Y15" s="4"/>
      <c r="Z15" s="4">
        <f>IFERROR(__xludf.DUMMYFUNCTION("""COMPUTED_VALUE"""),-0.9737620974631795)</f>
        <v>-0.9737620975</v>
      </c>
      <c r="AA15" s="4"/>
      <c r="AB15" s="4"/>
      <c r="AC15" s="4">
        <f>IFERROR(__xludf.DUMMYFUNCTION("""COMPUTED_VALUE"""),6.823000449459812)</f>
        <v>6.823000449</v>
      </c>
      <c r="AD15" s="4"/>
      <c r="AE15" s="4"/>
      <c r="AF15" s="4">
        <f>IFERROR(__xludf.DUMMYFUNCTION("""COMPUTED_VALUE"""),-4.817257131876033)</f>
        <v>-4.817257132</v>
      </c>
      <c r="AG15" s="4"/>
      <c r="AH15" s="4"/>
      <c r="AI15" s="4">
        <f>IFERROR(__xludf.DUMMYFUNCTION("""COMPUTED_VALUE"""),-0.08123151619531654)</f>
        <v>-0.0812315162</v>
      </c>
      <c r="AJ15" s="4"/>
      <c r="AK15" s="4"/>
      <c r="AL15" s="4">
        <f>IFERROR(__xludf.DUMMYFUNCTION("""COMPUTED_VALUE"""),-3.137919387192767)</f>
        <v>-3.137919387</v>
      </c>
      <c r="AM15" s="4"/>
      <c r="AN15" s="4"/>
      <c r="AO15" s="4">
        <f>IFERROR(__xludf.DUMMYFUNCTION("""COMPUTED_VALUE"""),0.4187750846954259)</f>
        <v>0.4187750847</v>
      </c>
      <c r="AP15" s="4"/>
      <c r="AQ15" s="4"/>
      <c r="AR15" s="4">
        <f>IFERROR(__xludf.DUMMYFUNCTION("""COMPUTED_VALUE"""),2.3943351900286416)</f>
        <v>2.39433519</v>
      </c>
      <c r="AS15" s="4"/>
      <c r="AT15" s="4"/>
      <c r="AU15" s="4">
        <f>IFERROR(__xludf.DUMMYFUNCTION("""COMPUTED_VALUE"""),-2.981566841387803)</f>
        <v>-2.981566841</v>
      </c>
      <c r="AV15" s="4"/>
      <c r="AW15" s="4"/>
      <c r="AX15" s="4">
        <f>IFERROR(__xludf.DUMMYFUNCTION("""COMPUTED_VALUE"""),-2.697955241093325)</f>
        <v>-2.697955241</v>
      </c>
      <c r="AY15" s="4"/>
      <c r="AZ15" s="4"/>
      <c r="BA15" s="4">
        <f>IFERROR(__xludf.DUMMYFUNCTION("""COMPUTED_VALUE"""),-3.9435422356649497)</f>
        <v>-3.943542236</v>
      </c>
      <c r="BB15" s="4"/>
      <c r="BC15" s="4"/>
      <c r="BD15" s="4">
        <f>IFERROR(__xludf.DUMMYFUNCTION("""COMPUTED_VALUE"""),-5.466553876879686)</f>
        <v>-5.466553877</v>
      </c>
      <c r="BE15" s="4"/>
      <c r="BF15" s="4"/>
      <c r="BG15" s="4">
        <f>IFERROR(__xludf.DUMMYFUNCTION("""COMPUTED_VALUE"""),-7.684639280409442)</f>
        <v>-7.68463928</v>
      </c>
      <c r="BH15" s="4"/>
      <c r="BI15" s="4"/>
      <c r="BJ15" s="4"/>
      <c r="BK15" s="4"/>
    </row>
    <row r="16">
      <c r="A16" s="1">
        <v>14.0</v>
      </c>
      <c r="B16" s="4">
        <f>TRACE014!V13</f>
        <v>2.4632E+22</v>
      </c>
      <c r="C16" s="4">
        <f t="shared" si="1"/>
        <v>7.58829E+43</v>
      </c>
      <c r="D16" s="4">
        <f>IFERROR(__xludf.DUMMYFUNCTION("""COMPUTED_VALUE"""),198.3519645430645)</f>
        <v>198.3519645</v>
      </c>
      <c r="E16" s="23">
        <f>IFERROR(__xludf.DUMMYFUNCTION("""COMPUTED_VALUE"""),-2.2166687244083505)</f>
        <v>-2.216668724</v>
      </c>
      <c r="F16" s="4"/>
      <c r="G16" s="4"/>
      <c r="H16" s="4">
        <f>IFERROR(__xludf.DUMMYFUNCTION("""COMPUTED_VALUE"""),4.869740489520666)</f>
        <v>4.86974049</v>
      </c>
      <c r="I16" s="4"/>
      <c r="J16" s="4"/>
      <c r="K16" s="4">
        <f>IFERROR(__xludf.DUMMYFUNCTION("""COMPUTED_VALUE"""),-3.021026905067913)</f>
        <v>-3.021026905</v>
      </c>
      <c r="L16" s="4"/>
      <c r="M16" s="4"/>
      <c r="N16" s="4">
        <f>IFERROR(__xludf.DUMMYFUNCTION("""COMPUTED_VALUE"""),-3.8376639683499434)</f>
        <v>-3.837663968</v>
      </c>
      <c r="O16" s="4"/>
      <c r="P16" s="4"/>
      <c r="Q16" s="4">
        <f>IFERROR(__xludf.DUMMYFUNCTION("""COMPUTED_VALUE"""),-6.255021395846882)</f>
        <v>-6.255021396</v>
      </c>
      <c r="R16" s="4"/>
      <c r="S16" s="4"/>
      <c r="T16" s="4">
        <f>IFERROR(__xludf.DUMMYFUNCTION("""COMPUTED_VALUE"""),0.4188891396140093)</f>
        <v>0.4188891396</v>
      </c>
      <c r="U16" s="4"/>
      <c r="V16" s="4"/>
      <c r="W16" s="4">
        <f>IFERROR(__xludf.DUMMYFUNCTION("""COMPUTED_VALUE"""),-2.3965991490951524)</f>
        <v>-2.396599149</v>
      </c>
      <c r="X16" s="4"/>
      <c r="Y16" s="4"/>
      <c r="Z16" s="4">
        <f>IFERROR(__xludf.DUMMYFUNCTION("""COMPUTED_VALUE"""),-2.1917931616256965)</f>
        <v>-2.191793162</v>
      </c>
      <c r="AA16" s="4"/>
      <c r="AB16" s="4"/>
      <c r="AC16" s="4">
        <f>IFERROR(__xludf.DUMMYFUNCTION("""COMPUTED_VALUE"""),4.690275862168107)</f>
        <v>4.690275862</v>
      </c>
      <c r="AD16" s="4"/>
      <c r="AE16" s="4"/>
      <c r="AF16" s="4">
        <f>IFERROR(__xludf.DUMMYFUNCTION("""COMPUTED_VALUE"""),0.28447424169212354)</f>
        <v>0.2844742417</v>
      </c>
      <c r="AG16" s="4"/>
      <c r="AH16" s="4"/>
      <c r="AI16" s="4">
        <f>IFERROR(__xludf.DUMMYFUNCTION("""COMPUTED_VALUE"""),-1.992433274782968)</f>
        <v>-1.992433275</v>
      </c>
      <c r="AJ16" s="4"/>
      <c r="AK16" s="4"/>
      <c r="AL16" s="4">
        <f>IFERROR(__xludf.DUMMYFUNCTION("""COMPUTED_VALUE"""),4.86042337764809)</f>
        <v>4.860423378</v>
      </c>
      <c r="AM16" s="4"/>
      <c r="AN16" s="4"/>
      <c r="AO16" s="4">
        <f>IFERROR(__xludf.DUMMYFUNCTION("""COMPUTED_VALUE"""),0.0010475214210714512)</f>
        <v>0.001047521421</v>
      </c>
      <c r="AP16" s="4"/>
      <c r="AQ16" s="4"/>
      <c r="AR16" s="4">
        <f>IFERROR(__xludf.DUMMYFUNCTION("""COMPUTED_VALUE"""),-6.035498796077036)</f>
        <v>-6.035498796</v>
      </c>
      <c r="AS16" s="4"/>
      <c r="AT16" s="4"/>
      <c r="AU16" s="4">
        <f>IFERROR(__xludf.DUMMYFUNCTION("""COMPUTED_VALUE"""),0.0920371194789027)</f>
        <v>0.09203711948</v>
      </c>
      <c r="AV16" s="4"/>
      <c r="AW16" s="4"/>
      <c r="AX16" s="4">
        <f>IFERROR(__xludf.DUMMYFUNCTION("""COMPUTED_VALUE"""),-0.2519649987830235)</f>
        <v>-0.2519649988</v>
      </c>
      <c r="AY16" s="4"/>
      <c r="AZ16" s="4"/>
      <c r="BA16" s="4">
        <f>IFERROR(__xludf.DUMMYFUNCTION("""COMPUTED_VALUE"""),1.1584668439697907)</f>
        <v>1.158466844</v>
      </c>
      <c r="BB16" s="4"/>
      <c r="BC16" s="4"/>
      <c r="BD16" s="4">
        <f>IFERROR(__xludf.DUMMYFUNCTION("""COMPUTED_VALUE"""),2.2340634566264157)</f>
        <v>2.234063457</v>
      </c>
      <c r="BE16" s="4"/>
      <c r="BF16" s="4"/>
      <c r="BG16" s="4">
        <f>IFERROR(__xludf.DUMMYFUNCTION("""COMPUTED_VALUE"""),4.787552736034058)</f>
        <v>4.787552736</v>
      </c>
      <c r="BH16" s="4"/>
      <c r="BI16" s="4"/>
      <c r="BJ16" s="4"/>
      <c r="BK16" s="4"/>
    </row>
    <row r="17">
      <c r="A17" s="1">
        <v>15.0</v>
      </c>
      <c r="B17" s="4">
        <f>TRACE015!V13</f>
        <v>2.04141E+22</v>
      </c>
      <c r="C17" s="4">
        <f t="shared" si="1"/>
        <v>2.01885E+43</v>
      </c>
      <c r="D17" s="4">
        <f>IFERROR(__xludf.DUMMYFUNCTION("""COMPUTED_VALUE"""),197.43366841031477)</f>
        <v>197.4336684</v>
      </c>
      <c r="E17" s="23">
        <f>IFERROR(__xludf.DUMMYFUNCTION("""COMPUTED_VALUE"""),-1.1213112758333637)</f>
        <v>-1.121311276</v>
      </c>
      <c r="F17" s="4"/>
      <c r="G17" s="4"/>
      <c r="H17" s="4">
        <f>IFERROR(__xludf.DUMMYFUNCTION("""COMPUTED_VALUE"""),0.12523779483223052)</f>
        <v>0.1252377948</v>
      </c>
      <c r="I17" s="4"/>
      <c r="J17" s="4"/>
      <c r="K17" s="4">
        <f>IFERROR(__xludf.DUMMYFUNCTION("""COMPUTED_VALUE"""),-7.1722475401710994)</f>
        <v>-7.17224754</v>
      </c>
      <c r="L17" s="4"/>
      <c r="M17" s="4"/>
      <c r="N17" s="4">
        <f>IFERROR(__xludf.DUMMYFUNCTION("""COMPUTED_VALUE"""),5.05535926769619)</f>
        <v>5.055359268</v>
      </c>
      <c r="O17" s="4"/>
      <c r="P17" s="4"/>
      <c r="Q17" s="4">
        <f>IFERROR(__xludf.DUMMYFUNCTION("""COMPUTED_VALUE"""),-5.202067490849572)</f>
        <v>-5.202067491</v>
      </c>
      <c r="R17" s="4"/>
      <c r="S17" s="4"/>
      <c r="T17" s="4">
        <f>IFERROR(__xludf.DUMMYFUNCTION("""COMPUTED_VALUE"""),-0.47884709466842423)</f>
        <v>-0.4788470947</v>
      </c>
      <c r="U17" s="4"/>
      <c r="V17" s="4"/>
      <c r="W17" s="4">
        <f>IFERROR(__xludf.DUMMYFUNCTION("""COMPUTED_VALUE"""),4.160190618544675)</f>
        <v>4.160190619</v>
      </c>
      <c r="X17" s="4"/>
      <c r="Y17" s="4"/>
      <c r="Z17" s="4">
        <f>IFERROR(__xludf.DUMMYFUNCTION("""COMPUTED_VALUE"""),1.193520170083218)</f>
        <v>1.19352017</v>
      </c>
      <c r="AA17" s="4"/>
      <c r="AB17" s="4"/>
      <c r="AC17" s="4">
        <f>IFERROR(__xludf.DUMMYFUNCTION("""COMPUTED_VALUE"""),-1.8265771568391074)</f>
        <v>-1.826577157</v>
      </c>
      <c r="AD17" s="4"/>
      <c r="AE17" s="4"/>
      <c r="AF17" s="4">
        <f>IFERROR(__xludf.DUMMYFUNCTION("""COMPUTED_VALUE"""),8.65974678098371)</f>
        <v>8.659746781</v>
      </c>
      <c r="AG17" s="4"/>
      <c r="AH17" s="4"/>
      <c r="AI17" s="4">
        <f>IFERROR(__xludf.DUMMYFUNCTION("""COMPUTED_VALUE"""),0.5796437890724064)</f>
        <v>0.5796437891</v>
      </c>
      <c r="AJ17" s="4"/>
      <c r="AK17" s="4"/>
      <c r="AL17" s="4">
        <f>IFERROR(__xludf.DUMMYFUNCTION("""COMPUTED_VALUE"""),0.8445736482225925)</f>
        <v>0.8445736482</v>
      </c>
      <c r="AM17" s="4"/>
      <c r="AN17" s="4"/>
      <c r="AO17" s="4">
        <f>IFERROR(__xludf.DUMMYFUNCTION("""COMPUTED_VALUE"""),5.516001769225852)</f>
        <v>5.516001769</v>
      </c>
      <c r="AP17" s="4"/>
      <c r="AQ17" s="4"/>
      <c r="AR17" s="4">
        <f>IFERROR(__xludf.DUMMYFUNCTION("""COMPUTED_VALUE"""),-0.6220330886654892)</f>
        <v>-0.6220330887</v>
      </c>
      <c r="AS17" s="4"/>
      <c r="AT17" s="4"/>
      <c r="AU17" s="4">
        <f>IFERROR(__xludf.DUMMYFUNCTION("""COMPUTED_VALUE"""),-2.024845167862793)</f>
        <v>-2.024845168</v>
      </c>
      <c r="AV17" s="4"/>
      <c r="AW17" s="4"/>
      <c r="AX17" s="4">
        <f>IFERROR(__xludf.DUMMYFUNCTION("""COMPUTED_VALUE"""),1.0692219700447936)</f>
        <v>1.06922197</v>
      </c>
      <c r="AY17" s="4"/>
      <c r="AZ17" s="4"/>
      <c r="BA17" s="4">
        <f>IFERROR(__xludf.DUMMYFUNCTION("""COMPUTED_VALUE"""),2.1668767623001486)</f>
        <v>2.166876762</v>
      </c>
      <c r="BB17" s="4"/>
      <c r="BC17" s="4"/>
      <c r="BD17" s="4">
        <f>IFERROR(__xludf.DUMMYFUNCTION("""COMPUTED_VALUE"""),0.6181101830781586)</f>
        <v>0.6181101831</v>
      </c>
      <c r="BE17" s="4"/>
      <c r="BF17" s="4"/>
      <c r="BG17" s="4">
        <f>IFERROR(__xludf.DUMMYFUNCTION("""COMPUTED_VALUE"""),-2.864588261174447)</f>
        <v>-2.864588261</v>
      </c>
      <c r="BH17" s="4"/>
      <c r="BI17" s="4"/>
      <c r="BJ17" s="4"/>
      <c r="BK17" s="4"/>
    </row>
    <row r="18">
      <c r="A18" s="1">
        <v>16.0</v>
      </c>
      <c r="B18" s="4">
        <f>TRACE016!V13</f>
        <v>1.68972E+22</v>
      </c>
      <c r="C18" s="4">
        <f t="shared" si="1"/>
        <v>9.53068E+41</v>
      </c>
      <c r="D18" s="4">
        <f>IFERROR(__xludf.DUMMYFUNCTION("""COMPUTED_VALUE"""),196.5153722775147)</f>
        <v>196.5153723</v>
      </c>
      <c r="E18" s="23">
        <f>IFERROR(__xludf.DUMMYFUNCTION("""COMPUTED_VALUE"""),-0.21458849538379354)</f>
        <v>-0.2145884954</v>
      </c>
      <c r="F18" s="4"/>
      <c r="G18" s="4"/>
      <c r="H18" s="4">
        <f>IFERROR(__xludf.DUMMYFUNCTION("""COMPUTED_VALUE"""),-5.674032303850822)</f>
        <v>-5.674032304</v>
      </c>
      <c r="I18" s="4"/>
      <c r="J18" s="4"/>
      <c r="K18" s="4">
        <f>IFERROR(__xludf.DUMMYFUNCTION("""COMPUTED_VALUE"""),0.27560233074535745)</f>
        <v>0.2756023307</v>
      </c>
      <c r="L18" s="4"/>
      <c r="M18" s="4"/>
      <c r="N18" s="4">
        <f>IFERROR(__xludf.DUMMYFUNCTION("""COMPUTED_VALUE"""),3.5058809934159285)</f>
        <v>3.505880993</v>
      </c>
      <c r="O18" s="4"/>
      <c r="P18" s="4"/>
      <c r="Q18" s="4">
        <f>IFERROR(__xludf.DUMMYFUNCTION("""COMPUTED_VALUE"""),2.7531490156280825)</f>
        <v>2.753149016</v>
      </c>
      <c r="R18" s="4"/>
      <c r="S18" s="4"/>
      <c r="T18" s="4">
        <f>IFERROR(__xludf.DUMMYFUNCTION("""COMPUTED_VALUE"""),-2.7818847913889613)</f>
        <v>-2.781884791</v>
      </c>
      <c r="U18" s="4"/>
      <c r="V18" s="4"/>
      <c r="W18" s="4">
        <f>IFERROR(__xludf.DUMMYFUNCTION("""COMPUTED_VALUE"""),-0.5463719098777347)</f>
        <v>-0.5463719099</v>
      </c>
      <c r="X18" s="4"/>
      <c r="Y18" s="4"/>
      <c r="Z18" s="4">
        <f>IFERROR(__xludf.DUMMYFUNCTION("""COMPUTED_VALUE"""),5.54477122563992)</f>
        <v>5.544771226</v>
      </c>
      <c r="AA18" s="4"/>
      <c r="AB18" s="4"/>
      <c r="AC18" s="4">
        <f>IFERROR(__xludf.DUMMYFUNCTION("""COMPUTED_VALUE"""),-0.42763914690789306)</f>
        <v>-0.4276391469</v>
      </c>
      <c r="AD18" s="4"/>
      <c r="AE18" s="4"/>
      <c r="AF18" s="4">
        <f>IFERROR(__xludf.DUMMYFUNCTION("""COMPUTED_VALUE"""),-2.091163526827131)</f>
        <v>-2.091163527</v>
      </c>
      <c r="AG18" s="4"/>
      <c r="AH18" s="4"/>
      <c r="AI18" s="4">
        <f>IFERROR(__xludf.DUMMYFUNCTION("""COMPUTED_VALUE"""),3.2439587322190846)</f>
        <v>3.243958732</v>
      </c>
      <c r="AJ18" s="4"/>
      <c r="AK18" s="4"/>
      <c r="AL18" s="4">
        <f>IFERROR(__xludf.DUMMYFUNCTION("""COMPUTED_VALUE"""),0.36490000003897194)</f>
        <v>0.3649</v>
      </c>
      <c r="AM18" s="4"/>
      <c r="AN18" s="4"/>
      <c r="AO18" s="4">
        <f>IFERROR(__xludf.DUMMYFUNCTION("""COMPUTED_VALUE"""),0.3102147613092825)</f>
        <v>0.3102147613</v>
      </c>
      <c r="AP18" s="4"/>
      <c r="AQ18" s="4"/>
      <c r="AR18" s="4">
        <f>IFERROR(__xludf.DUMMYFUNCTION("""COMPUTED_VALUE"""),-2.4279171100967005)</f>
        <v>-2.42791711</v>
      </c>
      <c r="AS18" s="4"/>
      <c r="AT18" s="4"/>
      <c r="AU18" s="4">
        <f>IFERROR(__xludf.DUMMYFUNCTION("""COMPUTED_VALUE"""),0.756451713451554)</f>
        <v>0.7564517135</v>
      </c>
      <c r="AV18" s="4"/>
      <c r="AW18" s="4"/>
      <c r="AX18" s="4">
        <f>IFERROR(__xludf.DUMMYFUNCTION("""COMPUTED_VALUE"""),2.0614632481858735)</f>
        <v>2.061463248</v>
      </c>
      <c r="AY18" s="4"/>
      <c r="AZ18" s="4"/>
      <c r="BA18" s="4">
        <f>IFERROR(__xludf.DUMMYFUNCTION("""COMPUTED_VALUE"""),-2.485035171383572)</f>
        <v>-2.485035171</v>
      </c>
      <c r="BB18" s="4"/>
      <c r="BC18" s="4"/>
      <c r="BD18" s="4">
        <f>IFERROR(__xludf.DUMMYFUNCTION("""COMPUTED_VALUE"""),5.203610695934287)</f>
        <v>5.203610696</v>
      </c>
      <c r="BE18" s="4"/>
      <c r="BF18" s="4"/>
      <c r="BG18" s="4">
        <f>IFERROR(__xludf.DUMMYFUNCTION("""COMPUTED_VALUE"""),3.780433676250709)</f>
        <v>3.780433676</v>
      </c>
      <c r="BH18" s="4"/>
      <c r="BI18" s="4"/>
      <c r="BJ18" s="4"/>
      <c r="BK18" s="4"/>
    </row>
    <row r="19">
      <c r="A19" s="1">
        <v>17.0</v>
      </c>
      <c r="B19" s="4">
        <f>TRACE017!V13</f>
        <v>1.31063E+22</v>
      </c>
      <c r="C19" s="4">
        <f t="shared" si="1"/>
        <v>7.92234E+42</v>
      </c>
      <c r="D19" s="4">
        <f>IFERROR(__xludf.DUMMYFUNCTION("""COMPUTED_VALUE"""),195.59707614687994)</f>
        <v>195.5970761</v>
      </c>
      <c r="E19" s="23">
        <f>IFERROR(__xludf.DUMMYFUNCTION("""COMPUTED_VALUE"""),-0.09663117109448649)</f>
        <v>-0.09663117109</v>
      </c>
      <c r="F19" s="4"/>
      <c r="G19" s="4"/>
      <c r="H19" s="4">
        <f>IFERROR(__xludf.DUMMYFUNCTION("""COMPUTED_VALUE"""),4.828977099272834)</f>
        <v>4.828977099</v>
      </c>
      <c r="I19" s="4"/>
      <c r="J19" s="4"/>
      <c r="K19" s="4">
        <f>IFERROR(__xludf.DUMMYFUNCTION("""COMPUTED_VALUE"""),-2.0566537752204113)</f>
        <v>-2.056653775</v>
      </c>
      <c r="L19" s="4"/>
      <c r="M19" s="4"/>
      <c r="N19" s="4">
        <f>IFERROR(__xludf.DUMMYFUNCTION("""COMPUTED_VALUE"""),-0.10845070870436757)</f>
        <v>-0.1084507087</v>
      </c>
      <c r="O19" s="4"/>
      <c r="P19" s="4"/>
      <c r="Q19" s="4">
        <f>IFERROR(__xludf.DUMMYFUNCTION("""COMPUTED_VALUE"""),0.8727114873410642)</f>
        <v>0.8727114873</v>
      </c>
      <c r="R19" s="4"/>
      <c r="S19" s="4"/>
      <c r="T19" s="4">
        <f>IFERROR(__xludf.DUMMYFUNCTION("""COMPUTED_VALUE"""),-0.6846074023342226)</f>
        <v>-0.6846074023</v>
      </c>
      <c r="U19" s="4"/>
      <c r="V19" s="4"/>
      <c r="W19" s="4">
        <f>IFERROR(__xludf.DUMMYFUNCTION("""COMPUTED_VALUE"""),-10.010915289223021)</f>
        <v>-10.01091529</v>
      </c>
      <c r="X19" s="4"/>
      <c r="Y19" s="4"/>
      <c r="Z19" s="4">
        <f>IFERROR(__xludf.DUMMYFUNCTION("""COMPUTED_VALUE"""),-0.6788187471432252)</f>
        <v>-0.6788187471</v>
      </c>
      <c r="AA19" s="4"/>
      <c r="AB19" s="4"/>
      <c r="AC19" s="4">
        <f>IFERROR(__xludf.DUMMYFUNCTION("""COMPUTED_VALUE"""),3.234569192458082)</f>
        <v>3.234569192</v>
      </c>
      <c r="AD19" s="4"/>
      <c r="AE19" s="4"/>
      <c r="AF19" s="4">
        <f>IFERROR(__xludf.DUMMYFUNCTION("""COMPUTED_VALUE"""),0.08990268789284528)</f>
        <v>0.08990268789</v>
      </c>
      <c r="AG19" s="4"/>
      <c r="AH19" s="4"/>
      <c r="AI19" s="4">
        <f>IFERROR(__xludf.DUMMYFUNCTION("""COMPUTED_VALUE"""),6.464964350941045)</f>
        <v>6.464964351</v>
      </c>
      <c r="AJ19" s="4"/>
      <c r="AK19" s="4"/>
      <c r="AL19" s="4">
        <f>IFERROR(__xludf.DUMMYFUNCTION("""COMPUTED_VALUE"""),2.022132205539606)</f>
        <v>2.022132206</v>
      </c>
      <c r="AM19" s="4"/>
      <c r="AN19" s="4"/>
      <c r="AO19" s="4">
        <f>IFERROR(__xludf.DUMMYFUNCTION("""COMPUTED_VALUE"""),-8.293671131499934)</f>
        <v>-8.293671131</v>
      </c>
      <c r="AP19" s="4"/>
      <c r="AQ19" s="4"/>
      <c r="AR19" s="4">
        <f>IFERROR(__xludf.DUMMYFUNCTION("""COMPUTED_VALUE"""),3.4993115241121586)</f>
        <v>3.499311524</v>
      </c>
      <c r="AS19" s="4"/>
      <c r="AT19" s="4"/>
      <c r="AU19" s="4">
        <f>IFERROR(__xludf.DUMMYFUNCTION("""COMPUTED_VALUE"""),2.9539665334716005)</f>
        <v>2.953966533</v>
      </c>
      <c r="AV19" s="4"/>
      <c r="AW19" s="4"/>
      <c r="AX19" s="4">
        <f>IFERROR(__xludf.DUMMYFUNCTION("""COMPUTED_VALUE"""),1.3940157966892457)</f>
        <v>1.394015797</v>
      </c>
      <c r="AY19" s="4"/>
      <c r="AZ19" s="4"/>
      <c r="BA19" s="4">
        <f>IFERROR(__xludf.DUMMYFUNCTION("""COMPUTED_VALUE"""),-1.6315152987910437)</f>
        <v>-1.631515299</v>
      </c>
      <c r="BB19" s="4"/>
      <c r="BC19" s="4"/>
      <c r="BD19" s="4">
        <f>IFERROR(__xludf.DUMMYFUNCTION("""COMPUTED_VALUE"""),5.271626945838591)</f>
        <v>5.271626946</v>
      </c>
      <c r="BE19" s="4"/>
      <c r="BF19" s="4"/>
      <c r="BG19" s="4">
        <f>IFERROR(__xludf.DUMMYFUNCTION("""COMPUTED_VALUE"""),4.093567631405563)</f>
        <v>4.093567631</v>
      </c>
      <c r="BH19" s="4"/>
      <c r="BI19" s="4"/>
      <c r="BJ19" s="4"/>
      <c r="BK19" s="4"/>
    </row>
    <row r="20">
      <c r="A20" s="1">
        <v>18.0</v>
      </c>
      <c r="B20" s="4">
        <f>TRACE018!V13</f>
        <v>1.01385E+22</v>
      </c>
      <c r="C20" s="4">
        <f t="shared" si="1"/>
        <v>3.34358E+43</v>
      </c>
      <c r="D20" s="4">
        <f>IFERROR(__xludf.DUMMYFUNCTION("""COMPUTED_VALUE"""),194.67878001407985)</f>
        <v>194.67878</v>
      </c>
      <c r="E20" s="23">
        <f>IFERROR(__xludf.DUMMYFUNCTION("""COMPUTED_VALUE"""),3.431114373581579)</f>
        <v>3.431114374</v>
      </c>
      <c r="F20" s="4"/>
      <c r="G20" s="4"/>
      <c r="H20" s="4">
        <f>IFERROR(__xludf.DUMMYFUNCTION("""COMPUTED_VALUE"""),2.1377252293237348)</f>
        <v>2.137725229</v>
      </c>
      <c r="I20" s="4"/>
      <c r="J20" s="4"/>
      <c r="K20" s="4">
        <f>IFERROR(__xludf.DUMMYFUNCTION("""COMPUTED_VALUE"""),-2.699048129666096)</f>
        <v>-2.69904813</v>
      </c>
      <c r="L20" s="4"/>
      <c r="M20" s="4"/>
      <c r="N20" s="4">
        <f>IFERROR(__xludf.DUMMYFUNCTION("""COMPUTED_VALUE"""),-0.31275978593436093)</f>
        <v>-0.3127597859</v>
      </c>
      <c r="O20" s="4"/>
      <c r="P20" s="4"/>
      <c r="Q20" s="4">
        <f>IFERROR(__xludf.DUMMYFUNCTION("""COMPUTED_VALUE"""),5.750362416944938)</f>
        <v>5.750362417</v>
      </c>
      <c r="R20" s="4"/>
      <c r="S20" s="4"/>
      <c r="T20" s="4">
        <f>IFERROR(__xludf.DUMMYFUNCTION("""COMPUTED_VALUE"""),-2.6053860518203464)</f>
        <v>-2.605386052</v>
      </c>
      <c r="U20" s="4"/>
      <c r="V20" s="4"/>
      <c r="W20" s="4">
        <f>IFERROR(__xludf.DUMMYFUNCTION("""COMPUTED_VALUE"""),-5.80285595266804)</f>
        <v>-5.802855953</v>
      </c>
      <c r="X20" s="4"/>
      <c r="Y20" s="4"/>
      <c r="Z20" s="4">
        <f>IFERROR(__xludf.DUMMYFUNCTION("""COMPUTED_VALUE"""),1.7175435270204389)</f>
        <v>1.717543527</v>
      </c>
      <c r="AA20" s="4"/>
      <c r="AB20" s="4"/>
      <c r="AC20" s="4">
        <f>IFERROR(__xludf.DUMMYFUNCTION("""COMPUTED_VALUE"""),6.24829389382603)</f>
        <v>6.248293894</v>
      </c>
      <c r="AD20" s="4"/>
      <c r="AE20" s="4"/>
      <c r="AF20" s="4">
        <f>IFERROR(__xludf.DUMMYFUNCTION("""COMPUTED_VALUE"""),4.789462329449009)</f>
        <v>4.789462329</v>
      </c>
      <c r="AG20" s="4"/>
      <c r="AH20" s="4"/>
      <c r="AI20" s="4">
        <f>IFERROR(__xludf.DUMMYFUNCTION("""COMPUTED_VALUE"""),3.2434431378102886)</f>
        <v>3.243443138</v>
      </c>
      <c r="AJ20" s="4"/>
      <c r="AK20" s="4"/>
      <c r="AL20" s="4">
        <f>IFERROR(__xludf.DUMMYFUNCTION("""COMPUTED_VALUE"""),-1.103476661632044)</f>
        <v>-1.103476662</v>
      </c>
      <c r="AM20" s="4"/>
      <c r="AN20" s="4"/>
      <c r="AO20" s="4">
        <f>IFERROR(__xludf.DUMMYFUNCTION("""COMPUTED_VALUE"""),7.335863272521522)</f>
        <v>7.335863273</v>
      </c>
      <c r="AP20" s="4"/>
      <c r="AQ20" s="4"/>
      <c r="AR20" s="4">
        <f>IFERROR(__xludf.DUMMYFUNCTION("""COMPUTED_VALUE"""),1.9051240949802377)</f>
        <v>1.905124095</v>
      </c>
      <c r="AS20" s="4"/>
      <c r="AT20" s="4"/>
      <c r="AU20" s="4">
        <f>IFERROR(__xludf.DUMMYFUNCTION("""COMPUTED_VALUE"""),-0.08263445829300053)</f>
        <v>-0.08263445829</v>
      </c>
      <c r="AV20" s="4"/>
      <c r="AW20" s="4"/>
      <c r="AX20" s="4">
        <f>IFERROR(__xludf.DUMMYFUNCTION("""COMPUTED_VALUE"""),2.7461397200087276)</f>
        <v>2.74613972</v>
      </c>
      <c r="AY20" s="4"/>
      <c r="AZ20" s="4"/>
      <c r="BA20" s="4">
        <f>IFERROR(__xludf.DUMMYFUNCTION("""COMPUTED_VALUE"""),-4.249769629250295)</f>
        <v>-4.249769629</v>
      </c>
      <c r="BB20" s="4"/>
      <c r="BC20" s="4"/>
      <c r="BD20" s="4">
        <f>IFERROR(__xludf.DUMMYFUNCTION("""COMPUTED_VALUE"""),-0.8747586119077368)</f>
        <v>-0.8747586119</v>
      </c>
      <c r="BE20" s="4"/>
      <c r="BF20" s="4"/>
      <c r="BG20" s="4">
        <f>IFERROR(__xludf.DUMMYFUNCTION("""COMPUTED_VALUE"""),2.7994278503991836)</f>
        <v>2.79942785</v>
      </c>
      <c r="BH20" s="4"/>
      <c r="BI20" s="4"/>
      <c r="BJ20" s="4"/>
      <c r="BK20" s="4"/>
    </row>
    <row r="21">
      <c r="A21" s="1">
        <v>19.0</v>
      </c>
      <c r="B21" s="4">
        <f>TRACE019!V13</f>
        <v>7.28699E+21</v>
      </c>
      <c r="C21" s="4">
        <f t="shared" si="1"/>
        <v>7.45447E+43</v>
      </c>
      <c r="D21" s="4">
        <f>IFERROR(__xludf.DUMMYFUNCTION("""COMPUTED_VALUE"""),193.76048388127978)</f>
        <v>193.7604839</v>
      </c>
      <c r="E21" s="23">
        <f>IFERROR(__xludf.DUMMYFUNCTION("""COMPUTED_VALUE"""),-0.2645768555605059)</f>
        <v>-0.2645768556</v>
      </c>
      <c r="F21" s="4"/>
      <c r="G21" s="4"/>
      <c r="H21" s="4">
        <f>IFERROR(__xludf.DUMMYFUNCTION("""COMPUTED_VALUE"""),2.8429732805099093)</f>
        <v>2.842973281</v>
      </c>
      <c r="I21" s="4"/>
      <c r="J21" s="4"/>
      <c r="K21" s="4">
        <f>IFERROR(__xludf.DUMMYFUNCTION("""COMPUTED_VALUE"""),-2.2109676188274534)</f>
        <v>-2.210967619</v>
      </c>
      <c r="L21" s="4"/>
      <c r="M21" s="4"/>
      <c r="N21" s="4">
        <f>IFERROR(__xludf.DUMMYFUNCTION("""COMPUTED_VALUE"""),-4.746859422139892)</f>
        <v>-4.746859422</v>
      </c>
      <c r="O21" s="4"/>
      <c r="P21" s="4"/>
      <c r="Q21" s="4">
        <f>IFERROR(__xludf.DUMMYFUNCTION("""COMPUTED_VALUE"""),-0.6083871425786924)</f>
        <v>-0.6083871426</v>
      </c>
      <c r="R21" s="4"/>
      <c r="S21" s="4"/>
      <c r="T21" s="4">
        <f>IFERROR(__xludf.DUMMYFUNCTION("""COMPUTED_VALUE"""),-0.6631772948391017)</f>
        <v>-0.6631772948</v>
      </c>
      <c r="U21" s="4"/>
      <c r="V21" s="4"/>
      <c r="W21" s="4">
        <f>IFERROR(__xludf.DUMMYFUNCTION("""COMPUTED_VALUE"""),-0.0022588807481156437)</f>
        <v>-0.002258880748</v>
      </c>
      <c r="X21" s="4"/>
      <c r="Y21" s="4"/>
      <c r="Z21" s="4">
        <f>IFERROR(__xludf.DUMMYFUNCTION("""COMPUTED_VALUE"""),0.39518880264938616)</f>
        <v>0.3951888026</v>
      </c>
      <c r="AA21" s="4"/>
      <c r="AB21" s="4"/>
      <c r="AC21" s="4">
        <f>IFERROR(__xludf.DUMMYFUNCTION("""COMPUTED_VALUE"""),2.1119352791959045)</f>
        <v>2.111935279</v>
      </c>
      <c r="AD21" s="4"/>
      <c r="AE21" s="4"/>
      <c r="AF21" s="4">
        <f>IFERROR(__xludf.DUMMYFUNCTION("""COMPUTED_VALUE"""),-1.2755798744839808)</f>
        <v>-1.275579874</v>
      </c>
      <c r="AG21" s="4"/>
      <c r="AH21" s="4"/>
      <c r="AI21" s="4">
        <f>IFERROR(__xludf.DUMMYFUNCTION("""COMPUTED_VALUE"""),2.9609648630079732)</f>
        <v>2.960964863</v>
      </c>
      <c r="AJ21" s="4"/>
      <c r="AK21" s="4"/>
      <c r="AL21" s="4">
        <f>IFERROR(__xludf.DUMMYFUNCTION("""COMPUTED_VALUE"""),2.3168616163797537)</f>
        <v>2.316861616</v>
      </c>
      <c r="AM21" s="4"/>
      <c r="AN21" s="4"/>
      <c r="AO21" s="4">
        <f>IFERROR(__xludf.DUMMYFUNCTION("""COMPUTED_VALUE"""),2.0432280367797375)</f>
        <v>2.043228037</v>
      </c>
      <c r="AP21" s="4"/>
      <c r="AQ21" s="4"/>
      <c r="AR21" s="4">
        <f>IFERROR(__xludf.DUMMYFUNCTION("""COMPUTED_VALUE"""),-2.3967236434575625)</f>
        <v>-2.396723643</v>
      </c>
      <c r="AS21" s="4"/>
      <c r="AT21" s="4"/>
      <c r="AU21" s="4">
        <f>IFERROR(__xludf.DUMMYFUNCTION("""COMPUTED_VALUE"""),7.13728985475251)</f>
        <v>7.137289855</v>
      </c>
      <c r="AV21" s="4"/>
      <c r="AW21" s="4"/>
      <c r="AX21" s="4">
        <f>IFERROR(__xludf.DUMMYFUNCTION("""COMPUTED_VALUE"""),0.06394276112729358)</f>
        <v>0.06394276113</v>
      </c>
      <c r="AY21" s="4"/>
      <c r="AZ21" s="4"/>
      <c r="BA21" s="4">
        <f>IFERROR(__xludf.DUMMYFUNCTION("""COMPUTED_VALUE"""),0.621323455115828)</f>
        <v>0.6213234551</v>
      </c>
      <c r="BB21" s="4"/>
      <c r="BC21" s="4"/>
      <c r="BD21" s="4">
        <f>IFERROR(__xludf.DUMMYFUNCTION("""COMPUTED_VALUE"""),4.670287373377221)</f>
        <v>4.670287373</v>
      </c>
      <c r="BE21" s="4"/>
      <c r="BF21" s="4"/>
      <c r="BG21" s="4">
        <f>IFERROR(__xludf.DUMMYFUNCTION("""COMPUTED_VALUE"""),2.088878540504595)</f>
        <v>2.088878541</v>
      </c>
      <c r="BH21" s="4"/>
      <c r="BI21" s="4"/>
      <c r="BJ21" s="4"/>
      <c r="BK21" s="4"/>
    </row>
    <row r="22">
      <c r="A22" s="1" t="s">
        <v>72</v>
      </c>
      <c r="B22" s="4">
        <f>AVERAGE(B3:B21)</f>
        <v>1.59209E+22</v>
      </c>
      <c r="C22" s="4"/>
      <c r="D22" s="4">
        <f>IFERROR(__xludf.DUMMYFUNCTION("""COMPUTED_VALUE"""),192.842187750645)</f>
        <v>192.8421878</v>
      </c>
      <c r="E22" s="23">
        <f>IFERROR(__xludf.DUMMYFUNCTION("""COMPUTED_VALUE"""),2.1586501132293847)</f>
        <v>2.158650113</v>
      </c>
      <c r="F22" s="4"/>
      <c r="G22" s="4"/>
      <c r="H22" s="4">
        <f>IFERROR(__xludf.DUMMYFUNCTION("""COMPUTED_VALUE"""),-5.426473473207352)</f>
        <v>-5.426473473</v>
      </c>
      <c r="I22" s="4"/>
      <c r="J22" s="4"/>
      <c r="K22" s="4">
        <f>IFERROR(__xludf.DUMMYFUNCTION("""COMPUTED_VALUE"""),3.116072932790132)</f>
        <v>3.116072933</v>
      </c>
      <c r="L22" s="4"/>
      <c r="M22" s="4"/>
      <c r="N22" s="4">
        <f>IFERROR(__xludf.DUMMYFUNCTION("""COMPUTED_VALUE"""),3.6080449853335494)</f>
        <v>3.608044985</v>
      </c>
      <c r="O22" s="4"/>
      <c r="P22" s="4"/>
      <c r="Q22" s="4">
        <f>IFERROR(__xludf.DUMMYFUNCTION("""COMPUTED_VALUE"""),0.8814167920587579)</f>
        <v>0.8814167921</v>
      </c>
      <c r="R22" s="4"/>
      <c r="S22" s="4"/>
      <c r="T22" s="4">
        <f>IFERROR(__xludf.DUMMYFUNCTION("""COMPUTED_VALUE"""),-2.0985729527845933)</f>
        <v>-2.098572953</v>
      </c>
      <c r="U22" s="4"/>
      <c r="V22" s="4"/>
      <c r="W22" s="4">
        <f>IFERROR(__xludf.DUMMYFUNCTION("""COMPUTED_VALUE"""),-0.42609582126664236)</f>
        <v>-0.4260958213</v>
      </c>
      <c r="X22" s="4"/>
      <c r="Y22" s="4"/>
      <c r="Z22" s="4">
        <f>IFERROR(__xludf.DUMMYFUNCTION("""COMPUTED_VALUE"""),0.4163920202485656)</f>
        <v>0.4163920202</v>
      </c>
      <c r="AA22" s="4"/>
      <c r="AB22" s="4"/>
      <c r="AC22" s="4">
        <f>IFERROR(__xludf.DUMMYFUNCTION("""COMPUTED_VALUE"""),-1.3935426488320672)</f>
        <v>-1.393542649</v>
      </c>
      <c r="AD22" s="4"/>
      <c r="AE22" s="4"/>
      <c r="AF22" s="4">
        <f>IFERROR(__xludf.DUMMYFUNCTION("""COMPUTED_VALUE"""),8.858564137571022)</f>
        <v>8.858564138</v>
      </c>
      <c r="AG22" s="4"/>
      <c r="AH22" s="4"/>
      <c r="AI22" s="4">
        <f>IFERROR(__xludf.DUMMYFUNCTION("""COMPUTED_VALUE"""),2.1262984261099405)</f>
        <v>2.126298426</v>
      </c>
      <c r="AJ22" s="4"/>
      <c r="AK22" s="4"/>
      <c r="AL22" s="4">
        <f>IFERROR(__xludf.DUMMYFUNCTION("""COMPUTED_VALUE"""),5.556378323793126)</f>
        <v>5.556378324</v>
      </c>
      <c r="AM22" s="4"/>
      <c r="AN22" s="4"/>
      <c r="AO22" s="4">
        <f>IFERROR(__xludf.DUMMYFUNCTION("""COMPUTED_VALUE"""),-2.5035636189466572)</f>
        <v>-2.503563619</v>
      </c>
      <c r="AP22" s="4"/>
      <c r="AQ22" s="4"/>
      <c r="AR22" s="4">
        <f>IFERROR(__xludf.DUMMYFUNCTION("""COMPUTED_VALUE"""),0.6823542072388591)</f>
        <v>0.6823542072</v>
      </c>
      <c r="AS22" s="4"/>
      <c r="AT22" s="4"/>
      <c r="AU22" s="4">
        <f>IFERROR(__xludf.DUMMYFUNCTION("""COMPUTED_VALUE"""),-4.059786191741239)</f>
        <v>-4.059786192</v>
      </c>
      <c r="AV22" s="4"/>
      <c r="AW22" s="4"/>
      <c r="AX22" s="4">
        <f>IFERROR(__xludf.DUMMYFUNCTION("""COMPUTED_VALUE"""),-2.5057707596929504)</f>
        <v>-2.50577076</v>
      </c>
      <c r="AY22" s="4"/>
      <c r="AZ22" s="4"/>
      <c r="BA22" s="4">
        <f>IFERROR(__xludf.DUMMYFUNCTION("""COMPUTED_VALUE"""),-1.0457307175799428)</f>
        <v>-1.045730718</v>
      </c>
      <c r="BB22" s="4"/>
      <c r="BC22" s="4"/>
      <c r="BD22" s="4">
        <f>IFERROR(__xludf.DUMMYFUNCTION("""COMPUTED_VALUE"""),5.635609186392912)</f>
        <v>5.635609186</v>
      </c>
      <c r="BE22" s="4"/>
      <c r="BF22" s="4"/>
      <c r="BG22" s="4">
        <f>IFERROR(__xludf.DUMMYFUNCTION("""COMPUTED_VALUE"""),-2.358512422059107)</f>
        <v>-2.358512422</v>
      </c>
      <c r="BH22" s="4"/>
      <c r="BI22" s="4"/>
      <c r="BJ22" s="4"/>
      <c r="BK22" s="4"/>
    </row>
    <row r="23">
      <c r="A23" s="1" t="s">
        <v>73</v>
      </c>
      <c r="B23" s="4">
        <f>SUM(C3:C21)</f>
        <v>1.25009E+45</v>
      </c>
      <c r="C23" s="4"/>
      <c r="D23" s="4">
        <f>IFERROR(__xludf.DUMMYFUNCTION("""COMPUTED_VALUE"""),191.92389161784493)</f>
        <v>191.9238916</v>
      </c>
      <c r="E23" s="23">
        <f>IFERROR(__xludf.DUMMYFUNCTION("""COMPUTED_VALUE"""),-2.210597077814384)</f>
        <v>-2.210597078</v>
      </c>
      <c r="F23" s="4"/>
      <c r="G23" s="4"/>
      <c r="H23" s="4">
        <f>IFERROR(__xludf.DUMMYFUNCTION("""COMPUTED_VALUE"""),-2.461151762202121)</f>
        <v>-2.461151762</v>
      </c>
      <c r="I23" s="4"/>
      <c r="J23" s="4"/>
      <c r="K23" s="4">
        <f>IFERROR(__xludf.DUMMYFUNCTION("""COMPUTED_VALUE"""),4.262920248457476)</f>
        <v>4.262920248</v>
      </c>
      <c r="L23" s="4"/>
      <c r="M23" s="4"/>
      <c r="N23" s="4">
        <f>IFERROR(__xludf.DUMMYFUNCTION("""COMPUTED_VALUE"""),3.1484844569980055)</f>
        <v>3.148484457</v>
      </c>
      <c r="O23" s="4"/>
      <c r="P23" s="4"/>
      <c r="Q23" s="4">
        <f>IFERROR(__xludf.DUMMYFUNCTION("""COMPUTED_VALUE"""),5.084479250947197)</f>
        <v>5.084479251</v>
      </c>
      <c r="R23" s="4"/>
      <c r="S23" s="4"/>
      <c r="T23" s="4">
        <f>IFERROR(__xludf.DUMMYFUNCTION("""COMPUTED_VALUE"""),1.1524868752670727)</f>
        <v>1.152486875</v>
      </c>
      <c r="U23" s="4"/>
      <c r="V23" s="4"/>
      <c r="W23" s="4">
        <f>IFERROR(__xludf.DUMMYFUNCTION("""COMPUTED_VALUE"""),-1.6206018781722378)</f>
        <v>-1.620601878</v>
      </c>
      <c r="X23" s="4"/>
      <c r="Y23" s="4"/>
      <c r="Z23" s="4">
        <f>IFERROR(__xludf.DUMMYFUNCTION("""COMPUTED_VALUE"""),-3.2054868809265713)</f>
        <v>-3.205486881</v>
      </c>
      <c r="AA23" s="4"/>
      <c r="AB23" s="4"/>
      <c r="AC23" s="4">
        <f>IFERROR(__xludf.DUMMYFUNCTION("""COMPUTED_VALUE"""),2.1384129042729114)</f>
        <v>2.138412904</v>
      </c>
      <c r="AD23" s="4"/>
      <c r="AE23" s="4"/>
      <c r="AF23" s="4">
        <f>IFERROR(__xludf.DUMMYFUNCTION("""COMPUTED_VALUE"""),0.40984130295890964)</f>
        <v>0.409841303</v>
      </c>
      <c r="AG23" s="4"/>
      <c r="AH23" s="4"/>
      <c r="AI23" s="4">
        <f>IFERROR(__xludf.DUMMYFUNCTION("""COMPUTED_VALUE"""),0.37495343582293117)</f>
        <v>0.3749534358</v>
      </c>
      <c r="AJ23" s="4"/>
      <c r="AK23" s="4"/>
      <c r="AL23" s="4">
        <f>IFERROR(__xludf.DUMMYFUNCTION("""COMPUTED_VALUE"""),0.277983437487876)</f>
        <v>0.2779834375</v>
      </c>
      <c r="AM23" s="4"/>
      <c r="AN23" s="4"/>
      <c r="AO23" s="4">
        <f>IFERROR(__xludf.DUMMYFUNCTION("""COMPUTED_VALUE"""),-3.0833053054269044)</f>
        <v>-3.083305305</v>
      </c>
      <c r="AP23" s="4"/>
      <c r="AQ23" s="4"/>
      <c r="AR23" s="4">
        <f>IFERROR(__xludf.DUMMYFUNCTION("""COMPUTED_VALUE"""),4.501452560389225)</f>
        <v>4.50145256</v>
      </c>
      <c r="AS23" s="4"/>
      <c r="AT23" s="4"/>
      <c r="AU23" s="4">
        <f>IFERROR(__xludf.DUMMYFUNCTION("""COMPUTED_VALUE"""),2.849416769297534)</f>
        <v>2.849416769</v>
      </c>
      <c r="AV23" s="4"/>
      <c r="AW23" s="4"/>
      <c r="AX23" s="4">
        <f>IFERROR(__xludf.DUMMYFUNCTION("""COMPUTED_VALUE"""),1.3548977375853042)</f>
        <v>1.354897738</v>
      </c>
      <c r="AY23" s="4"/>
      <c r="AZ23" s="4"/>
      <c r="BA23" s="4">
        <f>IFERROR(__xludf.DUMMYFUNCTION("""COMPUTED_VALUE"""),-4.169401000744813)</f>
        <v>-4.169401001</v>
      </c>
      <c r="BB23" s="4"/>
      <c r="BC23" s="4"/>
      <c r="BD23" s="4">
        <f>IFERROR(__xludf.DUMMYFUNCTION("""COMPUTED_VALUE"""),5.772241281296715)</f>
        <v>5.772241281</v>
      </c>
      <c r="BE23" s="4"/>
      <c r="BF23" s="4"/>
      <c r="BG23" s="4">
        <f>IFERROR(__xludf.DUMMYFUNCTION("""COMPUTED_VALUE"""),3.629630955099799)</f>
        <v>3.629630955</v>
      </c>
      <c r="BH23" s="4"/>
      <c r="BI23" s="4"/>
      <c r="BJ23" s="4"/>
      <c r="BK23" s="4"/>
    </row>
    <row r="24">
      <c r="A24" s="1" t="s">
        <v>74</v>
      </c>
      <c r="B24" s="4">
        <f>SQRT(B23/18)</f>
        <v>8.33362E+21</v>
      </c>
      <c r="C24" s="4"/>
      <c r="D24" s="4">
        <f>IFERROR(__xludf.DUMMYFUNCTION("""COMPUTED_VALUE"""),191.0055954850952)</f>
        <v>191.0055955</v>
      </c>
      <c r="E24" s="23">
        <f>IFERROR(__xludf.DUMMYFUNCTION("""COMPUTED_VALUE"""),-1.196458966495868)</f>
        <v>-1.196458966</v>
      </c>
      <c r="F24" s="4"/>
      <c r="G24" s="4"/>
      <c r="H24" s="4">
        <f>IFERROR(__xludf.DUMMYFUNCTION("""COMPUTED_VALUE"""),-1.445525100657619)</f>
        <v>-1.445525101</v>
      </c>
      <c r="I24" s="4"/>
      <c r="J24" s="4"/>
      <c r="K24" s="4">
        <f>IFERROR(__xludf.DUMMYFUNCTION("""COMPUTED_VALUE"""),-0.0709681964694937)</f>
        <v>-0.07096819647</v>
      </c>
      <c r="L24" s="4"/>
      <c r="M24" s="4"/>
      <c r="N24" s="4">
        <f>IFERROR(__xludf.DUMMYFUNCTION("""COMPUTED_VALUE"""),-6.3350898868349645)</f>
        <v>-6.335089887</v>
      </c>
      <c r="O24" s="4"/>
      <c r="P24" s="4"/>
      <c r="Q24" s="4">
        <f>IFERROR(__xludf.DUMMYFUNCTION("""COMPUTED_VALUE"""),3.9201880460935286)</f>
        <v>3.920188046</v>
      </c>
      <c r="R24" s="4"/>
      <c r="S24" s="4"/>
      <c r="T24" s="4">
        <f>IFERROR(__xludf.DUMMYFUNCTION("""COMPUTED_VALUE"""),0.7765326037066416)</f>
        <v>0.7765326037</v>
      </c>
      <c r="U24" s="4"/>
      <c r="V24" s="4"/>
      <c r="W24" s="4">
        <f>IFERROR(__xludf.DUMMYFUNCTION("""COMPUTED_VALUE"""),-4.240883914034896)</f>
        <v>-4.240883914</v>
      </c>
      <c r="X24" s="4"/>
      <c r="Y24" s="4"/>
      <c r="Z24" s="4">
        <f>IFERROR(__xludf.DUMMYFUNCTION("""COMPUTED_VALUE"""),0.21511262831779732)</f>
        <v>0.2151126283</v>
      </c>
      <c r="AA24" s="4"/>
      <c r="AB24" s="4"/>
      <c r="AC24" s="4">
        <f>IFERROR(__xludf.DUMMYFUNCTION("""COMPUTED_VALUE"""),3.5820818930225187)</f>
        <v>3.582081893</v>
      </c>
      <c r="AD24" s="4"/>
      <c r="AE24" s="4"/>
      <c r="AF24" s="4">
        <f>IFERROR(__xludf.DUMMYFUNCTION("""COMPUTED_VALUE"""),3.4162742626814406)</f>
        <v>3.416274263</v>
      </c>
      <c r="AG24" s="4"/>
      <c r="AH24" s="4"/>
      <c r="AI24" s="4">
        <f>IFERROR(__xludf.DUMMYFUNCTION("""COMPUTED_VALUE"""),-0.7361194568169935)</f>
        <v>-0.7361194568</v>
      </c>
      <c r="AJ24" s="4"/>
      <c r="AK24" s="4"/>
      <c r="AL24" s="4">
        <f>IFERROR(__xludf.DUMMYFUNCTION("""COMPUTED_VALUE"""),-3.7411869168013254)</f>
        <v>-3.741186917</v>
      </c>
      <c r="AM24" s="4"/>
      <c r="AN24" s="4"/>
      <c r="AO24" s="4">
        <f>IFERROR(__xludf.DUMMYFUNCTION("""COMPUTED_VALUE"""),1.0285883532341131)</f>
        <v>1.028588353</v>
      </c>
      <c r="AP24" s="4"/>
      <c r="AQ24" s="4"/>
      <c r="AR24" s="4">
        <f>IFERROR(__xludf.DUMMYFUNCTION("""COMPUTED_VALUE"""),-1.7626959817957868)</f>
        <v>-1.762695982</v>
      </c>
      <c r="AS24" s="4"/>
      <c r="AT24" s="4"/>
      <c r="AU24" s="4">
        <f>IFERROR(__xludf.DUMMYFUNCTION("""COMPUTED_VALUE"""),-1.6838869497021847)</f>
        <v>-1.68388695</v>
      </c>
      <c r="AV24" s="4"/>
      <c r="AW24" s="4"/>
      <c r="AX24" s="4">
        <f>IFERROR(__xludf.DUMMYFUNCTION("""COMPUTED_VALUE"""),-1.8416342885353743)</f>
        <v>-1.841634289</v>
      </c>
      <c r="AY24" s="4"/>
      <c r="AZ24" s="4"/>
      <c r="BA24" s="4">
        <f>IFERROR(__xludf.DUMMYFUNCTION("""COMPUTED_VALUE"""),0.8281089751203581)</f>
        <v>0.8281089751</v>
      </c>
      <c r="BB24" s="4"/>
      <c r="BC24" s="4"/>
      <c r="BD24" s="4">
        <f>IFERROR(__xludf.DUMMYFUNCTION("""COMPUTED_VALUE"""),4.590337243339434)</f>
        <v>4.590337243</v>
      </c>
      <c r="BE24" s="4"/>
      <c r="BF24" s="4"/>
      <c r="BG24" s="4">
        <f>IFERROR(__xludf.DUMMYFUNCTION("""COMPUTED_VALUE"""),-3.4874550047956063)</f>
        <v>-3.487455005</v>
      </c>
      <c r="BH24" s="4"/>
      <c r="BI24" s="4"/>
      <c r="BJ24" s="4"/>
      <c r="BK24" s="4"/>
    </row>
    <row r="25">
      <c r="A25" s="1" t="s">
        <v>71</v>
      </c>
      <c r="B25" s="4">
        <f>B24/SQRT(19)</f>
        <v>1.91186E+21</v>
      </c>
      <c r="C25" s="4"/>
      <c r="D25" s="4">
        <f>IFERROR(__xludf.DUMMYFUNCTION("""COMPUTED_VALUE"""),190.08729935229513)</f>
        <v>190.0872994</v>
      </c>
      <c r="E25" s="23">
        <f>IFERROR(__xludf.DUMMYFUNCTION("""COMPUTED_VALUE"""),5.34795490011129)</f>
        <v>5.3479549</v>
      </c>
      <c r="F25" s="4"/>
      <c r="G25" s="4"/>
      <c r="H25" s="4">
        <f>IFERROR(__xludf.DUMMYFUNCTION("""COMPUTED_VALUE"""),-0.7061612354243039)</f>
        <v>-0.7061612354</v>
      </c>
      <c r="I25" s="4"/>
      <c r="J25" s="4"/>
      <c r="K25" s="4">
        <f>IFERROR(__xludf.DUMMYFUNCTION("""COMPUTED_VALUE"""),-1.719452428427246)</f>
        <v>-1.719452428</v>
      </c>
      <c r="L25" s="4"/>
      <c r="M25" s="4"/>
      <c r="N25" s="4">
        <f>IFERROR(__xludf.DUMMYFUNCTION("""COMPUTED_VALUE"""),0.21168087601768093)</f>
        <v>0.211680876</v>
      </c>
      <c r="O25" s="4"/>
      <c r="P25" s="4"/>
      <c r="Q25" s="4">
        <f>IFERROR(__xludf.DUMMYFUNCTION("""COMPUTED_VALUE"""),-5.001059167046094)</f>
        <v>-5.001059167</v>
      </c>
      <c r="R25" s="4"/>
      <c r="S25" s="4"/>
      <c r="T25" s="4">
        <f>IFERROR(__xludf.DUMMYFUNCTION("""COMPUTED_VALUE"""),-1.9788045246963293)</f>
        <v>-1.978804525</v>
      </c>
      <c r="U25" s="4"/>
      <c r="V25" s="4"/>
      <c r="W25" s="4">
        <f>IFERROR(__xludf.DUMMYFUNCTION("""COMPUTED_VALUE"""),2.5449119737164665)</f>
        <v>2.544911974</v>
      </c>
      <c r="X25" s="4"/>
      <c r="Y25" s="4"/>
      <c r="Z25" s="4">
        <f>IFERROR(__xludf.DUMMYFUNCTION("""COMPUTED_VALUE"""),-0.7205211401333713)</f>
        <v>-0.7205211401</v>
      </c>
      <c r="AA25" s="4"/>
      <c r="AB25" s="4"/>
      <c r="AC25" s="4">
        <f>IFERROR(__xludf.DUMMYFUNCTION("""COMPUTED_VALUE"""),2.197645474241426)</f>
        <v>2.197645474</v>
      </c>
      <c r="AD25" s="4"/>
      <c r="AE25" s="4"/>
      <c r="AF25" s="4">
        <f>IFERROR(__xludf.DUMMYFUNCTION("""COMPUTED_VALUE"""),0.2577305384128863)</f>
        <v>0.2577305384</v>
      </c>
      <c r="AG25" s="4"/>
      <c r="AH25" s="4"/>
      <c r="AI25" s="4">
        <f>IFERROR(__xludf.DUMMYFUNCTION("""COMPUTED_VALUE"""),-0.4882780262959727)</f>
        <v>-0.4882780263</v>
      </c>
      <c r="AJ25" s="4"/>
      <c r="AK25" s="4"/>
      <c r="AL25" s="4">
        <f>IFERROR(__xludf.DUMMYFUNCTION("""COMPUTED_VALUE"""),-2.7656937533539008)</f>
        <v>-2.765693753</v>
      </c>
      <c r="AM25" s="4"/>
      <c r="AN25" s="4"/>
      <c r="AO25" s="4">
        <f>IFERROR(__xludf.DUMMYFUNCTION("""COMPUTED_VALUE"""),1.9449716495742564)</f>
        <v>1.94497165</v>
      </c>
      <c r="AP25" s="4"/>
      <c r="AQ25" s="4"/>
      <c r="AR25" s="4">
        <f>IFERROR(__xludf.DUMMYFUNCTION("""COMPUTED_VALUE"""),5.56847417252078)</f>
        <v>5.568474173</v>
      </c>
      <c r="AS25" s="4"/>
      <c r="AT25" s="4"/>
      <c r="AU25" s="4">
        <f>IFERROR(__xludf.DUMMYFUNCTION("""COMPUTED_VALUE"""),1.4315591713045706)</f>
        <v>1.431559171</v>
      </c>
      <c r="AV25" s="4"/>
      <c r="AW25" s="4"/>
      <c r="AX25" s="4">
        <f>IFERROR(__xludf.DUMMYFUNCTION("""COMPUTED_VALUE"""),3.4439115669087528)</f>
        <v>3.443911567</v>
      </c>
      <c r="AY25" s="4"/>
      <c r="AZ25" s="4"/>
      <c r="BA25" s="4">
        <f>IFERROR(__xludf.DUMMYFUNCTION("""COMPUTED_VALUE"""),-0.02561386657617959)</f>
        <v>-0.02561386658</v>
      </c>
      <c r="BB25" s="4"/>
      <c r="BC25" s="4"/>
      <c r="BD25" s="4">
        <f>IFERROR(__xludf.DUMMYFUNCTION("""COMPUTED_VALUE"""),-4.155807950943654)</f>
        <v>-4.155807951</v>
      </c>
      <c r="BE25" s="4"/>
      <c r="BF25" s="4"/>
      <c r="BG25" s="4">
        <f>IFERROR(__xludf.DUMMYFUNCTION("""COMPUTED_VALUE"""),-3.961917766914439)</f>
        <v>-3.961917767</v>
      </c>
      <c r="BH25" s="4"/>
      <c r="BI25" s="4"/>
      <c r="BJ25" s="4"/>
      <c r="BK25" s="4"/>
    </row>
    <row r="26">
      <c r="A26" s="4"/>
      <c r="B26" s="4"/>
      <c r="C26" s="4"/>
      <c r="D26" s="4">
        <f>IFERROR(__xludf.DUMMYFUNCTION("""COMPUTED_VALUE"""),189.16900322161)</f>
        <v>189.1690032</v>
      </c>
      <c r="E26" s="23">
        <f>IFERROR(__xludf.DUMMYFUNCTION("""COMPUTED_VALUE"""),0.9620131853869225)</f>
        <v>0.9620131854</v>
      </c>
      <c r="F26" s="4"/>
      <c r="G26" s="4"/>
      <c r="H26" s="4">
        <f>IFERROR(__xludf.DUMMYFUNCTION("""COMPUTED_VALUE"""),5.022348900582813)</f>
        <v>5.022348901</v>
      </c>
      <c r="I26" s="4"/>
      <c r="J26" s="4"/>
      <c r="K26" s="4">
        <f>IFERROR(__xludf.DUMMYFUNCTION("""COMPUTED_VALUE"""),3.121793791311461)</f>
        <v>3.121793791</v>
      </c>
      <c r="L26" s="4"/>
      <c r="M26" s="4"/>
      <c r="N26" s="4">
        <f>IFERROR(__xludf.DUMMYFUNCTION("""COMPUTED_VALUE"""),4.034132549971446)</f>
        <v>4.03413255</v>
      </c>
      <c r="O26" s="4"/>
      <c r="P26" s="4"/>
      <c r="Q26" s="4">
        <f>IFERROR(__xludf.DUMMYFUNCTION("""COMPUTED_VALUE"""),1.0451429617259578)</f>
        <v>1.045142962</v>
      </c>
      <c r="R26" s="4"/>
      <c r="S26" s="4"/>
      <c r="T26" s="4">
        <f>IFERROR(__xludf.DUMMYFUNCTION("""COMPUTED_VALUE"""),-2.6240474160522353)</f>
        <v>-2.624047416</v>
      </c>
      <c r="U26" s="4"/>
      <c r="V26" s="4"/>
      <c r="W26" s="4">
        <f>IFERROR(__xludf.DUMMYFUNCTION("""COMPUTED_VALUE"""),0.508354770998551)</f>
        <v>0.508354771</v>
      </c>
      <c r="X26" s="4"/>
      <c r="Y26" s="4"/>
      <c r="Z26" s="4">
        <f>IFERROR(__xludf.DUMMYFUNCTION("""COMPUTED_VALUE"""),-1.7341771977456801)</f>
        <v>-1.734177198</v>
      </c>
      <c r="AA26" s="4"/>
      <c r="AB26" s="4"/>
      <c r="AC26" s="4">
        <f>IFERROR(__xludf.DUMMYFUNCTION("""COMPUTED_VALUE"""),-1.676141373290136)</f>
        <v>-1.676141373</v>
      </c>
      <c r="AD26" s="4"/>
      <c r="AE26" s="4"/>
      <c r="AF26" s="4">
        <f>IFERROR(__xludf.DUMMYFUNCTION("""COMPUTED_VALUE"""),0.12102417284580724)</f>
        <v>0.1210241728</v>
      </c>
      <c r="AG26" s="4"/>
      <c r="AH26" s="4"/>
      <c r="AI26" s="4">
        <f>IFERROR(__xludf.DUMMYFUNCTION("""COMPUTED_VALUE"""),5.404285669708429)</f>
        <v>5.40428567</v>
      </c>
      <c r="AJ26" s="4"/>
      <c r="AK26" s="4"/>
      <c r="AL26" s="4">
        <f>IFERROR(__xludf.DUMMYFUNCTION("""COMPUTED_VALUE"""),1.5287229782395002)</f>
        <v>1.528722978</v>
      </c>
      <c r="AM26" s="4"/>
      <c r="AN26" s="4"/>
      <c r="AO26" s="4">
        <f>IFERROR(__xludf.DUMMYFUNCTION("""COMPUTED_VALUE"""),-0.1044238474935355)</f>
        <v>-0.1044238475</v>
      </c>
      <c r="AP26" s="4"/>
      <c r="AQ26" s="4"/>
      <c r="AR26" s="4">
        <f>IFERROR(__xludf.DUMMYFUNCTION("""COMPUTED_VALUE"""),0.9609335082130883)</f>
        <v>0.9609335082</v>
      </c>
      <c r="AS26" s="4"/>
      <c r="AT26" s="4"/>
      <c r="AU26" s="4">
        <f>IFERROR(__xludf.DUMMYFUNCTION("""COMPUTED_VALUE"""),-3.3249100763879937)</f>
        <v>-3.324910076</v>
      </c>
      <c r="AV26" s="4"/>
      <c r="AW26" s="4"/>
      <c r="AX26" s="4">
        <f>IFERROR(__xludf.DUMMYFUNCTION("""COMPUTED_VALUE"""),1.0320255638849858)</f>
        <v>1.032025564</v>
      </c>
      <c r="AY26" s="4"/>
      <c r="AZ26" s="4"/>
      <c r="BA26" s="4">
        <f>IFERROR(__xludf.DUMMYFUNCTION("""COMPUTED_VALUE"""),3.893136931130641)</f>
        <v>3.893136931</v>
      </c>
      <c r="BB26" s="4"/>
      <c r="BC26" s="4"/>
      <c r="BD26" s="4">
        <f>IFERROR(__xludf.DUMMYFUNCTION("""COMPUTED_VALUE"""),-2.4728849535072186)</f>
        <v>-2.472884954</v>
      </c>
      <c r="BE26" s="4"/>
      <c r="BF26" s="4"/>
      <c r="BG26" s="4">
        <f>IFERROR(__xludf.DUMMYFUNCTION("""COMPUTED_VALUE"""),0.0045189571473542856)</f>
        <v>0.004518957147</v>
      </c>
      <c r="BH26" s="4"/>
      <c r="BI26" s="4"/>
      <c r="BJ26" s="4"/>
      <c r="BK26" s="4"/>
    </row>
    <row r="27">
      <c r="A27" s="4"/>
      <c r="B27" s="4"/>
      <c r="C27" s="4"/>
      <c r="D27" s="4">
        <f>IFERROR(__xludf.DUMMYFUNCTION("""COMPUTED_VALUE"""),188.25070708886028)</f>
        <v>188.2507071</v>
      </c>
      <c r="E27" s="23">
        <f>IFERROR(__xludf.DUMMYFUNCTION("""COMPUTED_VALUE"""),0.40829340889047216)</f>
        <v>0.4082934089</v>
      </c>
      <c r="F27" s="4"/>
      <c r="G27" s="4"/>
      <c r="H27" s="4">
        <f>IFERROR(__xludf.DUMMYFUNCTION("""COMPUTED_VALUE"""),3.8393216201312725)</f>
        <v>3.83932162</v>
      </c>
      <c r="I27" s="4"/>
      <c r="J27" s="4"/>
      <c r="K27" s="4">
        <f>IFERROR(__xludf.DUMMYFUNCTION("""COMPUTED_VALUE"""),4.518689700929713)</f>
        <v>4.518689701</v>
      </c>
      <c r="L27" s="4"/>
      <c r="M27" s="4"/>
      <c r="N27" s="4">
        <f>IFERROR(__xludf.DUMMYFUNCTION("""COMPUTED_VALUE"""),3.5155843273182654)</f>
        <v>3.515584327</v>
      </c>
      <c r="O27" s="4"/>
      <c r="P27" s="4"/>
      <c r="Q27" s="4">
        <f>IFERROR(__xludf.DUMMYFUNCTION("""COMPUTED_VALUE"""),0.30893205357637044)</f>
        <v>0.3089320536</v>
      </c>
      <c r="R27" s="4"/>
      <c r="S27" s="4"/>
      <c r="T27" s="4">
        <f>IFERROR(__xludf.DUMMYFUNCTION("""COMPUTED_VALUE"""),-0.030238916802375115)</f>
        <v>-0.0302389168</v>
      </c>
      <c r="U27" s="4"/>
      <c r="V27" s="4"/>
      <c r="W27" s="4">
        <f>IFERROR(__xludf.DUMMYFUNCTION("""COMPUTED_VALUE"""),1.7249549750991946)</f>
        <v>1.724954975</v>
      </c>
      <c r="X27" s="4"/>
      <c r="Y27" s="4"/>
      <c r="Z27" s="4">
        <f>IFERROR(__xludf.DUMMYFUNCTION("""COMPUTED_VALUE"""),4.251115860682546)</f>
        <v>4.251115861</v>
      </c>
      <c r="AA27" s="4"/>
      <c r="AB27" s="4"/>
      <c r="AC27" s="4">
        <f>IFERROR(__xludf.DUMMYFUNCTION("""COMPUTED_VALUE"""),-3.1008941696177317)</f>
        <v>-3.10089417</v>
      </c>
      <c r="AD27" s="4"/>
      <c r="AE27" s="4"/>
      <c r="AF27" s="4">
        <f>IFERROR(__xludf.DUMMYFUNCTION("""COMPUTED_VALUE"""),-4.926201542184344)</f>
        <v>-4.926201542</v>
      </c>
      <c r="AG27" s="4"/>
      <c r="AH27" s="4"/>
      <c r="AI27" s="4">
        <f>IFERROR(__xludf.DUMMYFUNCTION("""COMPUTED_VALUE"""),3.2901920586324422)</f>
        <v>3.290192059</v>
      </c>
      <c r="AJ27" s="4"/>
      <c r="AK27" s="4"/>
      <c r="AL27" s="4">
        <f>IFERROR(__xludf.DUMMYFUNCTION("""COMPUTED_VALUE"""),1.9212207743782983)</f>
        <v>1.921220774</v>
      </c>
      <c r="AM27" s="4"/>
      <c r="AN27" s="4"/>
      <c r="AO27" s="4">
        <f>IFERROR(__xludf.DUMMYFUNCTION("""COMPUTED_VALUE"""),-3.948768031547104)</f>
        <v>-3.948768032</v>
      </c>
      <c r="AP27" s="4"/>
      <c r="AQ27" s="4"/>
      <c r="AR27" s="4">
        <f>IFERROR(__xludf.DUMMYFUNCTION("""COMPUTED_VALUE"""),-3.1069277337351764)</f>
        <v>-3.106927734</v>
      </c>
      <c r="AS27" s="4"/>
      <c r="AT27" s="4"/>
      <c r="AU27" s="4">
        <f>IFERROR(__xludf.DUMMYFUNCTION("""COMPUTED_VALUE"""),-3.2863599216111083)</f>
        <v>-3.286359922</v>
      </c>
      <c r="AV27" s="4"/>
      <c r="AW27" s="4"/>
      <c r="AX27" s="4">
        <f>IFERROR(__xludf.DUMMYFUNCTION("""COMPUTED_VALUE"""),-2.8704794854411375)</f>
        <v>-2.870479485</v>
      </c>
      <c r="AY27" s="4"/>
      <c r="AZ27" s="4"/>
      <c r="BA27" s="4">
        <f>IFERROR(__xludf.DUMMYFUNCTION("""COMPUTED_VALUE"""),-1.6220902721684638)</f>
        <v>-1.622090272</v>
      </c>
      <c r="BB27" s="4"/>
      <c r="BC27" s="4"/>
      <c r="BD27" s="4">
        <f>IFERROR(__xludf.DUMMYFUNCTION("""COMPUTED_VALUE"""),1.154451162443081)</f>
        <v>1.154451162</v>
      </c>
      <c r="BE27" s="4"/>
      <c r="BF27" s="4"/>
      <c r="BG27" s="4">
        <f>IFERROR(__xludf.DUMMYFUNCTION("""COMPUTED_VALUE"""),1.235979185903716)</f>
        <v>1.235979186</v>
      </c>
      <c r="BH27" s="4"/>
      <c r="BI27" s="4"/>
      <c r="BJ27" s="4"/>
      <c r="BK27" s="4"/>
    </row>
    <row r="28">
      <c r="A28" s="4"/>
      <c r="B28" s="4"/>
      <c r="C28" s="4"/>
      <c r="D28" s="4">
        <f>IFERROR(__xludf.DUMMYFUNCTION("""COMPUTED_VALUE"""),187.3324109560602)</f>
        <v>187.332411</v>
      </c>
      <c r="E28" s="23">
        <f>IFERROR(__xludf.DUMMYFUNCTION("""COMPUTED_VALUE"""),-2.4160612631570757)</f>
        <v>-2.416061263</v>
      </c>
      <c r="F28" s="4"/>
      <c r="G28" s="4"/>
      <c r="H28" s="4">
        <f>IFERROR(__xludf.DUMMYFUNCTION("""COMPUTED_VALUE"""),-2.171668885837505)</f>
        <v>-2.171668886</v>
      </c>
      <c r="I28" s="4"/>
      <c r="J28" s="4"/>
      <c r="K28" s="4">
        <f>IFERROR(__xludf.DUMMYFUNCTION("""COMPUTED_VALUE"""),0.4398177441123039)</f>
        <v>0.4398177441</v>
      </c>
      <c r="L28" s="4"/>
      <c r="M28" s="4"/>
      <c r="N28" s="4">
        <f>IFERROR(__xludf.DUMMYFUNCTION("""COMPUTED_VALUE"""),2.035465585757663)</f>
        <v>2.035465586</v>
      </c>
      <c r="O28" s="4"/>
      <c r="P28" s="4"/>
      <c r="Q28" s="4">
        <f>IFERROR(__xludf.DUMMYFUNCTION("""COMPUTED_VALUE"""),0.8468500646056327)</f>
        <v>0.8468500646</v>
      </c>
      <c r="R28" s="4"/>
      <c r="S28" s="4"/>
      <c r="T28" s="4">
        <f>IFERROR(__xludf.DUMMYFUNCTION("""COMPUTED_VALUE"""),1.3829497708390477)</f>
        <v>1.382949771</v>
      </c>
      <c r="U28" s="4"/>
      <c r="V28" s="4"/>
      <c r="W28" s="4">
        <f>IFERROR(__xludf.DUMMYFUNCTION("""COMPUTED_VALUE"""),-0.4555617465479713)</f>
        <v>-0.4555617465</v>
      </c>
      <c r="X28" s="4"/>
      <c r="Y28" s="4"/>
      <c r="Z28" s="4">
        <f>IFERROR(__xludf.DUMMYFUNCTION("""COMPUTED_VALUE"""),1.2423929948257069)</f>
        <v>1.242392995</v>
      </c>
      <c r="AA28" s="4"/>
      <c r="AB28" s="4"/>
      <c r="AC28" s="4">
        <f>IFERROR(__xludf.DUMMYFUNCTION("""COMPUTED_VALUE"""),9.549051603655357)</f>
        <v>9.549051604</v>
      </c>
      <c r="AD28" s="4"/>
      <c r="AE28" s="4"/>
      <c r="AF28" s="4">
        <f>IFERROR(__xludf.DUMMYFUNCTION("""COMPUTED_VALUE"""),0.6419465085854767)</f>
        <v>0.6419465086</v>
      </c>
      <c r="AG28" s="4"/>
      <c r="AH28" s="4"/>
      <c r="AI28" s="4">
        <f>IFERROR(__xludf.DUMMYFUNCTION("""COMPUTED_VALUE"""),2.5598400869558304)</f>
        <v>2.559840087</v>
      </c>
      <c r="AJ28" s="4"/>
      <c r="AK28" s="4"/>
      <c r="AL28" s="4">
        <f>IFERROR(__xludf.DUMMYFUNCTION("""COMPUTED_VALUE"""),2.779910862295708)</f>
        <v>2.779910862</v>
      </c>
      <c r="AM28" s="4"/>
      <c r="AN28" s="4"/>
      <c r="AO28" s="4">
        <f>IFERROR(__xludf.DUMMYFUNCTION("""COMPUTED_VALUE"""),1.0611608705237359)</f>
        <v>1.061160871</v>
      </c>
      <c r="AP28" s="4"/>
      <c r="AQ28" s="4"/>
      <c r="AR28" s="4">
        <f>IFERROR(__xludf.DUMMYFUNCTION("""COMPUTED_VALUE"""),-3.745177018600998)</f>
        <v>-3.745177019</v>
      </c>
      <c r="AS28" s="4"/>
      <c r="AT28" s="4"/>
      <c r="AU28" s="4">
        <f>IFERROR(__xludf.DUMMYFUNCTION("""COMPUTED_VALUE"""),3.25224011846052)</f>
        <v>3.252240118</v>
      </c>
      <c r="AV28" s="4"/>
      <c r="AW28" s="4"/>
      <c r="AX28" s="4">
        <f>IFERROR(__xludf.DUMMYFUNCTION("""COMPUTED_VALUE"""),5.796998432530415)</f>
        <v>5.796998433</v>
      </c>
      <c r="AY28" s="4"/>
      <c r="AZ28" s="4"/>
      <c r="BA28" s="4">
        <f>IFERROR(__xludf.DUMMYFUNCTION("""COMPUTED_VALUE"""),2.206764937310197)</f>
        <v>2.206764937</v>
      </c>
      <c r="BB28" s="4"/>
      <c r="BC28" s="4"/>
      <c r="BD28" s="4">
        <f>IFERROR(__xludf.DUMMYFUNCTION("""COMPUTED_VALUE"""),1.934924401693877)</f>
        <v>1.934924402</v>
      </c>
      <c r="BE28" s="4"/>
      <c r="BF28" s="4"/>
      <c r="BG28" s="4">
        <f>IFERROR(__xludf.DUMMYFUNCTION("""COMPUTED_VALUE"""),-4.537698746853152)</f>
        <v>-4.537698747</v>
      </c>
      <c r="BH28" s="4"/>
      <c r="BI28" s="4"/>
      <c r="BJ28" s="4"/>
      <c r="BK28" s="4"/>
    </row>
    <row r="29">
      <c r="A29" s="4"/>
      <c r="B29" s="4"/>
      <c r="C29" s="4"/>
      <c r="D29" s="4">
        <f>IFERROR(__xludf.DUMMYFUNCTION("""COMPUTED_VALUE"""),186.41411482542543)</f>
        <v>186.4141148</v>
      </c>
      <c r="E29" s="23">
        <f>IFERROR(__xludf.DUMMYFUNCTION("""COMPUTED_VALUE"""),2.5525571295079317)</f>
        <v>2.55255713</v>
      </c>
      <c r="F29" s="4"/>
      <c r="G29" s="4"/>
      <c r="H29" s="4">
        <f>IFERROR(__xludf.DUMMYFUNCTION("""COMPUTED_VALUE"""),1.8095049378260342)</f>
        <v>1.809504938</v>
      </c>
      <c r="I29" s="4"/>
      <c r="J29" s="4"/>
      <c r="K29" s="4">
        <f>IFERROR(__xludf.DUMMYFUNCTION("""COMPUTED_VALUE"""),2.0991670195081724)</f>
        <v>2.09916702</v>
      </c>
      <c r="L29" s="4"/>
      <c r="M29" s="4"/>
      <c r="N29" s="4">
        <f>IFERROR(__xludf.DUMMYFUNCTION("""COMPUTED_VALUE"""),0.8119581804195946)</f>
        <v>0.8119581804</v>
      </c>
      <c r="O29" s="4"/>
      <c r="P29" s="4"/>
      <c r="Q29" s="4">
        <f>IFERROR(__xludf.DUMMYFUNCTION("""COMPUTED_VALUE"""),9.062704410481615)</f>
        <v>9.06270441</v>
      </c>
      <c r="R29" s="4"/>
      <c r="S29" s="4"/>
      <c r="T29" s="4">
        <f>IFERROR(__xludf.DUMMYFUNCTION("""COMPUTED_VALUE"""),1.418304442018325)</f>
        <v>1.418304442</v>
      </c>
      <c r="U29" s="4"/>
      <c r="V29" s="4"/>
      <c r="W29" s="4">
        <f>IFERROR(__xludf.DUMMYFUNCTION("""COMPUTED_VALUE"""),1.907035079983018)</f>
        <v>1.90703508</v>
      </c>
      <c r="X29" s="4"/>
      <c r="Y29" s="4"/>
      <c r="Z29" s="4">
        <f>IFERROR(__xludf.DUMMYFUNCTION("""COMPUTED_VALUE"""),-0.985412740559866)</f>
        <v>-0.9854127406</v>
      </c>
      <c r="AA29" s="4"/>
      <c r="AB29" s="4"/>
      <c r="AC29" s="4">
        <f>IFERROR(__xludf.DUMMYFUNCTION("""COMPUTED_VALUE"""),7.1351314180021745)</f>
        <v>7.135131418</v>
      </c>
      <c r="AD29" s="4"/>
      <c r="AE29" s="4"/>
      <c r="AF29" s="4">
        <f>IFERROR(__xludf.DUMMYFUNCTION("""COMPUTED_VALUE"""),3.0430397178006388)</f>
        <v>3.043039718</v>
      </c>
      <c r="AG29" s="4"/>
      <c r="AH29" s="4"/>
      <c r="AI29" s="4">
        <f>IFERROR(__xludf.DUMMYFUNCTION("""COMPUTED_VALUE"""),1.5047562314885568)</f>
        <v>1.504756231</v>
      </c>
      <c r="AJ29" s="4"/>
      <c r="AK29" s="4"/>
      <c r="AL29" s="4">
        <f>IFERROR(__xludf.DUMMYFUNCTION("""COMPUTED_VALUE"""),3.084061801676796)</f>
        <v>3.084061802</v>
      </c>
      <c r="AM29" s="4"/>
      <c r="AN29" s="4"/>
      <c r="AO29" s="4">
        <f>IFERROR(__xludf.DUMMYFUNCTION("""COMPUTED_VALUE"""),1.869716964625411)</f>
        <v>1.869716965</v>
      </c>
      <c r="AP29" s="4"/>
      <c r="AQ29" s="4"/>
      <c r="AR29" s="4">
        <f>IFERROR(__xludf.DUMMYFUNCTION("""COMPUTED_VALUE"""),-3.0929156227468866)</f>
        <v>-3.092915623</v>
      </c>
      <c r="AS29" s="4"/>
      <c r="AT29" s="4"/>
      <c r="AU29" s="4">
        <f>IFERROR(__xludf.DUMMYFUNCTION("""COMPUTED_VALUE"""),-2.422627149994412)</f>
        <v>-2.42262715</v>
      </c>
      <c r="AV29" s="4"/>
      <c r="AW29" s="4"/>
      <c r="AX29" s="4">
        <f>IFERROR(__xludf.DUMMYFUNCTION("""COMPUTED_VALUE"""),3.7365739902674022)</f>
        <v>3.73657399</v>
      </c>
      <c r="AY29" s="4"/>
      <c r="AZ29" s="4"/>
      <c r="BA29" s="4">
        <f>IFERROR(__xludf.DUMMYFUNCTION("""COMPUTED_VALUE"""),0.3620220566450598)</f>
        <v>0.3620220566</v>
      </c>
      <c r="BB29" s="4"/>
      <c r="BC29" s="4"/>
      <c r="BD29" s="4">
        <f>IFERROR(__xludf.DUMMYFUNCTION("""COMPUTED_VALUE"""),3.503141385216338)</f>
        <v>3.503141385</v>
      </c>
      <c r="BE29" s="4"/>
      <c r="BF29" s="4"/>
      <c r="BG29" s="4">
        <f>IFERROR(__xludf.DUMMYFUNCTION("""COMPUTED_VALUE"""),-0.3530924716855566)</f>
        <v>-0.3530924717</v>
      </c>
      <c r="BH29" s="4"/>
      <c r="BI29" s="4"/>
      <c r="BJ29" s="4"/>
      <c r="BK29" s="4"/>
    </row>
    <row r="30">
      <c r="A30" s="4"/>
      <c r="B30" s="4"/>
      <c r="C30" s="4"/>
      <c r="D30" s="4">
        <f>IFERROR(__xludf.DUMMYFUNCTION("""COMPUTED_VALUE"""),185.49581869262536)</f>
        <v>185.4958187</v>
      </c>
      <c r="E30" s="23">
        <f>IFERROR(__xludf.DUMMYFUNCTION("""COMPUTED_VALUE"""),-1.2204591125702677)</f>
        <v>-1.220459113</v>
      </c>
      <c r="F30" s="4"/>
      <c r="G30" s="4"/>
      <c r="H30" s="4">
        <f>IFERROR(__xludf.DUMMYFUNCTION("""COMPUTED_VALUE"""),-0.1946826372002306)</f>
        <v>-0.1946826372</v>
      </c>
      <c r="I30" s="4"/>
      <c r="J30" s="4"/>
      <c r="K30" s="4">
        <f>IFERROR(__xludf.DUMMYFUNCTION("""COMPUTED_VALUE"""),-1.1128508058073976)</f>
        <v>-1.112850806</v>
      </c>
      <c r="L30" s="4"/>
      <c r="M30" s="4"/>
      <c r="N30" s="4">
        <f>IFERROR(__xludf.DUMMYFUNCTION("""COMPUTED_VALUE"""),-0.3308108044242317)</f>
        <v>-0.3308108044</v>
      </c>
      <c r="O30" s="4"/>
      <c r="P30" s="4"/>
      <c r="Q30" s="4">
        <f>IFERROR(__xludf.DUMMYFUNCTION("""COMPUTED_VALUE"""),0.5478913632798026)</f>
        <v>0.5478913633</v>
      </c>
      <c r="R30" s="4"/>
      <c r="S30" s="4"/>
      <c r="T30" s="4">
        <f>IFERROR(__xludf.DUMMYFUNCTION("""COMPUTED_VALUE"""),0.41584441043880815)</f>
        <v>0.4158444104</v>
      </c>
      <c r="U30" s="4"/>
      <c r="V30" s="4"/>
      <c r="W30" s="4">
        <f>IFERROR(__xludf.DUMMYFUNCTION("""COMPUTED_VALUE"""),-0.10505486585566359)</f>
        <v>-0.1050548659</v>
      </c>
      <c r="X30" s="4"/>
      <c r="Y30" s="4"/>
      <c r="Z30" s="4">
        <f>IFERROR(__xludf.DUMMYFUNCTION("""COMPUTED_VALUE"""),3.113651216868675)</f>
        <v>3.113651217</v>
      </c>
      <c r="AA30" s="4"/>
      <c r="AB30" s="4"/>
      <c r="AC30" s="4">
        <f>IFERROR(__xludf.DUMMYFUNCTION("""COMPUTED_VALUE"""),-3.575979797326056)</f>
        <v>-3.575979797</v>
      </c>
      <c r="AD30" s="4"/>
      <c r="AE30" s="4"/>
      <c r="AF30" s="4">
        <f>IFERROR(__xludf.DUMMYFUNCTION("""COMPUTED_VALUE"""),0.3319902985301155)</f>
        <v>0.3319902985</v>
      </c>
      <c r="AG30" s="4"/>
      <c r="AH30" s="4"/>
      <c r="AI30" s="4">
        <f>IFERROR(__xludf.DUMMYFUNCTION("""COMPUTED_VALUE"""),2.408398842737995)</f>
        <v>2.408398843</v>
      </c>
      <c r="AJ30" s="4"/>
      <c r="AK30" s="4"/>
      <c r="AL30" s="4">
        <f>IFERROR(__xludf.DUMMYFUNCTION("""COMPUTED_VALUE"""),-0.2962809369370234)</f>
        <v>-0.2962809369</v>
      </c>
      <c r="AM30" s="4"/>
      <c r="AN30" s="4"/>
      <c r="AO30" s="4">
        <f>IFERROR(__xludf.DUMMYFUNCTION("""COMPUTED_VALUE"""),-1.4736025414934488)</f>
        <v>-1.473602541</v>
      </c>
      <c r="AP30" s="4"/>
      <c r="AQ30" s="4"/>
      <c r="AR30" s="4">
        <f>IFERROR(__xludf.DUMMYFUNCTION("""COMPUTED_VALUE"""),-1.0730321494414738)</f>
        <v>-1.073032149</v>
      </c>
      <c r="AS30" s="4"/>
      <c r="AT30" s="4"/>
      <c r="AU30" s="4">
        <f>IFERROR(__xludf.DUMMYFUNCTION("""COMPUTED_VALUE"""),3.092355355911536)</f>
        <v>3.092355356</v>
      </c>
      <c r="AV30" s="4"/>
      <c r="AW30" s="4"/>
      <c r="AX30" s="4">
        <f>IFERROR(__xludf.DUMMYFUNCTION("""COMPUTED_VALUE"""),-5.127045942656196)</f>
        <v>-5.127045943</v>
      </c>
      <c r="AY30" s="4"/>
      <c r="AZ30" s="4"/>
      <c r="BA30" s="4">
        <f>IFERROR(__xludf.DUMMYFUNCTION("""COMPUTED_VALUE"""),1.2580309594844152)</f>
        <v>1.258030959</v>
      </c>
      <c r="BB30" s="4"/>
      <c r="BC30" s="4"/>
      <c r="BD30" s="4">
        <f>IFERROR(__xludf.DUMMYFUNCTION("""COMPUTED_VALUE"""),-0.4903070248392396)</f>
        <v>-0.4903070248</v>
      </c>
      <c r="BE30" s="4"/>
      <c r="BF30" s="4"/>
      <c r="BG30" s="4">
        <f>IFERROR(__xludf.DUMMYFUNCTION("""COMPUTED_VALUE"""),-1.8914654107682622)</f>
        <v>-1.891465411</v>
      </c>
      <c r="BH30" s="4"/>
      <c r="BI30" s="4"/>
      <c r="BJ30" s="4"/>
      <c r="BK30" s="4"/>
    </row>
    <row r="31">
      <c r="A31" s="4"/>
      <c r="B31" s="4"/>
      <c r="C31" s="4"/>
      <c r="D31" s="4">
        <f>IFERROR(__xludf.DUMMYFUNCTION("""COMPUTED_VALUE"""),184.5775225598253)</f>
        <v>184.5775226</v>
      </c>
      <c r="E31" s="23">
        <f>IFERROR(__xludf.DUMMYFUNCTION("""COMPUTED_VALUE"""),1.089040178274388)</f>
        <v>1.089040178</v>
      </c>
      <c r="F31" s="4"/>
      <c r="G31" s="4"/>
      <c r="H31" s="4">
        <f>IFERROR(__xludf.DUMMYFUNCTION("""COMPUTED_VALUE"""),-3.3554103931921304)</f>
        <v>-3.355410393</v>
      </c>
      <c r="I31" s="4"/>
      <c r="J31" s="4"/>
      <c r="K31" s="4">
        <f>IFERROR(__xludf.DUMMYFUNCTION("""COMPUTED_VALUE"""),-0.3228079525553653)</f>
        <v>-0.3228079526</v>
      </c>
      <c r="L31" s="4"/>
      <c r="M31" s="4"/>
      <c r="N31" s="4">
        <f>IFERROR(__xludf.DUMMYFUNCTION("""COMPUTED_VALUE"""),-3.5336671700226248)</f>
        <v>-3.53366717</v>
      </c>
      <c r="O31" s="4"/>
      <c r="P31" s="4"/>
      <c r="Q31" s="4">
        <f>IFERROR(__xludf.DUMMYFUNCTION("""COMPUTED_VALUE"""),5.148750653681532)</f>
        <v>5.148750654</v>
      </c>
      <c r="R31" s="4"/>
      <c r="S31" s="4"/>
      <c r="T31" s="4">
        <f>IFERROR(__xludf.DUMMYFUNCTION("""COMPUTED_VALUE"""),-2.095401375942572)</f>
        <v>-2.095401376</v>
      </c>
      <c r="U31" s="4"/>
      <c r="V31" s="4"/>
      <c r="W31" s="4">
        <f>IFERROR(__xludf.DUMMYFUNCTION("""COMPUTED_VALUE"""),-3.8431176204675808)</f>
        <v>-3.84311762</v>
      </c>
      <c r="X31" s="4"/>
      <c r="Y31" s="4"/>
      <c r="Z31" s="4">
        <f>IFERROR(__xludf.DUMMYFUNCTION("""COMPUTED_VALUE"""),-7.517564365720261)</f>
        <v>-7.517564366</v>
      </c>
      <c r="AA31" s="4"/>
      <c r="AB31" s="4"/>
      <c r="AC31" s="4">
        <f>IFERROR(__xludf.DUMMYFUNCTION("""COMPUTED_VALUE"""),-6.7182091073112815)</f>
        <v>-6.718209107</v>
      </c>
      <c r="AD31" s="4"/>
      <c r="AE31" s="4"/>
      <c r="AF31" s="4">
        <f>IFERROR(__xludf.DUMMYFUNCTION("""COMPUTED_VALUE"""),0.5560185257072021)</f>
        <v>0.5560185257</v>
      </c>
      <c r="AG31" s="4"/>
      <c r="AH31" s="4"/>
      <c r="AI31" s="4">
        <f>IFERROR(__xludf.DUMMYFUNCTION("""COMPUTED_VALUE"""),-1.4369007754773975)</f>
        <v>-1.436900775</v>
      </c>
      <c r="AJ31" s="4"/>
      <c r="AK31" s="4"/>
      <c r="AL31" s="4">
        <f>IFERROR(__xludf.DUMMYFUNCTION("""COMPUTED_VALUE"""),1.241513408524554)</f>
        <v>1.241513409</v>
      </c>
      <c r="AM31" s="4"/>
      <c r="AN31" s="4"/>
      <c r="AO31" s="4">
        <f>IFERROR(__xludf.DUMMYFUNCTION("""COMPUTED_VALUE"""),-0.9060135125982356)</f>
        <v>-0.9060135126</v>
      </c>
      <c r="AP31" s="4"/>
      <c r="AQ31" s="4"/>
      <c r="AR31" s="4">
        <f>IFERROR(__xludf.DUMMYFUNCTION("""COMPUTED_VALUE"""),-8.134590367351848)</f>
        <v>-8.134590367</v>
      </c>
      <c r="AS31" s="4"/>
      <c r="AT31" s="4"/>
      <c r="AU31" s="4">
        <f>IFERROR(__xludf.DUMMYFUNCTION("""COMPUTED_VALUE"""),-2.9862400178086546)</f>
        <v>-2.986240018</v>
      </c>
      <c r="AV31" s="4"/>
      <c r="AW31" s="4"/>
      <c r="AX31" s="4">
        <f>IFERROR(__xludf.DUMMYFUNCTION("""COMPUTED_VALUE"""),2.9834393699689485)</f>
        <v>2.98343937</v>
      </c>
      <c r="AY31" s="4"/>
      <c r="AZ31" s="4"/>
      <c r="BA31" s="4">
        <f>IFERROR(__xludf.DUMMYFUNCTION("""COMPUTED_VALUE"""),-1.284043598859796)</f>
        <v>-1.284043599</v>
      </c>
      <c r="BB31" s="4"/>
      <c r="BC31" s="4"/>
      <c r="BD31" s="4">
        <f>IFERROR(__xludf.DUMMYFUNCTION("""COMPUTED_VALUE"""),-6.837210172855123)</f>
        <v>-6.837210173</v>
      </c>
      <c r="BE31" s="4"/>
      <c r="BF31" s="4"/>
      <c r="BG31" s="4">
        <f>IFERROR(__xludf.DUMMYFUNCTION("""COMPUTED_VALUE"""),-2.6549020090185422)</f>
        <v>-2.654902009</v>
      </c>
      <c r="BH31" s="4"/>
      <c r="BI31" s="4"/>
      <c r="BJ31" s="4"/>
      <c r="BK31" s="4"/>
    </row>
    <row r="32">
      <c r="A32" s="4"/>
      <c r="B32" s="4"/>
      <c r="C32" s="4"/>
      <c r="D32" s="4">
        <f>IFERROR(__xludf.DUMMYFUNCTION("""COMPUTED_VALUE"""),183.6592264291905)</f>
        <v>183.6592264</v>
      </c>
      <c r="E32" s="23">
        <f>IFERROR(__xludf.DUMMYFUNCTION("""COMPUTED_VALUE"""),1.63834191879954)</f>
        <v>1.638341919</v>
      </c>
      <c r="F32" s="4"/>
      <c r="G32" s="4"/>
      <c r="H32" s="4">
        <f>IFERROR(__xludf.DUMMYFUNCTION("""COMPUTED_VALUE"""),-1.8217140785167203)</f>
        <v>-1.821714079</v>
      </c>
      <c r="I32" s="4"/>
      <c r="J32" s="4"/>
      <c r="K32" s="4">
        <f>IFERROR(__xludf.DUMMYFUNCTION("""COMPUTED_VALUE"""),0.1149823048887697)</f>
        <v>0.1149823049</v>
      </c>
      <c r="L32" s="4"/>
      <c r="M32" s="4"/>
      <c r="N32" s="4">
        <f>IFERROR(__xludf.DUMMYFUNCTION("""COMPUTED_VALUE"""),-8.165655549959865)</f>
        <v>-8.16565555</v>
      </c>
      <c r="O32" s="4"/>
      <c r="P32" s="4"/>
      <c r="Q32" s="4">
        <f>IFERROR(__xludf.DUMMYFUNCTION("""COMPUTED_VALUE"""),-4.2754393635052566)</f>
        <v>-4.275439364</v>
      </c>
      <c r="R32" s="4"/>
      <c r="S32" s="4"/>
      <c r="T32" s="4">
        <f>IFERROR(__xludf.DUMMYFUNCTION("""COMPUTED_VALUE"""),-0.7082102681532092)</f>
        <v>-0.7082102682</v>
      </c>
      <c r="U32" s="4"/>
      <c r="V32" s="4"/>
      <c r="W32" s="4">
        <f>IFERROR(__xludf.DUMMYFUNCTION("""COMPUTED_VALUE"""),8.51371787678005)</f>
        <v>8.513717877</v>
      </c>
      <c r="X32" s="4"/>
      <c r="Y32" s="4"/>
      <c r="Z32" s="4">
        <f>IFERROR(__xludf.DUMMYFUNCTION("""COMPUTED_VALUE"""),-4.288045774746024)</f>
        <v>-4.288045775</v>
      </c>
      <c r="AA32" s="4"/>
      <c r="AB32" s="4"/>
      <c r="AC32" s="4">
        <f>IFERROR(__xludf.DUMMYFUNCTION("""COMPUTED_VALUE"""),-2.2036309802418828)</f>
        <v>-2.20363098</v>
      </c>
      <c r="AD32" s="4"/>
      <c r="AE32" s="4"/>
      <c r="AF32" s="4">
        <f>IFERROR(__xludf.DUMMYFUNCTION("""COMPUTED_VALUE"""),0.41207949791993315)</f>
        <v>0.4120794979</v>
      </c>
      <c r="AG32" s="4"/>
      <c r="AH32" s="4"/>
      <c r="AI32" s="4">
        <f>IFERROR(__xludf.DUMMYFUNCTION("""COMPUTED_VALUE"""),2.3637504105294624)</f>
        <v>2.363750411</v>
      </c>
      <c r="AJ32" s="4"/>
      <c r="AK32" s="4"/>
      <c r="AL32" s="4">
        <f>IFERROR(__xludf.DUMMYFUNCTION("""COMPUTED_VALUE"""),2.9118206780457285)</f>
        <v>2.911820678</v>
      </c>
      <c r="AM32" s="4"/>
      <c r="AN32" s="4"/>
      <c r="AO32" s="4">
        <f>IFERROR(__xludf.DUMMYFUNCTION("""COMPUTED_VALUE"""),1.761372950762734)</f>
        <v>1.761372951</v>
      </c>
      <c r="AP32" s="4"/>
      <c r="AQ32" s="4"/>
      <c r="AR32" s="4">
        <f>IFERROR(__xludf.DUMMYFUNCTION("""COMPUTED_VALUE"""),0.6429593922836716)</f>
        <v>0.6429593923</v>
      </c>
      <c r="AS32" s="4"/>
      <c r="AT32" s="4"/>
      <c r="AU32" s="4">
        <f>IFERROR(__xludf.DUMMYFUNCTION("""COMPUTED_VALUE"""),-1.9999528711323364)</f>
        <v>-1.999952871</v>
      </c>
      <c r="AV32" s="4"/>
      <c r="AW32" s="4"/>
      <c r="AX32" s="4">
        <f>IFERROR(__xludf.DUMMYFUNCTION("""COMPUTED_VALUE"""),0.7895002513129725)</f>
        <v>0.7895002513</v>
      </c>
      <c r="AY32" s="4"/>
      <c r="AZ32" s="4"/>
      <c r="BA32" s="4">
        <f>IFERROR(__xludf.DUMMYFUNCTION("""COMPUTED_VALUE"""),-0.15943190885570857)</f>
        <v>-0.1594319089</v>
      </c>
      <c r="BB32" s="4"/>
      <c r="BC32" s="4"/>
      <c r="BD32" s="4">
        <f>IFERROR(__xludf.DUMMYFUNCTION("""COMPUTED_VALUE"""),-0.6701059535537865)</f>
        <v>-0.6701059536</v>
      </c>
      <c r="BE32" s="4"/>
      <c r="BF32" s="4"/>
      <c r="BG32" s="4">
        <f>IFERROR(__xludf.DUMMYFUNCTION("""COMPUTED_VALUE"""),-3.45827911552675)</f>
        <v>-3.458279116</v>
      </c>
      <c r="BH32" s="4"/>
      <c r="BI32" s="4"/>
      <c r="BJ32" s="4"/>
      <c r="BK32" s="4"/>
    </row>
    <row r="33">
      <c r="A33" s="4"/>
      <c r="B33" s="4"/>
      <c r="C33" s="4"/>
      <c r="D33" s="4">
        <f>IFERROR(__xludf.DUMMYFUNCTION("""COMPUTED_VALUE"""),182.74093029639045)</f>
        <v>182.7409303</v>
      </c>
      <c r="E33" s="23">
        <f>IFERROR(__xludf.DUMMYFUNCTION("""COMPUTED_VALUE"""),5.109416949448189)</f>
        <v>5.109416949</v>
      </c>
      <c r="F33" s="4"/>
      <c r="G33" s="4"/>
      <c r="H33" s="4">
        <f>IFERROR(__xludf.DUMMYFUNCTION("""COMPUTED_VALUE"""),0.6731312230522803)</f>
        <v>0.6731312231</v>
      </c>
      <c r="I33" s="4"/>
      <c r="J33" s="4"/>
      <c r="K33" s="4">
        <f>IFERROR(__xludf.DUMMYFUNCTION("""COMPUTED_VALUE"""),0.03112499359559706)</f>
        <v>0.0311249936</v>
      </c>
      <c r="L33" s="4"/>
      <c r="M33" s="4"/>
      <c r="N33" s="4">
        <f>IFERROR(__xludf.DUMMYFUNCTION("""COMPUTED_VALUE"""),-9.576551522732984)</f>
        <v>-9.576551523</v>
      </c>
      <c r="O33" s="4"/>
      <c r="P33" s="4"/>
      <c r="Q33" s="4">
        <f>IFERROR(__xludf.DUMMYFUNCTION("""COMPUTED_VALUE"""),0.758221620308916)</f>
        <v>0.7582216203</v>
      </c>
      <c r="R33" s="4"/>
      <c r="S33" s="4"/>
      <c r="T33" s="4">
        <f>IFERROR(__xludf.DUMMYFUNCTION("""COMPUTED_VALUE"""),-6.288974712654181)</f>
        <v>-6.288974713</v>
      </c>
      <c r="U33" s="4"/>
      <c r="V33" s="4"/>
      <c r="W33" s="4">
        <f>IFERROR(__xludf.DUMMYFUNCTION("""COMPUTED_VALUE"""),2.293159205505333)</f>
        <v>2.293159206</v>
      </c>
      <c r="X33" s="4"/>
      <c r="Y33" s="4"/>
      <c r="Z33" s="4">
        <f>IFERROR(__xludf.DUMMYFUNCTION("""COMPUTED_VALUE"""),-2.5168589350757316)</f>
        <v>-2.516858935</v>
      </c>
      <c r="AA33" s="4"/>
      <c r="AB33" s="4"/>
      <c r="AC33" s="4">
        <f>IFERROR(__xludf.DUMMYFUNCTION("""COMPUTED_VALUE"""),0.18120246560937403)</f>
        <v>0.1812024656</v>
      </c>
      <c r="AD33" s="4"/>
      <c r="AE33" s="4"/>
      <c r="AF33" s="4">
        <f>IFERROR(__xludf.DUMMYFUNCTION("""COMPUTED_VALUE"""),-3.2332053072933036)</f>
        <v>-3.233205307</v>
      </c>
      <c r="AG33" s="4"/>
      <c r="AH33" s="4"/>
      <c r="AI33" s="4">
        <f>IFERROR(__xludf.DUMMYFUNCTION("""COMPUTED_VALUE"""),-1.7881939453302493)</f>
        <v>-1.788193945</v>
      </c>
      <c r="AJ33" s="4"/>
      <c r="AK33" s="4"/>
      <c r="AL33" s="4">
        <f>IFERROR(__xludf.DUMMYFUNCTION("""COMPUTED_VALUE"""),2.747362074925661)</f>
        <v>2.747362075</v>
      </c>
      <c r="AM33" s="4"/>
      <c r="AN33" s="4"/>
      <c r="AO33" s="4">
        <f>IFERROR(__xludf.DUMMYFUNCTION("""COMPUTED_VALUE"""),1.617398622637495)</f>
        <v>1.617398623</v>
      </c>
      <c r="AP33" s="4"/>
      <c r="AQ33" s="4"/>
      <c r="AR33" s="4">
        <f>IFERROR(__xludf.DUMMYFUNCTION("""COMPUTED_VALUE"""),3.8335570060027635)</f>
        <v>3.833557006</v>
      </c>
      <c r="AS33" s="4"/>
      <c r="AT33" s="4"/>
      <c r="AU33" s="4">
        <f>IFERROR(__xludf.DUMMYFUNCTION("""COMPUTED_VALUE"""),-1.0019740051579902)</f>
        <v>-1.001974005</v>
      </c>
      <c r="AV33" s="4"/>
      <c r="AW33" s="4"/>
      <c r="AX33" s="4">
        <f>IFERROR(__xludf.DUMMYFUNCTION("""COMPUTED_VALUE"""),0.9572127494569145)</f>
        <v>0.9572127495</v>
      </c>
      <c r="AY33" s="4"/>
      <c r="AZ33" s="4"/>
      <c r="BA33" s="4">
        <f>IFERROR(__xludf.DUMMYFUNCTION("""COMPUTED_VALUE"""),-2.8375866524941102)</f>
        <v>-2.837586652</v>
      </c>
      <c r="BB33" s="4"/>
      <c r="BC33" s="4"/>
      <c r="BD33" s="4">
        <f>IFERROR(__xludf.DUMMYFUNCTION("""COMPUTED_VALUE"""),-3.080961913637964)</f>
        <v>-3.080961914</v>
      </c>
      <c r="BE33" s="4"/>
      <c r="BF33" s="4"/>
      <c r="BG33" s="4">
        <f>IFERROR(__xludf.DUMMYFUNCTION("""COMPUTED_VALUE"""),-7.195165820833665)</f>
        <v>-7.195165821</v>
      </c>
      <c r="BH33" s="4"/>
      <c r="BI33" s="4"/>
      <c r="BJ33" s="4"/>
      <c r="BK33" s="4"/>
    </row>
    <row r="34">
      <c r="A34" s="4"/>
      <c r="B34" s="4"/>
      <c r="C34" s="4"/>
      <c r="D34" s="4">
        <f>IFERROR(__xludf.DUMMYFUNCTION("""COMPUTED_VALUE"""),181.8226341636407)</f>
        <v>181.8226342</v>
      </c>
      <c r="E34" s="23">
        <f>IFERROR(__xludf.DUMMYFUNCTION("""COMPUTED_VALUE"""),1.8294473096858042)</f>
        <v>1.82944731</v>
      </c>
      <c r="F34" s="4"/>
      <c r="G34" s="4"/>
      <c r="H34" s="4">
        <f>IFERROR(__xludf.DUMMYFUNCTION("""COMPUTED_VALUE"""),-2.6220736416738646)</f>
        <v>-2.622073642</v>
      </c>
      <c r="I34" s="4"/>
      <c r="J34" s="4"/>
      <c r="K34" s="4">
        <f>IFERROR(__xludf.DUMMYFUNCTION("""COMPUTED_VALUE"""),1.0474094206070959)</f>
        <v>1.047409421</v>
      </c>
      <c r="L34" s="4"/>
      <c r="M34" s="4"/>
      <c r="N34" s="4">
        <f>IFERROR(__xludf.DUMMYFUNCTION("""COMPUTED_VALUE"""),-8.962827354353806)</f>
        <v>-8.962827354</v>
      </c>
      <c r="O34" s="4"/>
      <c r="P34" s="4"/>
      <c r="Q34" s="4">
        <f>IFERROR(__xludf.DUMMYFUNCTION("""COMPUTED_VALUE"""),2.3911120335534974)</f>
        <v>2.391112034</v>
      </c>
      <c r="R34" s="4"/>
      <c r="S34" s="4"/>
      <c r="T34" s="4">
        <f>IFERROR(__xludf.DUMMYFUNCTION("""COMPUTED_VALUE"""),-0.5513255138460522)</f>
        <v>-0.5513255138</v>
      </c>
      <c r="U34" s="4"/>
      <c r="V34" s="4"/>
      <c r="W34" s="4">
        <f>IFERROR(__xludf.DUMMYFUNCTION("""COMPUTED_VALUE"""),-4.42928056736406)</f>
        <v>-4.429280567</v>
      </c>
      <c r="X34" s="4"/>
      <c r="Y34" s="4"/>
      <c r="Z34" s="4">
        <f>IFERROR(__xludf.DUMMYFUNCTION("""COMPUTED_VALUE"""),-2.1146571129567064)</f>
        <v>-2.114657113</v>
      </c>
      <c r="AA34" s="4"/>
      <c r="AB34" s="4"/>
      <c r="AC34" s="4">
        <f>IFERROR(__xludf.DUMMYFUNCTION("""COMPUTED_VALUE"""),4.0868169098639555)</f>
        <v>4.08681691</v>
      </c>
      <c r="AD34" s="4"/>
      <c r="AE34" s="4"/>
      <c r="AF34" s="4">
        <f>IFERROR(__xludf.DUMMYFUNCTION("""COMPUTED_VALUE"""),-4.835268929239248)</f>
        <v>-4.835268929</v>
      </c>
      <c r="AG34" s="4"/>
      <c r="AH34" s="4"/>
      <c r="AI34" s="4">
        <f>IFERROR(__xludf.DUMMYFUNCTION("""COMPUTED_VALUE"""),-0.9286772950082991)</f>
        <v>-0.928677295</v>
      </c>
      <c r="AJ34" s="4"/>
      <c r="AK34" s="4"/>
      <c r="AL34" s="4">
        <f>IFERROR(__xludf.DUMMYFUNCTION("""COMPUTED_VALUE"""),-0.4423001375068907)</f>
        <v>-0.4423001375</v>
      </c>
      <c r="AM34" s="4"/>
      <c r="AN34" s="4"/>
      <c r="AO34" s="4">
        <f>IFERROR(__xludf.DUMMYFUNCTION("""COMPUTED_VALUE"""),7.184526326791797)</f>
        <v>7.184526327</v>
      </c>
      <c r="AP34" s="4"/>
      <c r="AQ34" s="4"/>
      <c r="AR34" s="4">
        <f>IFERROR(__xludf.DUMMYFUNCTION("""COMPUTED_VALUE"""),-3.08977819272377)</f>
        <v>-3.089778193</v>
      </c>
      <c r="AS34" s="4"/>
      <c r="AT34" s="4"/>
      <c r="AU34" s="4">
        <f>IFERROR(__xludf.DUMMYFUNCTION("""COMPUTED_VALUE"""),-3.1931916905653566)</f>
        <v>-3.193191691</v>
      </c>
      <c r="AV34" s="4"/>
      <c r="AW34" s="4"/>
      <c r="AX34" s="4">
        <f>IFERROR(__xludf.DUMMYFUNCTION("""COMPUTED_VALUE"""),2.3374633250199963)</f>
        <v>2.337463325</v>
      </c>
      <c r="AY34" s="4"/>
      <c r="AZ34" s="4"/>
      <c r="BA34" s="4">
        <f>IFERROR(__xludf.DUMMYFUNCTION("""COMPUTED_VALUE"""),1.065315135817798)</f>
        <v>1.065315136</v>
      </c>
      <c r="BB34" s="4"/>
      <c r="BC34" s="4"/>
      <c r="BD34" s="4">
        <f>IFERROR(__xludf.DUMMYFUNCTION("""COMPUTED_VALUE"""),-5.3945583633546335)</f>
        <v>-5.394558363</v>
      </c>
      <c r="BE34" s="4"/>
      <c r="BF34" s="4"/>
      <c r="BG34" s="4">
        <f>IFERROR(__xludf.DUMMYFUNCTION("""COMPUTED_VALUE"""),-4.002848600348557)</f>
        <v>-4.0028486</v>
      </c>
      <c r="BH34" s="4"/>
      <c r="BI34" s="4"/>
      <c r="BJ34" s="4"/>
      <c r="BK34" s="4"/>
    </row>
    <row r="35">
      <c r="A35" s="4"/>
      <c r="B35" s="4"/>
      <c r="C35" s="4"/>
      <c r="D35" s="4">
        <f>IFERROR(__xludf.DUMMYFUNCTION("""COMPUTED_VALUE"""),180.90433803084065)</f>
        <v>180.904338</v>
      </c>
      <c r="E35" s="23">
        <f>IFERROR(__xludf.DUMMYFUNCTION("""COMPUTED_VALUE"""),-6.301918154782413)</f>
        <v>-6.301918155</v>
      </c>
      <c r="F35" s="4"/>
      <c r="G35" s="4"/>
      <c r="H35" s="4">
        <f>IFERROR(__xludf.DUMMYFUNCTION("""COMPUTED_VALUE"""),-2.830377014563908)</f>
        <v>-2.830377015</v>
      </c>
      <c r="I35" s="4"/>
      <c r="J35" s="4"/>
      <c r="K35" s="4">
        <f>IFERROR(__xludf.DUMMYFUNCTION("""COMPUTED_VALUE"""),-3.280162817435894)</f>
        <v>-3.280162817</v>
      </c>
      <c r="L35" s="4"/>
      <c r="M35" s="4"/>
      <c r="N35" s="4">
        <f>IFERROR(__xludf.DUMMYFUNCTION("""COMPUTED_VALUE"""),6.305544465615924)</f>
        <v>6.305544466</v>
      </c>
      <c r="O35" s="4"/>
      <c r="P35" s="4"/>
      <c r="Q35" s="4">
        <f>IFERROR(__xludf.DUMMYFUNCTION("""COMPUTED_VALUE"""),-4.163723800678952)</f>
        <v>-4.163723801</v>
      </c>
      <c r="R35" s="4"/>
      <c r="S35" s="4"/>
      <c r="T35" s="4">
        <f>IFERROR(__xludf.DUMMYFUNCTION("""COMPUTED_VALUE"""),0.2904134007860648)</f>
        <v>0.2904134008</v>
      </c>
      <c r="U35" s="4"/>
      <c r="V35" s="4"/>
      <c r="W35" s="4">
        <f>IFERROR(__xludf.DUMMYFUNCTION("""COMPUTED_VALUE"""),0.2966027882873732)</f>
        <v>0.2966027883</v>
      </c>
      <c r="X35" s="4"/>
      <c r="Y35" s="4"/>
      <c r="Z35" s="4">
        <f>IFERROR(__xludf.DUMMYFUNCTION("""COMPUTED_VALUE"""),-2.4335776508028175)</f>
        <v>-2.433577651</v>
      </c>
      <c r="AA35" s="4"/>
      <c r="AB35" s="4"/>
      <c r="AC35" s="4">
        <f>IFERROR(__xludf.DUMMYFUNCTION("""COMPUTED_VALUE"""),-4.4058834238567215)</f>
        <v>-4.405883424</v>
      </c>
      <c r="AD35" s="4"/>
      <c r="AE35" s="4"/>
      <c r="AF35" s="4">
        <f>IFERROR(__xludf.DUMMYFUNCTION("""COMPUTED_VALUE"""),2.9779062728389363)</f>
        <v>2.977906273</v>
      </c>
      <c r="AG35" s="4"/>
      <c r="AH35" s="4"/>
      <c r="AI35" s="4">
        <f>IFERROR(__xludf.DUMMYFUNCTION("""COMPUTED_VALUE"""),0.3756730843440437)</f>
        <v>0.3756730843</v>
      </c>
      <c r="AJ35" s="4"/>
      <c r="AK35" s="4"/>
      <c r="AL35" s="4">
        <f>IFERROR(__xludf.DUMMYFUNCTION("""COMPUTED_VALUE"""),-0.77040118969677)</f>
        <v>-0.7704011897</v>
      </c>
      <c r="AM35" s="4"/>
      <c r="AN35" s="4"/>
      <c r="AO35" s="4">
        <f>IFERROR(__xludf.DUMMYFUNCTION("""COMPUTED_VALUE"""),-0.7404523962190979)</f>
        <v>-0.7404523962</v>
      </c>
      <c r="AP35" s="4"/>
      <c r="AQ35" s="4"/>
      <c r="AR35" s="4">
        <f>IFERROR(__xludf.DUMMYFUNCTION("""COMPUTED_VALUE"""),-1.1249149065651523)</f>
        <v>-1.124914907</v>
      </c>
      <c r="AS35" s="4"/>
      <c r="AT35" s="4"/>
      <c r="AU35" s="4">
        <f>IFERROR(__xludf.DUMMYFUNCTION("""COMPUTED_VALUE"""),-3.254257722053069)</f>
        <v>-3.254257722</v>
      </c>
      <c r="AV35" s="4"/>
      <c r="AW35" s="4"/>
      <c r="AX35" s="4">
        <f>IFERROR(__xludf.DUMMYFUNCTION("""COMPUTED_VALUE"""),-0.8568463230123484)</f>
        <v>-0.856846323</v>
      </c>
      <c r="AY35" s="4"/>
      <c r="AZ35" s="4"/>
      <c r="BA35" s="4">
        <f>IFERROR(__xludf.DUMMYFUNCTION("""COMPUTED_VALUE"""),0.8659116076923965)</f>
        <v>0.8659116077</v>
      </c>
      <c r="BB35" s="4"/>
      <c r="BC35" s="4"/>
      <c r="BD35" s="4">
        <f>IFERROR(__xludf.DUMMYFUNCTION("""COMPUTED_VALUE"""),2.016155536657209)</f>
        <v>2.016155537</v>
      </c>
      <c r="BE35" s="4"/>
      <c r="BF35" s="4"/>
      <c r="BG35" s="4">
        <f>IFERROR(__xludf.DUMMYFUNCTION("""COMPUTED_VALUE"""),-5.148845981569821)</f>
        <v>-5.148845982</v>
      </c>
      <c r="BH35" s="4"/>
      <c r="BI35" s="4"/>
      <c r="BJ35" s="4"/>
      <c r="BK35" s="4"/>
    </row>
    <row r="36">
      <c r="A36" s="4"/>
      <c r="B36" s="4"/>
      <c r="C36" s="4"/>
      <c r="D36" s="4">
        <f>IFERROR(__xludf.DUMMYFUNCTION("""COMPUTED_VALUE"""),179.98604190015553)</f>
        <v>179.9860419</v>
      </c>
      <c r="E36" s="23">
        <f>IFERROR(__xludf.DUMMYFUNCTION("""COMPUTED_VALUE"""),-6.209404079771957)</f>
        <v>-6.20940408</v>
      </c>
      <c r="F36" s="4"/>
      <c r="G36" s="4"/>
      <c r="H36" s="4">
        <f>IFERROR(__xludf.DUMMYFUNCTION("""COMPUTED_VALUE"""),3.15620710991476)</f>
        <v>3.15620711</v>
      </c>
      <c r="I36" s="4"/>
      <c r="J36" s="4"/>
      <c r="K36" s="4">
        <f>IFERROR(__xludf.DUMMYFUNCTION("""COMPUTED_VALUE"""),-2.0104166619814237)</f>
        <v>-2.010416662</v>
      </c>
      <c r="L36" s="4"/>
      <c r="M36" s="4"/>
      <c r="N36" s="4">
        <f>IFERROR(__xludf.DUMMYFUNCTION("""COMPUTED_VALUE"""),-1.7073064080929043)</f>
        <v>-1.707306408</v>
      </c>
      <c r="O36" s="4"/>
      <c r="P36" s="4"/>
      <c r="Q36" s="4">
        <f>IFERROR(__xludf.DUMMYFUNCTION("""COMPUTED_VALUE"""),0.3966027178919944)</f>
        <v>0.3966027179</v>
      </c>
      <c r="R36" s="4"/>
      <c r="S36" s="4"/>
      <c r="T36" s="4">
        <f>IFERROR(__xludf.DUMMYFUNCTION("""COMPUTED_VALUE"""),-2.006022177563864)</f>
        <v>-2.006022178</v>
      </c>
      <c r="U36" s="4"/>
      <c r="V36" s="4"/>
      <c r="W36" s="4">
        <f>IFERROR(__xludf.DUMMYFUNCTION("""COMPUTED_VALUE"""),0.9342358802213653)</f>
        <v>0.9342358802</v>
      </c>
      <c r="X36" s="4"/>
      <c r="Y36" s="4"/>
      <c r="Z36" s="4">
        <f>IFERROR(__xludf.DUMMYFUNCTION("""COMPUTED_VALUE"""),-5.806764230959175)</f>
        <v>-5.806764231</v>
      </c>
      <c r="AA36" s="4"/>
      <c r="AB36" s="4"/>
      <c r="AC36" s="4">
        <f>IFERROR(__xludf.DUMMYFUNCTION("""COMPUTED_VALUE"""),-4.543377502081569)</f>
        <v>-4.543377502</v>
      </c>
      <c r="AD36" s="4"/>
      <c r="AE36" s="4"/>
      <c r="AF36" s="4">
        <f>IFERROR(__xludf.DUMMYFUNCTION("""COMPUTED_VALUE"""),-2.116957158703485)</f>
        <v>-2.116957159</v>
      </c>
      <c r="AG36" s="4"/>
      <c r="AH36" s="4"/>
      <c r="AI36" s="4">
        <f>IFERROR(__xludf.DUMMYFUNCTION("""COMPUTED_VALUE"""),-4.515901236281309)</f>
        <v>-4.515901236</v>
      </c>
      <c r="AJ36" s="4"/>
      <c r="AK36" s="4"/>
      <c r="AL36" s="4">
        <f>IFERROR(__xludf.DUMMYFUNCTION("""COMPUTED_VALUE"""),-2.5803504132483113)</f>
        <v>-2.580350413</v>
      </c>
      <c r="AM36" s="4"/>
      <c r="AN36" s="4"/>
      <c r="AO36" s="4">
        <f>IFERROR(__xludf.DUMMYFUNCTION("""COMPUTED_VALUE"""),-5.0974181075748675)</f>
        <v>-5.097418108</v>
      </c>
      <c r="AP36" s="4"/>
      <c r="AQ36" s="4"/>
      <c r="AR36" s="4">
        <f>IFERROR(__xludf.DUMMYFUNCTION("""COMPUTED_VALUE"""),-1.9749667687997317)</f>
        <v>-1.974966769</v>
      </c>
      <c r="AS36" s="4"/>
      <c r="AT36" s="4"/>
      <c r="AU36" s="4">
        <f>IFERROR(__xludf.DUMMYFUNCTION("""COMPUTED_VALUE"""),-0.09503188006533492)</f>
        <v>-0.09503188007</v>
      </c>
      <c r="AV36" s="4"/>
      <c r="AW36" s="4"/>
      <c r="AX36" s="4">
        <f>IFERROR(__xludf.DUMMYFUNCTION("""COMPUTED_VALUE"""),-3.278482848559179)</f>
        <v>-3.278482849</v>
      </c>
      <c r="AY36" s="4"/>
      <c r="AZ36" s="4"/>
      <c r="BA36" s="4">
        <f>IFERROR(__xludf.DUMMYFUNCTION("""COMPUTED_VALUE"""),-3.1745028764629524)</f>
        <v>-3.174502876</v>
      </c>
      <c r="BB36" s="4"/>
      <c r="BC36" s="4"/>
      <c r="BD36" s="4">
        <f>IFERROR(__xludf.DUMMYFUNCTION("""COMPUTED_VALUE"""),1.20979029399291)</f>
        <v>1.209790294</v>
      </c>
      <c r="BE36" s="4"/>
      <c r="BF36" s="4"/>
      <c r="BG36" s="4">
        <f>IFERROR(__xludf.DUMMYFUNCTION("""COMPUTED_VALUE"""),-3.2089129398204363)</f>
        <v>-3.20891294</v>
      </c>
      <c r="BH36" s="4"/>
      <c r="BI36" s="4"/>
      <c r="BJ36" s="4"/>
      <c r="BK36" s="4"/>
    </row>
    <row r="37">
      <c r="A37" s="4"/>
      <c r="B37" s="4"/>
      <c r="C37" s="4"/>
      <c r="D37" s="4">
        <f>IFERROR(__xludf.DUMMYFUNCTION("""COMPUTED_VALUE"""),179.0677457674058)</f>
        <v>179.0677458</v>
      </c>
      <c r="E37" s="23">
        <f>IFERROR(__xludf.DUMMYFUNCTION("""COMPUTED_VALUE"""),-1.0245194315144772)</f>
        <v>-1.024519432</v>
      </c>
      <c r="F37" s="4"/>
      <c r="G37" s="4"/>
      <c r="H37" s="4">
        <f>IFERROR(__xludf.DUMMYFUNCTION("""COMPUTED_VALUE"""),-9.046403360134661)</f>
        <v>-9.04640336</v>
      </c>
      <c r="I37" s="4"/>
      <c r="J37" s="4"/>
      <c r="K37" s="4">
        <f>IFERROR(__xludf.DUMMYFUNCTION("""COMPUTED_VALUE"""),-4.196460083756335)</f>
        <v>-4.196460084</v>
      </c>
      <c r="L37" s="4"/>
      <c r="M37" s="4"/>
      <c r="N37" s="4">
        <f>IFERROR(__xludf.DUMMYFUNCTION("""COMPUTED_VALUE"""),-3.18463329584182)</f>
        <v>-3.184633296</v>
      </c>
      <c r="O37" s="4"/>
      <c r="P37" s="4"/>
      <c r="Q37" s="4">
        <f>IFERROR(__xludf.DUMMYFUNCTION("""COMPUTED_VALUE"""),-9.747667413250213)</f>
        <v>-9.747667413</v>
      </c>
      <c r="R37" s="4"/>
      <c r="S37" s="4"/>
      <c r="T37" s="4">
        <f>IFERROR(__xludf.DUMMYFUNCTION("""COMPUTED_VALUE"""),-1.811333834697507)</f>
        <v>-1.811333835</v>
      </c>
      <c r="U37" s="4"/>
      <c r="V37" s="4"/>
      <c r="W37" s="4">
        <f>IFERROR(__xludf.DUMMYFUNCTION("""COMPUTED_VALUE"""),-2.9614202921588344)</f>
        <v>-2.961420292</v>
      </c>
      <c r="X37" s="4"/>
      <c r="Y37" s="4"/>
      <c r="Z37" s="4">
        <f>IFERROR(__xludf.DUMMYFUNCTION("""COMPUTED_VALUE"""),0.8549676508850439)</f>
        <v>0.8549676509</v>
      </c>
      <c r="AA37" s="4"/>
      <c r="AB37" s="4"/>
      <c r="AC37" s="4">
        <f>IFERROR(__xludf.DUMMYFUNCTION("""COMPUTED_VALUE"""),-4.165738355161864)</f>
        <v>-4.165738355</v>
      </c>
      <c r="AD37" s="4"/>
      <c r="AE37" s="4"/>
      <c r="AF37" s="4">
        <f>IFERROR(__xludf.DUMMYFUNCTION("""COMPUTED_VALUE"""),2.018335598513829)</f>
        <v>2.018335599</v>
      </c>
      <c r="AG37" s="4"/>
      <c r="AH37" s="4"/>
      <c r="AI37" s="4">
        <f>IFERROR(__xludf.DUMMYFUNCTION("""COMPUTED_VALUE"""),-0.20980054073169185)</f>
        <v>-0.2098005407</v>
      </c>
      <c r="AJ37" s="4"/>
      <c r="AK37" s="4"/>
      <c r="AL37" s="4">
        <f>IFERROR(__xludf.DUMMYFUNCTION("""COMPUTED_VALUE"""),-4.2419870204058725)</f>
        <v>-4.24198702</v>
      </c>
      <c r="AM37" s="4"/>
      <c r="AN37" s="4"/>
      <c r="AO37" s="4">
        <f>IFERROR(__xludf.DUMMYFUNCTION("""COMPUTED_VALUE"""),2.546052120042134)</f>
        <v>2.54605212</v>
      </c>
      <c r="AP37" s="4"/>
      <c r="AQ37" s="4"/>
      <c r="AR37" s="4">
        <f>IFERROR(__xludf.DUMMYFUNCTION("""COMPUTED_VALUE"""),-0.579787989259728)</f>
        <v>-0.5797879893</v>
      </c>
      <c r="AS37" s="4"/>
      <c r="AT37" s="4"/>
      <c r="AU37" s="4">
        <f>IFERROR(__xludf.DUMMYFUNCTION("""COMPUTED_VALUE"""),6.602812576947997)</f>
        <v>6.602812577</v>
      </c>
      <c r="AV37" s="4"/>
      <c r="AW37" s="4"/>
      <c r="AX37" s="4">
        <f>IFERROR(__xludf.DUMMYFUNCTION("""COMPUTED_VALUE"""),1.3037343877662693)</f>
        <v>1.303734388</v>
      </c>
      <c r="AY37" s="4"/>
      <c r="AZ37" s="4"/>
      <c r="BA37" s="4">
        <f>IFERROR(__xludf.DUMMYFUNCTION("""COMPUTED_VALUE"""),1.4711595084395412)</f>
        <v>1.471159508</v>
      </c>
      <c r="BB37" s="4"/>
      <c r="BC37" s="4"/>
      <c r="BD37" s="4">
        <f>IFERROR(__xludf.DUMMYFUNCTION("""COMPUTED_VALUE"""),2.6322981300668857)</f>
        <v>2.63229813</v>
      </c>
      <c r="BE37" s="4"/>
      <c r="BF37" s="4"/>
      <c r="BG37" s="4">
        <f>IFERROR(__xludf.DUMMYFUNCTION("""COMPUTED_VALUE"""),-0.46954628301028833)</f>
        <v>-0.469546283</v>
      </c>
      <c r="BH37" s="4"/>
      <c r="BI37" s="4"/>
      <c r="BJ37" s="4"/>
      <c r="BK37" s="4"/>
    </row>
    <row r="38">
      <c r="A38" s="4"/>
      <c r="B38" s="4"/>
      <c r="C38" s="4"/>
      <c r="D38" s="4">
        <f>IFERROR(__xludf.DUMMYFUNCTION("""COMPUTED_VALUE"""),178.1494496346057)</f>
        <v>178.1494496</v>
      </c>
      <c r="E38" s="23">
        <f>IFERROR(__xludf.DUMMYFUNCTION("""COMPUTED_VALUE"""),3.8075891063926974)</f>
        <v>3.807589106</v>
      </c>
      <c r="F38" s="4"/>
      <c r="G38" s="4"/>
      <c r="H38" s="4">
        <f>IFERROR(__xludf.DUMMYFUNCTION("""COMPUTED_VALUE"""),-4.711891397664488)</f>
        <v>-4.711891398</v>
      </c>
      <c r="I38" s="4"/>
      <c r="J38" s="4"/>
      <c r="K38" s="4">
        <f>IFERROR(__xludf.DUMMYFUNCTION("""COMPUTED_VALUE"""),-6.355964138915169)</f>
        <v>-6.355964139</v>
      </c>
      <c r="L38" s="4"/>
      <c r="M38" s="4"/>
      <c r="N38" s="4">
        <f>IFERROR(__xludf.DUMMYFUNCTION("""COMPUTED_VALUE"""),-2.6842104530058464)</f>
        <v>-2.684210453</v>
      </c>
      <c r="O38" s="4"/>
      <c r="P38" s="4"/>
      <c r="Q38" s="4">
        <f>IFERROR(__xludf.DUMMYFUNCTION("""COMPUTED_VALUE"""),-7.610209052453001)</f>
        <v>-7.610209052</v>
      </c>
      <c r="R38" s="4"/>
      <c r="S38" s="4"/>
      <c r="T38" s="4">
        <f>IFERROR(__xludf.DUMMYFUNCTION("""COMPUTED_VALUE"""),-4.158900822787132)</f>
        <v>-4.158900823</v>
      </c>
      <c r="U38" s="4"/>
      <c r="V38" s="4"/>
      <c r="W38" s="4">
        <f>IFERROR(__xludf.DUMMYFUNCTION("""COMPUTED_VALUE"""),-1.1016305158615864)</f>
        <v>-1.101630516</v>
      </c>
      <c r="X38" s="4"/>
      <c r="Y38" s="4"/>
      <c r="Z38" s="4">
        <f>IFERROR(__xludf.DUMMYFUNCTION("""COMPUTED_VALUE"""),7.135288460231209)</f>
        <v>7.13528846</v>
      </c>
      <c r="AA38" s="4"/>
      <c r="AB38" s="4"/>
      <c r="AC38" s="4">
        <f>IFERROR(__xludf.DUMMYFUNCTION("""COMPUTED_VALUE"""),7.722237967884666)</f>
        <v>7.722237968</v>
      </c>
      <c r="AD38" s="4"/>
      <c r="AE38" s="4"/>
      <c r="AF38" s="4">
        <f>IFERROR(__xludf.DUMMYFUNCTION("""COMPUTED_VALUE"""),-5.655725697053981)</f>
        <v>-5.655725697</v>
      </c>
      <c r="AG38" s="4"/>
      <c r="AH38" s="4"/>
      <c r="AI38" s="4">
        <f>IFERROR(__xludf.DUMMYFUNCTION("""COMPUTED_VALUE"""),-0.2874335002825319)</f>
        <v>-0.2874335003</v>
      </c>
      <c r="AJ38" s="4"/>
      <c r="AK38" s="4"/>
      <c r="AL38" s="4">
        <f>IFERROR(__xludf.DUMMYFUNCTION("""COMPUTED_VALUE"""),1.2833862573980923)</f>
        <v>1.283386257</v>
      </c>
      <c r="AM38" s="4"/>
      <c r="AN38" s="4"/>
      <c r="AO38" s="4">
        <f>IFERROR(__xludf.DUMMYFUNCTION("""COMPUTED_VALUE"""),0.6900849927400827)</f>
        <v>0.6900849927</v>
      </c>
      <c r="AP38" s="4"/>
      <c r="AQ38" s="4"/>
      <c r="AR38" s="4">
        <f>IFERROR(__xludf.DUMMYFUNCTION("""COMPUTED_VALUE"""),7.699500956415932)</f>
        <v>7.699500956</v>
      </c>
      <c r="AS38" s="4"/>
      <c r="AT38" s="4"/>
      <c r="AU38" s="4">
        <f>IFERROR(__xludf.DUMMYFUNCTION("""COMPUTED_VALUE"""),5.085967452605985)</f>
        <v>5.085967453</v>
      </c>
      <c r="AV38" s="4"/>
      <c r="AW38" s="4"/>
      <c r="AX38" s="4">
        <f>IFERROR(__xludf.DUMMYFUNCTION("""COMPUTED_VALUE"""),-3.2895902232770027)</f>
        <v>-3.289590223</v>
      </c>
      <c r="AY38" s="4"/>
      <c r="AZ38" s="4"/>
      <c r="BA38" s="4">
        <f>IFERROR(__xludf.DUMMYFUNCTION("""COMPUTED_VALUE"""),6.7587913374630375)</f>
        <v>6.758791337</v>
      </c>
      <c r="BB38" s="4"/>
      <c r="BC38" s="4"/>
      <c r="BD38" s="4">
        <f>IFERROR(__xludf.DUMMYFUNCTION("""COMPUTED_VALUE"""),2.9740669916193383)</f>
        <v>2.974066992</v>
      </c>
      <c r="BE38" s="4"/>
      <c r="BF38" s="4"/>
      <c r="BG38" s="4">
        <f>IFERROR(__xludf.DUMMYFUNCTION("""COMPUTED_VALUE"""),-0.8089917102483355)</f>
        <v>-0.8089917102</v>
      </c>
      <c r="BH38" s="4"/>
      <c r="BI38" s="4"/>
      <c r="BJ38" s="4"/>
      <c r="BK38" s="4"/>
    </row>
    <row r="39">
      <c r="A39" s="4"/>
      <c r="B39" s="4"/>
      <c r="C39" s="4"/>
      <c r="D39" s="4">
        <f>IFERROR(__xludf.DUMMYFUNCTION("""COMPUTED_VALUE"""),177.23115350392058)</f>
        <v>177.2311535</v>
      </c>
      <c r="E39" s="23">
        <f>IFERROR(__xludf.DUMMYFUNCTION("""COMPUTED_VALUE"""),-0.029538353140708296)</f>
        <v>-0.02953835314</v>
      </c>
      <c r="F39" s="4"/>
      <c r="G39" s="4"/>
      <c r="H39" s="4">
        <f>IFERROR(__xludf.DUMMYFUNCTION("""COMPUTED_VALUE"""),-2.7659123351577364)</f>
        <v>-2.765912335</v>
      </c>
      <c r="I39" s="4"/>
      <c r="J39" s="4"/>
      <c r="K39" s="4">
        <f>IFERROR(__xludf.DUMMYFUNCTION("""COMPUTED_VALUE"""),-1.6044338295359353)</f>
        <v>-1.60443383</v>
      </c>
      <c r="L39" s="4"/>
      <c r="M39" s="4"/>
      <c r="N39" s="4">
        <f>IFERROR(__xludf.DUMMYFUNCTION("""COMPUTED_VALUE"""),-3.79532115139358)</f>
        <v>-3.795321151</v>
      </c>
      <c r="O39" s="4"/>
      <c r="P39" s="4"/>
      <c r="Q39" s="4">
        <f>IFERROR(__xludf.DUMMYFUNCTION("""COMPUTED_VALUE"""),3.7898266251963264)</f>
        <v>3.789826625</v>
      </c>
      <c r="R39" s="4"/>
      <c r="S39" s="4"/>
      <c r="T39" s="4">
        <f>IFERROR(__xludf.DUMMYFUNCTION("""COMPUTED_VALUE"""),-3.1570329578837573)</f>
        <v>-3.157032958</v>
      </c>
      <c r="U39" s="4"/>
      <c r="V39" s="4"/>
      <c r="W39" s="4">
        <f>IFERROR(__xludf.DUMMYFUNCTION("""COMPUTED_VALUE"""),1.1031746210001074)</f>
        <v>1.103174621</v>
      </c>
      <c r="X39" s="4"/>
      <c r="Y39" s="4"/>
      <c r="Z39" s="4">
        <f>IFERROR(__xludf.DUMMYFUNCTION("""COMPUTED_VALUE"""),-0.6622533962961938)</f>
        <v>-0.6622533963</v>
      </c>
      <c r="AA39" s="4"/>
      <c r="AB39" s="4"/>
      <c r="AC39" s="4">
        <f>IFERROR(__xludf.DUMMYFUNCTION("""COMPUTED_VALUE"""),-6.033940920233135)</f>
        <v>-6.03394092</v>
      </c>
      <c r="AD39" s="4"/>
      <c r="AE39" s="4"/>
      <c r="AF39" s="4">
        <f>IFERROR(__xludf.DUMMYFUNCTION("""COMPUTED_VALUE"""),1.1984585689701817)</f>
        <v>1.198458569</v>
      </c>
      <c r="AG39" s="4"/>
      <c r="AH39" s="4"/>
      <c r="AI39" s="4">
        <f>IFERROR(__xludf.DUMMYFUNCTION("""COMPUTED_VALUE"""),0.9188115719604184)</f>
        <v>0.918811572</v>
      </c>
      <c r="AJ39" s="4"/>
      <c r="AK39" s="4"/>
      <c r="AL39" s="4">
        <f>IFERROR(__xludf.DUMMYFUNCTION("""COMPUTED_VALUE"""),-0.738834379684647)</f>
        <v>-0.7388343797</v>
      </c>
      <c r="AM39" s="4"/>
      <c r="AN39" s="4"/>
      <c r="AO39" s="4">
        <f>IFERROR(__xludf.DUMMYFUNCTION("""COMPUTED_VALUE"""),-2.6605121721826777)</f>
        <v>-2.660512172</v>
      </c>
      <c r="AP39" s="4"/>
      <c r="AQ39" s="4"/>
      <c r="AR39" s="4">
        <f>IFERROR(__xludf.DUMMYFUNCTION("""COMPUTED_VALUE"""),1.806834939289331)</f>
        <v>1.806834939</v>
      </c>
      <c r="AS39" s="4"/>
      <c r="AT39" s="4"/>
      <c r="AU39" s="4">
        <f>IFERROR(__xludf.DUMMYFUNCTION("""COMPUTED_VALUE"""),4.555214717116826)</f>
        <v>4.555214717</v>
      </c>
      <c r="AV39" s="4"/>
      <c r="AW39" s="4"/>
      <c r="AX39" s="4">
        <f>IFERROR(__xludf.DUMMYFUNCTION("""COMPUTED_VALUE"""),2.2181071279956086)</f>
        <v>2.218107128</v>
      </c>
      <c r="AY39" s="4"/>
      <c r="AZ39" s="4"/>
      <c r="BA39" s="4">
        <f>IFERROR(__xludf.DUMMYFUNCTION("""COMPUTED_VALUE"""),4.5712293751657285)</f>
        <v>4.571229375</v>
      </c>
      <c r="BB39" s="4"/>
      <c r="BC39" s="4"/>
      <c r="BD39" s="4">
        <f>IFERROR(__xludf.DUMMYFUNCTION("""COMPUTED_VALUE"""),-1.322187795935747)</f>
        <v>-1.322187796</v>
      </c>
      <c r="BE39" s="4"/>
      <c r="BF39" s="4"/>
      <c r="BG39" s="4">
        <f>IFERROR(__xludf.DUMMYFUNCTION("""COMPUTED_VALUE"""),-0.829037200887683)</f>
        <v>-0.8290372009</v>
      </c>
      <c r="BH39" s="4"/>
      <c r="BI39" s="4"/>
      <c r="BJ39" s="4"/>
      <c r="BK39" s="4"/>
    </row>
    <row r="40">
      <c r="A40" s="4"/>
      <c r="B40" s="4"/>
      <c r="C40" s="4"/>
      <c r="D40" s="4">
        <f>IFERROR(__xludf.DUMMYFUNCTION("""COMPUTED_VALUE"""),176.31285737117088)</f>
        <v>176.3128574</v>
      </c>
      <c r="E40" s="23">
        <f>IFERROR(__xludf.DUMMYFUNCTION("""COMPUTED_VALUE"""),-4.674942668529752)</f>
        <v>-4.674942669</v>
      </c>
      <c r="F40" s="4"/>
      <c r="G40" s="4"/>
      <c r="H40" s="4">
        <f>IFERROR(__xludf.DUMMYFUNCTION("""COMPUTED_VALUE"""),-8.484460750426877)</f>
        <v>-8.48446075</v>
      </c>
      <c r="I40" s="4"/>
      <c r="J40" s="4"/>
      <c r="K40" s="4">
        <f>IFERROR(__xludf.DUMMYFUNCTION("""COMPUTED_VALUE"""),-0.06566184414526788)</f>
        <v>-0.06566184415</v>
      </c>
      <c r="L40" s="4"/>
      <c r="M40" s="4"/>
      <c r="N40" s="4">
        <f>IFERROR(__xludf.DUMMYFUNCTION("""COMPUTED_VALUE"""),-0.45360257619171307)</f>
        <v>-0.4536025762</v>
      </c>
      <c r="O40" s="4"/>
      <c r="P40" s="4"/>
      <c r="Q40" s="4">
        <f>IFERROR(__xludf.DUMMYFUNCTION("""COMPUTED_VALUE"""),-1.912570590981204)</f>
        <v>-1.912570591</v>
      </c>
      <c r="R40" s="4"/>
      <c r="S40" s="4"/>
      <c r="T40" s="4">
        <f>IFERROR(__xludf.DUMMYFUNCTION("""COMPUTED_VALUE"""),-4.1995771895023495)</f>
        <v>-4.19957719</v>
      </c>
      <c r="U40" s="4"/>
      <c r="V40" s="4"/>
      <c r="W40" s="4">
        <f>IFERROR(__xludf.DUMMYFUNCTION("""COMPUTED_VALUE"""),3.563049642327883)</f>
        <v>3.563049642</v>
      </c>
      <c r="X40" s="4"/>
      <c r="Y40" s="4"/>
      <c r="Z40" s="4">
        <f>IFERROR(__xludf.DUMMYFUNCTION("""COMPUTED_VALUE"""),3.5948106222766683)</f>
        <v>3.594810622</v>
      </c>
      <c r="AA40" s="4"/>
      <c r="AB40" s="4"/>
      <c r="AC40" s="4">
        <f>IFERROR(__xludf.DUMMYFUNCTION("""COMPUTED_VALUE"""),-2.252870941569995)</f>
        <v>-2.252870942</v>
      </c>
      <c r="AD40" s="4"/>
      <c r="AE40" s="4"/>
      <c r="AF40" s="4">
        <f>IFERROR(__xludf.DUMMYFUNCTION("""COMPUTED_VALUE"""),4.321298265173368)</f>
        <v>4.321298265</v>
      </c>
      <c r="AG40" s="4"/>
      <c r="AH40" s="4"/>
      <c r="AI40" s="4">
        <f>IFERROR(__xludf.DUMMYFUNCTION("""COMPUTED_VALUE"""),-2.8039501160768054)</f>
        <v>-2.803950116</v>
      </c>
      <c r="AJ40" s="4"/>
      <c r="AK40" s="4"/>
      <c r="AL40" s="4">
        <f>IFERROR(__xludf.DUMMYFUNCTION("""COMPUTED_VALUE"""),-0.2686907167355912)</f>
        <v>-0.2686907167</v>
      </c>
      <c r="AM40" s="4"/>
      <c r="AN40" s="4"/>
      <c r="AO40" s="4">
        <f>IFERROR(__xludf.DUMMYFUNCTION("""COMPUTED_VALUE"""),2.0225027486512204)</f>
        <v>2.022502749</v>
      </c>
      <c r="AP40" s="4"/>
      <c r="AQ40" s="4"/>
      <c r="AR40" s="4">
        <f>IFERROR(__xludf.DUMMYFUNCTION("""COMPUTED_VALUE"""),1.3229070076973812)</f>
        <v>1.322907008</v>
      </c>
      <c r="AS40" s="4"/>
      <c r="AT40" s="4"/>
      <c r="AU40" s="4">
        <f>IFERROR(__xludf.DUMMYFUNCTION("""COMPUTED_VALUE"""),0.34228801125112795)</f>
        <v>0.3422880113</v>
      </c>
      <c r="AV40" s="4"/>
      <c r="AW40" s="4"/>
      <c r="AX40" s="4">
        <f>IFERROR(__xludf.DUMMYFUNCTION("""COMPUTED_VALUE"""),-2.7092157401331747)</f>
        <v>-2.70921574</v>
      </c>
      <c r="AY40" s="4"/>
      <c r="AZ40" s="4"/>
      <c r="BA40" s="4">
        <f>IFERROR(__xludf.DUMMYFUNCTION("""COMPUTED_VALUE"""),-3.987332941748093)</f>
        <v>-3.987332942</v>
      </c>
      <c r="BB40" s="4"/>
      <c r="BC40" s="4"/>
      <c r="BD40" s="4">
        <f>IFERROR(__xludf.DUMMYFUNCTION("""COMPUTED_VALUE"""),-1.1178137688564789)</f>
        <v>-1.117813769</v>
      </c>
      <c r="BE40" s="4"/>
      <c r="BF40" s="4"/>
      <c r="BG40" s="4">
        <f>IFERROR(__xludf.DUMMYFUNCTION("""COMPUTED_VALUE"""),2.230518762458871)</f>
        <v>2.230518762</v>
      </c>
      <c r="BH40" s="4"/>
      <c r="BI40" s="4"/>
      <c r="BJ40" s="4"/>
      <c r="BK40" s="4"/>
    </row>
    <row r="41">
      <c r="A41" s="4"/>
      <c r="B41" s="4"/>
      <c r="C41" s="4"/>
      <c r="D41" s="4">
        <f>IFERROR(__xludf.DUMMYFUNCTION("""COMPUTED_VALUE"""),175.3945612383708)</f>
        <v>175.3945612</v>
      </c>
      <c r="E41" s="23">
        <f>IFERROR(__xludf.DUMMYFUNCTION("""COMPUTED_VALUE"""),-1.3162375100847044)</f>
        <v>-1.31623751</v>
      </c>
      <c r="F41" s="4"/>
      <c r="G41" s="4"/>
      <c r="H41" s="4">
        <f>IFERROR(__xludf.DUMMYFUNCTION("""COMPUTED_VALUE"""),0.2685949776000598)</f>
        <v>0.2685949776</v>
      </c>
      <c r="I41" s="4"/>
      <c r="J41" s="4"/>
      <c r="K41" s="4">
        <f>IFERROR(__xludf.DUMMYFUNCTION("""COMPUTED_VALUE"""),-2.6661350736812324)</f>
        <v>-2.666135074</v>
      </c>
      <c r="L41" s="4"/>
      <c r="M41" s="4"/>
      <c r="N41" s="4">
        <f>IFERROR(__xludf.DUMMYFUNCTION("""COMPUTED_VALUE"""),4.525840316223594)</f>
        <v>4.525840316</v>
      </c>
      <c r="O41" s="4"/>
      <c r="P41" s="4"/>
      <c r="Q41" s="4">
        <f>IFERROR(__xludf.DUMMYFUNCTION("""COMPUTED_VALUE"""),-6.930831305532422)</f>
        <v>-6.930831306</v>
      </c>
      <c r="R41" s="4"/>
      <c r="S41" s="4"/>
      <c r="T41" s="4">
        <f>IFERROR(__xludf.DUMMYFUNCTION("""COMPUTED_VALUE"""),4.617481634333103)</f>
        <v>4.617481634</v>
      </c>
      <c r="U41" s="4"/>
      <c r="V41" s="4"/>
      <c r="W41" s="4">
        <f>IFERROR(__xludf.DUMMYFUNCTION("""COMPUTED_VALUE"""),0.8409068830555952)</f>
        <v>0.8409068831</v>
      </c>
      <c r="X41" s="4"/>
      <c r="Y41" s="4"/>
      <c r="Z41" s="4">
        <f>IFERROR(__xludf.DUMMYFUNCTION("""COMPUTED_VALUE"""),-5.030227057768911)</f>
        <v>-5.030227058</v>
      </c>
      <c r="AA41" s="4"/>
      <c r="AB41" s="4"/>
      <c r="AC41" s="4">
        <f>IFERROR(__xludf.DUMMYFUNCTION("""COMPUTED_VALUE"""),5.948030698662365)</f>
        <v>5.948030699</v>
      </c>
      <c r="AD41" s="4"/>
      <c r="AE41" s="4"/>
      <c r="AF41" s="4">
        <f>IFERROR(__xludf.DUMMYFUNCTION("""COMPUTED_VALUE"""),-2.1565659516610367)</f>
        <v>-2.156565952</v>
      </c>
      <c r="AG41" s="4"/>
      <c r="AH41" s="4"/>
      <c r="AI41" s="4">
        <f>IFERROR(__xludf.DUMMYFUNCTION("""COMPUTED_VALUE"""),-0.35341531764925094)</f>
        <v>-0.3534153176</v>
      </c>
      <c r="AJ41" s="4"/>
      <c r="AK41" s="4"/>
      <c r="AL41" s="4">
        <f>IFERROR(__xludf.DUMMYFUNCTION("""COMPUTED_VALUE"""),0.5674556234041574)</f>
        <v>0.5674556234</v>
      </c>
      <c r="AM41" s="4"/>
      <c r="AN41" s="4"/>
      <c r="AO41" s="4">
        <f>IFERROR(__xludf.DUMMYFUNCTION("""COMPUTED_VALUE"""),1.3291440706695994)</f>
        <v>1.329144071</v>
      </c>
      <c r="AP41" s="4"/>
      <c r="AQ41" s="4"/>
      <c r="AR41" s="4">
        <f>IFERROR(__xludf.DUMMYFUNCTION("""COMPUTED_VALUE"""),0.9533523429726074)</f>
        <v>0.953352343</v>
      </c>
      <c r="AS41" s="4"/>
      <c r="AT41" s="4"/>
      <c r="AU41" s="4">
        <f>IFERROR(__xludf.DUMMYFUNCTION("""COMPUTED_VALUE"""),-1.8964105121237367)</f>
        <v>-1.896410512</v>
      </c>
      <c r="AV41" s="4"/>
      <c r="AW41" s="4"/>
      <c r="AX41" s="4">
        <f>IFERROR(__xludf.DUMMYFUNCTION("""COMPUTED_VALUE"""),0.9831695146702941)</f>
        <v>0.9831695147</v>
      </c>
      <c r="AY41" s="4"/>
      <c r="AZ41" s="4"/>
      <c r="BA41" s="4">
        <f>IFERROR(__xludf.DUMMYFUNCTION("""COMPUTED_VALUE"""),1.3884361211722762)</f>
        <v>1.388436121</v>
      </c>
      <c r="BB41" s="4"/>
      <c r="BC41" s="4"/>
      <c r="BD41" s="4">
        <f>IFERROR(__xludf.DUMMYFUNCTION("""COMPUTED_VALUE"""),3.8998824440839144)</f>
        <v>3.899882444</v>
      </c>
      <c r="BE41" s="4"/>
      <c r="BF41" s="4"/>
      <c r="BG41" s="4">
        <f>IFERROR(__xludf.DUMMYFUNCTION("""COMPUTED_VALUE"""),3.164979016069026)</f>
        <v>3.164979016</v>
      </c>
      <c r="BH41" s="4"/>
      <c r="BI41" s="4"/>
      <c r="BJ41" s="4"/>
      <c r="BK41" s="4"/>
    </row>
    <row r="42">
      <c r="A42" s="4"/>
      <c r="B42" s="4"/>
      <c r="C42" s="4"/>
      <c r="D42" s="4">
        <f>IFERROR(__xludf.DUMMYFUNCTION("""COMPUTED_VALUE"""),174.47626510773603)</f>
        <v>174.4762651</v>
      </c>
      <c r="E42" s="23">
        <f>IFERROR(__xludf.DUMMYFUNCTION("""COMPUTED_VALUE"""),-3.2759123130089165)</f>
        <v>-3.275912313</v>
      </c>
      <c r="F42" s="4"/>
      <c r="G42" s="4"/>
      <c r="H42" s="4">
        <f>IFERROR(__xludf.DUMMYFUNCTION("""COMPUTED_VALUE"""),7.353331237937709)</f>
        <v>7.353331238</v>
      </c>
      <c r="I42" s="4"/>
      <c r="J42" s="4"/>
      <c r="K42" s="4">
        <f>IFERROR(__xludf.DUMMYFUNCTION("""COMPUTED_VALUE"""),-2.550239274961541)</f>
        <v>-2.550239275</v>
      </c>
      <c r="L42" s="4"/>
      <c r="M42" s="4"/>
      <c r="N42" s="4">
        <f>IFERROR(__xludf.DUMMYFUNCTION("""COMPUTED_VALUE"""),1.5579672442014498)</f>
        <v>1.557967244</v>
      </c>
      <c r="O42" s="4"/>
      <c r="P42" s="4"/>
      <c r="Q42" s="4">
        <f>IFERROR(__xludf.DUMMYFUNCTION("""COMPUTED_VALUE"""),2.1185925133930823)</f>
        <v>2.118592513</v>
      </c>
      <c r="R42" s="4"/>
      <c r="S42" s="4"/>
      <c r="T42" s="4">
        <f>IFERROR(__xludf.DUMMYFUNCTION("""COMPUTED_VALUE"""),-0.3655879830878348)</f>
        <v>-0.3655879831</v>
      </c>
      <c r="U42" s="4"/>
      <c r="V42" s="4"/>
      <c r="W42" s="4">
        <f>IFERROR(__xludf.DUMMYFUNCTION("""COMPUTED_VALUE"""),5.335546759834301)</f>
        <v>5.33554676</v>
      </c>
      <c r="X42" s="4"/>
      <c r="Y42" s="4"/>
      <c r="Z42" s="4">
        <f>IFERROR(__xludf.DUMMYFUNCTION("""COMPUTED_VALUE"""),-3.670830063438416)</f>
        <v>-3.670830063</v>
      </c>
      <c r="AA42" s="4"/>
      <c r="AB42" s="4"/>
      <c r="AC42" s="4">
        <f>IFERROR(__xludf.DUMMYFUNCTION("""COMPUTED_VALUE"""),1.7067257500368669)</f>
        <v>1.70672575</v>
      </c>
      <c r="AD42" s="4"/>
      <c r="AE42" s="4"/>
      <c r="AF42" s="4">
        <f>IFERROR(__xludf.DUMMYFUNCTION("""COMPUTED_VALUE"""),-0.5761515840534912)</f>
        <v>-0.5761515841</v>
      </c>
      <c r="AG42" s="4"/>
      <c r="AH42" s="4"/>
      <c r="AI42" s="4">
        <f>IFERROR(__xludf.DUMMYFUNCTION("""COMPUTED_VALUE"""),-1.0046595432030472)</f>
        <v>-1.004659543</v>
      </c>
      <c r="AJ42" s="4"/>
      <c r="AK42" s="4"/>
      <c r="AL42" s="4">
        <f>IFERROR(__xludf.DUMMYFUNCTION("""COMPUTED_VALUE"""),-4.737632693409012)</f>
        <v>-4.737632693</v>
      </c>
      <c r="AM42" s="4"/>
      <c r="AN42" s="4"/>
      <c r="AO42" s="4">
        <f>IFERROR(__xludf.DUMMYFUNCTION("""COMPUTED_VALUE"""),0.9114120142625666)</f>
        <v>0.9114120143</v>
      </c>
      <c r="AP42" s="4"/>
      <c r="AQ42" s="4"/>
      <c r="AR42" s="4">
        <f>IFERROR(__xludf.DUMMYFUNCTION("""COMPUTED_VALUE"""),-1.0551492948288796)</f>
        <v>-1.055149295</v>
      </c>
      <c r="AS42" s="4"/>
      <c r="AT42" s="4"/>
      <c r="AU42" s="4">
        <f>IFERROR(__xludf.DUMMYFUNCTION("""COMPUTED_VALUE"""),2.5256671093554814)</f>
        <v>2.525667109</v>
      </c>
      <c r="AV42" s="4"/>
      <c r="AW42" s="4"/>
      <c r="AX42" s="4">
        <f>IFERROR(__xludf.DUMMYFUNCTION("""COMPUTED_VALUE"""),1.9288782887859384)</f>
        <v>1.928878289</v>
      </c>
      <c r="AY42" s="4"/>
      <c r="AZ42" s="4"/>
      <c r="BA42" s="4">
        <f>IFERROR(__xludf.DUMMYFUNCTION("""COMPUTED_VALUE"""),0.954167130263329)</f>
        <v>0.9541671303</v>
      </c>
      <c r="BB42" s="4"/>
      <c r="BC42" s="4"/>
      <c r="BD42" s="4">
        <f>IFERROR(__xludf.DUMMYFUNCTION("""COMPUTED_VALUE"""),4.258573504270544)</f>
        <v>4.258573504</v>
      </c>
      <c r="BE42" s="4"/>
      <c r="BF42" s="4"/>
      <c r="BG42" s="4">
        <f>IFERROR(__xludf.DUMMYFUNCTION("""COMPUTED_VALUE"""),-2.267163328270726)</f>
        <v>-2.267163328</v>
      </c>
      <c r="BH42" s="4"/>
      <c r="BI42" s="4"/>
      <c r="BJ42" s="4"/>
      <c r="BK42" s="4"/>
    </row>
    <row r="43">
      <c r="A43" s="4"/>
      <c r="B43" s="4"/>
      <c r="C43" s="4"/>
      <c r="D43" s="4">
        <f>IFERROR(__xludf.DUMMYFUNCTION("""COMPUTED_VALUE"""),173.55796897493593)</f>
        <v>173.557969</v>
      </c>
      <c r="E43" s="23">
        <f>IFERROR(__xludf.DUMMYFUNCTION("""COMPUTED_VALUE"""),-4.167065522682606)</f>
        <v>-4.167065523</v>
      </c>
      <c r="F43" s="4"/>
      <c r="G43" s="4"/>
      <c r="H43" s="4">
        <f>IFERROR(__xludf.DUMMYFUNCTION("""COMPUTED_VALUE"""),-2.623574855204197)</f>
        <v>-2.623574855</v>
      </c>
      <c r="I43" s="4"/>
      <c r="J43" s="4"/>
      <c r="K43" s="4">
        <f>IFERROR(__xludf.DUMMYFUNCTION("""COMPUTED_VALUE"""),-2.024221929206931)</f>
        <v>-2.024221929</v>
      </c>
      <c r="L43" s="4"/>
      <c r="M43" s="4"/>
      <c r="N43" s="4">
        <f>IFERROR(__xludf.DUMMYFUNCTION("""COMPUTED_VALUE"""),-4.496495436837051)</f>
        <v>-4.496495437</v>
      </c>
      <c r="O43" s="4"/>
      <c r="P43" s="4"/>
      <c r="Q43" s="4">
        <f>IFERROR(__xludf.DUMMYFUNCTION("""COMPUTED_VALUE"""),1.7756278133115302)</f>
        <v>1.775627813</v>
      </c>
      <c r="R43" s="4"/>
      <c r="S43" s="4"/>
      <c r="T43" s="4">
        <f>IFERROR(__xludf.DUMMYFUNCTION("""COMPUTED_VALUE"""),2.6246469336053906)</f>
        <v>2.624646934</v>
      </c>
      <c r="U43" s="4"/>
      <c r="V43" s="4"/>
      <c r="W43" s="4">
        <f>IFERROR(__xludf.DUMMYFUNCTION("""COMPUTED_VALUE"""),1.4649512352568763)</f>
        <v>1.464951235</v>
      </c>
      <c r="X43" s="4"/>
      <c r="Y43" s="4"/>
      <c r="Z43" s="4">
        <f>IFERROR(__xludf.DUMMYFUNCTION("""COMPUTED_VALUE"""),1.4743592679367339)</f>
        <v>1.474359268</v>
      </c>
      <c r="AA43" s="4"/>
      <c r="AB43" s="4"/>
      <c r="AC43" s="4">
        <f>IFERROR(__xludf.DUMMYFUNCTION("""COMPUTED_VALUE"""),1.7780612663788702)</f>
        <v>1.778061266</v>
      </c>
      <c r="AD43" s="4"/>
      <c r="AE43" s="4"/>
      <c r="AF43" s="4">
        <f>IFERROR(__xludf.DUMMYFUNCTION("""COMPUTED_VALUE"""),0.9180473663834618)</f>
        <v>0.9180473664</v>
      </c>
      <c r="AG43" s="4"/>
      <c r="AH43" s="4"/>
      <c r="AI43" s="4">
        <f>IFERROR(__xludf.DUMMYFUNCTION("""COMPUTED_VALUE"""),2.850224953757049)</f>
        <v>2.850224954</v>
      </c>
      <c r="AJ43" s="4"/>
      <c r="AK43" s="4"/>
      <c r="AL43" s="4">
        <f>IFERROR(__xludf.DUMMYFUNCTION("""COMPUTED_VALUE"""),1.4074519560878116)</f>
        <v>1.407451956</v>
      </c>
      <c r="AM43" s="4"/>
      <c r="AN43" s="4"/>
      <c r="AO43" s="4">
        <f>IFERROR(__xludf.DUMMYFUNCTION("""COMPUTED_VALUE"""),0.2794810275495365)</f>
        <v>0.2794810275</v>
      </c>
      <c r="AP43" s="4"/>
      <c r="AQ43" s="4"/>
      <c r="AR43" s="4">
        <f>IFERROR(__xludf.DUMMYFUNCTION("""COMPUTED_VALUE"""),-4.237542770036839)</f>
        <v>-4.23754277</v>
      </c>
      <c r="AS43" s="4"/>
      <c r="AT43" s="4"/>
      <c r="AU43" s="4">
        <f>IFERROR(__xludf.DUMMYFUNCTION("""COMPUTED_VALUE"""),-2.3582657758310006)</f>
        <v>-2.358265776</v>
      </c>
      <c r="AV43" s="4"/>
      <c r="AW43" s="4"/>
      <c r="AX43" s="4">
        <f>IFERROR(__xludf.DUMMYFUNCTION("""COMPUTED_VALUE"""),-0.8164638723183089)</f>
        <v>-0.8164638723</v>
      </c>
      <c r="AY43" s="4"/>
      <c r="AZ43" s="4"/>
      <c r="BA43" s="4">
        <f>IFERROR(__xludf.DUMMYFUNCTION("""COMPUTED_VALUE"""),-3.146889577960337)</f>
        <v>-3.146889578</v>
      </c>
      <c r="BB43" s="4"/>
      <c r="BC43" s="4"/>
      <c r="BD43" s="4">
        <f>IFERROR(__xludf.DUMMYFUNCTION("""COMPUTED_VALUE"""),-1.8221186573887849)</f>
        <v>-1.822118657</v>
      </c>
      <c r="BE43" s="4"/>
      <c r="BF43" s="4"/>
      <c r="BG43" s="4">
        <f>IFERROR(__xludf.DUMMYFUNCTION("""COMPUTED_VALUE"""),1.6548071297751221)</f>
        <v>1.65480713</v>
      </c>
      <c r="BH43" s="4"/>
      <c r="BI43" s="4"/>
      <c r="BJ43" s="4"/>
      <c r="BK43" s="4"/>
    </row>
    <row r="44">
      <c r="A44" s="4"/>
      <c r="B44" s="4"/>
      <c r="C44" s="4"/>
      <c r="D44" s="4">
        <f>IFERROR(__xludf.DUMMYFUNCTION("""COMPUTED_VALUE"""),172.63967284213587)</f>
        <v>172.6396728</v>
      </c>
      <c r="E44" s="23">
        <f>IFERROR(__xludf.DUMMYFUNCTION("""COMPUTED_VALUE"""),3.0035076925450426)</f>
        <v>3.003507693</v>
      </c>
      <c r="F44" s="4"/>
      <c r="G44" s="4"/>
      <c r="H44" s="4">
        <f>IFERROR(__xludf.DUMMYFUNCTION("""COMPUTED_VALUE"""),-3.7431111442487577)</f>
        <v>-3.743111144</v>
      </c>
      <c r="I44" s="4"/>
      <c r="J44" s="4"/>
      <c r="K44" s="4">
        <f>IFERROR(__xludf.DUMMYFUNCTION("""COMPUTED_VALUE"""),-5.430766174685061)</f>
        <v>-5.430766175</v>
      </c>
      <c r="L44" s="4"/>
      <c r="M44" s="4"/>
      <c r="N44" s="4">
        <f>IFERROR(__xludf.DUMMYFUNCTION("""COMPUTED_VALUE"""),0.17253066156411023)</f>
        <v>0.1725306616</v>
      </c>
      <c r="O44" s="4"/>
      <c r="P44" s="4"/>
      <c r="Q44" s="4">
        <f>IFERROR(__xludf.DUMMYFUNCTION("""COMPUTED_VALUE"""),-3.098096283217785)</f>
        <v>-3.098096283</v>
      </c>
      <c r="R44" s="4"/>
      <c r="S44" s="4"/>
      <c r="T44" s="4">
        <f>IFERROR(__xludf.DUMMYFUNCTION("""COMPUTED_VALUE"""),1.0596055678168455)</f>
        <v>1.059605568</v>
      </c>
      <c r="U44" s="4"/>
      <c r="V44" s="4"/>
      <c r="W44" s="4">
        <f>IFERROR(__xludf.DUMMYFUNCTION("""COMPUTED_VALUE"""),-7.270603374006896)</f>
        <v>-7.270603374</v>
      </c>
      <c r="X44" s="4"/>
      <c r="Y44" s="4"/>
      <c r="Z44" s="4">
        <f>IFERROR(__xludf.DUMMYFUNCTION("""COMPUTED_VALUE"""),-2.656583295387634)</f>
        <v>-2.656583295</v>
      </c>
      <c r="AA44" s="4"/>
      <c r="AB44" s="4"/>
      <c r="AC44" s="4">
        <f>IFERROR(__xludf.DUMMYFUNCTION("""COMPUTED_VALUE"""),-0.06375383771342058)</f>
        <v>-0.06375383771</v>
      </c>
      <c r="AD44" s="4"/>
      <c r="AE44" s="4"/>
      <c r="AF44" s="4">
        <f>IFERROR(__xludf.DUMMYFUNCTION("""COMPUTED_VALUE"""),-2.0292543931996647)</f>
        <v>-2.029254393</v>
      </c>
      <c r="AG44" s="4"/>
      <c r="AH44" s="4"/>
      <c r="AI44" s="4">
        <f>IFERROR(__xludf.DUMMYFUNCTION("""COMPUTED_VALUE"""),-1.9601166699177384)</f>
        <v>-1.96011667</v>
      </c>
      <c r="AJ44" s="4"/>
      <c r="AK44" s="4"/>
      <c r="AL44" s="4">
        <f>IFERROR(__xludf.DUMMYFUNCTION("""COMPUTED_VALUE"""),-7.57004786719898)</f>
        <v>-7.570047867</v>
      </c>
      <c r="AM44" s="4"/>
      <c r="AN44" s="4"/>
      <c r="AO44" s="4">
        <f>IFERROR(__xludf.DUMMYFUNCTION("""COMPUTED_VALUE"""),-4.37485527248316)</f>
        <v>-4.374855272</v>
      </c>
      <c r="AP44" s="4"/>
      <c r="AQ44" s="4"/>
      <c r="AR44" s="4">
        <f>IFERROR(__xludf.DUMMYFUNCTION("""COMPUTED_VALUE"""),-3.170892559336039)</f>
        <v>-3.170892559</v>
      </c>
      <c r="AS44" s="4"/>
      <c r="AT44" s="4"/>
      <c r="AU44" s="4">
        <f>IFERROR(__xludf.DUMMYFUNCTION("""COMPUTED_VALUE"""),-2.3772116479470924)</f>
        <v>-2.377211648</v>
      </c>
      <c r="AV44" s="4"/>
      <c r="AW44" s="4"/>
      <c r="AX44" s="4">
        <f>IFERROR(__xludf.DUMMYFUNCTION("""COMPUTED_VALUE"""),0.9786035896615317)</f>
        <v>0.9786035897</v>
      </c>
      <c r="AY44" s="4"/>
      <c r="AZ44" s="4"/>
      <c r="BA44" s="4">
        <f>IFERROR(__xludf.DUMMYFUNCTION("""COMPUTED_VALUE"""),-6.166354043270587)</f>
        <v>-6.166354043</v>
      </c>
      <c r="BB44" s="4"/>
      <c r="BC44" s="4"/>
      <c r="BD44" s="4">
        <f>IFERROR(__xludf.DUMMYFUNCTION("""COMPUTED_VALUE"""),-0.5108748578911104)</f>
        <v>-0.5108748579</v>
      </c>
      <c r="BE44" s="4"/>
      <c r="BF44" s="4"/>
      <c r="BG44" s="4">
        <f>IFERROR(__xludf.DUMMYFUNCTION("""COMPUTED_VALUE"""),-2.26613912280402)</f>
        <v>-2.266139123</v>
      </c>
      <c r="BH44" s="4"/>
      <c r="BI44" s="4"/>
      <c r="BJ44" s="4"/>
      <c r="BK44" s="4"/>
    </row>
    <row r="45">
      <c r="A45" s="4"/>
      <c r="B45" s="4"/>
      <c r="C45" s="4"/>
      <c r="D45" s="4">
        <f>IFERROR(__xludf.DUMMYFUNCTION("""COMPUTED_VALUE"""),171.72137671150108)</f>
        <v>171.7213767</v>
      </c>
      <c r="E45" s="23">
        <f>IFERROR(__xludf.DUMMYFUNCTION("""COMPUTED_VALUE"""),-6.252435949751032)</f>
        <v>-6.25243595</v>
      </c>
      <c r="F45" s="4"/>
      <c r="G45" s="4"/>
      <c r="H45" s="4">
        <f>IFERROR(__xludf.DUMMYFUNCTION("""COMPUTED_VALUE"""),2.3506228103866533)</f>
        <v>2.35062281</v>
      </c>
      <c r="I45" s="4"/>
      <c r="J45" s="4"/>
      <c r="K45" s="4">
        <f>IFERROR(__xludf.DUMMYFUNCTION("""COMPUTED_VALUE"""),2.8280066042053136)</f>
        <v>2.828006604</v>
      </c>
      <c r="L45" s="4"/>
      <c r="M45" s="4"/>
      <c r="N45" s="4">
        <f>IFERROR(__xludf.DUMMYFUNCTION("""COMPUTED_VALUE"""),-1.7776356476789488)</f>
        <v>-1.777635648</v>
      </c>
      <c r="O45" s="4"/>
      <c r="P45" s="4"/>
      <c r="Q45" s="4">
        <f>IFERROR(__xludf.DUMMYFUNCTION("""COMPUTED_VALUE"""),-2.6448845809399586)</f>
        <v>-2.644884581</v>
      </c>
      <c r="R45" s="4"/>
      <c r="S45" s="4"/>
      <c r="T45" s="4">
        <f>IFERROR(__xludf.DUMMYFUNCTION("""COMPUTED_VALUE"""),0.6770576188031896)</f>
        <v>0.6770576188</v>
      </c>
      <c r="U45" s="4"/>
      <c r="V45" s="4"/>
      <c r="W45" s="4">
        <f>IFERROR(__xludf.DUMMYFUNCTION("""COMPUTED_VALUE"""),4.573334039324266)</f>
        <v>4.573334039</v>
      </c>
      <c r="X45" s="4"/>
      <c r="Y45" s="4"/>
      <c r="Z45" s="4">
        <f>IFERROR(__xludf.DUMMYFUNCTION("""COMPUTED_VALUE"""),5.668061342567171)</f>
        <v>5.668061343</v>
      </c>
      <c r="AA45" s="4"/>
      <c r="AB45" s="4"/>
      <c r="AC45" s="4">
        <f>IFERROR(__xludf.DUMMYFUNCTION("""COMPUTED_VALUE"""),3.417941291240709)</f>
        <v>3.417941291</v>
      </c>
      <c r="AD45" s="4"/>
      <c r="AE45" s="4"/>
      <c r="AF45" s="4">
        <f>IFERROR(__xludf.DUMMYFUNCTION("""COMPUTED_VALUE"""),-3.8279436346425655)</f>
        <v>-3.827943635</v>
      </c>
      <c r="AG45" s="4"/>
      <c r="AH45" s="4"/>
      <c r="AI45" s="4">
        <f>IFERROR(__xludf.DUMMYFUNCTION("""COMPUTED_VALUE"""),-5.5168496907560325)</f>
        <v>-5.516849691</v>
      </c>
      <c r="AJ45" s="4"/>
      <c r="AK45" s="4"/>
      <c r="AL45" s="4">
        <f>IFERROR(__xludf.DUMMYFUNCTION("""COMPUTED_VALUE"""),0.9039442695994921)</f>
        <v>0.9039442696</v>
      </c>
      <c r="AM45" s="4"/>
      <c r="AN45" s="4"/>
      <c r="AO45" s="4">
        <f>IFERROR(__xludf.DUMMYFUNCTION("""COMPUTED_VALUE"""),-4.220063486921902)</f>
        <v>-4.220063487</v>
      </c>
      <c r="AP45" s="4"/>
      <c r="AQ45" s="4"/>
      <c r="AR45" s="4">
        <f>IFERROR(__xludf.DUMMYFUNCTION("""COMPUTED_VALUE"""),-2.562552602635435)</f>
        <v>-2.562552603</v>
      </c>
      <c r="AS45" s="4"/>
      <c r="AT45" s="4"/>
      <c r="AU45" s="4">
        <f>IFERROR(__xludf.DUMMYFUNCTION("""COMPUTED_VALUE"""),-0.24462759760876907)</f>
        <v>-0.2446275976</v>
      </c>
      <c r="AV45" s="4"/>
      <c r="AW45" s="4"/>
      <c r="AX45" s="4">
        <f>IFERROR(__xludf.DUMMYFUNCTION("""COMPUTED_VALUE"""),1.4401499723601319)</f>
        <v>1.440149972</v>
      </c>
      <c r="AY45" s="4"/>
      <c r="AZ45" s="4"/>
      <c r="BA45" s="4">
        <f>IFERROR(__xludf.DUMMYFUNCTION("""COMPUTED_VALUE"""),3.0414095401816894)</f>
        <v>3.04140954</v>
      </c>
      <c r="BB45" s="4"/>
      <c r="BC45" s="4"/>
      <c r="BD45" s="4">
        <f>IFERROR(__xludf.DUMMYFUNCTION("""COMPUTED_VALUE"""),-4.7940469179592355)</f>
        <v>-4.794046918</v>
      </c>
      <c r="BE45" s="4"/>
      <c r="BF45" s="4"/>
      <c r="BG45" s="4">
        <f>IFERROR(__xludf.DUMMYFUNCTION("""COMPUTED_VALUE"""),-1.2527726472238783)</f>
        <v>-1.252772647</v>
      </c>
      <c r="BH45" s="4"/>
      <c r="BI45" s="4"/>
      <c r="BJ45" s="4"/>
      <c r="BK45" s="4"/>
    </row>
    <row r="46">
      <c r="A46" s="4"/>
      <c r="B46" s="4"/>
      <c r="C46" s="4"/>
      <c r="D46" s="4">
        <f>IFERROR(__xludf.DUMMYFUNCTION("""COMPUTED_VALUE"""),170.803080578701)</f>
        <v>170.8030806</v>
      </c>
      <c r="E46" s="23">
        <f>IFERROR(__xludf.DUMMYFUNCTION("""COMPUTED_VALUE"""),4.612329586285625)</f>
        <v>4.612329586</v>
      </c>
      <c r="F46" s="4"/>
      <c r="G46" s="4"/>
      <c r="H46" s="4">
        <f>IFERROR(__xludf.DUMMYFUNCTION("""COMPUTED_VALUE"""),4.109006286079818)</f>
        <v>4.109006286</v>
      </c>
      <c r="I46" s="4"/>
      <c r="J46" s="4"/>
      <c r="K46" s="4">
        <f>IFERROR(__xludf.DUMMYFUNCTION("""COMPUTED_VALUE"""),7.495227055027442)</f>
        <v>7.495227055</v>
      </c>
      <c r="L46" s="4"/>
      <c r="M46" s="4"/>
      <c r="N46" s="4">
        <f>IFERROR(__xludf.DUMMYFUNCTION("""COMPUTED_VALUE"""),-3.780567878460147)</f>
        <v>-3.780567878</v>
      </c>
      <c r="O46" s="4"/>
      <c r="P46" s="4"/>
      <c r="Q46" s="4">
        <f>IFERROR(__xludf.DUMMYFUNCTION("""COMPUTED_VALUE"""),-2.5918939003603896)</f>
        <v>-2.5918939</v>
      </c>
      <c r="R46" s="4"/>
      <c r="S46" s="4"/>
      <c r="T46" s="4">
        <f>IFERROR(__xludf.DUMMYFUNCTION("""COMPUTED_VALUE"""),-3.9514532671002485)</f>
        <v>-3.951453267</v>
      </c>
      <c r="U46" s="4"/>
      <c r="V46" s="4"/>
      <c r="W46" s="4">
        <f>IFERROR(__xludf.DUMMYFUNCTION("""COMPUTED_VALUE"""),-2.752853553170155)</f>
        <v>-2.752853553</v>
      </c>
      <c r="X46" s="4"/>
      <c r="Y46" s="4"/>
      <c r="Z46" s="4">
        <f>IFERROR(__xludf.DUMMYFUNCTION("""COMPUTED_VALUE"""),5.50585328109463)</f>
        <v>5.505853281</v>
      </c>
      <c r="AA46" s="4"/>
      <c r="AB46" s="4"/>
      <c r="AC46" s="4">
        <f>IFERROR(__xludf.DUMMYFUNCTION("""COMPUTED_VALUE"""),-3.709597636526155)</f>
        <v>-3.709597637</v>
      </c>
      <c r="AD46" s="4"/>
      <c r="AE46" s="4"/>
      <c r="AF46" s="4">
        <f>IFERROR(__xludf.DUMMYFUNCTION("""COMPUTED_VALUE"""),3.695436897990703)</f>
        <v>3.695436898</v>
      </c>
      <c r="AG46" s="4"/>
      <c r="AH46" s="4"/>
      <c r="AI46" s="4">
        <f>IFERROR(__xludf.DUMMYFUNCTION("""COMPUTED_VALUE"""),-3.1877726864374267)</f>
        <v>-3.187772686</v>
      </c>
      <c r="AJ46" s="4"/>
      <c r="AK46" s="4"/>
      <c r="AL46" s="4">
        <f>IFERROR(__xludf.DUMMYFUNCTION("""COMPUTED_VALUE"""),-1.779381207751669)</f>
        <v>-1.779381208</v>
      </c>
      <c r="AM46" s="4"/>
      <c r="AN46" s="4"/>
      <c r="AO46" s="4">
        <f>IFERROR(__xludf.DUMMYFUNCTION("""COMPUTED_VALUE"""),1.636510347174692)</f>
        <v>1.636510347</v>
      </c>
      <c r="AP46" s="4"/>
      <c r="AQ46" s="4"/>
      <c r="AR46" s="4">
        <f>IFERROR(__xludf.DUMMYFUNCTION("""COMPUTED_VALUE"""),1.1417120431562466)</f>
        <v>1.141712043</v>
      </c>
      <c r="AS46" s="4"/>
      <c r="AT46" s="4"/>
      <c r="AU46" s="4">
        <f>IFERROR(__xludf.DUMMYFUNCTION("""COMPUTED_VALUE"""),-1.2525273694718067)</f>
        <v>-1.252527369</v>
      </c>
      <c r="AV46" s="4"/>
      <c r="AW46" s="4"/>
      <c r="AX46" s="4">
        <f>IFERROR(__xludf.DUMMYFUNCTION("""COMPUTED_VALUE"""),-1.8141279758546034)</f>
        <v>-1.814127976</v>
      </c>
      <c r="AY46" s="4"/>
      <c r="AZ46" s="4"/>
      <c r="BA46" s="4">
        <f>IFERROR(__xludf.DUMMYFUNCTION("""COMPUTED_VALUE"""),1.3384318586469135)</f>
        <v>1.338431859</v>
      </c>
      <c r="BB46" s="4"/>
      <c r="BC46" s="4"/>
      <c r="BD46" s="4">
        <f>IFERROR(__xludf.DUMMYFUNCTION("""COMPUTED_VALUE"""),5.421879995329334)</f>
        <v>5.421879995</v>
      </c>
      <c r="BE46" s="4"/>
      <c r="BF46" s="4"/>
      <c r="BG46" s="4">
        <f>IFERROR(__xludf.DUMMYFUNCTION("""COMPUTED_VALUE"""),0.9396271148922324)</f>
        <v>0.9396271149</v>
      </c>
      <c r="BH46" s="4"/>
      <c r="BI46" s="4"/>
      <c r="BJ46" s="4"/>
      <c r="BK46" s="4"/>
    </row>
    <row r="47">
      <c r="A47" s="4"/>
      <c r="B47" s="4"/>
      <c r="C47" s="4"/>
      <c r="D47" s="4">
        <f>IFERROR(__xludf.DUMMYFUNCTION("""COMPUTED_VALUE"""),169.8847844459513)</f>
        <v>169.8847844</v>
      </c>
      <c r="E47" s="23">
        <f>IFERROR(__xludf.DUMMYFUNCTION("""COMPUTED_VALUE"""),0.2197589597749925)</f>
        <v>0.2197589598</v>
      </c>
      <c r="F47" s="4"/>
      <c r="G47" s="4"/>
      <c r="H47" s="4">
        <f>IFERROR(__xludf.DUMMYFUNCTION("""COMPUTED_VALUE"""),5.748388917677232)</f>
        <v>5.748388918</v>
      </c>
      <c r="I47" s="4"/>
      <c r="J47" s="4"/>
      <c r="K47" s="4">
        <f>IFERROR(__xludf.DUMMYFUNCTION("""COMPUTED_VALUE"""),-5.8365966500415425)</f>
        <v>-5.83659665</v>
      </c>
      <c r="L47" s="4"/>
      <c r="M47" s="4"/>
      <c r="N47" s="4">
        <f>IFERROR(__xludf.DUMMYFUNCTION("""COMPUTED_VALUE"""),5.452223636858719)</f>
        <v>5.452223637</v>
      </c>
      <c r="O47" s="4"/>
      <c r="P47" s="4"/>
      <c r="Q47" s="4">
        <f>IFERROR(__xludf.DUMMYFUNCTION("""COMPUTED_VALUE"""),5.129463046358865)</f>
        <v>5.129463046</v>
      </c>
      <c r="R47" s="4"/>
      <c r="S47" s="4"/>
      <c r="T47" s="4">
        <f>IFERROR(__xludf.DUMMYFUNCTION("""COMPUTED_VALUE"""),5.2138552999912235)</f>
        <v>5.2138553</v>
      </c>
      <c r="U47" s="4"/>
      <c r="V47" s="4"/>
      <c r="W47" s="4">
        <f>IFERROR(__xludf.DUMMYFUNCTION("""COMPUTED_VALUE"""),5.844807650838504)</f>
        <v>5.844807651</v>
      </c>
      <c r="X47" s="4"/>
      <c r="Y47" s="4"/>
      <c r="Z47" s="4">
        <f>IFERROR(__xludf.DUMMYFUNCTION("""COMPUTED_VALUE"""),4.339988911311821)</f>
        <v>4.339988911</v>
      </c>
      <c r="AA47" s="4"/>
      <c r="AB47" s="4"/>
      <c r="AC47" s="4">
        <f>IFERROR(__xludf.DUMMYFUNCTION("""COMPUTED_VALUE"""),3.7362390439998876)</f>
        <v>3.736239044</v>
      </c>
      <c r="AD47" s="4"/>
      <c r="AE47" s="4"/>
      <c r="AF47" s="4">
        <f>IFERROR(__xludf.DUMMYFUNCTION("""COMPUTED_VALUE"""),1.3918150626792567)</f>
        <v>1.391815063</v>
      </c>
      <c r="AG47" s="4"/>
      <c r="AH47" s="4"/>
      <c r="AI47" s="4">
        <f>IFERROR(__xludf.DUMMYFUNCTION("""COMPUTED_VALUE"""),1.8068425234172878)</f>
        <v>1.806842523</v>
      </c>
      <c r="AJ47" s="4"/>
      <c r="AK47" s="4"/>
      <c r="AL47" s="4">
        <f>IFERROR(__xludf.DUMMYFUNCTION("""COMPUTED_VALUE"""),1.9683479586670956)</f>
        <v>1.968347959</v>
      </c>
      <c r="AM47" s="4"/>
      <c r="AN47" s="4"/>
      <c r="AO47" s="4">
        <f>IFERROR(__xludf.DUMMYFUNCTION("""COMPUTED_VALUE"""),-5.4944509564358555)</f>
        <v>-5.494450956</v>
      </c>
      <c r="AP47" s="4"/>
      <c r="AQ47" s="4"/>
      <c r="AR47" s="4">
        <f>IFERROR(__xludf.DUMMYFUNCTION("""COMPUTED_VALUE"""),1.0480388628956234)</f>
        <v>1.048038863</v>
      </c>
      <c r="AS47" s="4"/>
      <c r="AT47" s="4"/>
      <c r="AU47" s="4">
        <f>IFERROR(__xludf.DUMMYFUNCTION("""COMPUTED_VALUE"""),-2.5023565254358573)</f>
        <v>-2.502356525</v>
      </c>
      <c r="AV47" s="4"/>
      <c r="AW47" s="4"/>
      <c r="AX47" s="4">
        <f>IFERROR(__xludf.DUMMYFUNCTION("""COMPUTED_VALUE"""),-1.0638778234334723)</f>
        <v>-1.063877823</v>
      </c>
      <c r="AY47" s="4"/>
      <c r="AZ47" s="4"/>
      <c r="BA47" s="4">
        <f>IFERROR(__xludf.DUMMYFUNCTION("""COMPUTED_VALUE"""),0.7699940243161905)</f>
        <v>0.7699940243</v>
      </c>
      <c r="BB47" s="4"/>
      <c r="BC47" s="4"/>
      <c r="BD47" s="4">
        <f>IFERROR(__xludf.DUMMYFUNCTION("""COMPUTED_VALUE"""),2.1454764585852786)</f>
        <v>2.145476459</v>
      </c>
      <c r="BE47" s="4"/>
      <c r="BF47" s="4"/>
      <c r="BG47" s="4">
        <f>IFERROR(__xludf.DUMMYFUNCTION("""COMPUTED_VALUE"""),-1.784739908677352)</f>
        <v>-1.784739909</v>
      </c>
      <c r="BH47" s="4"/>
      <c r="BI47" s="4"/>
      <c r="BJ47" s="4"/>
      <c r="BK47" s="4"/>
    </row>
    <row r="48">
      <c r="A48" s="4"/>
      <c r="B48" s="4"/>
      <c r="C48" s="4"/>
      <c r="D48" s="4">
        <f>IFERROR(__xludf.DUMMYFUNCTION("""COMPUTED_VALUE"""),168.96648831315122)</f>
        <v>168.9664883</v>
      </c>
      <c r="E48" s="23">
        <f>IFERROR(__xludf.DUMMYFUNCTION("""COMPUTED_VALUE"""),4.597845354466699)</f>
        <v>4.597845354</v>
      </c>
      <c r="F48" s="4"/>
      <c r="G48" s="4"/>
      <c r="H48" s="4">
        <f>IFERROR(__xludf.DUMMYFUNCTION("""COMPUTED_VALUE"""),-0.9499170437809425)</f>
        <v>-0.9499170438</v>
      </c>
      <c r="I48" s="4"/>
      <c r="J48" s="4"/>
      <c r="K48" s="4">
        <f>IFERROR(__xludf.DUMMYFUNCTION("""COMPUTED_VALUE"""),2.7318193692157706)</f>
        <v>2.731819369</v>
      </c>
      <c r="L48" s="4"/>
      <c r="M48" s="4"/>
      <c r="N48" s="4">
        <f>IFERROR(__xludf.DUMMYFUNCTION("""COMPUTED_VALUE"""),2.297068978794755)</f>
        <v>2.297068979</v>
      </c>
      <c r="O48" s="4"/>
      <c r="P48" s="4"/>
      <c r="Q48" s="4">
        <f>IFERROR(__xludf.DUMMYFUNCTION("""COMPUTED_VALUE"""),-6.35250801114762)</f>
        <v>-6.352508011</v>
      </c>
      <c r="R48" s="4"/>
      <c r="S48" s="4"/>
      <c r="T48" s="4">
        <f>IFERROR(__xludf.DUMMYFUNCTION("""COMPUTED_VALUE"""),1.8061749602539408)</f>
        <v>1.80617496</v>
      </c>
      <c r="U48" s="4"/>
      <c r="V48" s="4"/>
      <c r="W48" s="4">
        <f>IFERROR(__xludf.DUMMYFUNCTION("""COMPUTED_VALUE"""),0.27535870586052624)</f>
        <v>0.2753587059</v>
      </c>
      <c r="X48" s="4"/>
      <c r="Y48" s="4"/>
      <c r="Z48" s="4">
        <f>IFERROR(__xludf.DUMMYFUNCTION("""COMPUTED_VALUE"""),-3.7849241086503866)</f>
        <v>-3.784924109</v>
      </c>
      <c r="AA48" s="4"/>
      <c r="AB48" s="4"/>
      <c r="AC48" s="4">
        <f>IFERROR(__xludf.DUMMYFUNCTION("""COMPUTED_VALUE"""),3.7374448849689657)</f>
        <v>3.737444885</v>
      </c>
      <c r="AD48" s="4"/>
      <c r="AE48" s="4"/>
      <c r="AF48" s="4">
        <f>IFERROR(__xludf.DUMMYFUNCTION("""COMPUTED_VALUE"""),-5.195005447267988)</f>
        <v>-5.195005447</v>
      </c>
      <c r="AG48" s="4"/>
      <c r="AH48" s="4"/>
      <c r="AI48" s="4">
        <f>IFERROR(__xludf.DUMMYFUNCTION("""COMPUTED_VALUE"""),-2.5500083154876165)</f>
        <v>-2.550008315</v>
      </c>
      <c r="AJ48" s="4"/>
      <c r="AK48" s="4"/>
      <c r="AL48" s="4">
        <f>IFERROR(__xludf.DUMMYFUNCTION("""COMPUTED_VALUE"""),-0.2165435214605509)</f>
        <v>-0.2165435215</v>
      </c>
      <c r="AM48" s="4"/>
      <c r="AN48" s="4"/>
      <c r="AO48" s="4">
        <f>IFERROR(__xludf.DUMMYFUNCTION("""COMPUTED_VALUE"""),9.317069731600043)</f>
        <v>9.317069732</v>
      </c>
      <c r="AP48" s="4"/>
      <c r="AQ48" s="4"/>
      <c r="AR48" s="4">
        <f>IFERROR(__xludf.DUMMYFUNCTION("""COMPUTED_VALUE"""),5.855938437346651)</f>
        <v>5.855938437</v>
      </c>
      <c r="AS48" s="4"/>
      <c r="AT48" s="4"/>
      <c r="AU48" s="4">
        <f>IFERROR(__xludf.DUMMYFUNCTION("""COMPUTED_VALUE"""),2.1614037550166927)</f>
        <v>2.161403755</v>
      </c>
      <c r="AV48" s="4"/>
      <c r="AW48" s="4"/>
      <c r="AX48" s="4">
        <f>IFERROR(__xludf.DUMMYFUNCTION("""COMPUTED_VALUE"""),3.4604256690405464)</f>
        <v>3.460425669</v>
      </c>
      <c r="AY48" s="4"/>
      <c r="AZ48" s="4"/>
      <c r="BA48" s="4">
        <f>IFERROR(__xludf.DUMMYFUNCTION("""COMPUTED_VALUE"""),1.9854530819673641)</f>
        <v>1.985453082</v>
      </c>
      <c r="BB48" s="4"/>
      <c r="BC48" s="4"/>
      <c r="BD48" s="4">
        <f>IFERROR(__xludf.DUMMYFUNCTION("""COMPUTED_VALUE"""),0.37082401216474636)</f>
        <v>0.3708240122</v>
      </c>
      <c r="BE48" s="4"/>
      <c r="BF48" s="4"/>
      <c r="BG48" s="4">
        <f>IFERROR(__xludf.DUMMYFUNCTION("""COMPUTED_VALUE"""),5.480757997567309)</f>
        <v>5.480757998</v>
      </c>
      <c r="BH48" s="4"/>
      <c r="BI48" s="4"/>
      <c r="BJ48" s="4"/>
      <c r="BK48" s="4"/>
    </row>
    <row r="49">
      <c r="A49" s="4"/>
      <c r="B49" s="4"/>
      <c r="C49" s="4"/>
      <c r="D49" s="4">
        <f>IFERROR(__xludf.DUMMYFUNCTION("""COMPUTED_VALUE"""),168.0481921824661)</f>
        <v>168.0481922</v>
      </c>
      <c r="E49" s="23">
        <f>IFERROR(__xludf.DUMMYFUNCTION("""COMPUTED_VALUE"""),1.699241153123694)</f>
        <v>1.699241153</v>
      </c>
      <c r="F49" s="4"/>
      <c r="G49" s="4"/>
      <c r="H49" s="4">
        <f>IFERROR(__xludf.DUMMYFUNCTION("""COMPUTED_VALUE"""),1.6504551975688742)</f>
        <v>1.650455198</v>
      </c>
      <c r="I49" s="4"/>
      <c r="J49" s="4"/>
      <c r="K49" s="4">
        <f>IFERROR(__xludf.DUMMYFUNCTION("""COMPUTED_VALUE"""),-4.195208698715533)</f>
        <v>-4.195208699</v>
      </c>
      <c r="L49" s="4"/>
      <c r="M49" s="4"/>
      <c r="N49" s="4">
        <f>IFERROR(__xludf.DUMMYFUNCTION("""COMPUTED_VALUE"""),3.981100319481527)</f>
        <v>3.981100319</v>
      </c>
      <c r="O49" s="4"/>
      <c r="P49" s="4"/>
      <c r="Q49" s="4">
        <f>IFERROR(__xludf.DUMMYFUNCTION("""COMPUTED_VALUE"""),3.4101549477653066)</f>
        <v>3.410154948</v>
      </c>
      <c r="R49" s="4"/>
      <c r="S49" s="4"/>
      <c r="T49" s="4">
        <f>IFERROR(__xludf.DUMMYFUNCTION("""COMPUTED_VALUE"""),5.004612011559004)</f>
        <v>5.004612012</v>
      </c>
      <c r="U49" s="4"/>
      <c r="V49" s="4"/>
      <c r="W49" s="4">
        <f>IFERROR(__xludf.DUMMYFUNCTION("""COMPUTED_VALUE"""),-2.094326479628421)</f>
        <v>-2.09432648</v>
      </c>
      <c r="X49" s="4"/>
      <c r="Y49" s="4"/>
      <c r="Z49" s="4">
        <f>IFERROR(__xludf.DUMMYFUNCTION("""COMPUTED_VALUE"""),-4.87750604192604)</f>
        <v>-4.877506042</v>
      </c>
      <c r="AA49" s="4"/>
      <c r="AB49" s="4"/>
      <c r="AC49" s="4">
        <f>IFERROR(__xludf.DUMMYFUNCTION("""COMPUTED_VALUE"""),-0.04594090553496244)</f>
        <v>-0.04594090553</v>
      </c>
      <c r="AD49" s="4"/>
      <c r="AE49" s="4"/>
      <c r="AF49" s="4">
        <f>IFERROR(__xludf.DUMMYFUNCTION("""COMPUTED_VALUE"""),-0.6679590010442666)</f>
        <v>-0.667959001</v>
      </c>
      <c r="AG49" s="4"/>
      <c r="AH49" s="4"/>
      <c r="AI49" s="4">
        <f>IFERROR(__xludf.DUMMYFUNCTION("""COMPUTED_VALUE"""),0.10132549384439926)</f>
        <v>0.1013254938</v>
      </c>
      <c r="AJ49" s="4"/>
      <c r="AK49" s="4"/>
      <c r="AL49" s="4">
        <f>IFERROR(__xludf.DUMMYFUNCTION("""COMPUTED_VALUE"""),-4.330000288968449)</f>
        <v>-4.330000289</v>
      </c>
      <c r="AM49" s="4"/>
      <c r="AN49" s="4"/>
      <c r="AO49" s="4">
        <f>IFERROR(__xludf.DUMMYFUNCTION("""COMPUTED_VALUE"""),-0.15318497712581802)</f>
        <v>-0.1531849771</v>
      </c>
      <c r="AP49" s="4"/>
      <c r="AQ49" s="4"/>
      <c r="AR49" s="4">
        <f>IFERROR(__xludf.DUMMYFUNCTION("""COMPUTED_VALUE"""),1.9630586579021951)</f>
        <v>1.963058658</v>
      </c>
      <c r="AS49" s="4"/>
      <c r="AT49" s="4"/>
      <c r="AU49" s="4">
        <f>IFERROR(__xludf.DUMMYFUNCTION("""COMPUTED_VALUE"""),1.5590171267443793)</f>
        <v>1.559017127</v>
      </c>
      <c r="AV49" s="4"/>
      <c r="AW49" s="4"/>
      <c r="AX49" s="4">
        <f>IFERROR(__xludf.DUMMYFUNCTION("""COMPUTED_VALUE"""),-1.3627144233055333)</f>
        <v>-1.362714423</v>
      </c>
      <c r="AY49" s="4"/>
      <c r="AZ49" s="4"/>
      <c r="BA49" s="4">
        <f>IFERROR(__xludf.DUMMYFUNCTION("""COMPUTED_VALUE"""),1.6211561921371072)</f>
        <v>1.621156192</v>
      </c>
      <c r="BB49" s="4"/>
      <c r="BC49" s="4"/>
      <c r="BD49" s="4">
        <f>IFERROR(__xludf.DUMMYFUNCTION("""COMPUTED_VALUE"""),-1.8320793054376168)</f>
        <v>-1.832079305</v>
      </c>
      <c r="BE49" s="4"/>
      <c r="BF49" s="4"/>
      <c r="BG49" s="4">
        <f>IFERROR(__xludf.DUMMYFUNCTION("""COMPUTED_VALUE"""),-0.3477565982124702)</f>
        <v>-0.3477565982</v>
      </c>
      <c r="BH49" s="4"/>
      <c r="BI49" s="4"/>
      <c r="BJ49" s="4"/>
      <c r="BK49" s="4"/>
    </row>
    <row r="50">
      <c r="A50" s="4"/>
      <c r="B50" s="4"/>
      <c r="C50" s="4"/>
      <c r="D50" s="4">
        <f>IFERROR(__xludf.DUMMYFUNCTION("""COMPUTED_VALUE"""),167.12989604971636)</f>
        <v>167.129896</v>
      </c>
      <c r="E50" s="23">
        <f>IFERROR(__xludf.DUMMYFUNCTION("""COMPUTED_VALUE"""),-0.731177758409217)</f>
        <v>-0.7311777584</v>
      </c>
      <c r="F50" s="4"/>
      <c r="G50" s="4"/>
      <c r="H50" s="4">
        <f>IFERROR(__xludf.DUMMYFUNCTION("""COMPUTED_VALUE"""),5.574941886638953)</f>
        <v>5.574941887</v>
      </c>
      <c r="I50" s="4"/>
      <c r="J50" s="4"/>
      <c r="K50" s="4">
        <f>IFERROR(__xludf.DUMMYFUNCTION("""COMPUTED_VALUE"""),-2.219433617667505)</f>
        <v>-2.219433618</v>
      </c>
      <c r="L50" s="4"/>
      <c r="M50" s="4"/>
      <c r="N50" s="4">
        <f>IFERROR(__xludf.DUMMYFUNCTION("""COMPUTED_VALUE"""),-0.4070396731881374)</f>
        <v>-0.4070396732</v>
      </c>
      <c r="O50" s="4"/>
      <c r="P50" s="4"/>
      <c r="Q50" s="4">
        <f>IFERROR(__xludf.DUMMYFUNCTION("""COMPUTED_VALUE"""),-2.5960674171935807)</f>
        <v>-2.596067417</v>
      </c>
      <c r="R50" s="4"/>
      <c r="S50" s="4"/>
      <c r="T50" s="4">
        <f>IFERROR(__xludf.DUMMYFUNCTION("""COMPUTED_VALUE"""),1.325297735445588)</f>
        <v>1.325297735</v>
      </c>
      <c r="U50" s="4"/>
      <c r="V50" s="4"/>
      <c r="W50" s="4">
        <f>IFERROR(__xludf.DUMMYFUNCTION("""COMPUTED_VALUE"""),4.080687136146196)</f>
        <v>4.080687136</v>
      </c>
      <c r="X50" s="4"/>
      <c r="Y50" s="4"/>
      <c r="Z50" s="4">
        <f>IFERROR(__xludf.DUMMYFUNCTION("""COMPUTED_VALUE"""),1.2484343809392726)</f>
        <v>1.248434381</v>
      </c>
      <c r="AA50" s="4"/>
      <c r="AB50" s="4"/>
      <c r="AC50" s="4">
        <f>IFERROR(__xludf.DUMMYFUNCTION("""COMPUTED_VALUE"""),4.854111754267649)</f>
        <v>4.854111754</v>
      </c>
      <c r="AD50" s="4"/>
      <c r="AE50" s="4"/>
      <c r="AF50" s="4">
        <f>IFERROR(__xludf.DUMMYFUNCTION("""COMPUTED_VALUE"""),-2.7573112722932365)</f>
        <v>-2.757311272</v>
      </c>
      <c r="AG50" s="4"/>
      <c r="AH50" s="4"/>
      <c r="AI50" s="4">
        <f>IFERROR(__xludf.DUMMYFUNCTION("""COMPUTED_VALUE"""),2.952970327901312)</f>
        <v>2.952970328</v>
      </c>
      <c r="AJ50" s="4"/>
      <c r="AK50" s="4"/>
      <c r="AL50" s="4">
        <f>IFERROR(__xludf.DUMMYFUNCTION("""COMPUTED_VALUE"""),-1.9014153779237404)</f>
        <v>-1.901415378</v>
      </c>
      <c r="AM50" s="4"/>
      <c r="AN50" s="4"/>
      <c r="AO50" s="4">
        <f>IFERROR(__xludf.DUMMYFUNCTION("""COMPUTED_VALUE"""),-0.5327332643701084)</f>
        <v>-0.5327332644</v>
      </c>
      <c r="AP50" s="4"/>
      <c r="AQ50" s="4"/>
      <c r="AR50" s="4">
        <f>IFERROR(__xludf.DUMMYFUNCTION("""COMPUTED_VALUE"""),-1.9307609075115693)</f>
        <v>-1.930760908</v>
      </c>
      <c r="AS50" s="4"/>
      <c r="AT50" s="4"/>
      <c r="AU50" s="4">
        <f>IFERROR(__xludf.DUMMYFUNCTION("""COMPUTED_VALUE"""),1.0590052096789009)</f>
        <v>1.05900521</v>
      </c>
      <c r="AV50" s="4"/>
      <c r="AW50" s="4"/>
      <c r="AX50" s="4">
        <f>IFERROR(__xludf.DUMMYFUNCTION("""COMPUTED_VALUE"""),-1.1950275754471704)</f>
        <v>-1.195027575</v>
      </c>
      <c r="AY50" s="4"/>
      <c r="AZ50" s="4"/>
      <c r="BA50" s="4">
        <f>IFERROR(__xludf.DUMMYFUNCTION("""COMPUTED_VALUE"""),3.271508556983804)</f>
        <v>3.271508557</v>
      </c>
      <c r="BB50" s="4"/>
      <c r="BC50" s="4"/>
      <c r="BD50" s="4">
        <f>IFERROR(__xludf.DUMMYFUNCTION("""COMPUTED_VALUE"""),1.360422843524475)</f>
        <v>1.360422844</v>
      </c>
      <c r="BE50" s="4"/>
      <c r="BF50" s="4"/>
      <c r="BG50" s="4">
        <f>IFERROR(__xludf.DUMMYFUNCTION("""COMPUTED_VALUE"""),-1.3766346254033692)</f>
        <v>-1.376634625</v>
      </c>
      <c r="BH50" s="4"/>
      <c r="BI50" s="4"/>
      <c r="BJ50" s="4"/>
      <c r="BK50" s="4"/>
    </row>
    <row r="51">
      <c r="A51" s="4"/>
      <c r="B51" s="4"/>
      <c r="C51" s="4"/>
      <c r="D51" s="4">
        <f>IFERROR(__xludf.DUMMYFUNCTION("""COMPUTED_VALUE"""),166.2115999169163)</f>
        <v>166.2115999</v>
      </c>
      <c r="E51" s="23">
        <f>IFERROR(__xludf.DUMMYFUNCTION("""COMPUTED_VALUE"""),-1.2742346066347636)</f>
        <v>-1.274234607</v>
      </c>
      <c r="F51" s="4"/>
      <c r="G51" s="4"/>
      <c r="H51" s="4">
        <f>IFERROR(__xludf.DUMMYFUNCTION("""COMPUTED_VALUE"""),1.4208269423278352)</f>
        <v>1.420826942</v>
      </c>
      <c r="I51" s="4"/>
      <c r="J51" s="4"/>
      <c r="K51" s="4">
        <f>IFERROR(__xludf.DUMMYFUNCTION("""COMPUTED_VALUE"""),-6.307929527342026)</f>
        <v>-6.307929527</v>
      </c>
      <c r="L51" s="4"/>
      <c r="M51" s="4"/>
      <c r="N51" s="4">
        <f>IFERROR(__xludf.DUMMYFUNCTION("""COMPUTED_VALUE"""),7.304974091170152)</f>
        <v>7.304974091</v>
      </c>
      <c r="O51" s="4"/>
      <c r="P51" s="4"/>
      <c r="Q51" s="4">
        <f>IFERROR(__xludf.DUMMYFUNCTION("""COMPUTED_VALUE"""),2.986690961027307)</f>
        <v>2.986690961</v>
      </c>
      <c r="R51" s="4"/>
      <c r="S51" s="4"/>
      <c r="T51" s="4">
        <f>IFERROR(__xludf.DUMMYFUNCTION("""COMPUTED_VALUE"""),-0.7505509945283393)</f>
        <v>-0.7505509945</v>
      </c>
      <c r="U51" s="4"/>
      <c r="V51" s="4"/>
      <c r="W51" s="4">
        <f>IFERROR(__xludf.DUMMYFUNCTION("""COMPUTED_VALUE"""),0.05110760531965752)</f>
        <v>0.05110760532</v>
      </c>
      <c r="X51" s="4"/>
      <c r="Y51" s="4"/>
      <c r="Z51" s="4">
        <f>IFERROR(__xludf.DUMMYFUNCTION("""COMPUTED_VALUE"""),2.5825650634743624)</f>
        <v>2.582565063</v>
      </c>
      <c r="AA51" s="4"/>
      <c r="AB51" s="4"/>
      <c r="AC51" s="4">
        <f>IFERROR(__xludf.DUMMYFUNCTION("""COMPUTED_VALUE"""),-0.646691391329739)</f>
        <v>-0.6466913913</v>
      </c>
      <c r="AD51" s="4"/>
      <c r="AE51" s="4"/>
      <c r="AF51" s="4">
        <f>IFERROR(__xludf.DUMMYFUNCTION("""COMPUTED_VALUE"""),0.7872816542990222)</f>
        <v>0.7872816543</v>
      </c>
      <c r="AG51" s="4"/>
      <c r="AH51" s="4"/>
      <c r="AI51" s="4">
        <f>IFERROR(__xludf.DUMMYFUNCTION("""COMPUTED_VALUE"""),-1.2342326137992359)</f>
        <v>-1.234232614</v>
      </c>
      <c r="AJ51" s="4"/>
      <c r="AK51" s="4"/>
      <c r="AL51" s="4">
        <f>IFERROR(__xludf.DUMMYFUNCTION("""COMPUTED_VALUE"""),1.4742153587759503)</f>
        <v>1.474215359</v>
      </c>
      <c r="AM51" s="4"/>
      <c r="AN51" s="4"/>
      <c r="AO51" s="4">
        <f>IFERROR(__xludf.DUMMYFUNCTION("""COMPUTED_VALUE"""),-0.15158687719832642)</f>
        <v>-0.1515868772</v>
      </c>
      <c r="AP51" s="4"/>
      <c r="AQ51" s="4"/>
      <c r="AR51" s="4">
        <f>IFERROR(__xludf.DUMMYFUNCTION("""COMPUTED_VALUE"""),-0.462892091975732)</f>
        <v>-0.462892092</v>
      </c>
      <c r="AS51" s="4"/>
      <c r="AT51" s="4"/>
      <c r="AU51" s="4">
        <f>IFERROR(__xludf.DUMMYFUNCTION("""COMPUTED_VALUE"""),-3.232699343340414)</f>
        <v>-3.232699343</v>
      </c>
      <c r="AV51" s="4"/>
      <c r="AW51" s="4"/>
      <c r="AX51" s="4">
        <f>IFERROR(__xludf.DUMMYFUNCTION("""COMPUTED_VALUE"""),-0.02802848603533903)</f>
        <v>-0.02802848604</v>
      </c>
      <c r="AY51" s="4"/>
      <c r="AZ51" s="4"/>
      <c r="BA51" s="4">
        <f>IFERROR(__xludf.DUMMYFUNCTION("""COMPUTED_VALUE"""),-4.091323960142233)</f>
        <v>-4.09132396</v>
      </c>
      <c r="BB51" s="4"/>
      <c r="BC51" s="4"/>
      <c r="BD51" s="4">
        <f>IFERROR(__xludf.DUMMYFUNCTION("""COMPUTED_VALUE"""),2.031745810723976)</f>
        <v>2.031745811</v>
      </c>
      <c r="BE51" s="4"/>
      <c r="BF51" s="4"/>
      <c r="BG51" s="4">
        <f>IFERROR(__xludf.DUMMYFUNCTION("""COMPUTED_VALUE"""),-6.219765976915653)</f>
        <v>-6.219765977</v>
      </c>
      <c r="BH51" s="4"/>
      <c r="BI51" s="4"/>
      <c r="BJ51" s="4"/>
      <c r="BK51" s="4"/>
    </row>
    <row r="52">
      <c r="A52" s="4"/>
      <c r="B52" s="4"/>
      <c r="C52" s="4"/>
      <c r="D52" s="4">
        <f>IFERROR(__xludf.DUMMYFUNCTION("""COMPUTED_VALUE"""),165.29330378628154)</f>
        <v>165.2933038</v>
      </c>
      <c r="E52" s="23">
        <f>IFERROR(__xludf.DUMMYFUNCTION("""COMPUTED_VALUE"""),0.643169154035661)</f>
        <v>0.643169154</v>
      </c>
      <c r="F52" s="4"/>
      <c r="G52" s="4"/>
      <c r="H52" s="4">
        <f>IFERROR(__xludf.DUMMYFUNCTION("""COMPUTED_VALUE"""),-1.3358123590363107)</f>
        <v>-1.335812359</v>
      </c>
      <c r="I52" s="4"/>
      <c r="J52" s="4"/>
      <c r="K52" s="4">
        <f>IFERROR(__xludf.DUMMYFUNCTION("""COMPUTED_VALUE"""),-3.642619420034407)</f>
        <v>-3.64261942</v>
      </c>
      <c r="L52" s="4"/>
      <c r="M52" s="4"/>
      <c r="N52" s="4">
        <f>IFERROR(__xludf.DUMMYFUNCTION("""COMPUTED_VALUE"""),1.435738130872835)</f>
        <v>1.435738131</v>
      </c>
      <c r="O52" s="4"/>
      <c r="P52" s="4"/>
      <c r="Q52" s="4">
        <f>IFERROR(__xludf.DUMMYFUNCTION("""COMPUTED_VALUE"""),-0.7846929340020097)</f>
        <v>-0.784692934</v>
      </c>
      <c r="R52" s="4"/>
      <c r="S52" s="4"/>
      <c r="T52" s="4">
        <f>IFERROR(__xludf.DUMMYFUNCTION("""COMPUTED_VALUE"""),-2.8825170788841774)</f>
        <v>-2.882517079</v>
      </c>
      <c r="U52" s="4"/>
      <c r="V52" s="4"/>
      <c r="W52" s="4">
        <f>IFERROR(__xludf.DUMMYFUNCTION("""COMPUTED_VALUE"""),-0.11818664737211293)</f>
        <v>-0.1181866474</v>
      </c>
      <c r="X52" s="4"/>
      <c r="Y52" s="4"/>
      <c r="Z52" s="4">
        <f>IFERROR(__xludf.DUMMYFUNCTION("""COMPUTED_VALUE"""),3.231031366726768)</f>
        <v>3.231031367</v>
      </c>
      <c r="AA52" s="4"/>
      <c r="AB52" s="4"/>
      <c r="AC52" s="4">
        <f>IFERROR(__xludf.DUMMYFUNCTION("""COMPUTED_VALUE"""),-1.3603761341034328)</f>
        <v>-1.360376134</v>
      </c>
      <c r="AD52" s="4"/>
      <c r="AE52" s="4"/>
      <c r="AF52" s="4">
        <f>IFERROR(__xludf.DUMMYFUNCTION("""COMPUTED_VALUE"""),7.348188347916619)</f>
        <v>7.348188348</v>
      </c>
      <c r="AG52" s="4"/>
      <c r="AH52" s="4"/>
      <c r="AI52" s="4">
        <f>IFERROR(__xludf.DUMMYFUNCTION("""COMPUTED_VALUE"""),2.863707933410808)</f>
        <v>2.863707933</v>
      </c>
      <c r="AJ52" s="4"/>
      <c r="AK52" s="4"/>
      <c r="AL52" s="4">
        <f>IFERROR(__xludf.DUMMYFUNCTION("""COMPUTED_VALUE"""),-1.7754598717987733)</f>
        <v>-1.775459872</v>
      </c>
      <c r="AM52" s="4"/>
      <c r="AN52" s="4"/>
      <c r="AO52" s="4">
        <f>IFERROR(__xludf.DUMMYFUNCTION("""COMPUTED_VALUE"""),1.7154207357532414)</f>
        <v>1.715420736</v>
      </c>
      <c r="AP52" s="4"/>
      <c r="AQ52" s="4"/>
      <c r="AR52" s="4">
        <f>IFERROR(__xludf.DUMMYFUNCTION("""COMPUTED_VALUE"""),1.8745911098419015)</f>
        <v>1.87459111</v>
      </c>
      <c r="AS52" s="4"/>
      <c r="AT52" s="4"/>
      <c r="AU52" s="4">
        <f>IFERROR(__xludf.DUMMYFUNCTION("""COMPUTED_VALUE"""),-0.6214084037059138)</f>
        <v>-0.6214084037</v>
      </c>
      <c r="AV52" s="4"/>
      <c r="AW52" s="4"/>
      <c r="AX52" s="4">
        <f>IFERROR(__xludf.DUMMYFUNCTION("""COMPUTED_VALUE"""),1.2679293397749234)</f>
        <v>1.26792934</v>
      </c>
      <c r="AY52" s="4"/>
      <c r="AZ52" s="4"/>
      <c r="BA52" s="4">
        <f>IFERROR(__xludf.DUMMYFUNCTION("""COMPUTED_VALUE"""),-2.644343290209747)</f>
        <v>-2.64434329</v>
      </c>
      <c r="BB52" s="4"/>
      <c r="BC52" s="4"/>
      <c r="BD52" s="4">
        <f>IFERROR(__xludf.DUMMYFUNCTION("""COMPUTED_VALUE"""),-3.4087254858431493)</f>
        <v>-3.408725486</v>
      </c>
      <c r="BE52" s="4"/>
      <c r="BF52" s="4"/>
      <c r="BG52" s="4">
        <f>IFERROR(__xludf.DUMMYFUNCTION("""COMPUTED_VALUE"""),1.7325586050700394)</f>
        <v>1.732558605</v>
      </c>
      <c r="BH52" s="4"/>
      <c r="BI52" s="4"/>
      <c r="BJ52" s="4"/>
      <c r="BK52" s="4"/>
    </row>
    <row r="53">
      <c r="A53" s="4"/>
      <c r="B53" s="4"/>
      <c r="C53" s="4"/>
      <c r="D53" s="4">
        <f>IFERROR(__xludf.DUMMYFUNCTION("""COMPUTED_VALUE"""),164.37500765348145)</f>
        <v>164.3750077</v>
      </c>
      <c r="E53" s="23">
        <f>IFERROR(__xludf.DUMMYFUNCTION("""COMPUTED_VALUE"""),-0.6686567699514399)</f>
        <v>-0.66865677</v>
      </c>
      <c r="F53" s="4"/>
      <c r="G53" s="4"/>
      <c r="H53" s="4">
        <f>IFERROR(__xludf.DUMMYFUNCTION("""COMPUTED_VALUE"""),1.6332568702666777)</f>
        <v>1.63325687</v>
      </c>
      <c r="I53" s="4"/>
      <c r="J53" s="4"/>
      <c r="K53" s="4">
        <f>IFERROR(__xludf.DUMMYFUNCTION("""COMPUTED_VALUE"""),4.088142007781812)</f>
        <v>4.088142008</v>
      </c>
      <c r="L53" s="4"/>
      <c r="M53" s="4"/>
      <c r="N53" s="4">
        <f>IFERROR(__xludf.DUMMYFUNCTION("""COMPUTED_VALUE"""),4.841921481495945)</f>
        <v>4.841921481</v>
      </c>
      <c r="O53" s="4"/>
      <c r="P53" s="4"/>
      <c r="Q53" s="4">
        <f>IFERROR(__xludf.DUMMYFUNCTION("""COMPUTED_VALUE"""),6.346549200275035)</f>
        <v>6.3465492</v>
      </c>
      <c r="R53" s="4"/>
      <c r="S53" s="4"/>
      <c r="T53" s="4">
        <f>IFERROR(__xludf.DUMMYFUNCTION("""COMPUTED_VALUE"""),6.049594454385215)</f>
        <v>6.049594454</v>
      </c>
      <c r="U53" s="4"/>
      <c r="V53" s="4"/>
      <c r="W53" s="4">
        <f>IFERROR(__xludf.DUMMYFUNCTION("""COMPUTED_VALUE"""),-4.363800519915344)</f>
        <v>-4.36380052</v>
      </c>
      <c r="X53" s="4"/>
      <c r="Y53" s="4"/>
      <c r="Z53" s="4">
        <f>IFERROR(__xludf.DUMMYFUNCTION("""COMPUTED_VALUE"""),8.930270148170166)</f>
        <v>8.930270148</v>
      </c>
      <c r="AA53" s="4"/>
      <c r="AB53" s="4"/>
      <c r="AC53" s="4">
        <f>IFERROR(__xludf.DUMMYFUNCTION("""COMPUTED_VALUE"""),-1.7297305800775007)</f>
        <v>-1.72973058</v>
      </c>
      <c r="AD53" s="4"/>
      <c r="AE53" s="4"/>
      <c r="AF53" s="4">
        <f>IFERROR(__xludf.DUMMYFUNCTION("""COMPUTED_VALUE"""),3.1048579778532712)</f>
        <v>3.104857978</v>
      </c>
      <c r="AG53" s="4"/>
      <c r="AH53" s="4"/>
      <c r="AI53" s="4">
        <f>IFERROR(__xludf.DUMMYFUNCTION("""COMPUTED_VALUE"""),-1.2152240341613947)</f>
        <v>-1.215224034</v>
      </c>
      <c r="AJ53" s="4"/>
      <c r="AK53" s="4"/>
      <c r="AL53" s="4">
        <f>IFERROR(__xludf.DUMMYFUNCTION("""COMPUTED_VALUE"""),-4.48800982145525)</f>
        <v>-4.488009821</v>
      </c>
      <c r="AM53" s="4"/>
      <c r="AN53" s="4"/>
      <c r="AO53" s="4">
        <f>IFERROR(__xludf.DUMMYFUNCTION("""COMPUTED_VALUE"""),-2.861924684090127)</f>
        <v>-2.861924684</v>
      </c>
      <c r="AP53" s="4"/>
      <c r="AQ53" s="4"/>
      <c r="AR53" s="4">
        <f>IFERROR(__xludf.DUMMYFUNCTION("""COMPUTED_VALUE"""),-1.097675605737777)</f>
        <v>-1.097675606</v>
      </c>
      <c r="AS53" s="4"/>
      <c r="AT53" s="4"/>
      <c r="AU53" s="4">
        <f>IFERROR(__xludf.DUMMYFUNCTION("""COMPUTED_VALUE"""),-2.8065120066715963)</f>
        <v>-2.806512007</v>
      </c>
      <c r="AV53" s="4"/>
      <c r="AW53" s="4"/>
      <c r="AX53" s="4">
        <f>IFERROR(__xludf.DUMMYFUNCTION("""COMPUTED_VALUE"""),1.1609632394479377)</f>
        <v>1.160963239</v>
      </c>
      <c r="AY53" s="4"/>
      <c r="AZ53" s="4"/>
      <c r="BA53" s="4">
        <f>IFERROR(__xludf.DUMMYFUNCTION("""COMPUTED_VALUE"""),-1.1233213871211092)</f>
        <v>-1.123321387</v>
      </c>
      <c r="BB53" s="4"/>
      <c r="BC53" s="4"/>
      <c r="BD53" s="4">
        <f>IFERROR(__xludf.DUMMYFUNCTION("""COMPUTED_VALUE"""),-0.9056584766002516)</f>
        <v>-0.9056584766</v>
      </c>
      <c r="BE53" s="4"/>
      <c r="BF53" s="4"/>
      <c r="BG53" s="4">
        <f>IFERROR(__xludf.DUMMYFUNCTION("""COMPUTED_VALUE"""),2.6339919158849625)</f>
        <v>2.633991916</v>
      </c>
      <c r="BH53" s="4"/>
      <c r="BI53" s="4"/>
      <c r="BJ53" s="4"/>
      <c r="BK53" s="4"/>
    </row>
    <row r="54">
      <c r="A54" s="4"/>
      <c r="B54" s="4"/>
      <c r="C54" s="4"/>
      <c r="D54" s="4">
        <f>IFERROR(__xludf.DUMMYFUNCTION("""COMPUTED_VALUE"""),163.45671152068138)</f>
        <v>163.4567115</v>
      </c>
      <c r="E54" s="23">
        <f>IFERROR(__xludf.DUMMYFUNCTION("""COMPUTED_VALUE"""),-4.717414256955578)</f>
        <v>-4.717414257</v>
      </c>
      <c r="F54" s="4"/>
      <c r="G54" s="4"/>
      <c r="H54" s="4">
        <f>IFERROR(__xludf.DUMMYFUNCTION("""COMPUTED_VALUE"""),-3.7528768559074592)</f>
        <v>-3.752876856</v>
      </c>
      <c r="I54" s="4"/>
      <c r="J54" s="4"/>
      <c r="K54" s="4">
        <f>IFERROR(__xludf.DUMMYFUNCTION("""COMPUTED_VALUE"""),5.170030987769053)</f>
        <v>5.170030988</v>
      </c>
      <c r="L54" s="4"/>
      <c r="M54" s="4"/>
      <c r="N54" s="4">
        <f>IFERROR(__xludf.DUMMYFUNCTION("""COMPUTED_VALUE"""),-0.9323087621749551)</f>
        <v>-0.9323087622</v>
      </c>
      <c r="O54" s="4"/>
      <c r="P54" s="4"/>
      <c r="Q54" s="4">
        <f>IFERROR(__xludf.DUMMYFUNCTION("""COMPUTED_VALUE"""),-0.5749738917648415)</f>
        <v>-0.5749738918</v>
      </c>
      <c r="R54" s="4"/>
      <c r="S54" s="4"/>
      <c r="T54" s="4">
        <f>IFERROR(__xludf.DUMMYFUNCTION("""COMPUTED_VALUE"""),1.2554108205779357)</f>
        <v>1.255410821</v>
      </c>
      <c r="U54" s="4"/>
      <c r="V54" s="4"/>
      <c r="W54" s="4">
        <f>IFERROR(__xludf.DUMMYFUNCTION("""COMPUTED_VALUE"""),0.7982057038094013)</f>
        <v>0.7982057038</v>
      </c>
      <c r="X54" s="4"/>
      <c r="Y54" s="4"/>
      <c r="Z54" s="4">
        <f>IFERROR(__xludf.DUMMYFUNCTION("""COMPUTED_VALUE"""),0.22215767081132753)</f>
        <v>0.2221576708</v>
      </c>
      <c r="AA54" s="4"/>
      <c r="AB54" s="4"/>
      <c r="AC54" s="4">
        <f>IFERROR(__xludf.DUMMYFUNCTION("""COMPUTED_VALUE"""),-6.31343823658699)</f>
        <v>-6.313438237</v>
      </c>
      <c r="AD54" s="4"/>
      <c r="AE54" s="4"/>
      <c r="AF54" s="4">
        <f>IFERROR(__xludf.DUMMYFUNCTION("""COMPUTED_VALUE"""),-1.2273625414165963)</f>
        <v>-1.227362541</v>
      </c>
      <c r="AG54" s="4"/>
      <c r="AH54" s="4"/>
      <c r="AI54" s="4">
        <f>IFERROR(__xludf.DUMMYFUNCTION("""COMPUTED_VALUE"""),-1.3023596893550007)</f>
        <v>-1.302359689</v>
      </c>
      <c r="AJ54" s="4"/>
      <c r="AK54" s="4"/>
      <c r="AL54" s="4">
        <f>IFERROR(__xludf.DUMMYFUNCTION("""COMPUTED_VALUE"""),1.744057137359789)</f>
        <v>1.744057137</v>
      </c>
      <c r="AM54" s="4"/>
      <c r="AN54" s="4"/>
      <c r="AO54" s="4">
        <f>IFERROR(__xludf.DUMMYFUNCTION("""COMPUTED_VALUE"""),1.9022086701708076)</f>
        <v>1.90220867</v>
      </c>
      <c r="AP54" s="4"/>
      <c r="AQ54" s="4"/>
      <c r="AR54" s="4">
        <f>IFERROR(__xludf.DUMMYFUNCTION("""COMPUTED_VALUE"""),-5.582383104804194)</f>
        <v>-5.582383105</v>
      </c>
      <c r="AS54" s="4"/>
      <c r="AT54" s="4"/>
      <c r="AU54" s="4">
        <f>IFERROR(__xludf.DUMMYFUNCTION("""COMPUTED_VALUE"""),-2.122381121294211)</f>
        <v>-2.122381121</v>
      </c>
      <c r="AV54" s="4"/>
      <c r="AW54" s="4"/>
      <c r="AX54" s="4">
        <f>IFERROR(__xludf.DUMMYFUNCTION("""COMPUTED_VALUE"""),-3.1501852936063983)</f>
        <v>-3.150185294</v>
      </c>
      <c r="AY54" s="4"/>
      <c r="AZ54" s="4"/>
      <c r="BA54" s="4">
        <f>IFERROR(__xludf.DUMMYFUNCTION("""COMPUTED_VALUE"""),2.1481609613957175)</f>
        <v>2.148160961</v>
      </c>
      <c r="BB54" s="4"/>
      <c r="BC54" s="4"/>
      <c r="BD54" s="4">
        <f>IFERROR(__xludf.DUMMYFUNCTION("""COMPUTED_VALUE"""),-4.951802548026251)</f>
        <v>-4.951802548</v>
      </c>
      <c r="BE54" s="4"/>
      <c r="BF54" s="4"/>
      <c r="BG54" s="4">
        <f>IFERROR(__xludf.DUMMYFUNCTION("""COMPUTED_VALUE"""),7.633008775226301)</f>
        <v>7.633008775</v>
      </c>
      <c r="BH54" s="4"/>
      <c r="BI54" s="4"/>
      <c r="BJ54" s="4"/>
      <c r="BK54" s="4"/>
    </row>
    <row r="55">
      <c r="A55" s="4"/>
      <c r="B55" s="4"/>
      <c r="C55" s="4"/>
      <c r="D55" s="4">
        <f>IFERROR(__xludf.DUMMYFUNCTION("""COMPUTED_VALUE"""),162.5384153900466)</f>
        <v>162.5384154</v>
      </c>
      <c r="E55" s="23">
        <f>IFERROR(__xludf.DUMMYFUNCTION("""COMPUTED_VALUE"""),0.33886515044895305)</f>
        <v>0.3388651504</v>
      </c>
      <c r="F55" s="4"/>
      <c r="G55" s="4"/>
      <c r="H55" s="4">
        <f>IFERROR(__xludf.DUMMYFUNCTION("""COMPUTED_VALUE"""),0.3461755796280954)</f>
        <v>0.3461755796</v>
      </c>
      <c r="I55" s="4"/>
      <c r="J55" s="4"/>
      <c r="K55" s="4">
        <f>IFERROR(__xludf.DUMMYFUNCTION("""COMPUTED_VALUE"""),8.915720152267966)</f>
        <v>8.915720152</v>
      </c>
      <c r="L55" s="4"/>
      <c r="M55" s="4"/>
      <c r="N55" s="4">
        <f>IFERROR(__xludf.DUMMYFUNCTION("""COMPUTED_VALUE"""),3.1854907941482224)</f>
        <v>3.185490794</v>
      </c>
      <c r="O55" s="4"/>
      <c r="P55" s="4"/>
      <c r="Q55" s="4">
        <f>IFERROR(__xludf.DUMMYFUNCTION("""COMPUTED_VALUE"""),0.38680020725774966)</f>
        <v>0.3868002073</v>
      </c>
      <c r="R55" s="4"/>
      <c r="S55" s="4"/>
      <c r="T55" s="4">
        <f>IFERROR(__xludf.DUMMYFUNCTION("""COMPUTED_VALUE"""),1.3239887432854403)</f>
        <v>1.323988743</v>
      </c>
      <c r="U55" s="4"/>
      <c r="V55" s="4"/>
      <c r="W55" s="4">
        <f>IFERROR(__xludf.DUMMYFUNCTION("""COMPUTED_VALUE"""),-1.0757725274528411)</f>
        <v>-1.075772527</v>
      </c>
      <c r="X55" s="4"/>
      <c r="Y55" s="4"/>
      <c r="Z55" s="4">
        <f>IFERROR(__xludf.DUMMYFUNCTION("""COMPUTED_VALUE"""),-1.9424844448153067)</f>
        <v>-1.942484445</v>
      </c>
      <c r="AA55" s="4"/>
      <c r="AB55" s="4"/>
      <c r="AC55" s="4">
        <f>IFERROR(__xludf.DUMMYFUNCTION("""COMPUTED_VALUE"""),-6.032719714831387)</f>
        <v>-6.032719715</v>
      </c>
      <c r="AD55" s="4"/>
      <c r="AE55" s="4"/>
      <c r="AF55" s="4">
        <f>IFERROR(__xludf.DUMMYFUNCTION("""COMPUTED_VALUE"""),-2.0497470519974286)</f>
        <v>-2.049747052</v>
      </c>
      <c r="AG55" s="4"/>
      <c r="AH55" s="4"/>
      <c r="AI55" s="4">
        <f>IFERROR(__xludf.DUMMYFUNCTION("""COMPUTED_VALUE"""),5.324616361140613)</f>
        <v>5.324616361</v>
      </c>
      <c r="AJ55" s="4"/>
      <c r="AK55" s="4"/>
      <c r="AL55" s="4">
        <f>IFERROR(__xludf.DUMMYFUNCTION("""COMPUTED_VALUE"""),0.35462087227875827)</f>
        <v>0.3546208723</v>
      </c>
      <c r="AM55" s="4"/>
      <c r="AN55" s="4"/>
      <c r="AO55" s="4">
        <f>IFERROR(__xludf.DUMMYFUNCTION("""COMPUTED_VALUE"""),-2.4493185807032773)</f>
        <v>-2.449318581</v>
      </c>
      <c r="AP55" s="4"/>
      <c r="AQ55" s="4"/>
      <c r="AR55" s="4">
        <f>IFERROR(__xludf.DUMMYFUNCTION("""COMPUTED_VALUE"""),-0.1917892079894159)</f>
        <v>-0.191789208</v>
      </c>
      <c r="AS55" s="4"/>
      <c r="AT55" s="4"/>
      <c r="AU55" s="4">
        <f>IFERROR(__xludf.DUMMYFUNCTION("""COMPUTED_VALUE"""),3.900565930827895)</f>
        <v>3.900565931</v>
      </c>
      <c r="AV55" s="4"/>
      <c r="AW55" s="4"/>
      <c r="AX55" s="4">
        <f>IFERROR(__xludf.DUMMYFUNCTION("""COMPUTED_VALUE"""),-0.34172117932297397)</f>
        <v>-0.3417211793</v>
      </c>
      <c r="AY55" s="4"/>
      <c r="AZ55" s="4"/>
      <c r="BA55" s="4">
        <f>IFERROR(__xludf.DUMMYFUNCTION("""COMPUTED_VALUE"""),2.7986265450605856)</f>
        <v>2.798626545</v>
      </c>
      <c r="BB55" s="4"/>
      <c r="BC55" s="4"/>
      <c r="BD55" s="4">
        <f>IFERROR(__xludf.DUMMYFUNCTION("""COMPUTED_VALUE"""),-4.326307014341751)</f>
        <v>-4.326307014</v>
      </c>
      <c r="BE55" s="4"/>
      <c r="BF55" s="4"/>
      <c r="BG55" s="4">
        <f>IFERROR(__xludf.DUMMYFUNCTION("""COMPUTED_VALUE"""),0.358056947554644)</f>
        <v>0.3580569476</v>
      </c>
      <c r="BH55" s="4"/>
      <c r="BI55" s="4"/>
      <c r="BJ55" s="4"/>
      <c r="BK55" s="4"/>
    </row>
    <row r="56">
      <c r="A56" s="4"/>
      <c r="B56" s="4"/>
      <c r="C56" s="4"/>
      <c r="D56" s="4">
        <f>IFERROR(__xludf.DUMMYFUNCTION("""COMPUTED_VALUE"""),161.62011925724653)</f>
        <v>161.6201193</v>
      </c>
      <c r="E56" s="23">
        <f>IFERROR(__xludf.DUMMYFUNCTION("""COMPUTED_VALUE"""),1.9939433090871148)</f>
        <v>1.993943309</v>
      </c>
      <c r="F56" s="4"/>
      <c r="G56" s="4"/>
      <c r="H56" s="4">
        <f>IFERROR(__xludf.DUMMYFUNCTION("""COMPUTED_VALUE"""),2.6474483570253824)</f>
        <v>2.647448357</v>
      </c>
      <c r="I56" s="4"/>
      <c r="J56" s="4"/>
      <c r="K56" s="4">
        <f>IFERROR(__xludf.DUMMYFUNCTION("""COMPUTED_VALUE"""),5.541229598516736)</f>
        <v>5.541229599</v>
      </c>
      <c r="L56" s="4"/>
      <c r="M56" s="4"/>
      <c r="N56" s="4">
        <f>IFERROR(__xludf.DUMMYFUNCTION("""COMPUTED_VALUE"""),-1.060517869956982)</f>
        <v>-1.06051787</v>
      </c>
      <c r="O56" s="4"/>
      <c r="P56" s="4"/>
      <c r="Q56" s="4">
        <f>IFERROR(__xludf.DUMMYFUNCTION("""COMPUTED_VALUE"""),3.092031571796838)</f>
        <v>3.092031572</v>
      </c>
      <c r="R56" s="4"/>
      <c r="S56" s="4"/>
      <c r="T56" s="4">
        <f>IFERROR(__xludf.DUMMYFUNCTION("""COMPUTED_VALUE"""),2.2057982394159694)</f>
        <v>2.205798239</v>
      </c>
      <c r="U56" s="4"/>
      <c r="V56" s="4"/>
      <c r="W56" s="4">
        <f>IFERROR(__xludf.DUMMYFUNCTION("""COMPUTED_VALUE"""),0.32022448375528256)</f>
        <v>0.3202244838</v>
      </c>
      <c r="X56" s="4"/>
      <c r="Y56" s="4"/>
      <c r="Z56" s="4">
        <f>IFERROR(__xludf.DUMMYFUNCTION("""COMPUTED_VALUE"""),-8.31352586816746)</f>
        <v>-8.313525868</v>
      </c>
      <c r="AA56" s="4"/>
      <c r="AB56" s="4"/>
      <c r="AC56" s="4">
        <f>IFERROR(__xludf.DUMMYFUNCTION("""COMPUTED_VALUE"""),1.283269491264548)</f>
        <v>1.283269491</v>
      </c>
      <c r="AD56" s="4"/>
      <c r="AE56" s="4"/>
      <c r="AF56" s="4">
        <f>IFERROR(__xludf.DUMMYFUNCTION("""COMPUTED_VALUE"""),0.8388925206356248)</f>
        <v>0.8388925206</v>
      </c>
      <c r="AG56" s="4"/>
      <c r="AH56" s="4"/>
      <c r="AI56" s="4">
        <f>IFERROR(__xludf.DUMMYFUNCTION("""COMPUTED_VALUE"""),1.015302597921277)</f>
        <v>1.015302598</v>
      </c>
      <c r="AJ56" s="4"/>
      <c r="AK56" s="4"/>
      <c r="AL56" s="4">
        <f>IFERROR(__xludf.DUMMYFUNCTION("""COMPUTED_VALUE"""),3.146311423106795)</f>
        <v>3.146311423</v>
      </c>
      <c r="AM56" s="4"/>
      <c r="AN56" s="4"/>
      <c r="AO56" s="4">
        <f>IFERROR(__xludf.DUMMYFUNCTION("""COMPUTED_VALUE"""),1.0714940445574825)</f>
        <v>1.071494045</v>
      </c>
      <c r="AP56" s="4"/>
      <c r="AQ56" s="4"/>
      <c r="AR56" s="4">
        <f>IFERROR(__xludf.DUMMYFUNCTION("""COMPUTED_VALUE"""),2.937190396773815)</f>
        <v>2.937190397</v>
      </c>
      <c r="AS56" s="4"/>
      <c r="AT56" s="4"/>
      <c r="AU56" s="4">
        <f>IFERROR(__xludf.DUMMYFUNCTION("""COMPUTED_VALUE"""),2.249891601927345)</f>
        <v>2.249891602</v>
      </c>
      <c r="AV56" s="4"/>
      <c r="AW56" s="4"/>
      <c r="AX56" s="4">
        <f>IFERROR(__xludf.DUMMYFUNCTION("""COMPUTED_VALUE"""),-5.126948846347602)</f>
        <v>-5.126948846</v>
      </c>
      <c r="AY56" s="4"/>
      <c r="AZ56" s="4"/>
      <c r="BA56" s="4">
        <f>IFERROR(__xludf.DUMMYFUNCTION("""COMPUTED_VALUE"""),-1.2466322506793972)</f>
        <v>-1.246632251</v>
      </c>
      <c r="BB56" s="4"/>
      <c r="BC56" s="4"/>
      <c r="BD56" s="4">
        <f>IFERROR(__xludf.DUMMYFUNCTION("""COMPUTED_VALUE"""),-2.040327905889626)</f>
        <v>-2.040327906</v>
      </c>
      <c r="BE56" s="4"/>
      <c r="BF56" s="4"/>
      <c r="BG56" s="4">
        <f>IFERROR(__xludf.DUMMYFUNCTION("""COMPUTED_VALUE"""),5.252392514661381)</f>
        <v>5.252392515</v>
      </c>
      <c r="BH56" s="4"/>
      <c r="BI56" s="4"/>
      <c r="BJ56" s="4"/>
      <c r="BK56" s="4"/>
    </row>
    <row r="57">
      <c r="A57" s="4"/>
      <c r="B57" s="4"/>
      <c r="C57" s="4"/>
      <c r="D57" s="4">
        <f>IFERROR(__xludf.DUMMYFUNCTION("""COMPUTED_VALUE"""),160.70182312449683)</f>
        <v>160.7018231</v>
      </c>
      <c r="E57" s="23">
        <f>IFERROR(__xludf.DUMMYFUNCTION("""COMPUTED_VALUE"""),3.0883718802869)</f>
        <v>3.08837188</v>
      </c>
      <c r="F57" s="4"/>
      <c r="G57" s="4"/>
      <c r="H57" s="4">
        <f>IFERROR(__xludf.DUMMYFUNCTION("""COMPUTED_VALUE"""),-3.1268369332335624)</f>
        <v>-3.126836933</v>
      </c>
      <c r="I57" s="4"/>
      <c r="J57" s="4"/>
      <c r="K57" s="4">
        <f>IFERROR(__xludf.DUMMYFUNCTION("""COMPUTED_VALUE"""),2.738577385750091)</f>
        <v>2.738577386</v>
      </c>
      <c r="L57" s="4"/>
      <c r="M57" s="4"/>
      <c r="N57" s="4">
        <f>IFERROR(__xludf.DUMMYFUNCTION("""COMPUTED_VALUE"""),-4.878759074774337)</f>
        <v>-4.878759075</v>
      </c>
      <c r="O57" s="4"/>
      <c r="P57" s="4"/>
      <c r="Q57" s="4">
        <f>IFERROR(__xludf.DUMMYFUNCTION("""COMPUTED_VALUE"""),3.1733302386117543)</f>
        <v>3.173330239</v>
      </c>
      <c r="R57" s="4"/>
      <c r="S57" s="4"/>
      <c r="T57" s="4">
        <f>IFERROR(__xludf.DUMMYFUNCTION("""COMPUTED_VALUE"""),-0.2459459839541296)</f>
        <v>-0.245945984</v>
      </c>
      <c r="U57" s="4"/>
      <c r="V57" s="4"/>
      <c r="W57" s="4">
        <f>IFERROR(__xludf.DUMMYFUNCTION("""COMPUTED_VALUE"""),-2.513831788628295)</f>
        <v>-2.513831789</v>
      </c>
      <c r="X57" s="4"/>
      <c r="Y57" s="4"/>
      <c r="Z57" s="4">
        <f>IFERROR(__xludf.DUMMYFUNCTION("""COMPUTED_VALUE"""),2.438090812421194)</f>
        <v>2.438090812</v>
      </c>
      <c r="AA57" s="4"/>
      <c r="AB57" s="4"/>
      <c r="AC57" s="4">
        <f>IFERROR(__xludf.DUMMYFUNCTION("""COMPUTED_VALUE"""),-2.339737612203237)</f>
        <v>-2.339737612</v>
      </c>
      <c r="AD57" s="4"/>
      <c r="AE57" s="4"/>
      <c r="AF57" s="4">
        <f>IFERROR(__xludf.DUMMYFUNCTION("""COMPUTED_VALUE"""),-3.059842386519847)</f>
        <v>-3.059842387</v>
      </c>
      <c r="AG57" s="4"/>
      <c r="AH57" s="4"/>
      <c r="AI57" s="4">
        <f>IFERROR(__xludf.DUMMYFUNCTION("""COMPUTED_VALUE"""),-5.714430223329657)</f>
        <v>-5.714430223</v>
      </c>
      <c r="AJ57" s="4"/>
      <c r="AK57" s="4"/>
      <c r="AL57" s="4">
        <f>IFERROR(__xludf.DUMMYFUNCTION("""COMPUTED_VALUE"""),7.848378246035509)</f>
        <v>7.848378246</v>
      </c>
      <c r="AM57" s="4"/>
      <c r="AN57" s="4"/>
      <c r="AO57" s="4">
        <f>IFERROR(__xludf.DUMMYFUNCTION("""COMPUTED_VALUE"""),-1.5804054831975236)</f>
        <v>-1.580405483</v>
      </c>
      <c r="AP57" s="4"/>
      <c r="AQ57" s="4"/>
      <c r="AR57" s="4">
        <f>IFERROR(__xludf.DUMMYFUNCTION("""COMPUTED_VALUE"""),2.0786215156964545)</f>
        <v>2.078621516</v>
      </c>
      <c r="AS57" s="4"/>
      <c r="AT57" s="4"/>
      <c r="AU57" s="4">
        <f>IFERROR(__xludf.DUMMYFUNCTION("""COMPUTED_VALUE"""),-0.9878799666671512)</f>
        <v>-0.9878799667</v>
      </c>
      <c r="AV57" s="4"/>
      <c r="AW57" s="4"/>
      <c r="AX57" s="4">
        <f>IFERROR(__xludf.DUMMYFUNCTION("""COMPUTED_VALUE"""),-0.07342239919574922)</f>
        <v>-0.0734223992</v>
      </c>
      <c r="AY57" s="4"/>
      <c r="AZ57" s="4"/>
      <c r="BA57" s="4">
        <f>IFERROR(__xludf.DUMMYFUNCTION("""COMPUTED_VALUE"""),-2.2849633068801722)</f>
        <v>-2.284963307</v>
      </c>
      <c r="BB57" s="4"/>
      <c r="BC57" s="4"/>
      <c r="BD57" s="4">
        <f>IFERROR(__xludf.DUMMYFUNCTION("""COMPUTED_VALUE"""),2.948259652887259)</f>
        <v>2.948259653</v>
      </c>
      <c r="BE57" s="4"/>
      <c r="BF57" s="4"/>
      <c r="BG57" s="4">
        <f>IFERROR(__xludf.DUMMYFUNCTION("""COMPUTED_VALUE"""),4.695735752069254)</f>
        <v>4.695735752</v>
      </c>
      <c r="BH57" s="4"/>
      <c r="BI57" s="4"/>
      <c r="BJ57" s="4"/>
      <c r="BK57" s="4"/>
    </row>
    <row r="58">
      <c r="A58" s="4"/>
      <c r="B58" s="4"/>
      <c r="C58" s="4"/>
      <c r="D58" s="4">
        <f>IFERROR(__xludf.DUMMYFUNCTION("""COMPUTED_VALUE"""),159.78352699169673)</f>
        <v>159.783527</v>
      </c>
      <c r="E58" s="23">
        <f>IFERROR(__xludf.DUMMYFUNCTION("""COMPUTED_VALUE"""),-5.632770806784833)</f>
        <v>-5.632770807</v>
      </c>
      <c r="F58" s="4"/>
      <c r="G58" s="4"/>
      <c r="H58" s="4">
        <f>IFERROR(__xludf.DUMMYFUNCTION("""COMPUTED_VALUE"""),-5.372259562754778)</f>
        <v>-5.372259563</v>
      </c>
      <c r="I58" s="4"/>
      <c r="J58" s="4"/>
      <c r="K58" s="4">
        <f>IFERROR(__xludf.DUMMYFUNCTION("""COMPUTED_VALUE"""),-2.5129663202214374)</f>
        <v>-2.51296632</v>
      </c>
      <c r="L58" s="4"/>
      <c r="M58" s="4"/>
      <c r="N58" s="4">
        <f>IFERROR(__xludf.DUMMYFUNCTION("""COMPUTED_VALUE"""),5.598583955982235)</f>
        <v>5.598583956</v>
      </c>
      <c r="O58" s="4"/>
      <c r="P58" s="4"/>
      <c r="Q58" s="4">
        <f>IFERROR(__xludf.DUMMYFUNCTION("""COMPUTED_VALUE"""),1.744933200922162)</f>
        <v>1.744933201</v>
      </c>
      <c r="R58" s="4"/>
      <c r="S58" s="4"/>
      <c r="T58" s="4">
        <f>IFERROR(__xludf.DUMMYFUNCTION("""COMPUTED_VALUE"""),-3.619260671308041)</f>
        <v>-3.619260671</v>
      </c>
      <c r="U58" s="4"/>
      <c r="V58" s="4"/>
      <c r="W58" s="4">
        <f>IFERROR(__xludf.DUMMYFUNCTION("""COMPUTED_VALUE"""),0.32393018686394726)</f>
        <v>0.3239301869</v>
      </c>
      <c r="X58" s="4"/>
      <c r="Y58" s="4"/>
      <c r="Z58" s="4">
        <f>IFERROR(__xludf.DUMMYFUNCTION("""COMPUTED_VALUE"""),-7.110813694211799)</f>
        <v>-7.110813694</v>
      </c>
      <c r="AA58" s="4"/>
      <c r="AB58" s="4"/>
      <c r="AC58" s="4">
        <f>IFERROR(__xludf.DUMMYFUNCTION("""COMPUTED_VALUE"""),-5.042153292143382)</f>
        <v>-5.042153292</v>
      </c>
      <c r="AD58" s="4"/>
      <c r="AE58" s="4"/>
      <c r="AF58" s="4">
        <f>IFERROR(__xludf.DUMMYFUNCTION("""COMPUTED_VALUE"""),-4.047526739517195)</f>
        <v>-4.04752674</v>
      </c>
      <c r="AG58" s="4"/>
      <c r="AH58" s="4"/>
      <c r="AI58" s="4">
        <f>IFERROR(__xludf.DUMMYFUNCTION("""COMPUTED_VALUE"""),0.624727133598924)</f>
        <v>0.6247271336</v>
      </c>
      <c r="AJ58" s="4"/>
      <c r="AK58" s="4"/>
      <c r="AL58" s="4">
        <f>IFERROR(__xludf.DUMMYFUNCTION("""COMPUTED_VALUE"""),1.3647433842534724)</f>
        <v>1.364743384</v>
      </c>
      <c r="AM58" s="4"/>
      <c r="AN58" s="4"/>
      <c r="AO58" s="4">
        <f>IFERROR(__xludf.DUMMYFUNCTION("""COMPUTED_VALUE"""),2.054585079783351)</f>
        <v>2.05458508</v>
      </c>
      <c r="AP58" s="4"/>
      <c r="AQ58" s="4"/>
      <c r="AR58" s="4">
        <f>IFERROR(__xludf.DUMMYFUNCTION("""COMPUTED_VALUE"""),-2.0978734420017418)</f>
        <v>-2.097873442</v>
      </c>
      <c r="AS58" s="4"/>
      <c r="AT58" s="4"/>
      <c r="AU58" s="4">
        <f>IFERROR(__xludf.DUMMYFUNCTION("""COMPUTED_VALUE"""),8.272529185631072)</f>
        <v>8.272529186</v>
      </c>
      <c r="AV58" s="4"/>
      <c r="AW58" s="4"/>
      <c r="AX58" s="4">
        <f>IFERROR(__xludf.DUMMYFUNCTION("""COMPUTED_VALUE"""),-4.534987752763641)</f>
        <v>-4.534987753</v>
      </c>
      <c r="AY58" s="4"/>
      <c r="AZ58" s="4"/>
      <c r="BA58" s="4">
        <f>IFERROR(__xludf.DUMMYFUNCTION("""COMPUTED_VALUE"""),1.564634475666196)</f>
        <v>1.564634476</v>
      </c>
      <c r="BB58" s="4"/>
      <c r="BC58" s="4"/>
      <c r="BD58" s="4">
        <f>IFERROR(__xludf.DUMMYFUNCTION("""COMPUTED_VALUE"""),-6.820586582634348)</f>
        <v>-6.820586583</v>
      </c>
      <c r="BE58" s="4"/>
      <c r="BF58" s="4"/>
      <c r="BG58" s="4">
        <f>IFERROR(__xludf.DUMMYFUNCTION("""COMPUTED_VALUE"""),3.050777984607464)</f>
        <v>3.050777985</v>
      </c>
      <c r="BH58" s="4"/>
      <c r="BI58" s="4"/>
      <c r="BJ58" s="4"/>
      <c r="BK58" s="4"/>
    </row>
    <row r="59">
      <c r="A59" s="4"/>
      <c r="B59" s="4"/>
      <c r="C59" s="4"/>
      <c r="D59" s="4">
        <f>IFERROR(__xludf.DUMMYFUNCTION("""COMPUTED_VALUE"""),158.8652308610116)</f>
        <v>158.8652309</v>
      </c>
      <c r="E59" s="23">
        <f>IFERROR(__xludf.DUMMYFUNCTION("""COMPUTED_VALUE"""),1.1036501632335671)</f>
        <v>1.103650163</v>
      </c>
      <c r="F59" s="4"/>
      <c r="G59" s="4"/>
      <c r="H59" s="4">
        <f>IFERROR(__xludf.DUMMYFUNCTION("""COMPUTED_VALUE"""),5.232253380045506)</f>
        <v>5.23225338</v>
      </c>
      <c r="I59" s="4"/>
      <c r="J59" s="4"/>
      <c r="K59" s="4">
        <f>IFERROR(__xludf.DUMMYFUNCTION("""COMPUTED_VALUE"""),1.8355832493999742)</f>
        <v>1.835583249</v>
      </c>
      <c r="L59" s="4"/>
      <c r="M59" s="4"/>
      <c r="N59" s="4">
        <f>IFERROR(__xludf.DUMMYFUNCTION("""COMPUTED_VALUE"""),-3.2090588809695078)</f>
        <v>-3.209058881</v>
      </c>
      <c r="O59" s="4"/>
      <c r="P59" s="4"/>
      <c r="Q59" s="4">
        <f>IFERROR(__xludf.DUMMYFUNCTION("""COMPUTED_VALUE"""),0.23325635684761892)</f>
        <v>0.2332563568</v>
      </c>
      <c r="R59" s="4"/>
      <c r="S59" s="4"/>
      <c r="T59" s="4">
        <f>IFERROR(__xludf.DUMMYFUNCTION("""COMPUTED_VALUE"""),-2.952730706855789)</f>
        <v>-2.952730707</v>
      </c>
      <c r="U59" s="4"/>
      <c r="V59" s="4"/>
      <c r="W59" s="4">
        <f>IFERROR(__xludf.DUMMYFUNCTION("""COMPUTED_VALUE"""),-1.3684985172683923)</f>
        <v>-1.368498517</v>
      </c>
      <c r="X59" s="4"/>
      <c r="Y59" s="4"/>
      <c r="Z59" s="4">
        <f>IFERROR(__xludf.DUMMYFUNCTION("""COMPUTED_VALUE"""),-2.10817391545271)</f>
        <v>-2.108173915</v>
      </c>
      <c r="AA59" s="4"/>
      <c r="AB59" s="4"/>
      <c r="AC59" s="4">
        <f>IFERROR(__xludf.DUMMYFUNCTION("""COMPUTED_VALUE"""),-2.9517291551956077)</f>
        <v>-2.951729155</v>
      </c>
      <c r="AD59" s="4"/>
      <c r="AE59" s="4"/>
      <c r="AF59" s="4">
        <f>IFERROR(__xludf.DUMMYFUNCTION("""COMPUTED_VALUE"""),-3.0431847694941894)</f>
        <v>-3.043184769</v>
      </c>
      <c r="AG59" s="4"/>
      <c r="AH59" s="4"/>
      <c r="AI59" s="4">
        <f>IFERROR(__xludf.DUMMYFUNCTION("""COMPUTED_VALUE"""),0.16729706287310364)</f>
        <v>0.1672970629</v>
      </c>
      <c r="AJ59" s="4"/>
      <c r="AK59" s="4"/>
      <c r="AL59" s="4">
        <f>IFERROR(__xludf.DUMMYFUNCTION("""COMPUTED_VALUE"""),1.0649886209076271)</f>
        <v>1.064988621</v>
      </c>
      <c r="AM59" s="4"/>
      <c r="AN59" s="4"/>
      <c r="AO59" s="4">
        <f>IFERROR(__xludf.DUMMYFUNCTION("""COMPUTED_VALUE"""),-0.06751250190058045)</f>
        <v>-0.0675125019</v>
      </c>
      <c r="AP59" s="4"/>
      <c r="AQ59" s="4"/>
      <c r="AR59" s="4">
        <f>IFERROR(__xludf.DUMMYFUNCTION("""COMPUTED_VALUE"""),6.722472032596784)</f>
        <v>6.722472033</v>
      </c>
      <c r="AS59" s="4"/>
      <c r="AT59" s="4"/>
      <c r="AU59" s="4">
        <f>IFERROR(__xludf.DUMMYFUNCTION("""COMPUTED_VALUE"""),-3.1455010495902798)</f>
        <v>-3.14550105</v>
      </c>
      <c r="AV59" s="4"/>
      <c r="AW59" s="4"/>
      <c r="AX59" s="4">
        <f>IFERROR(__xludf.DUMMYFUNCTION("""COMPUTED_VALUE"""),1.227476399773309)</f>
        <v>1.2274764</v>
      </c>
      <c r="AY59" s="4"/>
      <c r="AZ59" s="4"/>
      <c r="BA59" s="4">
        <f>IFERROR(__xludf.DUMMYFUNCTION("""COMPUTED_VALUE"""),3.897167069920897)</f>
        <v>3.89716707</v>
      </c>
      <c r="BB59" s="4"/>
      <c r="BC59" s="4"/>
      <c r="BD59" s="4">
        <f>IFERROR(__xludf.DUMMYFUNCTION("""COMPUTED_VALUE"""),1.6688255717544394)</f>
        <v>1.668825572</v>
      </c>
      <c r="BE59" s="4"/>
      <c r="BF59" s="4"/>
      <c r="BG59" s="4">
        <f>IFERROR(__xludf.DUMMYFUNCTION("""COMPUTED_VALUE"""),4.037128432911743)</f>
        <v>4.037128433</v>
      </c>
      <c r="BH59" s="4"/>
      <c r="BI59" s="4"/>
      <c r="BJ59" s="4"/>
      <c r="BK59" s="4"/>
    </row>
    <row r="60">
      <c r="A60" s="4"/>
      <c r="B60" s="4"/>
      <c r="C60" s="4"/>
      <c r="D60" s="4">
        <f>IFERROR(__xludf.DUMMYFUNCTION("""COMPUTED_VALUE"""),157.94693472826188)</f>
        <v>157.9469347</v>
      </c>
      <c r="E60" s="23">
        <f>IFERROR(__xludf.DUMMYFUNCTION("""COMPUTED_VALUE"""),-1.6583155099795022)</f>
        <v>-1.65831551</v>
      </c>
      <c r="F60" s="4"/>
      <c r="G60" s="4"/>
      <c r="H60" s="4">
        <f>IFERROR(__xludf.DUMMYFUNCTION("""COMPUTED_VALUE"""),1.5741094351740799)</f>
        <v>1.574109435</v>
      </c>
      <c r="I60" s="4"/>
      <c r="J60" s="4"/>
      <c r="K60" s="4">
        <f>IFERROR(__xludf.DUMMYFUNCTION("""COMPUTED_VALUE"""),-0.3000716305021456)</f>
        <v>-0.3000716305</v>
      </c>
      <c r="L60" s="4"/>
      <c r="M60" s="4"/>
      <c r="N60" s="4">
        <f>IFERROR(__xludf.DUMMYFUNCTION("""COMPUTED_VALUE"""),1.7554928064012643)</f>
        <v>1.755492806</v>
      </c>
      <c r="O60" s="4"/>
      <c r="P60" s="4"/>
      <c r="Q60" s="4">
        <f>IFERROR(__xludf.DUMMYFUNCTION("""COMPUTED_VALUE"""),2.6042825475100244)</f>
        <v>2.604282548</v>
      </c>
      <c r="R60" s="4"/>
      <c r="S60" s="4"/>
      <c r="T60" s="4">
        <f>IFERROR(__xludf.DUMMYFUNCTION("""COMPUTED_VALUE"""),1.8492216139532616)</f>
        <v>1.849221614</v>
      </c>
      <c r="U60" s="4"/>
      <c r="V60" s="4"/>
      <c r="W60" s="4">
        <f>IFERROR(__xludf.DUMMYFUNCTION("""COMPUTED_VALUE"""),-2.5030031656062306)</f>
        <v>-2.503003166</v>
      </c>
      <c r="X60" s="4"/>
      <c r="Y60" s="4"/>
      <c r="Z60" s="4">
        <f>IFERROR(__xludf.DUMMYFUNCTION("""COMPUTED_VALUE"""),-0.48193068007401507)</f>
        <v>-0.4819306801</v>
      </c>
      <c r="AA60" s="4"/>
      <c r="AB60" s="4"/>
      <c r="AC60" s="4">
        <f>IFERROR(__xludf.DUMMYFUNCTION("""COMPUTED_VALUE"""),-1.1610335907586773)</f>
        <v>-1.161033591</v>
      </c>
      <c r="AD60" s="4"/>
      <c r="AE60" s="4"/>
      <c r="AF60" s="4">
        <f>IFERROR(__xludf.DUMMYFUNCTION("""COMPUTED_VALUE"""),-2.093810087518591)</f>
        <v>-2.093810088</v>
      </c>
      <c r="AG60" s="4"/>
      <c r="AH60" s="4"/>
      <c r="AI60" s="4">
        <f>IFERROR(__xludf.DUMMYFUNCTION("""COMPUTED_VALUE"""),0.939008291592927)</f>
        <v>0.9390082916</v>
      </c>
      <c r="AJ60" s="4"/>
      <c r="AK60" s="4"/>
      <c r="AL60" s="4">
        <f>IFERROR(__xludf.DUMMYFUNCTION("""COMPUTED_VALUE"""),-0.9567580122786126)</f>
        <v>-0.9567580123</v>
      </c>
      <c r="AM60" s="4"/>
      <c r="AN60" s="4"/>
      <c r="AO60" s="4">
        <f>IFERROR(__xludf.DUMMYFUNCTION("""COMPUTED_VALUE"""),-3.0603153598412973)</f>
        <v>-3.06031536</v>
      </c>
      <c r="AP60" s="4"/>
      <c r="AQ60" s="4"/>
      <c r="AR60" s="4">
        <f>IFERROR(__xludf.DUMMYFUNCTION("""COMPUTED_VALUE"""),-0.3219328905875045)</f>
        <v>-0.3219328906</v>
      </c>
      <c r="AS60" s="4"/>
      <c r="AT60" s="4"/>
      <c r="AU60" s="4">
        <f>IFERROR(__xludf.DUMMYFUNCTION("""COMPUTED_VALUE"""),-0.1238985371961121)</f>
        <v>-0.1238985372</v>
      </c>
      <c r="AV60" s="4"/>
      <c r="AW60" s="4"/>
      <c r="AX60" s="4">
        <f>IFERROR(__xludf.DUMMYFUNCTION("""COMPUTED_VALUE"""),2.0213322409619536)</f>
        <v>2.021332241</v>
      </c>
      <c r="AY60" s="4"/>
      <c r="AZ60" s="4"/>
      <c r="BA60" s="4">
        <f>IFERROR(__xludf.DUMMYFUNCTION("""COMPUTED_VALUE"""),2.415296107439019)</f>
        <v>2.415296107</v>
      </c>
      <c r="BB60" s="4"/>
      <c r="BC60" s="4"/>
      <c r="BD60" s="4">
        <f>IFERROR(__xludf.DUMMYFUNCTION("""COMPUTED_VALUE"""),-0.644825612745592)</f>
        <v>-0.6448256127</v>
      </c>
      <c r="BE60" s="4"/>
      <c r="BF60" s="4"/>
      <c r="BG60" s="4">
        <f>IFERROR(__xludf.DUMMYFUNCTION("""COMPUTED_VALUE"""),3.8614173126548508)</f>
        <v>3.861417313</v>
      </c>
      <c r="BH60" s="4"/>
      <c r="BI60" s="4"/>
      <c r="BJ60" s="4"/>
      <c r="BK60" s="4"/>
    </row>
    <row r="61">
      <c r="A61" s="4"/>
      <c r="B61" s="4"/>
      <c r="C61" s="4"/>
      <c r="D61" s="4">
        <f>IFERROR(__xludf.DUMMYFUNCTION("""COMPUTED_VALUE"""),157.0286385954618)</f>
        <v>157.0286386</v>
      </c>
      <c r="E61" s="23">
        <f>IFERROR(__xludf.DUMMYFUNCTION("""COMPUTED_VALUE"""),3.8987676620621983)</f>
        <v>3.898767662</v>
      </c>
      <c r="F61" s="4"/>
      <c r="G61" s="4"/>
      <c r="H61" s="4">
        <f>IFERROR(__xludf.DUMMYFUNCTION("""COMPUTED_VALUE"""),-2.5797036255527814)</f>
        <v>-2.579703626</v>
      </c>
      <c r="I61" s="4"/>
      <c r="J61" s="4"/>
      <c r="K61" s="4">
        <f>IFERROR(__xludf.DUMMYFUNCTION("""COMPUTED_VALUE"""),-2.203850923971288)</f>
        <v>-2.203850924</v>
      </c>
      <c r="L61" s="4"/>
      <c r="M61" s="4"/>
      <c r="N61" s="4">
        <f>IFERROR(__xludf.DUMMYFUNCTION("""COMPUTED_VALUE"""),-5.242888405533165)</f>
        <v>-5.242888406</v>
      </c>
      <c r="O61" s="4"/>
      <c r="P61" s="4"/>
      <c r="Q61" s="4">
        <f>IFERROR(__xludf.DUMMYFUNCTION("""COMPUTED_VALUE"""),7.565686115623862)</f>
        <v>7.565686116</v>
      </c>
      <c r="R61" s="4"/>
      <c r="S61" s="4"/>
      <c r="T61" s="4">
        <f>IFERROR(__xludf.DUMMYFUNCTION("""COMPUTED_VALUE"""),7.746636806812887)</f>
        <v>7.746636807</v>
      </c>
      <c r="U61" s="4"/>
      <c r="V61" s="4"/>
      <c r="W61" s="4">
        <f>IFERROR(__xludf.DUMMYFUNCTION("""COMPUTED_VALUE"""),1.423517138378486)</f>
        <v>1.423517138</v>
      </c>
      <c r="X61" s="4"/>
      <c r="Y61" s="4"/>
      <c r="Z61" s="4">
        <f>IFERROR(__xludf.DUMMYFUNCTION("""COMPUTED_VALUE"""),-5.329020165100417)</f>
        <v>-5.329020165</v>
      </c>
      <c r="AA61" s="4"/>
      <c r="AB61" s="4"/>
      <c r="AC61" s="4">
        <f>IFERROR(__xludf.DUMMYFUNCTION("""COMPUTED_VALUE"""),6.850364033326855)</f>
        <v>6.850364033</v>
      </c>
      <c r="AD61" s="4"/>
      <c r="AE61" s="4"/>
      <c r="AF61" s="4">
        <f>IFERROR(__xludf.DUMMYFUNCTION("""COMPUTED_VALUE"""),2.1024722426711264)</f>
        <v>2.102472243</v>
      </c>
      <c r="AG61" s="4"/>
      <c r="AH61" s="4"/>
      <c r="AI61" s="4">
        <f>IFERROR(__xludf.DUMMYFUNCTION("""COMPUTED_VALUE"""),0.47826591111862626)</f>
        <v>0.4782659111</v>
      </c>
      <c r="AJ61" s="4"/>
      <c r="AK61" s="4"/>
      <c r="AL61" s="4">
        <f>IFERROR(__xludf.DUMMYFUNCTION("""COMPUTED_VALUE"""),-0.6826962141391846)</f>
        <v>-0.6826962141</v>
      </c>
      <c r="AM61" s="4"/>
      <c r="AN61" s="4"/>
      <c r="AO61" s="4">
        <f>IFERROR(__xludf.DUMMYFUNCTION("""COMPUTED_VALUE"""),0.809254016033492)</f>
        <v>0.809254016</v>
      </c>
      <c r="AP61" s="4"/>
      <c r="AQ61" s="4"/>
      <c r="AR61" s="4">
        <f>IFERROR(__xludf.DUMMYFUNCTION("""COMPUTED_VALUE"""),-2.6870541693199925)</f>
        <v>-2.687054169</v>
      </c>
      <c r="AS61" s="4"/>
      <c r="AT61" s="4"/>
      <c r="AU61" s="4">
        <f>IFERROR(__xludf.DUMMYFUNCTION("""COMPUTED_VALUE"""),0.6566931557109115)</f>
        <v>0.6566931557</v>
      </c>
      <c r="AV61" s="4"/>
      <c r="AW61" s="4"/>
      <c r="AX61" s="4">
        <f>IFERROR(__xludf.DUMMYFUNCTION("""COMPUTED_VALUE"""),-3.494794523334747)</f>
        <v>-3.494794523</v>
      </c>
      <c r="AY61" s="4"/>
      <c r="AZ61" s="4"/>
      <c r="BA61" s="4">
        <f>IFERROR(__xludf.DUMMYFUNCTION("""COMPUTED_VALUE"""),1.2548747494497547)</f>
        <v>1.254874749</v>
      </c>
      <c r="BB61" s="4"/>
      <c r="BC61" s="4"/>
      <c r="BD61" s="4">
        <f>IFERROR(__xludf.DUMMYFUNCTION("""COMPUTED_VALUE"""),7.756289386924493)</f>
        <v>7.756289387</v>
      </c>
      <c r="BE61" s="4"/>
      <c r="BF61" s="4"/>
      <c r="BG61" s="4">
        <f>IFERROR(__xludf.DUMMYFUNCTION("""COMPUTED_VALUE"""),2.6383214115467126)</f>
        <v>2.638321412</v>
      </c>
      <c r="BH61" s="4"/>
      <c r="BI61" s="4"/>
      <c r="BJ61" s="4"/>
      <c r="BK61" s="4"/>
    </row>
    <row r="62">
      <c r="A62" s="4"/>
      <c r="B62" s="4"/>
      <c r="C62" s="4"/>
      <c r="D62" s="4">
        <f>IFERROR(__xludf.DUMMYFUNCTION("""COMPUTED_VALUE"""),156.11034246477666)</f>
        <v>156.1103425</v>
      </c>
      <c r="E62" s="23">
        <f>IFERROR(__xludf.DUMMYFUNCTION("""COMPUTED_VALUE"""),-1.308902198633632)</f>
        <v>-1.308902199</v>
      </c>
      <c r="F62" s="4"/>
      <c r="G62" s="4"/>
      <c r="H62" s="4">
        <f>IFERROR(__xludf.DUMMYFUNCTION("""COMPUTED_VALUE"""),-4.140158727563119)</f>
        <v>-4.140158728</v>
      </c>
      <c r="I62" s="4"/>
      <c r="J62" s="4"/>
      <c r="K62" s="4">
        <f>IFERROR(__xludf.DUMMYFUNCTION("""COMPUTED_VALUE"""),-6.425283595538701)</f>
        <v>-6.425283596</v>
      </c>
      <c r="L62" s="4"/>
      <c r="M62" s="4"/>
      <c r="N62" s="4">
        <f>IFERROR(__xludf.DUMMYFUNCTION("""COMPUTED_VALUE"""),-2.9519084597735628)</f>
        <v>-2.95190846</v>
      </c>
      <c r="O62" s="4"/>
      <c r="P62" s="4"/>
      <c r="Q62" s="4">
        <f>IFERROR(__xludf.DUMMYFUNCTION("""COMPUTED_VALUE"""),-2.265956549979876)</f>
        <v>-2.26595655</v>
      </c>
      <c r="R62" s="4"/>
      <c r="S62" s="4"/>
      <c r="T62" s="4">
        <f>IFERROR(__xludf.DUMMYFUNCTION("""COMPUTED_VALUE"""),1.771383823783367)</f>
        <v>1.771383824</v>
      </c>
      <c r="U62" s="4"/>
      <c r="V62" s="4"/>
      <c r="W62" s="4">
        <f>IFERROR(__xludf.DUMMYFUNCTION("""COMPUTED_VALUE"""),-6.174140571011719)</f>
        <v>-6.174140571</v>
      </c>
      <c r="X62" s="4"/>
      <c r="Y62" s="4"/>
      <c r="Z62" s="4">
        <f>IFERROR(__xludf.DUMMYFUNCTION("""COMPUTED_VALUE"""),0.6816035062137757)</f>
        <v>0.6816035062</v>
      </c>
      <c r="AA62" s="4"/>
      <c r="AB62" s="4"/>
      <c r="AC62" s="4">
        <f>IFERROR(__xludf.DUMMYFUNCTION("""COMPUTED_VALUE"""),1.2654655438126383)</f>
        <v>1.265465544</v>
      </c>
      <c r="AD62" s="4"/>
      <c r="AE62" s="4"/>
      <c r="AF62" s="4">
        <f>IFERROR(__xludf.DUMMYFUNCTION("""COMPUTED_VALUE"""),-4.655908508971152)</f>
        <v>-4.655908509</v>
      </c>
      <c r="AG62" s="4"/>
      <c r="AH62" s="4"/>
      <c r="AI62" s="4">
        <f>IFERROR(__xludf.DUMMYFUNCTION("""COMPUTED_VALUE"""),2.382745060655452)</f>
        <v>2.382745061</v>
      </c>
      <c r="AJ62" s="4"/>
      <c r="AK62" s="4"/>
      <c r="AL62" s="4">
        <f>IFERROR(__xludf.DUMMYFUNCTION("""COMPUTED_VALUE"""),3.6827756528932127)</f>
        <v>3.682775653</v>
      </c>
      <c r="AM62" s="4"/>
      <c r="AN62" s="4"/>
      <c r="AO62" s="4">
        <f>IFERROR(__xludf.DUMMYFUNCTION("""COMPUTED_VALUE"""),-1.243053812483197)</f>
        <v>-1.243053812</v>
      </c>
      <c r="AP62" s="4"/>
      <c r="AQ62" s="4"/>
      <c r="AR62" s="4">
        <f>IFERROR(__xludf.DUMMYFUNCTION("""COMPUTED_VALUE"""),0.6871096097282248)</f>
        <v>0.6871096097</v>
      </c>
      <c r="AS62" s="4"/>
      <c r="AT62" s="4"/>
      <c r="AU62" s="4">
        <f>IFERROR(__xludf.DUMMYFUNCTION("""COMPUTED_VALUE"""),4.883707426794103)</f>
        <v>4.883707427</v>
      </c>
      <c r="AV62" s="4"/>
      <c r="AW62" s="4"/>
      <c r="AX62" s="4">
        <f>IFERROR(__xludf.DUMMYFUNCTION("""COMPUTED_VALUE"""),-2.984852111478233)</f>
        <v>-2.984852111</v>
      </c>
      <c r="AY62" s="4"/>
      <c r="AZ62" s="4"/>
      <c r="BA62" s="4">
        <f>IFERROR(__xludf.DUMMYFUNCTION("""COMPUTED_VALUE"""),-0.8262170130064419)</f>
        <v>-0.826217013</v>
      </c>
      <c r="BB62" s="4"/>
      <c r="BC62" s="4"/>
      <c r="BD62" s="4">
        <f>IFERROR(__xludf.DUMMYFUNCTION("""COMPUTED_VALUE"""),3.438095201005922)</f>
        <v>3.438095201</v>
      </c>
      <c r="BE62" s="4"/>
      <c r="BF62" s="4"/>
      <c r="BG62" s="4">
        <f>IFERROR(__xludf.DUMMYFUNCTION("""COMPUTED_VALUE"""),-4.569836076853903)</f>
        <v>-4.569836077</v>
      </c>
      <c r="BH62" s="4"/>
      <c r="BI62" s="4"/>
      <c r="BJ62" s="4"/>
      <c r="BK62" s="4"/>
    </row>
    <row r="63">
      <c r="A63" s="4"/>
      <c r="B63" s="4"/>
      <c r="C63" s="4"/>
      <c r="D63" s="4">
        <f>IFERROR(__xludf.DUMMYFUNCTION("""COMPUTED_VALUE"""),155.19204633202696)</f>
        <v>155.1920463</v>
      </c>
      <c r="E63" s="23">
        <f>IFERROR(__xludf.DUMMYFUNCTION("""COMPUTED_VALUE"""),-6.990998527961381)</f>
        <v>-6.990998528</v>
      </c>
      <c r="F63" s="4"/>
      <c r="G63" s="4"/>
      <c r="H63" s="4">
        <f>IFERROR(__xludf.DUMMYFUNCTION("""COMPUTED_VALUE"""),5.730334469248248)</f>
        <v>5.730334469</v>
      </c>
      <c r="I63" s="4"/>
      <c r="J63" s="4"/>
      <c r="K63" s="4">
        <f>IFERROR(__xludf.DUMMYFUNCTION("""COMPUTED_VALUE"""),-1.598820927452664)</f>
        <v>-1.598820927</v>
      </c>
      <c r="L63" s="4"/>
      <c r="M63" s="4"/>
      <c r="N63" s="4">
        <f>IFERROR(__xludf.DUMMYFUNCTION("""COMPUTED_VALUE"""),-4.049887454145107)</f>
        <v>-4.049887454</v>
      </c>
      <c r="O63" s="4"/>
      <c r="P63" s="4"/>
      <c r="Q63" s="4">
        <f>IFERROR(__xludf.DUMMYFUNCTION("""COMPUTED_VALUE"""),-5.027885589818766)</f>
        <v>-5.02788559</v>
      </c>
      <c r="R63" s="4"/>
      <c r="S63" s="4"/>
      <c r="T63" s="4">
        <f>IFERROR(__xludf.DUMMYFUNCTION("""COMPUTED_VALUE"""),3.499812167929406)</f>
        <v>3.499812168</v>
      </c>
      <c r="U63" s="4"/>
      <c r="V63" s="4"/>
      <c r="W63" s="4">
        <f>IFERROR(__xludf.DUMMYFUNCTION("""COMPUTED_VALUE"""),1.5316145700745096)</f>
        <v>1.53161457</v>
      </c>
      <c r="X63" s="4"/>
      <c r="Y63" s="4"/>
      <c r="Z63" s="4">
        <f>IFERROR(__xludf.DUMMYFUNCTION("""COMPUTED_VALUE"""),2.37580023318111)</f>
        <v>2.375800233</v>
      </c>
      <c r="AA63" s="4"/>
      <c r="AB63" s="4"/>
      <c r="AC63" s="4">
        <f>IFERROR(__xludf.DUMMYFUNCTION("""COMPUTED_VALUE"""),0.2965682689070377)</f>
        <v>0.2965682689</v>
      </c>
      <c r="AD63" s="4"/>
      <c r="AE63" s="4"/>
      <c r="AF63" s="4">
        <f>IFERROR(__xludf.DUMMYFUNCTION("""COMPUTED_VALUE"""),-3.6356095798194588)</f>
        <v>-3.63560958</v>
      </c>
      <c r="AG63" s="4"/>
      <c r="AH63" s="4"/>
      <c r="AI63" s="4">
        <f>IFERROR(__xludf.DUMMYFUNCTION("""COMPUTED_VALUE"""),-3.438571914845113)</f>
        <v>-3.438571915</v>
      </c>
      <c r="AJ63" s="4"/>
      <c r="AK63" s="4"/>
      <c r="AL63" s="4">
        <f>IFERROR(__xludf.DUMMYFUNCTION("""COMPUTED_VALUE"""),-0.8511618404522778)</f>
        <v>-0.8511618405</v>
      </c>
      <c r="AM63" s="4"/>
      <c r="AN63" s="4"/>
      <c r="AO63" s="4">
        <f>IFERROR(__xludf.DUMMYFUNCTION("""COMPUTED_VALUE"""),-6.2252493277874805)</f>
        <v>-6.225249328</v>
      </c>
      <c r="AP63" s="4"/>
      <c r="AQ63" s="4"/>
      <c r="AR63" s="4">
        <f>IFERROR(__xludf.DUMMYFUNCTION("""COMPUTED_VALUE"""),1.2550948242991353)</f>
        <v>1.255094824</v>
      </c>
      <c r="AS63" s="4"/>
      <c r="AT63" s="4"/>
      <c r="AU63" s="4">
        <f>IFERROR(__xludf.DUMMYFUNCTION("""COMPUTED_VALUE"""),0.5288573415515998)</f>
        <v>0.5288573416</v>
      </c>
      <c r="AV63" s="4"/>
      <c r="AW63" s="4"/>
      <c r="AX63" s="4">
        <f>IFERROR(__xludf.DUMMYFUNCTION("""COMPUTED_VALUE"""),-0.7610663252515337)</f>
        <v>-0.7610663253</v>
      </c>
      <c r="AY63" s="4"/>
      <c r="AZ63" s="4"/>
      <c r="BA63" s="4">
        <f>IFERROR(__xludf.DUMMYFUNCTION("""COMPUTED_VALUE"""),-2.2623140940422104)</f>
        <v>-2.262314094</v>
      </c>
      <c r="BB63" s="4"/>
      <c r="BC63" s="4"/>
      <c r="BD63" s="4">
        <f>IFERROR(__xludf.DUMMYFUNCTION("""COMPUTED_VALUE"""),-0.18350989889171387)</f>
        <v>-0.1835098989</v>
      </c>
      <c r="BE63" s="4"/>
      <c r="BF63" s="4"/>
      <c r="BG63" s="4">
        <f>IFERROR(__xludf.DUMMYFUNCTION("""COMPUTED_VALUE"""),3.178479015105893)</f>
        <v>3.178479015</v>
      </c>
      <c r="BH63" s="4"/>
      <c r="BI63" s="4"/>
      <c r="BJ63" s="4"/>
      <c r="BK63" s="4"/>
    </row>
    <row r="64">
      <c r="A64" s="4"/>
      <c r="B64" s="4"/>
      <c r="C64" s="4"/>
      <c r="D64" s="4">
        <f>IFERROR(__xludf.DUMMYFUNCTION("""COMPUTED_VALUE"""),154.2737501992269)</f>
        <v>154.2737502</v>
      </c>
      <c r="E64" s="23">
        <f>IFERROR(__xludf.DUMMYFUNCTION("""COMPUTED_VALUE"""),-5.266170952686764)</f>
        <v>-5.266170953</v>
      </c>
      <c r="F64" s="4"/>
      <c r="G64" s="4"/>
      <c r="H64" s="4">
        <f>IFERROR(__xludf.DUMMYFUNCTION("""COMPUTED_VALUE"""),-6.2073355433357165)</f>
        <v>-6.207335543</v>
      </c>
      <c r="I64" s="4"/>
      <c r="J64" s="4"/>
      <c r="K64" s="4">
        <f>IFERROR(__xludf.DUMMYFUNCTION("""COMPUTED_VALUE"""),2.8489406584099584)</f>
        <v>2.848940658</v>
      </c>
      <c r="L64" s="4"/>
      <c r="M64" s="4"/>
      <c r="N64" s="4">
        <f>IFERROR(__xludf.DUMMYFUNCTION("""COMPUTED_VALUE"""),-3.591103999190466)</f>
        <v>-3.591103999</v>
      </c>
      <c r="O64" s="4"/>
      <c r="P64" s="4"/>
      <c r="Q64" s="4">
        <f>IFERROR(__xludf.DUMMYFUNCTION("""COMPUTED_VALUE"""),4.779178816786953)</f>
        <v>4.779178817</v>
      </c>
      <c r="R64" s="4"/>
      <c r="S64" s="4"/>
      <c r="T64" s="4">
        <f>IFERROR(__xludf.DUMMYFUNCTION("""COMPUTED_VALUE"""),-6.680205582648341)</f>
        <v>-6.680205583</v>
      </c>
      <c r="U64" s="4"/>
      <c r="V64" s="4"/>
      <c r="W64" s="4">
        <f>IFERROR(__xludf.DUMMYFUNCTION("""COMPUTED_VALUE"""),-3.977656195363295)</f>
        <v>-3.977656195</v>
      </c>
      <c r="X64" s="4"/>
      <c r="Y64" s="4"/>
      <c r="Z64" s="4">
        <f>IFERROR(__xludf.DUMMYFUNCTION("""COMPUTED_VALUE"""),-7.051937670224163)</f>
        <v>-7.05193767</v>
      </c>
      <c r="AA64" s="4"/>
      <c r="AB64" s="4"/>
      <c r="AC64" s="4">
        <f>IFERROR(__xludf.DUMMYFUNCTION("""COMPUTED_VALUE"""),-7.216032853744537)</f>
        <v>-7.216032854</v>
      </c>
      <c r="AD64" s="4"/>
      <c r="AE64" s="4"/>
      <c r="AF64" s="4">
        <f>IFERROR(__xludf.DUMMYFUNCTION("""COMPUTED_VALUE"""),-1.3581914057617155)</f>
        <v>-1.358191406</v>
      </c>
      <c r="AG64" s="4"/>
      <c r="AH64" s="4"/>
      <c r="AI64" s="4">
        <f>IFERROR(__xludf.DUMMYFUNCTION("""COMPUTED_VALUE"""),0.7424836130550148)</f>
        <v>0.7424836131</v>
      </c>
      <c r="AJ64" s="4"/>
      <c r="AK64" s="4"/>
      <c r="AL64" s="4">
        <f>IFERROR(__xludf.DUMMYFUNCTION("""COMPUTED_VALUE"""),0.12912594848341996)</f>
        <v>0.1291259485</v>
      </c>
      <c r="AM64" s="4"/>
      <c r="AN64" s="4"/>
      <c r="AO64" s="4">
        <f>IFERROR(__xludf.DUMMYFUNCTION("""COMPUTED_VALUE"""),-0.9099846851631241)</f>
        <v>-0.9099846852</v>
      </c>
      <c r="AP64" s="4"/>
      <c r="AQ64" s="4"/>
      <c r="AR64" s="4">
        <f>IFERROR(__xludf.DUMMYFUNCTION("""COMPUTED_VALUE"""),-1.1287721682699612)</f>
        <v>-1.128772168</v>
      </c>
      <c r="AS64" s="4"/>
      <c r="AT64" s="4"/>
      <c r="AU64" s="4">
        <f>IFERROR(__xludf.DUMMYFUNCTION("""COMPUTED_VALUE"""),3.1660898169182587)</f>
        <v>3.166089817</v>
      </c>
      <c r="AV64" s="4"/>
      <c r="AW64" s="4"/>
      <c r="AX64" s="4">
        <f>IFERROR(__xludf.DUMMYFUNCTION("""COMPUTED_VALUE"""),1.4160092067577352)</f>
        <v>1.416009207</v>
      </c>
      <c r="AY64" s="4"/>
      <c r="AZ64" s="4"/>
      <c r="BA64" s="4">
        <f>IFERROR(__xludf.DUMMYFUNCTION("""COMPUTED_VALUE"""),3.92315690708449)</f>
        <v>3.923156907</v>
      </c>
      <c r="BB64" s="4"/>
      <c r="BC64" s="4"/>
      <c r="BD64" s="4">
        <f>IFERROR(__xludf.DUMMYFUNCTION("""COMPUTED_VALUE"""),-0.7554607086485134)</f>
        <v>-0.7554607086</v>
      </c>
      <c r="BE64" s="4"/>
      <c r="BF64" s="4"/>
      <c r="BG64" s="4">
        <f>IFERROR(__xludf.DUMMYFUNCTION("""COMPUTED_VALUE"""),6.852623061936697)</f>
        <v>6.852623062</v>
      </c>
      <c r="BH64" s="4"/>
      <c r="BI64" s="4"/>
      <c r="BJ64" s="4"/>
      <c r="BK64" s="4"/>
    </row>
    <row r="65">
      <c r="A65" s="4"/>
      <c r="B65" s="4"/>
      <c r="C65" s="4"/>
      <c r="D65" s="4">
        <f>IFERROR(__xludf.DUMMYFUNCTION("""COMPUTED_VALUE"""),153.3554540685921)</f>
        <v>153.3554541</v>
      </c>
      <c r="E65" s="23">
        <f>IFERROR(__xludf.DUMMYFUNCTION("""COMPUTED_VALUE"""),-5.643122952493854)</f>
        <v>-5.643122952</v>
      </c>
      <c r="F65" s="4"/>
      <c r="G65" s="4"/>
      <c r="H65" s="4">
        <f>IFERROR(__xludf.DUMMYFUNCTION("""COMPUTED_VALUE"""),7.979479832494576)</f>
        <v>7.979479832</v>
      </c>
      <c r="I65" s="4"/>
      <c r="J65" s="4"/>
      <c r="K65" s="4">
        <f>IFERROR(__xludf.DUMMYFUNCTION("""COMPUTED_VALUE"""),-3.2668907639161375)</f>
        <v>-3.266890764</v>
      </c>
      <c r="L65" s="4"/>
      <c r="M65" s="4"/>
      <c r="N65" s="4">
        <f>IFERROR(__xludf.DUMMYFUNCTION("""COMPUTED_VALUE"""),1.4025250206135524)</f>
        <v>1.402525021</v>
      </c>
      <c r="O65" s="4"/>
      <c r="P65" s="4"/>
      <c r="Q65" s="4">
        <f>IFERROR(__xludf.DUMMYFUNCTION("""COMPUTED_VALUE"""),-2.562920068734229)</f>
        <v>-2.562920069</v>
      </c>
      <c r="R65" s="4"/>
      <c r="S65" s="4"/>
      <c r="T65" s="4">
        <f>IFERROR(__xludf.DUMMYFUNCTION("""COMPUTED_VALUE"""),1.8156325241090485)</f>
        <v>1.815632524</v>
      </c>
      <c r="U65" s="4"/>
      <c r="V65" s="4"/>
      <c r="W65" s="4">
        <f>IFERROR(__xludf.DUMMYFUNCTION("""COMPUTED_VALUE"""),0.2269764488417536)</f>
        <v>0.2269764488</v>
      </c>
      <c r="X65" s="4"/>
      <c r="Y65" s="4"/>
      <c r="Z65" s="4">
        <f>IFERROR(__xludf.DUMMYFUNCTION("""COMPUTED_VALUE"""),0.2622812806318393)</f>
        <v>0.2622812806</v>
      </c>
      <c r="AA65" s="4"/>
      <c r="AB65" s="4"/>
      <c r="AC65" s="4">
        <f>IFERROR(__xludf.DUMMYFUNCTION("""COMPUTED_VALUE"""),0.1747583757897928)</f>
        <v>0.1747583758</v>
      </c>
      <c r="AD65" s="4"/>
      <c r="AE65" s="4"/>
      <c r="AF65" s="4">
        <f>IFERROR(__xludf.DUMMYFUNCTION("""COMPUTED_VALUE"""),-4.498496945977877)</f>
        <v>-4.498496946</v>
      </c>
      <c r="AG65" s="4"/>
      <c r="AH65" s="4"/>
      <c r="AI65" s="4">
        <f>IFERROR(__xludf.DUMMYFUNCTION("""COMPUTED_VALUE"""),4.200363655000672)</f>
        <v>4.200363655</v>
      </c>
      <c r="AJ65" s="4"/>
      <c r="AK65" s="4"/>
      <c r="AL65" s="4">
        <f>IFERROR(__xludf.DUMMYFUNCTION("""COMPUTED_VALUE"""),-3.9648721018205606)</f>
        <v>-3.964872102</v>
      </c>
      <c r="AM65" s="4"/>
      <c r="AN65" s="4"/>
      <c r="AO65" s="4">
        <f>IFERROR(__xludf.DUMMYFUNCTION("""COMPUTED_VALUE"""),5.749407561344981)</f>
        <v>5.749407561</v>
      </c>
      <c r="AP65" s="4"/>
      <c r="AQ65" s="4"/>
      <c r="AR65" s="4">
        <f>IFERROR(__xludf.DUMMYFUNCTION("""COMPUTED_VALUE"""),3.3763580556292254)</f>
        <v>3.376358056</v>
      </c>
      <c r="AS65" s="4"/>
      <c r="AT65" s="4"/>
      <c r="AU65" s="4">
        <f>IFERROR(__xludf.DUMMYFUNCTION("""COMPUTED_VALUE"""),1.8714584665134453)</f>
        <v>1.871458467</v>
      </c>
      <c r="AV65" s="4"/>
      <c r="AW65" s="4"/>
      <c r="AX65" s="4">
        <f>IFERROR(__xludf.DUMMYFUNCTION("""COMPUTED_VALUE"""),-1.8502775845689143)</f>
        <v>-1.850277585</v>
      </c>
      <c r="AY65" s="4"/>
      <c r="AZ65" s="4"/>
      <c r="BA65" s="4">
        <f>IFERROR(__xludf.DUMMYFUNCTION("""COMPUTED_VALUE"""),2.512100457219276)</f>
        <v>2.512100457</v>
      </c>
      <c r="BB65" s="4"/>
      <c r="BC65" s="4"/>
      <c r="BD65" s="4">
        <f>IFERROR(__xludf.DUMMYFUNCTION("""COMPUTED_VALUE"""),-0.7009646017012869)</f>
        <v>-0.7009646017</v>
      </c>
      <c r="BE65" s="4"/>
      <c r="BF65" s="4"/>
      <c r="BG65" s="4">
        <f>IFERROR(__xludf.DUMMYFUNCTION("""COMPUTED_VALUE"""),5.277764863159348)</f>
        <v>5.277764863</v>
      </c>
      <c r="BH65" s="4"/>
      <c r="BI65" s="4"/>
      <c r="BJ65" s="4"/>
      <c r="BK65" s="4"/>
    </row>
    <row r="66">
      <c r="A66" s="4"/>
      <c r="B66" s="4"/>
      <c r="C66" s="4"/>
      <c r="D66" s="4">
        <f>IFERROR(__xludf.DUMMYFUNCTION("""COMPUTED_VALUE"""),152.43715793579204)</f>
        <v>152.4371579</v>
      </c>
      <c r="E66" s="23">
        <f>IFERROR(__xludf.DUMMYFUNCTION("""COMPUTED_VALUE"""),5.975803775367069)</f>
        <v>5.975803775</v>
      </c>
      <c r="F66" s="4"/>
      <c r="G66" s="4"/>
      <c r="H66" s="4">
        <f>IFERROR(__xludf.DUMMYFUNCTION("""COMPUTED_VALUE"""),-0.3934164338946289)</f>
        <v>-0.3934164339</v>
      </c>
      <c r="I66" s="4"/>
      <c r="J66" s="4"/>
      <c r="K66" s="4">
        <f>IFERROR(__xludf.DUMMYFUNCTION("""COMPUTED_VALUE"""),0.21402894577408915)</f>
        <v>0.2140289458</v>
      </c>
      <c r="L66" s="4"/>
      <c r="M66" s="4"/>
      <c r="N66" s="4">
        <f>IFERROR(__xludf.DUMMYFUNCTION("""COMPUTED_VALUE"""),-3.637001496646519)</f>
        <v>-3.637001497</v>
      </c>
      <c r="O66" s="4"/>
      <c r="P66" s="4"/>
      <c r="Q66" s="4">
        <f>IFERROR(__xludf.DUMMYFUNCTION("""COMPUTED_VALUE"""),3.4842832982920413)</f>
        <v>3.484283298</v>
      </c>
      <c r="R66" s="4"/>
      <c r="S66" s="4"/>
      <c r="T66" s="4">
        <f>IFERROR(__xludf.DUMMYFUNCTION("""COMPUTED_VALUE"""),-1.9597345166729383)</f>
        <v>-1.959734517</v>
      </c>
      <c r="U66" s="4"/>
      <c r="V66" s="4"/>
      <c r="W66" s="4">
        <f>IFERROR(__xludf.DUMMYFUNCTION("""COMPUTED_VALUE"""),-12.172719782613683)</f>
        <v>-12.17271978</v>
      </c>
      <c r="X66" s="4"/>
      <c r="Y66" s="4"/>
      <c r="Z66" s="4">
        <f>IFERROR(__xludf.DUMMYFUNCTION("""COMPUTED_VALUE"""),-1.1004513278518289)</f>
        <v>-1.100451328</v>
      </c>
      <c r="AA66" s="4"/>
      <c r="AB66" s="4"/>
      <c r="AC66" s="4">
        <f>IFERROR(__xludf.DUMMYFUNCTION("""COMPUTED_VALUE"""),0.5657562908219802)</f>
        <v>0.5657562908</v>
      </c>
      <c r="AD66" s="4"/>
      <c r="AE66" s="4"/>
      <c r="AF66" s="4">
        <f>IFERROR(__xludf.DUMMYFUNCTION("""COMPUTED_VALUE"""),0.16604949422941218)</f>
        <v>0.1660494942</v>
      </c>
      <c r="AG66" s="4"/>
      <c r="AH66" s="4"/>
      <c r="AI66" s="4">
        <f>IFERROR(__xludf.DUMMYFUNCTION("""COMPUTED_VALUE"""),3.6555202505555258)</f>
        <v>3.655520251</v>
      </c>
      <c r="AJ66" s="4"/>
      <c r="AK66" s="4"/>
      <c r="AL66" s="4">
        <f>IFERROR(__xludf.DUMMYFUNCTION("""COMPUTED_VALUE"""),0.5813785865235559)</f>
        <v>0.5813785865</v>
      </c>
      <c r="AM66" s="4"/>
      <c r="AN66" s="4"/>
      <c r="AO66" s="4">
        <f>IFERROR(__xludf.DUMMYFUNCTION("""COMPUTED_VALUE"""),1.1732457784127064)</f>
        <v>1.173245778</v>
      </c>
      <c r="AP66" s="4"/>
      <c r="AQ66" s="4"/>
      <c r="AR66" s="4">
        <f>IFERROR(__xludf.DUMMYFUNCTION("""COMPUTED_VALUE"""),3.6989056417928055)</f>
        <v>3.698905642</v>
      </c>
      <c r="AS66" s="4"/>
      <c r="AT66" s="4"/>
      <c r="AU66" s="4">
        <f>IFERROR(__xludf.DUMMYFUNCTION("""COMPUTED_VALUE"""),4.706236608181484)</f>
        <v>4.706236608</v>
      </c>
      <c r="AV66" s="4"/>
      <c r="AW66" s="4"/>
      <c r="AX66" s="4">
        <f>IFERROR(__xludf.DUMMYFUNCTION("""COMPUTED_VALUE"""),1.938504945938746)</f>
        <v>1.938504946</v>
      </c>
      <c r="AY66" s="4"/>
      <c r="AZ66" s="4"/>
      <c r="BA66" s="4">
        <f>IFERROR(__xludf.DUMMYFUNCTION("""COMPUTED_VALUE"""),-1.645928763351833)</f>
        <v>-1.645928763</v>
      </c>
      <c r="BB66" s="4"/>
      <c r="BC66" s="4"/>
      <c r="BD66" s="4">
        <f>IFERROR(__xludf.DUMMYFUNCTION("""COMPUTED_VALUE"""),2.97236679655407)</f>
        <v>2.972366797</v>
      </c>
      <c r="BE66" s="4"/>
      <c r="BF66" s="4"/>
      <c r="BG66" s="4">
        <f>IFERROR(__xludf.DUMMYFUNCTION("""COMPUTED_VALUE"""),4.469482910591239)</f>
        <v>4.469482911</v>
      </c>
      <c r="BH66" s="4"/>
      <c r="BI66" s="4"/>
      <c r="BJ66" s="4"/>
      <c r="BK66" s="4"/>
    </row>
    <row r="67">
      <c r="A67" s="4"/>
      <c r="B67" s="4"/>
      <c r="C67" s="4"/>
      <c r="D67" s="4">
        <f>IFERROR(__xludf.DUMMYFUNCTION("""COMPUTED_VALUE"""),151.51886180299195)</f>
        <v>151.5188618</v>
      </c>
      <c r="E67" s="23">
        <f>IFERROR(__xludf.DUMMYFUNCTION("""COMPUTED_VALUE"""),1.6945094831907568)</f>
        <v>1.694509483</v>
      </c>
      <c r="F67" s="4"/>
      <c r="G67" s="4"/>
      <c r="H67" s="4">
        <f>IFERROR(__xludf.DUMMYFUNCTION("""COMPUTED_VALUE"""),5.302511704312508)</f>
        <v>5.302511704</v>
      </c>
      <c r="I67" s="4"/>
      <c r="J67" s="4"/>
      <c r="K67" s="4">
        <f>IFERROR(__xludf.DUMMYFUNCTION("""COMPUTED_VALUE"""),-2.4583561154190647)</f>
        <v>-2.458356115</v>
      </c>
      <c r="L67" s="4"/>
      <c r="M67" s="4"/>
      <c r="N67" s="4">
        <f>IFERROR(__xludf.DUMMYFUNCTION("""COMPUTED_VALUE"""),3.652673407319355)</f>
        <v>3.652673407</v>
      </c>
      <c r="O67" s="4"/>
      <c r="P67" s="4"/>
      <c r="Q67" s="4">
        <f>IFERROR(__xludf.DUMMYFUNCTION("""COMPUTED_VALUE"""),5.165458558809576)</f>
        <v>5.165458559</v>
      </c>
      <c r="R67" s="4"/>
      <c r="S67" s="4"/>
      <c r="T67" s="4">
        <f>IFERROR(__xludf.DUMMYFUNCTION("""COMPUTED_VALUE"""),-2.645904611465312)</f>
        <v>-2.645904611</v>
      </c>
      <c r="U67" s="4"/>
      <c r="V67" s="4"/>
      <c r="W67" s="4">
        <f>IFERROR(__xludf.DUMMYFUNCTION("""COMPUTED_VALUE"""),-2.966437917844189)</f>
        <v>-2.966437918</v>
      </c>
      <c r="X67" s="4"/>
      <c r="Y67" s="4"/>
      <c r="Z67" s="4">
        <f>IFERROR(__xludf.DUMMYFUNCTION("""COMPUTED_VALUE"""),-0.11423869184113755)</f>
        <v>-0.1142386918</v>
      </c>
      <c r="AA67" s="4"/>
      <c r="AB67" s="4"/>
      <c r="AC67" s="4">
        <f>IFERROR(__xludf.DUMMYFUNCTION("""COMPUTED_VALUE"""),-5.964651118321342)</f>
        <v>-5.964651118</v>
      </c>
      <c r="AD67" s="4"/>
      <c r="AE67" s="4"/>
      <c r="AF67" s="4">
        <f>IFERROR(__xludf.DUMMYFUNCTION("""COMPUTED_VALUE"""),1.01332392012921)</f>
        <v>1.01332392</v>
      </c>
      <c r="AG67" s="4"/>
      <c r="AH67" s="4"/>
      <c r="AI67" s="4">
        <f>IFERROR(__xludf.DUMMYFUNCTION("""COMPUTED_VALUE"""),1.7968450451640479)</f>
        <v>1.796845045</v>
      </c>
      <c r="AJ67" s="4"/>
      <c r="AK67" s="4"/>
      <c r="AL67" s="4">
        <f>IFERROR(__xludf.DUMMYFUNCTION("""COMPUTED_VALUE"""),-1.9811833150069447)</f>
        <v>-1.981183315</v>
      </c>
      <c r="AM67" s="4"/>
      <c r="AN67" s="4"/>
      <c r="AO67" s="4">
        <f>IFERROR(__xludf.DUMMYFUNCTION("""COMPUTED_VALUE"""),0.153598303188744)</f>
        <v>0.1535983032</v>
      </c>
      <c r="AP67" s="4"/>
      <c r="AQ67" s="4"/>
      <c r="AR67" s="4">
        <f>IFERROR(__xludf.DUMMYFUNCTION("""COMPUTED_VALUE"""),3.318964100691801)</f>
        <v>3.318964101</v>
      </c>
      <c r="AS67" s="4"/>
      <c r="AT67" s="4"/>
      <c r="AU67" s="4">
        <f>IFERROR(__xludf.DUMMYFUNCTION("""COMPUTED_VALUE"""),-3.595223315734188)</f>
        <v>-3.595223316</v>
      </c>
      <c r="AV67" s="4"/>
      <c r="AW67" s="4"/>
      <c r="AX67" s="4">
        <f>IFERROR(__xludf.DUMMYFUNCTION("""COMPUTED_VALUE"""),4.289827376709866)</f>
        <v>4.289827377</v>
      </c>
      <c r="AY67" s="4"/>
      <c r="AZ67" s="4"/>
      <c r="BA67" s="4">
        <f>IFERROR(__xludf.DUMMYFUNCTION("""COMPUTED_VALUE"""),-3.7392117185184475)</f>
        <v>-3.739211719</v>
      </c>
      <c r="BB67" s="4"/>
      <c r="BC67" s="4"/>
      <c r="BD67" s="4">
        <f>IFERROR(__xludf.DUMMYFUNCTION("""COMPUTED_VALUE"""),-4.089947811134834)</f>
        <v>-4.089947811</v>
      </c>
      <c r="BE67" s="4"/>
      <c r="BF67" s="4"/>
      <c r="BG67" s="4">
        <f>IFERROR(__xludf.DUMMYFUNCTION("""COMPUTED_VALUE"""),-5.44739048092805)</f>
        <v>-5.447390481</v>
      </c>
      <c r="BH67" s="4"/>
      <c r="BI67" s="4"/>
      <c r="BJ67" s="4"/>
      <c r="BK67" s="4"/>
    </row>
    <row r="68">
      <c r="A68" s="4"/>
      <c r="B68" s="4"/>
      <c r="C68" s="4"/>
      <c r="D68" s="4">
        <f>IFERROR(__xludf.DUMMYFUNCTION("""COMPUTED_VALUE"""),150.6005656723572)</f>
        <v>150.6005657</v>
      </c>
      <c r="E68" s="23">
        <f>IFERROR(__xludf.DUMMYFUNCTION("""COMPUTED_VALUE"""),3.388752509373546)</f>
        <v>3.388752509</v>
      </c>
      <c r="F68" s="4"/>
      <c r="G68" s="4"/>
      <c r="H68" s="4">
        <f>IFERROR(__xludf.DUMMYFUNCTION("""COMPUTED_VALUE"""),8.144967050214007)</f>
        <v>8.14496705</v>
      </c>
      <c r="I68" s="4"/>
      <c r="J68" s="4"/>
      <c r="K68" s="4">
        <f>IFERROR(__xludf.DUMMYFUNCTION("""COMPUTED_VALUE"""),7.425387576906417)</f>
        <v>7.425387577</v>
      </c>
      <c r="L68" s="4"/>
      <c r="M68" s="4"/>
      <c r="N68" s="4">
        <f>IFERROR(__xludf.DUMMYFUNCTION("""COMPUTED_VALUE"""),7.03003675382206)</f>
        <v>7.030036754</v>
      </c>
      <c r="O68" s="4"/>
      <c r="P68" s="4"/>
      <c r="Q68" s="4">
        <f>IFERROR(__xludf.DUMMYFUNCTION("""COMPUTED_VALUE"""),-0.028293110020797485)</f>
        <v>-0.02829311002</v>
      </c>
      <c r="R68" s="4"/>
      <c r="S68" s="4"/>
      <c r="T68" s="4">
        <f>IFERROR(__xludf.DUMMYFUNCTION("""COMPUTED_VALUE"""),-0.6571931243266249)</f>
        <v>-0.6571931243</v>
      </c>
      <c r="U68" s="4"/>
      <c r="V68" s="4"/>
      <c r="W68" s="4">
        <f>IFERROR(__xludf.DUMMYFUNCTION("""COMPUTED_VALUE"""),-7.5048896553089435)</f>
        <v>-7.504889655</v>
      </c>
      <c r="X68" s="4"/>
      <c r="Y68" s="4"/>
      <c r="Z68" s="4">
        <f>IFERROR(__xludf.DUMMYFUNCTION("""COMPUTED_VALUE"""),2.942072520486988)</f>
        <v>2.94207252</v>
      </c>
      <c r="AA68" s="4"/>
      <c r="AB68" s="4"/>
      <c r="AC68" s="4">
        <f>IFERROR(__xludf.DUMMYFUNCTION("""COMPUTED_VALUE"""),5.897505948991977)</f>
        <v>5.897505949</v>
      </c>
      <c r="AD68" s="4"/>
      <c r="AE68" s="4"/>
      <c r="AF68" s="4">
        <f>IFERROR(__xludf.DUMMYFUNCTION("""COMPUTED_VALUE"""),-4.155088873249326)</f>
        <v>-4.155088873</v>
      </c>
      <c r="AG68" s="4"/>
      <c r="AH68" s="4"/>
      <c r="AI68" s="4">
        <f>IFERROR(__xludf.DUMMYFUNCTION("""COMPUTED_VALUE"""),2.5527004366539927)</f>
        <v>2.552700437</v>
      </c>
      <c r="AJ68" s="4"/>
      <c r="AK68" s="4"/>
      <c r="AL68" s="4">
        <f>IFERROR(__xludf.DUMMYFUNCTION("""COMPUTED_VALUE"""),-4.640302464092883)</f>
        <v>-4.640302464</v>
      </c>
      <c r="AM68" s="4"/>
      <c r="AN68" s="4"/>
      <c r="AO68" s="4">
        <f>IFERROR(__xludf.DUMMYFUNCTION("""COMPUTED_VALUE"""),5.654528420023269)</f>
        <v>5.65452842</v>
      </c>
      <c r="AP68" s="4"/>
      <c r="AQ68" s="4"/>
      <c r="AR68" s="4">
        <f>IFERROR(__xludf.DUMMYFUNCTION("""COMPUTED_VALUE"""),3.514666358566842)</f>
        <v>3.514666359</v>
      </c>
      <c r="AS68" s="4"/>
      <c r="AT68" s="4"/>
      <c r="AU68" s="4">
        <f>IFERROR(__xludf.DUMMYFUNCTION("""COMPUTED_VALUE"""),2.678674730825037)</f>
        <v>2.678674731</v>
      </c>
      <c r="AV68" s="4"/>
      <c r="AW68" s="4"/>
      <c r="AX68" s="4">
        <f>IFERROR(__xludf.DUMMYFUNCTION("""COMPUTED_VALUE"""),0.6051450536971856)</f>
        <v>0.6051450537</v>
      </c>
      <c r="AY68" s="4"/>
      <c r="AZ68" s="4"/>
      <c r="BA68" s="4">
        <f>IFERROR(__xludf.DUMMYFUNCTION("""COMPUTED_VALUE"""),-4.2059917654494825)</f>
        <v>-4.205991765</v>
      </c>
      <c r="BB68" s="4"/>
      <c r="BC68" s="4"/>
      <c r="BD68" s="4">
        <f>IFERROR(__xludf.DUMMYFUNCTION("""COMPUTED_VALUE"""),0.7536540205583151)</f>
        <v>0.7536540206</v>
      </c>
      <c r="BE68" s="4"/>
      <c r="BF68" s="4"/>
      <c r="BG68" s="4">
        <f>IFERROR(__xludf.DUMMYFUNCTION("""COMPUTED_VALUE"""),-3.1863665288941547)</f>
        <v>-3.186366529</v>
      </c>
      <c r="BH68" s="4"/>
      <c r="BI68" s="4"/>
      <c r="BJ68" s="4"/>
      <c r="BK68" s="4"/>
    </row>
    <row r="69">
      <c r="A69" s="4"/>
      <c r="B69" s="4"/>
      <c r="C69" s="4"/>
      <c r="D69" s="4">
        <f>IFERROR(__xludf.DUMMYFUNCTION("""COMPUTED_VALUE"""),149.68226953955713)</f>
        <v>149.6822695</v>
      </c>
      <c r="E69" s="23">
        <f>IFERROR(__xludf.DUMMYFUNCTION("""COMPUTED_VALUE"""),2.00421205120972)</f>
        <v>2.004212051</v>
      </c>
      <c r="F69" s="4"/>
      <c r="G69" s="4"/>
      <c r="H69" s="4">
        <f>IFERROR(__xludf.DUMMYFUNCTION("""COMPUTED_VALUE"""),0.11370895643511858)</f>
        <v>0.1137089564</v>
      </c>
      <c r="I69" s="4"/>
      <c r="J69" s="4"/>
      <c r="K69" s="4">
        <f>IFERROR(__xludf.DUMMYFUNCTION("""COMPUTED_VALUE"""),-3.450884596666981)</f>
        <v>-3.450884597</v>
      </c>
      <c r="L69" s="4"/>
      <c r="M69" s="4"/>
      <c r="N69" s="4">
        <f>IFERROR(__xludf.DUMMYFUNCTION("""COMPUTED_VALUE"""),5.960943232557042)</f>
        <v>5.960943233</v>
      </c>
      <c r="O69" s="4"/>
      <c r="P69" s="4"/>
      <c r="Q69" s="4">
        <f>IFERROR(__xludf.DUMMYFUNCTION("""COMPUTED_VALUE"""),-2.3626222614574885)</f>
        <v>-2.362622261</v>
      </c>
      <c r="R69" s="4"/>
      <c r="S69" s="4"/>
      <c r="T69" s="4">
        <f>IFERROR(__xludf.DUMMYFUNCTION("""COMPUTED_VALUE"""),-0.08165766852488332)</f>
        <v>-0.08165766852</v>
      </c>
      <c r="U69" s="4"/>
      <c r="V69" s="4"/>
      <c r="W69" s="4">
        <f>IFERROR(__xludf.DUMMYFUNCTION("""COMPUTED_VALUE"""),-2.9109497589020066)</f>
        <v>-2.910949759</v>
      </c>
      <c r="X69" s="4"/>
      <c r="Y69" s="4"/>
      <c r="Z69" s="4">
        <f>IFERROR(__xludf.DUMMYFUNCTION("""COMPUTED_VALUE"""),1.9910046829378985)</f>
        <v>1.991004683</v>
      </c>
      <c r="AA69" s="4"/>
      <c r="AB69" s="4"/>
      <c r="AC69" s="4">
        <f>IFERROR(__xludf.DUMMYFUNCTION("""COMPUTED_VALUE"""),2.2515679279958363)</f>
        <v>2.251567928</v>
      </c>
      <c r="AD69" s="4"/>
      <c r="AE69" s="4"/>
      <c r="AF69" s="4">
        <f>IFERROR(__xludf.DUMMYFUNCTION("""COMPUTED_VALUE"""),-2.9481183726795166)</f>
        <v>-2.948118373</v>
      </c>
      <c r="AG69" s="4"/>
      <c r="AH69" s="4"/>
      <c r="AI69" s="4">
        <f>IFERROR(__xludf.DUMMYFUNCTION("""COMPUTED_VALUE"""),8.093777495786867)</f>
        <v>8.093777496</v>
      </c>
      <c r="AJ69" s="4"/>
      <c r="AK69" s="4"/>
      <c r="AL69" s="4">
        <f>IFERROR(__xludf.DUMMYFUNCTION("""COMPUTED_VALUE"""),-0.26206179155371956)</f>
        <v>-0.2620617916</v>
      </c>
      <c r="AM69" s="4"/>
      <c r="AN69" s="4"/>
      <c r="AO69" s="4">
        <f>IFERROR(__xludf.DUMMYFUNCTION("""COMPUTED_VALUE"""),-5.710632080961773)</f>
        <v>-5.710632081</v>
      </c>
      <c r="AP69" s="4"/>
      <c r="AQ69" s="4"/>
      <c r="AR69" s="4">
        <f>IFERROR(__xludf.DUMMYFUNCTION("""COMPUTED_VALUE"""),7.573598220712029)</f>
        <v>7.573598221</v>
      </c>
      <c r="AS69" s="4"/>
      <c r="AT69" s="4"/>
      <c r="AU69" s="4">
        <f>IFERROR(__xludf.DUMMYFUNCTION("""COMPUTED_VALUE"""),7.745931788338908)</f>
        <v>7.745931788</v>
      </c>
      <c r="AV69" s="4"/>
      <c r="AW69" s="4"/>
      <c r="AX69" s="4">
        <f>IFERROR(__xludf.DUMMYFUNCTION("""COMPUTED_VALUE"""),0.39111765465537474)</f>
        <v>0.3911176547</v>
      </c>
      <c r="AY69" s="4"/>
      <c r="AZ69" s="4"/>
      <c r="BA69" s="4">
        <f>IFERROR(__xludf.DUMMYFUNCTION("""COMPUTED_VALUE"""),4.2379582444621064)</f>
        <v>4.237958244</v>
      </c>
      <c r="BB69" s="4"/>
      <c r="BC69" s="4"/>
      <c r="BD69" s="4">
        <f>IFERROR(__xludf.DUMMYFUNCTION("""COMPUTED_VALUE"""),0.2502468232261208)</f>
        <v>0.2502468232</v>
      </c>
      <c r="BE69" s="4"/>
      <c r="BF69" s="4"/>
      <c r="BG69" s="4">
        <f>IFERROR(__xludf.DUMMYFUNCTION("""COMPUTED_VALUE"""),-1.2038458694181031)</f>
        <v>-1.203845869</v>
      </c>
      <c r="BH69" s="4"/>
      <c r="BI69" s="4"/>
      <c r="BJ69" s="4"/>
      <c r="BK69" s="4"/>
    </row>
    <row r="70">
      <c r="A70" s="4"/>
      <c r="B70" s="4"/>
      <c r="C70" s="4"/>
      <c r="D70" s="4">
        <f>IFERROR(__xludf.DUMMYFUNCTION("""COMPUTED_VALUE"""),148.7639734068074)</f>
        <v>148.7639734</v>
      </c>
      <c r="E70" s="23">
        <f>IFERROR(__xludf.DUMMYFUNCTION("""COMPUTED_VALUE"""),4.084978132284959)</f>
        <v>4.084978132</v>
      </c>
      <c r="F70" s="4"/>
      <c r="G70" s="4"/>
      <c r="H70" s="4">
        <f>IFERROR(__xludf.DUMMYFUNCTION("""COMPUTED_VALUE"""),-1.1895121113144)</f>
        <v>-1.189512111</v>
      </c>
      <c r="I70" s="4"/>
      <c r="J70" s="4"/>
      <c r="K70" s="4">
        <f>IFERROR(__xludf.DUMMYFUNCTION("""COMPUTED_VALUE"""),0.2710813638394143)</f>
        <v>0.2710813638</v>
      </c>
      <c r="L70" s="4"/>
      <c r="M70" s="4"/>
      <c r="N70" s="4">
        <f>IFERROR(__xludf.DUMMYFUNCTION("""COMPUTED_VALUE"""),-10.734227910858351)</f>
        <v>-10.73422791</v>
      </c>
      <c r="O70" s="4"/>
      <c r="P70" s="4"/>
      <c r="Q70" s="4">
        <f>IFERROR(__xludf.DUMMYFUNCTION("""COMPUTED_VALUE"""),4.346059721330903)</f>
        <v>4.346059721</v>
      </c>
      <c r="R70" s="4"/>
      <c r="S70" s="4"/>
      <c r="T70" s="4">
        <f>IFERROR(__xludf.DUMMYFUNCTION("""COMPUTED_VALUE"""),-1.7514331772068203)</f>
        <v>-1.751433177</v>
      </c>
      <c r="U70" s="4"/>
      <c r="V70" s="4"/>
      <c r="W70" s="4">
        <f>IFERROR(__xludf.DUMMYFUNCTION("""COMPUTED_VALUE"""),-4.689454583277893)</f>
        <v>-4.689454583</v>
      </c>
      <c r="X70" s="4"/>
      <c r="Y70" s="4"/>
      <c r="Z70" s="4">
        <f>IFERROR(__xludf.DUMMYFUNCTION("""COMPUTED_VALUE"""),4.85558141225647)</f>
        <v>4.855581412</v>
      </c>
      <c r="AA70" s="4"/>
      <c r="AB70" s="4"/>
      <c r="AC70" s="4">
        <f>IFERROR(__xludf.DUMMYFUNCTION("""COMPUTED_VALUE"""),4.743524805716561)</f>
        <v>4.743524806</v>
      </c>
      <c r="AD70" s="4"/>
      <c r="AE70" s="4"/>
      <c r="AF70" s="4">
        <f>IFERROR(__xludf.DUMMYFUNCTION("""COMPUTED_VALUE"""),2.014076924796484)</f>
        <v>2.014076925</v>
      </c>
      <c r="AG70" s="4"/>
      <c r="AH70" s="4"/>
      <c r="AI70" s="4">
        <f>IFERROR(__xludf.DUMMYFUNCTION("""COMPUTED_VALUE"""),8.073130529347566)</f>
        <v>8.073130529</v>
      </c>
      <c r="AJ70" s="4"/>
      <c r="AK70" s="4"/>
      <c r="AL70" s="4">
        <f>IFERROR(__xludf.DUMMYFUNCTION("""COMPUTED_VALUE"""),2.6122812853579944)</f>
        <v>2.612281285</v>
      </c>
      <c r="AM70" s="4"/>
      <c r="AN70" s="4"/>
      <c r="AO70" s="4">
        <f>IFERROR(__xludf.DUMMYFUNCTION("""COMPUTED_VALUE"""),0.7891203707322347)</f>
        <v>0.7891203707</v>
      </c>
      <c r="AP70" s="4"/>
      <c r="AQ70" s="4"/>
      <c r="AR70" s="4">
        <f>IFERROR(__xludf.DUMMYFUNCTION("""COMPUTED_VALUE"""),0.5552953687895297)</f>
        <v>0.5552953688</v>
      </c>
      <c r="AS70" s="4"/>
      <c r="AT70" s="4"/>
      <c r="AU70" s="4">
        <f>IFERROR(__xludf.DUMMYFUNCTION("""COMPUTED_VALUE"""),2.415988726901901)</f>
        <v>2.415988727</v>
      </c>
      <c r="AV70" s="4"/>
      <c r="AW70" s="4"/>
      <c r="AX70" s="4">
        <f>IFERROR(__xludf.DUMMYFUNCTION("""COMPUTED_VALUE"""),-2.997418434496126)</f>
        <v>-2.997418434</v>
      </c>
      <c r="AY70" s="4"/>
      <c r="AZ70" s="4"/>
      <c r="BA70" s="4">
        <f>IFERROR(__xludf.DUMMYFUNCTION("""COMPUTED_VALUE"""),5.225907645898076)</f>
        <v>5.225907646</v>
      </c>
      <c r="BB70" s="4"/>
      <c r="BC70" s="4"/>
      <c r="BD70" s="4">
        <f>IFERROR(__xludf.DUMMYFUNCTION("""COMPUTED_VALUE"""),5.477168097819344)</f>
        <v>5.477168098</v>
      </c>
      <c r="BE70" s="4"/>
      <c r="BF70" s="4"/>
      <c r="BG70" s="4">
        <f>IFERROR(__xludf.DUMMYFUNCTION("""COMPUTED_VALUE"""),-5.92119140927673)</f>
        <v>-5.921191409</v>
      </c>
      <c r="BH70" s="4"/>
      <c r="BI70" s="4"/>
      <c r="BJ70" s="4"/>
      <c r="BK70" s="4"/>
    </row>
    <row r="71">
      <c r="A71" s="4"/>
      <c r="B71" s="4"/>
      <c r="C71" s="4"/>
      <c r="D71" s="4">
        <f>IFERROR(__xludf.DUMMYFUNCTION("""COMPUTED_VALUE"""),147.84567727400733)</f>
        <v>147.8456773</v>
      </c>
      <c r="E71" s="23">
        <f>IFERROR(__xludf.DUMMYFUNCTION("""COMPUTED_VALUE"""),8.127830648057056)</f>
        <v>8.127830648</v>
      </c>
      <c r="F71" s="4"/>
      <c r="G71" s="4"/>
      <c r="H71" s="4">
        <f>IFERROR(__xludf.DUMMYFUNCTION("""COMPUTED_VALUE"""),1.002293243068209)</f>
        <v>1.002293243</v>
      </c>
      <c r="I71" s="4"/>
      <c r="J71" s="4"/>
      <c r="K71" s="4">
        <f>IFERROR(__xludf.DUMMYFUNCTION("""COMPUTED_VALUE"""),-7.96549529412772)</f>
        <v>-7.965495294</v>
      </c>
      <c r="L71" s="4"/>
      <c r="M71" s="4"/>
      <c r="N71" s="4">
        <f>IFERROR(__xludf.DUMMYFUNCTION("""COMPUTED_VALUE"""),3.1745472181818855)</f>
        <v>3.174547218</v>
      </c>
      <c r="O71" s="4"/>
      <c r="P71" s="4"/>
      <c r="Q71" s="4">
        <f>IFERROR(__xludf.DUMMYFUNCTION("""COMPUTED_VALUE"""),0.4123953238328113)</f>
        <v>0.4123953238</v>
      </c>
      <c r="R71" s="4"/>
      <c r="S71" s="4"/>
      <c r="T71" s="4">
        <f>IFERROR(__xludf.DUMMYFUNCTION("""COMPUTED_VALUE"""),-1.6490918206391143)</f>
        <v>-1.649091821</v>
      </c>
      <c r="U71" s="4"/>
      <c r="V71" s="4"/>
      <c r="W71" s="4">
        <f>IFERROR(__xludf.DUMMYFUNCTION("""COMPUTED_VALUE"""),-3.8261276815399583)</f>
        <v>-3.826127682</v>
      </c>
      <c r="X71" s="4"/>
      <c r="Y71" s="4"/>
      <c r="Z71" s="4">
        <f>IFERROR(__xludf.DUMMYFUNCTION("""COMPUTED_VALUE"""),-1.769872327990754)</f>
        <v>-1.769872328</v>
      </c>
      <c r="AA71" s="4"/>
      <c r="AB71" s="4"/>
      <c r="AC71" s="4">
        <f>IFERROR(__xludf.DUMMYFUNCTION("""COMPUTED_VALUE"""),10.728909198486974)</f>
        <v>10.7289092</v>
      </c>
      <c r="AD71" s="4"/>
      <c r="AE71" s="4"/>
      <c r="AF71" s="4">
        <f>IFERROR(__xludf.DUMMYFUNCTION("""COMPUTED_VALUE"""),1.2492802366579099)</f>
        <v>1.249280237</v>
      </c>
      <c r="AG71" s="4"/>
      <c r="AH71" s="4"/>
      <c r="AI71" s="4">
        <f>IFERROR(__xludf.DUMMYFUNCTION("""COMPUTED_VALUE"""),3.061881667830619)</f>
        <v>3.061881668</v>
      </c>
      <c r="AJ71" s="4"/>
      <c r="AK71" s="4"/>
      <c r="AL71" s="4">
        <f>IFERROR(__xludf.DUMMYFUNCTION("""COMPUTED_VALUE"""),-0.34143647569857194)</f>
        <v>-0.3414364757</v>
      </c>
      <c r="AM71" s="4"/>
      <c r="AN71" s="4"/>
      <c r="AO71" s="4">
        <f>IFERROR(__xludf.DUMMYFUNCTION("""COMPUTED_VALUE"""),-0.28621504593951386)</f>
        <v>-0.2862150459</v>
      </c>
      <c r="AP71" s="4"/>
      <c r="AQ71" s="4"/>
      <c r="AR71" s="4">
        <f>IFERROR(__xludf.DUMMYFUNCTION("""COMPUTED_VALUE"""),5.648470056070607)</f>
        <v>5.648470056</v>
      </c>
      <c r="AS71" s="4"/>
      <c r="AT71" s="4"/>
      <c r="AU71" s="4">
        <f>IFERROR(__xludf.DUMMYFUNCTION("""COMPUTED_VALUE"""),-1.7194035345440852)</f>
        <v>-1.719403535</v>
      </c>
      <c r="AV71" s="4"/>
      <c r="AW71" s="4"/>
      <c r="AX71" s="4">
        <f>IFERROR(__xludf.DUMMYFUNCTION("""COMPUTED_VALUE"""),0.9399727091384307)</f>
        <v>0.9399727091</v>
      </c>
      <c r="AY71" s="4"/>
      <c r="AZ71" s="4"/>
      <c r="BA71" s="4">
        <f>IFERROR(__xludf.DUMMYFUNCTION("""COMPUTED_VALUE"""),4.425982185738917)</f>
        <v>4.425982186</v>
      </c>
      <c r="BB71" s="4"/>
      <c r="BC71" s="4"/>
      <c r="BD71" s="4">
        <f>IFERROR(__xludf.DUMMYFUNCTION("""COMPUTED_VALUE"""),1.9071760350812497)</f>
        <v>1.907176035</v>
      </c>
      <c r="BE71" s="4"/>
      <c r="BF71" s="4"/>
      <c r="BG71" s="4">
        <f>IFERROR(__xludf.DUMMYFUNCTION("""COMPUTED_VALUE"""),-2.9489480266453825)</f>
        <v>-2.948948027</v>
      </c>
      <c r="BH71" s="4"/>
      <c r="BI71" s="4"/>
      <c r="BJ71" s="4"/>
      <c r="BK71" s="4"/>
    </row>
    <row r="72">
      <c r="A72" s="4"/>
      <c r="B72" s="4"/>
      <c r="C72" s="4"/>
      <c r="D72" s="4">
        <f>IFERROR(__xludf.DUMMYFUNCTION("""COMPUTED_VALUE"""),146.92738114332218)</f>
        <v>146.9273811</v>
      </c>
      <c r="E72" s="23">
        <f>IFERROR(__xludf.DUMMYFUNCTION("""COMPUTED_VALUE"""),-2.7706426170253735)</f>
        <v>-2.770642617</v>
      </c>
      <c r="F72" s="4"/>
      <c r="G72" s="4"/>
      <c r="H72" s="4">
        <f>IFERROR(__xludf.DUMMYFUNCTION("""COMPUTED_VALUE"""),-1.5341573133288762)</f>
        <v>-1.534157313</v>
      </c>
      <c r="I72" s="4"/>
      <c r="J72" s="4"/>
      <c r="K72" s="4">
        <f>IFERROR(__xludf.DUMMYFUNCTION("""COMPUTED_VALUE"""),4.006965215699665)</f>
        <v>4.006965216</v>
      </c>
      <c r="L72" s="4"/>
      <c r="M72" s="4"/>
      <c r="N72" s="4">
        <f>IFERROR(__xludf.DUMMYFUNCTION("""COMPUTED_VALUE"""),-0.5170575111557696)</f>
        <v>-0.5170575112</v>
      </c>
      <c r="O72" s="4"/>
      <c r="P72" s="4"/>
      <c r="Q72" s="4">
        <f>IFERROR(__xludf.DUMMYFUNCTION("""COMPUTED_VALUE"""),-0.036151741618425604)</f>
        <v>-0.03615174162</v>
      </c>
      <c r="R72" s="4"/>
      <c r="S72" s="4"/>
      <c r="T72" s="4">
        <f>IFERROR(__xludf.DUMMYFUNCTION("""COMPUTED_VALUE"""),1.4059983357050783)</f>
        <v>1.405998336</v>
      </c>
      <c r="U72" s="4"/>
      <c r="V72" s="4"/>
      <c r="W72" s="4">
        <f>IFERROR(__xludf.DUMMYFUNCTION("""COMPUTED_VALUE"""),-2.607353681832592)</f>
        <v>-2.607353682</v>
      </c>
      <c r="X72" s="4"/>
      <c r="Y72" s="4"/>
      <c r="Z72" s="4">
        <f>IFERROR(__xludf.DUMMYFUNCTION("""COMPUTED_VALUE"""),3.230796788118141)</f>
        <v>3.230796788</v>
      </c>
      <c r="AA72" s="4"/>
      <c r="AB72" s="4"/>
      <c r="AC72" s="4">
        <f>IFERROR(__xludf.DUMMYFUNCTION("""COMPUTED_VALUE"""),4.544542676068204)</f>
        <v>4.544542676</v>
      </c>
      <c r="AD72" s="4"/>
      <c r="AE72" s="4"/>
      <c r="AF72" s="4">
        <f>IFERROR(__xludf.DUMMYFUNCTION("""COMPUTED_VALUE"""),-4.471796645778113)</f>
        <v>-4.471796646</v>
      </c>
      <c r="AG72" s="4"/>
      <c r="AH72" s="4"/>
      <c r="AI72" s="4">
        <f>IFERROR(__xludf.DUMMYFUNCTION("""COMPUTED_VALUE"""),0.8722485092774832)</f>
        <v>0.8722485093</v>
      </c>
      <c r="AJ72" s="4"/>
      <c r="AK72" s="4"/>
      <c r="AL72" s="4">
        <f>IFERROR(__xludf.DUMMYFUNCTION("""COMPUTED_VALUE"""),1.3539305156548949)</f>
        <v>1.353930516</v>
      </c>
      <c r="AM72" s="4"/>
      <c r="AN72" s="4"/>
      <c r="AO72" s="4">
        <f>IFERROR(__xludf.DUMMYFUNCTION("""COMPUTED_VALUE"""),2.81272071694724)</f>
        <v>2.812720717</v>
      </c>
      <c r="AP72" s="4"/>
      <c r="AQ72" s="4"/>
      <c r="AR72" s="4">
        <f>IFERROR(__xludf.DUMMYFUNCTION("""COMPUTED_VALUE"""),1.3138847817326678)</f>
        <v>1.313884782</v>
      </c>
      <c r="AS72" s="4"/>
      <c r="AT72" s="4"/>
      <c r="AU72" s="4">
        <f>IFERROR(__xludf.DUMMYFUNCTION("""COMPUTED_VALUE"""),-2.7397484873485496)</f>
        <v>-2.739748487</v>
      </c>
      <c r="AV72" s="4"/>
      <c r="AW72" s="4"/>
      <c r="AX72" s="4">
        <f>IFERROR(__xludf.DUMMYFUNCTION("""COMPUTED_VALUE"""),1.8508364386658513)</f>
        <v>1.850836439</v>
      </c>
      <c r="AY72" s="4"/>
      <c r="AZ72" s="4"/>
      <c r="BA72" s="4">
        <f>IFERROR(__xludf.DUMMYFUNCTION("""COMPUTED_VALUE"""),7.3184619947064675)</f>
        <v>7.318461995</v>
      </c>
      <c r="BB72" s="4"/>
      <c r="BC72" s="4"/>
      <c r="BD72" s="4">
        <f>IFERROR(__xludf.DUMMYFUNCTION("""COMPUTED_VALUE"""),-1.0263654780835623)</f>
        <v>-1.026365478</v>
      </c>
      <c r="BE72" s="4"/>
      <c r="BF72" s="4"/>
      <c r="BG72" s="4">
        <f>IFERROR(__xludf.DUMMYFUNCTION("""COMPUTED_VALUE"""),-2.0330258148080134)</f>
        <v>-2.033025815</v>
      </c>
      <c r="BH72" s="4"/>
      <c r="BI72" s="4"/>
      <c r="BJ72" s="4"/>
      <c r="BK72" s="4"/>
    </row>
    <row r="73">
      <c r="A73" s="4"/>
      <c r="B73" s="4"/>
      <c r="C73" s="4"/>
      <c r="D73" s="4">
        <f>IFERROR(__xludf.DUMMYFUNCTION("""COMPUTED_VALUE"""),146.00908501057248)</f>
        <v>146.009085</v>
      </c>
      <c r="E73" s="23">
        <f>IFERROR(__xludf.DUMMYFUNCTION("""COMPUTED_VALUE"""),-3.3131338136767567)</f>
        <v>-3.313133814</v>
      </c>
      <c r="F73" s="4"/>
      <c r="G73" s="4"/>
      <c r="H73" s="4">
        <f>IFERROR(__xludf.DUMMYFUNCTION("""COMPUTED_VALUE"""),-2.1561481812231023)</f>
        <v>-2.156148181</v>
      </c>
      <c r="I73" s="4"/>
      <c r="J73" s="4"/>
      <c r="K73" s="4">
        <f>IFERROR(__xludf.DUMMYFUNCTION("""COMPUTED_VALUE"""),6.9684499913156515)</f>
        <v>6.968449991</v>
      </c>
      <c r="L73" s="4"/>
      <c r="M73" s="4"/>
      <c r="N73" s="4">
        <f>IFERROR(__xludf.DUMMYFUNCTION("""COMPUTED_VALUE"""),6.854628306131644)</f>
        <v>6.854628306</v>
      </c>
      <c r="O73" s="4"/>
      <c r="P73" s="4"/>
      <c r="Q73" s="4">
        <f>IFERROR(__xludf.DUMMYFUNCTION("""COMPUTED_VALUE"""),1.345234017226744)</f>
        <v>1.345234017</v>
      </c>
      <c r="R73" s="4"/>
      <c r="S73" s="4"/>
      <c r="T73" s="4">
        <f>IFERROR(__xludf.DUMMYFUNCTION("""COMPUTED_VALUE"""),-0.10119223406968558)</f>
        <v>-0.1011922341</v>
      </c>
      <c r="U73" s="4"/>
      <c r="V73" s="4"/>
      <c r="W73" s="4">
        <f>IFERROR(__xludf.DUMMYFUNCTION("""COMPUTED_VALUE"""),-1.4216418313350232)</f>
        <v>-1.421641831</v>
      </c>
      <c r="X73" s="4"/>
      <c r="Y73" s="4"/>
      <c r="Z73" s="4">
        <f>IFERROR(__xludf.DUMMYFUNCTION("""COMPUTED_VALUE"""),-3.809376137008826)</f>
        <v>-3.809376137</v>
      </c>
      <c r="AA73" s="4"/>
      <c r="AB73" s="4"/>
      <c r="AC73" s="4">
        <f>IFERROR(__xludf.DUMMYFUNCTION("""COMPUTED_VALUE"""),0.6306340556225791)</f>
        <v>0.6306340556</v>
      </c>
      <c r="AD73" s="4"/>
      <c r="AE73" s="4"/>
      <c r="AF73" s="4">
        <f>IFERROR(__xludf.DUMMYFUNCTION("""COMPUTED_VALUE"""),-7.284228489625718)</f>
        <v>-7.28422849</v>
      </c>
      <c r="AG73" s="4"/>
      <c r="AH73" s="4"/>
      <c r="AI73" s="4">
        <f>IFERROR(__xludf.DUMMYFUNCTION("""COMPUTED_VALUE"""),-2.8097277914886263)</f>
        <v>-2.809727791</v>
      </c>
      <c r="AJ73" s="4"/>
      <c r="AK73" s="4"/>
      <c r="AL73" s="4">
        <f>IFERROR(__xludf.DUMMYFUNCTION("""COMPUTED_VALUE"""),-4.793114789789229)</f>
        <v>-4.79311479</v>
      </c>
      <c r="AM73" s="4"/>
      <c r="AN73" s="4"/>
      <c r="AO73" s="4">
        <f>IFERROR(__xludf.DUMMYFUNCTION("""COMPUTED_VALUE"""),-1.793901965347004)</f>
        <v>-1.793901965</v>
      </c>
      <c r="AP73" s="4"/>
      <c r="AQ73" s="4"/>
      <c r="AR73" s="4">
        <f>IFERROR(__xludf.DUMMYFUNCTION("""COMPUTED_VALUE"""),3.128191114998515)</f>
        <v>3.128191115</v>
      </c>
      <c r="AS73" s="4"/>
      <c r="AT73" s="4"/>
      <c r="AU73" s="4">
        <f>IFERROR(__xludf.DUMMYFUNCTION("""COMPUTED_VALUE"""),-0.7229546223318835)</f>
        <v>-0.7229546223</v>
      </c>
      <c r="AV73" s="4"/>
      <c r="AW73" s="4"/>
      <c r="AX73" s="4">
        <f>IFERROR(__xludf.DUMMYFUNCTION("""COMPUTED_VALUE"""),-2.113625696433644)</f>
        <v>-2.113625696</v>
      </c>
      <c r="AY73" s="4"/>
      <c r="AZ73" s="4"/>
      <c r="BA73" s="4">
        <f>IFERROR(__xludf.DUMMYFUNCTION("""COMPUTED_VALUE"""),-3.7139396627661085)</f>
        <v>-3.713939663</v>
      </c>
      <c r="BB73" s="4"/>
      <c r="BC73" s="4"/>
      <c r="BD73" s="4">
        <f>IFERROR(__xludf.DUMMYFUNCTION("""COMPUTED_VALUE"""),-4.726570507397639)</f>
        <v>-4.726570507</v>
      </c>
      <c r="BE73" s="4"/>
      <c r="BF73" s="4"/>
      <c r="BG73" s="4">
        <f>IFERROR(__xludf.DUMMYFUNCTION("""COMPUTED_VALUE"""),1.082479258279136)</f>
        <v>1.082479258</v>
      </c>
      <c r="BH73" s="4"/>
      <c r="BI73" s="4"/>
      <c r="BJ73" s="4"/>
      <c r="BK73" s="4"/>
    </row>
    <row r="74">
      <c r="A74" s="4"/>
      <c r="B74" s="4"/>
      <c r="C74" s="4"/>
      <c r="D74" s="4">
        <f>IFERROR(__xludf.DUMMYFUNCTION("""COMPUTED_VALUE"""),145.0907888777724)</f>
        <v>145.0907889</v>
      </c>
      <c r="E74" s="23">
        <f>IFERROR(__xludf.DUMMYFUNCTION("""COMPUTED_VALUE"""),-2.0656218909301742)</f>
        <v>-2.065621891</v>
      </c>
      <c r="F74" s="4"/>
      <c r="G74" s="4"/>
      <c r="H74" s="4">
        <f>IFERROR(__xludf.DUMMYFUNCTION("""COMPUTED_VALUE"""),2.9670923064176122)</f>
        <v>2.967092306</v>
      </c>
      <c r="I74" s="4"/>
      <c r="J74" s="4"/>
      <c r="K74" s="4">
        <f>IFERROR(__xludf.DUMMYFUNCTION("""COMPUTED_VALUE"""),1.7019670212248457)</f>
        <v>1.701967021</v>
      </c>
      <c r="L74" s="4"/>
      <c r="M74" s="4"/>
      <c r="N74" s="4">
        <f>IFERROR(__xludf.DUMMYFUNCTION("""COMPUTED_VALUE"""),-0.03685281199233259)</f>
        <v>-0.03685281199</v>
      </c>
      <c r="O74" s="4"/>
      <c r="P74" s="4"/>
      <c r="Q74" s="4">
        <f>IFERROR(__xludf.DUMMYFUNCTION("""COMPUTED_VALUE"""),8.518760392677848)</f>
        <v>8.518760393</v>
      </c>
      <c r="R74" s="4"/>
      <c r="S74" s="4"/>
      <c r="T74" s="4">
        <f>IFERROR(__xludf.DUMMYFUNCTION("""COMPUTED_VALUE"""),-1.7520652610808725)</f>
        <v>-1.752065261</v>
      </c>
      <c r="U74" s="4"/>
      <c r="V74" s="4"/>
      <c r="W74" s="4">
        <f>IFERROR(__xludf.DUMMYFUNCTION("""COMPUTED_VALUE"""),-9.455544446059605)</f>
        <v>-9.455544446</v>
      </c>
      <c r="X74" s="4"/>
      <c r="Y74" s="4"/>
      <c r="Z74" s="4">
        <f>IFERROR(__xludf.DUMMYFUNCTION("""COMPUTED_VALUE"""),1.9944038617617252)</f>
        <v>1.994403862</v>
      </c>
      <c r="AA74" s="4"/>
      <c r="AB74" s="4"/>
      <c r="AC74" s="4">
        <f>IFERROR(__xludf.DUMMYFUNCTION("""COMPUTED_VALUE"""),-1.69629417550874)</f>
        <v>-1.696294176</v>
      </c>
      <c r="AD74" s="4"/>
      <c r="AE74" s="4"/>
      <c r="AF74" s="4">
        <f>IFERROR(__xludf.DUMMYFUNCTION("""COMPUTED_VALUE"""),-4.319094820403961)</f>
        <v>-4.31909482</v>
      </c>
      <c r="AG74" s="4"/>
      <c r="AH74" s="4"/>
      <c r="AI74" s="4">
        <f>IFERROR(__xludf.DUMMYFUNCTION("""COMPUTED_VALUE"""),0.9822931223588398)</f>
        <v>0.9822931224</v>
      </c>
      <c r="AJ74" s="4"/>
      <c r="AK74" s="4"/>
      <c r="AL74" s="4">
        <f>IFERROR(__xludf.DUMMYFUNCTION("""COMPUTED_VALUE"""),0.3287047071767688)</f>
        <v>0.3287047072</v>
      </c>
      <c r="AM74" s="4"/>
      <c r="AN74" s="4"/>
      <c r="AO74" s="4">
        <f>IFERROR(__xludf.DUMMYFUNCTION("""COMPUTED_VALUE"""),0.1640120902536637)</f>
        <v>0.1640120903</v>
      </c>
      <c r="AP74" s="4"/>
      <c r="AQ74" s="4"/>
      <c r="AR74" s="4">
        <f>IFERROR(__xludf.DUMMYFUNCTION("""COMPUTED_VALUE"""),-6.823092085562109)</f>
        <v>-6.823092086</v>
      </c>
      <c r="AS74" s="4"/>
      <c r="AT74" s="4"/>
      <c r="AU74" s="4">
        <f>IFERROR(__xludf.DUMMYFUNCTION("""COMPUTED_VALUE"""),1.6333993360122463)</f>
        <v>1.633399336</v>
      </c>
      <c r="AV74" s="4"/>
      <c r="AW74" s="4"/>
      <c r="AX74" s="4">
        <f>IFERROR(__xludf.DUMMYFUNCTION("""COMPUTED_VALUE"""),-0.8933555864018103)</f>
        <v>-0.8933555864</v>
      </c>
      <c r="AY74" s="4"/>
      <c r="AZ74" s="4"/>
      <c r="BA74" s="4">
        <f>IFERROR(__xludf.DUMMYFUNCTION("""COMPUTED_VALUE"""),0.3909702371208823)</f>
        <v>0.3909702371</v>
      </c>
      <c r="BB74" s="4"/>
      <c r="BC74" s="4"/>
      <c r="BD74" s="4">
        <f>IFERROR(__xludf.DUMMYFUNCTION("""COMPUTED_VALUE"""),0.4288601225215416)</f>
        <v>0.4288601225</v>
      </c>
      <c r="BE74" s="4"/>
      <c r="BF74" s="4"/>
      <c r="BG74" s="4">
        <f>IFERROR(__xludf.DUMMYFUNCTION("""COMPUTED_VALUE"""),0.41490615120568464)</f>
        <v>0.4149061512</v>
      </c>
      <c r="BH74" s="4"/>
      <c r="BI74" s="4"/>
      <c r="BJ74" s="4"/>
      <c r="BK74" s="4"/>
    </row>
    <row r="75">
      <c r="A75" s="4"/>
      <c r="B75" s="4"/>
      <c r="C75" s="4"/>
      <c r="D75" s="4">
        <f>IFERROR(__xludf.DUMMYFUNCTION("""COMPUTED_VALUE"""),144.17249274713762)</f>
        <v>144.1724927</v>
      </c>
      <c r="E75" s="23">
        <f>IFERROR(__xludf.DUMMYFUNCTION("""COMPUTED_VALUE"""),-2.2991811941754463)</f>
        <v>-2.299181194</v>
      </c>
      <c r="F75" s="4"/>
      <c r="G75" s="4"/>
      <c r="H75" s="4">
        <f>IFERROR(__xludf.DUMMYFUNCTION("""COMPUTED_VALUE"""),2.142807531000642)</f>
        <v>2.142807531</v>
      </c>
      <c r="I75" s="4"/>
      <c r="J75" s="4"/>
      <c r="K75" s="4">
        <f>IFERROR(__xludf.DUMMYFUNCTION("""COMPUTED_VALUE"""),0.22783157077662963)</f>
        <v>0.2278315708</v>
      </c>
      <c r="L75" s="4"/>
      <c r="M75" s="4"/>
      <c r="N75" s="4">
        <f>IFERROR(__xludf.DUMMYFUNCTION("""COMPUTED_VALUE"""),-3.026655564957821)</f>
        <v>-3.026655565</v>
      </c>
      <c r="O75" s="4"/>
      <c r="P75" s="4"/>
      <c r="Q75" s="4">
        <f>IFERROR(__xludf.DUMMYFUNCTION("""COMPUTED_VALUE"""),2.6520778514838526)</f>
        <v>2.652077851</v>
      </c>
      <c r="R75" s="4"/>
      <c r="S75" s="4"/>
      <c r="T75" s="4">
        <f>IFERROR(__xludf.DUMMYFUNCTION("""COMPUTED_VALUE"""),-2.9572867315413873)</f>
        <v>-2.957286732</v>
      </c>
      <c r="U75" s="4"/>
      <c r="V75" s="4"/>
      <c r="W75" s="4">
        <f>IFERROR(__xludf.DUMMYFUNCTION("""COMPUTED_VALUE"""),-10.192308760098797)</f>
        <v>-10.19230876</v>
      </c>
      <c r="X75" s="4"/>
      <c r="Y75" s="4"/>
      <c r="Z75" s="4">
        <f>IFERROR(__xludf.DUMMYFUNCTION("""COMPUTED_VALUE"""),-0.22068563961050813)</f>
        <v>-0.2206856396</v>
      </c>
      <c r="AA75" s="4"/>
      <c r="AB75" s="4"/>
      <c r="AC75" s="4">
        <f>IFERROR(__xludf.DUMMYFUNCTION("""COMPUTED_VALUE"""),3.086379939945175)</f>
        <v>3.08637994</v>
      </c>
      <c r="AD75" s="4"/>
      <c r="AE75" s="4"/>
      <c r="AF75" s="4">
        <f>IFERROR(__xludf.DUMMYFUNCTION("""COMPUTED_VALUE"""),-1.606716184989807)</f>
        <v>-1.606716185</v>
      </c>
      <c r="AG75" s="4"/>
      <c r="AH75" s="4"/>
      <c r="AI75" s="4">
        <f>IFERROR(__xludf.DUMMYFUNCTION("""COMPUTED_VALUE"""),3.8643734773530696)</f>
        <v>3.864373477</v>
      </c>
      <c r="AJ75" s="4"/>
      <c r="AK75" s="4"/>
      <c r="AL75" s="4">
        <f>IFERROR(__xludf.DUMMYFUNCTION("""COMPUTED_VALUE"""),3.305585438756168)</f>
        <v>3.305585439</v>
      </c>
      <c r="AM75" s="4"/>
      <c r="AN75" s="4"/>
      <c r="AO75" s="4">
        <f>IFERROR(__xludf.DUMMYFUNCTION("""COMPUTED_VALUE"""),4.818565666366624)</f>
        <v>4.818565666</v>
      </c>
      <c r="AP75" s="4"/>
      <c r="AQ75" s="4"/>
      <c r="AR75" s="4">
        <f>IFERROR(__xludf.DUMMYFUNCTION("""COMPUTED_VALUE"""),-4.074203309084567)</f>
        <v>-4.074203309</v>
      </c>
      <c r="AS75" s="4"/>
      <c r="AT75" s="4"/>
      <c r="AU75" s="4">
        <f>IFERROR(__xludf.DUMMYFUNCTION("""COMPUTED_VALUE"""),7.013177332525174)</f>
        <v>7.013177333</v>
      </c>
      <c r="AV75" s="4"/>
      <c r="AW75" s="4"/>
      <c r="AX75" s="4">
        <f>IFERROR(__xludf.DUMMYFUNCTION("""COMPUTED_VALUE"""),-2.973678959079564)</f>
        <v>-2.973678959</v>
      </c>
      <c r="AY75" s="4"/>
      <c r="AZ75" s="4"/>
      <c r="BA75" s="4">
        <f>IFERROR(__xludf.DUMMYFUNCTION("""COMPUTED_VALUE"""),1.1516886494855498)</f>
        <v>1.151688649</v>
      </c>
      <c r="BB75" s="4"/>
      <c r="BC75" s="4"/>
      <c r="BD75" s="4">
        <f>IFERROR(__xludf.DUMMYFUNCTION("""COMPUTED_VALUE"""),-0.0280530140925066)</f>
        <v>-0.02805301409</v>
      </c>
      <c r="BE75" s="4"/>
      <c r="BF75" s="4"/>
      <c r="BG75" s="4">
        <f>IFERROR(__xludf.DUMMYFUNCTION("""COMPUTED_VALUE"""),3.4966435568894667)</f>
        <v>3.496643557</v>
      </c>
      <c r="BH75" s="4"/>
      <c r="BI75" s="4"/>
      <c r="BJ75" s="4"/>
      <c r="BK75" s="4"/>
    </row>
    <row r="76">
      <c r="A76" s="4"/>
      <c r="B76" s="4"/>
      <c r="C76" s="4"/>
      <c r="D76" s="4">
        <f>IFERROR(__xludf.DUMMYFUNCTION("""COMPUTED_VALUE"""),143.25419661433756)</f>
        <v>143.2541966</v>
      </c>
      <c r="E76" s="23">
        <f>IFERROR(__xludf.DUMMYFUNCTION("""COMPUTED_VALUE"""),3.9303361253381013)</f>
        <v>3.930336125</v>
      </c>
      <c r="F76" s="4"/>
      <c r="G76" s="4"/>
      <c r="H76" s="4">
        <f>IFERROR(__xludf.DUMMYFUNCTION("""COMPUTED_VALUE"""),-0.9310084806862733)</f>
        <v>-0.9310084807</v>
      </c>
      <c r="I76" s="4"/>
      <c r="J76" s="4"/>
      <c r="K76" s="4">
        <f>IFERROR(__xludf.DUMMYFUNCTION("""COMPUTED_VALUE"""),0.8216432804880469)</f>
        <v>0.8216432805</v>
      </c>
      <c r="L76" s="4"/>
      <c r="M76" s="4"/>
      <c r="N76" s="4">
        <f>IFERROR(__xludf.DUMMYFUNCTION("""COMPUTED_VALUE"""),4.719540333872999)</f>
        <v>4.719540334</v>
      </c>
      <c r="O76" s="4"/>
      <c r="P76" s="4"/>
      <c r="Q76" s="4">
        <f>IFERROR(__xludf.DUMMYFUNCTION("""COMPUTED_VALUE"""),2.010591924833932)</f>
        <v>2.010591925</v>
      </c>
      <c r="R76" s="4"/>
      <c r="S76" s="4"/>
      <c r="T76" s="4">
        <f>IFERROR(__xludf.DUMMYFUNCTION("""COMPUTED_VALUE"""),-2.3454529414949548)</f>
        <v>-2.345452941</v>
      </c>
      <c r="U76" s="4"/>
      <c r="V76" s="4"/>
      <c r="W76" s="4">
        <f>IFERROR(__xludf.DUMMYFUNCTION("""COMPUTED_VALUE"""),-5.446133725423238)</f>
        <v>-5.446133725</v>
      </c>
      <c r="X76" s="4"/>
      <c r="Y76" s="4"/>
      <c r="Z76" s="4">
        <f>IFERROR(__xludf.DUMMYFUNCTION("""COMPUTED_VALUE"""),5.021032850051938)</f>
        <v>5.02103285</v>
      </c>
      <c r="AA76" s="4"/>
      <c r="AB76" s="4"/>
      <c r="AC76" s="4">
        <f>IFERROR(__xludf.DUMMYFUNCTION("""COMPUTED_VALUE"""),1.826098395821873)</f>
        <v>1.826098396</v>
      </c>
      <c r="AD76" s="4"/>
      <c r="AE76" s="4"/>
      <c r="AF76" s="4">
        <f>IFERROR(__xludf.DUMMYFUNCTION("""COMPUTED_VALUE"""),-2.727788339711026)</f>
        <v>-2.72778834</v>
      </c>
      <c r="AG76" s="4"/>
      <c r="AH76" s="4"/>
      <c r="AI76" s="4">
        <f>IFERROR(__xludf.DUMMYFUNCTION("""COMPUTED_VALUE"""),6.00760387656652)</f>
        <v>6.007603877</v>
      </c>
      <c r="AJ76" s="4"/>
      <c r="AK76" s="4"/>
      <c r="AL76" s="4">
        <f>IFERROR(__xludf.DUMMYFUNCTION("""COMPUTED_VALUE"""),3.0117057224310884)</f>
        <v>3.011705722</v>
      </c>
      <c r="AM76" s="4"/>
      <c r="AN76" s="4"/>
      <c r="AO76" s="4">
        <f>IFERROR(__xludf.DUMMYFUNCTION("""COMPUTED_VALUE"""),0.7493379665947373)</f>
        <v>0.7493379666</v>
      </c>
      <c r="AP76" s="4"/>
      <c r="AQ76" s="4"/>
      <c r="AR76" s="4">
        <f>IFERROR(__xludf.DUMMYFUNCTION("""COMPUTED_VALUE"""),6.774534799042385)</f>
        <v>6.774534799</v>
      </c>
      <c r="AS76" s="4"/>
      <c r="AT76" s="4"/>
      <c r="AU76" s="4">
        <f>IFERROR(__xludf.DUMMYFUNCTION("""COMPUTED_VALUE"""),2.0205216094642537)</f>
        <v>2.020521609</v>
      </c>
      <c r="AV76" s="4"/>
      <c r="AW76" s="4"/>
      <c r="AX76" s="4">
        <f>IFERROR(__xludf.DUMMYFUNCTION("""COMPUTED_VALUE"""),6.498268749292322)</f>
        <v>6.498268749</v>
      </c>
      <c r="AY76" s="4"/>
      <c r="AZ76" s="4"/>
      <c r="BA76" s="4">
        <f>IFERROR(__xludf.DUMMYFUNCTION("""COMPUTED_VALUE"""),1.0091108129931854)</f>
        <v>1.009110813</v>
      </c>
      <c r="BB76" s="4"/>
      <c r="BC76" s="4"/>
      <c r="BD76" s="4">
        <f>IFERROR(__xludf.DUMMYFUNCTION("""COMPUTED_VALUE"""),-7.518161530041709)</f>
        <v>-7.51816153</v>
      </c>
      <c r="BE76" s="4"/>
      <c r="BF76" s="4"/>
      <c r="BG76" s="4">
        <f>IFERROR(__xludf.DUMMYFUNCTION("""COMPUTED_VALUE"""),-0.1972593290732334)</f>
        <v>-0.1972593291</v>
      </c>
      <c r="BH76" s="4"/>
      <c r="BI76" s="4"/>
      <c r="BJ76" s="4"/>
      <c r="BK76" s="4"/>
    </row>
    <row r="77">
      <c r="A77" s="4"/>
      <c r="B77" s="4"/>
      <c r="C77" s="4"/>
      <c r="D77" s="4">
        <f>IFERROR(__xludf.DUMMYFUNCTION("""COMPUTED_VALUE"""),142.33590048153746)</f>
        <v>142.3359005</v>
      </c>
      <c r="E77" s="23">
        <f>IFERROR(__xludf.DUMMYFUNCTION("""COMPUTED_VALUE"""),-0.7435404512700075)</f>
        <v>-0.7435404513</v>
      </c>
      <c r="F77" s="4"/>
      <c r="G77" s="4"/>
      <c r="H77" s="4">
        <f>IFERROR(__xludf.DUMMYFUNCTION("""COMPUTED_VALUE"""),-3.411483872390818)</f>
        <v>-3.411483872</v>
      </c>
      <c r="I77" s="4"/>
      <c r="J77" s="4"/>
      <c r="K77" s="4">
        <f>IFERROR(__xludf.DUMMYFUNCTION("""COMPUTED_VALUE"""),3.3529291401688397)</f>
        <v>3.35292914</v>
      </c>
      <c r="L77" s="4"/>
      <c r="M77" s="4"/>
      <c r="N77" s="4">
        <f>IFERROR(__xludf.DUMMYFUNCTION("""COMPUTED_VALUE"""),2.375251230754543)</f>
        <v>2.375251231</v>
      </c>
      <c r="O77" s="4"/>
      <c r="P77" s="4"/>
      <c r="Q77" s="4">
        <f>IFERROR(__xludf.DUMMYFUNCTION("""COMPUTED_VALUE"""),-4.409920368790097)</f>
        <v>-4.409920369</v>
      </c>
      <c r="R77" s="4"/>
      <c r="S77" s="4"/>
      <c r="T77" s="4">
        <f>IFERROR(__xludf.DUMMYFUNCTION("""COMPUTED_VALUE"""),-2.5150229879182575)</f>
        <v>-2.515022988</v>
      </c>
      <c r="U77" s="4"/>
      <c r="V77" s="4"/>
      <c r="W77" s="4">
        <f>IFERROR(__xludf.DUMMYFUNCTION("""COMPUTED_VALUE"""),-0.6733241274411057)</f>
        <v>-0.6733241274</v>
      </c>
      <c r="X77" s="4"/>
      <c r="Y77" s="4"/>
      <c r="Z77" s="4">
        <f>IFERROR(__xludf.DUMMYFUNCTION("""COMPUTED_VALUE"""),5.200371441186348)</f>
        <v>5.200371441</v>
      </c>
      <c r="AA77" s="4"/>
      <c r="AB77" s="4"/>
      <c r="AC77" s="4">
        <f>IFERROR(__xludf.DUMMYFUNCTION("""COMPUTED_VALUE"""),-5.684787180150579)</f>
        <v>-5.68478718</v>
      </c>
      <c r="AD77" s="4"/>
      <c r="AE77" s="4"/>
      <c r="AF77" s="4">
        <f>IFERROR(__xludf.DUMMYFUNCTION("""COMPUTED_VALUE"""),0.28176827425284046)</f>
        <v>0.2817682743</v>
      </c>
      <c r="AG77" s="4"/>
      <c r="AH77" s="4"/>
      <c r="AI77" s="4">
        <f>IFERROR(__xludf.DUMMYFUNCTION("""COMPUTED_VALUE"""),-3.124663464727803)</f>
        <v>-3.124663465</v>
      </c>
      <c r="AJ77" s="4"/>
      <c r="AK77" s="4"/>
      <c r="AL77" s="4">
        <f>IFERROR(__xludf.DUMMYFUNCTION("""COMPUTED_VALUE"""),-4.5701476236189364)</f>
        <v>-4.570147624</v>
      </c>
      <c r="AM77" s="4"/>
      <c r="AN77" s="4"/>
      <c r="AO77" s="4">
        <f>IFERROR(__xludf.DUMMYFUNCTION("""COMPUTED_VALUE"""),1.2783759445027272)</f>
        <v>1.278375945</v>
      </c>
      <c r="AP77" s="4"/>
      <c r="AQ77" s="4"/>
      <c r="AR77" s="4">
        <f>IFERROR(__xludf.DUMMYFUNCTION("""COMPUTED_VALUE"""),-1.3514246713743319)</f>
        <v>-1.351424671</v>
      </c>
      <c r="AS77" s="4"/>
      <c r="AT77" s="4"/>
      <c r="AU77" s="4">
        <f>IFERROR(__xludf.DUMMYFUNCTION("""COMPUTED_VALUE"""),3.0576327878586653)</f>
        <v>3.057632788</v>
      </c>
      <c r="AV77" s="4"/>
      <c r="AW77" s="4"/>
      <c r="AX77" s="4">
        <f>IFERROR(__xludf.DUMMYFUNCTION("""COMPUTED_VALUE"""),3.627450605273168)</f>
        <v>3.627450605</v>
      </c>
      <c r="AY77" s="4"/>
      <c r="AZ77" s="4"/>
      <c r="BA77" s="4">
        <f>IFERROR(__xludf.DUMMYFUNCTION("""COMPUTED_VALUE"""),4.320566796999003)</f>
        <v>4.320566797</v>
      </c>
      <c r="BB77" s="4"/>
      <c r="BC77" s="4"/>
      <c r="BD77" s="4">
        <f>IFERROR(__xludf.DUMMYFUNCTION("""COMPUTED_VALUE"""),-0.47566404865591494)</f>
        <v>-0.4756640487</v>
      </c>
      <c r="BE77" s="4"/>
      <c r="BF77" s="4"/>
      <c r="BG77" s="4">
        <f>IFERROR(__xludf.DUMMYFUNCTION("""COMPUTED_VALUE"""),-2.463963755545649)</f>
        <v>-2.463963756</v>
      </c>
      <c r="BH77" s="4"/>
      <c r="BI77" s="4"/>
      <c r="BJ77" s="4"/>
      <c r="BK77" s="4"/>
    </row>
    <row r="78">
      <c r="A78" s="4"/>
      <c r="B78" s="4"/>
      <c r="C78" s="4"/>
      <c r="D78" s="4">
        <f>IFERROR(__xludf.DUMMYFUNCTION("""COMPUTED_VALUE"""),141.4176043509027)</f>
        <v>141.4176044</v>
      </c>
      <c r="E78" s="23">
        <f>IFERROR(__xludf.DUMMYFUNCTION("""COMPUTED_VALUE"""),5.761736746209067)</f>
        <v>5.761736746</v>
      </c>
      <c r="F78" s="4"/>
      <c r="G78" s="4"/>
      <c r="H78" s="4">
        <f>IFERROR(__xludf.DUMMYFUNCTION("""COMPUTED_VALUE"""),-0.9279798217603457)</f>
        <v>-0.9279798218</v>
      </c>
      <c r="I78" s="4"/>
      <c r="J78" s="4"/>
      <c r="K78" s="4">
        <f>IFERROR(__xludf.DUMMYFUNCTION("""COMPUTED_VALUE"""),2.7942370507797136)</f>
        <v>2.794237051</v>
      </c>
      <c r="L78" s="4"/>
      <c r="M78" s="4"/>
      <c r="N78" s="4">
        <f>IFERROR(__xludf.DUMMYFUNCTION("""COMPUTED_VALUE"""),4.189754278560031)</f>
        <v>4.189754279</v>
      </c>
      <c r="O78" s="4"/>
      <c r="P78" s="4"/>
      <c r="Q78" s="4">
        <f>IFERROR(__xludf.DUMMYFUNCTION("""COMPUTED_VALUE"""),3.8178343193690694)</f>
        <v>3.817834319</v>
      </c>
      <c r="R78" s="4"/>
      <c r="S78" s="4"/>
      <c r="T78" s="4">
        <f>IFERROR(__xludf.DUMMYFUNCTION("""COMPUTED_VALUE"""),-8.606912186991792)</f>
        <v>-8.606912187</v>
      </c>
      <c r="U78" s="4"/>
      <c r="V78" s="4"/>
      <c r="W78" s="4">
        <f>IFERROR(__xludf.DUMMYFUNCTION("""COMPUTED_VALUE"""),-6.103282977013862)</f>
        <v>-6.103282977</v>
      </c>
      <c r="X78" s="4"/>
      <c r="Y78" s="4"/>
      <c r="Z78" s="4">
        <f>IFERROR(__xludf.DUMMYFUNCTION("""COMPUTED_VALUE"""),4.31271393266843)</f>
        <v>4.312713933</v>
      </c>
      <c r="AA78" s="4"/>
      <c r="AB78" s="4"/>
      <c r="AC78" s="4">
        <f>IFERROR(__xludf.DUMMYFUNCTION("""COMPUTED_VALUE"""),7.605399620121034)</f>
        <v>7.60539962</v>
      </c>
      <c r="AD78" s="4"/>
      <c r="AE78" s="4"/>
      <c r="AF78" s="4">
        <f>IFERROR(__xludf.DUMMYFUNCTION("""COMPUTED_VALUE"""),0.5791612414446945)</f>
        <v>0.5791612414</v>
      </c>
      <c r="AG78" s="4"/>
      <c r="AH78" s="4"/>
      <c r="AI78" s="4">
        <f>IFERROR(__xludf.DUMMYFUNCTION("""COMPUTED_VALUE"""),7.098824766709413)</f>
        <v>7.098824767</v>
      </c>
      <c r="AJ78" s="4"/>
      <c r="AK78" s="4"/>
      <c r="AL78" s="4">
        <f>IFERROR(__xludf.DUMMYFUNCTION("""COMPUTED_VALUE"""),4.391927036224843)</f>
        <v>4.391927036</v>
      </c>
      <c r="AM78" s="4"/>
      <c r="AN78" s="4"/>
      <c r="AO78" s="4">
        <f>IFERROR(__xludf.DUMMYFUNCTION("""COMPUTED_VALUE"""),2.305511220144183)</f>
        <v>2.30551122</v>
      </c>
      <c r="AP78" s="4"/>
      <c r="AQ78" s="4"/>
      <c r="AR78" s="4">
        <f>IFERROR(__xludf.DUMMYFUNCTION("""COMPUTED_VALUE"""),9.525557733348876)</f>
        <v>9.525557733</v>
      </c>
      <c r="AS78" s="4"/>
      <c r="AT78" s="4"/>
      <c r="AU78" s="4">
        <f>IFERROR(__xludf.DUMMYFUNCTION("""COMPUTED_VALUE"""),-6.261471754884951)</f>
        <v>-6.261471755</v>
      </c>
      <c r="AV78" s="4"/>
      <c r="AW78" s="4"/>
      <c r="AX78" s="4">
        <f>IFERROR(__xludf.DUMMYFUNCTION("""COMPUTED_VALUE"""),-1.9878410065150547)</f>
        <v>-1.987841007</v>
      </c>
      <c r="AY78" s="4"/>
      <c r="AZ78" s="4"/>
      <c r="BA78" s="4">
        <f>IFERROR(__xludf.DUMMYFUNCTION("""COMPUTED_VALUE"""),1.074568185289479)</f>
        <v>1.074568185</v>
      </c>
      <c r="BB78" s="4"/>
      <c r="BC78" s="4"/>
      <c r="BD78" s="4">
        <f>IFERROR(__xludf.DUMMYFUNCTION("""COMPUTED_VALUE"""),2.071725642872252)</f>
        <v>2.071725643</v>
      </c>
      <c r="BE78" s="4"/>
      <c r="BF78" s="4"/>
      <c r="BG78" s="4">
        <f>IFERROR(__xludf.DUMMYFUNCTION("""COMPUTED_VALUE"""),2.1809010633630805)</f>
        <v>2.180901063</v>
      </c>
      <c r="BH78" s="4"/>
      <c r="BI78" s="4"/>
      <c r="BJ78" s="4"/>
      <c r="BK78" s="4"/>
    </row>
    <row r="79">
      <c r="A79" s="4"/>
      <c r="B79" s="4"/>
      <c r="C79" s="4"/>
      <c r="D79" s="4">
        <f>IFERROR(__xludf.DUMMYFUNCTION("""COMPUTED_VALUE"""),140.49930821810264)</f>
        <v>140.4993082</v>
      </c>
      <c r="E79" s="23">
        <f>IFERROR(__xludf.DUMMYFUNCTION("""COMPUTED_VALUE"""),1.461165720561496)</f>
        <v>1.461165721</v>
      </c>
      <c r="F79" s="4"/>
      <c r="G79" s="4"/>
      <c r="H79" s="4">
        <f>IFERROR(__xludf.DUMMYFUNCTION("""COMPUTED_VALUE"""),2.1651018723090374)</f>
        <v>2.165101872</v>
      </c>
      <c r="I79" s="4"/>
      <c r="J79" s="4"/>
      <c r="K79" s="4">
        <f>IFERROR(__xludf.DUMMYFUNCTION("""COMPUTED_VALUE"""),1.963834180359754)</f>
        <v>1.96383418</v>
      </c>
      <c r="L79" s="4"/>
      <c r="M79" s="4"/>
      <c r="N79" s="4">
        <f>IFERROR(__xludf.DUMMYFUNCTION("""COMPUTED_VALUE"""),-2.470630379317754)</f>
        <v>-2.470630379</v>
      </c>
      <c r="O79" s="4"/>
      <c r="P79" s="4"/>
      <c r="Q79" s="4">
        <f>IFERROR(__xludf.DUMMYFUNCTION("""COMPUTED_VALUE"""),3.405521810935852)</f>
        <v>3.405521811</v>
      </c>
      <c r="R79" s="4"/>
      <c r="S79" s="4"/>
      <c r="T79" s="4">
        <f>IFERROR(__xludf.DUMMYFUNCTION("""COMPUTED_VALUE"""),-1.9638432033514164)</f>
        <v>-1.963843203</v>
      </c>
      <c r="U79" s="4"/>
      <c r="V79" s="4"/>
      <c r="W79" s="4">
        <f>IFERROR(__xludf.DUMMYFUNCTION("""COMPUTED_VALUE"""),-5.878454814757674)</f>
        <v>-5.878454815</v>
      </c>
      <c r="X79" s="4"/>
      <c r="Y79" s="4"/>
      <c r="Z79" s="4">
        <f>IFERROR(__xludf.DUMMYFUNCTION("""COMPUTED_VALUE"""),0.8200566050248881)</f>
        <v>0.820056605</v>
      </c>
      <c r="AA79" s="4"/>
      <c r="AB79" s="4"/>
      <c r="AC79" s="4">
        <f>IFERROR(__xludf.DUMMYFUNCTION("""COMPUTED_VALUE"""),-0.7949720778009919)</f>
        <v>-0.7949720778</v>
      </c>
      <c r="AD79" s="4"/>
      <c r="AE79" s="4"/>
      <c r="AF79" s="4">
        <f>IFERROR(__xludf.DUMMYFUNCTION("""COMPUTED_VALUE"""),0.167300926771361)</f>
        <v>0.1673009268</v>
      </c>
      <c r="AG79" s="4"/>
      <c r="AH79" s="4"/>
      <c r="AI79" s="4">
        <f>IFERROR(__xludf.DUMMYFUNCTION("""COMPUTED_VALUE"""),-0.9868628001438537)</f>
        <v>-0.9868628001</v>
      </c>
      <c r="AJ79" s="4"/>
      <c r="AK79" s="4"/>
      <c r="AL79" s="4">
        <f>IFERROR(__xludf.DUMMYFUNCTION("""COMPUTED_VALUE"""),0.9227430068058311)</f>
        <v>0.9227430068</v>
      </c>
      <c r="AM79" s="4"/>
      <c r="AN79" s="4"/>
      <c r="AO79" s="4">
        <f>IFERROR(__xludf.DUMMYFUNCTION("""COMPUTED_VALUE"""),-0.22758052678528884)</f>
        <v>-0.2275805268</v>
      </c>
      <c r="AP79" s="4"/>
      <c r="AQ79" s="4"/>
      <c r="AR79" s="4">
        <f>IFERROR(__xludf.DUMMYFUNCTION("""COMPUTED_VALUE"""),3.132373843791015)</f>
        <v>3.132373844</v>
      </c>
      <c r="AS79" s="4"/>
      <c r="AT79" s="4"/>
      <c r="AU79" s="4">
        <f>IFERROR(__xludf.DUMMYFUNCTION("""COMPUTED_VALUE"""),2.7989659882536557)</f>
        <v>2.798965988</v>
      </c>
      <c r="AV79" s="4"/>
      <c r="AW79" s="4"/>
      <c r="AX79" s="4">
        <f>IFERROR(__xludf.DUMMYFUNCTION("""COMPUTED_VALUE"""),7.014469473159977)</f>
        <v>7.014469473</v>
      </c>
      <c r="AY79" s="4"/>
      <c r="AZ79" s="4"/>
      <c r="BA79" s="4">
        <f>IFERROR(__xludf.DUMMYFUNCTION("""COMPUTED_VALUE"""),4.655065862948504E-4)</f>
        <v>0.0004655065863</v>
      </c>
      <c r="BB79" s="4"/>
      <c r="BC79" s="4"/>
      <c r="BD79" s="4">
        <f>IFERROR(__xludf.DUMMYFUNCTION("""COMPUTED_VALUE"""),1.6142215999895484)</f>
        <v>1.6142216</v>
      </c>
      <c r="BE79" s="4"/>
      <c r="BF79" s="4"/>
      <c r="BG79" s="4">
        <f>IFERROR(__xludf.DUMMYFUNCTION("""COMPUTED_VALUE"""),-1.2965772811616034)</f>
        <v>-1.296577281</v>
      </c>
      <c r="BH79" s="4"/>
      <c r="BI79" s="4"/>
      <c r="BJ79" s="4"/>
      <c r="BK79" s="4"/>
    </row>
    <row r="80">
      <c r="A80" s="4"/>
      <c r="B80" s="4"/>
      <c r="C80" s="4"/>
      <c r="D80" s="4">
        <f>IFERROR(__xludf.DUMMYFUNCTION("""COMPUTED_VALUE"""),139.5810120853529)</f>
        <v>139.5810121</v>
      </c>
      <c r="E80" s="23">
        <f>IFERROR(__xludf.DUMMYFUNCTION("""COMPUTED_VALUE"""),4.023086611520057)</f>
        <v>4.023086612</v>
      </c>
      <c r="F80" s="4"/>
      <c r="G80" s="4"/>
      <c r="H80" s="4">
        <f>IFERROR(__xludf.DUMMYFUNCTION("""COMPUTED_VALUE"""),0.530418082277663)</f>
        <v>0.5304180823</v>
      </c>
      <c r="I80" s="4"/>
      <c r="J80" s="4"/>
      <c r="K80" s="4">
        <f>IFERROR(__xludf.DUMMYFUNCTION("""COMPUTED_VALUE"""),-5.430822497544227)</f>
        <v>-5.430822498</v>
      </c>
      <c r="L80" s="4"/>
      <c r="M80" s="4"/>
      <c r="N80" s="4">
        <f>IFERROR(__xludf.DUMMYFUNCTION("""COMPUTED_VALUE"""),0.2880852200435129)</f>
        <v>0.28808522</v>
      </c>
      <c r="O80" s="4"/>
      <c r="P80" s="4"/>
      <c r="Q80" s="4">
        <f>IFERROR(__xludf.DUMMYFUNCTION("""COMPUTED_VALUE"""),1.517524254816692)</f>
        <v>1.517524255</v>
      </c>
      <c r="R80" s="4"/>
      <c r="S80" s="4"/>
      <c r="T80" s="4">
        <f>IFERROR(__xludf.DUMMYFUNCTION("""COMPUTED_VALUE"""),-4.153061966768348)</f>
        <v>-4.153061967</v>
      </c>
      <c r="U80" s="4"/>
      <c r="V80" s="4"/>
      <c r="W80" s="4">
        <f>IFERROR(__xludf.DUMMYFUNCTION("""COMPUTED_VALUE"""),-4.09109898978636)</f>
        <v>-4.09109899</v>
      </c>
      <c r="X80" s="4"/>
      <c r="Y80" s="4"/>
      <c r="Z80" s="4">
        <f>IFERROR(__xludf.DUMMYFUNCTION("""COMPUTED_VALUE"""),0.8044269976990677)</f>
        <v>0.8044269977</v>
      </c>
      <c r="AA80" s="4"/>
      <c r="AB80" s="4"/>
      <c r="AC80" s="4">
        <f>IFERROR(__xludf.DUMMYFUNCTION("""COMPUTED_VALUE"""),9.295405971861726)</f>
        <v>9.295405972</v>
      </c>
      <c r="AD80" s="4"/>
      <c r="AE80" s="4"/>
      <c r="AF80" s="4">
        <f>IFERROR(__xludf.DUMMYFUNCTION("""COMPUTED_VALUE"""),-1.3589893131640451)</f>
        <v>-1.358989313</v>
      </c>
      <c r="AG80" s="4"/>
      <c r="AH80" s="4"/>
      <c r="AI80" s="4">
        <f>IFERROR(__xludf.DUMMYFUNCTION("""COMPUTED_VALUE"""),8.94154035462384)</f>
        <v>8.941540355</v>
      </c>
      <c r="AJ80" s="4"/>
      <c r="AK80" s="4"/>
      <c r="AL80" s="4">
        <f>IFERROR(__xludf.DUMMYFUNCTION("""COMPUTED_VALUE"""),-1.3440369074072578)</f>
        <v>-1.344036907</v>
      </c>
      <c r="AM80" s="4"/>
      <c r="AN80" s="4"/>
      <c r="AO80" s="4">
        <f>IFERROR(__xludf.DUMMYFUNCTION("""COMPUTED_VALUE"""),3.994481397251093)</f>
        <v>3.994481397</v>
      </c>
      <c r="AP80" s="4"/>
      <c r="AQ80" s="4"/>
      <c r="AR80" s="4">
        <f>IFERROR(__xludf.DUMMYFUNCTION("""COMPUTED_VALUE"""),4.042559920270435)</f>
        <v>4.04255992</v>
      </c>
      <c r="AS80" s="4"/>
      <c r="AT80" s="4"/>
      <c r="AU80" s="4">
        <f>IFERROR(__xludf.DUMMYFUNCTION("""COMPUTED_VALUE"""),-0.49868139595992034)</f>
        <v>-0.498681396</v>
      </c>
      <c r="AV80" s="4"/>
      <c r="AW80" s="4"/>
      <c r="AX80" s="4">
        <f>IFERROR(__xludf.DUMMYFUNCTION("""COMPUTED_VALUE"""),7.259721634278492)</f>
        <v>7.259721634</v>
      </c>
      <c r="AY80" s="4"/>
      <c r="AZ80" s="4"/>
      <c r="BA80" s="4">
        <f>IFERROR(__xludf.DUMMYFUNCTION("""COMPUTED_VALUE"""),-1.9527509618911267)</f>
        <v>-1.952750962</v>
      </c>
      <c r="BB80" s="4"/>
      <c r="BC80" s="4"/>
      <c r="BD80" s="4">
        <f>IFERROR(__xludf.DUMMYFUNCTION("""COMPUTED_VALUE"""),2.5918768230375804)</f>
        <v>2.591876823</v>
      </c>
      <c r="BE80" s="4"/>
      <c r="BF80" s="4"/>
      <c r="BG80" s="4">
        <f>IFERROR(__xludf.DUMMYFUNCTION("""COMPUTED_VALUE"""),-0.6658165514650136)</f>
        <v>-0.6658165515</v>
      </c>
      <c r="BH80" s="4"/>
      <c r="BI80" s="4"/>
      <c r="BJ80" s="4"/>
      <c r="BK80" s="4"/>
    </row>
    <row r="81">
      <c r="A81" s="4"/>
      <c r="B81" s="4"/>
      <c r="C81" s="4"/>
      <c r="D81" s="4">
        <f>IFERROR(__xludf.DUMMYFUNCTION("""COMPUTED_VALUE"""),138.66271595255284)</f>
        <v>138.662716</v>
      </c>
      <c r="E81" s="23">
        <f>IFERROR(__xludf.DUMMYFUNCTION("""COMPUTED_VALUE"""),6.782615728547626)</f>
        <v>6.782615729</v>
      </c>
      <c r="F81" s="4"/>
      <c r="G81" s="4"/>
      <c r="H81" s="4">
        <f>IFERROR(__xludf.DUMMYFUNCTION("""COMPUTED_VALUE"""),4.677468324456697)</f>
        <v>4.677468324</v>
      </c>
      <c r="I81" s="4"/>
      <c r="J81" s="4"/>
      <c r="K81" s="4">
        <f>IFERROR(__xludf.DUMMYFUNCTION("""COMPUTED_VALUE"""),-0.29446577425284204)</f>
        <v>-0.2944657743</v>
      </c>
      <c r="L81" s="4"/>
      <c r="M81" s="4"/>
      <c r="N81" s="4">
        <f>IFERROR(__xludf.DUMMYFUNCTION("""COMPUTED_VALUE"""),-0.2353192686845773)</f>
        <v>-0.2353192687</v>
      </c>
      <c r="O81" s="4"/>
      <c r="P81" s="4"/>
      <c r="Q81" s="4">
        <f>IFERROR(__xludf.DUMMYFUNCTION("""COMPUTED_VALUE"""),-3.9523310497725674)</f>
        <v>-3.95233105</v>
      </c>
      <c r="R81" s="4"/>
      <c r="S81" s="4"/>
      <c r="T81" s="4">
        <f>IFERROR(__xludf.DUMMYFUNCTION("""COMPUTED_VALUE"""),2.292014700386403)</f>
        <v>2.2920147</v>
      </c>
      <c r="U81" s="4"/>
      <c r="V81" s="4"/>
      <c r="W81" s="4">
        <f>IFERROR(__xludf.DUMMYFUNCTION("""COMPUTED_VALUE"""),-3.4780241917010244)</f>
        <v>-3.478024192</v>
      </c>
      <c r="X81" s="4"/>
      <c r="Y81" s="4"/>
      <c r="Z81" s="4">
        <f>IFERROR(__xludf.DUMMYFUNCTION("""COMPUTED_VALUE"""),7.3214312636254135)</f>
        <v>7.321431264</v>
      </c>
      <c r="AA81" s="4"/>
      <c r="AB81" s="4"/>
      <c r="AC81" s="4">
        <f>IFERROR(__xludf.DUMMYFUNCTION("""COMPUTED_VALUE"""),4.059427737427484)</f>
        <v>4.059427737</v>
      </c>
      <c r="AD81" s="4"/>
      <c r="AE81" s="4"/>
      <c r="AF81" s="4">
        <f>IFERROR(__xludf.DUMMYFUNCTION("""COMPUTED_VALUE"""),0.661082986498684)</f>
        <v>0.6610829865</v>
      </c>
      <c r="AG81" s="4"/>
      <c r="AH81" s="4"/>
      <c r="AI81" s="4">
        <f>IFERROR(__xludf.DUMMYFUNCTION("""COMPUTED_VALUE"""),0.5486186784055462)</f>
        <v>0.5486186784</v>
      </c>
      <c r="AJ81" s="4"/>
      <c r="AK81" s="4"/>
      <c r="AL81" s="4">
        <f>IFERROR(__xludf.DUMMYFUNCTION("""COMPUTED_VALUE"""),2.332233512564187)</f>
        <v>2.332233513</v>
      </c>
      <c r="AM81" s="4"/>
      <c r="AN81" s="4"/>
      <c r="AO81" s="4">
        <f>IFERROR(__xludf.DUMMYFUNCTION("""COMPUTED_VALUE"""),0.508652015321502)</f>
        <v>0.5086520153</v>
      </c>
      <c r="AP81" s="4"/>
      <c r="AQ81" s="4"/>
      <c r="AR81" s="4">
        <f>IFERROR(__xludf.DUMMYFUNCTION("""COMPUTED_VALUE"""),-0.2218941095717355)</f>
        <v>-0.2218941096</v>
      </c>
      <c r="AS81" s="4"/>
      <c r="AT81" s="4"/>
      <c r="AU81" s="4">
        <f>IFERROR(__xludf.DUMMYFUNCTION("""COMPUTED_VALUE"""),4.786935059217058)</f>
        <v>4.786935059</v>
      </c>
      <c r="AV81" s="4"/>
      <c r="AW81" s="4"/>
      <c r="AX81" s="4">
        <f>IFERROR(__xludf.DUMMYFUNCTION("""COMPUTED_VALUE"""),4.877176110924495)</f>
        <v>4.877176111</v>
      </c>
      <c r="AY81" s="4"/>
      <c r="AZ81" s="4"/>
      <c r="BA81" s="4">
        <f>IFERROR(__xludf.DUMMYFUNCTION("""COMPUTED_VALUE"""),1.7410217325460735)</f>
        <v>1.741021733</v>
      </c>
      <c r="BB81" s="4"/>
      <c r="BC81" s="4"/>
      <c r="BD81" s="4">
        <f>IFERROR(__xludf.DUMMYFUNCTION("""COMPUTED_VALUE"""),-1.323333520636595)</f>
        <v>-1.323333521</v>
      </c>
      <c r="BE81" s="4"/>
      <c r="BF81" s="4"/>
      <c r="BG81" s="4">
        <f>IFERROR(__xludf.DUMMYFUNCTION("""COMPUTED_VALUE"""),3.4794990112919777)</f>
        <v>3.479499011</v>
      </c>
      <c r="BH81" s="4"/>
      <c r="BI81" s="4"/>
      <c r="BJ81" s="4"/>
      <c r="BK81" s="4"/>
    </row>
    <row r="82">
      <c r="A82" s="4"/>
      <c r="B82" s="4"/>
      <c r="C82" s="4"/>
      <c r="D82" s="4">
        <f>IFERROR(__xludf.DUMMYFUNCTION("""COMPUTED_VALUE"""),137.74441982186772)</f>
        <v>137.7444198</v>
      </c>
      <c r="E82" s="23">
        <f>IFERROR(__xludf.DUMMYFUNCTION("""COMPUTED_VALUE"""),2.619969551179338)</f>
        <v>2.619969551</v>
      </c>
      <c r="F82" s="4"/>
      <c r="G82" s="4"/>
      <c r="H82" s="4">
        <f>IFERROR(__xludf.DUMMYFUNCTION("""COMPUTED_VALUE"""),-1.0516249062924317)</f>
        <v>-1.051624906</v>
      </c>
      <c r="I82" s="4"/>
      <c r="J82" s="4"/>
      <c r="K82" s="4">
        <f>IFERROR(__xludf.DUMMYFUNCTION("""COMPUTED_VALUE"""),-0.8090540104352044)</f>
        <v>-0.8090540104</v>
      </c>
      <c r="L82" s="4"/>
      <c r="M82" s="4"/>
      <c r="N82" s="4">
        <f>IFERROR(__xludf.DUMMYFUNCTION("""COMPUTED_VALUE"""),2.740489220853135)</f>
        <v>2.740489221</v>
      </c>
      <c r="O82" s="4"/>
      <c r="P82" s="4"/>
      <c r="Q82" s="4">
        <f>IFERROR(__xludf.DUMMYFUNCTION("""COMPUTED_VALUE"""),-3.7323340854953244)</f>
        <v>-3.732334085</v>
      </c>
      <c r="R82" s="4"/>
      <c r="S82" s="4"/>
      <c r="T82" s="4">
        <f>IFERROR(__xludf.DUMMYFUNCTION("""COMPUTED_VALUE"""),-7.068766594951569)</f>
        <v>-7.068766595</v>
      </c>
      <c r="U82" s="4"/>
      <c r="V82" s="4"/>
      <c r="W82" s="4">
        <f>IFERROR(__xludf.DUMMYFUNCTION("""COMPUTED_VALUE"""),-3.810173650107231)</f>
        <v>-3.81017365</v>
      </c>
      <c r="X82" s="4"/>
      <c r="Y82" s="4"/>
      <c r="Z82" s="4">
        <f>IFERROR(__xludf.DUMMYFUNCTION("""COMPUTED_VALUE"""),5.048715766459964)</f>
        <v>5.048715766</v>
      </c>
      <c r="AA82" s="4"/>
      <c r="AB82" s="4"/>
      <c r="AC82" s="4">
        <f>IFERROR(__xludf.DUMMYFUNCTION("""COMPUTED_VALUE"""),1.0499958457803586)</f>
        <v>1.049995846</v>
      </c>
      <c r="AD82" s="4"/>
      <c r="AE82" s="4"/>
      <c r="AF82" s="4">
        <f>IFERROR(__xludf.DUMMYFUNCTION("""COMPUTED_VALUE"""),1.6046341230513121)</f>
        <v>1.604634123</v>
      </c>
      <c r="AG82" s="4"/>
      <c r="AH82" s="4"/>
      <c r="AI82" s="4">
        <f>IFERROR(__xludf.DUMMYFUNCTION("""COMPUTED_VALUE"""),-2.4345545203972847)</f>
        <v>-2.43455452</v>
      </c>
      <c r="AJ82" s="4"/>
      <c r="AK82" s="4"/>
      <c r="AL82" s="4">
        <f>IFERROR(__xludf.DUMMYFUNCTION("""COMPUTED_VALUE"""),2.6095406212535863)</f>
        <v>2.609540621</v>
      </c>
      <c r="AM82" s="4"/>
      <c r="AN82" s="4"/>
      <c r="AO82" s="4">
        <f>IFERROR(__xludf.DUMMYFUNCTION("""COMPUTED_VALUE"""),0.335763843833206)</f>
        <v>0.3357638438</v>
      </c>
      <c r="AP82" s="4"/>
      <c r="AQ82" s="4"/>
      <c r="AR82" s="4">
        <f>IFERROR(__xludf.DUMMYFUNCTION("""COMPUTED_VALUE"""),-0.4527591859971949)</f>
        <v>-0.452759186</v>
      </c>
      <c r="AS82" s="4"/>
      <c r="AT82" s="4"/>
      <c r="AU82" s="4">
        <f>IFERROR(__xludf.DUMMYFUNCTION("""COMPUTED_VALUE"""),3.333598568912919)</f>
        <v>3.333598569</v>
      </c>
      <c r="AV82" s="4"/>
      <c r="AW82" s="4"/>
      <c r="AX82" s="4">
        <f>IFERROR(__xludf.DUMMYFUNCTION("""COMPUTED_VALUE"""),4.547004506902738)</f>
        <v>4.547004507</v>
      </c>
      <c r="AY82" s="4"/>
      <c r="AZ82" s="4"/>
      <c r="BA82" s="4">
        <f>IFERROR(__xludf.DUMMYFUNCTION("""COMPUTED_VALUE"""),3.9253432717414967)</f>
        <v>3.925343272</v>
      </c>
      <c r="BB82" s="4"/>
      <c r="BC82" s="4"/>
      <c r="BD82" s="4">
        <f>IFERROR(__xludf.DUMMYFUNCTION("""COMPUTED_VALUE"""),5.937616946987475)</f>
        <v>5.937616947</v>
      </c>
      <c r="BE82" s="4"/>
      <c r="BF82" s="4"/>
      <c r="BG82" s="4">
        <f>IFERROR(__xludf.DUMMYFUNCTION("""COMPUTED_VALUE"""),7.718003381639505)</f>
        <v>7.718003382</v>
      </c>
      <c r="BH82" s="4"/>
      <c r="BI82" s="4"/>
      <c r="BJ82" s="4"/>
      <c r="BK82" s="4"/>
    </row>
    <row r="83">
      <c r="A83" s="4"/>
      <c r="B83" s="4"/>
      <c r="C83" s="4"/>
      <c r="D83" s="4">
        <f>IFERROR(__xludf.DUMMYFUNCTION("""COMPUTED_VALUE"""),136.826123689118)</f>
        <v>136.8261237</v>
      </c>
      <c r="E83" s="23">
        <f>IFERROR(__xludf.DUMMYFUNCTION("""COMPUTED_VALUE"""),-5.177374378048)</f>
        <v>-5.177374378</v>
      </c>
      <c r="F83" s="4"/>
      <c r="G83" s="4"/>
      <c r="H83" s="4">
        <f>IFERROR(__xludf.DUMMYFUNCTION("""COMPUTED_VALUE"""),-3.265445245061528)</f>
        <v>-3.265445245</v>
      </c>
      <c r="I83" s="4"/>
      <c r="J83" s="4"/>
      <c r="K83" s="4">
        <f>IFERROR(__xludf.DUMMYFUNCTION("""COMPUTED_VALUE"""),1.024454412069531)</f>
        <v>1.024454412</v>
      </c>
      <c r="L83" s="4"/>
      <c r="M83" s="4"/>
      <c r="N83" s="4">
        <f>IFERROR(__xludf.DUMMYFUNCTION("""COMPUTED_VALUE"""),6.853670724866959)</f>
        <v>6.853670725</v>
      </c>
      <c r="O83" s="4"/>
      <c r="P83" s="4"/>
      <c r="Q83" s="4">
        <f>IFERROR(__xludf.DUMMYFUNCTION("""COMPUTED_VALUE"""),-2.56479638731696)</f>
        <v>-2.564796387</v>
      </c>
      <c r="R83" s="4"/>
      <c r="S83" s="4"/>
      <c r="T83" s="4">
        <f>IFERROR(__xludf.DUMMYFUNCTION("""COMPUTED_VALUE"""),-1.4160978038498229)</f>
        <v>-1.416097804</v>
      </c>
      <c r="U83" s="4"/>
      <c r="V83" s="4"/>
      <c r="W83" s="4">
        <f>IFERROR(__xludf.DUMMYFUNCTION("""COMPUTED_VALUE"""),-4.562621128637659)</f>
        <v>-4.562621129</v>
      </c>
      <c r="X83" s="4"/>
      <c r="Y83" s="4"/>
      <c r="Z83" s="4">
        <f>IFERROR(__xludf.DUMMYFUNCTION("""COMPUTED_VALUE"""),-3.4809250197549773)</f>
        <v>-3.48092502</v>
      </c>
      <c r="AA83" s="4"/>
      <c r="AB83" s="4"/>
      <c r="AC83" s="4">
        <f>IFERROR(__xludf.DUMMYFUNCTION("""COMPUTED_VALUE"""),3.252659016125108)</f>
        <v>3.252659016</v>
      </c>
      <c r="AD83" s="4"/>
      <c r="AE83" s="4"/>
      <c r="AF83" s="4">
        <f>IFERROR(__xludf.DUMMYFUNCTION("""COMPUTED_VALUE"""),-0.09545781398429654)</f>
        <v>-0.09545781398</v>
      </c>
      <c r="AG83" s="4"/>
      <c r="AH83" s="4"/>
      <c r="AI83" s="4">
        <f>IFERROR(__xludf.DUMMYFUNCTION("""COMPUTED_VALUE"""),0.42947706776681116)</f>
        <v>0.4294770678</v>
      </c>
      <c r="AJ83" s="4"/>
      <c r="AK83" s="4"/>
      <c r="AL83" s="4">
        <f>IFERROR(__xludf.DUMMYFUNCTION("""COMPUTED_VALUE"""),0.20882287316180737)</f>
        <v>0.2088228732</v>
      </c>
      <c r="AM83" s="4"/>
      <c r="AN83" s="4"/>
      <c r="AO83" s="4">
        <f>IFERROR(__xludf.DUMMYFUNCTION("""COMPUTED_VALUE"""),2.1477553265901292)</f>
        <v>2.147755327</v>
      </c>
      <c r="AP83" s="4"/>
      <c r="AQ83" s="4"/>
      <c r="AR83" s="4">
        <f>IFERROR(__xludf.DUMMYFUNCTION("""COMPUTED_VALUE"""),-1.530955006762781)</f>
        <v>-1.530955007</v>
      </c>
      <c r="AS83" s="4"/>
      <c r="AT83" s="4"/>
      <c r="AU83" s="4">
        <f>IFERROR(__xludf.DUMMYFUNCTION("""COMPUTED_VALUE"""),1.2849008222638076)</f>
        <v>1.284900822</v>
      </c>
      <c r="AV83" s="4"/>
      <c r="AW83" s="4"/>
      <c r="AX83" s="4">
        <f>IFERROR(__xludf.DUMMYFUNCTION("""COMPUTED_VALUE"""),0.7773729538832868)</f>
        <v>0.7773729539</v>
      </c>
      <c r="AY83" s="4"/>
      <c r="AZ83" s="4"/>
      <c r="BA83" s="4">
        <f>IFERROR(__xludf.DUMMYFUNCTION("""COMPUTED_VALUE"""),-2.4749992617391285)</f>
        <v>-2.474999262</v>
      </c>
      <c r="BB83" s="4"/>
      <c r="BC83" s="4"/>
      <c r="BD83" s="4">
        <f>IFERROR(__xludf.DUMMYFUNCTION("""COMPUTED_VALUE"""),-0.20431742909579498)</f>
        <v>-0.2043174291</v>
      </c>
      <c r="BE83" s="4"/>
      <c r="BF83" s="4"/>
      <c r="BG83" s="4">
        <f>IFERROR(__xludf.DUMMYFUNCTION("""COMPUTED_VALUE"""),0.22521797418283995)</f>
        <v>0.2252179742</v>
      </c>
      <c r="BH83" s="4"/>
      <c r="BI83" s="4"/>
      <c r="BJ83" s="4"/>
      <c r="BK83" s="4"/>
    </row>
    <row r="84">
      <c r="A84" s="4"/>
      <c r="B84" s="4"/>
      <c r="C84" s="4"/>
      <c r="D84" s="4">
        <f>IFERROR(__xludf.DUMMYFUNCTION("""COMPUTED_VALUE"""),135.90782755631793)</f>
        <v>135.9078276</v>
      </c>
      <c r="E84" s="23">
        <f>IFERROR(__xludf.DUMMYFUNCTION("""COMPUTED_VALUE"""),3.4532395096313735)</f>
        <v>3.45323951</v>
      </c>
      <c r="F84" s="4"/>
      <c r="G84" s="4"/>
      <c r="H84" s="4">
        <f>IFERROR(__xludf.DUMMYFUNCTION("""COMPUTED_VALUE"""),3.5209421238215555)</f>
        <v>3.520942124</v>
      </c>
      <c r="I84" s="4"/>
      <c r="J84" s="4"/>
      <c r="K84" s="4">
        <f>IFERROR(__xludf.DUMMYFUNCTION("""COMPUTED_VALUE"""),0.826787882442261)</f>
        <v>0.8267878824</v>
      </c>
      <c r="L84" s="4"/>
      <c r="M84" s="4"/>
      <c r="N84" s="4">
        <f>IFERROR(__xludf.DUMMYFUNCTION("""COMPUTED_VALUE"""),3.4447060752892753)</f>
        <v>3.444706075</v>
      </c>
      <c r="O84" s="4"/>
      <c r="P84" s="4"/>
      <c r="Q84" s="4">
        <f>IFERROR(__xludf.DUMMYFUNCTION("""COMPUTED_VALUE"""),-6.726633609124235)</f>
        <v>-6.726633609</v>
      </c>
      <c r="R84" s="4"/>
      <c r="S84" s="4"/>
      <c r="T84" s="4">
        <f>IFERROR(__xludf.DUMMYFUNCTION("""COMPUTED_VALUE"""),5.585980785791605)</f>
        <v>5.585980786</v>
      </c>
      <c r="U84" s="4"/>
      <c r="V84" s="4"/>
      <c r="W84" s="4">
        <f>IFERROR(__xludf.DUMMYFUNCTION("""COMPUTED_VALUE"""),-4.913305523510132)</f>
        <v>-4.913305524</v>
      </c>
      <c r="X84" s="4"/>
      <c r="Y84" s="4"/>
      <c r="Z84" s="4">
        <f>IFERROR(__xludf.DUMMYFUNCTION("""COMPUTED_VALUE"""),-5.932440758114296)</f>
        <v>-5.932440758</v>
      </c>
      <c r="AA84" s="4"/>
      <c r="AB84" s="4"/>
      <c r="AC84" s="4">
        <f>IFERROR(__xludf.DUMMYFUNCTION("""COMPUTED_VALUE"""),1.5826222331527333)</f>
        <v>1.582622233</v>
      </c>
      <c r="AD84" s="4"/>
      <c r="AE84" s="4"/>
      <c r="AF84" s="4">
        <f>IFERROR(__xludf.DUMMYFUNCTION("""COMPUTED_VALUE"""),-0.6753521419922777)</f>
        <v>-0.675352142</v>
      </c>
      <c r="AG84" s="4"/>
      <c r="AH84" s="4"/>
      <c r="AI84" s="4">
        <f>IFERROR(__xludf.DUMMYFUNCTION("""COMPUTED_VALUE"""),2.2063212850576406)</f>
        <v>2.206321285</v>
      </c>
      <c r="AJ84" s="4"/>
      <c r="AK84" s="4"/>
      <c r="AL84" s="4">
        <f>IFERROR(__xludf.DUMMYFUNCTION("""COMPUTED_VALUE"""),0.38072240646846467)</f>
        <v>0.3807224065</v>
      </c>
      <c r="AM84" s="4"/>
      <c r="AN84" s="4"/>
      <c r="AO84" s="4">
        <f>IFERROR(__xludf.DUMMYFUNCTION("""COMPUTED_VALUE"""),0.26400521279475697)</f>
        <v>0.2640052128</v>
      </c>
      <c r="AP84" s="4"/>
      <c r="AQ84" s="4"/>
      <c r="AR84" s="4">
        <f>IFERROR(__xludf.DUMMYFUNCTION("""COMPUTED_VALUE"""),1.7939490132102947)</f>
        <v>1.793949013</v>
      </c>
      <c r="AS84" s="4"/>
      <c r="AT84" s="4"/>
      <c r="AU84" s="4">
        <f>IFERROR(__xludf.DUMMYFUNCTION("""COMPUTED_VALUE"""),8.524208133986292)</f>
        <v>8.524208134</v>
      </c>
      <c r="AV84" s="4"/>
      <c r="AW84" s="4"/>
      <c r="AX84" s="4">
        <f>IFERROR(__xludf.DUMMYFUNCTION("""COMPUTED_VALUE"""),5.212139170845887)</f>
        <v>5.212139171</v>
      </c>
      <c r="AY84" s="4"/>
      <c r="AZ84" s="4"/>
      <c r="BA84" s="4">
        <f>IFERROR(__xludf.DUMMYFUNCTION("""COMPUTED_VALUE"""),-1.1595677782979692)</f>
        <v>-1.159567778</v>
      </c>
      <c r="BB84" s="4"/>
      <c r="BC84" s="4"/>
      <c r="BD84" s="4">
        <f>IFERROR(__xludf.DUMMYFUNCTION("""COMPUTED_VALUE"""),1.7925305653225792)</f>
        <v>1.792530565</v>
      </c>
      <c r="BE84" s="4"/>
      <c r="BF84" s="4"/>
      <c r="BG84" s="4">
        <f>IFERROR(__xludf.DUMMYFUNCTION("""COMPUTED_VALUE"""),2.1758640913657814)</f>
        <v>2.175864091</v>
      </c>
      <c r="BH84" s="4"/>
      <c r="BI84" s="4"/>
      <c r="BJ84" s="4"/>
      <c r="BK84" s="4"/>
    </row>
    <row r="85">
      <c r="A85" s="4"/>
      <c r="B85" s="4"/>
      <c r="C85" s="4"/>
      <c r="D85" s="4">
        <f>IFERROR(__xludf.DUMMYFUNCTION("""COMPUTED_VALUE"""),134.98953142563278)</f>
        <v>134.9895314</v>
      </c>
      <c r="E85" s="23">
        <f>IFERROR(__xludf.DUMMYFUNCTION("""COMPUTED_VALUE"""),-1.7479402325813567)</f>
        <v>-1.747940233</v>
      </c>
      <c r="F85" s="4"/>
      <c r="G85" s="4"/>
      <c r="H85" s="4">
        <f>IFERROR(__xludf.DUMMYFUNCTION("""COMPUTED_VALUE"""),2.003469465594719)</f>
        <v>2.003469466</v>
      </c>
      <c r="I85" s="4"/>
      <c r="J85" s="4"/>
      <c r="K85" s="4">
        <f>IFERROR(__xludf.DUMMYFUNCTION("""COMPUTED_VALUE"""),3.5249612438028066)</f>
        <v>3.524961244</v>
      </c>
      <c r="L85" s="4"/>
      <c r="M85" s="4"/>
      <c r="N85" s="4">
        <f>IFERROR(__xludf.DUMMYFUNCTION("""COMPUTED_VALUE"""),3.2416978563321095)</f>
        <v>3.241697856</v>
      </c>
      <c r="O85" s="4"/>
      <c r="P85" s="4"/>
      <c r="Q85" s="4">
        <f>IFERROR(__xludf.DUMMYFUNCTION("""COMPUTED_VALUE"""),-1.6867160221419795)</f>
        <v>-1.686716022</v>
      </c>
      <c r="R85" s="4"/>
      <c r="S85" s="4"/>
      <c r="T85" s="4">
        <f>IFERROR(__xludf.DUMMYFUNCTION("""COMPUTED_VALUE"""),-3.1449100148181515)</f>
        <v>-3.144910015</v>
      </c>
      <c r="U85" s="4"/>
      <c r="V85" s="4"/>
      <c r="W85" s="4">
        <f>IFERROR(__xludf.DUMMYFUNCTION("""COMPUTED_VALUE"""),-5.382942359161632)</f>
        <v>-5.382942359</v>
      </c>
      <c r="X85" s="4"/>
      <c r="Y85" s="4"/>
      <c r="Z85" s="4">
        <f>IFERROR(__xludf.DUMMYFUNCTION("""COMPUTED_VALUE"""),0.23398556067957088)</f>
        <v>0.2339855607</v>
      </c>
      <c r="AA85" s="4"/>
      <c r="AB85" s="4"/>
      <c r="AC85" s="4">
        <f>IFERROR(__xludf.DUMMYFUNCTION("""COMPUTED_VALUE"""),2.2663931775627475)</f>
        <v>2.266393178</v>
      </c>
      <c r="AD85" s="4"/>
      <c r="AE85" s="4"/>
      <c r="AF85" s="4">
        <f>IFERROR(__xludf.DUMMYFUNCTION("""COMPUTED_VALUE"""),5.583813748336638)</f>
        <v>5.583813748</v>
      </c>
      <c r="AG85" s="4"/>
      <c r="AH85" s="4"/>
      <c r="AI85" s="4">
        <f>IFERROR(__xludf.DUMMYFUNCTION("""COMPUTED_VALUE"""),-4.0926595184013195)</f>
        <v>-4.092659518</v>
      </c>
      <c r="AJ85" s="4"/>
      <c r="AK85" s="4"/>
      <c r="AL85" s="4">
        <f>IFERROR(__xludf.DUMMYFUNCTION("""COMPUTED_VALUE"""),2.877001843097787)</f>
        <v>2.877001843</v>
      </c>
      <c r="AM85" s="4"/>
      <c r="AN85" s="4"/>
      <c r="AO85" s="4">
        <f>IFERROR(__xludf.DUMMYFUNCTION("""COMPUTED_VALUE"""),4.43674827982403)</f>
        <v>4.43674828</v>
      </c>
      <c r="AP85" s="4"/>
      <c r="AQ85" s="4"/>
      <c r="AR85" s="4">
        <f>IFERROR(__xludf.DUMMYFUNCTION("""COMPUTED_VALUE"""),8.011106432166798)</f>
        <v>8.011106432</v>
      </c>
      <c r="AS85" s="4"/>
      <c r="AT85" s="4"/>
      <c r="AU85" s="4">
        <f>IFERROR(__xludf.DUMMYFUNCTION("""COMPUTED_VALUE"""),3.6067298287282483)</f>
        <v>3.606729829</v>
      </c>
      <c r="AV85" s="4"/>
      <c r="AW85" s="4"/>
      <c r="AX85" s="4">
        <f>IFERROR(__xludf.DUMMYFUNCTION("""COMPUTED_VALUE"""),-1.531878684038304)</f>
        <v>-1.531878684</v>
      </c>
      <c r="AY85" s="4"/>
      <c r="AZ85" s="4"/>
      <c r="BA85" s="4">
        <f>IFERROR(__xludf.DUMMYFUNCTION("""COMPUTED_VALUE"""),0.288699131349631)</f>
        <v>0.2886991313</v>
      </c>
      <c r="BB85" s="4"/>
      <c r="BC85" s="4"/>
      <c r="BD85" s="4">
        <f>IFERROR(__xludf.DUMMYFUNCTION("""COMPUTED_VALUE"""),6.502305856172882)</f>
        <v>6.502305856</v>
      </c>
      <c r="BE85" s="4"/>
      <c r="BF85" s="4"/>
      <c r="BG85" s="4">
        <f>IFERROR(__xludf.DUMMYFUNCTION("""COMPUTED_VALUE"""),-3.3619755306889374)</f>
        <v>-3.361975531</v>
      </c>
      <c r="BH85" s="4"/>
      <c r="BI85" s="4"/>
      <c r="BJ85" s="4"/>
      <c r="BK85" s="4"/>
    </row>
    <row r="86">
      <c r="A86" s="4"/>
      <c r="B86" s="4"/>
      <c r="C86" s="4"/>
      <c r="D86" s="4">
        <f>IFERROR(__xludf.DUMMYFUNCTION("""COMPUTED_VALUE"""),134.07123529288307)</f>
        <v>134.0712353</v>
      </c>
      <c r="E86" s="23">
        <f>IFERROR(__xludf.DUMMYFUNCTION("""COMPUTED_VALUE"""),-7.994592995718733)</f>
        <v>-7.994592996</v>
      </c>
      <c r="F86" s="4"/>
      <c r="G86" s="4"/>
      <c r="H86" s="4">
        <f>IFERROR(__xludf.DUMMYFUNCTION("""COMPUTED_VALUE"""),7.896580414876723)</f>
        <v>7.896580415</v>
      </c>
      <c r="I86" s="4"/>
      <c r="J86" s="4"/>
      <c r="K86" s="4">
        <f>IFERROR(__xludf.DUMMYFUNCTION("""COMPUTED_VALUE"""),-5.356764487731198)</f>
        <v>-5.356764488</v>
      </c>
      <c r="L86" s="4"/>
      <c r="M86" s="4"/>
      <c r="N86" s="4">
        <f>IFERROR(__xludf.DUMMYFUNCTION("""COMPUTED_VALUE"""),0.5288660502699258)</f>
        <v>0.5288660503</v>
      </c>
      <c r="O86" s="4"/>
      <c r="P86" s="4"/>
      <c r="Q86" s="4">
        <f>IFERROR(__xludf.DUMMYFUNCTION("""COMPUTED_VALUE"""),-0.9232956858783155)</f>
        <v>-0.9232956859</v>
      </c>
      <c r="R86" s="4"/>
      <c r="S86" s="4"/>
      <c r="T86" s="4">
        <f>IFERROR(__xludf.DUMMYFUNCTION("""COMPUTED_VALUE"""),-2.6914906693705234)</f>
        <v>-2.691490669</v>
      </c>
      <c r="U86" s="4"/>
      <c r="V86" s="4"/>
      <c r="W86" s="4">
        <f>IFERROR(__xludf.DUMMYFUNCTION("""COMPUTED_VALUE"""),-8.942426384290911)</f>
        <v>-8.942426384</v>
      </c>
      <c r="X86" s="4"/>
      <c r="Y86" s="4"/>
      <c r="Z86" s="4">
        <f>IFERROR(__xludf.DUMMYFUNCTION("""COMPUTED_VALUE"""),-1.96252828795798)</f>
        <v>-1.962528288</v>
      </c>
      <c r="AA86" s="4"/>
      <c r="AB86" s="4"/>
      <c r="AC86" s="4">
        <f>IFERROR(__xludf.DUMMYFUNCTION("""COMPUTED_VALUE"""),3.2445816816307342)</f>
        <v>3.244581682</v>
      </c>
      <c r="AD86" s="4"/>
      <c r="AE86" s="4"/>
      <c r="AF86" s="4">
        <f>IFERROR(__xludf.DUMMYFUNCTION("""COMPUTED_VALUE"""),-2.9026391004283596)</f>
        <v>-2.9026391</v>
      </c>
      <c r="AG86" s="4"/>
      <c r="AH86" s="4"/>
      <c r="AI86" s="4">
        <f>IFERROR(__xludf.DUMMYFUNCTION("""COMPUTED_VALUE"""),3.7728254154641263)</f>
        <v>3.772825415</v>
      </c>
      <c r="AJ86" s="4"/>
      <c r="AK86" s="4"/>
      <c r="AL86" s="4">
        <f>IFERROR(__xludf.DUMMYFUNCTION("""COMPUTED_VALUE"""),-3.0064558331849867)</f>
        <v>-3.006455833</v>
      </c>
      <c r="AM86" s="4"/>
      <c r="AN86" s="4"/>
      <c r="AO86" s="4">
        <f>IFERROR(__xludf.DUMMYFUNCTION("""COMPUTED_VALUE"""),5.524782541906291)</f>
        <v>5.524782542</v>
      </c>
      <c r="AP86" s="4"/>
      <c r="AQ86" s="4"/>
      <c r="AR86" s="4">
        <f>IFERROR(__xludf.DUMMYFUNCTION("""COMPUTED_VALUE"""),-3.9685170601597406)</f>
        <v>-3.96851706</v>
      </c>
      <c r="AS86" s="4"/>
      <c r="AT86" s="4"/>
      <c r="AU86" s="4">
        <f>IFERROR(__xludf.DUMMYFUNCTION("""COMPUTED_VALUE"""),8.704515083045294)</f>
        <v>8.704515083</v>
      </c>
      <c r="AV86" s="4"/>
      <c r="AW86" s="4"/>
      <c r="AX86" s="4">
        <f>IFERROR(__xludf.DUMMYFUNCTION("""COMPUTED_VALUE"""),2.5304080808360823)</f>
        <v>2.530408081</v>
      </c>
      <c r="AY86" s="4"/>
      <c r="AZ86" s="4"/>
      <c r="BA86" s="4">
        <f>IFERROR(__xludf.DUMMYFUNCTION("""COMPUTED_VALUE"""),-3.20556757250489)</f>
        <v>-3.205567573</v>
      </c>
      <c r="BB86" s="4"/>
      <c r="BC86" s="4"/>
      <c r="BD86" s="4">
        <f>IFERROR(__xludf.DUMMYFUNCTION("""COMPUTED_VALUE"""),-2.170872354486505)</f>
        <v>-2.170872354</v>
      </c>
      <c r="BE86" s="4"/>
      <c r="BF86" s="4"/>
      <c r="BG86" s="4">
        <f>IFERROR(__xludf.DUMMYFUNCTION("""COMPUTED_VALUE"""),3.1874572755561417)</f>
        <v>3.187457276</v>
      </c>
      <c r="BH86" s="4"/>
      <c r="BI86" s="4"/>
      <c r="BJ86" s="4"/>
      <c r="BK86" s="4"/>
    </row>
    <row r="87">
      <c r="A87" s="4"/>
      <c r="B87" s="4"/>
      <c r="C87" s="4"/>
      <c r="D87" s="4">
        <f>IFERROR(__xludf.DUMMYFUNCTION("""COMPUTED_VALUE"""),133.15293916008298)</f>
        <v>133.1529392</v>
      </c>
      <c r="E87" s="23">
        <f>IFERROR(__xludf.DUMMYFUNCTION("""COMPUTED_VALUE"""),4.523169206358602)</f>
        <v>4.523169206</v>
      </c>
      <c r="F87" s="4"/>
      <c r="G87" s="4"/>
      <c r="H87" s="4">
        <f>IFERROR(__xludf.DUMMYFUNCTION("""COMPUTED_VALUE"""),-1.2630484787620162)</f>
        <v>-1.263048479</v>
      </c>
      <c r="I87" s="4"/>
      <c r="J87" s="4"/>
      <c r="K87" s="4">
        <f>IFERROR(__xludf.DUMMYFUNCTION("""COMPUTED_VALUE"""),-4.413581409240464)</f>
        <v>-4.413581409</v>
      </c>
      <c r="L87" s="4"/>
      <c r="M87" s="4"/>
      <c r="N87" s="4">
        <f>IFERROR(__xludf.DUMMYFUNCTION("""COMPUTED_VALUE"""),3.5817027902200493)</f>
        <v>3.58170279</v>
      </c>
      <c r="O87" s="4"/>
      <c r="P87" s="4"/>
      <c r="Q87" s="4">
        <f>IFERROR(__xludf.DUMMYFUNCTION("""COMPUTED_VALUE"""),0.851450383165286)</f>
        <v>0.8514503832</v>
      </c>
      <c r="R87" s="4"/>
      <c r="S87" s="4"/>
      <c r="T87" s="4">
        <f>IFERROR(__xludf.DUMMYFUNCTION("""COMPUTED_VALUE"""),1.6360962636851468)</f>
        <v>1.636096264</v>
      </c>
      <c r="U87" s="4"/>
      <c r="V87" s="4"/>
      <c r="W87" s="4">
        <f>IFERROR(__xludf.DUMMYFUNCTION("""COMPUTED_VALUE"""),1.4351909064484403)</f>
        <v>1.435190906</v>
      </c>
      <c r="X87" s="4"/>
      <c r="Y87" s="4"/>
      <c r="Z87" s="4">
        <f>IFERROR(__xludf.DUMMYFUNCTION("""COMPUTED_VALUE"""),2.36318624924553)</f>
        <v>2.363186249</v>
      </c>
      <c r="AA87" s="4"/>
      <c r="AB87" s="4"/>
      <c r="AC87" s="4">
        <f>IFERROR(__xludf.DUMMYFUNCTION("""COMPUTED_VALUE"""),1.9978831751849384)</f>
        <v>1.997883175</v>
      </c>
      <c r="AD87" s="4"/>
      <c r="AE87" s="4"/>
      <c r="AF87" s="4">
        <f>IFERROR(__xludf.DUMMYFUNCTION("""COMPUTED_VALUE"""),-2.4767753795367753)</f>
        <v>-2.47677538</v>
      </c>
      <c r="AG87" s="4"/>
      <c r="AH87" s="4"/>
      <c r="AI87" s="4">
        <f>IFERROR(__xludf.DUMMYFUNCTION("""COMPUTED_VALUE"""),-1.088252439706082)</f>
        <v>-1.08825244</v>
      </c>
      <c r="AJ87" s="4"/>
      <c r="AK87" s="4"/>
      <c r="AL87" s="4">
        <f>IFERROR(__xludf.DUMMYFUNCTION("""COMPUTED_VALUE"""),7.812233155218735)</f>
        <v>7.812233155</v>
      </c>
      <c r="AM87" s="4"/>
      <c r="AN87" s="4"/>
      <c r="AO87" s="4">
        <f>IFERROR(__xludf.DUMMYFUNCTION("""COMPUTED_VALUE"""),-4.697809331971314)</f>
        <v>-4.697809332</v>
      </c>
      <c r="AP87" s="4"/>
      <c r="AQ87" s="4"/>
      <c r="AR87" s="4">
        <f>IFERROR(__xludf.DUMMYFUNCTION("""COMPUTED_VALUE"""),0.534857182954454)</f>
        <v>0.534857183</v>
      </c>
      <c r="AS87" s="4"/>
      <c r="AT87" s="4"/>
      <c r="AU87" s="4">
        <f>IFERROR(__xludf.DUMMYFUNCTION("""COMPUTED_VALUE"""),-0.8951568484391714)</f>
        <v>-0.8951568484</v>
      </c>
      <c r="AV87" s="4"/>
      <c r="AW87" s="4"/>
      <c r="AX87" s="4">
        <f>IFERROR(__xludf.DUMMYFUNCTION("""COMPUTED_VALUE"""),4.05072548986567)</f>
        <v>4.05072549</v>
      </c>
      <c r="AY87" s="4"/>
      <c r="AZ87" s="4"/>
      <c r="BA87" s="4">
        <f>IFERROR(__xludf.DUMMYFUNCTION("""COMPUTED_VALUE"""),3.561011993000079)</f>
        <v>3.561011993</v>
      </c>
      <c r="BB87" s="4"/>
      <c r="BC87" s="4"/>
      <c r="BD87" s="4">
        <f>IFERROR(__xludf.DUMMYFUNCTION("""COMPUTED_VALUE"""),1.0353080122953315)</f>
        <v>1.035308012</v>
      </c>
      <c r="BE87" s="4"/>
      <c r="BF87" s="4"/>
      <c r="BG87" s="4">
        <f>IFERROR(__xludf.DUMMYFUNCTION("""COMPUTED_VALUE"""),-2.5068532420411884)</f>
        <v>-2.506853242</v>
      </c>
      <c r="BH87" s="4"/>
      <c r="BI87" s="4"/>
      <c r="BJ87" s="4"/>
      <c r="BK87" s="4"/>
    </row>
    <row r="88">
      <c r="A88" s="4"/>
      <c r="B88" s="4"/>
      <c r="C88" s="4"/>
      <c r="D88" s="4">
        <f>IFERROR(__xludf.DUMMYFUNCTION("""COMPUTED_VALUE"""),132.23464302944822)</f>
        <v>132.234643</v>
      </c>
      <c r="E88" s="23">
        <f>IFERROR(__xludf.DUMMYFUNCTION("""COMPUTED_VALUE"""),3.714830299220637)</f>
        <v>3.714830299</v>
      </c>
      <c r="F88" s="4"/>
      <c r="G88" s="4"/>
      <c r="H88" s="4">
        <f>IFERROR(__xludf.DUMMYFUNCTION("""COMPUTED_VALUE"""),-0.4407911461128151)</f>
        <v>-0.4407911461</v>
      </c>
      <c r="I88" s="4"/>
      <c r="J88" s="4"/>
      <c r="K88" s="4">
        <f>IFERROR(__xludf.DUMMYFUNCTION("""COMPUTED_VALUE"""),-1.138285241404617)</f>
        <v>-1.138285241</v>
      </c>
      <c r="L88" s="4"/>
      <c r="M88" s="4"/>
      <c r="N88" s="4">
        <f>IFERROR(__xludf.DUMMYFUNCTION("""COMPUTED_VALUE"""),2.450790872698292)</f>
        <v>2.450790873</v>
      </c>
      <c r="O88" s="4"/>
      <c r="P88" s="4"/>
      <c r="Q88" s="4">
        <f>IFERROR(__xludf.DUMMYFUNCTION("""COMPUTED_VALUE"""),0.3248980624952651)</f>
        <v>0.3248980625</v>
      </c>
      <c r="R88" s="4"/>
      <c r="S88" s="4"/>
      <c r="T88" s="4">
        <f>IFERROR(__xludf.DUMMYFUNCTION("""COMPUTED_VALUE"""),0.8601136070230382)</f>
        <v>0.860113607</v>
      </c>
      <c r="U88" s="4"/>
      <c r="V88" s="4"/>
      <c r="W88" s="4">
        <f>IFERROR(__xludf.DUMMYFUNCTION("""COMPUTED_VALUE"""),2.5319838616088646)</f>
        <v>2.531983862</v>
      </c>
      <c r="X88" s="4"/>
      <c r="Y88" s="4"/>
      <c r="Z88" s="4">
        <f>IFERROR(__xludf.DUMMYFUNCTION("""COMPUTED_VALUE"""),4.099345012415085)</f>
        <v>4.099345012</v>
      </c>
      <c r="AA88" s="4"/>
      <c r="AB88" s="4"/>
      <c r="AC88" s="4">
        <f>IFERROR(__xludf.DUMMYFUNCTION("""COMPUTED_VALUE"""),3.2590795358181026)</f>
        <v>3.259079536</v>
      </c>
      <c r="AD88" s="4"/>
      <c r="AE88" s="4"/>
      <c r="AF88" s="4">
        <f>IFERROR(__xludf.DUMMYFUNCTION("""COMPUTED_VALUE"""),-0.6249515566448167)</f>
        <v>-0.6249515566</v>
      </c>
      <c r="AG88" s="4"/>
      <c r="AH88" s="4"/>
      <c r="AI88" s="4">
        <f>IFERROR(__xludf.DUMMYFUNCTION("""COMPUTED_VALUE"""),-0.2278562356787006)</f>
        <v>-0.2278562357</v>
      </c>
      <c r="AJ88" s="4"/>
      <c r="AK88" s="4"/>
      <c r="AL88" s="4">
        <f>IFERROR(__xludf.DUMMYFUNCTION("""COMPUTED_VALUE"""),5.872753517130832)</f>
        <v>5.872753517</v>
      </c>
      <c r="AM88" s="4"/>
      <c r="AN88" s="4"/>
      <c r="AO88" s="4">
        <f>IFERROR(__xludf.DUMMYFUNCTION("""COMPUTED_VALUE"""),-0.48356587015791774)</f>
        <v>-0.4835658702</v>
      </c>
      <c r="AP88" s="4"/>
      <c r="AQ88" s="4"/>
      <c r="AR88" s="4">
        <f>IFERROR(__xludf.DUMMYFUNCTION("""COMPUTED_VALUE"""),0.9034370771196905)</f>
        <v>0.9034370771</v>
      </c>
      <c r="AS88" s="4"/>
      <c r="AT88" s="4"/>
      <c r="AU88" s="4">
        <f>IFERROR(__xludf.DUMMYFUNCTION("""COMPUTED_VALUE"""),1.9955460660935955)</f>
        <v>1.995546066</v>
      </c>
      <c r="AV88" s="4"/>
      <c r="AW88" s="4"/>
      <c r="AX88" s="4">
        <f>IFERROR(__xludf.DUMMYFUNCTION("""COMPUTED_VALUE"""),4.932999193897956)</f>
        <v>4.932999194</v>
      </c>
      <c r="AY88" s="4"/>
      <c r="AZ88" s="4"/>
      <c r="BA88" s="4">
        <f>IFERROR(__xludf.DUMMYFUNCTION("""COMPUTED_VALUE"""),6.537663514267592)</f>
        <v>6.537663514</v>
      </c>
      <c r="BB88" s="4"/>
      <c r="BC88" s="4"/>
      <c r="BD88" s="4">
        <f>IFERROR(__xludf.DUMMYFUNCTION("""COMPUTED_VALUE"""),3.2495723182134952)</f>
        <v>3.249572318</v>
      </c>
      <c r="BE88" s="4"/>
      <c r="BF88" s="4"/>
      <c r="BG88" s="4">
        <f>IFERROR(__xludf.DUMMYFUNCTION("""COMPUTED_VALUE"""),2.1337697138061458)</f>
        <v>2.133769714</v>
      </c>
      <c r="BH88" s="4"/>
      <c r="BI88" s="4"/>
      <c r="BJ88" s="4"/>
      <c r="BK88" s="4"/>
    </row>
    <row r="89">
      <c r="A89" s="4"/>
      <c r="B89" s="4"/>
      <c r="C89" s="4"/>
      <c r="D89" s="4">
        <f>IFERROR(__xludf.DUMMYFUNCTION("""COMPUTED_VALUE"""),131.31634689664816)</f>
        <v>131.3163469</v>
      </c>
      <c r="E89" s="23">
        <f>IFERROR(__xludf.DUMMYFUNCTION("""COMPUTED_VALUE"""),6.678010329506719)</f>
        <v>6.67801033</v>
      </c>
      <c r="F89" s="4"/>
      <c r="G89" s="4"/>
      <c r="H89" s="4">
        <f>IFERROR(__xludf.DUMMYFUNCTION("""COMPUTED_VALUE"""),1.480417773631416)</f>
        <v>1.480417774</v>
      </c>
      <c r="I89" s="4"/>
      <c r="J89" s="4"/>
      <c r="K89" s="4">
        <f>IFERROR(__xludf.DUMMYFUNCTION("""COMPUTED_VALUE"""),0.8962563134165293)</f>
        <v>0.8962563134</v>
      </c>
      <c r="L89" s="4"/>
      <c r="M89" s="4"/>
      <c r="N89" s="4">
        <f>IFERROR(__xludf.DUMMYFUNCTION("""COMPUTED_VALUE"""),5.408456145655521)</f>
        <v>5.408456146</v>
      </c>
      <c r="O89" s="4"/>
      <c r="P89" s="4"/>
      <c r="Q89" s="4">
        <f>IFERROR(__xludf.DUMMYFUNCTION("""COMPUTED_VALUE"""),1.8232869670009677)</f>
        <v>1.823286967</v>
      </c>
      <c r="R89" s="4"/>
      <c r="S89" s="4"/>
      <c r="T89" s="4">
        <f>IFERROR(__xludf.DUMMYFUNCTION("""COMPUTED_VALUE"""),-1.7274279135177153)</f>
        <v>-1.727427914</v>
      </c>
      <c r="U89" s="4"/>
      <c r="V89" s="4"/>
      <c r="W89" s="4">
        <f>IFERROR(__xludf.DUMMYFUNCTION("""COMPUTED_VALUE"""),0.16190995714208611)</f>
        <v>0.1619099571</v>
      </c>
      <c r="X89" s="4"/>
      <c r="Y89" s="4"/>
      <c r="Z89" s="4">
        <f>IFERROR(__xludf.DUMMYFUNCTION("""COMPUTED_VALUE"""),-1.2165842041492283)</f>
        <v>-1.216584204</v>
      </c>
      <c r="AA89" s="4"/>
      <c r="AB89" s="4"/>
      <c r="AC89" s="4">
        <f>IFERROR(__xludf.DUMMYFUNCTION("""COMPUTED_VALUE"""),6.887433179572497)</f>
        <v>6.88743318</v>
      </c>
      <c r="AD89" s="4"/>
      <c r="AE89" s="4"/>
      <c r="AF89" s="4">
        <f>IFERROR(__xludf.DUMMYFUNCTION("""COMPUTED_VALUE"""),-1.323279985730153)</f>
        <v>-1.323279986</v>
      </c>
      <c r="AG89" s="4"/>
      <c r="AH89" s="4"/>
      <c r="AI89" s="4">
        <f>IFERROR(__xludf.DUMMYFUNCTION("""COMPUTED_VALUE"""),0.9563549065561574)</f>
        <v>0.9563549066</v>
      </c>
      <c r="AJ89" s="4"/>
      <c r="AK89" s="4"/>
      <c r="AL89" s="4">
        <f>IFERROR(__xludf.DUMMYFUNCTION("""COMPUTED_VALUE"""),5.181865645059133)</f>
        <v>5.181865645</v>
      </c>
      <c r="AM89" s="4"/>
      <c r="AN89" s="4"/>
      <c r="AO89" s="4">
        <f>IFERROR(__xludf.DUMMYFUNCTION("""COMPUTED_VALUE"""),6.630146928280908)</f>
        <v>6.630146928</v>
      </c>
      <c r="AP89" s="4"/>
      <c r="AQ89" s="4"/>
      <c r="AR89" s="4">
        <f>IFERROR(__xludf.DUMMYFUNCTION("""COMPUTED_VALUE"""),2.919944204502144)</f>
        <v>2.919944205</v>
      </c>
      <c r="AS89" s="4"/>
      <c r="AT89" s="4"/>
      <c r="AU89" s="4">
        <f>IFERROR(__xludf.DUMMYFUNCTION("""COMPUTED_VALUE"""),2.3670530745496308)</f>
        <v>2.367053075</v>
      </c>
      <c r="AV89" s="4"/>
      <c r="AW89" s="4"/>
      <c r="AX89" s="4">
        <f>IFERROR(__xludf.DUMMYFUNCTION("""COMPUTED_VALUE"""),3.4739912347316135)</f>
        <v>3.473991235</v>
      </c>
      <c r="AY89" s="4"/>
      <c r="AZ89" s="4"/>
      <c r="BA89" s="4">
        <f>IFERROR(__xludf.DUMMYFUNCTION("""COMPUTED_VALUE"""),0.5844889620674962)</f>
        <v>0.5844889621</v>
      </c>
      <c r="BB89" s="4"/>
      <c r="BC89" s="4"/>
      <c r="BD89" s="4">
        <f>IFERROR(__xludf.DUMMYFUNCTION("""COMPUTED_VALUE"""),2.4587993632896996)</f>
        <v>2.458799363</v>
      </c>
      <c r="BE89" s="4"/>
      <c r="BF89" s="4"/>
      <c r="BG89" s="4">
        <f>IFERROR(__xludf.DUMMYFUNCTION("""COMPUTED_VALUE"""),-0.09402391800591658)</f>
        <v>-0.09402391801</v>
      </c>
      <c r="BH89" s="4"/>
      <c r="BI89" s="4"/>
      <c r="BJ89" s="4"/>
      <c r="BK89" s="4"/>
    </row>
    <row r="90">
      <c r="A90" s="4"/>
      <c r="B90" s="4"/>
      <c r="C90" s="4"/>
      <c r="D90" s="4">
        <f>IFERROR(__xludf.DUMMYFUNCTION("""COMPUTED_VALUE"""),130.39805076384806)</f>
        <v>130.3980508</v>
      </c>
      <c r="E90" s="23">
        <f>IFERROR(__xludf.DUMMYFUNCTION("""COMPUTED_VALUE"""),-2.7760335406998706)</f>
        <v>-2.776033541</v>
      </c>
      <c r="F90" s="4"/>
      <c r="G90" s="4"/>
      <c r="H90" s="4">
        <f>IFERROR(__xludf.DUMMYFUNCTION("""COMPUTED_VALUE"""),-3.5115685148048783)</f>
        <v>-3.511568515</v>
      </c>
      <c r="I90" s="4"/>
      <c r="J90" s="4"/>
      <c r="K90" s="4">
        <f>IFERROR(__xludf.DUMMYFUNCTION("""COMPUTED_VALUE"""),3.377102524576287)</f>
        <v>3.377102525</v>
      </c>
      <c r="L90" s="4"/>
      <c r="M90" s="4"/>
      <c r="N90" s="4">
        <f>IFERROR(__xludf.DUMMYFUNCTION("""COMPUTED_VALUE"""),4.531966788007253)</f>
        <v>4.531966788</v>
      </c>
      <c r="O90" s="4"/>
      <c r="P90" s="4"/>
      <c r="Q90" s="4">
        <f>IFERROR(__xludf.DUMMYFUNCTION("""COMPUTED_VALUE"""),-0.7521666639713658)</f>
        <v>-0.752166664</v>
      </c>
      <c r="R90" s="4"/>
      <c r="S90" s="4"/>
      <c r="T90" s="4">
        <f>IFERROR(__xludf.DUMMYFUNCTION("""COMPUTED_VALUE"""),-13.068001806035909)</f>
        <v>-13.06800181</v>
      </c>
      <c r="U90" s="4"/>
      <c r="V90" s="4"/>
      <c r="W90" s="4">
        <f>IFERROR(__xludf.DUMMYFUNCTION("""COMPUTED_VALUE"""),-5.905984163538903)</f>
        <v>-5.905984164</v>
      </c>
      <c r="X90" s="4"/>
      <c r="Y90" s="4"/>
      <c r="Z90" s="4">
        <f>IFERROR(__xludf.DUMMYFUNCTION("""COMPUTED_VALUE"""),7.8905175009728055)</f>
        <v>7.890517501</v>
      </c>
      <c r="AA90" s="4"/>
      <c r="AB90" s="4"/>
      <c r="AC90" s="4">
        <f>IFERROR(__xludf.DUMMYFUNCTION("""COMPUTED_VALUE"""),-0.5829024879190001)</f>
        <v>-0.5829024879</v>
      </c>
      <c r="AD90" s="4"/>
      <c r="AE90" s="4"/>
      <c r="AF90" s="4">
        <f>IFERROR(__xludf.DUMMYFUNCTION("""COMPUTED_VALUE"""),0.4319565097069926)</f>
        <v>0.4319565097</v>
      </c>
      <c r="AG90" s="4"/>
      <c r="AH90" s="4"/>
      <c r="AI90" s="4">
        <f>IFERROR(__xludf.DUMMYFUNCTION("""COMPUTED_VALUE"""),-1.7174640897749782)</f>
        <v>-1.71746409</v>
      </c>
      <c r="AJ90" s="4"/>
      <c r="AK90" s="4"/>
      <c r="AL90" s="4">
        <f>IFERROR(__xludf.DUMMYFUNCTION("""COMPUTED_VALUE"""),2.9079423634578347)</f>
        <v>2.907942363</v>
      </c>
      <c r="AM90" s="4"/>
      <c r="AN90" s="4"/>
      <c r="AO90" s="4">
        <f>IFERROR(__xludf.DUMMYFUNCTION("""COMPUTED_VALUE"""),2.3393808268344287)</f>
        <v>2.339380827</v>
      </c>
      <c r="AP90" s="4"/>
      <c r="AQ90" s="4"/>
      <c r="AR90" s="4">
        <f>IFERROR(__xludf.DUMMYFUNCTION("""COMPUTED_VALUE"""),5.925458082995135)</f>
        <v>5.925458083</v>
      </c>
      <c r="AS90" s="4"/>
      <c r="AT90" s="4"/>
      <c r="AU90" s="4">
        <f>IFERROR(__xludf.DUMMYFUNCTION("""COMPUTED_VALUE"""),1.5545123080918302)</f>
        <v>1.554512308</v>
      </c>
      <c r="AV90" s="4"/>
      <c r="AW90" s="4"/>
      <c r="AX90" s="4">
        <f>IFERROR(__xludf.DUMMYFUNCTION("""COMPUTED_VALUE"""),4.8790849035645465)</f>
        <v>4.879084904</v>
      </c>
      <c r="AY90" s="4"/>
      <c r="AZ90" s="4"/>
      <c r="BA90" s="4">
        <f>IFERROR(__xludf.DUMMYFUNCTION("""COMPUTED_VALUE"""),-1.376573220917237)</f>
        <v>-1.376573221</v>
      </c>
      <c r="BB90" s="4"/>
      <c r="BC90" s="4"/>
      <c r="BD90" s="4">
        <f>IFERROR(__xludf.DUMMYFUNCTION("""COMPUTED_VALUE"""),2.621492843658018)</f>
        <v>2.621492844</v>
      </c>
      <c r="BE90" s="4"/>
      <c r="BF90" s="4"/>
      <c r="BG90" s="4">
        <f>IFERROR(__xludf.DUMMYFUNCTION("""COMPUTED_VALUE"""),-1.9522108971956413)</f>
        <v>-1.952210897</v>
      </c>
      <c r="BH90" s="4"/>
      <c r="BI90" s="4"/>
      <c r="BJ90" s="4"/>
      <c r="BK90" s="4"/>
    </row>
    <row r="91">
      <c r="A91" s="4"/>
      <c r="B91" s="4"/>
      <c r="C91" s="4"/>
      <c r="D91" s="4">
        <f>IFERROR(__xludf.DUMMYFUNCTION("""COMPUTED_VALUE"""),129.47975463321328)</f>
        <v>129.4797546</v>
      </c>
      <c r="E91" s="23">
        <f>IFERROR(__xludf.DUMMYFUNCTION("""COMPUTED_VALUE"""),-1.500818680475959)</f>
        <v>-1.50081868</v>
      </c>
      <c r="F91" s="4"/>
      <c r="G91" s="4"/>
      <c r="H91" s="4">
        <f>IFERROR(__xludf.DUMMYFUNCTION("""COMPUTED_VALUE"""),5.550108665743323)</f>
        <v>5.550108666</v>
      </c>
      <c r="I91" s="4"/>
      <c r="J91" s="4"/>
      <c r="K91" s="4">
        <f>IFERROR(__xludf.DUMMYFUNCTION("""COMPUTED_VALUE"""),3.2705710021712093)</f>
        <v>3.270571002</v>
      </c>
      <c r="L91" s="4"/>
      <c r="M91" s="4"/>
      <c r="N91" s="4">
        <f>IFERROR(__xludf.DUMMYFUNCTION("""COMPUTED_VALUE"""),-2.2008862579796187)</f>
        <v>-2.200886258</v>
      </c>
      <c r="O91" s="4"/>
      <c r="P91" s="4"/>
      <c r="Q91" s="4">
        <f>IFERROR(__xludf.DUMMYFUNCTION("""COMPUTED_VALUE"""),2.7279345899831924)</f>
        <v>2.72793459</v>
      </c>
      <c r="R91" s="4"/>
      <c r="S91" s="4"/>
      <c r="T91" s="4">
        <f>IFERROR(__xludf.DUMMYFUNCTION("""COMPUTED_VALUE"""),-2.109572340987313)</f>
        <v>-2.109572341</v>
      </c>
      <c r="U91" s="4"/>
      <c r="V91" s="4"/>
      <c r="W91" s="4">
        <f>IFERROR(__xludf.DUMMYFUNCTION("""COMPUTED_VALUE"""),-2.079153824317018)</f>
        <v>-2.079153824</v>
      </c>
      <c r="X91" s="4"/>
      <c r="Y91" s="4"/>
      <c r="Z91" s="4">
        <f>IFERROR(__xludf.DUMMYFUNCTION("""COMPUTED_VALUE"""),2.0690395078985375)</f>
        <v>2.069039508</v>
      </c>
      <c r="AA91" s="4"/>
      <c r="AB91" s="4"/>
      <c r="AC91" s="4">
        <f>IFERROR(__xludf.DUMMYFUNCTION("""COMPUTED_VALUE"""),1.7833921407711273)</f>
        <v>1.783392141</v>
      </c>
      <c r="AD91" s="4"/>
      <c r="AE91" s="4"/>
      <c r="AF91" s="4">
        <f>IFERROR(__xludf.DUMMYFUNCTION("""COMPUTED_VALUE"""),6.280764277266883)</f>
        <v>6.280764277</v>
      </c>
      <c r="AG91" s="4"/>
      <c r="AH91" s="4"/>
      <c r="AI91" s="4">
        <f>IFERROR(__xludf.DUMMYFUNCTION("""COMPUTED_VALUE"""),3.723420438511482)</f>
        <v>3.723420439</v>
      </c>
      <c r="AJ91" s="4"/>
      <c r="AK91" s="4"/>
      <c r="AL91" s="4">
        <f>IFERROR(__xludf.DUMMYFUNCTION("""COMPUTED_VALUE"""),0.043633936115782035)</f>
        <v>0.04363393612</v>
      </c>
      <c r="AM91" s="4"/>
      <c r="AN91" s="4"/>
      <c r="AO91" s="4">
        <f>IFERROR(__xludf.DUMMYFUNCTION("""COMPUTED_VALUE"""),1.4998741622191574)</f>
        <v>1.499874162</v>
      </c>
      <c r="AP91" s="4"/>
      <c r="AQ91" s="4"/>
      <c r="AR91" s="4">
        <f>IFERROR(__xludf.DUMMYFUNCTION("""COMPUTED_VALUE"""),-1.9969794934390848)</f>
        <v>-1.996979493</v>
      </c>
      <c r="AS91" s="4"/>
      <c r="AT91" s="4"/>
      <c r="AU91" s="4">
        <f>IFERROR(__xludf.DUMMYFUNCTION("""COMPUTED_VALUE"""),5.6874400665388976)</f>
        <v>5.687440067</v>
      </c>
      <c r="AV91" s="4"/>
      <c r="AW91" s="4"/>
      <c r="AX91" s="4">
        <f>IFERROR(__xludf.DUMMYFUNCTION("""COMPUTED_VALUE"""),4.448428422374491)</f>
        <v>4.448428422</v>
      </c>
      <c r="AY91" s="4"/>
      <c r="AZ91" s="4"/>
      <c r="BA91" s="4">
        <f>IFERROR(__xludf.DUMMYFUNCTION("""COMPUTED_VALUE"""),1.7693990109094102)</f>
        <v>1.769399011</v>
      </c>
      <c r="BB91" s="4"/>
      <c r="BC91" s="4"/>
      <c r="BD91" s="4">
        <f>IFERROR(__xludf.DUMMYFUNCTION("""COMPUTED_VALUE"""),-1.2231514085303274)</f>
        <v>-1.223151409</v>
      </c>
      <c r="BE91" s="4"/>
      <c r="BF91" s="4"/>
      <c r="BG91" s="4">
        <f>IFERROR(__xludf.DUMMYFUNCTION("""COMPUTED_VALUE"""),-1.5585628525180937)</f>
        <v>-1.558562853</v>
      </c>
      <c r="BH91" s="4"/>
      <c r="BI91" s="4"/>
      <c r="BJ91" s="4"/>
      <c r="BK91" s="4"/>
    </row>
    <row r="92">
      <c r="A92" s="4"/>
      <c r="B92" s="4"/>
      <c r="C92" s="4"/>
      <c r="D92" s="4">
        <f>IFERROR(__xludf.DUMMYFUNCTION("""COMPUTED_VALUE"""),128.5614585004132)</f>
        <v>128.5614585</v>
      </c>
      <c r="E92" s="23">
        <f>IFERROR(__xludf.DUMMYFUNCTION("""COMPUTED_VALUE"""),1.928208276659177)</f>
        <v>1.928208277</v>
      </c>
      <c r="F92" s="4"/>
      <c r="G92" s="4"/>
      <c r="H92" s="4">
        <f>IFERROR(__xludf.DUMMYFUNCTION("""COMPUTED_VALUE"""),2.37948864002999)</f>
        <v>2.37948864</v>
      </c>
      <c r="I92" s="4"/>
      <c r="J92" s="4"/>
      <c r="K92" s="4">
        <f>IFERROR(__xludf.DUMMYFUNCTION("""COMPUTED_VALUE"""),-0.8039448551858186)</f>
        <v>-0.8039448552</v>
      </c>
      <c r="L92" s="4"/>
      <c r="M92" s="4"/>
      <c r="N92" s="4">
        <f>IFERROR(__xludf.DUMMYFUNCTION("""COMPUTED_VALUE"""),-3.4428066833859248)</f>
        <v>-3.442806683</v>
      </c>
      <c r="O92" s="4"/>
      <c r="P92" s="4"/>
      <c r="Q92" s="4">
        <f>IFERROR(__xludf.DUMMYFUNCTION("""COMPUTED_VALUE"""),4.694076675206361)</f>
        <v>4.694076675</v>
      </c>
      <c r="R92" s="4"/>
      <c r="S92" s="4"/>
      <c r="T92" s="4">
        <f>IFERROR(__xludf.DUMMYFUNCTION("""COMPUTED_VALUE"""),0.08087893038987204)</f>
        <v>0.08087893039</v>
      </c>
      <c r="U92" s="4"/>
      <c r="V92" s="4"/>
      <c r="W92" s="4">
        <f>IFERROR(__xludf.DUMMYFUNCTION("""COMPUTED_VALUE"""),1.7113713472631957)</f>
        <v>1.711371347</v>
      </c>
      <c r="X92" s="4"/>
      <c r="Y92" s="4"/>
      <c r="Z92" s="4">
        <f>IFERROR(__xludf.DUMMYFUNCTION("""COMPUTED_VALUE"""),3.273933226748568)</f>
        <v>3.273933227</v>
      </c>
      <c r="AA92" s="4"/>
      <c r="AB92" s="4"/>
      <c r="AC92" s="4">
        <f>IFERROR(__xludf.DUMMYFUNCTION("""COMPUTED_VALUE"""),-2.2454774275505542)</f>
        <v>-2.245477428</v>
      </c>
      <c r="AD92" s="4"/>
      <c r="AE92" s="4"/>
      <c r="AF92" s="4">
        <f>IFERROR(__xludf.DUMMYFUNCTION("""COMPUTED_VALUE"""),5.9950131751671165)</f>
        <v>5.995013175</v>
      </c>
      <c r="AG92" s="4"/>
      <c r="AH92" s="4"/>
      <c r="AI92" s="4">
        <f>IFERROR(__xludf.DUMMYFUNCTION("""COMPUTED_VALUE"""),1.7780318912041935)</f>
        <v>1.778031891</v>
      </c>
      <c r="AJ92" s="4"/>
      <c r="AK92" s="4"/>
      <c r="AL92" s="4">
        <f>IFERROR(__xludf.DUMMYFUNCTION("""COMPUTED_VALUE"""),-0.4265855760253885)</f>
        <v>-0.426585576</v>
      </c>
      <c r="AM92" s="4"/>
      <c r="AN92" s="4"/>
      <c r="AO92" s="4">
        <f>IFERROR(__xludf.DUMMYFUNCTION("""COMPUTED_VALUE"""),1.8602656937824804)</f>
        <v>1.860265694</v>
      </c>
      <c r="AP92" s="4"/>
      <c r="AQ92" s="4"/>
      <c r="AR92" s="4">
        <f>IFERROR(__xludf.DUMMYFUNCTION("""COMPUTED_VALUE"""),0.898670772491414)</f>
        <v>0.8986707725</v>
      </c>
      <c r="AS92" s="4"/>
      <c r="AT92" s="4"/>
      <c r="AU92" s="4">
        <f>IFERROR(__xludf.DUMMYFUNCTION("""COMPUTED_VALUE"""),4.742453208100699)</f>
        <v>4.742453208</v>
      </c>
      <c r="AV92" s="4"/>
      <c r="AW92" s="4"/>
      <c r="AX92" s="4">
        <f>IFERROR(__xludf.DUMMYFUNCTION("""COMPUTED_VALUE"""),6.222402671541772)</f>
        <v>6.222402672</v>
      </c>
      <c r="AY92" s="4"/>
      <c r="AZ92" s="4"/>
      <c r="BA92" s="4">
        <f>IFERROR(__xludf.DUMMYFUNCTION("""COMPUTED_VALUE"""),2.0257439644624355)</f>
        <v>2.025743964</v>
      </c>
      <c r="BB92" s="4"/>
      <c r="BC92" s="4"/>
      <c r="BD92" s="4">
        <f>IFERROR(__xludf.DUMMYFUNCTION("""COMPUTED_VALUE"""),5.690296076845641)</f>
        <v>5.690296077</v>
      </c>
      <c r="BE92" s="4"/>
      <c r="BF92" s="4"/>
      <c r="BG92" s="4">
        <f>IFERROR(__xludf.DUMMYFUNCTION("""COMPUTED_VALUE"""),-2.804612720813168)</f>
        <v>-2.804612721</v>
      </c>
      <c r="BH92" s="4"/>
      <c r="BI92" s="4"/>
      <c r="BJ92" s="4"/>
      <c r="BK92" s="4"/>
    </row>
    <row r="93">
      <c r="A93" s="4"/>
      <c r="B93" s="4"/>
      <c r="C93" s="4"/>
      <c r="D93" s="4">
        <f>IFERROR(__xludf.DUMMYFUNCTION("""COMPUTED_VALUE"""),127.64316236766349)</f>
        <v>127.6431624</v>
      </c>
      <c r="E93" s="23">
        <f>IFERROR(__xludf.DUMMYFUNCTION("""COMPUTED_VALUE"""),0.9333707557576076)</f>
        <v>0.9333707558</v>
      </c>
      <c r="F93" s="4"/>
      <c r="G93" s="4"/>
      <c r="H93" s="4">
        <f>IFERROR(__xludf.DUMMYFUNCTION("""COMPUTED_VALUE"""),7.693016191036236)</f>
        <v>7.693016191</v>
      </c>
      <c r="I93" s="4"/>
      <c r="J93" s="4"/>
      <c r="K93" s="4">
        <f>IFERROR(__xludf.DUMMYFUNCTION("""COMPUTED_VALUE"""),2.7755306021576303)</f>
        <v>2.775530602</v>
      </c>
      <c r="L93" s="4"/>
      <c r="M93" s="4"/>
      <c r="N93" s="4">
        <f>IFERROR(__xludf.DUMMYFUNCTION("""COMPUTED_VALUE"""),-0.8148413477126155)</f>
        <v>-0.8148413477</v>
      </c>
      <c r="O93" s="4"/>
      <c r="P93" s="4"/>
      <c r="Q93" s="4">
        <f>IFERROR(__xludf.DUMMYFUNCTION("""COMPUTED_VALUE"""),1.4942297749765316)</f>
        <v>1.494229775</v>
      </c>
      <c r="R93" s="4"/>
      <c r="S93" s="4"/>
      <c r="T93" s="4">
        <f>IFERROR(__xludf.DUMMYFUNCTION("""COMPUTED_VALUE"""),-4.28170005849762)</f>
        <v>-4.281700058</v>
      </c>
      <c r="U93" s="4"/>
      <c r="V93" s="4"/>
      <c r="W93" s="4">
        <f>IFERROR(__xludf.DUMMYFUNCTION("""COMPUTED_VALUE"""),1.6133257951353244)</f>
        <v>1.613325795</v>
      </c>
      <c r="X93" s="4"/>
      <c r="Y93" s="4"/>
      <c r="Z93" s="4">
        <f>IFERROR(__xludf.DUMMYFUNCTION("""COMPUTED_VALUE"""),7.976971997814701)</f>
        <v>7.976971998</v>
      </c>
      <c r="AA93" s="4"/>
      <c r="AB93" s="4"/>
      <c r="AC93" s="4">
        <f>IFERROR(__xludf.DUMMYFUNCTION("""COMPUTED_VALUE"""),2.3616383458283394)</f>
        <v>2.361638346</v>
      </c>
      <c r="AD93" s="4"/>
      <c r="AE93" s="4"/>
      <c r="AF93" s="4">
        <f>IFERROR(__xludf.DUMMYFUNCTION("""COMPUTED_VALUE"""),1.8260806826334601)</f>
        <v>1.826080683</v>
      </c>
      <c r="AG93" s="4"/>
      <c r="AH93" s="4"/>
      <c r="AI93" s="4">
        <f>IFERROR(__xludf.DUMMYFUNCTION("""COMPUTED_VALUE"""),3.6360007371594634)</f>
        <v>3.636000737</v>
      </c>
      <c r="AJ93" s="4"/>
      <c r="AK93" s="4"/>
      <c r="AL93" s="4">
        <f>IFERROR(__xludf.DUMMYFUNCTION("""COMPUTED_VALUE"""),7.502817573279572)</f>
        <v>7.502817573</v>
      </c>
      <c r="AM93" s="4"/>
      <c r="AN93" s="4"/>
      <c r="AO93" s="4">
        <f>IFERROR(__xludf.DUMMYFUNCTION("""COMPUTED_VALUE"""),1.109826945993177)</f>
        <v>1.109826946</v>
      </c>
      <c r="AP93" s="4"/>
      <c r="AQ93" s="4"/>
      <c r="AR93" s="4">
        <f>IFERROR(__xludf.DUMMYFUNCTION("""COMPUTED_VALUE"""),0.8534595239007672)</f>
        <v>0.8534595239</v>
      </c>
      <c r="AS93" s="4"/>
      <c r="AT93" s="4"/>
      <c r="AU93" s="4">
        <f>IFERROR(__xludf.DUMMYFUNCTION("""COMPUTED_VALUE"""),-0.5244271225103603)</f>
        <v>-0.5244271225</v>
      </c>
      <c r="AV93" s="4"/>
      <c r="AW93" s="4"/>
      <c r="AX93" s="4">
        <f>IFERROR(__xludf.DUMMYFUNCTION("""COMPUTED_VALUE"""),1.6057391780711328)</f>
        <v>1.605739178</v>
      </c>
      <c r="AY93" s="4"/>
      <c r="AZ93" s="4"/>
      <c r="BA93" s="4">
        <f>IFERROR(__xludf.DUMMYFUNCTION("""COMPUTED_VALUE"""),2.4734366550715094)</f>
        <v>2.473436655</v>
      </c>
      <c r="BB93" s="4"/>
      <c r="BC93" s="4"/>
      <c r="BD93" s="4">
        <f>IFERROR(__xludf.DUMMYFUNCTION("""COMPUTED_VALUE"""),8.882399744817747)</f>
        <v>8.882399745</v>
      </c>
      <c r="BE93" s="4"/>
      <c r="BF93" s="4"/>
      <c r="BG93" s="4">
        <f>IFERROR(__xludf.DUMMYFUNCTION("""COMPUTED_VALUE"""),0.7231897316345908)</f>
        <v>0.7231897316</v>
      </c>
      <c r="BH93" s="4"/>
      <c r="BI93" s="4"/>
      <c r="BJ93" s="4"/>
      <c r="BK93" s="4"/>
    </row>
    <row r="94">
      <c r="A94" s="4"/>
      <c r="B94" s="4"/>
      <c r="C94" s="4"/>
      <c r="D94" s="4">
        <f>IFERROR(__xludf.DUMMYFUNCTION("""COMPUTED_VALUE"""),126.72486623486341)</f>
        <v>126.7248662</v>
      </c>
      <c r="E94" s="23">
        <f>IFERROR(__xludf.DUMMYFUNCTION("""COMPUTED_VALUE"""),2.739701715063518)</f>
        <v>2.739701715</v>
      </c>
      <c r="F94" s="4"/>
      <c r="G94" s="4"/>
      <c r="H94" s="4">
        <f>IFERROR(__xludf.DUMMYFUNCTION("""COMPUTED_VALUE"""),2.5288977434503295)</f>
        <v>2.528897743</v>
      </c>
      <c r="I94" s="4"/>
      <c r="J94" s="4"/>
      <c r="K94" s="4">
        <f>IFERROR(__xludf.DUMMYFUNCTION("""COMPUTED_VALUE"""),-6.698579907790531)</f>
        <v>-6.698579908</v>
      </c>
      <c r="L94" s="4"/>
      <c r="M94" s="4"/>
      <c r="N94" s="4">
        <f>IFERROR(__xludf.DUMMYFUNCTION("""COMPUTED_VALUE"""),-6.19213644920535)</f>
        <v>-6.192136449</v>
      </c>
      <c r="O94" s="4"/>
      <c r="P94" s="4"/>
      <c r="Q94" s="4">
        <f>IFERROR(__xludf.DUMMYFUNCTION("""COMPUTED_VALUE"""),3.628749035852479)</f>
        <v>3.628749036</v>
      </c>
      <c r="R94" s="4"/>
      <c r="S94" s="4"/>
      <c r="T94" s="4">
        <f>IFERROR(__xludf.DUMMYFUNCTION("""COMPUTED_VALUE"""),1.9416913089351624)</f>
        <v>1.941691309</v>
      </c>
      <c r="U94" s="4"/>
      <c r="V94" s="4"/>
      <c r="W94" s="4">
        <f>IFERROR(__xludf.DUMMYFUNCTION("""COMPUTED_VALUE"""),-6.026039646554352)</f>
        <v>-6.026039647</v>
      </c>
      <c r="X94" s="4"/>
      <c r="Y94" s="4"/>
      <c r="Z94" s="4">
        <f>IFERROR(__xludf.DUMMYFUNCTION("""COMPUTED_VALUE"""),7.508050777192011)</f>
        <v>7.508050777</v>
      </c>
      <c r="AA94" s="4"/>
      <c r="AB94" s="4"/>
      <c r="AC94" s="4">
        <f>IFERROR(__xludf.DUMMYFUNCTION("""COMPUTED_VALUE"""),6.526395411550368)</f>
        <v>6.526395412</v>
      </c>
      <c r="AD94" s="4"/>
      <c r="AE94" s="4"/>
      <c r="AF94" s="4">
        <f>IFERROR(__xludf.DUMMYFUNCTION("""COMPUTED_VALUE"""),-0.4716244690680469)</f>
        <v>-0.4716244691</v>
      </c>
      <c r="AG94" s="4"/>
      <c r="AH94" s="4"/>
      <c r="AI94" s="4">
        <f>IFERROR(__xludf.DUMMYFUNCTION("""COMPUTED_VALUE"""),2.6725593904911875)</f>
        <v>2.67255939</v>
      </c>
      <c r="AJ94" s="4"/>
      <c r="AK94" s="4"/>
      <c r="AL94" s="4">
        <f>IFERROR(__xludf.DUMMYFUNCTION("""COMPUTED_VALUE"""),2.955580433395312)</f>
        <v>2.955580433</v>
      </c>
      <c r="AM94" s="4"/>
      <c r="AN94" s="4"/>
      <c r="AO94" s="4">
        <f>IFERROR(__xludf.DUMMYFUNCTION("""COMPUTED_VALUE"""),2.958813302631711)</f>
        <v>2.958813303</v>
      </c>
      <c r="AP94" s="4"/>
      <c r="AQ94" s="4"/>
      <c r="AR94" s="4">
        <f>IFERROR(__xludf.DUMMYFUNCTION("""COMPUTED_VALUE"""),0.24228889057354763)</f>
        <v>0.2422888906</v>
      </c>
      <c r="AS94" s="4"/>
      <c r="AT94" s="4"/>
      <c r="AU94" s="4">
        <f>IFERROR(__xludf.DUMMYFUNCTION("""COMPUTED_VALUE"""),-3.0556942144980894)</f>
        <v>-3.055694214</v>
      </c>
      <c r="AV94" s="4"/>
      <c r="AW94" s="4"/>
      <c r="AX94" s="4">
        <f>IFERROR(__xludf.DUMMYFUNCTION("""COMPUTED_VALUE"""),5.8455435575363595)</f>
        <v>5.845543558</v>
      </c>
      <c r="AY94" s="4"/>
      <c r="AZ94" s="4"/>
      <c r="BA94" s="4">
        <f>IFERROR(__xludf.DUMMYFUNCTION("""COMPUTED_VALUE"""),-0.5105968812296169)</f>
        <v>-0.5105968812</v>
      </c>
      <c r="BB94" s="4"/>
      <c r="BC94" s="4"/>
      <c r="BD94" s="4">
        <f>IFERROR(__xludf.DUMMYFUNCTION("""COMPUTED_VALUE"""),2.341744908062992)</f>
        <v>2.341744908</v>
      </c>
      <c r="BE94" s="4"/>
      <c r="BF94" s="4"/>
      <c r="BG94" s="4">
        <f>IFERROR(__xludf.DUMMYFUNCTION("""COMPUTED_VALUE"""),-0.2828135836037404)</f>
        <v>-0.2828135836</v>
      </c>
      <c r="BH94" s="4"/>
      <c r="BI94" s="4"/>
      <c r="BJ94" s="4"/>
      <c r="BK94" s="4"/>
    </row>
    <row r="95">
      <c r="A95" s="4"/>
      <c r="B95" s="4"/>
      <c r="C95" s="4"/>
      <c r="D95" s="4">
        <f>IFERROR(__xludf.DUMMYFUNCTION("""COMPUTED_VALUE"""),125.80657010417829)</f>
        <v>125.8065701</v>
      </c>
      <c r="E95" s="23">
        <f>IFERROR(__xludf.DUMMYFUNCTION("""COMPUTED_VALUE"""),2.2807557475744034)</f>
        <v>2.280755748</v>
      </c>
      <c r="F95" s="4"/>
      <c r="G95" s="4"/>
      <c r="H95" s="4">
        <f>IFERROR(__xludf.DUMMYFUNCTION("""COMPUTED_VALUE"""),3.1972110913521874)</f>
        <v>3.197211091</v>
      </c>
      <c r="I95" s="4"/>
      <c r="J95" s="4"/>
      <c r="K95" s="4">
        <f>IFERROR(__xludf.DUMMYFUNCTION("""COMPUTED_VALUE"""),-5.091743668827746)</f>
        <v>-5.091743669</v>
      </c>
      <c r="L95" s="4"/>
      <c r="M95" s="4"/>
      <c r="N95" s="4">
        <f>IFERROR(__xludf.DUMMYFUNCTION("""COMPUTED_VALUE"""),3.762499187393871)</f>
        <v>3.762499187</v>
      </c>
      <c r="O95" s="4"/>
      <c r="P95" s="4"/>
      <c r="Q95" s="4">
        <f>IFERROR(__xludf.DUMMYFUNCTION("""COMPUTED_VALUE"""),2.407848203952085)</f>
        <v>2.407848204</v>
      </c>
      <c r="R95" s="4"/>
      <c r="S95" s="4"/>
      <c r="T95" s="4">
        <f>IFERROR(__xludf.DUMMYFUNCTION("""COMPUTED_VALUE"""),-6.451670548611617)</f>
        <v>-6.451670549</v>
      </c>
      <c r="U95" s="4"/>
      <c r="V95" s="4"/>
      <c r="W95" s="4">
        <f>IFERROR(__xludf.DUMMYFUNCTION("""COMPUTED_VALUE"""),3.7615562997457914)</f>
        <v>3.7615563</v>
      </c>
      <c r="X95" s="4"/>
      <c r="Y95" s="4"/>
      <c r="Z95" s="4">
        <f>IFERROR(__xludf.DUMMYFUNCTION("""COMPUTED_VALUE"""),6.721960043296519)</f>
        <v>6.721960043</v>
      </c>
      <c r="AA95" s="4"/>
      <c r="AB95" s="4"/>
      <c r="AC95" s="4">
        <f>IFERROR(__xludf.DUMMYFUNCTION("""COMPUTED_VALUE"""),-6.056364846210386)</f>
        <v>-6.056364846</v>
      </c>
      <c r="AD95" s="4"/>
      <c r="AE95" s="4"/>
      <c r="AF95" s="4">
        <f>IFERROR(__xludf.DUMMYFUNCTION("""COMPUTED_VALUE"""),-4.351478731505665)</f>
        <v>-4.351478732</v>
      </c>
      <c r="AG95" s="4"/>
      <c r="AH95" s="4"/>
      <c r="AI95" s="4">
        <f>IFERROR(__xludf.DUMMYFUNCTION("""COMPUTED_VALUE"""),2.736797839680321)</f>
        <v>2.73679784</v>
      </c>
      <c r="AJ95" s="4"/>
      <c r="AK95" s="4"/>
      <c r="AL95" s="4">
        <f>IFERROR(__xludf.DUMMYFUNCTION("""COMPUTED_VALUE"""),0.6059210733827172)</f>
        <v>0.6059210734</v>
      </c>
      <c r="AM95" s="4"/>
      <c r="AN95" s="4"/>
      <c r="AO95" s="4">
        <f>IFERROR(__xludf.DUMMYFUNCTION("""COMPUTED_VALUE"""),5.925911187331735)</f>
        <v>5.925911187</v>
      </c>
      <c r="AP95" s="4"/>
      <c r="AQ95" s="4"/>
      <c r="AR95" s="4">
        <f>IFERROR(__xludf.DUMMYFUNCTION("""COMPUTED_VALUE"""),0.9505266276839848)</f>
        <v>0.9505266277</v>
      </c>
      <c r="AS95" s="4"/>
      <c r="AT95" s="4"/>
      <c r="AU95" s="4">
        <f>IFERROR(__xludf.DUMMYFUNCTION("""COMPUTED_VALUE"""),-0.8885882705243375)</f>
        <v>-0.8885882705</v>
      </c>
      <c r="AV95" s="4"/>
      <c r="AW95" s="4"/>
      <c r="AX95" s="4">
        <f>IFERROR(__xludf.DUMMYFUNCTION("""COMPUTED_VALUE"""),4.538791360224309)</f>
        <v>4.53879136</v>
      </c>
      <c r="AY95" s="4"/>
      <c r="AZ95" s="4"/>
      <c r="BA95" s="4">
        <f>IFERROR(__xludf.DUMMYFUNCTION("""COMPUTED_VALUE"""),5.726168770659854)</f>
        <v>5.726168771</v>
      </c>
      <c r="BB95" s="4"/>
      <c r="BC95" s="4"/>
      <c r="BD95" s="4">
        <f>IFERROR(__xludf.DUMMYFUNCTION("""COMPUTED_VALUE"""),-7.833529344483225)</f>
        <v>-7.833529344</v>
      </c>
      <c r="BE95" s="4"/>
      <c r="BF95" s="4"/>
      <c r="BG95" s="4">
        <f>IFERROR(__xludf.DUMMYFUNCTION("""COMPUTED_VALUE"""),-2.00090273422785)</f>
        <v>-2.000902734</v>
      </c>
      <c r="BH95" s="4"/>
      <c r="BI95" s="4"/>
      <c r="BJ95" s="4"/>
      <c r="BK95" s="4"/>
    </row>
    <row r="96">
      <c r="A96" s="4"/>
      <c r="B96" s="4"/>
      <c r="C96" s="4"/>
      <c r="D96" s="4">
        <f>IFERROR(__xludf.DUMMYFUNCTION("""COMPUTED_VALUE"""),124.88827397142857)</f>
        <v>124.888274</v>
      </c>
      <c r="E96" s="23">
        <f>IFERROR(__xludf.DUMMYFUNCTION("""COMPUTED_VALUE"""),-2.37519924208857)</f>
        <v>-2.375199242</v>
      </c>
      <c r="F96" s="4"/>
      <c r="G96" s="4"/>
      <c r="H96" s="4">
        <f>IFERROR(__xludf.DUMMYFUNCTION("""COMPUTED_VALUE"""),0.8054008289041121)</f>
        <v>0.8054008289</v>
      </c>
      <c r="I96" s="4"/>
      <c r="J96" s="4"/>
      <c r="K96" s="4">
        <f>IFERROR(__xludf.DUMMYFUNCTION("""COMPUTED_VALUE"""),1.7305366489569565)</f>
        <v>1.730536649</v>
      </c>
      <c r="L96" s="4"/>
      <c r="M96" s="4"/>
      <c r="N96" s="4">
        <f>IFERROR(__xludf.DUMMYFUNCTION("""COMPUTED_VALUE"""),-5.96699034747536)</f>
        <v>-5.966990347</v>
      </c>
      <c r="O96" s="4"/>
      <c r="P96" s="4"/>
      <c r="Q96" s="4">
        <f>IFERROR(__xludf.DUMMYFUNCTION("""COMPUTED_VALUE"""),-3.1289077112960513)</f>
        <v>-3.128907711</v>
      </c>
      <c r="R96" s="4"/>
      <c r="S96" s="4"/>
      <c r="T96" s="4">
        <f>IFERROR(__xludf.DUMMYFUNCTION("""COMPUTED_VALUE"""),-4.465888759692405)</f>
        <v>-4.46588876</v>
      </c>
      <c r="U96" s="4"/>
      <c r="V96" s="4"/>
      <c r="W96" s="4">
        <f>IFERROR(__xludf.DUMMYFUNCTION("""COMPUTED_VALUE"""),-0.13642500193805063)</f>
        <v>-0.1364250019</v>
      </c>
      <c r="X96" s="4"/>
      <c r="Y96" s="4"/>
      <c r="Z96" s="4">
        <f>IFERROR(__xludf.DUMMYFUNCTION("""COMPUTED_VALUE"""),1.4151442551465152)</f>
        <v>1.415144255</v>
      </c>
      <c r="AA96" s="4"/>
      <c r="AB96" s="4"/>
      <c r="AC96" s="4">
        <f>IFERROR(__xludf.DUMMYFUNCTION("""COMPUTED_VALUE"""),-4.164819620164565)</f>
        <v>-4.16481962</v>
      </c>
      <c r="AD96" s="4"/>
      <c r="AE96" s="4"/>
      <c r="AF96" s="4">
        <f>IFERROR(__xludf.DUMMYFUNCTION("""COMPUTED_VALUE"""),-7.269033561699189)</f>
        <v>-7.269033562</v>
      </c>
      <c r="AG96" s="4"/>
      <c r="AH96" s="4"/>
      <c r="AI96" s="4">
        <f>IFERROR(__xludf.DUMMYFUNCTION("""COMPUTED_VALUE"""),-1.5792767310837235)</f>
        <v>-1.579276731</v>
      </c>
      <c r="AJ96" s="4"/>
      <c r="AK96" s="4"/>
      <c r="AL96" s="4">
        <f>IFERROR(__xludf.DUMMYFUNCTION("""COMPUTED_VALUE"""),4.5103529301158005)</f>
        <v>4.51035293</v>
      </c>
      <c r="AM96" s="4"/>
      <c r="AN96" s="4"/>
      <c r="AO96" s="4">
        <f>IFERROR(__xludf.DUMMYFUNCTION("""COMPUTED_VALUE"""),2.897066221419834)</f>
        <v>2.897066221</v>
      </c>
      <c r="AP96" s="4"/>
      <c r="AQ96" s="4"/>
      <c r="AR96" s="4">
        <f>IFERROR(__xludf.DUMMYFUNCTION("""COMPUTED_VALUE"""),-1.2052346104494518)</f>
        <v>-1.20523461</v>
      </c>
      <c r="AS96" s="4"/>
      <c r="AT96" s="4"/>
      <c r="AU96" s="4">
        <f>IFERROR(__xludf.DUMMYFUNCTION("""COMPUTED_VALUE"""),-0.6418765931185249)</f>
        <v>-0.6418765931</v>
      </c>
      <c r="AV96" s="4"/>
      <c r="AW96" s="4"/>
      <c r="AX96" s="4">
        <f>IFERROR(__xludf.DUMMYFUNCTION("""COMPUTED_VALUE"""),4.322090716032051)</f>
        <v>4.322090716</v>
      </c>
      <c r="AY96" s="4"/>
      <c r="AZ96" s="4"/>
      <c r="BA96" s="4">
        <f>IFERROR(__xludf.DUMMYFUNCTION("""COMPUTED_VALUE"""),3.642557590303511)</f>
        <v>3.64255759</v>
      </c>
      <c r="BB96" s="4"/>
      <c r="BC96" s="4"/>
      <c r="BD96" s="4">
        <f>IFERROR(__xludf.DUMMYFUNCTION("""COMPUTED_VALUE"""),-0.8186560549087858)</f>
        <v>-0.8186560549</v>
      </c>
      <c r="BE96" s="4"/>
      <c r="BF96" s="4"/>
      <c r="BG96" s="4">
        <f>IFERROR(__xludf.DUMMYFUNCTION("""COMPUTED_VALUE"""),-9.893442416682888)</f>
        <v>-9.893442417</v>
      </c>
      <c r="BH96" s="4"/>
      <c r="BI96" s="4"/>
      <c r="BJ96" s="4"/>
      <c r="BK96" s="4"/>
    </row>
    <row r="97">
      <c r="A97" s="4"/>
      <c r="B97" s="4"/>
      <c r="C97" s="4"/>
      <c r="D97" s="4">
        <f>IFERROR(__xludf.DUMMYFUNCTION("""COMPUTED_VALUE"""),123.9699778386285)</f>
        <v>123.9699778</v>
      </c>
      <c r="E97" s="23">
        <f>IFERROR(__xludf.DUMMYFUNCTION("""COMPUTED_VALUE"""),-2.009182200698035)</f>
        <v>-2.009182201</v>
      </c>
      <c r="F97" s="4"/>
      <c r="G97" s="4"/>
      <c r="H97" s="4">
        <f>IFERROR(__xludf.DUMMYFUNCTION("""COMPUTED_VALUE"""),4.305893867959014)</f>
        <v>4.305893868</v>
      </c>
      <c r="I97" s="4"/>
      <c r="J97" s="4"/>
      <c r="K97" s="4">
        <f>IFERROR(__xludf.DUMMYFUNCTION("""COMPUTED_VALUE"""),-2.5714914117810963)</f>
        <v>-2.571491412</v>
      </c>
      <c r="L97" s="4"/>
      <c r="M97" s="4"/>
      <c r="N97" s="4">
        <f>IFERROR(__xludf.DUMMYFUNCTION("""COMPUTED_VALUE"""),-5.045607826614798)</f>
        <v>-5.045607827</v>
      </c>
      <c r="O97" s="4"/>
      <c r="P97" s="4"/>
      <c r="Q97" s="4">
        <f>IFERROR(__xludf.DUMMYFUNCTION("""COMPUTED_VALUE"""),0.3843868902525287)</f>
        <v>0.3843868903</v>
      </c>
      <c r="R97" s="4"/>
      <c r="S97" s="4"/>
      <c r="T97" s="4">
        <f>IFERROR(__xludf.DUMMYFUNCTION("""COMPUTED_VALUE"""),-3.112976373977915)</f>
        <v>-3.112976374</v>
      </c>
      <c r="U97" s="4"/>
      <c r="V97" s="4"/>
      <c r="W97" s="4">
        <f>IFERROR(__xludf.DUMMYFUNCTION("""COMPUTED_VALUE"""),-2.771739677358312)</f>
        <v>-2.771739677</v>
      </c>
      <c r="X97" s="4"/>
      <c r="Y97" s="4"/>
      <c r="Z97" s="4">
        <f>IFERROR(__xludf.DUMMYFUNCTION("""COMPUTED_VALUE"""),-0.14824811392884385)</f>
        <v>-0.1482481139</v>
      </c>
      <c r="AA97" s="4"/>
      <c r="AB97" s="4"/>
      <c r="AC97" s="4">
        <f>IFERROR(__xludf.DUMMYFUNCTION("""COMPUTED_VALUE"""),0.5611007591275552)</f>
        <v>0.5611007591</v>
      </c>
      <c r="AD97" s="4"/>
      <c r="AE97" s="4"/>
      <c r="AF97" s="4">
        <f>IFERROR(__xludf.DUMMYFUNCTION("""COMPUTED_VALUE"""),0.007931106116359388)</f>
        <v>0.007931106116</v>
      </c>
      <c r="AG97" s="4"/>
      <c r="AH97" s="4"/>
      <c r="AI97" s="4">
        <f>IFERROR(__xludf.DUMMYFUNCTION("""COMPUTED_VALUE"""),-3.5607226053252248)</f>
        <v>-3.560722605</v>
      </c>
      <c r="AJ97" s="4"/>
      <c r="AK97" s="4"/>
      <c r="AL97" s="4">
        <f>IFERROR(__xludf.DUMMYFUNCTION("""COMPUTED_VALUE"""),1.4945232401643125)</f>
        <v>1.49452324</v>
      </c>
      <c r="AM97" s="4"/>
      <c r="AN97" s="4"/>
      <c r="AO97" s="4">
        <f>IFERROR(__xludf.DUMMYFUNCTION("""COMPUTED_VALUE"""),0.7923733196878402)</f>
        <v>0.7923733197</v>
      </c>
      <c r="AP97" s="4"/>
      <c r="AQ97" s="4"/>
      <c r="AR97" s="4">
        <f>IFERROR(__xludf.DUMMYFUNCTION("""COMPUTED_VALUE"""),-0.5649014860758825)</f>
        <v>-0.5649014861</v>
      </c>
      <c r="AS97" s="4"/>
      <c r="AT97" s="4"/>
      <c r="AU97" s="4">
        <f>IFERROR(__xludf.DUMMYFUNCTION("""COMPUTED_VALUE"""),1.3590272563020562)</f>
        <v>1.359027256</v>
      </c>
      <c r="AV97" s="4"/>
      <c r="AW97" s="4"/>
      <c r="AX97" s="4">
        <f>IFERROR(__xludf.DUMMYFUNCTION("""COMPUTED_VALUE"""),2.6439861903011774)</f>
        <v>2.64398619</v>
      </c>
      <c r="AY97" s="4"/>
      <c r="AZ97" s="4"/>
      <c r="BA97" s="4">
        <f>IFERROR(__xludf.DUMMYFUNCTION("""COMPUTED_VALUE"""),7.013359350443636)</f>
        <v>7.01335935</v>
      </c>
      <c r="BB97" s="4"/>
      <c r="BC97" s="4"/>
      <c r="BD97" s="4">
        <f>IFERROR(__xludf.DUMMYFUNCTION("""COMPUTED_VALUE"""),-1.1423319176744826)</f>
        <v>-1.142331918</v>
      </c>
      <c r="BE97" s="4"/>
      <c r="BF97" s="4"/>
      <c r="BG97" s="4">
        <f>IFERROR(__xludf.DUMMYFUNCTION("""COMPUTED_VALUE"""),6.38827683410841)</f>
        <v>6.388276834</v>
      </c>
      <c r="BH97" s="4"/>
      <c r="BI97" s="4"/>
      <c r="BJ97" s="4"/>
      <c r="BK97" s="4"/>
    </row>
    <row r="98">
      <c r="A98" s="4"/>
      <c r="B98" s="4"/>
      <c r="C98" s="4"/>
      <c r="D98" s="4">
        <f>IFERROR(__xludf.DUMMYFUNCTION("""COMPUTED_VALUE"""),123.05168170799372)</f>
        <v>123.0516817</v>
      </c>
      <c r="E98" s="23">
        <f>IFERROR(__xludf.DUMMYFUNCTION("""COMPUTED_VALUE"""),-1.4940122843121912)</f>
        <v>-1.494012284</v>
      </c>
      <c r="F98" s="4"/>
      <c r="G98" s="4"/>
      <c r="H98" s="4">
        <f>IFERROR(__xludf.DUMMYFUNCTION("""COMPUTED_VALUE"""),-5.417522709559478)</f>
        <v>-5.41752271</v>
      </c>
      <c r="I98" s="4"/>
      <c r="J98" s="4"/>
      <c r="K98" s="4">
        <f>IFERROR(__xludf.DUMMYFUNCTION("""COMPUTED_VALUE"""),0.1893827167427844)</f>
        <v>0.1893827167</v>
      </c>
      <c r="L98" s="4"/>
      <c r="M98" s="4"/>
      <c r="N98" s="4">
        <f>IFERROR(__xludf.DUMMYFUNCTION("""COMPUTED_VALUE"""),1.4359918757292576)</f>
        <v>1.435991876</v>
      </c>
      <c r="O98" s="4"/>
      <c r="P98" s="4"/>
      <c r="Q98" s="4">
        <f>IFERROR(__xludf.DUMMYFUNCTION("""COMPUTED_VALUE"""),2.414443569824016)</f>
        <v>2.41444357</v>
      </c>
      <c r="R98" s="4"/>
      <c r="S98" s="4"/>
      <c r="T98" s="4">
        <f>IFERROR(__xludf.DUMMYFUNCTION("""COMPUTED_VALUE"""),-5.807561265364484)</f>
        <v>-5.807561265</v>
      </c>
      <c r="U98" s="4"/>
      <c r="V98" s="4"/>
      <c r="W98" s="4">
        <f>IFERROR(__xludf.DUMMYFUNCTION("""COMPUTED_VALUE"""),-7.335866656566907)</f>
        <v>-7.335866657</v>
      </c>
      <c r="X98" s="4"/>
      <c r="Y98" s="4"/>
      <c r="Z98" s="4">
        <f>IFERROR(__xludf.DUMMYFUNCTION("""COMPUTED_VALUE"""),1.8993246980774643)</f>
        <v>1.899324698</v>
      </c>
      <c r="AA98" s="4"/>
      <c r="AB98" s="4"/>
      <c r="AC98" s="4">
        <f>IFERROR(__xludf.DUMMYFUNCTION("""COMPUTED_VALUE"""),2.928243221108744)</f>
        <v>2.928243221</v>
      </c>
      <c r="AD98" s="4"/>
      <c r="AE98" s="4"/>
      <c r="AF98" s="4">
        <f>IFERROR(__xludf.DUMMYFUNCTION("""COMPUTED_VALUE"""),0.47080908669823884)</f>
        <v>0.4708090867</v>
      </c>
      <c r="AG98" s="4"/>
      <c r="AH98" s="4"/>
      <c r="AI98" s="4">
        <f>IFERROR(__xludf.DUMMYFUNCTION("""COMPUTED_VALUE"""),0.14126645758722134)</f>
        <v>0.1412664576</v>
      </c>
      <c r="AJ98" s="4"/>
      <c r="AK98" s="4"/>
      <c r="AL98" s="4">
        <f>IFERROR(__xludf.DUMMYFUNCTION("""COMPUTED_VALUE"""),-1.850694915851193)</f>
        <v>-1.850694916</v>
      </c>
      <c r="AM98" s="4"/>
      <c r="AN98" s="4"/>
      <c r="AO98" s="4">
        <f>IFERROR(__xludf.DUMMYFUNCTION("""COMPUTED_VALUE"""),4.410153123977125)</f>
        <v>4.410153124</v>
      </c>
      <c r="AP98" s="4"/>
      <c r="AQ98" s="4"/>
      <c r="AR98" s="4">
        <f>IFERROR(__xludf.DUMMYFUNCTION("""COMPUTED_VALUE"""),3.2591889337772386)</f>
        <v>3.259188934</v>
      </c>
      <c r="AS98" s="4"/>
      <c r="AT98" s="4"/>
      <c r="AU98" s="4">
        <f>IFERROR(__xludf.DUMMYFUNCTION("""COMPUTED_VALUE"""),1.2277344488077233)</f>
        <v>1.227734449</v>
      </c>
      <c r="AV98" s="4"/>
      <c r="AW98" s="4"/>
      <c r="AX98" s="4">
        <f>IFERROR(__xludf.DUMMYFUNCTION("""COMPUTED_VALUE"""),6.530016890600905)</f>
        <v>6.530016891</v>
      </c>
      <c r="AY98" s="4"/>
      <c r="AZ98" s="4"/>
      <c r="BA98" s="4">
        <f>IFERROR(__xludf.DUMMYFUNCTION("""COMPUTED_VALUE"""),-4.119310337248578)</f>
        <v>-4.119310337</v>
      </c>
      <c r="BB98" s="4"/>
      <c r="BC98" s="4"/>
      <c r="BD98" s="4">
        <f>IFERROR(__xludf.DUMMYFUNCTION("""COMPUTED_VALUE"""),5.736752533667982)</f>
        <v>5.736752534</v>
      </c>
      <c r="BE98" s="4"/>
      <c r="BF98" s="4"/>
      <c r="BG98" s="4">
        <f>IFERROR(__xludf.DUMMYFUNCTION("""COMPUTED_VALUE"""),-1.5535835880023114)</f>
        <v>-1.553583588</v>
      </c>
      <c r="BH98" s="4"/>
      <c r="BI98" s="4"/>
      <c r="BJ98" s="4"/>
      <c r="BK98" s="4"/>
    </row>
    <row r="99">
      <c r="A99" s="4"/>
      <c r="B99" s="4"/>
      <c r="C99" s="4"/>
      <c r="D99" s="4">
        <f>IFERROR(__xludf.DUMMYFUNCTION("""COMPUTED_VALUE"""),122.13338557519366)</f>
        <v>122.1333856</v>
      </c>
      <c r="E99" s="23">
        <f>IFERROR(__xludf.DUMMYFUNCTION("""COMPUTED_VALUE"""),-5.313813654215323)</f>
        <v>-5.313813654</v>
      </c>
      <c r="F99" s="4"/>
      <c r="G99" s="4"/>
      <c r="H99" s="4">
        <f>IFERROR(__xludf.DUMMYFUNCTION("""COMPUTED_VALUE"""),-4.925017673242394)</f>
        <v>-4.925017673</v>
      </c>
      <c r="I99" s="4"/>
      <c r="J99" s="4"/>
      <c r="K99" s="4">
        <f>IFERROR(__xludf.DUMMYFUNCTION("""COMPUTED_VALUE"""),-5.755694040274761)</f>
        <v>-5.75569404</v>
      </c>
      <c r="L99" s="4"/>
      <c r="M99" s="4"/>
      <c r="N99" s="4">
        <f>IFERROR(__xludf.DUMMYFUNCTION("""COMPUTED_VALUE"""),-2.654984836497249)</f>
        <v>-2.654984836</v>
      </c>
      <c r="O99" s="4"/>
      <c r="P99" s="4"/>
      <c r="Q99" s="4">
        <f>IFERROR(__xludf.DUMMYFUNCTION("""COMPUTED_VALUE"""),-0.41160787050966974)</f>
        <v>-0.4116078705</v>
      </c>
      <c r="R99" s="4"/>
      <c r="S99" s="4"/>
      <c r="T99" s="4">
        <f>IFERROR(__xludf.DUMMYFUNCTION("""COMPUTED_VALUE"""),-1.126897238885192)</f>
        <v>-1.126897239</v>
      </c>
      <c r="U99" s="4"/>
      <c r="V99" s="4"/>
      <c r="W99" s="4">
        <f>IFERROR(__xludf.DUMMYFUNCTION("""COMPUTED_VALUE"""),-5.121922792060559)</f>
        <v>-5.121922792</v>
      </c>
      <c r="X99" s="4"/>
      <c r="Y99" s="4"/>
      <c r="Z99" s="4">
        <f>IFERROR(__xludf.DUMMYFUNCTION("""COMPUTED_VALUE"""),-5.463594497421184)</f>
        <v>-5.463594497</v>
      </c>
      <c r="AA99" s="4"/>
      <c r="AB99" s="4"/>
      <c r="AC99" s="4">
        <f>IFERROR(__xludf.DUMMYFUNCTION("""COMPUTED_VALUE"""),0.9388107044155731)</f>
        <v>0.9388107044</v>
      </c>
      <c r="AD99" s="4"/>
      <c r="AE99" s="4"/>
      <c r="AF99" s="4">
        <f>IFERROR(__xludf.DUMMYFUNCTION("""COMPUTED_VALUE"""),0.8786606760785958)</f>
        <v>0.8786606761</v>
      </c>
      <c r="AG99" s="4"/>
      <c r="AH99" s="4"/>
      <c r="AI99" s="4">
        <f>IFERROR(__xludf.DUMMYFUNCTION("""COMPUTED_VALUE"""),-2.8839950212091026)</f>
        <v>-2.883995021</v>
      </c>
      <c r="AJ99" s="4"/>
      <c r="AK99" s="4"/>
      <c r="AL99" s="4">
        <f>IFERROR(__xludf.DUMMYFUNCTION("""COMPUTED_VALUE"""),0.8908097065597644)</f>
        <v>0.8908097066</v>
      </c>
      <c r="AM99" s="4"/>
      <c r="AN99" s="4"/>
      <c r="AO99" s="4">
        <f>IFERROR(__xludf.DUMMYFUNCTION("""COMPUTED_VALUE"""),1.82840360818426)</f>
        <v>1.828403608</v>
      </c>
      <c r="AP99" s="4"/>
      <c r="AQ99" s="4"/>
      <c r="AR99" s="4">
        <f>IFERROR(__xludf.DUMMYFUNCTION("""COMPUTED_VALUE"""),3.4225743194683105)</f>
        <v>3.422574319</v>
      </c>
      <c r="AS99" s="4"/>
      <c r="AT99" s="4"/>
      <c r="AU99" s="4">
        <f>IFERROR(__xludf.DUMMYFUNCTION("""COMPUTED_VALUE"""),7.587257936197034)</f>
        <v>7.587257936</v>
      </c>
      <c r="AV99" s="4"/>
      <c r="AW99" s="4"/>
      <c r="AX99" s="4">
        <f>IFERROR(__xludf.DUMMYFUNCTION("""COMPUTED_VALUE"""),5.086732290466728)</f>
        <v>5.08673229</v>
      </c>
      <c r="AY99" s="4"/>
      <c r="AZ99" s="4"/>
      <c r="BA99" s="4">
        <f>IFERROR(__xludf.DUMMYFUNCTION("""COMPUTED_VALUE"""),0.08925736286346364)</f>
        <v>0.08925736286</v>
      </c>
      <c r="BB99" s="4"/>
      <c r="BC99" s="4"/>
      <c r="BD99" s="4">
        <f>IFERROR(__xludf.DUMMYFUNCTION("""COMPUTED_VALUE"""),-6.914686872500283)</f>
        <v>-6.914686873</v>
      </c>
      <c r="BE99" s="4"/>
      <c r="BF99" s="4"/>
      <c r="BG99" s="4">
        <f>IFERROR(__xludf.DUMMYFUNCTION("""COMPUTED_VALUE"""),-6.486349701052916)</f>
        <v>-6.486349701</v>
      </c>
      <c r="BH99" s="4"/>
      <c r="BI99" s="4"/>
      <c r="BJ99" s="4"/>
      <c r="BK99" s="4"/>
    </row>
    <row r="100">
      <c r="A100" s="4"/>
      <c r="B100" s="4"/>
      <c r="C100" s="4"/>
      <c r="D100" s="4">
        <f>IFERROR(__xludf.DUMMYFUNCTION("""COMPUTED_VALUE"""),121.21508944239358)</f>
        <v>121.2150894</v>
      </c>
      <c r="E100" s="23">
        <f>IFERROR(__xludf.DUMMYFUNCTION("""COMPUTED_VALUE"""),-5.717698209030061)</f>
        <v>-5.717698209</v>
      </c>
      <c r="F100" s="4"/>
      <c r="G100" s="4"/>
      <c r="H100" s="4">
        <f>IFERROR(__xludf.DUMMYFUNCTION("""COMPUTED_VALUE"""),-1.967435816411637)</f>
        <v>-1.967435816</v>
      </c>
      <c r="I100" s="4"/>
      <c r="J100" s="4"/>
      <c r="K100" s="4">
        <f>IFERROR(__xludf.DUMMYFUNCTION("""COMPUTED_VALUE"""),1.1588765962723073)</f>
        <v>1.158876596</v>
      </c>
      <c r="L100" s="4"/>
      <c r="M100" s="4"/>
      <c r="N100" s="4">
        <f>IFERROR(__xludf.DUMMYFUNCTION("""COMPUTED_VALUE"""),-0.9143492075838822)</f>
        <v>-0.9143492076</v>
      </c>
      <c r="O100" s="4"/>
      <c r="P100" s="4"/>
      <c r="Q100" s="4">
        <f>IFERROR(__xludf.DUMMYFUNCTION("""COMPUTED_VALUE"""),-0.6357835394575204)</f>
        <v>-0.6357835395</v>
      </c>
      <c r="R100" s="4"/>
      <c r="S100" s="4"/>
      <c r="T100" s="4">
        <f>IFERROR(__xludf.DUMMYFUNCTION("""COMPUTED_VALUE"""),-1.3489285882147897)</f>
        <v>-1.348928588</v>
      </c>
      <c r="U100" s="4"/>
      <c r="V100" s="4"/>
      <c r="W100" s="4">
        <f>IFERROR(__xludf.DUMMYFUNCTION("""COMPUTED_VALUE"""),3.267985184287511)</f>
        <v>3.267985184</v>
      </c>
      <c r="X100" s="4"/>
      <c r="Y100" s="4"/>
      <c r="Z100" s="4">
        <f>IFERROR(__xludf.DUMMYFUNCTION("""COMPUTED_VALUE"""),4.81644600397243)</f>
        <v>4.816446004</v>
      </c>
      <c r="AA100" s="4"/>
      <c r="AB100" s="4"/>
      <c r="AC100" s="4">
        <f>IFERROR(__xludf.DUMMYFUNCTION("""COMPUTED_VALUE"""),-4.75677760170737)</f>
        <v>-4.756777602</v>
      </c>
      <c r="AD100" s="4"/>
      <c r="AE100" s="4"/>
      <c r="AF100" s="4">
        <f>IFERROR(__xludf.DUMMYFUNCTION("""COMPUTED_VALUE"""),2.8059292224643286)</f>
        <v>2.805929222</v>
      </c>
      <c r="AG100" s="4"/>
      <c r="AH100" s="4"/>
      <c r="AI100" s="4">
        <f>IFERROR(__xludf.DUMMYFUNCTION("""COMPUTED_VALUE"""),-5.1821282989503175)</f>
        <v>-5.182128299</v>
      </c>
      <c r="AJ100" s="4"/>
      <c r="AK100" s="4"/>
      <c r="AL100" s="4">
        <f>IFERROR(__xludf.DUMMYFUNCTION("""COMPUTED_VALUE"""),-5.33273939565413)</f>
        <v>-5.332739396</v>
      </c>
      <c r="AM100" s="4"/>
      <c r="AN100" s="4"/>
      <c r="AO100" s="4">
        <f>IFERROR(__xludf.DUMMYFUNCTION("""COMPUTED_VALUE"""),-6.995270991188249)</f>
        <v>-6.995270991</v>
      </c>
      <c r="AP100" s="4"/>
      <c r="AQ100" s="4"/>
      <c r="AR100" s="4">
        <f>IFERROR(__xludf.DUMMYFUNCTION("""COMPUTED_VALUE"""),0.13418970875653713)</f>
        <v>0.1341897088</v>
      </c>
      <c r="AS100" s="4"/>
      <c r="AT100" s="4"/>
      <c r="AU100" s="4">
        <f>IFERROR(__xludf.DUMMYFUNCTION("""COMPUTED_VALUE"""),5.7282680478866155)</f>
        <v>5.728268048</v>
      </c>
      <c r="AV100" s="4"/>
      <c r="AW100" s="4"/>
      <c r="AX100" s="4">
        <f>IFERROR(__xludf.DUMMYFUNCTION("""COMPUTED_VALUE"""),0.4628022241857366)</f>
        <v>0.4628022242</v>
      </c>
      <c r="AY100" s="4"/>
      <c r="AZ100" s="4"/>
      <c r="BA100" s="4">
        <f>IFERROR(__xludf.DUMMYFUNCTION("""COMPUTED_VALUE"""),-2.66148184038758)</f>
        <v>-2.66148184</v>
      </c>
      <c r="BB100" s="4"/>
      <c r="BC100" s="4"/>
      <c r="BD100" s="4">
        <f>IFERROR(__xludf.DUMMYFUNCTION("""COMPUTED_VALUE"""),0.9662152789526317)</f>
        <v>0.966215279</v>
      </c>
      <c r="BE100" s="4"/>
      <c r="BF100" s="4"/>
      <c r="BG100" s="4">
        <f>IFERROR(__xludf.DUMMYFUNCTION("""COMPUTED_VALUE"""),-0.6371834433763297)</f>
        <v>-0.6371834434</v>
      </c>
      <c r="BH100" s="4"/>
      <c r="BI100" s="4"/>
      <c r="BJ100" s="4"/>
      <c r="BK100" s="4"/>
    </row>
    <row r="101">
      <c r="A101" s="4"/>
      <c r="B101" s="4"/>
      <c r="C101" s="4"/>
      <c r="D101" s="4">
        <f>IFERROR(__xludf.DUMMYFUNCTION("""COMPUTED_VALUE"""),120.2967933117588)</f>
        <v>120.2967933</v>
      </c>
      <c r="E101" s="23">
        <f>IFERROR(__xludf.DUMMYFUNCTION("""COMPUTED_VALUE"""),-0.896968768884733)</f>
        <v>-0.8969687689</v>
      </c>
      <c r="F101" s="4"/>
      <c r="G101" s="4"/>
      <c r="H101" s="4">
        <f>IFERROR(__xludf.DUMMYFUNCTION("""COMPUTED_VALUE"""),2.5124045016423224)</f>
        <v>2.512404502</v>
      </c>
      <c r="I101" s="4"/>
      <c r="J101" s="4"/>
      <c r="K101" s="4">
        <f>IFERROR(__xludf.DUMMYFUNCTION("""COMPUTED_VALUE"""),-2.7876964040841017)</f>
        <v>-2.787696404</v>
      </c>
      <c r="L101" s="4"/>
      <c r="M101" s="4"/>
      <c r="N101" s="4">
        <f>IFERROR(__xludf.DUMMYFUNCTION("""COMPUTED_VALUE"""),1.4651465386315863)</f>
        <v>1.465146539</v>
      </c>
      <c r="O101" s="4"/>
      <c r="P101" s="4"/>
      <c r="Q101" s="4">
        <f>IFERROR(__xludf.DUMMYFUNCTION("""COMPUTED_VALUE"""),3.342001437471936)</f>
        <v>3.342001437</v>
      </c>
      <c r="R101" s="4"/>
      <c r="S101" s="4"/>
      <c r="T101" s="4">
        <f>IFERROR(__xludf.DUMMYFUNCTION("""COMPUTED_VALUE"""),1.4839621470270572)</f>
        <v>1.483962147</v>
      </c>
      <c r="U101" s="4"/>
      <c r="V101" s="4"/>
      <c r="W101" s="4">
        <f>IFERROR(__xludf.DUMMYFUNCTION("""COMPUTED_VALUE"""),-6.34244849039959)</f>
        <v>-6.34244849</v>
      </c>
      <c r="X101" s="4"/>
      <c r="Y101" s="4"/>
      <c r="Z101" s="4">
        <f>IFERROR(__xludf.DUMMYFUNCTION("""COMPUTED_VALUE"""),-2.6797720129587788)</f>
        <v>-2.679772013</v>
      </c>
      <c r="AA101" s="4"/>
      <c r="AB101" s="4"/>
      <c r="AC101" s="4">
        <f>IFERROR(__xludf.DUMMYFUNCTION("""COMPUTED_VALUE"""),-2.3115277668696876)</f>
        <v>-2.311527767</v>
      </c>
      <c r="AD101" s="4"/>
      <c r="AE101" s="4"/>
      <c r="AF101" s="4">
        <f>IFERROR(__xludf.DUMMYFUNCTION("""COMPUTED_VALUE"""),-2.6412814151952944)</f>
        <v>-2.641281415</v>
      </c>
      <c r="AG101" s="4"/>
      <c r="AH101" s="4"/>
      <c r="AI101" s="4">
        <f>IFERROR(__xludf.DUMMYFUNCTION("""COMPUTED_VALUE"""),-5.859850208361536)</f>
        <v>-5.859850208</v>
      </c>
      <c r="AJ101" s="4"/>
      <c r="AK101" s="4"/>
      <c r="AL101" s="4">
        <f>IFERROR(__xludf.DUMMYFUNCTION("""COMPUTED_VALUE"""),-1.714274447355649)</f>
        <v>-1.714274447</v>
      </c>
      <c r="AM101" s="4"/>
      <c r="AN101" s="4"/>
      <c r="AO101" s="4">
        <f>IFERROR(__xludf.DUMMYFUNCTION("""COMPUTED_VALUE"""),1.2200828149715903)</f>
        <v>1.220082815</v>
      </c>
      <c r="AP101" s="4"/>
      <c r="AQ101" s="4"/>
      <c r="AR101" s="4">
        <f>IFERROR(__xludf.DUMMYFUNCTION("""COMPUTED_VALUE"""),1.968252169716095)</f>
        <v>1.96825217</v>
      </c>
      <c r="AS101" s="4"/>
      <c r="AT101" s="4"/>
      <c r="AU101" s="4">
        <f>IFERROR(__xludf.DUMMYFUNCTION("""COMPUTED_VALUE"""),6.53659608658711)</f>
        <v>6.536596087</v>
      </c>
      <c r="AV101" s="4"/>
      <c r="AW101" s="4"/>
      <c r="AX101" s="4">
        <f>IFERROR(__xludf.DUMMYFUNCTION("""COMPUTED_VALUE"""),3.526328132617664)</f>
        <v>3.526328133</v>
      </c>
      <c r="AY101" s="4"/>
      <c r="AZ101" s="4"/>
      <c r="BA101" s="4">
        <f>IFERROR(__xludf.DUMMYFUNCTION("""COMPUTED_VALUE"""),3.811985946457412)</f>
        <v>3.811985946</v>
      </c>
      <c r="BB101" s="4"/>
      <c r="BC101" s="4"/>
      <c r="BD101" s="4">
        <f>IFERROR(__xludf.DUMMYFUNCTION("""COMPUTED_VALUE"""),3.9580884524659155)</f>
        <v>3.958088452</v>
      </c>
      <c r="BE101" s="4"/>
      <c r="BF101" s="4"/>
      <c r="BG101" s="4">
        <f>IFERROR(__xludf.DUMMYFUNCTION("""COMPUTED_VALUE"""),1.9804528050597128)</f>
        <v>1.980452805</v>
      </c>
      <c r="BH101" s="4"/>
      <c r="BI101" s="4"/>
      <c r="BJ101" s="4"/>
      <c r="BK101" s="4"/>
    </row>
    <row r="102">
      <c r="A102" s="4"/>
      <c r="B102" s="4"/>
      <c r="C102" s="4"/>
      <c r="D102" s="4">
        <f>IFERROR(__xludf.DUMMYFUNCTION("""COMPUTED_VALUE"""),119.37849717895872)</f>
        <v>119.3784972</v>
      </c>
      <c r="E102" s="23">
        <f>IFERROR(__xludf.DUMMYFUNCTION("""COMPUTED_VALUE"""),6.329845242333931)</f>
        <v>6.329845242</v>
      </c>
      <c r="F102" s="4"/>
      <c r="G102" s="4"/>
      <c r="H102" s="4">
        <f>IFERROR(__xludf.DUMMYFUNCTION("""COMPUTED_VALUE"""),2.554099312370454)</f>
        <v>2.554099312</v>
      </c>
      <c r="I102" s="4"/>
      <c r="J102" s="4"/>
      <c r="K102" s="4">
        <f>IFERROR(__xludf.DUMMYFUNCTION("""COMPUTED_VALUE"""),4.371625605889335)</f>
        <v>4.371625606</v>
      </c>
      <c r="L102" s="4"/>
      <c r="M102" s="4"/>
      <c r="N102" s="4">
        <f>IFERROR(__xludf.DUMMYFUNCTION("""COMPUTED_VALUE"""),-1.4494585049734496)</f>
        <v>-1.449458505</v>
      </c>
      <c r="O102" s="4"/>
      <c r="P102" s="4"/>
      <c r="Q102" s="4">
        <f>IFERROR(__xludf.DUMMYFUNCTION("""COMPUTED_VALUE"""),2.0182930898563427)</f>
        <v>2.01829309</v>
      </c>
      <c r="R102" s="4"/>
      <c r="S102" s="4"/>
      <c r="T102" s="4">
        <f>IFERROR(__xludf.DUMMYFUNCTION("""COMPUTED_VALUE"""),-0.3910859922357304)</f>
        <v>-0.3910859922</v>
      </c>
      <c r="U102" s="4"/>
      <c r="V102" s="4"/>
      <c r="W102" s="4">
        <f>IFERROR(__xludf.DUMMYFUNCTION("""COMPUTED_VALUE"""),2.2794068408146586)</f>
        <v>2.279406841</v>
      </c>
      <c r="X102" s="4"/>
      <c r="Y102" s="4"/>
      <c r="Z102" s="4">
        <f>IFERROR(__xludf.DUMMYFUNCTION("""COMPUTED_VALUE"""),-5.604935036977224)</f>
        <v>-5.604935037</v>
      </c>
      <c r="AA102" s="4"/>
      <c r="AB102" s="4"/>
      <c r="AC102" s="4">
        <f>IFERROR(__xludf.DUMMYFUNCTION("""COMPUTED_VALUE"""),-8.093993579839491)</f>
        <v>-8.09399358</v>
      </c>
      <c r="AD102" s="4"/>
      <c r="AE102" s="4"/>
      <c r="AF102" s="4">
        <f>IFERROR(__xludf.DUMMYFUNCTION("""COMPUTED_VALUE"""),4.56258810695482)</f>
        <v>4.562588107</v>
      </c>
      <c r="AG102" s="4"/>
      <c r="AH102" s="4"/>
      <c r="AI102" s="4">
        <f>IFERROR(__xludf.DUMMYFUNCTION("""COMPUTED_VALUE"""),6.2019127961993945)</f>
        <v>6.201912796</v>
      </c>
      <c r="AJ102" s="4"/>
      <c r="AK102" s="4"/>
      <c r="AL102" s="4">
        <f>IFERROR(__xludf.DUMMYFUNCTION("""COMPUTED_VALUE"""),4.5585348609704965)</f>
        <v>4.558534861</v>
      </c>
      <c r="AM102" s="4"/>
      <c r="AN102" s="4"/>
      <c r="AO102" s="4">
        <f>IFERROR(__xludf.DUMMYFUNCTION("""COMPUTED_VALUE"""),3.727012256065848)</f>
        <v>3.727012256</v>
      </c>
      <c r="AP102" s="4"/>
      <c r="AQ102" s="4"/>
      <c r="AR102" s="4">
        <f>IFERROR(__xludf.DUMMYFUNCTION("""COMPUTED_VALUE"""),-3.412260604437563)</f>
        <v>-3.412260604</v>
      </c>
      <c r="AS102" s="4"/>
      <c r="AT102" s="4"/>
      <c r="AU102" s="4">
        <f>IFERROR(__xludf.DUMMYFUNCTION("""COMPUTED_VALUE"""),6.655989501384909)</f>
        <v>6.655989501</v>
      </c>
      <c r="AV102" s="4"/>
      <c r="AW102" s="4"/>
      <c r="AX102" s="4">
        <f>IFERROR(__xludf.DUMMYFUNCTION("""COMPUTED_VALUE"""),7.983315245206825)</f>
        <v>7.983315245</v>
      </c>
      <c r="AY102" s="4"/>
      <c r="AZ102" s="4"/>
      <c r="BA102" s="4">
        <f>IFERROR(__xludf.DUMMYFUNCTION("""COMPUTED_VALUE"""),7.606709160253217)</f>
        <v>7.60670916</v>
      </c>
      <c r="BB102" s="4"/>
      <c r="BC102" s="4"/>
      <c r="BD102" s="4">
        <f>IFERROR(__xludf.DUMMYFUNCTION("""COMPUTED_VALUE"""),-1.593298933366384)</f>
        <v>-1.593298933</v>
      </c>
      <c r="BE102" s="4"/>
      <c r="BF102" s="4"/>
      <c r="BG102" s="4">
        <f>IFERROR(__xludf.DUMMYFUNCTION("""COMPUTED_VALUE"""),-0.8291233707352603)</f>
        <v>-0.8291233707</v>
      </c>
      <c r="BH102" s="4"/>
      <c r="BI102" s="4"/>
      <c r="BJ102" s="4"/>
      <c r="BK102" s="4"/>
    </row>
    <row r="103">
      <c r="A103" s="4"/>
      <c r="B103" s="4"/>
      <c r="C103" s="4"/>
      <c r="D103" s="4">
        <f>IFERROR(__xludf.DUMMYFUNCTION("""COMPUTED_VALUE"""),118.46020104620901)</f>
        <v>118.460201</v>
      </c>
      <c r="E103" s="23">
        <f>IFERROR(__xludf.DUMMYFUNCTION("""COMPUTED_VALUE"""),-2.9233608220047813)</f>
        <v>-2.923360822</v>
      </c>
      <c r="F103" s="4"/>
      <c r="G103" s="4"/>
      <c r="H103" s="4">
        <f>IFERROR(__xludf.DUMMYFUNCTION("""COMPUTED_VALUE"""),2.5947927397529043)</f>
        <v>2.59479274</v>
      </c>
      <c r="I103" s="4"/>
      <c r="J103" s="4"/>
      <c r="K103" s="4">
        <f>IFERROR(__xludf.DUMMYFUNCTION("""COMPUTED_VALUE"""),-7.46690908443054)</f>
        <v>-7.466909084</v>
      </c>
      <c r="L103" s="4"/>
      <c r="M103" s="4"/>
      <c r="N103" s="4">
        <f>IFERROR(__xludf.DUMMYFUNCTION("""COMPUTED_VALUE"""),3.0492330811708257)</f>
        <v>3.049233081</v>
      </c>
      <c r="O103" s="4"/>
      <c r="P103" s="4"/>
      <c r="Q103" s="4">
        <f>IFERROR(__xludf.DUMMYFUNCTION("""COMPUTED_VALUE"""),1.5171746067778145)</f>
        <v>1.517174607</v>
      </c>
      <c r="R103" s="4"/>
      <c r="S103" s="4"/>
      <c r="T103" s="4">
        <f>IFERROR(__xludf.DUMMYFUNCTION("""COMPUTED_VALUE"""),-4.328638415054854)</f>
        <v>-4.328638415</v>
      </c>
      <c r="U103" s="4"/>
      <c r="V103" s="4"/>
      <c r="W103" s="4">
        <f>IFERROR(__xludf.DUMMYFUNCTION("""COMPUTED_VALUE"""),-3.9380860502594146)</f>
        <v>-3.93808605</v>
      </c>
      <c r="X103" s="4"/>
      <c r="Y103" s="4"/>
      <c r="Z103" s="4">
        <f>IFERROR(__xludf.DUMMYFUNCTION("""COMPUTED_VALUE"""),-6.9235785394080835)</f>
        <v>-6.923578539</v>
      </c>
      <c r="AA103" s="4"/>
      <c r="AB103" s="4"/>
      <c r="AC103" s="4">
        <f>IFERROR(__xludf.DUMMYFUNCTION("""COMPUTED_VALUE"""),4.131244370614809)</f>
        <v>4.131244371</v>
      </c>
      <c r="AD103" s="4"/>
      <c r="AE103" s="4"/>
      <c r="AF103" s="4">
        <f>IFERROR(__xludf.DUMMYFUNCTION("""COMPUTED_VALUE"""),-1.5216379423500825)</f>
        <v>-1.521637942</v>
      </c>
      <c r="AG103" s="4"/>
      <c r="AH103" s="4"/>
      <c r="AI103" s="4">
        <f>IFERROR(__xludf.DUMMYFUNCTION("""COMPUTED_VALUE"""),-2.012309495727777)</f>
        <v>-2.012309496</v>
      </c>
      <c r="AJ103" s="4"/>
      <c r="AK103" s="4"/>
      <c r="AL103" s="4">
        <f>IFERROR(__xludf.DUMMYFUNCTION("""COMPUTED_VALUE"""),1.7726841143125966)</f>
        <v>1.772684114</v>
      </c>
      <c r="AM103" s="4"/>
      <c r="AN103" s="4"/>
      <c r="AO103" s="4">
        <f>IFERROR(__xludf.DUMMYFUNCTION("""COMPUTED_VALUE"""),-0.3182155341060593)</f>
        <v>-0.3182155341</v>
      </c>
      <c r="AP103" s="4"/>
      <c r="AQ103" s="4"/>
      <c r="AR103" s="4">
        <f>IFERROR(__xludf.DUMMYFUNCTION("""COMPUTED_VALUE"""),5.172697442918661)</f>
        <v>5.172697443</v>
      </c>
      <c r="AS103" s="4"/>
      <c r="AT103" s="4"/>
      <c r="AU103" s="4">
        <f>IFERROR(__xludf.DUMMYFUNCTION("""COMPUTED_VALUE"""),2.29287195643775)</f>
        <v>2.292871956</v>
      </c>
      <c r="AV103" s="4"/>
      <c r="AW103" s="4"/>
      <c r="AX103" s="4">
        <f>IFERROR(__xludf.DUMMYFUNCTION("""COMPUTED_VALUE"""),7.72909684174482)</f>
        <v>7.729096842</v>
      </c>
      <c r="AY103" s="4"/>
      <c r="AZ103" s="4"/>
      <c r="BA103" s="4">
        <f>IFERROR(__xludf.DUMMYFUNCTION("""COMPUTED_VALUE"""),-3.850515172286123)</f>
        <v>-3.850515172</v>
      </c>
      <c r="BB103" s="4"/>
      <c r="BC103" s="4"/>
      <c r="BD103" s="4">
        <f>IFERROR(__xludf.DUMMYFUNCTION("""COMPUTED_VALUE"""),1.1802403905682581)</f>
        <v>1.180240391</v>
      </c>
      <c r="BE103" s="4"/>
      <c r="BF103" s="4"/>
      <c r="BG103" s="4">
        <f>IFERROR(__xludf.DUMMYFUNCTION("""COMPUTED_VALUE"""),2.606093904848194)</f>
        <v>2.606093905</v>
      </c>
      <c r="BH103" s="4"/>
      <c r="BI103" s="4"/>
      <c r="BJ103" s="4"/>
      <c r="BK103" s="4"/>
    </row>
    <row r="104">
      <c r="A104" s="4"/>
      <c r="B104" s="4"/>
      <c r="C104" s="4"/>
      <c r="D104" s="4">
        <f>IFERROR(__xludf.DUMMYFUNCTION("""COMPUTED_VALUE"""),117.54190491340893)</f>
        <v>117.5419049</v>
      </c>
      <c r="E104" s="23">
        <f>IFERROR(__xludf.DUMMYFUNCTION("""COMPUTED_VALUE"""),1.596995377257258)</f>
        <v>1.596995377</v>
      </c>
      <c r="F104" s="4"/>
      <c r="G104" s="4"/>
      <c r="H104" s="4">
        <f>IFERROR(__xludf.DUMMYFUNCTION("""COMPUTED_VALUE"""),-6.135488024365031)</f>
        <v>-6.135488024</v>
      </c>
      <c r="I104" s="4"/>
      <c r="J104" s="4"/>
      <c r="K104" s="4">
        <f>IFERROR(__xludf.DUMMYFUNCTION("""COMPUTED_VALUE"""),-11.69135941928755)</f>
        <v>-11.69135942</v>
      </c>
      <c r="L104" s="4"/>
      <c r="M104" s="4"/>
      <c r="N104" s="4">
        <f>IFERROR(__xludf.DUMMYFUNCTION("""COMPUTED_VALUE"""),2.2994219301087355)</f>
        <v>2.29942193</v>
      </c>
      <c r="O104" s="4"/>
      <c r="P104" s="4"/>
      <c r="Q104" s="4">
        <f>IFERROR(__xludf.DUMMYFUNCTION("""COMPUTED_VALUE"""),-1.3784677424833376)</f>
        <v>-1.378467742</v>
      </c>
      <c r="R104" s="4"/>
      <c r="S104" s="4"/>
      <c r="T104" s="4">
        <f>IFERROR(__xludf.DUMMYFUNCTION("""COMPUTED_VALUE"""),-2.71383302665339)</f>
        <v>-2.713833027</v>
      </c>
      <c r="U104" s="4"/>
      <c r="V104" s="4"/>
      <c r="W104" s="4">
        <f>IFERROR(__xludf.DUMMYFUNCTION("""COMPUTED_VALUE"""),-6.28717685747273)</f>
        <v>-6.287176857</v>
      </c>
      <c r="X104" s="4"/>
      <c r="Y104" s="4"/>
      <c r="Z104" s="4">
        <f>IFERROR(__xludf.DUMMYFUNCTION("""COMPUTED_VALUE"""),2.552489281290377)</f>
        <v>2.552489281</v>
      </c>
      <c r="AA104" s="4"/>
      <c r="AB104" s="4"/>
      <c r="AC104" s="4">
        <f>IFERROR(__xludf.DUMMYFUNCTION("""COMPUTED_VALUE"""),6.983791347469889)</f>
        <v>6.983791347</v>
      </c>
      <c r="AD104" s="4"/>
      <c r="AE104" s="4"/>
      <c r="AF104" s="4">
        <f>IFERROR(__xludf.DUMMYFUNCTION("""COMPUTED_VALUE"""),-0.4917066162249739)</f>
        <v>-0.4917066162</v>
      </c>
      <c r="AG104" s="4"/>
      <c r="AH104" s="4"/>
      <c r="AI104" s="4">
        <f>IFERROR(__xludf.DUMMYFUNCTION("""COMPUTED_VALUE"""),-0.2628032796536104)</f>
        <v>-0.2628032797</v>
      </c>
      <c r="AJ104" s="4"/>
      <c r="AK104" s="4"/>
      <c r="AL104" s="4">
        <f>IFERROR(__xludf.DUMMYFUNCTION("""COMPUTED_VALUE"""),0.26486445267136105)</f>
        <v>0.2648644527</v>
      </c>
      <c r="AM104" s="4"/>
      <c r="AN104" s="4"/>
      <c r="AO104" s="4">
        <f>IFERROR(__xludf.DUMMYFUNCTION("""COMPUTED_VALUE"""),3.3486282764255293)</f>
        <v>3.348628276</v>
      </c>
      <c r="AP104" s="4"/>
      <c r="AQ104" s="4"/>
      <c r="AR104" s="4">
        <f>IFERROR(__xludf.DUMMYFUNCTION("""COMPUTED_VALUE"""),1.591769307316497)</f>
        <v>1.591769307</v>
      </c>
      <c r="AS104" s="4"/>
      <c r="AT104" s="4"/>
      <c r="AU104" s="4">
        <f>IFERROR(__xludf.DUMMYFUNCTION("""COMPUTED_VALUE"""),6.288676317462659)</f>
        <v>6.288676317</v>
      </c>
      <c r="AV104" s="4"/>
      <c r="AW104" s="4"/>
      <c r="AX104" s="4">
        <f>IFERROR(__xludf.DUMMYFUNCTION("""COMPUTED_VALUE"""),0.010907758211260443)</f>
        <v>0.01090775821</v>
      </c>
      <c r="AY104" s="4"/>
      <c r="AZ104" s="4"/>
      <c r="BA104" s="4">
        <f>IFERROR(__xludf.DUMMYFUNCTION("""COMPUTED_VALUE"""),4.0559706474695645)</f>
        <v>4.055970647</v>
      </c>
      <c r="BB104" s="4"/>
      <c r="BC104" s="4"/>
      <c r="BD104" s="4">
        <f>IFERROR(__xludf.DUMMYFUNCTION("""COMPUTED_VALUE"""),-1.3132490760687006)</f>
        <v>-1.313249076</v>
      </c>
      <c r="BE104" s="4"/>
      <c r="BF104" s="4"/>
      <c r="BG104" s="4">
        <f>IFERROR(__xludf.DUMMYFUNCTION("""COMPUTED_VALUE"""),2.5291733042366786)</f>
        <v>2.529173304</v>
      </c>
      <c r="BH104" s="4"/>
      <c r="BI104" s="4"/>
      <c r="BJ104" s="4"/>
      <c r="BK104" s="4"/>
    </row>
    <row r="105">
      <c r="A105" s="4"/>
      <c r="B105" s="4"/>
      <c r="C105" s="4"/>
      <c r="D105" s="4">
        <f>IFERROR(__xludf.DUMMYFUNCTION("""COMPUTED_VALUE"""),116.6236087827238)</f>
        <v>116.6236088</v>
      </c>
      <c r="E105" s="23">
        <f>IFERROR(__xludf.DUMMYFUNCTION("""COMPUTED_VALUE"""),-6.750317287794644)</f>
        <v>-6.750317288</v>
      </c>
      <c r="F105" s="4"/>
      <c r="G105" s="4"/>
      <c r="H105" s="4">
        <f>IFERROR(__xludf.DUMMYFUNCTION("""COMPUTED_VALUE"""),-4.034682326622317)</f>
        <v>-4.034682327</v>
      </c>
      <c r="I105" s="4"/>
      <c r="J105" s="4"/>
      <c r="K105" s="4">
        <f>IFERROR(__xludf.DUMMYFUNCTION("""COMPUTED_VALUE"""),-3.020687041750193)</f>
        <v>-3.020687042</v>
      </c>
      <c r="L105" s="4"/>
      <c r="M105" s="4"/>
      <c r="N105" s="4">
        <f>IFERROR(__xludf.DUMMYFUNCTION("""COMPUTED_VALUE"""),5.116813912879138)</f>
        <v>5.116813913</v>
      </c>
      <c r="O105" s="4"/>
      <c r="P105" s="4"/>
      <c r="Q105" s="4">
        <f>IFERROR(__xludf.DUMMYFUNCTION("""COMPUTED_VALUE"""),-0.41272900369119725)</f>
        <v>-0.4127290037</v>
      </c>
      <c r="R105" s="4"/>
      <c r="S105" s="4"/>
      <c r="T105" s="4">
        <f>IFERROR(__xludf.DUMMYFUNCTION("""COMPUTED_VALUE"""),0.9478727142334833)</f>
        <v>0.9478727142</v>
      </c>
      <c r="U105" s="4"/>
      <c r="V105" s="4"/>
      <c r="W105" s="4">
        <f>IFERROR(__xludf.DUMMYFUNCTION("""COMPUTED_VALUE"""),-1.4644405383434105)</f>
        <v>-1.464440538</v>
      </c>
      <c r="X105" s="4"/>
      <c r="Y105" s="4"/>
      <c r="Z105" s="4">
        <f>IFERROR(__xludf.DUMMYFUNCTION("""COMPUTED_VALUE"""),0.35937449894174733)</f>
        <v>0.3593744989</v>
      </c>
      <c r="AA105" s="4"/>
      <c r="AB105" s="4"/>
      <c r="AC105" s="4">
        <f>IFERROR(__xludf.DUMMYFUNCTION("""COMPUTED_VALUE"""),6.404619292182474)</f>
        <v>6.404619292</v>
      </c>
      <c r="AD105" s="4"/>
      <c r="AE105" s="4"/>
      <c r="AF105" s="4">
        <f>IFERROR(__xludf.DUMMYFUNCTION("""COMPUTED_VALUE"""),2.263709566096054)</f>
        <v>2.263709566</v>
      </c>
      <c r="AG105" s="4"/>
      <c r="AH105" s="4"/>
      <c r="AI105" s="4">
        <f>IFERROR(__xludf.DUMMYFUNCTION("""COMPUTED_VALUE"""),0.47142751069912947)</f>
        <v>0.4714275107</v>
      </c>
      <c r="AJ105" s="4"/>
      <c r="AK105" s="4"/>
      <c r="AL105" s="4">
        <f>IFERROR(__xludf.DUMMYFUNCTION("""COMPUTED_VALUE"""),-3.441754592012501)</f>
        <v>-3.441754592</v>
      </c>
      <c r="AM105" s="4"/>
      <c r="AN105" s="4"/>
      <c r="AO105" s="4">
        <f>IFERROR(__xludf.DUMMYFUNCTION("""COMPUTED_VALUE"""),-0.8740125730287218)</f>
        <v>-0.874012573</v>
      </c>
      <c r="AP105" s="4"/>
      <c r="AQ105" s="4"/>
      <c r="AR105" s="4">
        <f>IFERROR(__xludf.DUMMYFUNCTION("""COMPUTED_VALUE"""),-2.490186345165398)</f>
        <v>-2.490186345</v>
      </c>
      <c r="AS105" s="4"/>
      <c r="AT105" s="4"/>
      <c r="AU105" s="4">
        <f>IFERROR(__xludf.DUMMYFUNCTION("""COMPUTED_VALUE"""),1.4265206558076784)</f>
        <v>1.426520656</v>
      </c>
      <c r="AV105" s="4"/>
      <c r="AW105" s="4"/>
      <c r="AX105" s="4">
        <f>IFERROR(__xludf.DUMMYFUNCTION("""COMPUTED_VALUE"""),3.0170484218862157)</f>
        <v>3.017048422</v>
      </c>
      <c r="AY105" s="4"/>
      <c r="AZ105" s="4"/>
      <c r="BA105" s="4">
        <f>IFERROR(__xludf.DUMMYFUNCTION("""COMPUTED_VALUE"""),4.832378103401652)</f>
        <v>4.832378103</v>
      </c>
      <c r="BB105" s="4"/>
      <c r="BC105" s="4"/>
      <c r="BD105" s="4">
        <f>IFERROR(__xludf.DUMMYFUNCTION("""COMPUTED_VALUE"""),-1.753600403792177)</f>
        <v>-1.753600404</v>
      </c>
      <c r="BE105" s="4"/>
      <c r="BF105" s="4"/>
      <c r="BG105" s="4">
        <f>IFERROR(__xludf.DUMMYFUNCTION("""COMPUTED_VALUE"""),-6.656297448774751)</f>
        <v>-6.656297449</v>
      </c>
      <c r="BH105" s="4"/>
      <c r="BI105" s="4"/>
      <c r="BJ105" s="4"/>
      <c r="BK105" s="4"/>
    </row>
    <row r="106">
      <c r="A106" s="4"/>
      <c r="B106" s="4"/>
      <c r="C106" s="4"/>
      <c r="D106" s="4">
        <f>IFERROR(__xludf.DUMMYFUNCTION("""COMPUTED_VALUE"""),115.70531264997409)</f>
        <v>115.7053126</v>
      </c>
      <c r="E106" s="23">
        <f>IFERROR(__xludf.DUMMYFUNCTION("""COMPUTED_VALUE"""),-5.7891452913171975)</f>
        <v>-5.789145291</v>
      </c>
      <c r="F106" s="4"/>
      <c r="G106" s="4"/>
      <c r="H106" s="4">
        <f>IFERROR(__xludf.DUMMYFUNCTION("""COMPUTED_VALUE"""),1.0172387956912985)</f>
        <v>1.017238796</v>
      </c>
      <c r="I106" s="4"/>
      <c r="J106" s="4"/>
      <c r="K106" s="4">
        <f>IFERROR(__xludf.DUMMYFUNCTION("""COMPUTED_VALUE"""),-0.5316261278277921)</f>
        <v>-0.5316261278</v>
      </c>
      <c r="L106" s="4"/>
      <c r="M106" s="4"/>
      <c r="N106" s="4">
        <f>IFERROR(__xludf.DUMMYFUNCTION("""COMPUTED_VALUE"""),1.7084351589908238)</f>
        <v>1.708435159</v>
      </c>
      <c r="O106" s="4"/>
      <c r="P106" s="4"/>
      <c r="Q106" s="4">
        <f>IFERROR(__xludf.DUMMYFUNCTION("""COMPUTED_VALUE"""),6.362975722600424)</f>
        <v>6.362975723</v>
      </c>
      <c r="R106" s="4"/>
      <c r="S106" s="4"/>
      <c r="T106" s="4">
        <f>IFERROR(__xludf.DUMMYFUNCTION("""COMPUTED_VALUE"""),-7.269001988687876)</f>
        <v>-7.269001989</v>
      </c>
      <c r="U106" s="4"/>
      <c r="V106" s="4"/>
      <c r="W106" s="4">
        <f>IFERROR(__xludf.DUMMYFUNCTION("""COMPUTED_VALUE"""),-3.346270140924503)</f>
        <v>-3.346270141</v>
      </c>
      <c r="X106" s="4"/>
      <c r="Y106" s="4"/>
      <c r="Z106" s="4">
        <f>IFERROR(__xludf.DUMMYFUNCTION("""COMPUTED_VALUE"""),1.4338061774881794)</f>
        <v>1.433806177</v>
      </c>
      <c r="AA106" s="4"/>
      <c r="AB106" s="4"/>
      <c r="AC106" s="4">
        <f>IFERROR(__xludf.DUMMYFUNCTION("""COMPUTED_VALUE"""),13.748468225133422)</f>
        <v>13.74846823</v>
      </c>
      <c r="AD106" s="4"/>
      <c r="AE106" s="4"/>
      <c r="AF106" s="4">
        <f>IFERROR(__xludf.DUMMYFUNCTION("""COMPUTED_VALUE"""),0.6799432622227073)</f>
        <v>0.6799432622</v>
      </c>
      <c r="AG106" s="4"/>
      <c r="AH106" s="4"/>
      <c r="AI106" s="4">
        <f>IFERROR(__xludf.DUMMYFUNCTION("""COMPUTED_VALUE"""),1.5357594883471961)</f>
        <v>1.535759488</v>
      </c>
      <c r="AJ106" s="4"/>
      <c r="AK106" s="4"/>
      <c r="AL106" s="4">
        <f>IFERROR(__xludf.DUMMYFUNCTION("""COMPUTED_VALUE"""),1.4121662299008335)</f>
        <v>1.41216623</v>
      </c>
      <c r="AM106" s="4"/>
      <c r="AN106" s="4"/>
      <c r="AO106" s="4">
        <f>IFERROR(__xludf.DUMMYFUNCTION("""COMPUTED_VALUE"""),-6.253327924422194)</f>
        <v>-6.253327924</v>
      </c>
      <c r="AP106" s="4"/>
      <c r="AQ106" s="4"/>
      <c r="AR106" s="4">
        <f>IFERROR(__xludf.DUMMYFUNCTION("""COMPUTED_VALUE"""),0.026588914689966714)</f>
        <v>0.02658891469</v>
      </c>
      <c r="AS106" s="4"/>
      <c r="AT106" s="4"/>
      <c r="AU106" s="4">
        <f>IFERROR(__xludf.DUMMYFUNCTION("""COMPUTED_VALUE"""),3.332529693610411)</f>
        <v>3.332529694</v>
      </c>
      <c r="AV106" s="4"/>
      <c r="AW106" s="4"/>
      <c r="AX106" s="4">
        <f>IFERROR(__xludf.DUMMYFUNCTION("""COMPUTED_VALUE"""),9.706241850284641)</f>
        <v>9.70624185</v>
      </c>
      <c r="AY106" s="4"/>
      <c r="AZ106" s="4"/>
      <c r="BA106" s="4">
        <f>IFERROR(__xludf.DUMMYFUNCTION("""COMPUTED_VALUE"""),5.312091254163647)</f>
        <v>5.312091254</v>
      </c>
      <c r="BB106" s="4"/>
      <c r="BC106" s="4"/>
      <c r="BD106" s="4">
        <f>IFERROR(__xludf.DUMMYFUNCTION("""COMPUTED_VALUE"""),4.325849110264812)</f>
        <v>4.32584911</v>
      </c>
      <c r="BE106" s="4"/>
      <c r="BF106" s="4"/>
      <c r="BG106" s="4">
        <f>IFERROR(__xludf.DUMMYFUNCTION("""COMPUTED_VALUE"""),-4.296415591468019)</f>
        <v>-4.296415591</v>
      </c>
      <c r="BH106" s="4"/>
      <c r="BI106" s="4"/>
      <c r="BJ106" s="4"/>
      <c r="BK106" s="4"/>
    </row>
    <row r="107">
      <c r="A107" s="4"/>
      <c r="B107" s="4"/>
      <c r="C107" s="4"/>
      <c r="D107" s="4">
        <f>IFERROR(__xludf.DUMMYFUNCTION("""COMPUTED_VALUE"""),114.78701651717401)</f>
        <v>114.7870165</v>
      </c>
      <c r="E107" s="23">
        <f>IFERROR(__xludf.DUMMYFUNCTION("""COMPUTED_VALUE"""),1.1857204578390679)</f>
        <v>1.185720458</v>
      </c>
      <c r="F107" s="4"/>
      <c r="G107" s="4"/>
      <c r="H107" s="4">
        <f>IFERROR(__xludf.DUMMYFUNCTION("""COMPUTED_VALUE"""),-4.295988869165797)</f>
        <v>-4.295988869</v>
      </c>
      <c r="I107" s="4"/>
      <c r="J107" s="4"/>
      <c r="K107" s="4">
        <f>IFERROR(__xludf.DUMMYFUNCTION("""COMPUTED_VALUE"""),-0.6146207334813312)</f>
        <v>-0.6146207335</v>
      </c>
      <c r="L107" s="4"/>
      <c r="M107" s="4"/>
      <c r="N107" s="4">
        <f>IFERROR(__xludf.DUMMYFUNCTION("""COMPUTED_VALUE"""),-5.2126399247584345)</f>
        <v>-5.212639925</v>
      </c>
      <c r="O107" s="4"/>
      <c r="P107" s="4"/>
      <c r="Q107" s="4">
        <f>IFERROR(__xludf.DUMMYFUNCTION("""COMPUTED_VALUE"""),3.668972781489117)</f>
        <v>3.668972781</v>
      </c>
      <c r="R107" s="4"/>
      <c r="S107" s="4"/>
      <c r="T107" s="4">
        <f>IFERROR(__xludf.DUMMYFUNCTION("""COMPUTED_VALUE"""),-8.442788004193915)</f>
        <v>-8.442788004</v>
      </c>
      <c r="U107" s="4"/>
      <c r="V107" s="4"/>
      <c r="W107" s="4">
        <f>IFERROR(__xludf.DUMMYFUNCTION("""COMPUTED_VALUE"""),-7.069575578143258)</f>
        <v>-7.069575578</v>
      </c>
      <c r="X107" s="4"/>
      <c r="Y107" s="4"/>
      <c r="Z107" s="4">
        <f>IFERROR(__xludf.DUMMYFUNCTION("""COMPUTED_VALUE"""),4.341292812047243)</f>
        <v>4.341292812</v>
      </c>
      <c r="AA107" s="4"/>
      <c r="AB107" s="4"/>
      <c r="AC107" s="4">
        <f>IFERROR(__xludf.DUMMYFUNCTION("""COMPUTED_VALUE"""),-1.4237004773976878)</f>
        <v>-1.423700477</v>
      </c>
      <c r="AD107" s="4"/>
      <c r="AE107" s="4"/>
      <c r="AF107" s="4">
        <f>IFERROR(__xludf.DUMMYFUNCTION("""COMPUTED_VALUE"""),3.5710444715992367)</f>
        <v>3.571044472</v>
      </c>
      <c r="AG107" s="4"/>
      <c r="AH107" s="4"/>
      <c r="AI107" s="4">
        <f>IFERROR(__xludf.DUMMYFUNCTION("""COMPUTED_VALUE"""),-0.5510837589120001)</f>
        <v>-0.5510837589</v>
      </c>
      <c r="AJ107" s="4"/>
      <c r="AK107" s="4"/>
      <c r="AL107" s="4">
        <f>IFERROR(__xludf.DUMMYFUNCTION("""COMPUTED_VALUE"""),4.5488687699028105)</f>
        <v>4.54886877</v>
      </c>
      <c r="AM107" s="4"/>
      <c r="AN107" s="4"/>
      <c r="AO107" s="4">
        <f>IFERROR(__xludf.DUMMYFUNCTION("""COMPUTED_VALUE"""),3.6690608358474037)</f>
        <v>3.669060836</v>
      </c>
      <c r="AP107" s="4"/>
      <c r="AQ107" s="4"/>
      <c r="AR107" s="4">
        <f>IFERROR(__xludf.DUMMYFUNCTION("""COMPUTED_VALUE"""),0.6140607087316425)</f>
        <v>0.6140607087</v>
      </c>
      <c r="AS107" s="4"/>
      <c r="AT107" s="4"/>
      <c r="AU107" s="4">
        <f>IFERROR(__xludf.DUMMYFUNCTION("""COMPUTED_VALUE"""),5.1598474646822865)</f>
        <v>5.159847465</v>
      </c>
      <c r="AV107" s="4"/>
      <c r="AW107" s="4"/>
      <c r="AX107" s="4">
        <f>IFERROR(__xludf.DUMMYFUNCTION("""COMPUTED_VALUE"""),2.967655497557928)</f>
        <v>2.967655498</v>
      </c>
      <c r="AY107" s="4"/>
      <c r="AZ107" s="4"/>
      <c r="BA107" s="4">
        <f>IFERROR(__xludf.DUMMYFUNCTION("""COMPUTED_VALUE"""),-2.5771375683316364)</f>
        <v>-2.577137568</v>
      </c>
      <c r="BB107" s="4"/>
      <c r="BC107" s="4"/>
      <c r="BD107" s="4">
        <f>IFERROR(__xludf.DUMMYFUNCTION("""COMPUTED_VALUE"""),7.226985431006369)</f>
        <v>7.226985431</v>
      </c>
      <c r="BE107" s="4"/>
      <c r="BF107" s="4"/>
      <c r="BG107" s="4">
        <f>IFERROR(__xludf.DUMMYFUNCTION("""COMPUTED_VALUE"""),-0.3978618041623463)</f>
        <v>-0.3978618042</v>
      </c>
      <c r="BH107" s="4"/>
      <c r="BI107" s="4"/>
      <c r="BJ107" s="4"/>
      <c r="BK107" s="4"/>
    </row>
    <row r="108">
      <c r="A108" s="4"/>
      <c r="B108" s="4"/>
      <c r="C108" s="4"/>
      <c r="D108" s="4">
        <f>IFERROR(__xludf.DUMMYFUNCTION("""COMPUTED_VALUE"""),113.86872038648889)</f>
        <v>113.8687204</v>
      </c>
      <c r="E108" s="23">
        <f>IFERROR(__xludf.DUMMYFUNCTION("""COMPUTED_VALUE"""),1.664465937795626)</f>
        <v>1.664465938</v>
      </c>
      <c r="F108" s="4"/>
      <c r="G108" s="4"/>
      <c r="H108" s="4">
        <f>IFERROR(__xludf.DUMMYFUNCTION("""COMPUTED_VALUE"""),-3.083477146914902)</f>
        <v>-3.083477147</v>
      </c>
      <c r="I108" s="4"/>
      <c r="J108" s="4"/>
      <c r="K108" s="4">
        <f>IFERROR(__xludf.DUMMYFUNCTION("""COMPUTED_VALUE"""),-6.336936367006274E-4)</f>
        <v>-0.0006336936367</v>
      </c>
      <c r="L108" s="4"/>
      <c r="M108" s="4"/>
      <c r="N108" s="4">
        <f>IFERROR(__xludf.DUMMYFUNCTION("""COMPUTED_VALUE"""),-4.850308535079307)</f>
        <v>-4.850308535</v>
      </c>
      <c r="O108" s="4"/>
      <c r="P108" s="4"/>
      <c r="Q108" s="4">
        <f>IFERROR(__xludf.DUMMYFUNCTION("""COMPUTED_VALUE"""),0.6828650290640326)</f>
        <v>0.6828650291</v>
      </c>
      <c r="R108" s="4"/>
      <c r="S108" s="4"/>
      <c r="T108" s="4">
        <f>IFERROR(__xludf.DUMMYFUNCTION("""COMPUTED_VALUE"""),-1.032153402072197)</f>
        <v>-1.032153402</v>
      </c>
      <c r="U108" s="4"/>
      <c r="V108" s="4"/>
      <c r="W108" s="4">
        <f>IFERROR(__xludf.DUMMYFUNCTION("""COMPUTED_VALUE"""),-10.717205455961903)</f>
        <v>-10.71720546</v>
      </c>
      <c r="X108" s="4"/>
      <c r="Y108" s="4"/>
      <c r="Z108" s="4">
        <f>IFERROR(__xludf.DUMMYFUNCTION("""COMPUTED_VALUE"""),-6.41387624584047)</f>
        <v>-6.413876246</v>
      </c>
      <c r="AA108" s="4"/>
      <c r="AB108" s="4"/>
      <c r="AC108" s="4">
        <f>IFERROR(__xludf.DUMMYFUNCTION("""COMPUTED_VALUE"""),4.06977381922087)</f>
        <v>4.069773819</v>
      </c>
      <c r="AD108" s="4"/>
      <c r="AE108" s="4"/>
      <c r="AF108" s="4">
        <f>IFERROR(__xludf.DUMMYFUNCTION("""COMPUTED_VALUE"""),1.5660366703265822)</f>
        <v>1.56603667</v>
      </c>
      <c r="AG108" s="4"/>
      <c r="AH108" s="4"/>
      <c r="AI108" s="4">
        <f>IFERROR(__xludf.DUMMYFUNCTION("""COMPUTED_VALUE"""),-0.45202343797302547)</f>
        <v>-0.452023438</v>
      </c>
      <c r="AJ108" s="4"/>
      <c r="AK108" s="4"/>
      <c r="AL108" s="4">
        <f>IFERROR(__xludf.DUMMYFUNCTION("""COMPUTED_VALUE"""),-0.41655611269078463)</f>
        <v>-0.4165561127</v>
      </c>
      <c r="AM108" s="4"/>
      <c r="AN108" s="4"/>
      <c r="AO108" s="4">
        <f>IFERROR(__xludf.DUMMYFUNCTION("""COMPUTED_VALUE"""),1.7160953640704406)</f>
        <v>1.716095364</v>
      </c>
      <c r="AP108" s="4"/>
      <c r="AQ108" s="4"/>
      <c r="AR108" s="4">
        <f>IFERROR(__xludf.DUMMYFUNCTION("""COMPUTED_VALUE"""),-1.481794867128201)</f>
        <v>-1.481794867</v>
      </c>
      <c r="AS108" s="4"/>
      <c r="AT108" s="4"/>
      <c r="AU108" s="4">
        <f>IFERROR(__xludf.DUMMYFUNCTION("""COMPUTED_VALUE"""),-0.6280661195828543)</f>
        <v>-0.6280661196</v>
      </c>
      <c r="AV108" s="4"/>
      <c r="AW108" s="4"/>
      <c r="AX108" s="4">
        <f>IFERROR(__xludf.DUMMYFUNCTION("""COMPUTED_VALUE"""),2.2243901872972742)</f>
        <v>2.224390187</v>
      </c>
      <c r="AY108" s="4"/>
      <c r="AZ108" s="4"/>
      <c r="BA108" s="4">
        <f>IFERROR(__xludf.DUMMYFUNCTION("""COMPUTED_VALUE"""),3.075018101319756)</f>
        <v>3.075018101</v>
      </c>
      <c r="BB108" s="4"/>
      <c r="BC108" s="4"/>
      <c r="BD108" s="4">
        <f>IFERROR(__xludf.DUMMYFUNCTION("""COMPUTED_VALUE"""),4.759105454562871)</f>
        <v>4.759105455</v>
      </c>
      <c r="BE108" s="4"/>
      <c r="BF108" s="4"/>
      <c r="BG108" s="4">
        <f>IFERROR(__xludf.DUMMYFUNCTION("""COMPUTED_VALUE"""),-4.58214707134897)</f>
        <v>-4.582147071</v>
      </c>
      <c r="BH108" s="4"/>
      <c r="BI108" s="4"/>
      <c r="BJ108" s="4"/>
      <c r="BK108" s="4"/>
    </row>
    <row r="109">
      <c r="A109" s="4"/>
      <c r="B109" s="4"/>
      <c r="C109" s="4"/>
      <c r="D109" s="4">
        <f>IFERROR(__xludf.DUMMYFUNCTION("""COMPUTED_VALUE"""),112.95042425373916)</f>
        <v>112.9504243</v>
      </c>
      <c r="E109" s="23">
        <f>IFERROR(__xludf.DUMMYFUNCTION("""COMPUTED_VALUE"""),-0.2673931998380681)</f>
        <v>-0.2673931998</v>
      </c>
      <c r="F109" s="4"/>
      <c r="G109" s="4"/>
      <c r="H109" s="4">
        <f>IFERROR(__xludf.DUMMYFUNCTION("""COMPUTED_VALUE"""),5.6934519572772615)</f>
        <v>5.693451957</v>
      </c>
      <c r="I109" s="4"/>
      <c r="J109" s="4"/>
      <c r="K109" s="4">
        <f>IFERROR(__xludf.DUMMYFUNCTION("""COMPUTED_VALUE"""),-0.42114962504655296)</f>
        <v>-0.421149625</v>
      </c>
      <c r="L109" s="4"/>
      <c r="M109" s="4"/>
      <c r="N109" s="4">
        <f>IFERROR(__xludf.DUMMYFUNCTION("""COMPUTED_VALUE"""),-3.658213119446316)</f>
        <v>-3.658213119</v>
      </c>
      <c r="O109" s="4"/>
      <c r="P109" s="4"/>
      <c r="Q109" s="4">
        <f>IFERROR(__xludf.DUMMYFUNCTION("""COMPUTED_VALUE"""),1.1302042583097318)</f>
        <v>1.130204258</v>
      </c>
      <c r="R109" s="4"/>
      <c r="S109" s="4"/>
      <c r="T109" s="4">
        <f>IFERROR(__xludf.DUMMYFUNCTION("""COMPUTED_VALUE"""),-3.855280490583482)</f>
        <v>-3.855280491</v>
      </c>
      <c r="U109" s="4"/>
      <c r="V109" s="4"/>
      <c r="W109" s="4">
        <f>IFERROR(__xludf.DUMMYFUNCTION("""COMPUTED_VALUE"""),-4.30935047013827)</f>
        <v>-4.30935047</v>
      </c>
      <c r="X109" s="4"/>
      <c r="Y109" s="4"/>
      <c r="Z109" s="4">
        <f>IFERROR(__xludf.DUMMYFUNCTION("""COMPUTED_VALUE"""),-3.9170445511285266)</f>
        <v>-3.917044551</v>
      </c>
      <c r="AA109" s="4"/>
      <c r="AB109" s="4"/>
      <c r="AC109" s="4">
        <f>IFERROR(__xludf.DUMMYFUNCTION("""COMPUTED_VALUE"""),-6.751022632738)</f>
        <v>-6.751022633</v>
      </c>
      <c r="AD109" s="4"/>
      <c r="AE109" s="4"/>
      <c r="AF109" s="4">
        <f>IFERROR(__xludf.DUMMYFUNCTION("""COMPUTED_VALUE"""),3.685086220083747)</f>
        <v>3.68508622</v>
      </c>
      <c r="AG109" s="4"/>
      <c r="AH109" s="4"/>
      <c r="AI109" s="4">
        <f>IFERROR(__xludf.DUMMYFUNCTION("""COMPUTED_VALUE"""),-0.7884199849613651)</f>
        <v>-0.788419985</v>
      </c>
      <c r="AJ109" s="4"/>
      <c r="AK109" s="4"/>
      <c r="AL109" s="4">
        <f>IFERROR(__xludf.DUMMYFUNCTION("""COMPUTED_VALUE"""),0.2646883647458935)</f>
        <v>0.2646883647</v>
      </c>
      <c r="AM109" s="4"/>
      <c r="AN109" s="4"/>
      <c r="AO109" s="4">
        <f>IFERROR(__xludf.DUMMYFUNCTION("""COMPUTED_VALUE"""),3.52291693924775)</f>
        <v>3.522916939</v>
      </c>
      <c r="AP109" s="4"/>
      <c r="AQ109" s="4"/>
      <c r="AR109" s="4">
        <f>IFERROR(__xludf.DUMMYFUNCTION("""COMPUTED_VALUE"""),4.096982995534347)</f>
        <v>4.096982996</v>
      </c>
      <c r="AS109" s="4"/>
      <c r="AT109" s="4"/>
      <c r="AU109" s="4">
        <f>IFERROR(__xludf.DUMMYFUNCTION("""COMPUTED_VALUE"""),4.583547212210021)</f>
        <v>4.583547212</v>
      </c>
      <c r="AV109" s="4"/>
      <c r="AW109" s="4"/>
      <c r="AX109" s="4">
        <f>IFERROR(__xludf.DUMMYFUNCTION("""COMPUTED_VALUE"""),3.923884117542059)</f>
        <v>3.923884118</v>
      </c>
      <c r="AY109" s="4"/>
      <c r="AZ109" s="4"/>
      <c r="BA109" s="4">
        <f>IFERROR(__xludf.DUMMYFUNCTION("""COMPUTED_VALUE"""),-2.667866086727031)</f>
        <v>-2.667866087</v>
      </c>
      <c r="BB109" s="4"/>
      <c r="BC109" s="4"/>
      <c r="BD109" s="4">
        <f>IFERROR(__xludf.DUMMYFUNCTION("""COMPUTED_VALUE"""),5.2690707570926065)</f>
        <v>5.269070757</v>
      </c>
      <c r="BE109" s="4"/>
      <c r="BF109" s="4"/>
      <c r="BG109" s="4">
        <f>IFERROR(__xludf.DUMMYFUNCTION("""COMPUTED_VALUE"""),-1.6780027873310814)</f>
        <v>-1.678002787</v>
      </c>
      <c r="BH109" s="4"/>
      <c r="BI109" s="4"/>
      <c r="BJ109" s="4"/>
      <c r="BK109" s="4"/>
    </row>
    <row r="110">
      <c r="A110" s="4"/>
      <c r="B110" s="4"/>
      <c r="C110" s="4"/>
      <c r="D110" s="4">
        <f>IFERROR(__xludf.DUMMYFUNCTION("""COMPUTED_VALUE"""),112.03212812093909)</f>
        <v>112.0321281</v>
      </c>
      <c r="E110" s="23">
        <f>IFERROR(__xludf.DUMMYFUNCTION("""COMPUTED_VALUE"""),-3.939327189635833)</f>
        <v>-3.93932719</v>
      </c>
      <c r="F110" s="4"/>
      <c r="G110" s="4"/>
      <c r="H110" s="4">
        <f>IFERROR(__xludf.DUMMYFUNCTION("""COMPUTED_VALUE"""),0.30312596693420346)</f>
        <v>0.3031259669</v>
      </c>
      <c r="I110" s="4"/>
      <c r="J110" s="4"/>
      <c r="K110" s="4">
        <f>IFERROR(__xludf.DUMMYFUNCTION("""COMPUTED_VALUE"""),-4.372094040455806)</f>
        <v>-4.37209404</v>
      </c>
      <c r="L110" s="4"/>
      <c r="M110" s="4"/>
      <c r="N110" s="4">
        <f>IFERROR(__xludf.DUMMYFUNCTION("""COMPUTED_VALUE"""),-0.4998004845159585)</f>
        <v>-0.4998004845</v>
      </c>
      <c r="O110" s="4"/>
      <c r="P110" s="4"/>
      <c r="Q110" s="4">
        <f>IFERROR(__xludf.DUMMYFUNCTION("""COMPUTED_VALUE"""),-1.3813206911059979)</f>
        <v>-1.381320691</v>
      </c>
      <c r="R110" s="4"/>
      <c r="S110" s="4"/>
      <c r="T110" s="4">
        <f>IFERROR(__xludf.DUMMYFUNCTION("""COMPUTED_VALUE"""),-2.5706166624991624)</f>
        <v>-2.570616662</v>
      </c>
      <c r="U110" s="4"/>
      <c r="V110" s="4"/>
      <c r="W110" s="4">
        <f>IFERROR(__xludf.DUMMYFUNCTION("""COMPUTED_VALUE"""),-3.390674075956724)</f>
        <v>-3.390674076</v>
      </c>
      <c r="X110" s="4"/>
      <c r="Y110" s="4"/>
      <c r="Z110" s="4">
        <f>IFERROR(__xludf.DUMMYFUNCTION("""COMPUTED_VALUE"""),-2.4044340848071215)</f>
        <v>-2.404434085</v>
      </c>
      <c r="AA110" s="4"/>
      <c r="AB110" s="4"/>
      <c r="AC110" s="4">
        <f>IFERROR(__xludf.DUMMYFUNCTION("""COMPUTED_VALUE"""),-0.7440385089179813)</f>
        <v>-0.7440385089</v>
      </c>
      <c r="AD110" s="4"/>
      <c r="AE110" s="4"/>
      <c r="AF110" s="4">
        <f>IFERROR(__xludf.DUMMYFUNCTION("""COMPUTED_VALUE"""),1.5905176111351125)</f>
        <v>1.590517611</v>
      </c>
      <c r="AG110" s="4"/>
      <c r="AH110" s="4"/>
      <c r="AI110" s="4">
        <f>IFERROR(__xludf.DUMMYFUNCTION("""COMPUTED_VALUE"""),-6.023636537490859)</f>
        <v>-6.023636537</v>
      </c>
      <c r="AJ110" s="4"/>
      <c r="AK110" s="4"/>
      <c r="AL110" s="4">
        <f>IFERROR(__xludf.DUMMYFUNCTION("""COMPUTED_VALUE"""),5.4365238928621125)</f>
        <v>5.436523893</v>
      </c>
      <c r="AM110" s="4"/>
      <c r="AN110" s="4"/>
      <c r="AO110" s="4">
        <f>IFERROR(__xludf.DUMMYFUNCTION("""COMPUTED_VALUE"""),3.880220328752216)</f>
        <v>3.880220329</v>
      </c>
      <c r="AP110" s="4"/>
      <c r="AQ110" s="4"/>
      <c r="AR110" s="4">
        <f>IFERROR(__xludf.DUMMYFUNCTION("""COMPUTED_VALUE"""),8.816112122305242)</f>
        <v>8.816112122</v>
      </c>
      <c r="AS110" s="4"/>
      <c r="AT110" s="4"/>
      <c r="AU110" s="4">
        <f>IFERROR(__xludf.DUMMYFUNCTION("""COMPUTED_VALUE"""),0.33646300329991163)</f>
        <v>0.3364630033</v>
      </c>
      <c r="AV110" s="4"/>
      <c r="AW110" s="4"/>
      <c r="AX110" s="4">
        <f>IFERROR(__xludf.DUMMYFUNCTION("""COMPUTED_VALUE"""),14.364438831008954)</f>
        <v>14.36443883</v>
      </c>
      <c r="AY110" s="4"/>
      <c r="AZ110" s="4"/>
      <c r="BA110" s="4">
        <f>IFERROR(__xludf.DUMMYFUNCTION("""COMPUTED_VALUE"""),2.118890555739142)</f>
        <v>2.118890556</v>
      </c>
      <c r="BB110" s="4"/>
      <c r="BC110" s="4"/>
      <c r="BD110" s="4">
        <f>IFERROR(__xludf.DUMMYFUNCTION("""COMPUTED_VALUE"""),1.6285755064199634)</f>
        <v>1.628575506</v>
      </c>
      <c r="BE110" s="4"/>
      <c r="BF110" s="4"/>
      <c r="BG110" s="4">
        <f>IFERROR(__xludf.DUMMYFUNCTION("""COMPUTED_VALUE"""),-1.856932526844048)</f>
        <v>-1.856932527</v>
      </c>
      <c r="BH110" s="4"/>
      <c r="BI110" s="4"/>
      <c r="BJ110" s="4"/>
      <c r="BK110" s="4"/>
    </row>
    <row r="111">
      <c r="A111" s="4"/>
      <c r="B111" s="4"/>
      <c r="C111" s="4"/>
      <c r="D111" s="4">
        <f>IFERROR(__xludf.DUMMYFUNCTION("""COMPUTED_VALUE"""),111.11383199030432)</f>
        <v>111.113832</v>
      </c>
      <c r="E111" s="23">
        <f>IFERROR(__xludf.DUMMYFUNCTION("""COMPUTED_VALUE"""),3.8633829602368337)</f>
        <v>3.86338296</v>
      </c>
      <c r="F111" s="4"/>
      <c r="G111" s="4"/>
      <c r="H111" s="4">
        <f>IFERROR(__xludf.DUMMYFUNCTION("""COMPUTED_VALUE"""),2.3995813376511137)</f>
        <v>2.399581338</v>
      </c>
      <c r="I111" s="4"/>
      <c r="J111" s="4"/>
      <c r="K111" s="4">
        <f>IFERROR(__xludf.DUMMYFUNCTION("""COMPUTED_VALUE"""),-2.9351631099740985)</f>
        <v>-2.93516311</v>
      </c>
      <c r="L111" s="4"/>
      <c r="M111" s="4"/>
      <c r="N111" s="4">
        <f>IFERROR(__xludf.DUMMYFUNCTION("""COMPUTED_VALUE"""),1.8031127739841963)</f>
        <v>1.803112774</v>
      </c>
      <c r="O111" s="4"/>
      <c r="P111" s="4"/>
      <c r="Q111" s="4">
        <f>IFERROR(__xludf.DUMMYFUNCTION("""COMPUTED_VALUE"""),-5.901686447321822)</f>
        <v>-5.901686447</v>
      </c>
      <c r="R111" s="4"/>
      <c r="S111" s="4"/>
      <c r="T111" s="4">
        <f>IFERROR(__xludf.DUMMYFUNCTION("""COMPUTED_VALUE"""),0.9095419730728054)</f>
        <v>0.9095419731</v>
      </c>
      <c r="U111" s="4"/>
      <c r="V111" s="4"/>
      <c r="W111" s="4">
        <f>IFERROR(__xludf.DUMMYFUNCTION("""COMPUTED_VALUE"""),0.16285722751513276)</f>
        <v>0.1628572275</v>
      </c>
      <c r="X111" s="4"/>
      <c r="Y111" s="4"/>
      <c r="Z111" s="4">
        <f>IFERROR(__xludf.DUMMYFUNCTION("""COMPUTED_VALUE"""),-4.033152125836921)</f>
        <v>-4.033152126</v>
      </c>
      <c r="AA111" s="4"/>
      <c r="AB111" s="4"/>
      <c r="AC111" s="4">
        <f>IFERROR(__xludf.DUMMYFUNCTION("""COMPUTED_VALUE"""),0.5803558944685392)</f>
        <v>0.5803558945</v>
      </c>
      <c r="AD111" s="4"/>
      <c r="AE111" s="4"/>
      <c r="AF111" s="4">
        <f>IFERROR(__xludf.DUMMYFUNCTION("""COMPUTED_VALUE"""),-0.06393299500621197)</f>
        <v>-0.06393299501</v>
      </c>
      <c r="AG111" s="4"/>
      <c r="AH111" s="4"/>
      <c r="AI111" s="4">
        <f>IFERROR(__xludf.DUMMYFUNCTION("""COMPUTED_VALUE"""),2.4605958185050554)</f>
        <v>2.460595819</v>
      </c>
      <c r="AJ111" s="4"/>
      <c r="AK111" s="4"/>
      <c r="AL111" s="4">
        <f>IFERROR(__xludf.DUMMYFUNCTION("""COMPUTED_VALUE"""),3.5361670080226304)</f>
        <v>3.536167008</v>
      </c>
      <c r="AM111" s="4"/>
      <c r="AN111" s="4"/>
      <c r="AO111" s="4">
        <f>IFERROR(__xludf.DUMMYFUNCTION("""COMPUTED_VALUE"""),-2.5493393515314438)</f>
        <v>-2.549339352</v>
      </c>
      <c r="AP111" s="4"/>
      <c r="AQ111" s="4"/>
      <c r="AR111" s="4">
        <f>IFERROR(__xludf.DUMMYFUNCTION("""COMPUTED_VALUE"""),-0.6542425273974004)</f>
        <v>-0.6542425274</v>
      </c>
      <c r="AS111" s="4"/>
      <c r="AT111" s="4"/>
      <c r="AU111" s="4">
        <f>IFERROR(__xludf.DUMMYFUNCTION("""COMPUTED_VALUE"""),4.907257298359923)</f>
        <v>4.907257298</v>
      </c>
      <c r="AV111" s="4"/>
      <c r="AW111" s="4"/>
      <c r="AX111" s="4">
        <f>IFERROR(__xludf.DUMMYFUNCTION("""COMPUTED_VALUE"""),3.359726308735276)</f>
        <v>3.359726309</v>
      </c>
      <c r="AY111" s="4"/>
      <c r="AZ111" s="4"/>
      <c r="BA111" s="4">
        <f>IFERROR(__xludf.DUMMYFUNCTION("""COMPUTED_VALUE"""),-0.5561587885899826)</f>
        <v>-0.5561587886</v>
      </c>
      <c r="BB111" s="4"/>
      <c r="BC111" s="4"/>
      <c r="BD111" s="4">
        <f>IFERROR(__xludf.DUMMYFUNCTION("""COMPUTED_VALUE"""),-0.7345703537433792)</f>
        <v>-0.7345703537</v>
      </c>
      <c r="BE111" s="4"/>
      <c r="BF111" s="4"/>
      <c r="BG111" s="4">
        <f>IFERROR(__xludf.DUMMYFUNCTION("""COMPUTED_VALUE"""),0.5465783842269047)</f>
        <v>0.5465783842</v>
      </c>
      <c r="BH111" s="4"/>
      <c r="BI111" s="4"/>
      <c r="BJ111" s="4"/>
      <c r="BK111" s="4"/>
    </row>
    <row r="112">
      <c r="A112" s="4"/>
      <c r="B112" s="4"/>
      <c r="C112" s="4"/>
      <c r="D112" s="4">
        <f>IFERROR(__xludf.DUMMYFUNCTION("""COMPUTED_VALUE"""),110.19553585750424)</f>
        <v>110.1955359</v>
      </c>
      <c r="E112" s="23">
        <f>IFERROR(__xludf.DUMMYFUNCTION("""COMPUTED_VALUE"""),-4.181044325139055)</f>
        <v>-4.181044325</v>
      </c>
      <c r="F112" s="4"/>
      <c r="G112" s="4"/>
      <c r="H112" s="4">
        <f>IFERROR(__xludf.DUMMYFUNCTION("""COMPUTED_VALUE"""),1.4655880186480772)</f>
        <v>1.465588019</v>
      </c>
      <c r="I112" s="4"/>
      <c r="J112" s="4"/>
      <c r="K112" s="4">
        <f>IFERROR(__xludf.DUMMYFUNCTION("""COMPUTED_VALUE"""),1.7444626030542736)</f>
        <v>1.744462603</v>
      </c>
      <c r="L112" s="4"/>
      <c r="M112" s="4"/>
      <c r="N112" s="4">
        <f>IFERROR(__xludf.DUMMYFUNCTION("""COMPUTED_VALUE"""),-11.890663676572899)</f>
        <v>-11.89066368</v>
      </c>
      <c r="O112" s="4"/>
      <c r="P112" s="4"/>
      <c r="Q112" s="4">
        <f>IFERROR(__xludf.DUMMYFUNCTION("""COMPUTED_VALUE"""),3.2201519510600747)</f>
        <v>3.220151951</v>
      </c>
      <c r="R112" s="4"/>
      <c r="S112" s="4"/>
      <c r="T112" s="4">
        <f>IFERROR(__xludf.DUMMYFUNCTION("""COMPUTED_VALUE"""),-0.29103857585306514)</f>
        <v>-0.2910385759</v>
      </c>
      <c r="U112" s="4"/>
      <c r="V112" s="4"/>
      <c r="W112" s="4">
        <f>IFERROR(__xludf.DUMMYFUNCTION("""COMPUTED_VALUE"""),0.3934948014484121)</f>
        <v>0.3934948014</v>
      </c>
      <c r="X112" s="4"/>
      <c r="Y112" s="4"/>
      <c r="Z112" s="4">
        <f>IFERROR(__xludf.DUMMYFUNCTION("""COMPUTED_VALUE"""),-3.695765020163549)</f>
        <v>-3.69576502</v>
      </c>
      <c r="AA112" s="4"/>
      <c r="AB112" s="4"/>
      <c r="AC112" s="4">
        <f>IFERROR(__xludf.DUMMYFUNCTION("""COMPUTED_VALUE"""),-1.3505855371813027)</f>
        <v>-1.350585537</v>
      </c>
      <c r="AD112" s="4"/>
      <c r="AE112" s="4"/>
      <c r="AF112" s="4">
        <f>IFERROR(__xludf.DUMMYFUNCTION("""COMPUTED_VALUE"""),1.0141506464065628)</f>
        <v>1.014150646</v>
      </c>
      <c r="AG112" s="4"/>
      <c r="AH112" s="4"/>
      <c r="AI112" s="4">
        <f>IFERROR(__xludf.DUMMYFUNCTION("""COMPUTED_VALUE"""),3.709180436721738)</f>
        <v>3.709180437</v>
      </c>
      <c r="AJ112" s="4"/>
      <c r="AK112" s="4"/>
      <c r="AL112" s="4">
        <f>IFERROR(__xludf.DUMMYFUNCTION("""COMPUTED_VALUE"""),-0.9167364947367673)</f>
        <v>-0.9167364947</v>
      </c>
      <c r="AM112" s="4"/>
      <c r="AN112" s="4"/>
      <c r="AO112" s="4">
        <f>IFERROR(__xludf.DUMMYFUNCTION("""COMPUTED_VALUE"""),-0.9796141623918402)</f>
        <v>-0.9796141624</v>
      </c>
      <c r="AP112" s="4"/>
      <c r="AQ112" s="4"/>
      <c r="AR112" s="4">
        <f>IFERROR(__xludf.DUMMYFUNCTION("""COMPUTED_VALUE"""),3.8449169989224856)</f>
        <v>3.844916999</v>
      </c>
      <c r="AS112" s="4"/>
      <c r="AT112" s="4"/>
      <c r="AU112" s="4">
        <f>IFERROR(__xludf.DUMMYFUNCTION("""COMPUTED_VALUE"""),10.10685175524776)</f>
        <v>10.10685176</v>
      </c>
      <c r="AV112" s="4"/>
      <c r="AW112" s="4"/>
      <c r="AX112" s="4">
        <f>IFERROR(__xludf.DUMMYFUNCTION("""COMPUTED_VALUE"""),7.111403422527758)</f>
        <v>7.111403423</v>
      </c>
      <c r="AY112" s="4"/>
      <c r="AZ112" s="4"/>
      <c r="BA112" s="4">
        <f>IFERROR(__xludf.DUMMYFUNCTION("""COMPUTED_VALUE"""),0.3682504077052613)</f>
        <v>0.3682504077</v>
      </c>
      <c r="BB112" s="4"/>
      <c r="BC112" s="4"/>
      <c r="BD112" s="4">
        <f>IFERROR(__xludf.DUMMYFUNCTION("""COMPUTED_VALUE"""),4.218878424612342)</f>
        <v>4.218878425</v>
      </c>
      <c r="BE112" s="4"/>
      <c r="BF112" s="4"/>
      <c r="BG112" s="4">
        <f>IFERROR(__xludf.DUMMYFUNCTION("""COMPUTED_VALUE"""),0.7868031890423595)</f>
        <v>0.786803189</v>
      </c>
      <c r="BH112" s="4"/>
      <c r="BI112" s="4"/>
      <c r="BJ112" s="4"/>
      <c r="BK112" s="4"/>
    </row>
    <row r="113">
      <c r="A113" s="4"/>
      <c r="B113" s="4"/>
      <c r="C113" s="4"/>
      <c r="D113" s="4">
        <f>IFERROR(__xludf.DUMMYFUNCTION("""COMPUTED_VALUE"""),109.27723972470415)</f>
        <v>109.2772397</v>
      </c>
      <c r="E113" s="23">
        <f>IFERROR(__xludf.DUMMYFUNCTION("""COMPUTED_VALUE"""),1.1310475660100678)</f>
        <v>1.131047566</v>
      </c>
      <c r="F113" s="4"/>
      <c r="G113" s="4"/>
      <c r="H113" s="4">
        <f>IFERROR(__xludf.DUMMYFUNCTION("""COMPUTED_VALUE"""),-1.5897469472087096)</f>
        <v>-1.589746947</v>
      </c>
      <c r="I113" s="4"/>
      <c r="J113" s="4"/>
      <c r="K113" s="4">
        <f>IFERROR(__xludf.DUMMYFUNCTION("""COMPUTED_VALUE"""),-3.909479284585643)</f>
        <v>-3.909479285</v>
      </c>
      <c r="L113" s="4"/>
      <c r="M113" s="4"/>
      <c r="N113" s="4">
        <f>IFERROR(__xludf.DUMMYFUNCTION("""COMPUTED_VALUE"""),-6.654023099530605)</f>
        <v>-6.6540231</v>
      </c>
      <c r="O113" s="4"/>
      <c r="P113" s="4"/>
      <c r="Q113" s="4">
        <f>IFERROR(__xludf.DUMMYFUNCTION("""COMPUTED_VALUE"""),-5.0518408765165645)</f>
        <v>-5.051840877</v>
      </c>
      <c r="R113" s="4"/>
      <c r="S113" s="4"/>
      <c r="T113" s="4">
        <f>IFERROR(__xludf.DUMMYFUNCTION("""COMPUTED_VALUE"""),-6.206733362943112)</f>
        <v>-6.206733363</v>
      </c>
      <c r="U113" s="4"/>
      <c r="V113" s="4"/>
      <c r="W113" s="4">
        <f>IFERROR(__xludf.DUMMYFUNCTION("""COMPUTED_VALUE"""),0.20963222122026082)</f>
        <v>0.2096322212</v>
      </c>
      <c r="X113" s="4"/>
      <c r="Y113" s="4"/>
      <c r="Z113" s="4">
        <f>IFERROR(__xludf.DUMMYFUNCTION("""COMPUTED_VALUE"""),3.6206842065117257)</f>
        <v>3.620684207</v>
      </c>
      <c r="AA113" s="4"/>
      <c r="AB113" s="4"/>
      <c r="AC113" s="4">
        <f>IFERROR(__xludf.DUMMYFUNCTION("""COMPUTED_VALUE"""),5.052284606034334)</f>
        <v>5.052284606</v>
      </c>
      <c r="AD113" s="4"/>
      <c r="AE113" s="4"/>
      <c r="AF113" s="4">
        <f>IFERROR(__xludf.DUMMYFUNCTION("""COMPUTED_VALUE"""),4.459497672011537)</f>
        <v>4.459497672</v>
      </c>
      <c r="AG113" s="4"/>
      <c r="AH113" s="4"/>
      <c r="AI113" s="4">
        <f>IFERROR(__xludf.DUMMYFUNCTION("""COMPUTED_VALUE"""),-1.4177167248977867)</f>
        <v>-1.417716725</v>
      </c>
      <c r="AJ113" s="4"/>
      <c r="AK113" s="4"/>
      <c r="AL113" s="4">
        <f>IFERROR(__xludf.DUMMYFUNCTION("""COMPUTED_VALUE"""),-4.509054293916904)</f>
        <v>-4.509054294</v>
      </c>
      <c r="AM113" s="4"/>
      <c r="AN113" s="4"/>
      <c r="AO113" s="4">
        <f>IFERROR(__xludf.DUMMYFUNCTION("""COMPUTED_VALUE"""),0.8778959761941678)</f>
        <v>0.8778959762</v>
      </c>
      <c r="AP113" s="4"/>
      <c r="AQ113" s="4"/>
      <c r="AR113" s="4">
        <f>IFERROR(__xludf.DUMMYFUNCTION("""COMPUTED_VALUE"""),0.7041384160953612)</f>
        <v>0.7041384161</v>
      </c>
      <c r="AS113" s="4"/>
      <c r="AT113" s="4"/>
      <c r="AU113" s="4">
        <f>IFERROR(__xludf.DUMMYFUNCTION("""COMPUTED_VALUE"""),9.16842544445683)</f>
        <v>9.168425444</v>
      </c>
      <c r="AV113" s="4"/>
      <c r="AW113" s="4"/>
      <c r="AX113" s="4">
        <f>IFERROR(__xludf.DUMMYFUNCTION("""COMPUTED_VALUE"""),-1.455700155449847)</f>
        <v>-1.455700155</v>
      </c>
      <c r="AY113" s="4"/>
      <c r="AZ113" s="4"/>
      <c r="BA113" s="4">
        <f>IFERROR(__xludf.DUMMYFUNCTION("""COMPUTED_VALUE"""),-6.1183690017143135)</f>
        <v>-6.118369002</v>
      </c>
      <c r="BB113" s="4"/>
      <c r="BC113" s="4"/>
      <c r="BD113" s="4">
        <f>IFERROR(__xludf.DUMMYFUNCTION("""COMPUTED_VALUE"""),0.344513473057134)</f>
        <v>0.3445134731</v>
      </c>
      <c r="BE113" s="4"/>
      <c r="BF113" s="4"/>
      <c r="BG113" s="4">
        <f>IFERROR(__xludf.DUMMYFUNCTION("""COMPUTED_VALUE"""),-2.220937197780529)</f>
        <v>-2.220937198</v>
      </c>
      <c r="BH113" s="4"/>
      <c r="BI113" s="4"/>
      <c r="BJ113" s="4"/>
      <c r="BK113" s="4"/>
    </row>
    <row r="114">
      <c r="A114" s="4"/>
      <c r="B114" s="4"/>
      <c r="C114" s="4"/>
      <c r="D114" s="4">
        <f>IFERROR(__xludf.DUMMYFUNCTION("""COMPUTED_VALUE"""),108.3589435940694)</f>
        <v>108.3589436</v>
      </c>
      <c r="E114" s="23">
        <f>IFERROR(__xludf.DUMMYFUNCTION("""COMPUTED_VALUE"""),-8.516602863406263)</f>
        <v>-8.516602863</v>
      </c>
      <c r="F114" s="4"/>
      <c r="G114" s="4"/>
      <c r="H114" s="4">
        <f>IFERROR(__xludf.DUMMYFUNCTION("""COMPUTED_VALUE"""),1.3486969158096258)</f>
        <v>1.348696916</v>
      </c>
      <c r="I114" s="4"/>
      <c r="J114" s="4"/>
      <c r="K114" s="4">
        <f>IFERROR(__xludf.DUMMYFUNCTION("""COMPUTED_VALUE"""),-3.69893232352581)</f>
        <v>-3.698932324</v>
      </c>
      <c r="L114" s="4"/>
      <c r="M114" s="4"/>
      <c r="N114" s="4">
        <f>IFERROR(__xludf.DUMMYFUNCTION("""COMPUTED_VALUE"""),-4.549797705699689)</f>
        <v>-4.549797706</v>
      </c>
      <c r="O114" s="4"/>
      <c r="P114" s="4"/>
      <c r="Q114" s="4">
        <f>IFERROR(__xludf.DUMMYFUNCTION("""COMPUTED_VALUE"""),-0.8522008740266074)</f>
        <v>-0.852200874</v>
      </c>
      <c r="R114" s="4"/>
      <c r="S114" s="4"/>
      <c r="T114" s="4">
        <f>IFERROR(__xludf.DUMMYFUNCTION("""COMPUTED_VALUE"""),-6.156888916324078)</f>
        <v>-6.156888916</v>
      </c>
      <c r="U114" s="4"/>
      <c r="V114" s="4"/>
      <c r="W114" s="4">
        <f>IFERROR(__xludf.DUMMYFUNCTION("""COMPUTED_VALUE"""),-2.81099579888064)</f>
        <v>-2.810995799</v>
      </c>
      <c r="X114" s="4"/>
      <c r="Y114" s="4"/>
      <c r="Z114" s="4">
        <f>IFERROR(__xludf.DUMMYFUNCTION("""COMPUTED_VALUE"""),-3.0677031655014844)</f>
        <v>-3.067703166</v>
      </c>
      <c r="AA114" s="4"/>
      <c r="AB114" s="4"/>
      <c r="AC114" s="4">
        <f>IFERROR(__xludf.DUMMYFUNCTION("""COMPUTED_VALUE"""),6.393571537595051)</f>
        <v>6.393571538</v>
      </c>
      <c r="AD114" s="4"/>
      <c r="AE114" s="4"/>
      <c r="AF114" s="4">
        <f>IFERROR(__xludf.DUMMYFUNCTION("""COMPUTED_VALUE"""),1.4668675459035398)</f>
        <v>1.466867546</v>
      </c>
      <c r="AG114" s="4"/>
      <c r="AH114" s="4"/>
      <c r="AI114" s="4">
        <f>IFERROR(__xludf.DUMMYFUNCTION("""COMPUTED_VALUE"""),-1.0061687787546134)</f>
        <v>-1.006168779</v>
      </c>
      <c r="AJ114" s="4"/>
      <c r="AK114" s="4"/>
      <c r="AL114" s="4">
        <f>IFERROR(__xludf.DUMMYFUNCTION("""COMPUTED_VALUE"""),4.870077255978288)</f>
        <v>4.870077256</v>
      </c>
      <c r="AM114" s="4"/>
      <c r="AN114" s="4"/>
      <c r="AO114" s="4">
        <f>IFERROR(__xludf.DUMMYFUNCTION("""COMPUTED_VALUE"""),-0.15529240552609735)</f>
        <v>-0.1552924055</v>
      </c>
      <c r="AP114" s="4"/>
      <c r="AQ114" s="4"/>
      <c r="AR114" s="4">
        <f>IFERROR(__xludf.DUMMYFUNCTION("""COMPUTED_VALUE"""),0.5270423267169804)</f>
        <v>0.5270423267</v>
      </c>
      <c r="AS114" s="4"/>
      <c r="AT114" s="4"/>
      <c r="AU114" s="4">
        <f>IFERROR(__xludf.DUMMYFUNCTION("""COMPUTED_VALUE"""),5.316192993377172)</f>
        <v>5.316192993</v>
      </c>
      <c r="AV114" s="4"/>
      <c r="AW114" s="4"/>
      <c r="AX114" s="4">
        <f>IFERROR(__xludf.DUMMYFUNCTION("""COMPUTED_VALUE"""),7.327885331818095)</f>
        <v>7.327885332</v>
      </c>
      <c r="AY114" s="4"/>
      <c r="AZ114" s="4"/>
      <c r="BA114" s="4">
        <f>IFERROR(__xludf.DUMMYFUNCTION("""COMPUTED_VALUE"""),0.9148559234171216)</f>
        <v>0.9148559234</v>
      </c>
      <c r="BB114" s="4"/>
      <c r="BC114" s="4"/>
      <c r="BD114" s="4">
        <f>IFERROR(__xludf.DUMMYFUNCTION("""COMPUTED_VALUE"""),0.6420788135733346)</f>
        <v>0.6420788136</v>
      </c>
      <c r="BE114" s="4"/>
      <c r="BF114" s="4"/>
      <c r="BG114" s="4">
        <f>IFERROR(__xludf.DUMMYFUNCTION("""COMPUTED_VALUE"""),-6.290925136917451)</f>
        <v>-6.290925137</v>
      </c>
      <c r="BH114" s="4"/>
      <c r="BI114" s="4"/>
      <c r="BJ114" s="4"/>
      <c r="BK114" s="4"/>
    </row>
    <row r="115">
      <c r="A115" s="4"/>
      <c r="B115" s="4"/>
      <c r="C115" s="4"/>
      <c r="D115" s="4">
        <f>IFERROR(__xludf.DUMMYFUNCTION("""COMPUTED_VALUE"""),107.44064746126931)</f>
        <v>107.4406475</v>
      </c>
      <c r="E115" s="23">
        <f>IFERROR(__xludf.DUMMYFUNCTION("""COMPUTED_VALUE"""),-3.48819392748959)</f>
        <v>-3.488193927</v>
      </c>
      <c r="F115" s="4"/>
      <c r="G115" s="4"/>
      <c r="H115" s="4">
        <f>IFERROR(__xludf.DUMMYFUNCTION("""COMPUTED_VALUE"""),1.3160694646057323)</f>
        <v>1.316069465</v>
      </c>
      <c r="I115" s="4"/>
      <c r="J115" s="4"/>
      <c r="K115" s="4">
        <f>IFERROR(__xludf.DUMMYFUNCTION("""COMPUTED_VALUE"""),-1.0238692660780657)</f>
        <v>-1.023869266</v>
      </c>
      <c r="L115" s="4"/>
      <c r="M115" s="4"/>
      <c r="N115" s="4">
        <f>IFERROR(__xludf.DUMMYFUNCTION("""COMPUTED_VALUE"""),-6.7267181275826715)</f>
        <v>-6.726718128</v>
      </c>
      <c r="O115" s="4"/>
      <c r="P115" s="4"/>
      <c r="Q115" s="4">
        <f>IFERROR(__xludf.DUMMYFUNCTION("""COMPUTED_VALUE"""),0.9430878925535353)</f>
        <v>0.9430878926</v>
      </c>
      <c r="R115" s="4"/>
      <c r="S115" s="4"/>
      <c r="T115" s="4">
        <f>IFERROR(__xludf.DUMMYFUNCTION("""COMPUTED_VALUE"""),-3.146288724205533)</f>
        <v>-3.146288724</v>
      </c>
      <c r="U115" s="4"/>
      <c r="V115" s="4"/>
      <c r="W115" s="4">
        <f>IFERROR(__xludf.DUMMYFUNCTION("""COMPUTED_VALUE"""),-4.502416825963792)</f>
        <v>-4.502416826</v>
      </c>
      <c r="X115" s="4"/>
      <c r="Y115" s="4"/>
      <c r="Z115" s="4">
        <f>IFERROR(__xludf.DUMMYFUNCTION("""COMPUTED_VALUE"""),7.072433907847426)</f>
        <v>7.072433908</v>
      </c>
      <c r="AA115" s="4"/>
      <c r="AB115" s="4"/>
      <c r="AC115" s="4">
        <f>IFERROR(__xludf.DUMMYFUNCTION("""COMPUTED_VALUE"""),6.947963018713608)</f>
        <v>6.947963019</v>
      </c>
      <c r="AD115" s="4"/>
      <c r="AE115" s="4"/>
      <c r="AF115" s="4">
        <f>IFERROR(__xludf.DUMMYFUNCTION("""COMPUTED_VALUE"""),1.4321923080139527)</f>
        <v>1.432192308</v>
      </c>
      <c r="AG115" s="4"/>
      <c r="AH115" s="4"/>
      <c r="AI115" s="4">
        <f>IFERROR(__xludf.DUMMYFUNCTION("""COMPUTED_VALUE"""),-0.6251237004246377)</f>
        <v>-0.6251237004</v>
      </c>
      <c r="AJ115" s="4"/>
      <c r="AK115" s="4"/>
      <c r="AL115" s="4">
        <f>IFERROR(__xludf.DUMMYFUNCTION("""COMPUTED_VALUE"""),6.136513839051588)</f>
        <v>6.136513839</v>
      </c>
      <c r="AM115" s="4"/>
      <c r="AN115" s="4"/>
      <c r="AO115" s="4">
        <f>IFERROR(__xludf.DUMMYFUNCTION("""COMPUTED_VALUE"""),2.1231667156640697)</f>
        <v>2.123166716</v>
      </c>
      <c r="AP115" s="4"/>
      <c r="AQ115" s="4"/>
      <c r="AR115" s="4">
        <f>IFERROR(__xludf.DUMMYFUNCTION("""COMPUTED_VALUE"""),3.139098513295096)</f>
        <v>3.139098513</v>
      </c>
      <c r="AS115" s="4"/>
      <c r="AT115" s="4"/>
      <c r="AU115" s="4">
        <f>IFERROR(__xludf.DUMMYFUNCTION("""COMPUTED_VALUE"""),3.64695480499131)</f>
        <v>3.646954805</v>
      </c>
      <c r="AV115" s="4"/>
      <c r="AW115" s="4"/>
      <c r="AX115" s="4">
        <f>IFERROR(__xludf.DUMMYFUNCTION("""COMPUTED_VALUE"""),2.9588225790168394)</f>
        <v>2.958822579</v>
      </c>
      <c r="AY115" s="4"/>
      <c r="AZ115" s="4"/>
      <c r="BA115" s="4">
        <f>IFERROR(__xludf.DUMMYFUNCTION("""COMPUTED_VALUE"""),-2.240955161146587)</f>
        <v>-2.240955161</v>
      </c>
      <c r="BB115" s="4"/>
      <c r="BC115" s="4"/>
      <c r="BD115" s="4">
        <f>IFERROR(__xludf.DUMMYFUNCTION("""COMPUTED_VALUE"""),4.142457769942894)</f>
        <v>4.14245777</v>
      </c>
      <c r="BE115" s="4"/>
      <c r="BF115" s="4"/>
      <c r="BG115" s="4">
        <f>IFERROR(__xludf.DUMMYFUNCTION("""COMPUTED_VALUE"""),-5.4297198605070776)</f>
        <v>-5.429719861</v>
      </c>
      <c r="BH115" s="4"/>
      <c r="BI115" s="4"/>
      <c r="BJ115" s="4"/>
      <c r="BK115" s="4"/>
    </row>
    <row r="116">
      <c r="A116" s="4"/>
      <c r="B116" s="4"/>
      <c r="C116" s="4"/>
      <c r="D116" s="4">
        <f>IFERROR(__xludf.DUMMYFUNCTION("""COMPUTED_VALUE"""),106.5223513285196)</f>
        <v>106.5223513</v>
      </c>
      <c r="E116" s="23">
        <f>IFERROR(__xludf.DUMMYFUNCTION("""COMPUTED_VALUE"""),-1.452407194271018)</f>
        <v>-1.452407194</v>
      </c>
      <c r="F116" s="4"/>
      <c r="G116" s="4"/>
      <c r="H116" s="4">
        <f>IFERROR(__xludf.DUMMYFUNCTION("""COMPUTED_VALUE"""),4.025863281439342)</f>
        <v>4.025863281</v>
      </c>
      <c r="I116" s="4"/>
      <c r="J116" s="4"/>
      <c r="K116" s="4">
        <f>IFERROR(__xludf.DUMMYFUNCTION("""COMPUTED_VALUE"""),2.3869639656639947)</f>
        <v>2.386963966</v>
      </c>
      <c r="L116" s="4"/>
      <c r="M116" s="4"/>
      <c r="N116" s="4">
        <f>IFERROR(__xludf.DUMMYFUNCTION("""COMPUTED_VALUE"""),-3.250650727747768)</f>
        <v>-3.250650728</v>
      </c>
      <c r="O116" s="4"/>
      <c r="P116" s="4"/>
      <c r="Q116" s="4">
        <f>IFERROR(__xludf.DUMMYFUNCTION("""COMPUTED_VALUE"""),-5.4832601533052525)</f>
        <v>-5.483260153</v>
      </c>
      <c r="R116" s="4"/>
      <c r="S116" s="4"/>
      <c r="T116" s="4">
        <f>IFERROR(__xludf.DUMMYFUNCTION("""COMPUTED_VALUE"""),-0.6675259426853017)</f>
        <v>-0.6675259427</v>
      </c>
      <c r="U116" s="4"/>
      <c r="V116" s="4"/>
      <c r="W116" s="4">
        <f>IFERROR(__xludf.DUMMYFUNCTION("""COMPUTED_VALUE"""),-3.810433699777434)</f>
        <v>-3.8104337</v>
      </c>
      <c r="X116" s="4"/>
      <c r="Y116" s="4"/>
      <c r="Z116" s="4">
        <f>IFERROR(__xludf.DUMMYFUNCTION("""COMPUTED_VALUE"""),-3.647247993221697)</f>
        <v>-3.647247993</v>
      </c>
      <c r="AA116" s="4"/>
      <c r="AB116" s="4"/>
      <c r="AC116" s="4">
        <f>IFERROR(__xludf.DUMMYFUNCTION("""COMPUTED_VALUE"""),1.5458509951750443)</f>
        <v>1.545850995</v>
      </c>
      <c r="AD116" s="4"/>
      <c r="AE116" s="4"/>
      <c r="AF116" s="4">
        <f>IFERROR(__xludf.DUMMYFUNCTION("""COMPUTED_VALUE"""),-6.104696311572297)</f>
        <v>-6.104696312</v>
      </c>
      <c r="AG116" s="4"/>
      <c r="AH116" s="4"/>
      <c r="AI116" s="4">
        <f>IFERROR(__xludf.DUMMYFUNCTION("""COMPUTED_VALUE"""),0.9460966715139421)</f>
        <v>0.9460966715</v>
      </c>
      <c r="AJ116" s="4"/>
      <c r="AK116" s="4"/>
      <c r="AL116" s="4">
        <f>IFERROR(__xludf.DUMMYFUNCTION("""COMPUTED_VALUE"""),0.8158439636163735)</f>
        <v>0.8158439636</v>
      </c>
      <c r="AM116" s="4"/>
      <c r="AN116" s="4"/>
      <c r="AO116" s="4">
        <f>IFERROR(__xludf.DUMMYFUNCTION("""COMPUTED_VALUE"""),5.262140395158667)</f>
        <v>5.262140395</v>
      </c>
      <c r="AP116" s="4"/>
      <c r="AQ116" s="4"/>
      <c r="AR116" s="4">
        <f>IFERROR(__xludf.DUMMYFUNCTION("""COMPUTED_VALUE"""),0.7785998982308797)</f>
        <v>0.7785998982</v>
      </c>
      <c r="AS116" s="4"/>
      <c r="AT116" s="4"/>
      <c r="AU116" s="4">
        <f>IFERROR(__xludf.DUMMYFUNCTION("""COMPUTED_VALUE"""),4.6519937428514595)</f>
        <v>4.651993743</v>
      </c>
      <c r="AV116" s="4"/>
      <c r="AW116" s="4"/>
      <c r="AX116" s="4">
        <f>IFERROR(__xludf.DUMMYFUNCTION("""COMPUTED_VALUE"""),-1.0384794063111826)</f>
        <v>-1.038479406</v>
      </c>
      <c r="AY116" s="4"/>
      <c r="AZ116" s="4"/>
      <c r="BA116" s="4">
        <f>IFERROR(__xludf.DUMMYFUNCTION("""COMPUTED_VALUE"""),-0.25451076133111883)</f>
        <v>-0.2545107613</v>
      </c>
      <c r="BB116" s="4"/>
      <c r="BC116" s="4"/>
      <c r="BD116" s="4">
        <f>IFERROR(__xludf.DUMMYFUNCTION("""COMPUTED_VALUE"""),-3.043278637635524)</f>
        <v>-3.043278638</v>
      </c>
      <c r="BE116" s="4"/>
      <c r="BF116" s="4"/>
      <c r="BG116" s="4">
        <f>IFERROR(__xludf.DUMMYFUNCTION("""COMPUTED_VALUE"""),-3.7624701755581214)</f>
        <v>-3.762470176</v>
      </c>
      <c r="BH116" s="4"/>
      <c r="BI116" s="4"/>
      <c r="BJ116" s="4"/>
      <c r="BK116" s="4"/>
    </row>
    <row r="117">
      <c r="A117" s="4"/>
      <c r="B117" s="4"/>
      <c r="C117" s="4"/>
      <c r="D117" s="4">
        <f>IFERROR(__xludf.DUMMYFUNCTION("""COMPUTED_VALUE"""),105.60405519571952)</f>
        <v>105.6040552</v>
      </c>
      <c r="E117" s="23">
        <f>IFERROR(__xludf.DUMMYFUNCTION("""COMPUTED_VALUE"""),-3.016351721384126)</f>
        <v>-3.016351721</v>
      </c>
      <c r="F117" s="4"/>
      <c r="G117" s="4"/>
      <c r="H117" s="4">
        <f>IFERROR(__xludf.DUMMYFUNCTION("""COMPUTED_VALUE"""),-4.11233714350459)</f>
        <v>-4.112337144</v>
      </c>
      <c r="I117" s="4"/>
      <c r="J117" s="4"/>
      <c r="K117" s="4">
        <f>IFERROR(__xludf.DUMMYFUNCTION("""COMPUTED_VALUE"""),-6.3740772713214255)</f>
        <v>-6.374077271</v>
      </c>
      <c r="L117" s="4"/>
      <c r="M117" s="4"/>
      <c r="N117" s="4">
        <f>IFERROR(__xludf.DUMMYFUNCTION("""COMPUTED_VALUE"""),-4.592722730886351)</f>
        <v>-4.592722731</v>
      </c>
      <c r="O117" s="4"/>
      <c r="P117" s="4"/>
      <c r="Q117" s="4">
        <f>IFERROR(__xludf.DUMMYFUNCTION("""COMPUTED_VALUE"""),-1.8728961448851464)</f>
        <v>-1.872896145</v>
      </c>
      <c r="R117" s="4"/>
      <c r="S117" s="4"/>
      <c r="T117" s="4">
        <f>IFERROR(__xludf.DUMMYFUNCTION("""COMPUTED_VALUE"""),-1.5296242311336528)</f>
        <v>-1.529624231</v>
      </c>
      <c r="U117" s="4"/>
      <c r="V117" s="4"/>
      <c r="W117" s="4">
        <f>IFERROR(__xludf.DUMMYFUNCTION("""COMPUTED_VALUE"""),-5.630289936175018)</f>
        <v>-5.630289936</v>
      </c>
      <c r="X117" s="4"/>
      <c r="Y117" s="4"/>
      <c r="Z117" s="4">
        <f>IFERROR(__xludf.DUMMYFUNCTION("""COMPUTED_VALUE"""),-0.8991848999442027)</f>
        <v>-0.8991848999</v>
      </c>
      <c r="AA117" s="4"/>
      <c r="AB117" s="4"/>
      <c r="AC117" s="4">
        <f>IFERROR(__xludf.DUMMYFUNCTION("""COMPUTED_VALUE"""),2.8414084407118594)</f>
        <v>2.841408441</v>
      </c>
      <c r="AD117" s="4"/>
      <c r="AE117" s="4"/>
      <c r="AF117" s="4">
        <f>IFERROR(__xludf.DUMMYFUNCTION("""COMPUTED_VALUE"""),-1.8742162161984197)</f>
        <v>-1.874216216</v>
      </c>
      <c r="AG117" s="4"/>
      <c r="AH117" s="4"/>
      <c r="AI117" s="4">
        <f>IFERROR(__xludf.DUMMYFUNCTION("""COMPUTED_VALUE"""),1.4410275704381093)</f>
        <v>1.44102757</v>
      </c>
      <c r="AJ117" s="4"/>
      <c r="AK117" s="4"/>
      <c r="AL117" s="4">
        <f>IFERROR(__xludf.DUMMYFUNCTION("""COMPUTED_VALUE"""),1.3403109031361282)</f>
        <v>1.340310903</v>
      </c>
      <c r="AM117" s="4"/>
      <c r="AN117" s="4"/>
      <c r="AO117" s="4">
        <f>IFERROR(__xludf.DUMMYFUNCTION("""COMPUTED_VALUE"""),4.152675946121974)</f>
        <v>4.152675946</v>
      </c>
      <c r="AP117" s="4"/>
      <c r="AQ117" s="4"/>
      <c r="AR117" s="4">
        <f>IFERROR(__xludf.DUMMYFUNCTION("""COMPUTED_VALUE"""),-0.20309662088476443)</f>
        <v>-0.2030966209</v>
      </c>
      <c r="AS117" s="4"/>
      <c r="AT117" s="4"/>
      <c r="AU117" s="4">
        <f>IFERROR(__xludf.DUMMYFUNCTION("""COMPUTED_VALUE"""),-0.2582220533727764)</f>
        <v>-0.2582220534</v>
      </c>
      <c r="AV117" s="4"/>
      <c r="AW117" s="4"/>
      <c r="AX117" s="4">
        <f>IFERROR(__xludf.DUMMYFUNCTION("""COMPUTED_VALUE"""),-0.7155218279075939)</f>
        <v>-0.7155218279</v>
      </c>
      <c r="AY117" s="4"/>
      <c r="AZ117" s="4"/>
      <c r="BA117" s="4">
        <f>IFERROR(__xludf.DUMMYFUNCTION("""COMPUTED_VALUE"""),-1.995796112530229)</f>
        <v>-1.995796113</v>
      </c>
      <c r="BB117" s="4"/>
      <c r="BC117" s="4"/>
      <c r="BD117" s="4">
        <f>IFERROR(__xludf.DUMMYFUNCTION("""COMPUTED_VALUE"""),0.0532566687473377)</f>
        <v>0.05325666875</v>
      </c>
      <c r="BE117" s="4"/>
      <c r="BF117" s="4"/>
      <c r="BG117" s="4">
        <f>IFERROR(__xludf.DUMMYFUNCTION("""COMPUTED_VALUE"""),-0.7392198205396312)</f>
        <v>-0.7392198205</v>
      </c>
      <c r="BH117" s="4"/>
      <c r="BI117" s="4"/>
      <c r="BJ117" s="4"/>
      <c r="BK117" s="4"/>
    </row>
    <row r="118">
      <c r="A118" s="4"/>
      <c r="B118" s="4"/>
      <c r="C118" s="4"/>
      <c r="D118" s="4">
        <f>IFERROR(__xludf.DUMMYFUNCTION("""COMPUTED_VALUE"""),104.68575906503439)</f>
        <v>104.6857591</v>
      </c>
      <c r="E118" s="23">
        <f>IFERROR(__xludf.DUMMYFUNCTION("""COMPUTED_VALUE"""),-2.719282159679949)</f>
        <v>-2.71928216</v>
      </c>
      <c r="F118" s="4"/>
      <c r="G118" s="4"/>
      <c r="H118" s="4">
        <f>IFERROR(__xludf.DUMMYFUNCTION("""COMPUTED_VALUE"""),-0.3937930349279668)</f>
        <v>-0.3937930349</v>
      </c>
      <c r="I118" s="4"/>
      <c r="J118" s="4"/>
      <c r="K118" s="4">
        <f>IFERROR(__xludf.DUMMYFUNCTION("""COMPUTED_VALUE"""),-2.4144563426039554)</f>
        <v>-2.414456343</v>
      </c>
      <c r="L118" s="4"/>
      <c r="M118" s="4"/>
      <c r="N118" s="4">
        <f>IFERROR(__xludf.DUMMYFUNCTION("""COMPUTED_VALUE"""),-4.662969278835135)</f>
        <v>-4.662969279</v>
      </c>
      <c r="O118" s="4"/>
      <c r="P118" s="4"/>
      <c r="Q118" s="4">
        <f>IFERROR(__xludf.DUMMYFUNCTION("""COMPUTED_VALUE"""),-2.4748244857725012)</f>
        <v>-2.474824486</v>
      </c>
      <c r="R118" s="4"/>
      <c r="S118" s="4"/>
      <c r="T118" s="4">
        <f>IFERROR(__xludf.DUMMYFUNCTION("""COMPUTED_VALUE"""),-5.931970353634938)</f>
        <v>-5.931970354</v>
      </c>
      <c r="U118" s="4"/>
      <c r="V118" s="4"/>
      <c r="W118" s="4">
        <f>IFERROR(__xludf.DUMMYFUNCTION("""COMPUTED_VALUE"""),-11.275946284654196)</f>
        <v>-11.27594628</v>
      </c>
      <c r="X118" s="4"/>
      <c r="Y118" s="4"/>
      <c r="Z118" s="4">
        <f>IFERROR(__xludf.DUMMYFUNCTION("""COMPUTED_VALUE"""),-3.3696274754715887)</f>
        <v>-3.369627475</v>
      </c>
      <c r="AA118" s="4"/>
      <c r="AB118" s="4"/>
      <c r="AC118" s="4">
        <f>IFERROR(__xludf.DUMMYFUNCTION("""COMPUTED_VALUE"""),0.10966038345071638)</f>
        <v>0.1096603835</v>
      </c>
      <c r="AD118" s="4"/>
      <c r="AE118" s="4"/>
      <c r="AF118" s="4">
        <f>IFERROR(__xludf.DUMMYFUNCTION("""COMPUTED_VALUE"""),-1.3702992749813347)</f>
        <v>-1.370299275</v>
      </c>
      <c r="AG118" s="4"/>
      <c r="AH118" s="4"/>
      <c r="AI118" s="4">
        <f>IFERROR(__xludf.DUMMYFUNCTION("""COMPUTED_VALUE"""),7.031040850494833)</f>
        <v>7.03104085</v>
      </c>
      <c r="AJ118" s="4"/>
      <c r="AK118" s="4"/>
      <c r="AL118" s="4">
        <f>IFERROR(__xludf.DUMMYFUNCTION("""COMPUTED_VALUE"""),0.5337716734367177)</f>
        <v>0.5337716734</v>
      </c>
      <c r="AM118" s="4"/>
      <c r="AN118" s="4"/>
      <c r="AO118" s="4">
        <f>IFERROR(__xludf.DUMMYFUNCTION("""COMPUTED_VALUE"""),0.59481102893767)</f>
        <v>0.5948110289</v>
      </c>
      <c r="AP118" s="4"/>
      <c r="AQ118" s="4"/>
      <c r="AR118" s="4">
        <f>IFERROR(__xludf.DUMMYFUNCTION("""COMPUTED_VALUE"""),-2.381792308848105)</f>
        <v>-2.381792309</v>
      </c>
      <c r="AS118" s="4"/>
      <c r="AT118" s="4"/>
      <c r="AU118" s="4">
        <f>IFERROR(__xludf.DUMMYFUNCTION("""COMPUTED_VALUE"""),6.952611879022186)</f>
        <v>6.952611879</v>
      </c>
      <c r="AV118" s="4"/>
      <c r="AW118" s="4"/>
      <c r="AX118" s="4">
        <f>IFERROR(__xludf.DUMMYFUNCTION("""COMPUTED_VALUE"""),7.296732438734637)</f>
        <v>7.296732439</v>
      </c>
      <c r="AY118" s="4"/>
      <c r="AZ118" s="4"/>
      <c r="BA118" s="4">
        <f>IFERROR(__xludf.DUMMYFUNCTION("""COMPUTED_VALUE"""),4.107053856203947)</f>
        <v>4.107053856</v>
      </c>
      <c r="BB118" s="4"/>
      <c r="BC118" s="4"/>
      <c r="BD118" s="4">
        <f>IFERROR(__xludf.DUMMYFUNCTION("""COMPUTED_VALUE"""),-2.6735375141575446)</f>
        <v>-2.673537514</v>
      </c>
      <c r="BE118" s="4"/>
      <c r="BF118" s="4"/>
      <c r="BG118" s="4">
        <f>IFERROR(__xludf.DUMMYFUNCTION("""COMPUTED_VALUE"""),-0.06267334815066761)</f>
        <v>-0.06267334815</v>
      </c>
      <c r="BH118" s="4"/>
      <c r="BI118" s="4"/>
      <c r="BJ118" s="4"/>
      <c r="BK118" s="4"/>
    </row>
    <row r="119">
      <c r="A119" s="4"/>
      <c r="B119" s="4"/>
      <c r="C119" s="4"/>
      <c r="D119" s="4">
        <f>IFERROR(__xludf.DUMMYFUNCTION("""COMPUTED_VALUE"""),103.76746293228466)</f>
        <v>103.7674629</v>
      </c>
      <c r="E119" s="23">
        <f>IFERROR(__xludf.DUMMYFUNCTION("""COMPUTED_VALUE"""),-6.401243071306226)</f>
        <v>-6.401243071</v>
      </c>
      <c r="F119" s="4"/>
      <c r="G119" s="4"/>
      <c r="H119" s="4">
        <f>IFERROR(__xludf.DUMMYFUNCTION("""COMPUTED_VALUE"""),0.12197046544798695)</f>
        <v>0.1219704654</v>
      </c>
      <c r="I119" s="4"/>
      <c r="J119" s="4"/>
      <c r="K119" s="4">
        <f>IFERROR(__xludf.DUMMYFUNCTION("""COMPUTED_VALUE"""),-3.6139430675682434)</f>
        <v>-3.613943068</v>
      </c>
      <c r="L119" s="4"/>
      <c r="M119" s="4"/>
      <c r="N119" s="4">
        <f>IFERROR(__xludf.DUMMYFUNCTION("""COMPUTED_VALUE"""),0.2215652505667549)</f>
        <v>0.2215652506</v>
      </c>
      <c r="O119" s="4"/>
      <c r="P119" s="4"/>
      <c r="Q119" s="4">
        <f>IFERROR(__xludf.DUMMYFUNCTION("""COMPUTED_VALUE"""),-4.452527485885582)</f>
        <v>-4.452527486</v>
      </c>
      <c r="R119" s="4"/>
      <c r="S119" s="4"/>
      <c r="T119" s="4">
        <f>IFERROR(__xludf.DUMMYFUNCTION("""COMPUTED_VALUE"""),-6.9428899983462316)</f>
        <v>-6.942889998</v>
      </c>
      <c r="U119" s="4"/>
      <c r="V119" s="4"/>
      <c r="W119" s="4">
        <f>IFERROR(__xludf.DUMMYFUNCTION("""COMPUTED_VALUE"""),-6.520512108861169)</f>
        <v>-6.520512109</v>
      </c>
      <c r="X119" s="4"/>
      <c r="Y119" s="4"/>
      <c r="Z119" s="4">
        <f>IFERROR(__xludf.DUMMYFUNCTION("""COMPUTED_VALUE"""),4.681282093414154)</f>
        <v>4.681282093</v>
      </c>
      <c r="AA119" s="4"/>
      <c r="AB119" s="4"/>
      <c r="AC119" s="4">
        <f>IFERROR(__xludf.DUMMYFUNCTION("""COMPUTED_VALUE"""),5.718069335628286)</f>
        <v>5.718069336</v>
      </c>
      <c r="AD119" s="4"/>
      <c r="AE119" s="4"/>
      <c r="AF119" s="4">
        <f>IFERROR(__xludf.DUMMYFUNCTION("""COMPUTED_VALUE"""),1.2910086200622004)</f>
        <v>1.29100862</v>
      </c>
      <c r="AG119" s="4"/>
      <c r="AH119" s="4"/>
      <c r="AI119" s="4">
        <f>IFERROR(__xludf.DUMMYFUNCTION("""COMPUTED_VALUE"""),-3.2908865280140844)</f>
        <v>-3.290886528</v>
      </c>
      <c r="AJ119" s="4"/>
      <c r="AK119" s="4"/>
      <c r="AL119" s="4">
        <f>IFERROR(__xludf.DUMMYFUNCTION("""COMPUTED_VALUE"""),-3.9314843922778095)</f>
        <v>-3.931484392</v>
      </c>
      <c r="AM119" s="4"/>
      <c r="AN119" s="4"/>
      <c r="AO119" s="4">
        <f>IFERROR(__xludf.DUMMYFUNCTION("""COMPUTED_VALUE"""),1.0129876493957681)</f>
        <v>1.012987649</v>
      </c>
      <c r="AP119" s="4"/>
      <c r="AQ119" s="4"/>
      <c r="AR119" s="4">
        <f>IFERROR(__xludf.DUMMYFUNCTION("""COMPUTED_VALUE"""),-4.0525901448032755)</f>
        <v>-4.052590145</v>
      </c>
      <c r="AS119" s="4"/>
      <c r="AT119" s="4"/>
      <c r="AU119" s="4">
        <f>IFERROR(__xludf.DUMMYFUNCTION("""COMPUTED_VALUE"""),2.3973188267458454)</f>
        <v>2.397318827</v>
      </c>
      <c r="AV119" s="4"/>
      <c r="AW119" s="4"/>
      <c r="AX119" s="4">
        <f>IFERROR(__xludf.DUMMYFUNCTION("""COMPUTED_VALUE"""),7.210428708624363)</f>
        <v>7.210428709</v>
      </c>
      <c r="AY119" s="4"/>
      <c r="AZ119" s="4"/>
      <c r="BA119" s="4">
        <f>IFERROR(__xludf.DUMMYFUNCTION("""COMPUTED_VALUE"""),0.10255430213788941)</f>
        <v>0.1025543021</v>
      </c>
      <c r="BB119" s="4"/>
      <c r="BC119" s="4"/>
      <c r="BD119" s="4">
        <f>IFERROR(__xludf.DUMMYFUNCTION("""COMPUTED_VALUE"""),3.2621250590231057)</f>
        <v>3.262125059</v>
      </c>
      <c r="BE119" s="4"/>
      <c r="BF119" s="4"/>
      <c r="BG119" s="4">
        <f>IFERROR(__xludf.DUMMYFUNCTION("""COMPUTED_VALUE"""),-5.989015299756545)</f>
        <v>-5.9890153</v>
      </c>
      <c r="BH119" s="4"/>
      <c r="BI119" s="4"/>
      <c r="BJ119" s="4"/>
      <c r="BK119" s="4"/>
    </row>
    <row r="120">
      <c r="A120" s="4"/>
      <c r="B120" s="4"/>
      <c r="C120" s="4"/>
      <c r="D120" s="4">
        <f>IFERROR(__xludf.DUMMYFUNCTION("""COMPUTED_VALUE"""),102.84916679948459)</f>
        <v>102.8491668</v>
      </c>
      <c r="E120" s="23">
        <f>IFERROR(__xludf.DUMMYFUNCTION("""COMPUTED_VALUE"""),-3.173391499517777)</f>
        <v>-3.1733915</v>
      </c>
      <c r="F120" s="4"/>
      <c r="G120" s="4"/>
      <c r="H120" s="4">
        <f>IFERROR(__xludf.DUMMYFUNCTION("""COMPUTED_VALUE"""),0.39388383056962084)</f>
        <v>0.3938838306</v>
      </c>
      <c r="I120" s="4"/>
      <c r="J120" s="4"/>
      <c r="K120" s="4">
        <f>IFERROR(__xludf.DUMMYFUNCTION("""COMPUTED_VALUE"""),-1.7541607860997033)</f>
        <v>-1.754160786</v>
      </c>
      <c r="L120" s="4"/>
      <c r="M120" s="4"/>
      <c r="N120" s="4">
        <f>IFERROR(__xludf.DUMMYFUNCTION("""COMPUTED_VALUE"""),-3.6813070506557324)</f>
        <v>-3.681307051</v>
      </c>
      <c r="O120" s="4"/>
      <c r="P120" s="4"/>
      <c r="Q120" s="4">
        <f>IFERROR(__xludf.DUMMYFUNCTION("""COMPUTED_VALUE"""),-1.6428486441117798)</f>
        <v>-1.642848644</v>
      </c>
      <c r="R120" s="4"/>
      <c r="S120" s="4"/>
      <c r="T120" s="4">
        <f>IFERROR(__xludf.DUMMYFUNCTION("""COMPUTED_VALUE"""),-5.4904794345269465)</f>
        <v>-5.490479435</v>
      </c>
      <c r="U120" s="4"/>
      <c r="V120" s="4"/>
      <c r="W120" s="4">
        <f>IFERROR(__xludf.DUMMYFUNCTION("""COMPUTED_VALUE"""),-0.16130094771142467)</f>
        <v>-0.1613009477</v>
      </c>
      <c r="X120" s="4"/>
      <c r="Y120" s="4"/>
      <c r="Z120" s="4">
        <f>IFERROR(__xludf.DUMMYFUNCTION("""COMPUTED_VALUE"""),-1.0146421642256769)</f>
        <v>-1.014642164</v>
      </c>
      <c r="AA120" s="4"/>
      <c r="AB120" s="4"/>
      <c r="AC120" s="4">
        <f>IFERROR(__xludf.DUMMYFUNCTION("""COMPUTED_VALUE"""),3.890247010614246)</f>
        <v>3.890247011</v>
      </c>
      <c r="AD120" s="4"/>
      <c r="AE120" s="4"/>
      <c r="AF120" s="4">
        <f>IFERROR(__xludf.DUMMYFUNCTION("""COMPUTED_VALUE"""),3.5691381270850115)</f>
        <v>3.569138127</v>
      </c>
      <c r="AG120" s="4"/>
      <c r="AH120" s="4"/>
      <c r="AI120" s="4">
        <f>IFERROR(__xludf.DUMMYFUNCTION("""COMPUTED_VALUE"""),3.86810667591061)</f>
        <v>3.868106676</v>
      </c>
      <c r="AJ120" s="4"/>
      <c r="AK120" s="4"/>
      <c r="AL120" s="4">
        <f>IFERROR(__xludf.DUMMYFUNCTION("""COMPUTED_VALUE"""),9.385325352165353)</f>
        <v>9.385325352</v>
      </c>
      <c r="AM120" s="4"/>
      <c r="AN120" s="4"/>
      <c r="AO120" s="4">
        <f>IFERROR(__xludf.DUMMYFUNCTION("""COMPUTED_VALUE"""),5.149723532182861)</f>
        <v>5.149723532</v>
      </c>
      <c r="AP120" s="4"/>
      <c r="AQ120" s="4"/>
      <c r="AR120" s="4">
        <f>IFERROR(__xludf.DUMMYFUNCTION("""COMPUTED_VALUE"""),1.1374681744300688)</f>
        <v>1.137468174</v>
      </c>
      <c r="AS120" s="4"/>
      <c r="AT120" s="4"/>
      <c r="AU120" s="4">
        <f>IFERROR(__xludf.DUMMYFUNCTION("""COMPUTED_VALUE"""),0.6409326839503251)</f>
        <v>0.640932684</v>
      </c>
      <c r="AV120" s="4"/>
      <c r="AW120" s="4"/>
      <c r="AX120" s="4">
        <f>IFERROR(__xludf.DUMMYFUNCTION("""COMPUTED_VALUE"""),4.038999119228549)</f>
        <v>4.038999119</v>
      </c>
      <c r="AY120" s="4"/>
      <c r="AZ120" s="4"/>
      <c r="BA120" s="4">
        <f>IFERROR(__xludf.DUMMYFUNCTION("""COMPUTED_VALUE"""),3.9616143798997427)</f>
        <v>3.96161438</v>
      </c>
      <c r="BB120" s="4"/>
      <c r="BC120" s="4"/>
      <c r="BD120" s="4">
        <f>IFERROR(__xludf.DUMMYFUNCTION("""COMPUTED_VALUE"""),-4.4603618066987565)</f>
        <v>-4.460361807</v>
      </c>
      <c r="BE120" s="4"/>
      <c r="BF120" s="4"/>
      <c r="BG120" s="4">
        <f>IFERROR(__xludf.DUMMYFUNCTION("""COMPUTED_VALUE"""),-1.7994187201943532)</f>
        <v>-1.79941872</v>
      </c>
      <c r="BH120" s="4"/>
      <c r="BI120" s="4"/>
      <c r="BJ120" s="4"/>
      <c r="BK120" s="4"/>
    </row>
    <row r="121">
      <c r="A121" s="4"/>
      <c r="B121" s="4"/>
      <c r="C121" s="4"/>
      <c r="D121" s="4">
        <f>IFERROR(__xludf.DUMMYFUNCTION("""COMPUTED_VALUE"""),101.93087066884982)</f>
        <v>101.9308707</v>
      </c>
      <c r="E121" s="23">
        <f>IFERROR(__xludf.DUMMYFUNCTION("""COMPUTED_VALUE"""),-0.8735079734133251)</f>
        <v>-0.8735079734</v>
      </c>
      <c r="F121" s="4"/>
      <c r="G121" s="4"/>
      <c r="H121" s="4">
        <f>IFERROR(__xludf.DUMMYFUNCTION("""COMPUTED_VALUE"""),-1.4768676461899304)</f>
        <v>-1.476867646</v>
      </c>
      <c r="I121" s="4"/>
      <c r="J121" s="4"/>
      <c r="K121" s="4">
        <f>IFERROR(__xludf.DUMMYFUNCTION("""COMPUTED_VALUE"""),-3.5130154238710247)</f>
        <v>-3.513015424</v>
      </c>
      <c r="L121" s="4"/>
      <c r="M121" s="4"/>
      <c r="N121" s="4">
        <f>IFERROR(__xludf.DUMMYFUNCTION("""COMPUTED_VALUE"""),-2.4408561174107604)</f>
        <v>-2.440856117</v>
      </c>
      <c r="O121" s="4"/>
      <c r="P121" s="4"/>
      <c r="Q121" s="4">
        <f>IFERROR(__xludf.DUMMYFUNCTION("""COMPUTED_VALUE"""),-2.356330744626007)</f>
        <v>-2.356330745</v>
      </c>
      <c r="R121" s="4"/>
      <c r="S121" s="4"/>
      <c r="T121" s="4">
        <f>IFERROR(__xludf.DUMMYFUNCTION("""COMPUTED_VALUE"""),-0.7946931259105554)</f>
        <v>-0.7946931259</v>
      </c>
      <c r="U121" s="4"/>
      <c r="V121" s="4"/>
      <c r="W121" s="4">
        <f>IFERROR(__xludf.DUMMYFUNCTION("""COMPUTED_VALUE"""),-2.8210923797424243)</f>
        <v>-2.82109238</v>
      </c>
      <c r="X121" s="4"/>
      <c r="Y121" s="4"/>
      <c r="Z121" s="4">
        <f>IFERROR(__xludf.DUMMYFUNCTION("""COMPUTED_VALUE"""),-3.5377226425181902)</f>
        <v>-3.537722643</v>
      </c>
      <c r="AA121" s="4"/>
      <c r="AB121" s="4"/>
      <c r="AC121" s="4">
        <f>IFERROR(__xludf.DUMMYFUNCTION("""COMPUTED_VALUE"""),-0.8847693559978325)</f>
        <v>-0.884769356</v>
      </c>
      <c r="AD121" s="4"/>
      <c r="AE121" s="4"/>
      <c r="AF121" s="4">
        <f>IFERROR(__xludf.DUMMYFUNCTION("""COMPUTED_VALUE"""),3.8661156638603416)</f>
        <v>3.866115664</v>
      </c>
      <c r="AG121" s="4"/>
      <c r="AH121" s="4"/>
      <c r="AI121" s="4">
        <f>IFERROR(__xludf.DUMMYFUNCTION("""COMPUTED_VALUE"""),2.1891108433044906)</f>
        <v>2.189110843</v>
      </c>
      <c r="AJ121" s="4"/>
      <c r="AK121" s="4"/>
      <c r="AL121" s="4">
        <f>IFERROR(__xludf.DUMMYFUNCTION("""COMPUTED_VALUE"""),0.12260694722874632)</f>
        <v>0.1226069472</v>
      </c>
      <c r="AM121" s="4"/>
      <c r="AN121" s="4"/>
      <c r="AO121" s="4">
        <f>IFERROR(__xludf.DUMMYFUNCTION("""COMPUTED_VALUE"""),-0.29070455414267826)</f>
        <v>-0.2907045541</v>
      </c>
      <c r="AP121" s="4"/>
      <c r="AQ121" s="4"/>
      <c r="AR121" s="4">
        <f>IFERROR(__xludf.DUMMYFUNCTION("""COMPUTED_VALUE"""),5.73114997173019)</f>
        <v>5.731149972</v>
      </c>
      <c r="AS121" s="4"/>
      <c r="AT121" s="4"/>
      <c r="AU121" s="4">
        <f>IFERROR(__xludf.DUMMYFUNCTION("""COMPUTED_VALUE"""),-0.25414164594093336)</f>
        <v>-0.2541416459</v>
      </c>
      <c r="AV121" s="4"/>
      <c r="AW121" s="4"/>
      <c r="AX121" s="4">
        <f>IFERROR(__xludf.DUMMYFUNCTION("""COMPUTED_VALUE"""),4.6763816400242035)</f>
        <v>4.67638164</v>
      </c>
      <c r="AY121" s="4"/>
      <c r="AZ121" s="4"/>
      <c r="BA121" s="4">
        <f>IFERROR(__xludf.DUMMYFUNCTION("""COMPUTED_VALUE"""),-5.903681040727406)</f>
        <v>-5.903681041</v>
      </c>
      <c r="BB121" s="4"/>
      <c r="BC121" s="4"/>
      <c r="BD121" s="4">
        <f>IFERROR(__xludf.DUMMYFUNCTION("""COMPUTED_VALUE"""),4.2904795757078205)</f>
        <v>4.290479576</v>
      </c>
      <c r="BE121" s="4"/>
      <c r="BF121" s="4"/>
      <c r="BG121" s="4">
        <f>IFERROR(__xludf.DUMMYFUNCTION("""COMPUTED_VALUE"""),-2.885363220479803)</f>
        <v>-2.88536322</v>
      </c>
      <c r="BH121" s="4"/>
      <c r="BI121" s="4"/>
      <c r="BJ121" s="4"/>
      <c r="BK121" s="4"/>
    </row>
    <row r="122">
      <c r="A122" s="4"/>
      <c r="B122" s="4"/>
      <c r="C122" s="4"/>
      <c r="D122" s="4">
        <f>IFERROR(__xludf.DUMMYFUNCTION("""COMPUTED_VALUE"""),101.01257453604974)</f>
        <v>101.0125745</v>
      </c>
      <c r="E122" s="23">
        <f>IFERROR(__xludf.DUMMYFUNCTION("""COMPUTED_VALUE"""),-0.8632903338309461)</f>
        <v>-0.8632903338</v>
      </c>
      <c r="F122" s="4"/>
      <c r="G122" s="4"/>
      <c r="H122" s="4">
        <f>IFERROR(__xludf.DUMMYFUNCTION("""COMPUTED_VALUE"""),-2.305051163029418)</f>
        <v>-2.305051163</v>
      </c>
      <c r="I122" s="4"/>
      <c r="J122" s="4"/>
      <c r="K122" s="4">
        <f>IFERROR(__xludf.DUMMYFUNCTION("""COMPUTED_VALUE"""),-2.7693336706352625)</f>
        <v>-2.769333671</v>
      </c>
      <c r="L122" s="4"/>
      <c r="M122" s="4"/>
      <c r="N122" s="4">
        <f>IFERROR(__xludf.DUMMYFUNCTION("""COMPUTED_VALUE"""),-0.17801482589084117)</f>
        <v>-0.1780148259</v>
      </c>
      <c r="O122" s="4"/>
      <c r="P122" s="4"/>
      <c r="Q122" s="4">
        <f>IFERROR(__xludf.DUMMYFUNCTION("""COMPUTED_VALUE"""),-1.8978714110980377)</f>
        <v>-1.897871411</v>
      </c>
      <c r="R122" s="4"/>
      <c r="S122" s="4"/>
      <c r="T122" s="4">
        <f>IFERROR(__xludf.DUMMYFUNCTION("""COMPUTED_VALUE"""),-6.585165628967275)</f>
        <v>-6.585165629</v>
      </c>
      <c r="U122" s="4"/>
      <c r="V122" s="4"/>
      <c r="W122" s="4">
        <f>IFERROR(__xludf.DUMMYFUNCTION("""COMPUTED_VALUE"""),-8.73666853139349)</f>
        <v>-8.736668531</v>
      </c>
      <c r="X122" s="4"/>
      <c r="Y122" s="4"/>
      <c r="Z122" s="4">
        <f>IFERROR(__xludf.DUMMYFUNCTION("""COMPUTED_VALUE"""),5.546086542649789)</f>
        <v>5.546086543</v>
      </c>
      <c r="AA122" s="4"/>
      <c r="AB122" s="4"/>
      <c r="AC122" s="4">
        <f>IFERROR(__xludf.DUMMYFUNCTION("""COMPUTED_VALUE"""),2.394475701737065)</f>
        <v>2.394475702</v>
      </c>
      <c r="AD122" s="4"/>
      <c r="AE122" s="4"/>
      <c r="AF122" s="4">
        <f>IFERROR(__xludf.DUMMYFUNCTION("""COMPUTED_VALUE"""),2.853179717974399)</f>
        <v>2.853179718</v>
      </c>
      <c r="AG122" s="4"/>
      <c r="AH122" s="4"/>
      <c r="AI122" s="4">
        <f>IFERROR(__xludf.DUMMYFUNCTION("""COMPUTED_VALUE"""),4.819303923221526)</f>
        <v>4.819303923</v>
      </c>
      <c r="AJ122" s="4"/>
      <c r="AK122" s="4"/>
      <c r="AL122" s="4">
        <f>IFERROR(__xludf.DUMMYFUNCTION("""COMPUTED_VALUE"""),-1.1185707288888125)</f>
        <v>-1.118570729</v>
      </c>
      <c r="AM122" s="4"/>
      <c r="AN122" s="4"/>
      <c r="AO122" s="4">
        <f>IFERROR(__xludf.DUMMYFUNCTION("""COMPUTED_VALUE"""),3.873627369778376)</f>
        <v>3.87362737</v>
      </c>
      <c r="AP122" s="4"/>
      <c r="AQ122" s="4"/>
      <c r="AR122" s="4">
        <f>IFERROR(__xludf.DUMMYFUNCTION("""COMPUTED_VALUE"""),3.4896376123069217)</f>
        <v>3.489637612</v>
      </c>
      <c r="AS122" s="4"/>
      <c r="AT122" s="4"/>
      <c r="AU122" s="4">
        <f>IFERROR(__xludf.DUMMYFUNCTION("""COMPUTED_VALUE"""),4.175272509173453)</f>
        <v>4.175272509</v>
      </c>
      <c r="AV122" s="4"/>
      <c r="AW122" s="4"/>
      <c r="AX122" s="4">
        <f>IFERROR(__xludf.DUMMYFUNCTION("""COMPUTED_VALUE"""),3.6355171876281815)</f>
        <v>3.635517188</v>
      </c>
      <c r="AY122" s="4"/>
      <c r="AZ122" s="4"/>
      <c r="BA122" s="4">
        <f>IFERROR(__xludf.DUMMYFUNCTION("""COMPUTED_VALUE"""),8.930351005788339)</f>
        <v>8.930351006</v>
      </c>
      <c r="BB122" s="4"/>
      <c r="BC122" s="4"/>
      <c r="BD122" s="4">
        <f>IFERROR(__xludf.DUMMYFUNCTION("""COMPUTED_VALUE"""),6.257743498665889)</f>
        <v>6.257743499</v>
      </c>
      <c r="BE122" s="4"/>
      <c r="BF122" s="4"/>
      <c r="BG122" s="4">
        <f>IFERROR(__xludf.DUMMYFUNCTION("""COMPUTED_VALUE"""),-4.733852561587355)</f>
        <v>-4.733852562</v>
      </c>
      <c r="BH122" s="4"/>
      <c r="BI122" s="4"/>
      <c r="BJ122" s="4"/>
      <c r="BK122" s="4"/>
    </row>
    <row r="123">
      <c r="A123" s="4"/>
      <c r="B123" s="4"/>
      <c r="C123" s="4"/>
      <c r="D123" s="4">
        <f>IFERROR(__xludf.DUMMYFUNCTION("""COMPUTED_VALUE"""),100.09427840324966)</f>
        <v>100.0942784</v>
      </c>
      <c r="E123" s="23">
        <f>IFERROR(__xludf.DUMMYFUNCTION("""COMPUTED_VALUE"""),1.2762962085441245)</f>
        <v>1.276296209</v>
      </c>
      <c r="F123" s="4"/>
      <c r="G123" s="4"/>
      <c r="H123" s="4">
        <f>IFERROR(__xludf.DUMMYFUNCTION("""COMPUTED_VALUE"""),-8.166931179286848)</f>
        <v>-8.166931179</v>
      </c>
      <c r="I123" s="4"/>
      <c r="J123" s="4"/>
      <c r="K123" s="4">
        <f>IFERROR(__xludf.DUMMYFUNCTION("""COMPUTED_VALUE"""),-5.251031062065522)</f>
        <v>-5.251031062</v>
      </c>
      <c r="L123" s="4"/>
      <c r="M123" s="4"/>
      <c r="N123" s="4">
        <f>IFERROR(__xludf.DUMMYFUNCTION("""COMPUTED_VALUE"""),-3.589194541817676)</f>
        <v>-3.589194542</v>
      </c>
      <c r="O123" s="4"/>
      <c r="P123" s="4"/>
      <c r="Q123" s="4">
        <f>IFERROR(__xludf.DUMMYFUNCTION("""COMPUTED_VALUE"""),3.6492437448616215)</f>
        <v>3.649243745</v>
      </c>
      <c r="R123" s="4"/>
      <c r="S123" s="4"/>
      <c r="T123" s="4">
        <f>IFERROR(__xludf.DUMMYFUNCTION("""COMPUTED_VALUE"""),-0.45206016240695135)</f>
        <v>-0.4520601624</v>
      </c>
      <c r="U123" s="4"/>
      <c r="V123" s="4"/>
      <c r="W123" s="4">
        <f>IFERROR(__xludf.DUMMYFUNCTION("""COMPUTED_VALUE"""),-6.849676778996411)</f>
        <v>-6.849676779</v>
      </c>
      <c r="X123" s="4"/>
      <c r="Y123" s="4"/>
      <c r="Z123" s="4">
        <f>IFERROR(__xludf.DUMMYFUNCTION("""COMPUTED_VALUE"""),1.9450212567777498)</f>
        <v>1.945021257</v>
      </c>
      <c r="AA123" s="4"/>
      <c r="AB123" s="4"/>
      <c r="AC123" s="4">
        <f>IFERROR(__xludf.DUMMYFUNCTION("""COMPUTED_VALUE"""),2.5504924414925085)</f>
        <v>2.550492441</v>
      </c>
      <c r="AD123" s="4"/>
      <c r="AE123" s="4"/>
      <c r="AF123" s="4">
        <f>IFERROR(__xludf.DUMMYFUNCTION("""COMPUTED_VALUE"""),-0.1571426399017355)</f>
        <v>-0.1571426399</v>
      </c>
      <c r="AG123" s="4"/>
      <c r="AH123" s="4"/>
      <c r="AI123" s="4">
        <f>IFERROR(__xludf.DUMMYFUNCTION("""COMPUTED_VALUE"""),-4.672664995723665)</f>
        <v>-4.672664996</v>
      </c>
      <c r="AJ123" s="4"/>
      <c r="AK123" s="4"/>
      <c r="AL123" s="4">
        <f>IFERROR(__xludf.DUMMYFUNCTION("""COMPUTED_VALUE"""),1.3967859066162873)</f>
        <v>1.396785907</v>
      </c>
      <c r="AM123" s="4"/>
      <c r="AN123" s="4"/>
      <c r="AO123" s="4">
        <f>IFERROR(__xludf.DUMMYFUNCTION("""COMPUTED_VALUE"""),-1.3200973276839818)</f>
        <v>-1.320097328</v>
      </c>
      <c r="AP123" s="4"/>
      <c r="AQ123" s="4"/>
      <c r="AR123" s="4">
        <f>IFERROR(__xludf.DUMMYFUNCTION("""COMPUTED_VALUE"""),5.964737550779205)</f>
        <v>5.964737551</v>
      </c>
      <c r="AS123" s="4"/>
      <c r="AT123" s="4"/>
      <c r="AU123" s="4">
        <f>IFERROR(__xludf.DUMMYFUNCTION("""COMPUTED_VALUE"""),1.4907221985110937)</f>
        <v>1.490722199</v>
      </c>
      <c r="AV123" s="4"/>
      <c r="AW123" s="4"/>
      <c r="AX123" s="4">
        <f>IFERROR(__xludf.DUMMYFUNCTION("""COMPUTED_VALUE"""),0.661544644255116)</f>
        <v>0.6615446443</v>
      </c>
      <c r="AY123" s="4"/>
      <c r="AZ123" s="4"/>
      <c r="BA123" s="4">
        <f>IFERROR(__xludf.DUMMYFUNCTION("""COMPUTED_VALUE"""),-6.242427486091458)</f>
        <v>-6.242427486</v>
      </c>
      <c r="BB123" s="4"/>
      <c r="BC123" s="4"/>
      <c r="BD123" s="4">
        <f>IFERROR(__xludf.DUMMYFUNCTION("""COMPUTED_VALUE"""),3.0396112932630217)</f>
        <v>3.039611293</v>
      </c>
      <c r="BE123" s="4"/>
      <c r="BF123" s="4"/>
      <c r="BG123" s="4">
        <f>IFERROR(__xludf.DUMMYFUNCTION("""COMPUTED_VALUE"""),-3.9366767899429647)</f>
        <v>-3.93667679</v>
      </c>
      <c r="BH123" s="4"/>
      <c r="BI123" s="4"/>
      <c r="BJ123" s="4"/>
      <c r="BK123" s="4"/>
    </row>
    <row r="124">
      <c r="A124" s="4"/>
      <c r="B124" s="4"/>
      <c r="C124" s="4"/>
      <c r="D124" s="4">
        <f>IFERROR(__xludf.DUMMYFUNCTION("""COMPUTED_VALUE"""),99.17598227261489)</f>
        <v>99.17598227</v>
      </c>
      <c r="E124" s="23">
        <f>IFERROR(__xludf.DUMMYFUNCTION("""COMPUTED_VALUE"""),-2.5549288861850528)</f>
        <v>-2.554928886</v>
      </c>
      <c r="F124" s="4"/>
      <c r="G124" s="4"/>
      <c r="H124" s="4">
        <f>IFERROR(__xludf.DUMMYFUNCTION("""COMPUTED_VALUE"""),1.875029457190351)</f>
        <v>1.875029457</v>
      </c>
      <c r="I124" s="4"/>
      <c r="J124" s="4"/>
      <c r="K124" s="4">
        <f>IFERROR(__xludf.DUMMYFUNCTION("""COMPUTED_VALUE"""),3.2942633473934393)</f>
        <v>3.294263347</v>
      </c>
      <c r="L124" s="4"/>
      <c r="M124" s="4"/>
      <c r="N124" s="4">
        <f>IFERROR(__xludf.DUMMYFUNCTION("""COMPUTED_VALUE"""),-8.864325923004742)</f>
        <v>-8.864325923</v>
      </c>
      <c r="O124" s="4"/>
      <c r="P124" s="4"/>
      <c r="Q124" s="4">
        <f>IFERROR(__xludf.DUMMYFUNCTION("""COMPUTED_VALUE"""),1.8031037708803979)</f>
        <v>1.803103771</v>
      </c>
      <c r="R124" s="4"/>
      <c r="S124" s="4"/>
      <c r="T124" s="4">
        <f>IFERROR(__xludf.DUMMYFUNCTION("""COMPUTED_VALUE"""),-2.6289719790549384)</f>
        <v>-2.628971979</v>
      </c>
      <c r="U124" s="4"/>
      <c r="V124" s="4"/>
      <c r="W124" s="4">
        <f>IFERROR(__xludf.DUMMYFUNCTION("""COMPUTED_VALUE"""),-1.2380180128832308)</f>
        <v>-1.238018013</v>
      </c>
      <c r="X124" s="4"/>
      <c r="Y124" s="4"/>
      <c r="Z124" s="4">
        <f>IFERROR(__xludf.DUMMYFUNCTION("""COMPUTED_VALUE"""),2.9203551252742272)</f>
        <v>2.920355125</v>
      </c>
      <c r="AA124" s="4"/>
      <c r="AB124" s="4"/>
      <c r="AC124" s="4">
        <f>IFERROR(__xludf.DUMMYFUNCTION("""COMPUTED_VALUE"""),7.878893925057071)</f>
        <v>7.878893925</v>
      </c>
      <c r="AD124" s="4"/>
      <c r="AE124" s="4"/>
      <c r="AF124" s="4">
        <f>IFERROR(__xludf.DUMMYFUNCTION("""COMPUTED_VALUE"""),5.337026976002335)</f>
        <v>5.337026976</v>
      </c>
      <c r="AG124" s="4"/>
      <c r="AH124" s="4"/>
      <c r="AI124" s="4">
        <f>IFERROR(__xludf.DUMMYFUNCTION("""COMPUTED_VALUE"""),2.8695989544484064)</f>
        <v>2.869598954</v>
      </c>
      <c r="AJ124" s="4"/>
      <c r="AK124" s="4"/>
      <c r="AL124" s="4">
        <f>IFERROR(__xludf.DUMMYFUNCTION("""COMPUTED_VALUE"""),9.734915448063134)</f>
        <v>9.734915448</v>
      </c>
      <c r="AM124" s="4"/>
      <c r="AN124" s="4"/>
      <c r="AO124" s="4">
        <f>IFERROR(__xludf.DUMMYFUNCTION("""COMPUTED_VALUE"""),0.7257793007511282)</f>
        <v>0.7257793008</v>
      </c>
      <c r="AP124" s="4"/>
      <c r="AQ124" s="4"/>
      <c r="AR124" s="4">
        <f>IFERROR(__xludf.DUMMYFUNCTION("""COMPUTED_VALUE"""),-0.535321161110403)</f>
        <v>-0.5353211611</v>
      </c>
      <c r="AS124" s="4"/>
      <c r="AT124" s="4"/>
      <c r="AU124" s="4">
        <f>IFERROR(__xludf.DUMMYFUNCTION("""COMPUTED_VALUE"""),1.635234762430514)</f>
        <v>1.635234762</v>
      </c>
      <c r="AV124" s="4"/>
      <c r="AW124" s="4"/>
      <c r="AX124" s="4">
        <f>IFERROR(__xludf.DUMMYFUNCTION("""COMPUTED_VALUE"""),7.537362961535166)</f>
        <v>7.537362962</v>
      </c>
      <c r="AY124" s="4"/>
      <c r="AZ124" s="4"/>
      <c r="BA124" s="4">
        <f>IFERROR(__xludf.DUMMYFUNCTION("""COMPUTED_VALUE"""),9.65331273076913)</f>
        <v>9.653312731</v>
      </c>
      <c r="BB124" s="4"/>
      <c r="BC124" s="4"/>
      <c r="BD124" s="4">
        <f>IFERROR(__xludf.DUMMYFUNCTION("""COMPUTED_VALUE"""),-0.8322694324761528)</f>
        <v>-0.8322694325</v>
      </c>
      <c r="BE124" s="4"/>
      <c r="BF124" s="4"/>
      <c r="BG124" s="4">
        <f>IFERROR(__xludf.DUMMYFUNCTION("""COMPUTED_VALUE"""),-5.0653378336270976)</f>
        <v>-5.065337834</v>
      </c>
      <c r="BH124" s="4"/>
      <c r="BI124" s="4"/>
      <c r="BJ124" s="4"/>
      <c r="BK124" s="4"/>
    </row>
    <row r="125">
      <c r="A125" s="4"/>
      <c r="B125" s="4"/>
      <c r="C125" s="4"/>
      <c r="D125" s="4">
        <f>IFERROR(__xludf.DUMMYFUNCTION("""COMPUTED_VALUE"""),98.25768613981482)</f>
        <v>98.25768614</v>
      </c>
      <c r="E125" s="23">
        <f>IFERROR(__xludf.DUMMYFUNCTION("""COMPUTED_VALUE"""),-5.987719752473652)</f>
        <v>-5.987719752</v>
      </c>
      <c r="F125" s="4"/>
      <c r="G125" s="4"/>
      <c r="H125" s="4">
        <f>IFERROR(__xludf.DUMMYFUNCTION("""COMPUTED_VALUE"""),3.899437177875825)</f>
        <v>3.899437178</v>
      </c>
      <c r="I125" s="4"/>
      <c r="J125" s="4"/>
      <c r="K125" s="4">
        <f>IFERROR(__xludf.DUMMYFUNCTION("""COMPUTED_VALUE"""),-1.429518947481995)</f>
        <v>-1.429518947</v>
      </c>
      <c r="L125" s="4"/>
      <c r="M125" s="4"/>
      <c r="N125" s="4">
        <f>IFERROR(__xludf.DUMMYFUNCTION("""COMPUTED_VALUE"""),-6.668590646397263)</f>
        <v>-6.668590646</v>
      </c>
      <c r="O125" s="4"/>
      <c r="P125" s="4"/>
      <c r="Q125" s="4">
        <f>IFERROR(__xludf.DUMMYFUNCTION("""COMPUTED_VALUE"""),-2.3235888366063477)</f>
        <v>-2.323588837</v>
      </c>
      <c r="R125" s="4"/>
      <c r="S125" s="4"/>
      <c r="T125" s="4">
        <f>IFERROR(__xludf.DUMMYFUNCTION("""COMPUTED_VALUE"""),-6.290007853545433)</f>
        <v>-6.290007854</v>
      </c>
      <c r="U125" s="4"/>
      <c r="V125" s="4"/>
      <c r="W125" s="4">
        <f>IFERROR(__xludf.DUMMYFUNCTION("""COMPUTED_VALUE"""),-7.9227088730870605)</f>
        <v>-7.922708873</v>
      </c>
      <c r="X125" s="4"/>
      <c r="Y125" s="4"/>
      <c r="Z125" s="4">
        <f>IFERROR(__xludf.DUMMYFUNCTION("""COMPUTED_VALUE"""),4.92249728190842)</f>
        <v>4.922497282</v>
      </c>
      <c r="AA125" s="4"/>
      <c r="AB125" s="4"/>
      <c r="AC125" s="4">
        <f>IFERROR(__xludf.DUMMYFUNCTION("""COMPUTED_VALUE"""),6.397680010830982)</f>
        <v>6.397680011</v>
      </c>
      <c r="AD125" s="4"/>
      <c r="AE125" s="4"/>
      <c r="AF125" s="4">
        <f>IFERROR(__xludf.DUMMYFUNCTION("""COMPUTED_VALUE"""),4.736440495696513)</f>
        <v>4.736440496</v>
      </c>
      <c r="AG125" s="4"/>
      <c r="AH125" s="4"/>
      <c r="AI125" s="4">
        <f>IFERROR(__xludf.DUMMYFUNCTION("""COMPUTED_VALUE"""),0.9807708426242243)</f>
        <v>0.9807708426</v>
      </c>
      <c r="AJ125" s="4"/>
      <c r="AK125" s="4"/>
      <c r="AL125" s="4">
        <f>IFERROR(__xludf.DUMMYFUNCTION("""COMPUTED_VALUE"""),11.186194034952962)</f>
        <v>11.18619403</v>
      </c>
      <c r="AM125" s="4"/>
      <c r="AN125" s="4"/>
      <c r="AO125" s="4">
        <f>IFERROR(__xludf.DUMMYFUNCTION("""COMPUTED_VALUE"""),1.1183478427130353)</f>
        <v>1.118347843</v>
      </c>
      <c r="AP125" s="4"/>
      <c r="AQ125" s="4"/>
      <c r="AR125" s="4">
        <f>IFERROR(__xludf.DUMMYFUNCTION("""COMPUTED_VALUE"""),-0.5031611423734148)</f>
        <v>-0.5031611424</v>
      </c>
      <c r="AS125" s="4"/>
      <c r="AT125" s="4"/>
      <c r="AU125" s="4">
        <f>IFERROR(__xludf.DUMMYFUNCTION("""COMPUTED_VALUE"""),1.00258890603277)</f>
        <v>1.002588906</v>
      </c>
      <c r="AV125" s="4"/>
      <c r="AW125" s="4"/>
      <c r="AX125" s="4">
        <f>IFERROR(__xludf.DUMMYFUNCTION("""COMPUTED_VALUE"""),4.87397510864912)</f>
        <v>4.873975109</v>
      </c>
      <c r="AY125" s="4"/>
      <c r="AZ125" s="4"/>
      <c r="BA125" s="4">
        <f>IFERROR(__xludf.DUMMYFUNCTION("""COMPUTED_VALUE"""),0.00489558093170217)</f>
        <v>0.004895580932</v>
      </c>
      <c r="BB125" s="4"/>
      <c r="BC125" s="4"/>
      <c r="BD125" s="4">
        <f>IFERROR(__xludf.DUMMYFUNCTION("""COMPUTED_VALUE"""),-1.1624121312812576)</f>
        <v>-1.162412131</v>
      </c>
      <c r="BE125" s="4"/>
      <c r="BF125" s="4"/>
      <c r="BG125" s="4">
        <f>IFERROR(__xludf.DUMMYFUNCTION("""COMPUTED_VALUE"""),-3.845242002168561)</f>
        <v>-3.845242002</v>
      </c>
      <c r="BH125" s="4"/>
      <c r="BI125" s="4"/>
      <c r="BJ125" s="4"/>
      <c r="BK125" s="4"/>
    </row>
    <row r="126">
      <c r="A126" s="4"/>
      <c r="B126" s="4"/>
      <c r="C126" s="4"/>
      <c r="D126" s="4">
        <f>IFERROR(__xludf.DUMMYFUNCTION("""COMPUTED_VALUE"""),97.33939000706509)</f>
        <v>97.33939001</v>
      </c>
      <c r="E126" s="23">
        <f>IFERROR(__xludf.DUMMYFUNCTION("""COMPUTED_VALUE"""),-3.265096134526118)</f>
        <v>-3.265096135</v>
      </c>
      <c r="F126" s="4"/>
      <c r="G126" s="4"/>
      <c r="H126" s="4">
        <f>IFERROR(__xludf.DUMMYFUNCTION("""COMPUTED_VALUE"""),-2.2131316846831055)</f>
        <v>-2.213131685</v>
      </c>
      <c r="I126" s="4"/>
      <c r="J126" s="4"/>
      <c r="K126" s="4">
        <f>IFERROR(__xludf.DUMMYFUNCTION("""COMPUTED_VALUE"""),-5.432372546685315)</f>
        <v>-5.432372547</v>
      </c>
      <c r="L126" s="4"/>
      <c r="M126" s="4"/>
      <c r="N126" s="4">
        <f>IFERROR(__xludf.DUMMYFUNCTION("""COMPUTED_VALUE"""),-5.313003440595423)</f>
        <v>-5.313003441</v>
      </c>
      <c r="O126" s="4"/>
      <c r="P126" s="4"/>
      <c r="Q126" s="4">
        <f>IFERROR(__xludf.DUMMYFUNCTION("""COMPUTED_VALUE"""),2.207424604528967)</f>
        <v>2.207424605</v>
      </c>
      <c r="R126" s="4"/>
      <c r="S126" s="4"/>
      <c r="T126" s="4">
        <f>IFERROR(__xludf.DUMMYFUNCTION("""COMPUTED_VALUE"""),-11.243371938075484)</f>
        <v>-11.24337194</v>
      </c>
      <c r="U126" s="4"/>
      <c r="V126" s="4"/>
      <c r="W126" s="4">
        <f>IFERROR(__xludf.DUMMYFUNCTION("""COMPUTED_VALUE"""),-3.8573590345739035)</f>
        <v>-3.857359035</v>
      </c>
      <c r="X126" s="4"/>
      <c r="Y126" s="4"/>
      <c r="Z126" s="4">
        <f>IFERROR(__xludf.DUMMYFUNCTION("""COMPUTED_VALUE"""),1.090397575882207)</f>
        <v>1.090397576</v>
      </c>
      <c r="AA126" s="4"/>
      <c r="AB126" s="4"/>
      <c r="AC126" s="4">
        <f>IFERROR(__xludf.DUMMYFUNCTION("""COMPUTED_VALUE"""),1.8207431446729174)</f>
        <v>1.820743145</v>
      </c>
      <c r="AD126" s="4"/>
      <c r="AE126" s="4"/>
      <c r="AF126" s="4">
        <f>IFERROR(__xludf.DUMMYFUNCTION("""COMPUTED_VALUE"""),3.9975903542414244)</f>
        <v>3.997590354</v>
      </c>
      <c r="AG126" s="4"/>
      <c r="AH126" s="4"/>
      <c r="AI126" s="4">
        <f>IFERROR(__xludf.DUMMYFUNCTION("""COMPUTED_VALUE"""),0.2639544493100061)</f>
        <v>0.2639544493</v>
      </c>
      <c r="AJ126" s="4"/>
      <c r="AK126" s="4"/>
      <c r="AL126" s="4">
        <f>IFERROR(__xludf.DUMMYFUNCTION("""COMPUTED_VALUE"""),3.394347624584725)</f>
        <v>3.394347625</v>
      </c>
      <c r="AM126" s="4"/>
      <c r="AN126" s="4"/>
      <c r="AO126" s="4">
        <f>IFERROR(__xludf.DUMMYFUNCTION("""COMPUTED_VALUE"""),2.1263906102300894)</f>
        <v>2.12639061</v>
      </c>
      <c r="AP126" s="4"/>
      <c r="AQ126" s="4"/>
      <c r="AR126" s="4">
        <f>IFERROR(__xludf.DUMMYFUNCTION("""COMPUTED_VALUE"""),9.575821654605306)</f>
        <v>9.575821655</v>
      </c>
      <c r="AS126" s="4"/>
      <c r="AT126" s="4"/>
      <c r="AU126" s="4">
        <f>IFERROR(__xludf.DUMMYFUNCTION("""COMPUTED_VALUE"""),-3.2069619466305426)</f>
        <v>-3.206961947</v>
      </c>
      <c r="AV126" s="4"/>
      <c r="AW126" s="4"/>
      <c r="AX126" s="4">
        <f>IFERROR(__xludf.DUMMYFUNCTION("""COMPUTED_VALUE"""),5.1315829953003345)</f>
        <v>5.131582995</v>
      </c>
      <c r="AY126" s="4"/>
      <c r="AZ126" s="4"/>
      <c r="BA126" s="4">
        <f>IFERROR(__xludf.DUMMYFUNCTION("""COMPUTED_VALUE"""),-2.459842711895476)</f>
        <v>-2.459842712</v>
      </c>
      <c r="BB126" s="4"/>
      <c r="BC126" s="4"/>
      <c r="BD126" s="4">
        <f>IFERROR(__xludf.DUMMYFUNCTION("""COMPUTED_VALUE"""),0.3390011204782013)</f>
        <v>0.3390011205</v>
      </c>
      <c r="BE126" s="4"/>
      <c r="BF126" s="4"/>
      <c r="BG126" s="4">
        <f>IFERROR(__xludf.DUMMYFUNCTION("""COMPUTED_VALUE"""),-2.22450773419979)</f>
        <v>-2.224507734</v>
      </c>
      <c r="BH126" s="4"/>
      <c r="BI126" s="4"/>
      <c r="BJ126" s="4"/>
      <c r="BK126" s="4"/>
    </row>
    <row r="127">
      <c r="A127" s="4"/>
      <c r="B127" s="4"/>
      <c r="C127" s="4"/>
      <c r="D127" s="4">
        <f>IFERROR(__xludf.DUMMYFUNCTION("""COMPUTED_VALUE"""),96.42109387426503)</f>
        <v>96.42109387</v>
      </c>
      <c r="E127" s="23">
        <f>IFERROR(__xludf.DUMMYFUNCTION("""COMPUTED_VALUE"""),-3.066879449506075)</f>
        <v>-3.06687945</v>
      </c>
      <c r="F127" s="4"/>
      <c r="G127" s="4"/>
      <c r="H127" s="4">
        <f>IFERROR(__xludf.DUMMYFUNCTION("""COMPUTED_VALUE"""),-5.409976755228797)</f>
        <v>-5.409976755</v>
      </c>
      <c r="I127" s="4"/>
      <c r="J127" s="4"/>
      <c r="K127" s="4">
        <f>IFERROR(__xludf.DUMMYFUNCTION("""COMPUTED_VALUE"""),-0.11135518340432782)</f>
        <v>-0.1113551834</v>
      </c>
      <c r="L127" s="4"/>
      <c r="M127" s="4"/>
      <c r="N127" s="4">
        <f>IFERROR(__xludf.DUMMYFUNCTION("""COMPUTED_VALUE"""),-4.1601761001770114)</f>
        <v>-4.1601761</v>
      </c>
      <c r="O127" s="4"/>
      <c r="P127" s="4"/>
      <c r="Q127" s="4">
        <f>IFERROR(__xludf.DUMMYFUNCTION("""COMPUTED_VALUE"""),0.6319251467826916)</f>
        <v>0.6319251468</v>
      </c>
      <c r="R127" s="4"/>
      <c r="S127" s="4"/>
      <c r="T127" s="4">
        <f>IFERROR(__xludf.DUMMYFUNCTION("""COMPUTED_VALUE"""),-9.606016463666947)</f>
        <v>-9.606016464</v>
      </c>
      <c r="U127" s="4"/>
      <c r="V127" s="4"/>
      <c r="W127" s="4">
        <f>IFERROR(__xludf.DUMMYFUNCTION("""COMPUTED_VALUE"""),-3.120758802255068)</f>
        <v>-3.120758802</v>
      </c>
      <c r="X127" s="4"/>
      <c r="Y127" s="4"/>
      <c r="Z127" s="4">
        <f>IFERROR(__xludf.DUMMYFUNCTION("""COMPUTED_VALUE"""),-5.203795902541287)</f>
        <v>-5.203795903</v>
      </c>
      <c r="AA127" s="4"/>
      <c r="AB127" s="4"/>
      <c r="AC127" s="4">
        <f>IFERROR(__xludf.DUMMYFUNCTION("""COMPUTED_VALUE"""),13.159015644981764)</f>
        <v>13.15901564</v>
      </c>
      <c r="AD127" s="4"/>
      <c r="AE127" s="4"/>
      <c r="AF127" s="4">
        <f>IFERROR(__xludf.DUMMYFUNCTION("""COMPUTED_VALUE"""),4.149236962492978)</f>
        <v>4.149236962</v>
      </c>
      <c r="AG127" s="4"/>
      <c r="AH127" s="4"/>
      <c r="AI127" s="4">
        <f>IFERROR(__xludf.DUMMYFUNCTION("""COMPUTED_VALUE"""),5.470225317547829)</f>
        <v>5.470225318</v>
      </c>
      <c r="AJ127" s="4"/>
      <c r="AK127" s="4"/>
      <c r="AL127" s="4">
        <f>IFERROR(__xludf.DUMMYFUNCTION("""COMPUTED_VALUE"""),0.26805522201135545)</f>
        <v>0.268055222</v>
      </c>
      <c r="AM127" s="4"/>
      <c r="AN127" s="4"/>
      <c r="AO127" s="4">
        <f>IFERROR(__xludf.DUMMYFUNCTION("""COMPUTED_VALUE"""),2.2122642676823148)</f>
        <v>2.212264268</v>
      </c>
      <c r="AP127" s="4"/>
      <c r="AQ127" s="4"/>
      <c r="AR127" s="4">
        <f>IFERROR(__xludf.DUMMYFUNCTION("""COMPUTED_VALUE"""),3.8202810855812004)</f>
        <v>3.820281086</v>
      </c>
      <c r="AS127" s="4"/>
      <c r="AT127" s="4"/>
      <c r="AU127" s="4">
        <f>IFERROR(__xludf.DUMMYFUNCTION("""COMPUTED_VALUE"""),0.04927470889140295)</f>
        <v>0.04927470889</v>
      </c>
      <c r="AV127" s="4"/>
      <c r="AW127" s="4"/>
      <c r="AX127" s="4">
        <f>IFERROR(__xludf.DUMMYFUNCTION("""COMPUTED_VALUE"""),3.8704902208416456)</f>
        <v>3.870490221</v>
      </c>
      <c r="AY127" s="4"/>
      <c r="AZ127" s="4"/>
      <c r="BA127" s="4">
        <f>IFERROR(__xludf.DUMMYFUNCTION("""COMPUTED_VALUE"""),9.679140262510089)</f>
        <v>9.679140263</v>
      </c>
      <c r="BB127" s="4"/>
      <c r="BC127" s="4"/>
      <c r="BD127" s="4">
        <f>IFERROR(__xludf.DUMMYFUNCTION("""COMPUTED_VALUE"""),1.9067811265665568)</f>
        <v>1.906781127</v>
      </c>
      <c r="BE127" s="4"/>
      <c r="BF127" s="4"/>
      <c r="BG127" s="4">
        <f>IFERROR(__xludf.DUMMYFUNCTION("""COMPUTED_VALUE"""),-6.597857565886045)</f>
        <v>-6.597857566</v>
      </c>
      <c r="BH127" s="4"/>
      <c r="BI127" s="4"/>
      <c r="BJ127" s="4"/>
      <c r="BK127" s="4"/>
    </row>
    <row r="128">
      <c r="A128" s="4"/>
      <c r="B128" s="4"/>
      <c r="C128" s="4"/>
      <c r="D128" s="4">
        <f>IFERROR(__xludf.DUMMYFUNCTION("""COMPUTED_VALUE"""),95.50279774357989)</f>
        <v>95.50279774</v>
      </c>
      <c r="E128" s="23">
        <f>IFERROR(__xludf.DUMMYFUNCTION("""COMPUTED_VALUE"""),-9.785379891815637)</f>
        <v>-9.785379892</v>
      </c>
      <c r="F128" s="4"/>
      <c r="G128" s="4"/>
      <c r="H128" s="4">
        <f>IFERROR(__xludf.DUMMYFUNCTION("""COMPUTED_VALUE"""),-0.9035214128281837)</f>
        <v>-0.9035214128</v>
      </c>
      <c r="I128" s="4"/>
      <c r="J128" s="4"/>
      <c r="K128" s="4">
        <f>IFERROR(__xludf.DUMMYFUNCTION("""COMPUTED_VALUE"""),-5.097567907256348)</f>
        <v>-5.097567907</v>
      </c>
      <c r="L128" s="4"/>
      <c r="M128" s="4"/>
      <c r="N128" s="4">
        <f>IFERROR(__xludf.DUMMYFUNCTION("""COMPUTED_VALUE"""),-4.965617096829931)</f>
        <v>-4.965617097</v>
      </c>
      <c r="O128" s="4"/>
      <c r="P128" s="4"/>
      <c r="Q128" s="4">
        <f>IFERROR(__xludf.DUMMYFUNCTION("""COMPUTED_VALUE"""),-5.061176447242531)</f>
        <v>-5.061176447</v>
      </c>
      <c r="R128" s="4"/>
      <c r="S128" s="4"/>
      <c r="T128" s="4">
        <f>IFERROR(__xludf.DUMMYFUNCTION("""COMPUTED_VALUE"""),-4.001946780088247)</f>
        <v>-4.00194678</v>
      </c>
      <c r="U128" s="4"/>
      <c r="V128" s="4"/>
      <c r="W128" s="4">
        <f>IFERROR(__xludf.DUMMYFUNCTION("""COMPUTED_VALUE"""),-8.234162520730251)</f>
        <v>-8.234162521</v>
      </c>
      <c r="X128" s="4"/>
      <c r="Y128" s="4"/>
      <c r="Z128" s="4">
        <f>IFERROR(__xludf.DUMMYFUNCTION("""COMPUTED_VALUE"""),3.153084087452271)</f>
        <v>3.153084087</v>
      </c>
      <c r="AA128" s="4"/>
      <c r="AB128" s="4"/>
      <c r="AC128" s="4">
        <f>IFERROR(__xludf.DUMMYFUNCTION("""COMPUTED_VALUE"""),0.48263254733802796)</f>
        <v>0.4826325473</v>
      </c>
      <c r="AD128" s="4"/>
      <c r="AE128" s="4"/>
      <c r="AF128" s="4">
        <f>IFERROR(__xludf.DUMMYFUNCTION("""COMPUTED_VALUE"""),6.582319201227222)</f>
        <v>6.582319201</v>
      </c>
      <c r="AG128" s="4"/>
      <c r="AH128" s="4"/>
      <c r="AI128" s="4">
        <f>IFERROR(__xludf.DUMMYFUNCTION("""COMPUTED_VALUE"""),1.8659895026880804)</f>
        <v>1.865989503</v>
      </c>
      <c r="AJ128" s="4"/>
      <c r="AK128" s="4"/>
      <c r="AL128" s="4">
        <f>IFERROR(__xludf.DUMMYFUNCTION("""COMPUTED_VALUE"""),6.1827550266708045)</f>
        <v>6.182755027</v>
      </c>
      <c r="AM128" s="4"/>
      <c r="AN128" s="4"/>
      <c r="AO128" s="4">
        <f>IFERROR(__xludf.DUMMYFUNCTION("""COMPUTED_VALUE"""),5.5184050271724345)</f>
        <v>5.518405027</v>
      </c>
      <c r="AP128" s="4"/>
      <c r="AQ128" s="4"/>
      <c r="AR128" s="4">
        <f>IFERROR(__xludf.DUMMYFUNCTION("""COMPUTED_VALUE"""),2.066621375049408)</f>
        <v>2.066621375</v>
      </c>
      <c r="AS128" s="4"/>
      <c r="AT128" s="4"/>
      <c r="AU128" s="4">
        <f>IFERROR(__xludf.DUMMYFUNCTION("""COMPUTED_VALUE"""),3.929247939771926)</f>
        <v>3.92924794</v>
      </c>
      <c r="AV128" s="4"/>
      <c r="AW128" s="4"/>
      <c r="AX128" s="4">
        <f>IFERROR(__xludf.DUMMYFUNCTION("""COMPUTED_VALUE"""),9.08057810452658)</f>
        <v>9.080578105</v>
      </c>
      <c r="AY128" s="4"/>
      <c r="AZ128" s="4"/>
      <c r="BA128" s="4">
        <f>IFERROR(__xludf.DUMMYFUNCTION("""COMPUTED_VALUE"""),-0.09780545805176644)</f>
        <v>-0.09780545805</v>
      </c>
      <c r="BB128" s="4"/>
      <c r="BC128" s="4"/>
      <c r="BD128" s="4">
        <f>IFERROR(__xludf.DUMMYFUNCTION("""COMPUTED_VALUE"""),-3.6635878713542525)</f>
        <v>-3.663587871</v>
      </c>
      <c r="BE128" s="4"/>
      <c r="BF128" s="4"/>
      <c r="BG128" s="4">
        <f>IFERROR(__xludf.DUMMYFUNCTION("""COMPUTED_VALUE"""),-2.3360711398368608)</f>
        <v>-2.33607114</v>
      </c>
      <c r="BH128" s="4"/>
      <c r="BI128" s="4"/>
      <c r="BJ128" s="4"/>
      <c r="BK128" s="4"/>
    </row>
    <row r="129">
      <c r="A129" s="4"/>
      <c r="B129" s="4"/>
      <c r="C129" s="4"/>
      <c r="D129" s="4">
        <f>IFERROR(__xludf.DUMMYFUNCTION("""COMPUTED_VALUE"""),94.58450161083017)</f>
        <v>94.58450161</v>
      </c>
      <c r="E129" s="23">
        <f>IFERROR(__xludf.DUMMYFUNCTION("""COMPUTED_VALUE"""),-2.4728465204091776)</f>
        <v>-2.47284652</v>
      </c>
      <c r="F129" s="4"/>
      <c r="G129" s="4"/>
      <c r="H129" s="4">
        <f>IFERROR(__xludf.DUMMYFUNCTION("""COMPUTED_VALUE"""),-0.0022149011291503484)</f>
        <v>-0.002214901129</v>
      </c>
      <c r="I129" s="4"/>
      <c r="J129" s="4"/>
      <c r="K129" s="4">
        <f>IFERROR(__xludf.DUMMYFUNCTION("""COMPUTED_VALUE"""),-0.4005494931253111)</f>
        <v>-0.4005494931</v>
      </c>
      <c r="L129" s="4"/>
      <c r="M129" s="4"/>
      <c r="N129" s="4">
        <f>IFERROR(__xludf.DUMMYFUNCTION("""COMPUTED_VALUE"""),-7.47653418743397)</f>
        <v>-7.476534187</v>
      </c>
      <c r="O129" s="4"/>
      <c r="P129" s="4"/>
      <c r="Q129" s="4">
        <f>IFERROR(__xludf.DUMMYFUNCTION("""COMPUTED_VALUE"""),-6.197458428685536)</f>
        <v>-6.197458429</v>
      </c>
      <c r="R129" s="4"/>
      <c r="S129" s="4"/>
      <c r="T129" s="4">
        <f>IFERROR(__xludf.DUMMYFUNCTION("""COMPUTED_VALUE"""),-10.373937608992321)</f>
        <v>-10.37393761</v>
      </c>
      <c r="U129" s="4"/>
      <c r="V129" s="4"/>
      <c r="W129" s="4">
        <f>IFERROR(__xludf.DUMMYFUNCTION("""COMPUTED_VALUE"""),-2.8439034003233132)</f>
        <v>-2.8439034</v>
      </c>
      <c r="X129" s="4"/>
      <c r="Y129" s="4"/>
      <c r="Z129" s="4">
        <f>IFERROR(__xludf.DUMMYFUNCTION("""COMPUTED_VALUE"""),-1.1245092487849888)</f>
        <v>-1.124509249</v>
      </c>
      <c r="AA129" s="4"/>
      <c r="AB129" s="4"/>
      <c r="AC129" s="4">
        <f>IFERROR(__xludf.DUMMYFUNCTION("""COMPUTED_VALUE"""),1.979103191832337)</f>
        <v>1.979103192</v>
      </c>
      <c r="AD129" s="4"/>
      <c r="AE129" s="4"/>
      <c r="AF129" s="4">
        <f>IFERROR(__xludf.DUMMYFUNCTION("""COMPUTED_VALUE"""),6.965918500555858)</f>
        <v>6.965918501</v>
      </c>
      <c r="AG129" s="4"/>
      <c r="AH129" s="4"/>
      <c r="AI129" s="4">
        <f>IFERROR(__xludf.DUMMYFUNCTION("""COMPUTED_VALUE"""),6.227901577719024)</f>
        <v>6.227901578</v>
      </c>
      <c r="AJ129" s="4"/>
      <c r="AK129" s="4"/>
      <c r="AL129" s="4">
        <f>IFERROR(__xludf.DUMMYFUNCTION("""COMPUTED_VALUE"""),7.547102204091004)</f>
        <v>7.547102204</v>
      </c>
      <c r="AM129" s="4"/>
      <c r="AN129" s="4"/>
      <c r="AO129" s="4">
        <f>IFERROR(__xludf.DUMMYFUNCTION("""COMPUTED_VALUE"""),0.28552613712071206)</f>
        <v>0.2855261371</v>
      </c>
      <c r="AP129" s="4"/>
      <c r="AQ129" s="4"/>
      <c r="AR129" s="4">
        <f>IFERROR(__xludf.DUMMYFUNCTION("""COMPUTED_VALUE"""),2.362691539962441)</f>
        <v>2.36269154</v>
      </c>
      <c r="AS129" s="4"/>
      <c r="AT129" s="4"/>
      <c r="AU129" s="4">
        <f>IFERROR(__xludf.DUMMYFUNCTION("""COMPUTED_VALUE"""),4.890457932934169)</f>
        <v>4.890457933</v>
      </c>
      <c r="AV129" s="4"/>
      <c r="AW129" s="4"/>
      <c r="AX129" s="4">
        <f>IFERROR(__xludf.DUMMYFUNCTION("""COMPUTED_VALUE"""),1.3561278752591193)</f>
        <v>1.356127875</v>
      </c>
      <c r="AY129" s="4"/>
      <c r="AZ129" s="4"/>
      <c r="BA129" s="4">
        <f>IFERROR(__xludf.DUMMYFUNCTION("""COMPUTED_VALUE"""),2.9283480852415096)</f>
        <v>2.928348085</v>
      </c>
      <c r="BB129" s="4"/>
      <c r="BC129" s="4"/>
      <c r="BD129" s="4">
        <f>IFERROR(__xludf.DUMMYFUNCTION("""COMPUTED_VALUE"""),-1.1996583904115141)</f>
        <v>-1.19965839</v>
      </c>
      <c r="BE129" s="4"/>
      <c r="BF129" s="4"/>
      <c r="BG129" s="4">
        <f>IFERROR(__xludf.DUMMYFUNCTION("""COMPUTED_VALUE"""),-8.30620878027139)</f>
        <v>-8.30620878</v>
      </c>
      <c r="BH129" s="4"/>
      <c r="BI129" s="4"/>
      <c r="BJ129" s="4"/>
      <c r="BK129" s="4"/>
    </row>
    <row r="130">
      <c r="A130" s="4"/>
      <c r="B130" s="4"/>
      <c r="C130" s="4"/>
      <c r="D130" s="4">
        <f>IFERROR(__xludf.DUMMYFUNCTION("""COMPUTED_VALUE"""),93.6662054780301)</f>
        <v>93.66620548</v>
      </c>
      <c r="E130" s="23">
        <f>IFERROR(__xludf.DUMMYFUNCTION("""COMPUTED_VALUE"""),-3.5903126167141863)</f>
        <v>-3.590312617</v>
      </c>
      <c r="F130" s="4"/>
      <c r="G130" s="4"/>
      <c r="H130" s="4">
        <f>IFERROR(__xludf.DUMMYFUNCTION("""COMPUTED_VALUE"""),2.3559573434957883)</f>
        <v>2.355957343</v>
      </c>
      <c r="I130" s="4"/>
      <c r="J130" s="4"/>
      <c r="K130" s="4">
        <f>IFERROR(__xludf.DUMMYFUNCTION("""COMPUTED_VALUE"""),-4.52724631874986)</f>
        <v>-4.527246319</v>
      </c>
      <c r="L130" s="4"/>
      <c r="M130" s="4"/>
      <c r="N130" s="4">
        <f>IFERROR(__xludf.DUMMYFUNCTION("""COMPUTED_VALUE"""),-4.263398400226038)</f>
        <v>-4.2633984</v>
      </c>
      <c r="O130" s="4"/>
      <c r="P130" s="4"/>
      <c r="Q130" s="4">
        <f>IFERROR(__xludf.DUMMYFUNCTION("""COMPUTED_VALUE"""),-1.8105198016239683)</f>
        <v>-1.810519802</v>
      </c>
      <c r="R130" s="4"/>
      <c r="S130" s="4"/>
      <c r="T130" s="4">
        <f>IFERROR(__xludf.DUMMYFUNCTION("""COMPUTED_VALUE"""),-1.461512522500641)</f>
        <v>-1.461512523</v>
      </c>
      <c r="U130" s="4"/>
      <c r="V130" s="4"/>
      <c r="W130" s="4">
        <f>IFERROR(__xludf.DUMMYFUNCTION("""COMPUTED_VALUE"""),0.4899335593978549)</f>
        <v>0.4899335594</v>
      </c>
      <c r="X130" s="4"/>
      <c r="Y130" s="4"/>
      <c r="Z130" s="4">
        <f>IFERROR(__xludf.DUMMYFUNCTION("""COMPUTED_VALUE"""),3.64737960485013)</f>
        <v>3.647379605</v>
      </c>
      <c r="AA130" s="4"/>
      <c r="AB130" s="4"/>
      <c r="AC130" s="4">
        <f>IFERROR(__xludf.DUMMYFUNCTION("""COMPUTED_VALUE"""),3.4386111575719838)</f>
        <v>3.438611158</v>
      </c>
      <c r="AD130" s="4"/>
      <c r="AE130" s="4"/>
      <c r="AF130" s="4">
        <f>IFERROR(__xludf.DUMMYFUNCTION("""COMPUTED_VALUE"""),10.836300508460056)</f>
        <v>10.83630051</v>
      </c>
      <c r="AG130" s="4"/>
      <c r="AH130" s="4"/>
      <c r="AI130" s="4">
        <f>IFERROR(__xludf.DUMMYFUNCTION("""COMPUTED_VALUE"""),11.362258835903049)</f>
        <v>11.36225884</v>
      </c>
      <c r="AJ130" s="4"/>
      <c r="AK130" s="4"/>
      <c r="AL130" s="4">
        <f>IFERROR(__xludf.DUMMYFUNCTION("""COMPUTED_VALUE"""),10.222838913503153)</f>
        <v>10.22283891</v>
      </c>
      <c r="AM130" s="4"/>
      <c r="AN130" s="4"/>
      <c r="AO130" s="4">
        <f>IFERROR(__xludf.DUMMYFUNCTION("""COMPUTED_VALUE"""),7.9578486219430715)</f>
        <v>7.957848622</v>
      </c>
      <c r="AP130" s="4"/>
      <c r="AQ130" s="4"/>
      <c r="AR130" s="4">
        <f>IFERROR(__xludf.DUMMYFUNCTION("""COMPUTED_VALUE"""),9.749894323530725)</f>
        <v>9.749894324</v>
      </c>
      <c r="AS130" s="4"/>
      <c r="AT130" s="4"/>
      <c r="AU130" s="4">
        <f>IFERROR(__xludf.DUMMYFUNCTION("""COMPUTED_VALUE"""),4.438509108845494)</f>
        <v>4.438509109</v>
      </c>
      <c r="AV130" s="4"/>
      <c r="AW130" s="4"/>
      <c r="AX130" s="4">
        <f>IFERROR(__xludf.DUMMYFUNCTION("""COMPUTED_VALUE"""),-3.1811878569528176)</f>
        <v>-3.181187857</v>
      </c>
      <c r="AY130" s="4"/>
      <c r="AZ130" s="4"/>
      <c r="BA130" s="4">
        <f>IFERROR(__xludf.DUMMYFUNCTION("""COMPUTED_VALUE"""),-0.3523480202591145)</f>
        <v>-0.3523480203</v>
      </c>
      <c r="BB130" s="4"/>
      <c r="BC130" s="4"/>
      <c r="BD130" s="4">
        <f>IFERROR(__xludf.DUMMYFUNCTION("""COMPUTED_VALUE"""),1.2940730175121757)</f>
        <v>1.294073018</v>
      </c>
      <c r="BE130" s="4"/>
      <c r="BF130" s="4"/>
      <c r="BG130" s="4">
        <f>IFERROR(__xludf.DUMMYFUNCTION("""COMPUTED_VALUE"""),-3.8523947945402597)</f>
        <v>-3.852394795</v>
      </c>
      <c r="BH130" s="4"/>
      <c r="BI130" s="4"/>
      <c r="BJ130" s="4"/>
      <c r="BK130" s="4"/>
    </row>
    <row r="131">
      <c r="A131" s="4"/>
      <c r="B131" s="4"/>
      <c r="C131" s="4"/>
      <c r="D131" s="4">
        <f>IFERROR(__xludf.DUMMYFUNCTION("""COMPUTED_VALUE"""),92.74790934734497)</f>
        <v>92.74790935</v>
      </c>
      <c r="E131" s="23">
        <f>IFERROR(__xludf.DUMMYFUNCTION("""COMPUTED_VALUE"""),2.735233797486387)</f>
        <v>2.735233797</v>
      </c>
      <c r="F131" s="4"/>
      <c r="G131" s="4"/>
      <c r="H131" s="4">
        <f>IFERROR(__xludf.DUMMYFUNCTION("""COMPUTED_VALUE"""),5.081477141966559)</f>
        <v>5.081477142</v>
      </c>
      <c r="I131" s="4"/>
      <c r="J131" s="4"/>
      <c r="K131" s="4">
        <f>IFERROR(__xludf.DUMMYFUNCTION("""COMPUTED_VALUE"""),-0.30316549289619843)</f>
        <v>-0.3031654929</v>
      </c>
      <c r="L131" s="4"/>
      <c r="M131" s="4"/>
      <c r="N131" s="4">
        <f>IFERROR(__xludf.DUMMYFUNCTION("""COMPUTED_VALUE"""),-5.038123062862098)</f>
        <v>-5.038123063</v>
      </c>
      <c r="O131" s="4"/>
      <c r="P131" s="4"/>
      <c r="Q131" s="4">
        <f>IFERROR(__xludf.DUMMYFUNCTION("""COMPUTED_VALUE"""),-1.9061294142873635)</f>
        <v>-1.906129414</v>
      </c>
      <c r="R131" s="4"/>
      <c r="S131" s="4"/>
      <c r="T131" s="4">
        <f>IFERROR(__xludf.DUMMYFUNCTION("""COMPUTED_VALUE"""),-3.089118881372258)</f>
        <v>-3.089118881</v>
      </c>
      <c r="U131" s="4"/>
      <c r="V131" s="4"/>
      <c r="W131" s="4">
        <f>IFERROR(__xludf.DUMMYFUNCTION("""COMPUTED_VALUE"""),-9.889834302469751)</f>
        <v>-9.889834302</v>
      </c>
      <c r="X131" s="4"/>
      <c r="Y131" s="4"/>
      <c r="Z131" s="4">
        <f>IFERROR(__xludf.DUMMYFUNCTION("""COMPUTED_VALUE"""),1.6369410965439215)</f>
        <v>1.636941097</v>
      </c>
      <c r="AA131" s="4"/>
      <c r="AB131" s="4"/>
      <c r="AC131" s="4">
        <f>IFERROR(__xludf.DUMMYFUNCTION("""COMPUTED_VALUE"""),8.61361806451697)</f>
        <v>8.613618065</v>
      </c>
      <c r="AD131" s="4"/>
      <c r="AE131" s="4"/>
      <c r="AF131" s="4">
        <f>IFERROR(__xludf.DUMMYFUNCTION("""COMPUTED_VALUE"""),6.8422780753702455)</f>
        <v>6.842278075</v>
      </c>
      <c r="AG131" s="4"/>
      <c r="AH131" s="4"/>
      <c r="AI131" s="4">
        <f>IFERROR(__xludf.DUMMYFUNCTION("""COMPUTED_VALUE"""),9.64929118479995)</f>
        <v>9.649291185</v>
      </c>
      <c r="AJ131" s="4"/>
      <c r="AK131" s="4"/>
      <c r="AL131" s="4">
        <f>IFERROR(__xludf.DUMMYFUNCTION("""COMPUTED_VALUE"""),6.85514274119447)</f>
        <v>6.855142741</v>
      </c>
      <c r="AM131" s="4"/>
      <c r="AN131" s="4"/>
      <c r="AO131" s="4">
        <f>IFERROR(__xludf.DUMMYFUNCTION("""COMPUTED_VALUE"""),8.589603474207138)</f>
        <v>8.589603474</v>
      </c>
      <c r="AP131" s="4"/>
      <c r="AQ131" s="4"/>
      <c r="AR131" s="4">
        <f>IFERROR(__xludf.DUMMYFUNCTION("""COMPUTED_VALUE"""),7.276273976012135)</f>
        <v>7.276273976</v>
      </c>
      <c r="AS131" s="4"/>
      <c r="AT131" s="4"/>
      <c r="AU131" s="4">
        <f>IFERROR(__xludf.DUMMYFUNCTION("""COMPUTED_VALUE"""),2.7160793977964204)</f>
        <v>2.716079398</v>
      </c>
      <c r="AV131" s="4"/>
      <c r="AW131" s="4"/>
      <c r="AX131" s="4">
        <f>IFERROR(__xludf.DUMMYFUNCTION("""COMPUTED_VALUE"""),4.4588101319683915)</f>
        <v>4.458810132</v>
      </c>
      <c r="AY131" s="4"/>
      <c r="AZ131" s="4"/>
      <c r="BA131" s="4">
        <f>IFERROR(__xludf.DUMMYFUNCTION("""COMPUTED_VALUE"""),2.902260529032503)</f>
        <v>2.902260529</v>
      </c>
      <c r="BB131" s="4"/>
      <c r="BC131" s="4"/>
      <c r="BD131" s="4">
        <f>IFERROR(__xludf.DUMMYFUNCTION("""COMPUTED_VALUE"""),5.125885474751385)</f>
        <v>5.125885475</v>
      </c>
      <c r="BE131" s="4"/>
      <c r="BF131" s="4"/>
      <c r="BG131" s="4">
        <f>IFERROR(__xludf.DUMMYFUNCTION("""COMPUTED_VALUE"""),-4.510556084046698)</f>
        <v>-4.510556084</v>
      </c>
      <c r="BH131" s="4"/>
      <c r="BI131" s="4"/>
      <c r="BJ131" s="4"/>
      <c r="BK131" s="4"/>
    </row>
    <row r="132">
      <c r="A132" s="4"/>
      <c r="B132" s="4"/>
      <c r="C132" s="4"/>
      <c r="D132" s="4">
        <f>IFERROR(__xludf.DUMMYFUNCTION("""COMPUTED_VALUE"""),91.82961321459526)</f>
        <v>91.82961321</v>
      </c>
      <c r="E132" s="23">
        <f>IFERROR(__xludf.DUMMYFUNCTION("""COMPUTED_VALUE"""),-2.2568422096218796)</f>
        <v>-2.25684221</v>
      </c>
      <c r="F132" s="4"/>
      <c r="G132" s="4"/>
      <c r="H132" s="4">
        <f>IFERROR(__xludf.DUMMYFUNCTION("""COMPUTED_VALUE"""),-4.488958825722193)</f>
        <v>-4.488958826</v>
      </c>
      <c r="I132" s="4"/>
      <c r="J132" s="4"/>
      <c r="K132" s="4">
        <f>IFERROR(__xludf.DUMMYFUNCTION("""COMPUTED_VALUE"""),-0.8239549311604151)</f>
        <v>-0.8239549312</v>
      </c>
      <c r="L132" s="4"/>
      <c r="M132" s="4"/>
      <c r="N132" s="4">
        <f>IFERROR(__xludf.DUMMYFUNCTION("""COMPUTED_VALUE"""),0.41934705426024266)</f>
        <v>0.4193470543</v>
      </c>
      <c r="O132" s="4"/>
      <c r="P132" s="4"/>
      <c r="Q132" s="4">
        <f>IFERROR(__xludf.DUMMYFUNCTION("""COMPUTED_VALUE"""),-4.279684718471458)</f>
        <v>-4.279684718</v>
      </c>
      <c r="R132" s="4"/>
      <c r="S132" s="4"/>
      <c r="T132" s="4">
        <f>IFERROR(__xludf.DUMMYFUNCTION("""COMPUTED_VALUE"""),-5.5411976694716145)</f>
        <v>-5.541197669</v>
      </c>
      <c r="U132" s="4"/>
      <c r="V132" s="4"/>
      <c r="W132" s="4">
        <f>IFERROR(__xludf.DUMMYFUNCTION("""COMPUTED_VALUE"""),-6.378297018110857)</f>
        <v>-6.378297018</v>
      </c>
      <c r="X132" s="4"/>
      <c r="Y132" s="4"/>
      <c r="Z132" s="4">
        <f>IFERROR(__xludf.DUMMYFUNCTION("""COMPUTED_VALUE"""),-0.2241825162495843)</f>
        <v>-0.2241825162</v>
      </c>
      <c r="AA132" s="4"/>
      <c r="AB132" s="4"/>
      <c r="AC132" s="4">
        <f>IFERROR(__xludf.DUMMYFUNCTION("""COMPUTED_VALUE"""),9.742043159427965)</f>
        <v>9.742043159</v>
      </c>
      <c r="AD132" s="4"/>
      <c r="AE132" s="4"/>
      <c r="AF132" s="4">
        <f>IFERROR(__xludf.DUMMYFUNCTION("""COMPUTED_VALUE"""),9.244035741578386)</f>
        <v>9.244035742</v>
      </c>
      <c r="AG132" s="4"/>
      <c r="AH132" s="4"/>
      <c r="AI132" s="4">
        <f>IFERROR(__xludf.DUMMYFUNCTION("""COMPUTED_VALUE"""),9.444173730386638)</f>
        <v>9.44417373</v>
      </c>
      <c r="AJ132" s="4"/>
      <c r="AK132" s="4"/>
      <c r="AL132" s="4">
        <f>IFERROR(__xludf.DUMMYFUNCTION("""COMPUTED_VALUE"""),12.31894253663711)</f>
        <v>12.31894254</v>
      </c>
      <c r="AM132" s="4"/>
      <c r="AN132" s="4"/>
      <c r="AO132" s="4">
        <f>IFERROR(__xludf.DUMMYFUNCTION("""COMPUTED_VALUE"""),9.900209149429259)</f>
        <v>9.900209149</v>
      </c>
      <c r="AP132" s="4"/>
      <c r="AQ132" s="4"/>
      <c r="AR132" s="4">
        <f>IFERROR(__xludf.DUMMYFUNCTION("""COMPUTED_VALUE"""),6.31613709517103)</f>
        <v>6.316137095</v>
      </c>
      <c r="AS132" s="4"/>
      <c r="AT132" s="4"/>
      <c r="AU132" s="4">
        <f>IFERROR(__xludf.DUMMYFUNCTION("""COMPUTED_VALUE"""),4.66782230940845)</f>
        <v>4.667822309</v>
      </c>
      <c r="AV132" s="4"/>
      <c r="AW132" s="4"/>
      <c r="AX132" s="4">
        <f>IFERROR(__xludf.DUMMYFUNCTION("""COMPUTED_VALUE"""),2.6585415531749277)</f>
        <v>2.658541553</v>
      </c>
      <c r="AY132" s="4"/>
      <c r="AZ132" s="4"/>
      <c r="BA132" s="4">
        <f>IFERROR(__xludf.DUMMYFUNCTION("""COMPUTED_VALUE"""),6.36526802543483)</f>
        <v>6.365268025</v>
      </c>
      <c r="BB132" s="4"/>
      <c r="BC132" s="4"/>
      <c r="BD132" s="4">
        <f>IFERROR(__xludf.DUMMYFUNCTION("""COMPUTED_VALUE"""),-1.6802740189702376)</f>
        <v>-1.680274019</v>
      </c>
      <c r="BE132" s="4"/>
      <c r="BF132" s="4"/>
      <c r="BG132" s="4">
        <f>IFERROR(__xludf.DUMMYFUNCTION("""COMPUTED_VALUE"""),-2.51981450837701)</f>
        <v>-2.519814508</v>
      </c>
      <c r="BH132" s="4"/>
      <c r="BI132" s="4"/>
      <c r="BJ132" s="4"/>
      <c r="BK132" s="4"/>
    </row>
    <row r="133">
      <c r="A133" s="4"/>
      <c r="B133" s="4"/>
      <c r="C133" s="4"/>
      <c r="D133" s="4">
        <f>IFERROR(__xludf.DUMMYFUNCTION("""COMPUTED_VALUE"""),90.91131708179518)</f>
        <v>90.91131708</v>
      </c>
      <c r="E133" s="23">
        <f>IFERROR(__xludf.DUMMYFUNCTION("""COMPUTED_VALUE"""),-7.281645200527407)</f>
        <v>-7.281645201</v>
      </c>
      <c r="F133" s="4"/>
      <c r="G133" s="4"/>
      <c r="H133" s="4">
        <f>IFERROR(__xludf.DUMMYFUNCTION("""COMPUTED_VALUE"""),-5.162528514279472)</f>
        <v>-5.162528514</v>
      </c>
      <c r="I133" s="4"/>
      <c r="J133" s="4"/>
      <c r="K133" s="4">
        <f>IFERROR(__xludf.DUMMYFUNCTION("""COMPUTED_VALUE"""),-5.072865857628983)</f>
        <v>-5.072865858</v>
      </c>
      <c r="L133" s="4"/>
      <c r="M133" s="4"/>
      <c r="N133" s="4">
        <f>IFERROR(__xludf.DUMMYFUNCTION("""COMPUTED_VALUE"""),-1.4415616851167101)</f>
        <v>-1.441561685</v>
      </c>
      <c r="O133" s="4"/>
      <c r="P133" s="4"/>
      <c r="Q133" s="4">
        <f>IFERROR(__xludf.DUMMYFUNCTION("""COMPUTED_VALUE"""),0.6734434061838783)</f>
        <v>0.6734434062</v>
      </c>
      <c r="R133" s="4"/>
      <c r="S133" s="4"/>
      <c r="T133" s="4">
        <f>IFERROR(__xludf.DUMMYFUNCTION("""COMPUTED_VALUE"""),-10.05470974706975)</f>
        <v>-10.05470975</v>
      </c>
      <c r="U133" s="4"/>
      <c r="V133" s="4"/>
      <c r="W133" s="4">
        <f>IFERROR(__xludf.DUMMYFUNCTION("""COMPUTED_VALUE"""),-6.254790334373411)</f>
        <v>-6.254790334</v>
      </c>
      <c r="X133" s="4"/>
      <c r="Y133" s="4"/>
      <c r="Z133" s="4">
        <f>IFERROR(__xludf.DUMMYFUNCTION("""COMPUTED_VALUE"""),-2.4550378093343284)</f>
        <v>-2.455037809</v>
      </c>
      <c r="AA133" s="4"/>
      <c r="AB133" s="4"/>
      <c r="AC133" s="4">
        <f>IFERROR(__xludf.DUMMYFUNCTION("""COMPUTED_VALUE"""),10.364959290563718)</f>
        <v>10.36495929</v>
      </c>
      <c r="AD133" s="4"/>
      <c r="AE133" s="4"/>
      <c r="AF133" s="4">
        <f>IFERROR(__xludf.DUMMYFUNCTION("""COMPUTED_VALUE"""),9.02674938736908)</f>
        <v>9.026749387</v>
      </c>
      <c r="AG133" s="4"/>
      <c r="AH133" s="4"/>
      <c r="AI133" s="4">
        <f>IFERROR(__xludf.DUMMYFUNCTION("""COMPUTED_VALUE"""),15.803363929004774)</f>
        <v>15.80336393</v>
      </c>
      <c r="AJ133" s="4"/>
      <c r="AK133" s="4"/>
      <c r="AL133" s="4">
        <f>IFERROR(__xludf.DUMMYFUNCTION("""COMPUTED_VALUE"""),13.09527612784035)</f>
        <v>13.09527613</v>
      </c>
      <c r="AM133" s="4"/>
      <c r="AN133" s="4"/>
      <c r="AO133" s="4">
        <f>IFERROR(__xludf.DUMMYFUNCTION("""COMPUTED_VALUE"""),9.243228435663752)</f>
        <v>9.243228436</v>
      </c>
      <c r="AP133" s="4"/>
      <c r="AQ133" s="4"/>
      <c r="AR133" s="4">
        <f>IFERROR(__xludf.DUMMYFUNCTION("""COMPUTED_VALUE"""),7.295594117164285)</f>
        <v>7.295594117</v>
      </c>
      <c r="AS133" s="4"/>
      <c r="AT133" s="4"/>
      <c r="AU133" s="4">
        <f>IFERROR(__xludf.DUMMYFUNCTION("""COMPUTED_VALUE"""),7.79528419835259)</f>
        <v>7.795284198</v>
      </c>
      <c r="AV133" s="4"/>
      <c r="AW133" s="4"/>
      <c r="AX133" s="4">
        <f>IFERROR(__xludf.DUMMYFUNCTION("""COMPUTED_VALUE"""),5.950343535550246)</f>
        <v>5.950343536</v>
      </c>
      <c r="AY133" s="4"/>
      <c r="AZ133" s="4"/>
      <c r="BA133" s="4">
        <f>IFERROR(__xludf.DUMMYFUNCTION("""COMPUTED_VALUE"""),7.492903618807077)</f>
        <v>7.492903619</v>
      </c>
      <c r="BB133" s="4"/>
      <c r="BC133" s="4"/>
      <c r="BD133" s="4">
        <f>IFERROR(__xludf.DUMMYFUNCTION("""COMPUTED_VALUE"""),-6.563954563698928)</f>
        <v>-6.563954564</v>
      </c>
      <c r="BE133" s="4"/>
      <c r="BF133" s="4"/>
      <c r="BG133" s="4">
        <f>IFERROR(__xludf.DUMMYFUNCTION("""COMPUTED_VALUE"""),-11.336608329815476)</f>
        <v>-11.33660833</v>
      </c>
      <c r="BH133" s="4"/>
      <c r="BI133" s="4"/>
      <c r="BJ133" s="4"/>
      <c r="BK133" s="4"/>
    </row>
    <row r="134">
      <c r="A134" s="4"/>
      <c r="B134" s="4"/>
      <c r="C134" s="4"/>
      <c r="D134" s="4">
        <f>IFERROR(__xludf.DUMMYFUNCTION("""COMPUTED_VALUE"""),89.9930209511604)</f>
        <v>89.99302095</v>
      </c>
      <c r="E134" s="23">
        <f>IFERROR(__xludf.DUMMYFUNCTION("""COMPUTED_VALUE"""),-0.7938222459816302)</f>
        <v>-0.793822246</v>
      </c>
      <c r="F134" s="4"/>
      <c r="G134" s="4"/>
      <c r="H134" s="4">
        <f>IFERROR(__xludf.DUMMYFUNCTION("""COMPUTED_VALUE"""),-2.957542106049459)</f>
        <v>-2.957542106</v>
      </c>
      <c r="I134" s="4"/>
      <c r="J134" s="4"/>
      <c r="K134" s="4">
        <f>IFERROR(__xludf.DUMMYFUNCTION("""COMPUTED_VALUE"""),6.207167363450367)</f>
        <v>6.207167363</v>
      </c>
      <c r="L134" s="4"/>
      <c r="M134" s="4"/>
      <c r="N134" s="4">
        <f>IFERROR(__xludf.DUMMYFUNCTION("""COMPUTED_VALUE"""),-2.125928715423754)</f>
        <v>-2.125928715</v>
      </c>
      <c r="O134" s="4"/>
      <c r="P134" s="4"/>
      <c r="Q134" s="4">
        <f>IFERROR(__xludf.DUMMYFUNCTION("""COMPUTED_VALUE"""),-0.26961946652613733)</f>
        <v>-0.2696194665</v>
      </c>
      <c r="R134" s="4"/>
      <c r="S134" s="4"/>
      <c r="T134" s="4">
        <f>IFERROR(__xludf.DUMMYFUNCTION("""COMPUTED_VALUE"""),-7.803062551050175)</f>
        <v>-7.803062551</v>
      </c>
      <c r="U134" s="4"/>
      <c r="V134" s="4"/>
      <c r="W134" s="4">
        <f>IFERROR(__xludf.DUMMYFUNCTION("""COMPUTED_VALUE"""),1.3282818739552908)</f>
        <v>1.328281874</v>
      </c>
      <c r="X134" s="4"/>
      <c r="Y134" s="4"/>
      <c r="Z134" s="4">
        <f>IFERROR(__xludf.DUMMYFUNCTION("""COMPUTED_VALUE"""),5.045143020820092)</f>
        <v>5.045143021</v>
      </c>
      <c r="AA134" s="4"/>
      <c r="AB134" s="4"/>
      <c r="AC134" s="4">
        <f>IFERROR(__xludf.DUMMYFUNCTION("""COMPUTED_VALUE"""),13.865138284401041)</f>
        <v>13.86513828</v>
      </c>
      <c r="AD134" s="4"/>
      <c r="AE134" s="4"/>
      <c r="AF134" s="4">
        <f>IFERROR(__xludf.DUMMYFUNCTION("""COMPUTED_VALUE"""),7.755549073112547)</f>
        <v>7.755549073</v>
      </c>
      <c r="AG134" s="4"/>
      <c r="AH134" s="4"/>
      <c r="AI134" s="4">
        <f>IFERROR(__xludf.DUMMYFUNCTION("""COMPUTED_VALUE"""),15.196049052307558)</f>
        <v>15.19604905</v>
      </c>
      <c r="AJ134" s="4"/>
      <c r="AK134" s="4"/>
      <c r="AL134" s="4">
        <f>IFERROR(__xludf.DUMMYFUNCTION("""COMPUTED_VALUE"""),20.291749045749498)</f>
        <v>20.29174905</v>
      </c>
      <c r="AM134" s="4"/>
      <c r="AN134" s="4"/>
      <c r="AO134" s="4">
        <f>IFERROR(__xludf.DUMMYFUNCTION("""COMPUTED_VALUE"""),17.564737358181844)</f>
        <v>17.56473736</v>
      </c>
      <c r="AP134" s="4"/>
      <c r="AQ134" s="4"/>
      <c r="AR134" s="4">
        <f>IFERROR(__xludf.DUMMYFUNCTION("""COMPUTED_VALUE"""),15.513545715101543)</f>
        <v>15.51354572</v>
      </c>
      <c r="AS134" s="4"/>
      <c r="AT134" s="4"/>
      <c r="AU134" s="4">
        <f>IFERROR(__xludf.DUMMYFUNCTION("""COMPUTED_VALUE"""),6.951881623616657)</f>
        <v>6.951881624</v>
      </c>
      <c r="AV134" s="4"/>
      <c r="AW134" s="4"/>
      <c r="AX134" s="4">
        <f>IFERROR(__xludf.DUMMYFUNCTION("""COMPUTED_VALUE"""),8.95800067597736)</f>
        <v>8.958000676</v>
      </c>
      <c r="AY134" s="4"/>
      <c r="AZ134" s="4"/>
      <c r="BA134" s="4">
        <f>IFERROR(__xludf.DUMMYFUNCTION("""COMPUTED_VALUE"""),6.75099993542409)</f>
        <v>6.750999935</v>
      </c>
      <c r="BB134" s="4"/>
      <c r="BC134" s="4"/>
      <c r="BD134" s="4">
        <f>IFERROR(__xludf.DUMMYFUNCTION("""COMPUTED_VALUE"""),0.3765944544529134)</f>
        <v>0.3765944545</v>
      </c>
      <c r="BE134" s="4"/>
      <c r="BF134" s="4"/>
      <c r="BG134" s="4">
        <f>IFERROR(__xludf.DUMMYFUNCTION("""COMPUTED_VALUE"""),2.2812531234398534)</f>
        <v>2.281253123</v>
      </c>
      <c r="BH134" s="4"/>
      <c r="BI134" s="4"/>
      <c r="BJ134" s="4"/>
      <c r="BK134" s="4"/>
    </row>
    <row r="135">
      <c r="A135" s="4"/>
      <c r="B135" s="4"/>
      <c r="C135" s="4"/>
      <c r="D135" s="4">
        <f>IFERROR(__xludf.DUMMYFUNCTION("""COMPUTED_VALUE"""),89.07472481836034)</f>
        <v>89.07472482</v>
      </c>
      <c r="E135" s="23">
        <f>IFERROR(__xludf.DUMMYFUNCTION("""COMPUTED_VALUE"""),-7.029034342630382)</f>
        <v>-7.029034343</v>
      </c>
      <c r="F135" s="4"/>
      <c r="G135" s="4"/>
      <c r="H135" s="4">
        <f>IFERROR(__xludf.DUMMYFUNCTION("""COMPUTED_VALUE"""),1.668329392951648)</f>
        <v>1.668329393</v>
      </c>
      <c r="I135" s="4"/>
      <c r="J135" s="4"/>
      <c r="K135" s="4">
        <f>IFERROR(__xludf.DUMMYFUNCTION("""COMPUTED_VALUE"""),-4.000530327388731)</f>
        <v>-4.000530327</v>
      </c>
      <c r="L135" s="4"/>
      <c r="M135" s="4"/>
      <c r="N135" s="4">
        <f>IFERROR(__xludf.DUMMYFUNCTION("""COMPUTED_VALUE"""),-7.390750342774595)</f>
        <v>-7.390750343</v>
      </c>
      <c r="O135" s="4"/>
      <c r="P135" s="4"/>
      <c r="Q135" s="4">
        <f>IFERROR(__xludf.DUMMYFUNCTION("""COMPUTED_VALUE"""),-2.806466772742681)</f>
        <v>-2.806466773</v>
      </c>
      <c r="R135" s="4"/>
      <c r="S135" s="4"/>
      <c r="T135" s="4">
        <f>IFERROR(__xludf.DUMMYFUNCTION("""COMPUTED_VALUE"""),-9.812665038600755)</f>
        <v>-9.812665039</v>
      </c>
      <c r="U135" s="4"/>
      <c r="V135" s="4"/>
      <c r="W135" s="4">
        <f>IFERROR(__xludf.DUMMYFUNCTION("""COMPUTED_VALUE"""),-2.33486700334538)</f>
        <v>-2.334867003</v>
      </c>
      <c r="X135" s="4"/>
      <c r="Y135" s="4"/>
      <c r="Z135" s="4">
        <f>IFERROR(__xludf.DUMMYFUNCTION("""COMPUTED_VALUE"""),4.20463082269805)</f>
        <v>4.204630823</v>
      </c>
      <c r="AA135" s="4"/>
      <c r="AB135" s="4"/>
      <c r="AC135" s="4">
        <f>IFERROR(__xludf.DUMMYFUNCTION("""COMPUTED_VALUE"""),4.899709089730493)</f>
        <v>4.89970909</v>
      </c>
      <c r="AD135" s="4"/>
      <c r="AE135" s="4"/>
      <c r="AF135" s="4">
        <f>IFERROR(__xludf.DUMMYFUNCTION("""COMPUTED_VALUE"""),11.564715268731959)</f>
        <v>11.56471527</v>
      </c>
      <c r="AG135" s="4"/>
      <c r="AH135" s="4"/>
      <c r="AI135" s="4">
        <f>IFERROR(__xludf.DUMMYFUNCTION("""COMPUTED_VALUE"""),19.923650317422073)</f>
        <v>19.92365032</v>
      </c>
      <c r="AJ135" s="4"/>
      <c r="AK135" s="4"/>
      <c r="AL135" s="4">
        <f>IFERROR(__xludf.DUMMYFUNCTION("""COMPUTED_VALUE"""),20.954813589052208)</f>
        <v>20.95481359</v>
      </c>
      <c r="AM135" s="4"/>
      <c r="AN135" s="4"/>
      <c r="AO135" s="4">
        <f>IFERROR(__xludf.DUMMYFUNCTION("""COMPUTED_VALUE"""),20.001919498221923)</f>
        <v>20.0019195</v>
      </c>
      <c r="AP135" s="4"/>
      <c r="AQ135" s="4"/>
      <c r="AR135" s="4">
        <f>IFERROR(__xludf.DUMMYFUNCTION("""COMPUTED_VALUE"""),14.365714153643466)</f>
        <v>14.36571415</v>
      </c>
      <c r="AS135" s="4"/>
      <c r="AT135" s="4"/>
      <c r="AU135" s="4">
        <f>IFERROR(__xludf.DUMMYFUNCTION("""COMPUTED_VALUE"""),12.499307777105514)</f>
        <v>12.49930778</v>
      </c>
      <c r="AV135" s="4"/>
      <c r="AW135" s="4"/>
      <c r="AX135" s="4">
        <f>IFERROR(__xludf.DUMMYFUNCTION("""COMPUTED_VALUE"""),9.869451873124888)</f>
        <v>9.869451873</v>
      </c>
      <c r="AY135" s="4"/>
      <c r="AZ135" s="4"/>
      <c r="BA135" s="4">
        <f>IFERROR(__xludf.DUMMYFUNCTION("""COMPUTED_VALUE"""),4.8573593811644855)</f>
        <v>4.857359381</v>
      </c>
      <c r="BB135" s="4"/>
      <c r="BC135" s="4"/>
      <c r="BD135" s="4">
        <f>IFERROR(__xludf.DUMMYFUNCTION("""COMPUTED_VALUE"""),0.388890800889385)</f>
        <v>0.3888908009</v>
      </c>
      <c r="BE135" s="4"/>
      <c r="BF135" s="4"/>
      <c r="BG135" s="4">
        <f>IFERROR(__xludf.DUMMYFUNCTION("""COMPUTED_VALUE"""),-3.5914388928416088)</f>
        <v>-3.591438893</v>
      </c>
      <c r="BH135" s="4"/>
      <c r="BI135" s="4"/>
      <c r="BJ135" s="4"/>
      <c r="BK135" s="4"/>
    </row>
    <row r="136">
      <c r="A136" s="4"/>
      <c r="B136" s="4"/>
      <c r="C136" s="4"/>
      <c r="D136" s="4">
        <f>IFERROR(__xludf.DUMMYFUNCTION("""COMPUTED_VALUE"""),88.15642868556026)</f>
        <v>88.15642869</v>
      </c>
      <c r="E136" s="23">
        <f>IFERROR(__xludf.DUMMYFUNCTION("""COMPUTED_VALUE"""),-0.6402012076963501)</f>
        <v>-0.6402012077</v>
      </c>
      <c r="F136" s="4"/>
      <c r="G136" s="4"/>
      <c r="H136" s="4">
        <f>IFERROR(__xludf.DUMMYFUNCTION("""COMPUTED_VALUE"""),2.2615785774030996)</f>
        <v>2.261578577</v>
      </c>
      <c r="I136" s="4"/>
      <c r="J136" s="4"/>
      <c r="K136" s="4">
        <f>IFERROR(__xludf.DUMMYFUNCTION("""COMPUTED_VALUE"""),1.344881207875801)</f>
        <v>1.344881208</v>
      </c>
      <c r="L136" s="4"/>
      <c r="M136" s="4"/>
      <c r="N136" s="4">
        <f>IFERROR(__xludf.DUMMYFUNCTION("""COMPUTED_VALUE"""),-10.566812717154107)</f>
        <v>-10.56681272</v>
      </c>
      <c r="O136" s="4"/>
      <c r="P136" s="4"/>
      <c r="Q136" s="4">
        <f>IFERROR(__xludf.DUMMYFUNCTION("""COMPUTED_VALUE"""),0.11630728472880492)</f>
        <v>0.1163072847</v>
      </c>
      <c r="R136" s="4"/>
      <c r="S136" s="4"/>
      <c r="T136" s="4">
        <f>IFERROR(__xludf.DUMMYFUNCTION("""COMPUTED_VALUE"""),-2.56439606460566)</f>
        <v>-2.564396065</v>
      </c>
      <c r="U136" s="4"/>
      <c r="V136" s="4"/>
      <c r="W136" s="4">
        <f>IFERROR(__xludf.DUMMYFUNCTION("""COMPUTED_VALUE"""),-6.655724132325645)</f>
        <v>-6.655724132</v>
      </c>
      <c r="X136" s="4"/>
      <c r="Y136" s="4"/>
      <c r="Z136" s="4">
        <f>IFERROR(__xludf.DUMMYFUNCTION("""COMPUTED_VALUE"""),4.749143113878063)</f>
        <v>4.749143114</v>
      </c>
      <c r="AA136" s="4"/>
      <c r="AB136" s="4"/>
      <c r="AC136" s="4">
        <f>IFERROR(__xludf.DUMMYFUNCTION("""COMPUTED_VALUE"""),12.331142172629256)</f>
        <v>12.33114217</v>
      </c>
      <c r="AD136" s="4"/>
      <c r="AE136" s="4"/>
      <c r="AF136" s="4">
        <f>IFERROR(__xludf.DUMMYFUNCTION("""COMPUTED_VALUE"""),16.842485872419388)</f>
        <v>16.84248587</v>
      </c>
      <c r="AG136" s="4"/>
      <c r="AH136" s="4"/>
      <c r="AI136" s="4">
        <f>IFERROR(__xludf.DUMMYFUNCTION("""COMPUTED_VALUE"""),17.072729369529497)</f>
        <v>17.07272937</v>
      </c>
      <c r="AJ136" s="4"/>
      <c r="AK136" s="4"/>
      <c r="AL136" s="4">
        <f>IFERROR(__xludf.DUMMYFUNCTION("""COMPUTED_VALUE"""),25.345116520376052)</f>
        <v>25.34511652</v>
      </c>
      <c r="AM136" s="4"/>
      <c r="AN136" s="4"/>
      <c r="AO136" s="4">
        <f>IFERROR(__xludf.DUMMYFUNCTION("""COMPUTED_VALUE"""),17.55279535995686)</f>
        <v>17.55279536</v>
      </c>
      <c r="AP136" s="4"/>
      <c r="AQ136" s="4"/>
      <c r="AR136" s="4">
        <f>IFERROR(__xludf.DUMMYFUNCTION("""COMPUTED_VALUE"""),12.18454723090042)</f>
        <v>12.18454723</v>
      </c>
      <c r="AS136" s="4"/>
      <c r="AT136" s="4"/>
      <c r="AU136" s="4">
        <f>IFERROR(__xludf.DUMMYFUNCTION("""COMPUTED_VALUE"""),10.627677647125836)</f>
        <v>10.62767765</v>
      </c>
      <c r="AV136" s="4"/>
      <c r="AW136" s="4"/>
      <c r="AX136" s="4">
        <f>IFERROR(__xludf.DUMMYFUNCTION("""COMPUTED_VALUE"""),8.268529184685462)</f>
        <v>8.268529185</v>
      </c>
      <c r="AY136" s="4"/>
      <c r="AZ136" s="4"/>
      <c r="BA136" s="4">
        <f>IFERROR(__xludf.DUMMYFUNCTION("""COMPUTED_VALUE"""),5.014464175727085)</f>
        <v>5.014464176</v>
      </c>
      <c r="BB136" s="4"/>
      <c r="BC136" s="4"/>
      <c r="BD136" s="4">
        <f>IFERROR(__xludf.DUMMYFUNCTION("""COMPUTED_VALUE"""),1.4691740649457188)</f>
        <v>1.469174065</v>
      </c>
      <c r="BE136" s="4"/>
      <c r="BF136" s="4"/>
      <c r="BG136" s="4">
        <f>IFERROR(__xludf.DUMMYFUNCTION("""COMPUTED_VALUE"""),-8.053085894226001)</f>
        <v>-8.053085894</v>
      </c>
      <c r="BH136" s="4"/>
      <c r="BI136" s="4"/>
      <c r="BJ136" s="4"/>
      <c r="BK136" s="4"/>
    </row>
    <row r="137">
      <c r="A137" s="4"/>
      <c r="B137" s="4"/>
      <c r="C137" s="4"/>
      <c r="D137" s="4">
        <f>IFERROR(__xludf.DUMMYFUNCTION("""COMPUTED_VALUE"""),87.23813255492549)</f>
        <v>87.23813255</v>
      </c>
      <c r="E137" s="23">
        <f>IFERROR(__xludf.DUMMYFUNCTION("""COMPUTED_VALUE"""),-12.54749919217744)</f>
        <v>-12.54749919</v>
      </c>
      <c r="F137" s="4"/>
      <c r="G137" s="4"/>
      <c r="H137" s="4">
        <f>IFERROR(__xludf.DUMMYFUNCTION("""COMPUTED_VALUE"""),-2.307583931300769)</f>
        <v>-2.307583931</v>
      </c>
      <c r="I137" s="4"/>
      <c r="J137" s="4"/>
      <c r="K137" s="4">
        <f>IFERROR(__xludf.DUMMYFUNCTION("""COMPUTED_VALUE"""),-8.719252538541582)</f>
        <v>-8.719252539</v>
      </c>
      <c r="L137" s="4"/>
      <c r="M137" s="4"/>
      <c r="N137" s="4">
        <f>IFERROR(__xludf.DUMMYFUNCTION("""COMPUTED_VALUE"""),-8.607974234647315)</f>
        <v>-8.607974235</v>
      </c>
      <c r="O137" s="4"/>
      <c r="P137" s="4"/>
      <c r="Q137" s="4">
        <f>IFERROR(__xludf.DUMMYFUNCTION("""COMPUTED_VALUE"""),0.6989003580120539)</f>
        <v>0.698900358</v>
      </c>
      <c r="R137" s="4"/>
      <c r="S137" s="4"/>
      <c r="T137" s="4">
        <f>IFERROR(__xludf.DUMMYFUNCTION("""COMPUTED_VALUE"""),-0.8770868101278779)</f>
        <v>-0.8770868101</v>
      </c>
      <c r="U137" s="4"/>
      <c r="V137" s="4"/>
      <c r="W137" s="4">
        <f>IFERROR(__xludf.DUMMYFUNCTION("""COMPUTED_VALUE"""),-2.788143436689495)</f>
        <v>-2.788143437</v>
      </c>
      <c r="X137" s="4"/>
      <c r="Y137" s="4"/>
      <c r="Z137" s="4">
        <f>IFERROR(__xludf.DUMMYFUNCTION("""COMPUTED_VALUE"""),2.123095332881121)</f>
        <v>2.123095333</v>
      </c>
      <c r="AA137" s="4"/>
      <c r="AB137" s="4"/>
      <c r="AC137" s="4">
        <f>IFERROR(__xludf.DUMMYFUNCTION("""COMPUTED_VALUE"""),17.432968084175116)</f>
        <v>17.43296808</v>
      </c>
      <c r="AD137" s="4"/>
      <c r="AE137" s="4"/>
      <c r="AF137" s="4">
        <f>IFERROR(__xludf.DUMMYFUNCTION("""COMPUTED_VALUE"""),18.743174034877086)</f>
        <v>18.74317403</v>
      </c>
      <c r="AG137" s="4"/>
      <c r="AH137" s="4"/>
      <c r="AI137" s="4">
        <f>IFERROR(__xludf.DUMMYFUNCTION("""COMPUTED_VALUE"""),21.097852172422392)</f>
        <v>21.09785217</v>
      </c>
      <c r="AJ137" s="4"/>
      <c r="AK137" s="4"/>
      <c r="AL137" s="4">
        <f>IFERROR(__xludf.DUMMYFUNCTION("""COMPUTED_VALUE"""),25.841538405860547)</f>
        <v>25.84153841</v>
      </c>
      <c r="AM137" s="4"/>
      <c r="AN137" s="4"/>
      <c r="AO137" s="4">
        <f>IFERROR(__xludf.DUMMYFUNCTION("""COMPUTED_VALUE"""),21.4510112842068)</f>
        <v>21.45101128</v>
      </c>
      <c r="AP137" s="4"/>
      <c r="AQ137" s="4"/>
      <c r="AR137" s="4">
        <f>IFERROR(__xludf.DUMMYFUNCTION("""COMPUTED_VALUE"""),16.59739140876826)</f>
        <v>16.59739141</v>
      </c>
      <c r="AS137" s="4"/>
      <c r="AT137" s="4"/>
      <c r="AU137" s="4">
        <f>IFERROR(__xludf.DUMMYFUNCTION("""COMPUTED_VALUE"""),8.236682070985808)</f>
        <v>8.236682071</v>
      </c>
      <c r="AV137" s="4"/>
      <c r="AW137" s="4"/>
      <c r="AX137" s="4">
        <f>IFERROR(__xludf.DUMMYFUNCTION("""COMPUTED_VALUE"""),8.456045884938078)</f>
        <v>8.456045885</v>
      </c>
      <c r="AY137" s="4"/>
      <c r="AZ137" s="4"/>
      <c r="BA137" s="4">
        <f>IFERROR(__xludf.DUMMYFUNCTION("""COMPUTED_VALUE"""),2.4028335561535528)</f>
        <v>2.402833556</v>
      </c>
      <c r="BB137" s="4"/>
      <c r="BC137" s="4"/>
      <c r="BD137" s="4">
        <f>IFERROR(__xludf.DUMMYFUNCTION("""COMPUTED_VALUE"""),0.6069937065776685)</f>
        <v>0.6069937066</v>
      </c>
      <c r="BE137" s="4"/>
      <c r="BF137" s="4"/>
      <c r="BG137" s="4">
        <f>IFERROR(__xludf.DUMMYFUNCTION("""COMPUTED_VALUE"""),0.5514467254025703)</f>
        <v>0.5514467254</v>
      </c>
      <c r="BH137" s="4"/>
      <c r="BI137" s="4"/>
      <c r="BJ137" s="4"/>
      <c r="BK137" s="4"/>
    </row>
    <row r="138">
      <c r="A138" s="4"/>
      <c r="B138" s="4"/>
      <c r="C138" s="4"/>
      <c r="D138" s="4">
        <f>IFERROR(__xludf.DUMMYFUNCTION("""COMPUTED_VALUE"""),86.3198364221254)</f>
        <v>86.31983642</v>
      </c>
      <c r="E138" s="23">
        <f>IFERROR(__xludf.DUMMYFUNCTION("""COMPUTED_VALUE"""),-8.97267447834031)</f>
        <v>-8.972674478</v>
      </c>
      <c r="F138" s="4"/>
      <c r="G138" s="4"/>
      <c r="H138" s="4">
        <f>IFERROR(__xludf.DUMMYFUNCTION("""COMPUTED_VALUE"""),-2.087696456269782)</f>
        <v>-2.087696456</v>
      </c>
      <c r="I138" s="4"/>
      <c r="J138" s="4"/>
      <c r="K138" s="4">
        <f>IFERROR(__xludf.DUMMYFUNCTION("""COMPUTED_VALUE"""),-0.3772943622274738)</f>
        <v>-0.3772943622</v>
      </c>
      <c r="L138" s="4"/>
      <c r="M138" s="4"/>
      <c r="N138" s="4">
        <f>IFERROR(__xludf.DUMMYFUNCTION("""COMPUTED_VALUE"""),-9.192239776477777)</f>
        <v>-9.192239776</v>
      </c>
      <c r="O138" s="4"/>
      <c r="P138" s="4"/>
      <c r="Q138" s="4">
        <f>IFERROR(__xludf.DUMMYFUNCTION("""COMPUTED_VALUE"""),-1.4789049259237004)</f>
        <v>-1.478904926</v>
      </c>
      <c r="R138" s="4"/>
      <c r="S138" s="4"/>
      <c r="T138" s="4">
        <f>IFERROR(__xludf.DUMMYFUNCTION("""COMPUTED_VALUE"""),-1.3543160111437942)</f>
        <v>-1.354316011</v>
      </c>
      <c r="U138" s="4"/>
      <c r="V138" s="4"/>
      <c r="W138" s="4">
        <f>IFERROR(__xludf.DUMMYFUNCTION("""COMPUTED_VALUE"""),-1.8722949473959147)</f>
        <v>-1.872294947</v>
      </c>
      <c r="X138" s="4"/>
      <c r="Y138" s="4"/>
      <c r="Z138" s="4">
        <f>IFERROR(__xludf.DUMMYFUNCTION("""COMPUTED_VALUE"""),-2.5964070015951393)</f>
        <v>-2.596407002</v>
      </c>
      <c r="AA138" s="4"/>
      <c r="AB138" s="4"/>
      <c r="AC138" s="4">
        <f>IFERROR(__xludf.DUMMYFUNCTION("""COMPUTED_VALUE"""),17.450587733962152)</f>
        <v>17.45058773</v>
      </c>
      <c r="AD138" s="4"/>
      <c r="AE138" s="4"/>
      <c r="AF138" s="4">
        <f>IFERROR(__xludf.DUMMYFUNCTION("""COMPUTED_VALUE"""),23.128372513907436)</f>
        <v>23.12837251</v>
      </c>
      <c r="AG138" s="4"/>
      <c r="AH138" s="4"/>
      <c r="AI138" s="4">
        <f>IFERROR(__xludf.DUMMYFUNCTION("""COMPUTED_VALUE"""),26.688033751181763)</f>
        <v>26.68803375</v>
      </c>
      <c r="AJ138" s="4"/>
      <c r="AK138" s="4"/>
      <c r="AL138" s="4">
        <f>IFERROR(__xludf.DUMMYFUNCTION("""COMPUTED_VALUE"""),25.401011643658705)</f>
        <v>25.40101164</v>
      </c>
      <c r="AM138" s="4"/>
      <c r="AN138" s="4"/>
      <c r="AO138" s="4">
        <f>IFERROR(__xludf.DUMMYFUNCTION("""COMPUTED_VALUE"""),25.57393731778535)</f>
        <v>25.57393732</v>
      </c>
      <c r="AP138" s="4"/>
      <c r="AQ138" s="4"/>
      <c r="AR138" s="4">
        <f>IFERROR(__xludf.DUMMYFUNCTION("""COMPUTED_VALUE"""),17.682165886157406)</f>
        <v>17.68216589</v>
      </c>
      <c r="AS138" s="4"/>
      <c r="AT138" s="4"/>
      <c r="AU138" s="4">
        <f>IFERROR(__xludf.DUMMYFUNCTION("""COMPUTED_VALUE"""),7.6512797119579545)</f>
        <v>7.651279712</v>
      </c>
      <c r="AV138" s="4"/>
      <c r="AW138" s="4"/>
      <c r="AX138" s="4">
        <f>IFERROR(__xludf.DUMMYFUNCTION("""COMPUTED_VALUE"""),11.197778483303296)</f>
        <v>11.19777848</v>
      </c>
      <c r="AY138" s="4"/>
      <c r="AZ138" s="4"/>
      <c r="BA138" s="4">
        <f>IFERROR(__xludf.DUMMYFUNCTION("""COMPUTED_VALUE"""),7.457975390914328)</f>
        <v>7.457975391</v>
      </c>
      <c r="BB138" s="4"/>
      <c r="BC138" s="4"/>
      <c r="BD138" s="4">
        <f>IFERROR(__xludf.DUMMYFUNCTION("""COMPUTED_VALUE"""),-2.4996375902225054)</f>
        <v>-2.49963759</v>
      </c>
      <c r="BE138" s="4"/>
      <c r="BF138" s="4"/>
      <c r="BG138" s="4">
        <f>IFERROR(__xludf.DUMMYFUNCTION("""COMPUTED_VALUE"""),-1.460124561455416)</f>
        <v>-1.460124561</v>
      </c>
      <c r="BH138" s="4"/>
      <c r="BI138" s="4"/>
      <c r="BJ138" s="4"/>
      <c r="BK138" s="4"/>
    </row>
    <row r="139">
      <c r="A139" s="4"/>
      <c r="B139" s="4"/>
      <c r="C139" s="4"/>
      <c r="D139" s="4">
        <f>IFERROR(__xludf.DUMMYFUNCTION("""COMPUTED_VALUE"""),85.40154028937569)</f>
        <v>85.40154029</v>
      </c>
      <c r="E139" s="23">
        <f>IFERROR(__xludf.DUMMYFUNCTION("""COMPUTED_VALUE"""),-8.45825295529005)</f>
        <v>-8.458252955</v>
      </c>
      <c r="F139" s="4"/>
      <c r="G139" s="4"/>
      <c r="H139" s="4">
        <f>IFERROR(__xludf.DUMMYFUNCTION("""COMPUTED_VALUE"""),-0.36401530783308544)</f>
        <v>-0.3640153078</v>
      </c>
      <c r="I139" s="4"/>
      <c r="J139" s="4"/>
      <c r="K139" s="4">
        <f>IFERROR(__xludf.DUMMYFUNCTION("""COMPUTED_VALUE"""),4.621896173599453)</f>
        <v>4.621896174</v>
      </c>
      <c r="L139" s="4"/>
      <c r="M139" s="4"/>
      <c r="N139" s="4">
        <f>IFERROR(__xludf.DUMMYFUNCTION("""COMPUTED_VALUE"""),-7.281170460221119)</f>
        <v>-7.28117046</v>
      </c>
      <c r="O139" s="4"/>
      <c r="P139" s="4"/>
      <c r="Q139" s="4">
        <f>IFERROR(__xludf.DUMMYFUNCTION("""COMPUTED_VALUE"""),-7.080099018117039)</f>
        <v>-7.080099018</v>
      </c>
      <c r="R139" s="4"/>
      <c r="S139" s="4"/>
      <c r="T139" s="4">
        <f>IFERROR(__xludf.DUMMYFUNCTION("""COMPUTED_VALUE"""),-1.284869280827877)</f>
        <v>-1.284869281</v>
      </c>
      <c r="U139" s="4"/>
      <c r="V139" s="4"/>
      <c r="W139" s="4">
        <f>IFERROR(__xludf.DUMMYFUNCTION("""COMPUTED_VALUE"""),-6.303070190457845)</f>
        <v>-6.30307019</v>
      </c>
      <c r="X139" s="4"/>
      <c r="Y139" s="4"/>
      <c r="Z139" s="4">
        <f>IFERROR(__xludf.DUMMYFUNCTION("""COMPUTED_VALUE"""),10.285149431120374)</f>
        <v>10.28514943</v>
      </c>
      <c r="AA139" s="4"/>
      <c r="AB139" s="4"/>
      <c r="AC139" s="4">
        <f>IFERROR(__xludf.DUMMYFUNCTION("""COMPUTED_VALUE"""),14.483346081795219)</f>
        <v>14.48334608</v>
      </c>
      <c r="AD139" s="4"/>
      <c r="AE139" s="4"/>
      <c r="AF139" s="4">
        <f>IFERROR(__xludf.DUMMYFUNCTION("""COMPUTED_VALUE"""),31.80972434500569)</f>
        <v>31.80972435</v>
      </c>
      <c r="AG139" s="4"/>
      <c r="AH139" s="4"/>
      <c r="AI139" s="4">
        <f>IFERROR(__xludf.DUMMYFUNCTION("""COMPUTED_VALUE"""),25.025777106835505)</f>
        <v>25.02577711</v>
      </c>
      <c r="AJ139" s="4"/>
      <c r="AK139" s="4"/>
      <c r="AL139" s="4">
        <f>IFERROR(__xludf.DUMMYFUNCTION("""COMPUTED_VALUE"""),32.72003440068033)</f>
        <v>32.7200344</v>
      </c>
      <c r="AM139" s="4"/>
      <c r="AN139" s="4"/>
      <c r="AO139" s="4">
        <f>IFERROR(__xludf.DUMMYFUNCTION("""COMPUTED_VALUE"""),27.77808247142258)</f>
        <v>27.77808247</v>
      </c>
      <c r="AP139" s="4"/>
      <c r="AQ139" s="4"/>
      <c r="AR139" s="4">
        <f>IFERROR(__xludf.DUMMYFUNCTION("""COMPUTED_VALUE"""),20.638502391930842)</f>
        <v>20.63850239</v>
      </c>
      <c r="AS139" s="4"/>
      <c r="AT139" s="4"/>
      <c r="AU139" s="4">
        <f>IFERROR(__xludf.DUMMYFUNCTION("""COMPUTED_VALUE"""),14.053098076270658)</f>
        <v>14.05309808</v>
      </c>
      <c r="AV139" s="4"/>
      <c r="AW139" s="4"/>
      <c r="AX139" s="4">
        <f>IFERROR(__xludf.DUMMYFUNCTION("""COMPUTED_VALUE"""),4.769676099939659)</f>
        <v>4.7696761</v>
      </c>
      <c r="AY139" s="4"/>
      <c r="AZ139" s="4"/>
      <c r="BA139" s="4">
        <f>IFERROR(__xludf.DUMMYFUNCTION("""COMPUTED_VALUE"""),9.672560941545896)</f>
        <v>9.672560942</v>
      </c>
      <c r="BB139" s="4"/>
      <c r="BC139" s="4"/>
      <c r="BD139" s="4">
        <f>IFERROR(__xludf.DUMMYFUNCTION("""COMPUTED_VALUE"""),7.812350202920811)</f>
        <v>7.812350203</v>
      </c>
      <c r="BE139" s="4"/>
      <c r="BF139" s="4"/>
      <c r="BG139" s="4">
        <f>IFERROR(__xludf.DUMMYFUNCTION("""COMPUTED_VALUE"""),-6.539507982000885)</f>
        <v>-6.539507982</v>
      </c>
      <c r="BH139" s="4"/>
      <c r="BI139" s="4"/>
      <c r="BJ139" s="4"/>
      <c r="BK139" s="4"/>
    </row>
    <row r="140">
      <c r="A140" s="4"/>
      <c r="B140" s="4"/>
      <c r="C140" s="4"/>
      <c r="D140" s="4">
        <f>IFERROR(__xludf.DUMMYFUNCTION("""COMPUTED_VALUE"""),84.48324415657561)</f>
        <v>84.48324416</v>
      </c>
      <c r="E140" s="23">
        <f>IFERROR(__xludf.DUMMYFUNCTION("""COMPUTED_VALUE"""),-8.85898787178769)</f>
        <v>-8.858987872</v>
      </c>
      <c r="F140" s="4"/>
      <c r="G140" s="4"/>
      <c r="H140" s="4">
        <f>IFERROR(__xludf.DUMMYFUNCTION("""COMPUTED_VALUE"""),-0.45619096831183015)</f>
        <v>-0.4561909683</v>
      </c>
      <c r="I140" s="4"/>
      <c r="J140" s="4"/>
      <c r="K140" s="4">
        <f>IFERROR(__xludf.DUMMYFUNCTION("""COMPUTED_VALUE"""),-0.2456099051853471)</f>
        <v>-0.2456099052</v>
      </c>
      <c r="L140" s="4"/>
      <c r="M140" s="4"/>
      <c r="N140" s="4">
        <f>IFERROR(__xludf.DUMMYFUNCTION("""COMPUTED_VALUE"""),-6.92754886439036)</f>
        <v>-6.927548864</v>
      </c>
      <c r="O140" s="4"/>
      <c r="P140" s="4"/>
      <c r="Q140" s="4">
        <f>IFERROR(__xludf.DUMMYFUNCTION("""COMPUTED_VALUE"""),-4.1326716661263845)</f>
        <v>-4.132671666</v>
      </c>
      <c r="R140" s="4"/>
      <c r="S140" s="4"/>
      <c r="T140" s="4">
        <f>IFERROR(__xludf.DUMMYFUNCTION("""COMPUTED_VALUE"""),-1.4493251058285068)</f>
        <v>-1.449325106</v>
      </c>
      <c r="U140" s="4"/>
      <c r="V140" s="4"/>
      <c r="W140" s="4">
        <f>IFERROR(__xludf.DUMMYFUNCTION("""COMPUTED_VALUE"""),-5.4868501558672165)</f>
        <v>-5.486850156</v>
      </c>
      <c r="X140" s="4"/>
      <c r="Y140" s="4"/>
      <c r="Z140" s="4">
        <f>IFERROR(__xludf.DUMMYFUNCTION("""COMPUTED_VALUE"""),6.98655900752135)</f>
        <v>6.986559008</v>
      </c>
      <c r="AA140" s="4"/>
      <c r="AB140" s="4"/>
      <c r="AC140" s="4">
        <f>IFERROR(__xludf.DUMMYFUNCTION("""COMPUTED_VALUE"""),27.213510576639806)</f>
        <v>27.21351058</v>
      </c>
      <c r="AD140" s="4"/>
      <c r="AE140" s="4"/>
      <c r="AF140" s="4">
        <f>IFERROR(__xludf.DUMMYFUNCTION("""COMPUTED_VALUE"""),23.72735020672974)</f>
        <v>23.72735021</v>
      </c>
      <c r="AG140" s="4"/>
      <c r="AH140" s="4"/>
      <c r="AI140" s="4">
        <f>IFERROR(__xludf.DUMMYFUNCTION("""COMPUTED_VALUE"""),34.729091869618685)</f>
        <v>34.72909187</v>
      </c>
      <c r="AJ140" s="4"/>
      <c r="AK140" s="4"/>
      <c r="AL140" s="4">
        <f>IFERROR(__xludf.DUMMYFUNCTION("""COMPUTED_VALUE"""),34.79224216686151)</f>
        <v>34.79224217</v>
      </c>
      <c r="AM140" s="4"/>
      <c r="AN140" s="4"/>
      <c r="AO140" s="4">
        <f>IFERROR(__xludf.DUMMYFUNCTION("""COMPUTED_VALUE"""),31.529647662354307)</f>
        <v>31.52964766</v>
      </c>
      <c r="AP140" s="4"/>
      <c r="AQ140" s="4"/>
      <c r="AR140" s="4">
        <f>IFERROR(__xludf.DUMMYFUNCTION("""COMPUTED_VALUE"""),22.52452602148105)</f>
        <v>22.52452602</v>
      </c>
      <c r="AS140" s="4"/>
      <c r="AT140" s="4"/>
      <c r="AU140" s="4">
        <f>IFERROR(__xludf.DUMMYFUNCTION("""COMPUTED_VALUE"""),15.655586357093227)</f>
        <v>15.65558636</v>
      </c>
      <c r="AV140" s="4"/>
      <c r="AW140" s="4"/>
      <c r="AX140" s="4">
        <f>IFERROR(__xludf.DUMMYFUNCTION("""COMPUTED_VALUE"""),10.841725096132791)</f>
        <v>10.8417251</v>
      </c>
      <c r="AY140" s="4"/>
      <c r="AZ140" s="4"/>
      <c r="BA140" s="4">
        <f>IFERROR(__xludf.DUMMYFUNCTION("""COMPUTED_VALUE"""),2.857454633694374)</f>
        <v>2.857454634</v>
      </c>
      <c r="BB140" s="4"/>
      <c r="BC140" s="4"/>
      <c r="BD140" s="4">
        <f>IFERROR(__xludf.DUMMYFUNCTION("""COMPUTED_VALUE"""),4.344028661494519)</f>
        <v>4.344028661</v>
      </c>
      <c r="BE140" s="4"/>
      <c r="BF140" s="4"/>
      <c r="BG140" s="4">
        <f>IFERROR(__xludf.DUMMYFUNCTION("""COMPUTED_VALUE"""),-1.7580213521574706)</f>
        <v>-1.758021352</v>
      </c>
      <c r="BH140" s="4"/>
      <c r="BI140" s="4"/>
      <c r="BJ140" s="4"/>
      <c r="BK140" s="4"/>
    </row>
    <row r="141">
      <c r="A141" s="4"/>
      <c r="B141" s="4"/>
      <c r="C141" s="4"/>
      <c r="D141" s="4">
        <f>IFERROR(__xludf.DUMMYFUNCTION("""COMPUTED_VALUE"""),83.56494802589049)</f>
        <v>83.56494803</v>
      </c>
      <c r="E141" s="23">
        <f>IFERROR(__xludf.DUMMYFUNCTION("""COMPUTED_VALUE"""),-3.285490611891305)</f>
        <v>-3.285490612</v>
      </c>
      <c r="F141" s="4"/>
      <c r="G141" s="4"/>
      <c r="H141" s="4">
        <f>IFERROR(__xludf.DUMMYFUNCTION("""COMPUTED_VALUE"""),0.47147740000787053)</f>
        <v>0.4714774</v>
      </c>
      <c r="I141" s="4"/>
      <c r="J141" s="4"/>
      <c r="K141" s="4">
        <f>IFERROR(__xludf.DUMMYFUNCTION("""COMPUTED_VALUE"""),-9.370765519038798)</f>
        <v>-9.370765519</v>
      </c>
      <c r="L141" s="4"/>
      <c r="M141" s="4"/>
      <c r="N141" s="4">
        <f>IFERROR(__xludf.DUMMYFUNCTION("""COMPUTED_VALUE"""),-7.259049959032552)</f>
        <v>-7.259049959</v>
      </c>
      <c r="O141" s="4"/>
      <c r="P141" s="4"/>
      <c r="Q141" s="4">
        <f>IFERROR(__xludf.DUMMYFUNCTION("""COMPUTED_VALUE"""),-7.17424504680713)</f>
        <v>-7.174245047</v>
      </c>
      <c r="R141" s="4"/>
      <c r="S141" s="4"/>
      <c r="T141" s="4">
        <f>IFERROR(__xludf.DUMMYFUNCTION("""COMPUTED_VALUE"""),-2.4280303939258374)</f>
        <v>-2.428030394</v>
      </c>
      <c r="U141" s="4"/>
      <c r="V141" s="4"/>
      <c r="W141" s="4">
        <f>IFERROR(__xludf.DUMMYFUNCTION("""COMPUTED_VALUE"""),-2.4174055317657235)</f>
        <v>-2.417405532</v>
      </c>
      <c r="X141" s="4"/>
      <c r="Y141" s="4"/>
      <c r="Z141" s="4">
        <f>IFERROR(__xludf.DUMMYFUNCTION("""COMPUTED_VALUE"""),7.289484309753391)</f>
        <v>7.28948431</v>
      </c>
      <c r="AA141" s="4"/>
      <c r="AB141" s="4"/>
      <c r="AC141" s="4">
        <f>IFERROR(__xludf.DUMMYFUNCTION("""COMPUTED_VALUE"""),23.488308279217904)</f>
        <v>23.48830828</v>
      </c>
      <c r="AD141" s="4"/>
      <c r="AE141" s="4"/>
      <c r="AF141" s="4">
        <f>IFERROR(__xludf.DUMMYFUNCTION("""COMPUTED_VALUE"""),29.19328835197217)</f>
        <v>29.19328835</v>
      </c>
      <c r="AG141" s="4"/>
      <c r="AH141" s="4"/>
      <c r="AI141" s="4">
        <f>IFERROR(__xludf.DUMMYFUNCTION("""COMPUTED_VALUE"""),35.16796546135015)</f>
        <v>35.16796546</v>
      </c>
      <c r="AJ141" s="4"/>
      <c r="AK141" s="4"/>
      <c r="AL141" s="4">
        <f>IFERROR(__xludf.DUMMYFUNCTION("""COMPUTED_VALUE"""),37.58887281639892)</f>
        <v>37.58887282</v>
      </c>
      <c r="AM141" s="4"/>
      <c r="AN141" s="4"/>
      <c r="AO141" s="4">
        <f>IFERROR(__xludf.DUMMYFUNCTION("""COMPUTED_VALUE"""),38.86257383301495)</f>
        <v>38.86257383</v>
      </c>
      <c r="AP141" s="4"/>
      <c r="AQ141" s="4"/>
      <c r="AR141" s="4">
        <f>IFERROR(__xludf.DUMMYFUNCTION("""COMPUTED_VALUE"""),25.671224143119105)</f>
        <v>25.67122414</v>
      </c>
      <c r="AS141" s="4"/>
      <c r="AT141" s="4"/>
      <c r="AU141" s="4">
        <f>IFERROR(__xludf.DUMMYFUNCTION("""COMPUTED_VALUE"""),23.93955216463928)</f>
        <v>23.93955216</v>
      </c>
      <c r="AV141" s="4"/>
      <c r="AW141" s="4"/>
      <c r="AX141" s="4">
        <f>IFERROR(__xludf.DUMMYFUNCTION("""COMPUTED_VALUE"""),9.88513023963003)</f>
        <v>9.88513024</v>
      </c>
      <c r="AY141" s="4"/>
      <c r="AZ141" s="4"/>
      <c r="BA141" s="4">
        <f>IFERROR(__xludf.DUMMYFUNCTION("""COMPUTED_VALUE"""),7.630971605117509)</f>
        <v>7.630971605</v>
      </c>
      <c r="BB141" s="4"/>
      <c r="BC141" s="4"/>
      <c r="BD141" s="4">
        <f>IFERROR(__xludf.DUMMYFUNCTION("""COMPUTED_VALUE"""),0.7947166223717659)</f>
        <v>0.7947166224</v>
      </c>
      <c r="BE141" s="4"/>
      <c r="BF141" s="4"/>
      <c r="BG141" s="4">
        <f>IFERROR(__xludf.DUMMYFUNCTION("""COMPUTED_VALUE"""),-0.6279095175180487)</f>
        <v>-0.6279095175</v>
      </c>
      <c r="BH141" s="4"/>
      <c r="BI141" s="4"/>
      <c r="BJ141" s="4"/>
      <c r="BK141" s="4"/>
    </row>
    <row r="142">
      <c r="A142" s="4"/>
      <c r="B142" s="4"/>
      <c r="C142" s="4"/>
      <c r="D142" s="4">
        <f>IFERROR(__xludf.DUMMYFUNCTION("""COMPUTED_VALUE"""),82.64665189314077)</f>
        <v>82.64665189</v>
      </c>
      <c r="E142" s="23">
        <f>IFERROR(__xludf.DUMMYFUNCTION("""COMPUTED_VALUE"""),-5.250036193636959)</f>
        <v>-5.250036194</v>
      </c>
      <c r="F142" s="4"/>
      <c r="G142" s="4"/>
      <c r="H142" s="4">
        <f>IFERROR(__xludf.DUMMYFUNCTION("""COMPUTED_VALUE"""),-3.3817936164073217)</f>
        <v>-3.381793616</v>
      </c>
      <c r="I142" s="4"/>
      <c r="J142" s="4"/>
      <c r="K142" s="4">
        <f>IFERROR(__xludf.DUMMYFUNCTION("""COMPUTED_VALUE"""),-4.019703082219621)</f>
        <v>-4.019703082</v>
      </c>
      <c r="L142" s="4"/>
      <c r="M142" s="4"/>
      <c r="N142" s="4">
        <f>IFERROR(__xludf.DUMMYFUNCTION("""COMPUTED_VALUE"""),-3.324778117343044)</f>
        <v>-3.324778117</v>
      </c>
      <c r="O142" s="4"/>
      <c r="P142" s="4"/>
      <c r="Q142" s="4">
        <f>IFERROR(__xludf.DUMMYFUNCTION("""COMPUTED_VALUE"""),-3.9081540786766027)</f>
        <v>-3.908154079</v>
      </c>
      <c r="R142" s="4"/>
      <c r="S142" s="4"/>
      <c r="T142" s="4">
        <f>IFERROR(__xludf.DUMMYFUNCTION("""COMPUTED_VALUE"""),-6.335900512459034)</f>
        <v>-6.335900512</v>
      </c>
      <c r="U142" s="4"/>
      <c r="V142" s="4"/>
      <c r="W142" s="4">
        <f>IFERROR(__xludf.DUMMYFUNCTION("""COMPUTED_VALUE"""),-3.4905106581273344)</f>
        <v>-3.490510658</v>
      </c>
      <c r="X142" s="4"/>
      <c r="Y142" s="4"/>
      <c r="Z142" s="4">
        <f>IFERROR(__xludf.DUMMYFUNCTION("""COMPUTED_VALUE"""),14.071653866711586)</f>
        <v>14.07165387</v>
      </c>
      <c r="AA142" s="4"/>
      <c r="AB142" s="4"/>
      <c r="AC142" s="4">
        <f>IFERROR(__xludf.DUMMYFUNCTION("""COMPUTED_VALUE"""),20.590984661654147)</f>
        <v>20.59098466</v>
      </c>
      <c r="AD142" s="4"/>
      <c r="AE142" s="4"/>
      <c r="AF142" s="4">
        <f>IFERROR(__xludf.DUMMYFUNCTION("""COMPUTED_VALUE"""),28.562835299639914)</f>
        <v>28.5628353</v>
      </c>
      <c r="AG142" s="4"/>
      <c r="AH142" s="4"/>
      <c r="AI142" s="4">
        <f>IFERROR(__xludf.DUMMYFUNCTION("""COMPUTED_VALUE"""),39.36870102115165)</f>
        <v>39.36870102</v>
      </c>
      <c r="AJ142" s="4"/>
      <c r="AK142" s="4"/>
      <c r="AL142" s="4">
        <f>IFERROR(__xludf.DUMMYFUNCTION("""COMPUTED_VALUE"""),42.9314442092554)</f>
        <v>42.93144421</v>
      </c>
      <c r="AM142" s="4"/>
      <c r="AN142" s="4"/>
      <c r="AO142" s="4">
        <f>IFERROR(__xludf.DUMMYFUNCTION("""COMPUTED_VALUE"""),36.01445517251517)</f>
        <v>36.01445517</v>
      </c>
      <c r="AP142" s="4"/>
      <c r="AQ142" s="4"/>
      <c r="AR142" s="4">
        <f>IFERROR(__xludf.DUMMYFUNCTION("""COMPUTED_VALUE"""),26.616215529597582)</f>
        <v>26.61621553</v>
      </c>
      <c r="AS142" s="4"/>
      <c r="AT142" s="4"/>
      <c r="AU142" s="4">
        <f>IFERROR(__xludf.DUMMYFUNCTION("""COMPUTED_VALUE"""),20.352305999017403)</f>
        <v>20.352306</v>
      </c>
      <c r="AV142" s="4"/>
      <c r="AW142" s="4"/>
      <c r="AX142" s="4">
        <f>IFERROR(__xludf.DUMMYFUNCTION("""COMPUTED_VALUE"""),13.448718244356769)</f>
        <v>13.44871824</v>
      </c>
      <c r="AY142" s="4"/>
      <c r="AZ142" s="4"/>
      <c r="BA142" s="4">
        <f>IFERROR(__xludf.DUMMYFUNCTION("""COMPUTED_VALUE"""),10.154714451987104)</f>
        <v>10.15471445</v>
      </c>
      <c r="BB142" s="4"/>
      <c r="BC142" s="4"/>
      <c r="BD142" s="4">
        <f>IFERROR(__xludf.DUMMYFUNCTION("""COMPUTED_VALUE"""),-4.80327181047295)</f>
        <v>-4.80327181</v>
      </c>
      <c r="BE142" s="4"/>
      <c r="BF142" s="4"/>
      <c r="BG142" s="4">
        <f>IFERROR(__xludf.DUMMYFUNCTION("""COMPUTED_VALUE"""),-3.7850159619946453)</f>
        <v>-3.785015962</v>
      </c>
      <c r="BH142" s="4"/>
      <c r="BI142" s="4"/>
      <c r="BJ142" s="4"/>
      <c r="BK142" s="4"/>
    </row>
    <row r="143">
      <c r="A143" s="4"/>
      <c r="B143" s="4"/>
      <c r="C143" s="4"/>
      <c r="D143" s="4">
        <f>IFERROR(__xludf.DUMMYFUNCTION("""COMPUTED_VALUE"""),81.72835576034069)</f>
        <v>81.72835576</v>
      </c>
      <c r="E143" s="23">
        <f>IFERROR(__xludf.DUMMYFUNCTION("""COMPUTED_VALUE"""),-5.482357104924972)</f>
        <v>-5.482357105</v>
      </c>
      <c r="F143" s="4"/>
      <c r="G143" s="4"/>
      <c r="H143" s="4">
        <f>IFERROR(__xludf.DUMMYFUNCTION("""COMPUTED_VALUE"""),-0.8657841428838537)</f>
        <v>-0.8657841429</v>
      </c>
      <c r="I143" s="4"/>
      <c r="J143" s="4"/>
      <c r="K143" s="4">
        <f>IFERROR(__xludf.DUMMYFUNCTION("""COMPUTED_VALUE"""),-2.9597200716153225)</f>
        <v>-2.959720072</v>
      </c>
      <c r="L143" s="4"/>
      <c r="M143" s="4"/>
      <c r="N143" s="4">
        <f>IFERROR(__xludf.DUMMYFUNCTION("""COMPUTED_VALUE"""),-4.631775454810509)</f>
        <v>-4.631775455</v>
      </c>
      <c r="O143" s="4"/>
      <c r="P143" s="4"/>
      <c r="Q143" s="4">
        <f>IFERROR(__xludf.DUMMYFUNCTION("""COMPUTED_VALUE"""),-4.566174757261422)</f>
        <v>-4.566174757</v>
      </c>
      <c r="R143" s="4"/>
      <c r="S143" s="4"/>
      <c r="T143" s="4">
        <f>IFERROR(__xludf.DUMMYFUNCTION("""COMPUTED_VALUE"""),-1.1531385060113735)</f>
        <v>-1.153138506</v>
      </c>
      <c r="U143" s="4"/>
      <c r="V143" s="4"/>
      <c r="W143" s="4">
        <f>IFERROR(__xludf.DUMMYFUNCTION("""COMPUTED_VALUE"""),-3.2277246027470596)</f>
        <v>-3.227724603</v>
      </c>
      <c r="X143" s="4"/>
      <c r="Y143" s="4"/>
      <c r="Z143" s="4">
        <f>IFERROR(__xludf.DUMMYFUNCTION("""COMPUTED_VALUE"""),16.529070745175716)</f>
        <v>16.52907075</v>
      </c>
      <c r="AA143" s="4"/>
      <c r="AB143" s="4"/>
      <c r="AC143" s="4">
        <f>IFERROR(__xludf.DUMMYFUNCTION("""COMPUTED_VALUE"""),25.293159818165407)</f>
        <v>25.29315982</v>
      </c>
      <c r="AD143" s="4"/>
      <c r="AE143" s="4"/>
      <c r="AF143" s="4">
        <f>IFERROR(__xludf.DUMMYFUNCTION("""COMPUTED_VALUE"""),32.31360088526685)</f>
        <v>32.31360089</v>
      </c>
      <c r="AG143" s="4"/>
      <c r="AH143" s="4"/>
      <c r="AI143" s="4">
        <f>IFERROR(__xludf.DUMMYFUNCTION("""COMPUTED_VALUE"""),39.55791680840093)</f>
        <v>39.55791681</v>
      </c>
      <c r="AJ143" s="4"/>
      <c r="AK143" s="4"/>
      <c r="AL143" s="4">
        <f>IFERROR(__xludf.DUMMYFUNCTION("""COMPUTED_VALUE"""),45.12812816142747)</f>
        <v>45.12812816</v>
      </c>
      <c r="AM143" s="4"/>
      <c r="AN143" s="4"/>
      <c r="AO143" s="4">
        <f>IFERROR(__xludf.DUMMYFUNCTION("""COMPUTED_VALUE"""),35.42019864182777)</f>
        <v>35.42019864</v>
      </c>
      <c r="AP143" s="4"/>
      <c r="AQ143" s="4"/>
      <c r="AR143" s="4">
        <f>IFERROR(__xludf.DUMMYFUNCTION("""COMPUTED_VALUE"""),26.088818926327917)</f>
        <v>26.08881893</v>
      </c>
      <c r="AS143" s="4"/>
      <c r="AT143" s="4"/>
      <c r="AU143" s="4">
        <f>IFERROR(__xludf.DUMMYFUNCTION("""COMPUTED_VALUE"""),19.77529980425078)</f>
        <v>19.7752998</v>
      </c>
      <c r="AV143" s="4"/>
      <c r="AW143" s="4"/>
      <c r="AX143" s="4">
        <f>IFERROR(__xludf.DUMMYFUNCTION("""COMPUTED_VALUE"""),14.645866668846224)</f>
        <v>14.64586667</v>
      </c>
      <c r="AY143" s="4"/>
      <c r="AZ143" s="4"/>
      <c r="BA143" s="4">
        <f>IFERROR(__xludf.DUMMYFUNCTION("""COMPUTED_VALUE"""),2.357463727585923)</f>
        <v>2.357463728</v>
      </c>
      <c r="BB143" s="4"/>
      <c r="BC143" s="4"/>
      <c r="BD143" s="4">
        <f>IFERROR(__xludf.DUMMYFUNCTION("""COMPUTED_VALUE"""),-4.430658200271921)</f>
        <v>-4.4306582</v>
      </c>
      <c r="BE143" s="4"/>
      <c r="BF143" s="4"/>
      <c r="BG143" s="4">
        <f>IFERROR(__xludf.DUMMYFUNCTION("""COMPUTED_VALUE"""),-4.059814445340521)</f>
        <v>-4.059814445</v>
      </c>
      <c r="BH143" s="4"/>
      <c r="BI143" s="4"/>
      <c r="BJ143" s="4"/>
      <c r="BK143" s="4"/>
    </row>
    <row r="144">
      <c r="A144" s="4"/>
      <c r="B144" s="4"/>
      <c r="C144" s="4"/>
      <c r="D144" s="4">
        <f>IFERROR(__xludf.DUMMYFUNCTION("""COMPUTED_VALUE"""),80.81005962970592)</f>
        <v>80.81005963</v>
      </c>
      <c r="E144" s="23">
        <f>IFERROR(__xludf.DUMMYFUNCTION("""COMPUTED_VALUE"""),-5.010547121868797)</f>
        <v>-5.010547122</v>
      </c>
      <c r="F144" s="4"/>
      <c r="G144" s="4"/>
      <c r="H144" s="4">
        <f>IFERROR(__xludf.DUMMYFUNCTION("""COMPUTED_VALUE"""),0.6886623533520719)</f>
        <v>0.6886623534</v>
      </c>
      <c r="I144" s="4"/>
      <c r="J144" s="4"/>
      <c r="K144" s="4">
        <f>IFERROR(__xludf.DUMMYFUNCTION("""COMPUTED_VALUE"""),-2.1274739172905015)</f>
        <v>-2.127473917</v>
      </c>
      <c r="L144" s="4"/>
      <c r="M144" s="4"/>
      <c r="N144" s="4">
        <f>IFERROR(__xludf.DUMMYFUNCTION("""COMPUTED_VALUE"""),1.9147110002496106)</f>
        <v>1.914711</v>
      </c>
      <c r="O144" s="4"/>
      <c r="P144" s="4"/>
      <c r="Q144" s="4">
        <f>IFERROR(__xludf.DUMMYFUNCTION("""COMPUTED_VALUE"""),-7.170716745564789)</f>
        <v>-7.170716746</v>
      </c>
      <c r="R144" s="4"/>
      <c r="S144" s="4"/>
      <c r="T144" s="4">
        <f>IFERROR(__xludf.DUMMYFUNCTION("""COMPUTED_VALUE"""),-3.8488387294949007)</f>
        <v>-3.848838729</v>
      </c>
      <c r="U144" s="4"/>
      <c r="V144" s="4"/>
      <c r="W144" s="4">
        <f>IFERROR(__xludf.DUMMYFUNCTION("""COMPUTED_VALUE"""),-1.2263997822002466)</f>
        <v>-1.226399782</v>
      </c>
      <c r="X144" s="4"/>
      <c r="Y144" s="4"/>
      <c r="Z144" s="4">
        <f>IFERROR(__xludf.DUMMYFUNCTION("""COMPUTED_VALUE"""),8.705826341470413)</f>
        <v>8.705826341</v>
      </c>
      <c r="AA144" s="4"/>
      <c r="AB144" s="4"/>
      <c r="AC144" s="4">
        <f>IFERROR(__xludf.DUMMYFUNCTION("""COMPUTED_VALUE"""),21.943836436660035)</f>
        <v>21.94383644</v>
      </c>
      <c r="AD144" s="4"/>
      <c r="AE144" s="4"/>
      <c r="AF144" s="4">
        <f>IFERROR(__xludf.DUMMYFUNCTION("""COMPUTED_VALUE"""),43.92273783360423)</f>
        <v>43.92273783</v>
      </c>
      <c r="AG144" s="4"/>
      <c r="AH144" s="4"/>
      <c r="AI144" s="4">
        <f>IFERROR(__xludf.DUMMYFUNCTION("""COMPUTED_VALUE"""),40.981199284892625)</f>
        <v>40.98119928</v>
      </c>
      <c r="AJ144" s="4"/>
      <c r="AK144" s="4"/>
      <c r="AL144" s="4">
        <f>IFERROR(__xludf.DUMMYFUNCTION("""COMPUTED_VALUE"""),52.492700951442544)</f>
        <v>52.49270095</v>
      </c>
      <c r="AM144" s="4"/>
      <c r="AN144" s="4"/>
      <c r="AO144" s="4">
        <f>IFERROR(__xludf.DUMMYFUNCTION("""COMPUTED_VALUE"""),38.338910405396405)</f>
        <v>38.33891041</v>
      </c>
      <c r="AP144" s="4"/>
      <c r="AQ144" s="4"/>
      <c r="AR144" s="4">
        <f>IFERROR(__xludf.DUMMYFUNCTION("""COMPUTED_VALUE"""),39.31892495335268)</f>
        <v>39.31892495</v>
      </c>
      <c r="AS144" s="4"/>
      <c r="AT144" s="4"/>
      <c r="AU144" s="4">
        <f>IFERROR(__xludf.DUMMYFUNCTION("""COMPUTED_VALUE"""),21.388296416340097)</f>
        <v>21.38829642</v>
      </c>
      <c r="AV144" s="4"/>
      <c r="AW144" s="4"/>
      <c r="AX144" s="4">
        <f>IFERROR(__xludf.DUMMYFUNCTION("""COMPUTED_VALUE"""),18.59458333307174)</f>
        <v>18.59458333</v>
      </c>
      <c r="AY144" s="4"/>
      <c r="AZ144" s="4"/>
      <c r="BA144" s="4">
        <f>IFERROR(__xludf.DUMMYFUNCTION("""COMPUTED_VALUE"""),8.53078428495104)</f>
        <v>8.530784285</v>
      </c>
      <c r="BB144" s="4"/>
      <c r="BC144" s="4"/>
      <c r="BD144" s="4">
        <f>IFERROR(__xludf.DUMMYFUNCTION("""COMPUTED_VALUE"""),-4.840762520832413)</f>
        <v>-4.840762521</v>
      </c>
      <c r="BE144" s="4"/>
      <c r="BF144" s="4"/>
      <c r="BG144" s="4">
        <f>IFERROR(__xludf.DUMMYFUNCTION("""COMPUTED_VALUE"""),-4.357583633561262)</f>
        <v>-4.357583634</v>
      </c>
      <c r="BH144" s="4"/>
      <c r="BI144" s="4"/>
      <c r="BJ144" s="4"/>
      <c r="BK144" s="4"/>
    </row>
    <row r="145">
      <c r="A145" s="4"/>
      <c r="B145" s="4"/>
      <c r="C145" s="4"/>
      <c r="D145" s="4">
        <f>IFERROR(__xludf.DUMMYFUNCTION("""COMPUTED_VALUE"""),79.89176349690584)</f>
        <v>79.8917635</v>
      </c>
      <c r="E145" s="23">
        <f>IFERROR(__xludf.DUMMYFUNCTION("""COMPUTED_VALUE"""),-1.57159652013911)</f>
        <v>-1.57159652</v>
      </c>
      <c r="F145" s="4"/>
      <c r="G145" s="4"/>
      <c r="H145" s="4">
        <f>IFERROR(__xludf.DUMMYFUNCTION("""COMPUTED_VALUE"""),1.199299852007755)</f>
        <v>1.199299852</v>
      </c>
      <c r="I145" s="4"/>
      <c r="J145" s="4"/>
      <c r="K145" s="4">
        <f>IFERROR(__xludf.DUMMYFUNCTION("""COMPUTED_VALUE"""),-3.5664072082891494)</f>
        <v>-3.566407208</v>
      </c>
      <c r="L145" s="4"/>
      <c r="M145" s="4"/>
      <c r="N145" s="4">
        <f>IFERROR(__xludf.DUMMYFUNCTION("""COMPUTED_VALUE"""),-6.423759910122044)</f>
        <v>-6.42375991</v>
      </c>
      <c r="O145" s="4"/>
      <c r="P145" s="4"/>
      <c r="Q145" s="4">
        <f>IFERROR(__xludf.DUMMYFUNCTION("""COMPUTED_VALUE"""),-5.313875621456248)</f>
        <v>-5.313875621</v>
      </c>
      <c r="R145" s="4"/>
      <c r="S145" s="4"/>
      <c r="T145" s="4">
        <f>IFERROR(__xludf.DUMMYFUNCTION("""COMPUTED_VALUE"""),-2.7219907061253252)</f>
        <v>-2.721990706</v>
      </c>
      <c r="U145" s="4"/>
      <c r="V145" s="4"/>
      <c r="W145" s="4">
        <f>IFERROR(__xludf.DUMMYFUNCTION("""COMPUTED_VALUE"""),1.6186561454799175)</f>
        <v>1.618656145</v>
      </c>
      <c r="X145" s="4"/>
      <c r="Y145" s="4"/>
      <c r="Z145" s="4">
        <f>IFERROR(__xludf.DUMMYFUNCTION("""COMPUTED_VALUE"""),9.956789793685061)</f>
        <v>9.956789794</v>
      </c>
      <c r="AA145" s="4"/>
      <c r="AB145" s="4"/>
      <c r="AC145" s="4">
        <f>IFERROR(__xludf.DUMMYFUNCTION("""COMPUTED_VALUE"""),31.251582732369116)</f>
        <v>31.25158273</v>
      </c>
      <c r="AD145" s="4"/>
      <c r="AE145" s="4"/>
      <c r="AF145" s="4">
        <f>IFERROR(__xludf.DUMMYFUNCTION("""COMPUTED_VALUE"""),40.87284579466967)</f>
        <v>40.87284579</v>
      </c>
      <c r="AG145" s="4"/>
      <c r="AH145" s="4"/>
      <c r="AI145" s="4">
        <f>IFERROR(__xludf.DUMMYFUNCTION("""COMPUTED_VALUE"""),45.0422724285483)</f>
        <v>45.04227243</v>
      </c>
      <c r="AJ145" s="4"/>
      <c r="AK145" s="4"/>
      <c r="AL145" s="4">
        <f>IFERROR(__xludf.DUMMYFUNCTION("""COMPUTED_VALUE"""),57.56300140735942)</f>
        <v>57.56300141</v>
      </c>
      <c r="AM145" s="4"/>
      <c r="AN145" s="4"/>
      <c r="AO145" s="4">
        <f>IFERROR(__xludf.DUMMYFUNCTION("""COMPUTED_VALUE"""),44.411098680142175)</f>
        <v>44.41109868</v>
      </c>
      <c r="AP145" s="4"/>
      <c r="AQ145" s="4"/>
      <c r="AR145" s="4">
        <f>IFERROR(__xludf.DUMMYFUNCTION("""COMPUTED_VALUE"""),40.531274802381404)</f>
        <v>40.5312748</v>
      </c>
      <c r="AS145" s="4"/>
      <c r="AT145" s="4"/>
      <c r="AU145" s="4">
        <f>IFERROR(__xludf.DUMMYFUNCTION("""COMPUTED_VALUE"""),28.39135052544748)</f>
        <v>28.39135053</v>
      </c>
      <c r="AV145" s="4"/>
      <c r="AW145" s="4"/>
      <c r="AX145" s="4">
        <f>IFERROR(__xludf.DUMMYFUNCTION("""COMPUTED_VALUE"""),16.886683588414314)</f>
        <v>16.88668359</v>
      </c>
      <c r="AY145" s="4"/>
      <c r="AZ145" s="4"/>
      <c r="BA145" s="4">
        <f>IFERROR(__xludf.DUMMYFUNCTION("""COMPUTED_VALUE"""),0.9897778124698675)</f>
        <v>0.9897778125</v>
      </c>
      <c r="BB145" s="4"/>
      <c r="BC145" s="4"/>
      <c r="BD145" s="4">
        <f>IFERROR(__xludf.DUMMYFUNCTION("""COMPUTED_VALUE"""),0.001416322537409087)</f>
        <v>0.001416322537</v>
      </c>
      <c r="BE145" s="4"/>
      <c r="BF145" s="4"/>
      <c r="BG145" s="4">
        <f>IFERROR(__xludf.DUMMYFUNCTION("""COMPUTED_VALUE"""),-4.489089378738868)</f>
        <v>-4.489089379</v>
      </c>
      <c r="BH145" s="4"/>
      <c r="BI145" s="4"/>
      <c r="BJ145" s="4"/>
      <c r="BK145" s="4"/>
    </row>
    <row r="146">
      <c r="A146" s="4"/>
      <c r="B146" s="4"/>
      <c r="C146" s="4"/>
      <c r="D146" s="4">
        <f>IFERROR(__xludf.DUMMYFUNCTION("""COMPUTED_VALUE"""),78.97346736410577)</f>
        <v>78.97346736</v>
      </c>
      <c r="E146" s="23">
        <f>IFERROR(__xludf.DUMMYFUNCTION("""COMPUTED_VALUE"""),-6.788888305730893)</f>
        <v>-6.788888306</v>
      </c>
      <c r="F146" s="4"/>
      <c r="G146" s="4"/>
      <c r="H146" s="4">
        <f>IFERROR(__xludf.DUMMYFUNCTION("""COMPUTED_VALUE"""),-3.2130438848122935)</f>
        <v>-3.213043885</v>
      </c>
      <c r="I146" s="4"/>
      <c r="J146" s="4"/>
      <c r="K146" s="4">
        <f>IFERROR(__xludf.DUMMYFUNCTION("""COMPUTED_VALUE"""),-2.949829900923362)</f>
        <v>-2.949829901</v>
      </c>
      <c r="L146" s="4"/>
      <c r="M146" s="4"/>
      <c r="N146" s="4">
        <f>IFERROR(__xludf.DUMMYFUNCTION("""COMPUTED_VALUE"""),-9.662911609451555)</f>
        <v>-9.662911609</v>
      </c>
      <c r="O146" s="4"/>
      <c r="P146" s="4"/>
      <c r="Q146" s="4">
        <f>IFERROR(__xludf.DUMMYFUNCTION("""COMPUTED_VALUE"""),-1.6094787289256942)</f>
        <v>-1.609478729</v>
      </c>
      <c r="R146" s="4"/>
      <c r="S146" s="4"/>
      <c r="T146" s="4">
        <f>IFERROR(__xludf.DUMMYFUNCTION("""COMPUTED_VALUE"""),-0.10827805509131849)</f>
        <v>-0.1082780551</v>
      </c>
      <c r="U146" s="4"/>
      <c r="V146" s="4"/>
      <c r="W146" s="4">
        <f>IFERROR(__xludf.DUMMYFUNCTION("""COMPUTED_VALUE"""),-4.015930438466285)</f>
        <v>-4.015930438</v>
      </c>
      <c r="X146" s="4"/>
      <c r="Y146" s="4"/>
      <c r="Z146" s="4">
        <f>IFERROR(__xludf.DUMMYFUNCTION("""COMPUTED_VALUE"""),16.511903768508034)</f>
        <v>16.51190377</v>
      </c>
      <c r="AA146" s="4"/>
      <c r="AB146" s="4"/>
      <c r="AC146" s="4">
        <f>IFERROR(__xludf.DUMMYFUNCTION("""COMPUTED_VALUE"""),32.50842565799462)</f>
        <v>32.50842566</v>
      </c>
      <c r="AD146" s="4"/>
      <c r="AE146" s="4"/>
      <c r="AF146" s="4">
        <f>IFERROR(__xludf.DUMMYFUNCTION("""COMPUTED_VALUE"""),44.80643682419628)</f>
        <v>44.80643682</v>
      </c>
      <c r="AG146" s="4"/>
      <c r="AH146" s="4"/>
      <c r="AI146" s="4">
        <f>IFERROR(__xludf.DUMMYFUNCTION("""COMPUTED_VALUE"""),54.75788631388269)</f>
        <v>54.75788631</v>
      </c>
      <c r="AJ146" s="4"/>
      <c r="AK146" s="4"/>
      <c r="AL146" s="4">
        <f>IFERROR(__xludf.DUMMYFUNCTION("""COMPUTED_VALUE"""),55.86863481341692)</f>
        <v>55.86863481</v>
      </c>
      <c r="AM146" s="4"/>
      <c r="AN146" s="4"/>
      <c r="AO146" s="4">
        <f>IFERROR(__xludf.DUMMYFUNCTION("""COMPUTED_VALUE"""),54.01769675069801)</f>
        <v>54.01769675</v>
      </c>
      <c r="AP146" s="4"/>
      <c r="AQ146" s="4"/>
      <c r="AR146" s="4">
        <f>IFERROR(__xludf.DUMMYFUNCTION("""COMPUTED_VALUE"""),40.21983218501629)</f>
        <v>40.21983219</v>
      </c>
      <c r="AS146" s="4"/>
      <c r="AT146" s="4"/>
      <c r="AU146" s="4">
        <f>IFERROR(__xludf.DUMMYFUNCTION("""COMPUTED_VALUE"""),27.858358900475082)</f>
        <v>27.8583589</v>
      </c>
      <c r="AV146" s="4"/>
      <c r="AW146" s="4"/>
      <c r="AX146" s="4">
        <f>IFERROR(__xludf.DUMMYFUNCTION("""COMPUTED_VALUE"""),19.849511235846307)</f>
        <v>19.84951124</v>
      </c>
      <c r="AY146" s="4"/>
      <c r="AZ146" s="4"/>
      <c r="BA146" s="4">
        <f>IFERROR(__xludf.DUMMYFUNCTION("""COMPUTED_VALUE"""),2.3979343257974506)</f>
        <v>2.397934326</v>
      </c>
      <c r="BB146" s="4"/>
      <c r="BC146" s="4"/>
      <c r="BD146" s="4">
        <f>IFERROR(__xludf.DUMMYFUNCTION("""COMPUTED_VALUE"""),-2.6299796162500684)</f>
        <v>-2.629979616</v>
      </c>
      <c r="BE146" s="4"/>
      <c r="BF146" s="4"/>
      <c r="BG146" s="4">
        <f>IFERROR(__xludf.DUMMYFUNCTION("""COMPUTED_VALUE"""),-1.3492424578893178)</f>
        <v>-1.349242458</v>
      </c>
      <c r="BH146" s="4"/>
      <c r="BI146" s="4"/>
      <c r="BJ146" s="4"/>
      <c r="BK146" s="4"/>
    </row>
    <row r="147">
      <c r="A147" s="4"/>
      <c r="B147" s="4"/>
      <c r="C147" s="4"/>
      <c r="D147" s="4">
        <f>IFERROR(__xludf.DUMMYFUNCTION("""COMPUTED_VALUE"""),78.055171233471)</f>
        <v>78.05517123</v>
      </c>
      <c r="E147" s="23">
        <f>IFERROR(__xludf.DUMMYFUNCTION("""COMPUTED_VALUE"""),-2.2526501659402243)</f>
        <v>-2.252650166</v>
      </c>
      <c r="F147" s="4"/>
      <c r="G147" s="4"/>
      <c r="H147" s="4">
        <f>IFERROR(__xludf.DUMMYFUNCTION("""COMPUTED_VALUE"""),-8.637467825108672)</f>
        <v>-8.637467825</v>
      </c>
      <c r="I147" s="4"/>
      <c r="J147" s="4"/>
      <c r="K147" s="4">
        <f>IFERROR(__xludf.DUMMYFUNCTION("""COMPUTED_VALUE"""),-1.1265556831915546)</f>
        <v>-1.126555683</v>
      </c>
      <c r="L147" s="4"/>
      <c r="M147" s="4"/>
      <c r="N147" s="4">
        <f>IFERROR(__xludf.DUMMYFUNCTION("""COMPUTED_VALUE"""),-1.4324407184656707)</f>
        <v>-1.432440718</v>
      </c>
      <c r="O147" s="4"/>
      <c r="P147" s="4"/>
      <c r="Q147" s="4">
        <f>IFERROR(__xludf.DUMMYFUNCTION("""COMPUTED_VALUE"""),0.5453373984582299)</f>
        <v>0.5453373985</v>
      </c>
      <c r="R147" s="4"/>
      <c r="S147" s="4"/>
      <c r="T147" s="4">
        <f>IFERROR(__xludf.DUMMYFUNCTION("""COMPUTED_VALUE"""),-6.6326524384156755)</f>
        <v>-6.632652438</v>
      </c>
      <c r="U147" s="4"/>
      <c r="V147" s="4"/>
      <c r="W147" s="4">
        <f>IFERROR(__xludf.DUMMYFUNCTION("""COMPUTED_VALUE"""),5.561162276708842)</f>
        <v>5.561162277</v>
      </c>
      <c r="X147" s="4"/>
      <c r="Y147" s="4"/>
      <c r="Z147" s="4">
        <f>IFERROR(__xludf.DUMMYFUNCTION("""COMPUTED_VALUE"""),14.602647103565005)</f>
        <v>14.6026471</v>
      </c>
      <c r="AA147" s="4"/>
      <c r="AB147" s="4"/>
      <c r="AC147" s="4">
        <f>IFERROR(__xludf.DUMMYFUNCTION("""COMPUTED_VALUE"""),34.36351887932335)</f>
        <v>34.36351888</v>
      </c>
      <c r="AD147" s="4"/>
      <c r="AE147" s="4"/>
      <c r="AF147" s="4">
        <f>IFERROR(__xludf.DUMMYFUNCTION("""COMPUTED_VALUE"""),51.206839062768324)</f>
        <v>51.20683906</v>
      </c>
      <c r="AG147" s="4"/>
      <c r="AH147" s="4"/>
      <c r="AI147" s="4">
        <f>IFERROR(__xludf.DUMMYFUNCTION("""COMPUTED_VALUE"""),52.39112720919036)</f>
        <v>52.39112721</v>
      </c>
      <c r="AJ147" s="4"/>
      <c r="AK147" s="4"/>
      <c r="AL147" s="4">
        <f>IFERROR(__xludf.DUMMYFUNCTION("""COMPUTED_VALUE"""),58.006082806095435)</f>
        <v>58.00608281</v>
      </c>
      <c r="AM147" s="4"/>
      <c r="AN147" s="4"/>
      <c r="AO147" s="4">
        <f>IFERROR(__xludf.DUMMYFUNCTION("""COMPUTED_VALUE"""),48.27710266510883)</f>
        <v>48.27710267</v>
      </c>
      <c r="AP147" s="4"/>
      <c r="AQ147" s="4"/>
      <c r="AR147" s="4">
        <f>IFERROR(__xludf.DUMMYFUNCTION("""COMPUTED_VALUE"""),40.1775382822737)</f>
        <v>40.17753828</v>
      </c>
      <c r="AS147" s="4"/>
      <c r="AT147" s="4"/>
      <c r="AU147" s="4">
        <f>IFERROR(__xludf.DUMMYFUNCTION("""COMPUTED_VALUE"""),29.15888139336664)</f>
        <v>29.15888139</v>
      </c>
      <c r="AV147" s="4"/>
      <c r="AW147" s="4"/>
      <c r="AX147" s="4">
        <f>IFERROR(__xludf.DUMMYFUNCTION("""COMPUTED_VALUE"""),14.739111635750021)</f>
        <v>14.73911164</v>
      </c>
      <c r="AY147" s="4"/>
      <c r="AZ147" s="4"/>
      <c r="BA147" s="4">
        <f>IFERROR(__xludf.DUMMYFUNCTION("""COMPUTED_VALUE"""),4.72191472984656)</f>
        <v>4.72191473</v>
      </c>
      <c r="BB147" s="4"/>
      <c r="BC147" s="4"/>
      <c r="BD147" s="4">
        <f>IFERROR(__xludf.DUMMYFUNCTION("""COMPUTED_VALUE"""),0.49150893586920574)</f>
        <v>0.4915089359</v>
      </c>
      <c r="BE147" s="4"/>
      <c r="BF147" s="4"/>
      <c r="BG147" s="4">
        <f>IFERROR(__xludf.DUMMYFUNCTION("""COMPUTED_VALUE"""),-6.452944489665185)</f>
        <v>-6.45294449</v>
      </c>
      <c r="BH147" s="4"/>
      <c r="BI147" s="4"/>
      <c r="BJ147" s="4"/>
      <c r="BK147" s="4"/>
    </row>
    <row r="148">
      <c r="A148" s="4"/>
      <c r="B148" s="4"/>
      <c r="C148" s="4"/>
      <c r="D148" s="4">
        <f>IFERROR(__xludf.DUMMYFUNCTION("""COMPUTED_VALUE"""),77.13687510067092)</f>
        <v>77.1368751</v>
      </c>
      <c r="E148" s="23">
        <f>IFERROR(__xludf.DUMMYFUNCTION("""COMPUTED_VALUE"""),-4.3648560919991155)</f>
        <v>-4.364856092</v>
      </c>
      <c r="F148" s="4"/>
      <c r="G148" s="4"/>
      <c r="H148" s="4">
        <f>IFERROR(__xludf.DUMMYFUNCTION("""COMPUTED_VALUE"""),-2.5871936335860823)</f>
        <v>-2.587193634</v>
      </c>
      <c r="I148" s="4"/>
      <c r="J148" s="4"/>
      <c r="K148" s="4">
        <f>IFERROR(__xludf.DUMMYFUNCTION("""COMPUTED_VALUE"""),-0.8627534307792075)</f>
        <v>-0.8627534308</v>
      </c>
      <c r="L148" s="4"/>
      <c r="M148" s="4"/>
      <c r="N148" s="4">
        <f>IFERROR(__xludf.DUMMYFUNCTION("""COMPUTED_VALUE"""),-3.7152182283164734)</f>
        <v>-3.715218228</v>
      </c>
      <c r="O148" s="4"/>
      <c r="P148" s="4"/>
      <c r="Q148" s="4">
        <f>IFERROR(__xludf.DUMMYFUNCTION("""COMPUTED_VALUE"""),-0.7518271620887162)</f>
        <v>-0.7518271621</v>
      </c>
      <c r="R148" s="4"/>
      <c r="S148" s="4"/>
      <c r="T148" s="4">
        <f>IFERROR(__xludf.DUMMYFUNCTION("""COMPUTED_VALUE"""),-3.773376332347084)</f>
        <v>-3.773376332</v>
      </c>
      <c r="U148" s="4"/>
      <c r="V148" s="4"/>
      <c r="W148" s="4">
        <f>IFERROR(__xludf.DUMMYFUNCTION("""COMPUTED_VALUE"""),-2.0877520369003832)</f>
        <v>-2.087752037</v>
      </c>
      <c r="X148" s="4"/>
      <c r="Y148" s="4"/>
      <c r="Z148" s="4">
        <f>IFERROR(__xludf.DUMMYFUNCTION("""COMPUTED_VALUE"""),9.592224637079369)</f>
        <v>9.592224637</v>
      </c>
      <c r="AA148" s="4"/>
      <c r="AB148" s="4"/>
      <c r="AC148" s="4">
        <f>IFERROR(__xludf.DUMMYFUNCTION("""COMPUTED_VALUE"""),30.970701328380073)</f>
        <v>30.97070133</v>
      </c>
      <c r="AD148" s="4"/>
      <c r="AE148" s="4"/>
      <c r="AF148" s="4">
        <f>IFERROR(__xludf.DUMMYFUNCTION("""COMPUTED_VALUE"""),53.493741899551765)</f>
        <v>53.4937419</v>
      </c>
      <c r="AG148" s="4"/>
      <c r="AH148" s="4"/>
      <c r="AI148" s="4">
        <f>IFERROR(__xludf.DUMMYFUNCTION("""COMPUTED_VALUE"""),61.25878012080875)</f>
        <v>61.25878012</v>
      </c>
      <c r="AJ148" s="4"/>
      <c r="AK148" s="4"/>
      <c r="AL148" s="4">
        <f>IFERROR(__xludf.DUMMYFUNCTION("""COMPUTED_VALUE"""),63.85033102676135)</f>
        <v>63.85033103</v>
      </c>
      <c r="AM148" s="4"/>
      <c r="AN148" s="4"/>
      <c r="AO148" s="4">
        <f>IFERROR(__xludf.DUMMYFUNCTION("""COMPUTED_VALUE"""),52.01703516320515)</f>
        <v>52.01703516</v>
      </c>
      <c r="AP148" s="4"/>
      <c r="AQ148" s="4"/>
      <c r="AR148" s="4">
        <f>IFERROR(__xludf.DUMMYFUNCTION("""COMPUTED_VALUE"""),45.72974463611337)</f>
        <v>45.72974464</v>
      </c>
      <c r="AS148" s="4"/>
      <c r="AT148" s="4"/>
      <c r="AU148" s="4">
        <f>IFERROR(__xludf.DUMMYFUNCTION("""COMPUTED_VALUE"""),23.72696678740192)</f>
        <v>23.72696679</v>
      </c>
      <c r="AV148" s="4"/>
      <c r="AW148" s="4"/>
      <c r="AX148" s="4">
        <f>IFERROR(__xludf.DUMMYFUNCTION("""COMPUTED_VALUE"""),19.141067461167893)</f>
        <v>19.14106746</v>
      </c>
      <c r="AY148" s="4"/>
      <c r="AZ148" s="4"/>
      <c r="BA148" s="4">
        <f>IFERROR(__xludf.DUMMYFUNCTION("""COMPUTED_VALUE"""),9.260510932624982)</f>
        <v>9.260510933</v>
      </c>
      <c r="BB148" s="4"/>
      <c r="BC148" s="4"/>
      <c r="BD148" s="4">
        <f>IFERROR(__xludf.DUMMYFUNCTION("""COMPUTED_VALUE"""),2.9027342506134914)</f>
        <v>2.902734251</v>
      </c>
      <c r="BE148" s="4"/>
      <c r="BF148" s="4"/>
      <c r="BG148" s="4">
        <f>IFERROR(__xludf.DUMMYFUNCTION("""COMPUTED_VALUE"""),-3.8743420243165474)</f>
        <v>-3.874342024</v>
      </c>
      <c r="BH148" s="4"/>
      <c r="BI148" s="4"/>
      <c r="BJ148" s="4"/>
      <c r="BK148" s="4"/>
    </row>
    <row r="149">
      <c r="A149" s="4"/>
      <c r="B149" s="4"/>
      <c r="C149" s="4"/>
      <c r="D149" s="4">
        <f>IFERROR(__xludf.DUMMYFUNCTION("""COMPUTED_VALUE"""),76.2185789679212)</f>
        <v>76.21857897</v>
      </c>
      <c r="E149" s="23">
        <f>IFERROR(__xludf.DUMMYFUNCTION("""COMPUTED_VALUE"""),-1.8999096358971883)</f>
        <v>-1.899909636</v>
      </c>
      <c r="F149" s="4"/>
      <c r="G149" s="4"/>
      <c r="H149" s="4">
        <f>IFERROR(__xludf.DUMMYFUNCTION("""COMPUTED_VALUE"""),1.876937469988377)</f>
        <v>1.87693747</v>
      </c>
      <c r="I149" s="4"/>
      <c r="J149" s="4"/>
      <c r="K149" s="4">
        <f>IFERROR(__xludf.DUMMYFUNCTION("""COMPUTED_VALUE"""),0.051437811679647893)</f>
        <v>0.05143781168</v>
      </c>
      <c r="L149" s="4"/>
      <c r="M149" s="4"/>
      <c r="N149" s="4">
        <f>IFERROR(__xludf.DUMMYFUNCTION("""COMPUTED_VALUE"""),-8.558794385876183)</f>
        <v>-8.558794386</v>
      </c>
      <c r="O149" s="4"/>
      <c r="P149" s="4"/>
      <c r="Q149" s="4">
        <f>IFERROR(__xludf.DUMMYFUNCTION("""COMPUTED_VALUE"""),-1.7131500824295927)</f>
        <v>-1.713150082</v>
      </c>
      <c r="R149" s="4"/>
      <c r="S149" s="4"/>
      <c r="T149" s="4">
        <f>IFERROR(__xludf.DUMMYFUNCTION("""COMPUTED_VALUE"""),-3.5712271235477147)</f>
        <v>-3.571227124</v>
      </c>
      <c r="U149" s="4"/>
      <c r="V149" s="4"/>
      <c r="W149" s="4">
        <f>IFERROR(__xludf.DUMMYFUNCTION("""COMPUTED_VALUE"""),3.542430813187309)</f>
        <v>3.542430813</v>
      </c>
      <c r="X149" s="4"/>
      <c r="Y149" s="4"/>
      <c r="Z149" s="4">
        <f>IFERROR(__xludf.DUMMYFUNCTION("""COMPUTED_VALUE"""),11.646557493705814)</f>
        <v>11.64655749</v>
      </c>
      <c r="AA149" s="4"/>
      <c r="AB149" s="4"/>
      <c r="AC149" s="4">
        <f>IFERROR(__xludf.DUMMYFUNCTION("""COMPUTED_VALUE"""),30.955821398138426)</f>
        <v>30.9558214</v>
      </c>
      <c r="AD149" s="4"/>
      <c r="AE149" s="4"/>
      <c r="AF149" s="4">
        <f>IFERROR(__xludf.DUMMYFUNCTION("""COMPUTED_VALUE"""),50.24216145819156)</f>
        <v>50.24216146</v>
      </c>
      <c r="AG149" s="4"/>
      <c r="AH149" s="4"/>
      <c r="AI149" s="4">
        <f>IFERROR(__xludf.DUMMYFUNCTION("""COMPUTED_VALUE"""),64.01597534074267)</f>
        <v>64.01597534</v>
      </c>
      <c r="AJ149" s="4"/>
      <c r="AK149" s="4"/>
      <c r="AL149" s="4">
        <f>IFERROR(__xludf.DUMMYFUNCTION("""COMPUTED_VALUE"""),62.52231561727052)</f>
        <v>62.52231562</v>
      </c>
      <c r="AM149" s="4"/>
      <c r="AN149" s="4"/>
      <c r="AO149" s="4">
        <f>IFERROR(__xludf.DUMMYFUNCTION("""COMPUTED_VALUE"""),59.377949174995365)</f>
        <v>59.37794917</v>
      </c>
      <c r="AP149" s="4"/>
      <c r="AQ149" s="4"/>
      <c r="AR149" s="4">
        <f>IFERROR(__xludf.DUMMYFUNCTION("""COMPUTED_VALUE"""),48.33340340578195)</f>
        <v>48.33340341</v>
      </c>
      <c r="AS149" s="4"/>
      <c r="AT149" s="4"/>
      <c r="AU149" s="4">
        <f>IFERROR(__xludf.DUMMYFUNCTION("""COMPUTED_VALUE"""),27.006776433227117)</f>
        <v>27.00677643</v>
      </c>
      <c r="AV149" s="4"/>
      <c r="AW149" s="4"/>
      <c r="AX149" s="4">
        <f>IFERROR(__xludf.DUMMYFUNCTION("""COMPUTED_VALUE"""),16.53079820522646)</f>
        <v>16.53079821</v>
      </c>
      <c r="AY149" s="4"/>
      <c r="AZ149" s="4"/>
      <c r="BA149" s="4">
        <f>IFERROR(__xludf.DUMMYFUNCTION("""COMPUTED_VALUE"""),3.844415473712104)</f>
        <v>3.844415474</v>
      </c>
      <c r="BB149" s="4"/>
      <c r="BC149" s="4"/>
      <c r="BD149" s="4">
        <f>IFERROR(__xludf.DUMMYFUNCTION("""COMPUTED_VALUE"""),0.6621370400179671)</f>
        <v>0.66213704</v>
      </c>
      <c r="BE149" s="4"/>
      <c r="BF149" s="4"/>
      <c r="BG149" s="4">
        <f>IFERROR(__xludf.DUMMYFUNCTION("""COMPUTED_VALUE"""),-4.969888871828289)</f>
        <v>-4.969888872</v>
      </c>
      <c r="BH149" s="4"/>
      <c r="BI149" s="4"/>
      <c r="BJ149" s="4"/>
      <c r="BK149" s="4"/>
    </row>
    <row r="150">
      <c r="A150" s="4"/>
      <c r="B150" s="4"/>
      <c r="C150" s="4"/>
      <c r="D150" s="4">
        <f>IFERROR(__xludf.DUMMYFUNCTION("""COMPUTED_VALUE"""),75.30028283512112)</f>
        <v>75.30028284</v>
      </c>
      <c r="E150" s="23">
        <f>IFERROR(__xludf.DUMMYFUNCTION("""COMPUTED_VALUE"""),-4.008297798618742)</f>
        <v>-4.008297799</v>
      </c>
      <c r="F150" s="4"/>
      <c r="G150" s="4"/>
      <c r="H150" s="4">
        <f>IFERROR(__xludf.DUMMYFUNCTION("""COMPUTED_VALUE"""),-6.469609226453429)</f>
        <v>-6.469609226</v>
      </c>
      <c r="I150" s="4"/>
      <c r="J150" s="4"/>
      <c r="K150" s="4">
        <f>IFERROR(__xludf.DUMMYFUNCTION("""COMPUTED_VALUE"""),-4.9385490017047005)</f>
        <v>-4.938549002</v>
      </c>
      <c r="L150" s="4"/>
      <c r="M150" s="4"/>
      <c r="N150" s="4">
        <f>IFERROR(__xludf.DUMMYFUNCTION("""COMPUTED_VALUE"""),0.6674074196983497)</f>
        <v>0.6674074197</v>
      </c>
      <c r="O150" s="4"/>
      <c r="P150" s="4"/>
      <c r="Q150" s="4">
        <f>IFERROR(__xludf.DUMMYFUNCTION("""COMPUTED_VALUE"""),-0.7876227796703574)</f>
        <v>-0.7876227797</v>
      </c>
      <c r="R150" s="4"/>
      <c r="S150" s="4"/>
      <c r="T150" s="4">
        <f>IFERROR(__xludf.DUMMYFUNCTION("""COMPUTED_VALUE"""),-4.806837682466721)</f>
        <v>-4.806837682</v>
      </c>
      <c r="U150" s="4"/>
      <c r="V150" s="4"/>
      <c r="W150" s="4">
        <f>IFERROR(__xludf.DUMMYFUNCTION("""COMPUTED_VALUE"""),5.249131541112035)</f>
        <v>5.249131541</v>
      </c>
      <c r="X150" s="4"/>
      <c r="Y150" s="4"/>
      <c r="Z150" s="4">
        <f>IFERROR(__xludf.DUMMYFUNCTION("""COMPUTED_VALUE"""),10.462846822600227)</f>
        <v>10.46284682</v>
      </c>
      <c r="AA150" s="4"/>
      <c r="AB150" s="4"/>
      <c r="AC150" s="4">
        <f>IFERROR(__xludf.DUMMYFUNCTION("""COMPUTED_VALUE"""),38.80566536034411)</f>
        <v>38.80566536</v>
      </c>
      <c r="AD150" s="4"/>
      <c r="AE150" s="4"/>
      <c r="AF150" s="4">
        <f>IFERROR(__xludf.DUMMYFUNCTION("""COMPUTED_VALUE"""),50.47120836362683)</f>
        <v>50.47120836</v>
      </c>
      <c r="AG150" s="4"/>
      <c r="AH150" s="4"/>
      <c r="AI150" s="4">
        <f>IFERROR(__xludf.DUMMYFUNCTION("""COMPUTED_VALUE"""),62.66744305339978)</f>
        <v>62.66744305</v>
      </c>
      <c r="AJ150" s="4"/>
      <c r="AK150" s="4"/>
      <c r="AL150" s="4">
        <f>IFERROR(__xludf.DUMMYFUNCTION("""COMPUTED_VALUE"""),65.8378393474506)</f>
        <v>65.83783935</v>
      </c>
      <c r="AM150" s="4"/>
      <c r="AN150" s="4"/>
      <c r="AO150" s="4">
        <f>IFERROR(__xludf.DUMMYFUNCTION("""COMPUTED_VALUE"""),56.18805541573221)</f>
        <v>56.18805542</v>
      </c>
      <c r="AP150" s="4"/>
      <c r="AQ150" s="4"/>
      <c r="AR150" s="4">
        <f>IFERROR(__xludf.DUMMYFUNCTION("""COMPUTED_VALUE"""),51.991274969737105)</f>
        <v>51.99127497</v>
      </c>
      <c r="AS150" s="4"/>
      <c r="AT150" s="4"/>
      <c r="AU150" s="4">
        <f>IFERROR(__xludf.DUMMYFUNCTION("""COMPUTED_VALUE"""),33.247867518011844)</f>
        <v>33.24786752</v>
      </c>
      <c r="AV150" s="4"/>
      <c r="AW150" s="4"/>
      <c r="AX150" s="4">
        <f>IFERROR(__xludf.DUMMYFUNCTION("""COMPUTED_VALUE"""),24.83540551389052)</f>
        <v>24.83540551</v>
      </c>
      <c r="AY150" s="4"/>
      <c r="AZ150" s="4"/>
      <c r="BA150" s="4">
        <f>IFERROR(__xludf.DUMMYFUNCTION("""COMPUTED_VALUE"""),12.572097371657662)</f>
        <v>12.57209737</v>
      </c>
      <c r="BB150" s="4"/>
      <c r="BC150" s="4"/>
      <c r="BD150" s="4">
        <f>IFERROR(__xludf.DUMMYFUNCTION("""COMPUTED_VALUE"""),-2.0295901064851023)</f>
        <v>-2.029590106</v>
      </c>
      <c r="BE150" s="4"/>
      <c r="BF150" s="4"/>
      <c r="BG150" s="4">
        <f>IFERROR(__xludf.DUMMYFUNCTION("""COMPUTED_VALUE"""),-4.698192635509656)</f>
        <v>-4.698192636</v>
      </c>
      <c r="BH150" s="4"/>
      <c r="BI150" s="4"/>
      <c r="BJ150" s="4"/>
      <c r="BK150" s="4"/>
    </row>
    <row r="151">
      <c r="A151" s="4"/>
      <c r="B151" s="4"/>
      <c r="C151" s="4"/>
      <c r="D151" s="4">
        <f>IFERROR(__xludf.DUMMYFUNCTION("""COMPUTED_VALUE"""),74.381986704436)</f>
        <v>74.3819867</v>
      </c>
      <c r="E151" s="23">
        <f>IFERROR(__xludf.DUMMYFUNCTION("""COMPUTED_VALUE"""),0.4211151686088783)</f>
        <v>0.4211151686</v>
      </c>
      <c r="F151" s="4"/>
      <c r="G151" s="4"/>
      <c r="H151" s="4">
        <f>IFERROR(__xludf.DUMMYFUNCTION("""COMPUTED_VALUE"""),-1.6260686304441947)</f>
        <v>-1.62606863</v>
      </c>
      <c r="I151" s="4"/>
      <c r="J151" s="4"/>
      <c r="K151" s="4">
        <f>IFERROR(__xludf.DUMMYFUNCTION("""COMPUTED_VALUE"""),-6.136966555308902)</f>
        <v>-6.136966555</v>
      </c>
      <c r="L151" s="4"/>
      <c r="M151" s="4"/>
      <c r="N151" s="4">
        <f>IFERROR(__xludf.DUMMYFUNCTION("""COMPUTED_VALUE"""),-1.1563337212234615)</f>
        <v>-1.156333721</v>
      </c>
      <c r="O151" s="4"/>
      <c r="P151" s="4"/>
      <c r="Q151" s="4">
        <f>IFERROR(__xludf.DUMMYFUNCTION("""COMPUTED_VALUE"""),-6.257629120238107)</f>
        <v>-6.25762912</v>
      </c>
      <c r="R151" s="4"/>
      <c r="S151" s="4"/>
      <c r="T151" s="4">
        <f>IFERROR(__xludf.DUMMYFUNCTION("""COMPUTED_VALUE"""),1.0329498224581926)</f>
        <v>1.032949822</v>
      </c>
      <c r="U151" s="4"/>
      <c r="V151" s="4"/>
      <c r="W151" s="4">
        <f>IFERROR(__xludf.DUMMYFUNCTION("""COMPUTED_VALUE"""),-2.606335297209455)</f>
        <v>-2.606335297</v>
      </c>
      <c r="X151" s="4"/>
      <c r="Y151" s="4"/>
      <c r="Z151" s="4">
        <f>IFERROR(__xludf.DUMMYFUNCTION("""COMPUTED_VALUE"""),14.00816825733051)</f>
        <v>14.00816826</v>
      </c>
      <c r="AA151" s="4"/>
      <c r="AB151" s="4"/>
      <c r="AC151" s="4">
        <f>IFERROR(__xludf.DUMMYFUNCTION("""COMPUTED_VALUE"""),40.70783800698149)</f>
        <v>40.70783801</v>
      </c>
      <c r="AD151" s="4"/>
      <c r="AE151" s="4"/>
      <c r="AF151" s="4">
        <f>IFERROR(__xludf.DUMMYFUNCTION("""COMPUTED_VALUE"""),51.02439136825723)</f>
        <v>51.02439137</v>
      </c>
      <c r="AG151" s="4"/>
      <c r="AH151" s="4"/>
      <c r="AI151" s="4">
        <f>IFERROR(__xludf.DUMMYFUNCTION("""COMPUTED_VALUE"""),58.277348735855696)</f>
        <v>58.27734874</v>
      </c>
      <c r="AJ151" s="4"/>
      <c r="AK151" s="4"/>
      <c r="AL151" s="4">
        <f>IFERROR(__xludf.DUMMYFUNCTION("""COMPUTED_VALUE"""),72.45184677026685)</f>
        <v>72.45184677</v>
      </c>
      <c r="AM151" s="4"/>
      <c r="AN151" s="4"/>
      <c r="AO151" s="4">
        <f>IFERROR(__xludf.DUMMYFUNCTION("""COMPUTED_VALUE"""),59.50238814821529)</f>
        <v>59.50238815</v>
      </c>
      <c r="AP151" s="4"/>
      <c r="AQ151" s="4"/>
      <c r="AR151" s="4">
        <f>IFERROR(__xludf.DUMMYFUNCTION("""COMPUTED_VALUE"""),55.633494899638094)</f>
        <v>55.6334949</v>
      </c>
      <c r="AS151" s="4"/>
      <c r="AT151" s="4"/>
      <c r="AU151" s="4">
        <f>IFERROR(__xludf.DUMMYFUNCTION("""COMPUTED_VALUE"""),34.256497610009376)</f>
        <v>34.25649761</v>
      </c>
      <c r="AV151" s="4"/>
      <c r="AW151" s="4"/>
      <c r="AX151" s="4">
        <f>IFERROR(__xludf.DUMMYFUNCTION("""COMPUTED_VALUE"""),23.885869645527634)</f>
        <v>23.88586965</v>
      </c>
      <c r="AY151" s="4"/>
      <c r="AZ151" s="4"/>
      <c r="BA151" s="4">
        <f>IFERROR(__xludf.DUMMYFUNCTION("""COMPUTED_VALUE"""),9.74093252182098)</f>
        <v>9.740932522</v>
      </c>
      <c r="BB151" s="4"/>
      <c r="BC151" s="4"/>
      <c r="BD151" s="4">
        <f>IFERROR(__xludf.DUMMYFUNCTION("""COMPUTED_VALUE"""),1.9300520233585416)</f>
        <v>1.930052023</v>
      </c>
      <c r="BE151" s="4"/>
      <c r="BF151" s="4"/>
      <c r="BG151" s="4">
        <f>IFERROR(__xludf.DUMMYFUNCTION("""COMPUTED_VALUE"""),-4.728284244164968)</f>
        <v>-4.728284244</v>
      </c>
      <c r="BH151" s="4"/>
      <c r="BI151" s="4"/>
      <c r="BJ151" s="4"/>
      <c r="BK151" s="4"/>
    </row>
    <row r="152">
      <c r="A152" s="4"/>
      <c r="B152" s="4"/>
      <c r="C152" s="4"/>
      <c r="D152" s="4">
        <f>IFERROR(__xludf.DUMMYFUNCTION("""COMPUTED_VALUE"""),73.46369057168629)</f>
        <v>73.46369057</v>
      </c>
      <c r="E152" s="23">
        <f>IFERROR(__xludf.DUMMYFUNCTION("""COMPUTED_VALUE"""),1.8413814851647317)</f>
        <v>1.841381485</v>
      </c>
      <c r="F152" s="4"/>
      <c r="G152" s="4"/>
      <c r="H152" s="4">
        <f>IFERROR(__xludf.DUMMYFUNCTION("""COMPUTED_VALUE"""),-2.2939688756781607)</f>
        <v>-2.293968876</v>
      </c>
      <c r="I152" s="4"/>
      <c r="J152" s="4"/>
      <c r="K152" s="4">
        <f>IFERROR(__xludf.DUMMYFUNCTION("""COMPUTED_VALUE"""),-1.4220289136115412)</f>
        <v>-1.422028914</v>
      </c>
      <c r="L152" s="4"/>
      <c r="M152" s="4"/>
      <c r="N152" s="4">
        <f>IFERROR(__xludf.DUMMYFUNCTION("""COMPUTED_VALUE"""),-0.7359240275667389)</f>
        <v>-0.7359240276</v>
      </c>
      <c r="O152" s="4"/>
      <c r="P152" s="4"/>
      <c r="Q152" s="4">
        <f>IFERROR(__xludf.DUMMYFUNCTION("""COMPUTED_VALUE"""),-3.682096116103196)</f>
        <v>-3.682096116</v>
      </c>
      <c r="R152" s="4"/>
      <c r="S152" s="4"/>
      <c r="T152" s="4">
        <f>IFERROR(__xludf.DUMMYFUNCTION("""COMPUTED_VALUE"""),-1.0090247091363267)</f>
        <v>-1.009024709</v>
      </c>
      <c r="U152" s="4"/>
      <c r="V152" s="4"/>
      <c r="W152" s="4">
        <f>IFERROR(__xludf.DUMMYFUNCTION("""COMPUTED_VALUE"""),1.2833869109549596)</f>
        <v>1.283386911</v>
      </c>
      <c r="X152" s="4"/>
      <c r="Y152" s="4"/>
      <c r="Z152" s="4">
        <f>IFERROR(__xludf.DUMMYFUNCTION("""COMPUTED_VALUE"""),21.49819433849467)</f>
        <v>21.49819434</v>
      </c>
      <c r="AA152" s="4"/>
      <c r="AB152" s="4"/>
      <c r="AC152" s="4">
        <f>IFERROR(__xludf.DUMMYFUNCTION("""COMPUTED_VALUE"""),37.97000901844194)</f>
        <v>37.97000902</v>
      </c>
      <c r="AD152" s="4"/>
      <c r="AE152" s="4"/>
      <c r="AF152" s="4">
        <f>IFERROR(__xludf.DUMMYFUNCTION("""COMPUTED_VALUE"""),57.67629901283732)</f>
        <v>57.67629901</v>
      </c>
      <c r="AG152" s="4"/>
      <c r="AH152" s="4"/>
      <c r="AI152" s="4">
        <f>IFERROR(__xludf.DUMMYFUNCTION("""COMPUTED_VALUE"""),67.39500740006139)</f>
        <v>67.3950074</v>
      </c>
      <c r="AJ152" s="4"/>
      <c r="AK152" s="4"/>
      <c r="AL152" s="4">
        <f>IFERROR(__xludf.DUMMYFUNCTION("""COMPUTED_VALUE"""),67.46342854376712)</f>
        <v>67.46342854</v>
      </c>
      <c r="AM152" s="4"/>
      <c r="AN152" s="4"/>
      <c r="AO152" s="4">
        <f>IFERROR(__xludf.DUMMYFUNCTION("""COMPUTED_VALUE"""),64.41523765619615)</f>
        <v>64.41523766</v>
      </c>
      <c r="AP152" s="4"/>
      <c r="AQ152" s="4"/>
      <c r="AR152" s="4">
        <f>IFERROR(__xludf.DUMMYFUNCTION("""COMPUTED_VALUE"""),53.02530733683591)</f>
        <v>53.02530734</v>
      </c>
      <c r="AS152" s="4"/>
      <c r="AT152" s="4"/>
      <c r="AU152" s="4">
        <f>IFERROR(__xludf.DUMMYFUNCTION("""COMPUTED_VALUE"""),43.56018926283099)</f>
        <v>43.56018926</v>
      </c>
      <c r="AV152" s="4"/>
      <c r="AW152" s="4"/>
      <c r="AX152" s="4">
        <f>IFERROR(__xludf.DUMMYFUNCTION("""COMPUTED_VALUE"""),25.02712122909736)</f>
        <v>25.02712123</v>
      </c>
      <c r="AY152" s="4"/>
      <c r="AZ152" s="4"/>
      <c r="BA152" s="4">
        <f>IFERROR(__xludf.DUMMYFUNCTION("""COMPUTED_VALUE"""),10.357622568954866)</f>
        <v>10.35762257</v>
      </c>
      <c r="BB152" s="4"/>
      <c r="BC152" s="4"/>
      <c r="BD152" s="4">
        <f>IFERROR(__xludf.DUMMYFUNCTION("""COMPUTED_VALUE"""),2.924888626011068)</f>
        <v>2.924888626</v>
      </c>
      <c r="BE152" s="4"/>
      <c r="BF152" s="4"/>
      <c r="BG152" s="4">
        <f>IFERROR(__xludf.DUMMYFUNCTION("""COMPUTED_VALUE"""),-0.8716330751984742)</f>
        <v>-0.8716330752</v>
      </c>
      <c r="BH152" s="4"/>
      <c r="BI152" s="4"/>
      <c r="BJ152" s="4"/>
      <c r="BK152" s="4"/>
    </row>
    <row r="153">
      <c r="A153" s="4"/>
      <c r="B153" s="4"/>
      <c r="C153" s="4"/>
      <c r="D153" s="4">
        <f>IFERROR(__xludf.DUMMYFUNCTION("""COMPUTED_VALUE"""),72.5453944388862)</f>
        <v>72.54539444</v>
      </c>
      <c r="E153" s="23">
        <f>IFERROR(__xludf.DUMMYFUNCTION("""COMPUTED_VALUE"""),0.24546975152838968)</f>
        <v>0.2454697515</v>
      </c>
      <c r="F153" s="4"/>
      <c r="G153" s="4"/>
      <c r="H153" s="4">
        <f>IFERROR(__xludf.DUMMYFUNCTION("""COMPUTED_VALUE"""),-1.9162567186702404)</f>
        <v>-1.916256719</v>
      </c>
      <c r="I153" s="4"/>
      <c r="J153" s="4"/>
      <c r="K153" s="4">
        <f>IFERROR(__xludf.DUMMYFUNCTION("""COMPUTED_VALUE"""),0.1968783485024801)</f>
        <v>0.1968783485</v>
      </c>
      <c r="L153" s="4"/>
      <c r="M153" s="4"/>
      <c r="N153" s="4">
        <f>IFERROR(__xludf.DUMMYFUNCTION("""COMPUTED_VALUE"""),-5.684457484644838)</f>
        <v>-5.684457485</v>
      </c>
      <c r="O153" s="4"/>
      <c r="P153" s="4"/>
      <c r="Q153" s="4">
        <f>IFERROR(__xludf.DUMMYFUNCTION("""COMPUTED_VALUE"""),6.556620762442606)</f>
        <v>6.556620762</v>
      </c>
      <c r="R153" s="4"/>
      <c r="S153" s="4"/>
      <c r="T153" s="4">
        <f>IFERROR(__xludf.DUMMYFUNCTION("""COMPUTED_VALUE"""),-2.019088206282106)</f>
        <v>-2.019088206</v>
      </c>
      <c r="U153" s="4"/>
      <c r="V153" s="4"/>
      <c r="W153" s="4">
        <f>IFERROR(__xludf.DUMMYFUNCTION("""COMPUTED_VALUE"""),-0.8419560861878495)</f>
        <v>-0.8419560862</v>
      </c>
      <c r="X153" s="4"/>
      <c r="Y153" s="4"/>
      <c r="Z153" s="4">
        <f>IFERROR(__xludf.DUMMYFUNCTION("""COMPUTED_VALUE"""),21.896916341630117)</f>
        <v>21.89691634</v>
      </c>
      <c r="AA153" s="4"/>
      <c r="AB153" s="4"/>
      <c r="AC153" s="4">
        <f>IFERROR(__xludf.DUMMYFUNCTION("""COMPUTED_VALUE"""),36.5940691414072)</f>
        <v>36.59406914</v>
      </c>
      <c r="AD153" s="4"/>
      <c r="AE153" s="4"/>
      <c r="AF153" s="4">
        <f>IFERROR(__xludf.DUMMYFUNCTION("""COMPUTED_VALUE"""),55.53059623231388)</f>
        <v>55.53059623</v>
      </c>
      <c r="AG153" s="4"/>
      <c r="AH153" s="4"/>
      <c r="AI153" s="4">
        <f>IFERROR(__xludf.DUMMYFUNCTION("""COMPUTED_VALUE"""),74.98444368732254)</f>
        <v>74.98444369</v>
      </c>
      <c r="AJ153" s="4"/>
      <c r="AK153" s="4"/>
      <c r="AL153" s="4">
        <f>IFERROR(__xludf.DUMMYFUNCTION("""COMPUTED_VALUE"""),70.4710192833769)</f>
        <v>70.47101928</v>
      </c>
      <c r="AM153" s="4"/>
      <c r="AN153" s="4"/>
      <c r="AO153" s="4">
        <f>IFERROR(__xludf.DUMMYFUNCTION("""COMPUTED_VALUE"""),63.99285770274099)</f>
        <v>63.9928577</v>
      </c>
      <c r="AP153" s="4"/>
      <c r="AQ153" s="4"/>
      <c r="AR153" s="4">
        <f>IFERROR(__xludf.DUMMYFUNCTION("""COMPUTED_VALUE"""),60.37717647933226)</f>
        <v>60.37717648</v>
      </c>
      <c r="AS153" s="4"/>
      <c r="AT153" s="4"/>
      <c r="AU153" s="4">
        <f>IFERROR(__xludf.DUMMYFUNCTION("""COMPUTED_VALUE"""),40.578170532713784)</f>
        <v>40.57817053</v>
      </c>
      <c r="AV153" s="4"/>
      <c r="AW153" s="4"/>
      <c r="AX153" s="4">
        <f>IFERROR(__xludf.DUMMYFUNCTION("""COMPUTED_VALUE"""),22.519944560198383)</f>
        <v>22.51994456</v>
      </c>
      <c r="AY153" s="4"/>
      <c r="AZ153" s="4"/>
      <c r="BA153" s="4">
        <f>IFERROR(__xludf.DUMMYFUNCTION("""COMPUTED_VALUE"""),8.349953771774324)</f>
        <v>8.349953772</v>
      </c>
      <c r="BB153" s="4"/>
      <c r="BC153" s="4"/>
      <c r="BD153" s="4">
        <f>IFERROR(__xludf.DUMMYFUNCTION("""COMPUTED_VALUE"""),5.2451214318183474)</f>
        <v>5.245121432</v>
      </c>
      <c r="BE153" s="4"/>
      <c r="BF153" s="4"/>
      <c r="BG153" s="4">
        <f>IFERROR(__xludf.DUMMYFUNCTION("""COMPUTED_VALUE"""),-2.6186120487787434)</f>
        <v>-2.618612049</v>
      </c>
      <c r="BH153" s="4"/>
      <c r="BI153" s="4"/>
      <c r="BJ153" s="4"/>
      <c r="BK153" s="4"/>
    </row>
    <row r="154">
      <c r="A154" s="4"/>
      <c r="B154" s="4"/>
      <c r="C154" s="4"/>
      <c r="D154" s="4">
        <f>IFERROR(__xludf.DUMMYFUNCTION("""COMPUTED_VALUE"""),71.62709830820107)</f>
        <v>71.62709831</v>
      </c>
      <c r="E154" s="23">
        <f>IFERROR(__xludf.DUMMYFUNCTION("""COMPUTED_VALUE"""),2.0865080145131287)</f>
        <v>2.086508015</v>
      </c>
      <c r="F154" s="4"/>
      <c r="G154" s="4"/>
      <c r="H154" s="4">
        <f>IFERROR(__xludf.DUMMYFUNCTION("""COMPUTED_VALUE"""),4.030161239216)</f>
        <v>4.030161239</v>
      </c>
      <c r="I154" s="4"/>
      <c r="J154" s="4"/>
      <c r="K154" s="4">
        <f>IFERROR(__xludf.DUMMYFUNCTION("""COMPUTED_VALUE"""),-3.4944649018952987)</f>
        <v>-3.494464902</v>
      </c>
      <c r="L154" s="4"/>
      <c r="M154" s="4"/>
      <c r="N154" s="4">
        <f>IFERROR(__xludf.DUMMYFUNCTION("""COMPUTED_VALUE"""),-2.629596089261156)</f>
        <v>-2.629596089</v>
      </c>
      <c r="O154" s="4"/>
      <c r="P154" s="4"/>
      <c r="Q154" s="4">
        <f>IFERROR(__xludf.DUMMYFUNCTION("""COMPUTED_VALUE"""),-0.4730675726794402)</f>
        <v>-0.4730675727</v>
      </c>
      <c r="R154" s="4"/>
      <c r="S154" s="4"/>
      <c r="T154" s="4">
        <f>IFERROR(__xludf.DUMMYFUNCTION("""COMPUTED_VALUE"""),-1.6419667604095594)</f>
        <v>-1.64196676</v>
      </c>
      <c r="U154" s="4"/>
      <c r="V154" s="4"/>
      <c r="W154" s="4">
        <f>IFERROR(__xludf.DUMMYFUNCTION("""COMPUTED_VALUE"""),5.562730963912145)</f>
        <v>5.562730964</v>
      </c>
      <c r="X154" s="4"/>
      <c r="Y154" s="4"/>
      <c r="Z154" s="4">
        <f>IFERROR(__xludf.DUMMYFUNCTION("""COMPUTED_VALUE"""),19.42558681353819)</f>
        <v>19.42558681</v>
      </c>
      <c r="AA154" s="4"/>
      <c r="AB154" s="4"/>
      <c r="AC154" s="4">
        <f>IFERROR(__xludf.DUMMYFUNCTION("""COMPUTED_VALUE"""),35.457140797157706)</f>
        <v>35.4571408</v>
      </c>
      <c r="AD154" s="4"/>
      <c r="AE154" s="4"/>
      <c r="AF154" s="4">
        <f>IFERROR(__xludf.DUMMYFUNCTION("""COMPUTED_VALUE"""),59.55326406678705)</f>
        <v>59.55326407</v>
      </c>
      <c r="AG154" s="4"/>
      <c r="AH154" s="4"/>
      <c r="AI154" s="4">
        <f>IFERROR(__xludf.DUMMYFUNCTION("""COMPUTED_VALUE"""),74.74967445814349)</f>
        <v>74.74967446</v>
      </c>
      <c r="AJ154" s="4"/>
      <c r="AK154" s="4"/>
      <c r="AL154" s="4">
        <f>IFERROR(__xludf.DUMMYFUNCTION("""COMPUTED_VALUE"""),73.35707787274885)</f>
        <v>73.35707787</v>
      </c>
      <c r="AM154" s="4"/>
      <c r="AN154" s="4"/>
      <c r="AO154" s="4">
        <f>IFERROR(__xludf.DUMMYFUNCTION("""COMPUTED_VALUE"""),69.1590393198224)</f>
        <v>69.15903932</v>
      </c>
      <c r="AP154" s="4"/>
      <c r="AQ154" s="4"/>
      <c r="AR154" s="4">
        <f>IFERROR(__xludf.DUMMYFUNCTION("""COMPUTED_VALUE"""),60.379768662997606)</f>
        <v>60.37976866</v>
      </c>
      <c r="AS154" s="4"/>
      <c r="AT154" s="4"/>
      <c r="AU154" s="4">
        <f>IFERROR(__xludf.DUMMYFUNCTION("""COMPUTED_VALUE"""),41.52984173842873)</f>
        <v>41.52984174</v>
      </c>
      <c r="AV154" s="4"/>
      <c r="AW154" s="4"/>
      <c r="AX154" s="4">
        <f>IFERROR(__xludf.DUMMYFUNCTION("""COMPUTED_VALUE"""),34.43349097227605)</f>
        <v>34.43349097</v>
      </c>
      <c r="AY154" s="4"/>
      <c r="AZ154" s="4"/>
      <c r="BA154" s="4">
        <f>IFERROR(__xludf.DUMMYFUNCTION("""COMPUTED_VALUE"""),14.481444030147202)</f>
        <v>14.48144403</v>
      </c>
      <c r="BB154" s="4"/>
      <c r="BC154" s="4"/>
      <c r="BD154" s="4">
        <f>IFERROR(__xludf.DUMMYFUNCTION("""COMPUTED_VALUE"""),5.833170406084662)</f>
        <v>5.833170406</v>
      </c>
      <c r="BE154" s="4"/>
      <c r="BF154" s="4"/>
      <c r="BG154" s="4">
        <f>IFERROR(__xludf.DUMMYFUNCTION("""COMPUTED_VALUE"""),-1.930930502585511)</f>
        <v>-1.930930503</v>
      </c>
      <c r="BH154" s="4"/>
      <c r="BI154" s="4"/>
      <c r="BJ154" s="4"/>
      <c r="BK154" s="4"/>
    </row>
    <row r="155">
      <c r="A155" s="4"/>
      <c r="B155" s="4"/>
      <c r="C155" s="4"/>
      <c r="D155" s="4">
        <f>IFERROR(__xludf.DUMMYFUNCTION("""COMPUTED_VALUE"""),70.70880217545135)</f>
        <v>70.70880218</v>
      </c>
      <c r="E155" s="23">
        <f>IFERROR(__xludf.DUMMYFUNCTION("""COMPUTED_VALUE"""),-7.205088911010989)</f>
        <v>-7.205088911</v>
      </c>
      <c r="F155" s="4"/>
      <c r="G155" s="4"/>
      <c r="H155" s="4">
        <f>IFERROR(__xludf.DUMMYFUNCTION("""COMPUTED_VALUE"""),1.3053428654488926)</f>
        <v>1.305342865</v>
      </c>
      <c r="I155" s="4"/>
      <c r="J155" s="4"/>
      <c r="K155" s="4">
        <f>IFERROR(__xludf.DUMMYFUNCTION("""COMPUTED_VALUE"""),3.4488708665548984)</f>
        <v>3.448870867</v>
      </c>
      <c r="L155" s="4"/>
      <c r="M155" s="4"/>
      <c r="N155" s="4">
        <f>IFERROR(__xludf.DUMMYFUNCTION("""COMPUTED_VALUE"""),2.27727988007274)</f>
        <v>2.27727988</v>
      </c>
      <c r="O155" s="4"/>
      <c r="P155" s="4"/>
      <c r="Q155" s="4">
        <f>IFERROR(__xludf.DUMMYFUNCTION("""COMPUTED_VALUE"""),-1.956658791787902)</f>
        <v>-1.956658792</v>
      </c>
      <c r="R155" s="4"/>
      <c r="S155" s="4"/>
      <c r="T155" s="4">
        <f>IFERROR(__xludf.DUMMYFUNCTION("""COMPUTED_VALUE"""),0.20269878764156601)</f>
        <v>0.2026987876</v>
      </c>
      <c r="U155" s="4"/>
      <c r="V155" s="4"/>
      <c r="W155" s="4">
        <f>IFERROR(__xludf.DUMMYFUNCTION("""COMPUTED_VALUE"""),9.368902522156247)</f>
        <v>9.368902522</v>
      </c>
      <c r="X155" s="4"/>
      <c r="Y155" s="4"/>
      <c r="Z155" s="4">
        <f>IFERROR(__xludf.DUMMYFUNCTION("""COMPUTED_VALUE"""),21.385970580166315)</f>
        <v>21.38597058</v>
      </c>
      <c r="AA155" s="4"/>
      <c r="AB155" s="4"/>
      <c r="AC155" s="4">
        <f>IFERROR(__xludf.DUMMYFUNCTION("""COMPUTED_VALUE"""),37.85670370584762)</f>
        <v>37.85670371</v>
      </c>
      <c r="AD155" s="4"/>
      <c r="AE155" s="4"/>
      <c r="AF155" s="4">
        <f>IFERROR(__xludf.DUMMYFUNCTION("""COMPUTED_VALUE"""),64.142395961114)</f>
        <v>64.14239596</v>
      </c>
      <c r="AG155" s="4"/>
      <c r="AH155" s="4"/>
      <c r="AI155" s="4">
        <f>IFERROR(__xludf.DUMMYFUNCTION("""COMPUTED_VALUE"""),76.85527578483794)</f>
        <v>76.85527578</v>
      </c>
      <c r="AJ155" s="4"/>
      <c r="AK155" s="4"/>
      <c r="AL155" s="4">
        <f>IFERROR(__xludf.DUMMYFUNCTION("""COMPUTED_VALUE"""),76.32064702870957)</f>
        <v>76.32064703</v>
      </c>
      <c r="AM155" s="4"/>
      <c r="AN155" s="4"/>
      <c r="AO155" s="4">
        <f>IFERROR(__xludf.DUMMYFUNCTION("""COMPUTED_VALUE"""),66.8535444919504)</f>
        <v>66.85354449</v>
      </c>
      <c r="AP155" s="4"/>
      <c r="AQ155" s="4"/>
      <c r="AR155" s="4">
        <f>IFERROR(__xludf.DUMMYFUNCTION("""COMPUTED_VALUE"""),59.183000398839)</f>
        <v>59.1830004</v>
      </c>
      <c r="AS155" s="4"/>
      <c r="AT155" s="4"/>
      <c r="AU155" s="4">
        <f>IFERROR(__xludf.DUMMYFUNCTION("""COMPUTED_VALUE"""),45.860336211235676)</f>
        <v>45.86033621</v>
      </c>
      <c r="AV155" s="4"/>
      <c r="AW155" s="4"/>
      <c r="AX155" s="4">
        <f>IFERROR(__xludf.DUMMYFUNCTION("""COMPUTED_VALUE"""),24.1164649028957)</f>
        <v>24.1164649</v>
      </c>
      <c r="AY155" s="4"/>
      <c r="AZ155" s="4"/>
      <c r="BA155" s="4">
        <f>IFERROR(__xludf.DUMMYFUNCTION("""COMPUTED_VALUE"""),14.812920872419909)</f>
        <v>14.81292087</v>
      </c>
      <c r="BB155" s="4"/>
      <c r="BC155" s="4"/>
      <c r="BD155" s="4">
        <f>IFERROR(__xludf.DUMMYFUNCTION("""COMPUTED_VALUE"""),6.113255412711396)</f>
        <v>6.113255413</v>
      </c>
      <c r="BE155" s="4"/>
      <c r="BF155" s="4"/>
      <c r="BG155" s="4">
        <f>IFERROR(__xludf.DUMMYFUNCTION("""COMPUTED_VALUE"""),-2.4326003608919677)</f>
        <v>-2.432600361</v>
      </c>
      <c r="BH155" s="4"/>
      <c r="BI155" s="4"/>
      <c r="BJ155" s="4"/>
      <c r="BK155" s="4"/>
    </row>
    <row r="156">
      <c r="A156" s="4"/>
      <c r="B156" s="4"/>
      <c r="C156" s="4"/>
      <c r="D156" s="4">
        <f>IFERROR(__xludf.DUMMYFUNCTION("""COMPUTED_VALUE"""),69.79050604265127)</f>
        <v>69.79050604</v>
      </c>
      <c r="E156" s="23">
        <f>IFERROR(__xludf.DUMMYFUNCTION("""COMPUTED_VALUE"""),-2.7831529706734273)</f>
        <v>-2.783152971</v>
      </c>
      <c r="F156" s="4"/>
      <c r="G156" s="4"/>
      <c r="H156" s="4">
        <f>IFERROR(__xludf.DUMMYFUNCTION("""COMPUTED_VALUE"""),0.6994473794168243)</f>
        <v>0.6994473794</v>
      </c>
      <c r="I156" s="4"/>
      <c r="J156" s="4"/>
      <c r="K156" s="4">
        <f>IFERROR(__xludf.DUMMYFUNCTION("""COMPUTED_VALUE"""),-0.6422562107127305)</f>
        <v>-0.6422562107</v>
      </c>
      <c r="L156" s="4"/>
      <c r="M156" s="4"/>
      <c r="N156" s="4">
        <f>IFERROR(__xludf.DUMMYFUNCTION("""COMPUTED_VALUE"""),-3.162423809038444)</f>
        <v>-3.162423809</v>
      </c>
      <c r="O156" s="4"/>
      <c r="P156" s="4"/>
      <c r="Q156" s="4">
        <f>IFERROR(__xludf.DUMMYFUNCTION("""COMPUTED_VALUE"""),0.07115574095280408)</f>
        <v>0.07115574095</v>
      </c>
      <c r="R156" s="4"/>
      <c r="S156" s="4"/>
      <c r="T156" s="4">
        <f>IFERROR(__xludf.DUMMYFUNCTION("""COMPUTED_VALUE"""),-3.942266435621491)</f>
        <v>-3.942266436</v>
      </c>
      <c r="U156" s="4"/>
      <c r="V156" s="4"/>
      <c r="W156" s="4">
        <f>IFERROR(__xludf.DUMMYFUNCTION("""COMPUTED_VALUE"""),2.2544124385182727)</f>
        <v>2.254412439</v>
      </c>
      <c r="X156" s="4"/>
      <c r="Y156" s="4"/>
      <c r="Z156" s="4">
        <f>IFERROR(__xludf.DUMMYFUNCTION("""COMPUTED_VALUE"""),20.906172133597693)</f>
        <v>20.90617213</v>
      </c>
      <c r="AA156" s="4"/>
      <c r="AB156" s="4"/>
      <c r="AC156" s="4">
        <f>IFERROR(__xludf.DUMMYFUNCTION("""COMPUTED_VALUE"""),48.03109289528777)</f>
        <v>48.0310929</v>
      </c>
      <c r="AD156" s="4"/>
      <c r="AE156" s="4"/>
      <c r="AF156" s="4">
        <f>IFERROR(__xludf.DUMMYFUNCTION("""COMPUTED_VALUE"""),59.39549741340335)</f>
        <v>59.39549741</v>
      </c>
      <c r="AG156" s="4"/>
      <c r="AH156" s="4"/>
      <c r="AI156" s="4">
        <f>IFERROR(__xludf.DUMMYFUNCTION("""COMPUTED_VALUE"""),69.74688084984564)</f>
        <v>69.74688085</v>
      </c>
      <c r="AJ156" s="4"/>
      <c r="AK156" s="4"/>
      <c r="AL156" s="4">
        <f>IFERROR(__xludf.DUMMYFUNCTION("""COMPUTED_VALUE"""),86.9129029666675)</f>
        <v>86.91290297</v>
      </c>
      <c r="AM156" s="4"/>
      <c r="AN156" s="4"/>
      <c r="AO156" s="4">
        <f>IFERROR(__xludf.DUMMYFUNCTION("""COMPUTED_VALUE"""),75.87082595187735)</f>
        <v>75.87082595</v>
      </c>
      <c r="AP156" s="4"/>
      <c r="AQ156" s="4"/>
      <c r="AR156" s="4">
        <f>IFERROR(__xludf.DUMMYFUNCTION("""COMPUTED_VALUE"""),64.59930898431304)</f>
        <v>64.59930898</v>
      </c>
      <c r="AS156" s="4"/>
      <c r="AT156" s="4"/>
      <c r="AU156" s="4">
        <f>IFERROR(__xludf.DUMMYFUNCTION("""COMPUTED_VALUE"""),50.42970359427852)</f>
        <v>50.42970359</v>
      </c>
      <c r="AV156" s="4"/>
      <c r="AW156" s="4"/>
      <c r="AX156" s="4">
        <f>IFERROR(__xludf.DUMMYFUNCTION("""COMPUTED_VALUE"""),32.646052626870244)</f>
        <v>32.64605263</v>
      </c>
      <c r="AY156" s="4"/>
      <c r="AZ156" s="4"/>
      <c r="BA156" s="4">
        <f>IFERROR(__xludf.DUMMYFUNCTION("""COMPUTED_VALUE"""),18.55737447537018)</f>
        <v>18.55737448</v>
      </c>
      <c r="BB156" s="4"/>
      <c r="BC156" s="4"/>
      <c r="BD156" s="4">
        <f>IFERROR(__xludf.DUMMYFUNCTION("""COMPUTED_VALUE"""),2.836637814550272)</f>
        <v>2.836637815</v>
      </c>
      <c r="BE156" s="4"/>
      <c r="BF156" s="4"/>
      <c r="BG156" s="4">
        <f>IFERROR(__xludf.DUMMYFUNCTION("""COMPUTED_VALUE"""),-6.473874049235405)</f>
        <v>-6.473874049</v>
      </c>
      <c r="BH156" s="4"/>
      <c r="BI156" s="4"/>
      <c r="BJ156" s="4"/>
      <c r="BK156" s="4"/>
    </row>
    <row r="157">
      <c r="A157" s="4"/>
      <c r="B157" s="4"/>
      <c r="C157" s="4"/>
      <c r="D157" s="4">
        <f>IFERROR(__xludf.DUMMYFUNCTION("""COMPUTED_VALUE"""),68.8722099120165)</f>
        <v>68.87220991</v>
      </c>
      <c r="E157" s="23">
        <f>IFERROR(__xludf.DUMMYFUNCTION("""COMPUTED_VALUE"""),-2.067448338570614)</f>
        <v>-2.067448339</v>
      </c>
      <c r="F157" s="4"/>
      <c r="G157" s="4"/>
      <c r="H157" s="4">
        <f>IFERROR(__xludf.DUMMYFUNCTION("""COMPUTED_VALUE"""),1.9506366740695285)</f>
        <v>1.950636674</v>
      </c>
      <c r="I157" s="4"/>
      <c r="J157" s="4"/>
      <c r="K157" s="4">
        <f>IFERROR(__xludf.DUMMYFUNCTION("""COMPUTED_VALUE"""),-5.2784739156240335)</f>
        <v>-5.278473916</v>
      </c>
      <c r="L157" s="4"/>
      <c r="M157" s="4"/>
      <c r="N157" s="4">
        <f>IFERROR(__xludf.DUMMYFUNCTION("""COMPUTED_VALUE"""),-1.62723295256734)</f>
        <v>-1.627232953</v>
      </c>
      <c r="O157" s="4"/>
      <c r="P157" s="4"/>
      <c r="Q157" s="4">
        <f>IFERROR(__xludf.DUMMYFUNCTION("""COMPUTED_VALUE"""),-0.3553971947820287)</f>
        <v>-0.3553971948</v>
      </c>
      <c r="R157" s="4"/>
      <c r="S157" s="4"/>
      <c r="T157" s="4">
        <f>IFERROR(__xludf.DUMMYFUNCTION("""COMPUTED_VALUE"""),3.212866892093359)</f>
        <v>3.212866892</v>
      </c>
      <c r="U157" s="4"/>
      <c r="V157" s="4"/>
      <c r="W157" s="4">
        <f>IFERROR(__xludf.DUMMYFUNCTION("""COMPUTED_VALUE"""),3.503620522364315)</f>
        <v>3.503620522</v>
      </c>
      <c r="X157" s="4"/>
      <c r="Y157" s="4"/>
      <c r="Z157" s="4">
        <f>IFERROR(__xludf.DUMMYFUNCTION("""COMPUTED_VALUE"""),14.38012436517431)</f>
        <v>14.38012437</v>
      </c>
      <c r="AA157" s="4"/>
      <c r="AB157" s="4"/>
      <c r="AC157" s="4">
        <f>IFERROR(__xludf.DUMMYFUNCTION("""COMPUTED_VALUE"""),48.65875086218949)</f>
        <v>48.65875086</v>
      </c>
      <c r="AD157" s="4"/>
      <c r="AE157" s="4"/>
      <c r="AF157" s="4">
        <f>IFERROR(__xludf.DUMMYFUNCTION("""COMPUTED_VALUE"""),62.19156861405804)</f>
        <v>62.19156861</v>
      </c>
      <c r="AG157" s="4"/>
      <c r="AH157" s="4"/>
      <c r="AI157" s="4">
        <f>IFERROR(__xludf.DUMMYFUNCTION("""COMPUTED_VALUE"""),75.61537832976671)</f>
        <v>75.61537833</v>
      </c>
      <c r="AJ157" s="4"/>
      <c r="AK157" s="4"/>
      <c r="AL157" s="4">
        <f>IFERROR(__xludf.DUMMYFUNCTION("""COMPUTED_VALUE"""),81.3183929752579)</f>
        <v>81.31839298</v>
      </c>
      <c r="AM157" s="4"/>
      <c r="AN157" s="4"/>
      <c r="AO157" s="4">
        <f>IFERROR(__xludf.DUMMYFUNCTION("""COMPUTED_VALUE"""),73.97632294523686)</f>
        <v>73.97632295</v>
      </c>
      <c r="AP157" s="4"/>
      <c r="AQ157" s="4"/>
      <c r="AR157" s="4">
        <f>IFERROR(__xludf.DUMMYFUNCTION("""COMPUTED_VALUE"""),67.08501590741372)</f>
        <v>67.08501591</v>
      </c>
      <c r="AS157" s="4"/>
      <c r="AT157" s="4"/>
      <c r="AU157" s="4">
        <f>IFERROR(__xludf.DUMMYFUNCTION("""COMPUTED_VALUE"""),48.20198142325813)</f>
        <v>48.20198142</v>
      </c>
      <c r="AV157" s="4"/>
      <c r="AW157" s="4"/>
      <c r="AX157" s="4">
        <f>IFERROR(__xludf.DUMMYFUNCTION("""COMPUTED_VALUE"""),35.27274660074397)</f>
        <v>35.2727466</v>
      </c>
      <c r="AY157" s="4"/>
      <c r="AZ157" s="4"/>
      <c r="BA157" s="4">
        <f>IFERROR(__xludf.DUMMYFUNCTION("""COMPUTED_VALUE"""),17.224557063402642)</f>
        <v>17.22455706</v>
      </c>
      <c r="BB157" s="4"/>
      <c r="BC157" s="4"/>
      <c r="BD157" s="4">
        <f>IFERROR(__xludf.DUMMYFUNCTION("""COMPUTED_VALUE"""),3.5451668231741564)</f>
        <v>3.545166823</v>
      </c>
      <c r="BE157" s="4"/>
      <c r="BF157" s="4"/>
      <c r="BG157" s="4">
        <f>IFERROR(__xludf.DUMMYFUNCTION("""COMPUTED_VALUE"""),0.8831784558751679)</f>
        <v>0.8831784559</v>
      </c>
      <c r="BH157" s="4"/>
      <c r="BI157" s="4"/>
      <c r="BJ157" s="4"/>
      <c r="BK157" s="4"/>
    </row>
    <row r="158">
      <c r="A158" s="4"/>
      <c r="B158" s="4"/>
      <c r="C158" s="4"/>
      <c r="D158" s="4">
        <f>IFERROR(__xludf.DUMMYFUNCTION("""COMPUTED_VALUE"""),67.95391377921644)</f>
        <v>67.95391378</v>
      </c>
      <c r="E158" s="23">
        <f>IFERROR(__xludf.DUMMYFUNCTION("""COMPUTED_VALUE"""),-4.563953050710495)</f>
        <v>-4.563953051</v>
      </c>
      <c r="F158" s="4"/>
      <c r="G158" s="4"/>
      <c r="H158" s="4">
        <f>IFERROR(__xludf.DUMMYFUNCTION("""COMPUTED_VALUE"""),1.682311055971411)</f>
        <v>1.682311056</v>
      </c>
      <c r="I158" s="4"/>
      <c r="J158" s="4"/>
      <c r="K158" s="4">
        <f>IFERROR(__xludf.DUMMYFUNCTION("""COMPUTED_VALUE"""),0.6365700003353254)</f>
        <v>0.6365700003</v>
      </c>
      <c r="L158" s="4"/>
      <c r="M158" s="4"/>
      <c r="N158" s="4">
        <f>IFERROR(__xludf.DUMMYFUNCTION("""COMPUTED_VALUE"""),-5.2201126682521135)</f>
        <v>-5.220112668</v>
      </c>
      <c r="O158" s="4"/>
      <c r="P158" s="4"/>
      <c r="Q158" s="4">
        <f>IFERROR(__xludf.DUMMYFUNCTION("""COMPUTED_VALUE"""),-1.945499216157259)</f>
        <v>-1.945499216</v>
      </c>
      <c r="R158" s="4"/>
      <c r="S158" s="4"/>
      <c r="T158" s="4">
        <f>IFERROR(__xludf.DUMMYFUNCTION("""COMPUTED_VALUE"""),2.707274870234585)</f>
        <v>2.70727487</v>
      </c>
      <c r="U158" s="4"/>
      <c r="V158" s="4"/>
      <c r="W158" s="4">
        <f>IFERROR(__xludf.DUMMYFUNCTION("""COMPUTED_VALUE"""),4.624750823941213)</f>
        <v>4.624750824</v>
      </c>
      <c r="X158" s="4"/>
      <c r="Y158" s="4"/>
      <c r="Z158" s="4">
        <f>IFERROR(__xludf.DUMMYFUNCTION("""COMPUTED_VALUE"""),21.308257157822652)</f>
        <v>21.30825716</v>
      </c>
      <c r="AA158" s="4"/>
      <c r="AB158" s="4"/>
      <c r="AC158" s="4">
        <f>IFERROR(__xludf.DUMMYFUNCTION("""COMPUTED_VALUE"""),38.568833910459375)</f>
        <v>38.56883391</v>
      </c>
      <c r="AD158" s="4"/>
      <c r="AE158" s="4"/>
      <c r="AF158" s="4">
        <f>IFERROR(__xludf.DUMMYFUNCTION("""COMPUTED_VALUE"""),58.933590122533644)</f>
        <v>58.93359012</v>
      </c>
      <c r="AG158" s="4"/>
      <c r="AH158" s="4"/>
      <c r="AI158" s="4">
        <f>IFERROR(__xludf.DUMMYFUNCTION("""COMPUTED_VALUE"""),78.10600046646272)</f>
        <v>78.10600047</v>
      </c>
      <c r="AJ158" s="4"/>
      <c r="AK158" s="4"/>
      <c r="AL158" s="4">
        <f>IFERROR(__xludf.DUMMYFUNCTION("""COMPUTED_VALUE"""),84.2691254640331)</f>
        <v>84.26912546</v>
      </c>
      <c r="AM158" s="4"/>
      <c r="AN158" s="4"/>
      <c r="AO158" s="4">
        <f>IFERROR(__xludf.DUMMYFUNCTION("""COMPUTED_VALUE"""),79.6653022578343)</f>
        <v>79.66530226</v>
      </c>
      <c r="AP158" s="4"/>
      <c r="AQ158" s="4"/>
      <c r="AR158" s="4">
        <f>IFERROR(__xludf.DUMMYFUNCTION("""COMPUTED_VALUE"""),61.39188775897935)</f>
        <v>61.39188776</v>
      </c>
      <c r="AS158" s="4"/>
      <c r="AT158" s="4"/>
      <c r="AU158" s="4">
        <f>IFERROR(__xludf.DUMMYFUNCTION("""COMPUTED_VALUE"""),45.71793838582744)</f>
        <v>45.71793839</v>
      </c>
      <c r="AV158" s="4"/>
      <c r="AW158" s="4"/>
      <c r="AX158" s="4">
        <f>IFERROR(__xludf.DUMMYFUNCTION("""COMPUTED_VALUE"""),25.659631691485117)</f>
        <v>25.65963169</v>
      </c>
      <c r="AY158" s="4"/>
      <c r="AZ158" s="4"/>
      <c r="BA158" s="4">
        <f>IFERROR(__xludf.DUMMYFUNCTION("""COMPUTED_VALUE"""),19.73255580682718)</f>
        <v>19.73255581</v>
      </c>
      <c r="BB158" s="4"/>
      <c r="BC158" s="4"/>
      <c r="BD158" s="4">
        <f>IFERROR(__xludf.DUMMYFUNCTION("""COMPUTED_VALUE"""),13.464701448547089)</f>
        <v>13.46470145</v>
      </c>
      <c r="BE158" s="4"/>
      <c r="BF158" s="4"/>
      <c r="BG158" s="4">
        <f>IFERROR(__xludf.DUMMYFUNCTION("""COMPUTED_VALUE"""),0.46647190139810846)</f>
        <v>0.4664719014</v>
      </c>
      <c r="BH158" s="4"/>
      <c r="BI158" s="4"/>
      <c r="BJ158" s="4"/>
      <c r="BK158" s="4"/>
    </row>
    <row r="159">
      <c r="A159" s="4"/>
      <c r="B159" s="4"/>
      <c r="C159" s="4"/>
      <c r="D159" s="4">
        <f>IFERROR(__xludf.DUMMYFUNCTION("""COMPUTED_VALUE"""),67.03561764641636)</f>
        <v>67.03561765</v>
      </c>
      <c r="E159" s="23">
        <f>IFERROR(__xludf.DUMMYFUNCTION("""COMPUTED_VALUE"""),7.916647708942492)</f>
        <v>7.916647709</v>
      </c>
      <c r="F159" s="4"/>
      <c r="G159" s="4"/>
      <c r="H159" s="4">
        <f>IFERROR(__xludf.DUMMYFUNCTION("""COMPUTED_VALUE"""),-6.648721235771234)</f>
        <v>-6.648721236</v>
      </c>
      <c r="I159" s="4"/>
      <c r="J159" s="4"/>
      <c r="K159" s="4">
        <f>IFERROR(__xludf.DUMMYFUNCTION("""COMPUTED_VALUE"""),-4.350250843035667)</f>
        <v>-4.350250843</v>
      </c>
      <c r="L159" s="4"/>
      <c r="M159" s="4"/>
      <c r="N159" s="4">
        <f>IFERROR(__xludf.DUMMYFUNCTION("""COMPUTED_VALUE"""),-4.482545820004475)</f>
        <v>-4.48254582</v>
      </c>
      <c r="O159" s="4"/>
      <c r="P159" s="4"/>
      <c r="Q159" s="4">
        <f>IFERROR(__xludf.DUMMYFUNCTION("""COMPUTED_VALUE"""),3.2240131214120993)</f>
        <v>3.224013121</v>
      </c>
      <c r="R159" s="4"/>
      <c r="S159" s="4"/>
      <c r="T159" s="4">
        <f>IFERROR(__xludf.DUMMYFUNCTION("""COMPUTED_VALUE"""),0.0454338874681639)</f>
        <v>0.04543388747</v>
      </c>
      <c r="U159" s="4"/>
      <c r="V159" s="4"/>
      <c r="W159" s="4">
        <f>IFERROR(__xludf.DUMMYFUNCTION("""COMPUTED_VALUE"""),7.482125978302747)</f>
        <v>7.482125978</v>
      </c>
      <c r="X159" s="4"/>
      <c r="Y159" s="4"/>
      <c r="Z159" s="4">
        <f>IFERROR(__xludf.DUMMYFUNCTION("""COMPUTED_VALUE"""),20.907886509556306)</f>
        <v>20.90788651</v>
      </c>
      <c r="AA159" s="4"/>
      <c r="AB159" s="4"/>
      <c r="AC159" s="4">
        <f>IFERROR(__xludf.DUMMYFUNCTION("""COMPUTED_VALUE"""),44.02687902723733)</f>
        <v>44.02687903</v>
      </c>
      <c r="AD159" s="4"/>
      <c r="AE159" s="4"/>
      <c r="AF159" s="4">
        <f>IFERROR(__xludf.DUMMYFUNCTION("""COMPUTED_VALUE"""),64.54001786863302)</f>
        <v>64.54001787</v>
      </c>
      <c r="AG159" s="4"/>
      <c r="AH159" s="4"/>
      <c r="AI159" s="4">
        <f>IFERROR(__xludf.DUMMYFUNCTION("""COMPUTED_VALUE"""),81.27909140035791)</f>
        <v>81.2790914</v>
      </c>
      <c r="AJ159" s="4"/>
      <c r="AK159" s="4"/>
      <c r="AL159" s="4">
        <f>IFERROR(__xludf.DUMMYFUNCTION("""COMPUTED_VALUE"""),84.2739133979033)</f>
        <v>84.2739134</v>
      </c>
      <c r="AM159" s="4"/>
      <c r="AN159" s="4"/>
      <c r="AO159" s="4">
        <f>IFERROR(__xludf.DUMMYFUNCTION("""COMPUTED_VALUE"""),80.78279734713931)</f>
        <v>80.78279735</v>
      </c>
      <c r="AP159" s="4"/>
      <c r="AQ159" s="4"/>
      <c r="AR159" s="4">
        <f>IFERROR(__xludf.DUMMYFUNCTION("""COMPUTED_VALUE"""),59.9720696486325)</f>
        <v>59.97206965</v>
      </c>
      <c r="AS159" s="4"/>
      <c r="AT159" s="4"/>
      <c r="AU159" s="4">
        <f>IFERROR(__xludf.DUMMYFUNCTION("""COMPUTED_VALUE"""),50.085109290168816)</f>
        <v>50.08510929</v>
      </c>
      <c r="AV159" s="4"/>
      <c r="AW159" s="4"/>
      <c r="AX159" s="4">
        <f>IFERROR(__xludf.DUMMYFUNCTION("""COMPUTED_VALUE"""),33.98253743397589)</f>
        <v>33.98253743</v>
      </c>
      <c r="AY159" s="4"/>
      <c r="AZ159" s="4"/>
      <c r="BA159" s="4">
        <f>IFERROR(__xludf.DUMMYFUNCTION("""COMPUTED_VALUE"""),9.743903039267991)</f>
        <v>9.743903039</v>
      </c>
      <c r="BB159" s="4"/>
      <c r="BC159" s="4"/>
      <c r="BD159" s="4">
        <f>IFERROR(__xludf.DUMMYFUNCTION("""COMPUTED_VALUE"""),5.989149761012129)</f>
        <v>5.989149761</v>
      </c>
      <c r="BE159" s="4"/>
      <c r="BF159" s="4"/>
      <c r="BG159" s="4">
        <f>IFERROR(__xludf.DUMMYFUNCTION("""COMPUTED_VALUE"""),3.8296706365832165)</f>
        <v>3.829670637</v>
      </c>
      <c r="BH159" s="4"/>
      <c r="BI159" s="4"/>
      <c r="BJ159" s="4"/>
      <c r="BK159" s="4"/>
    </row>
    <row r="160">
      <c r="A160" s="4"/>
      <c r="B160" s="4"/>
      <c r="C160" s="4"/>
      <c r="D160" s="4">
        <f>IFERROR(__xludf.DUMMYFUNCTION("""COMPUTED_VALUE"""),66.11732151578158)</f>
        <v>66.11732152</v>
      </c>
      <c r="E160" s="23">
        <f>IFERROR(__xludf.DUMMYFUNCTION("""COMPUTED_VALUE"""),4.155128368607336)</f>
        <v>4.155128369</v>
      </c>
      <c r="F160" s="4"/>
      <c r="G160" s="4"/>
      <c r="H160" s="4">
        <f>IFERROR(__xludf.DUMMYFUNCTION("""COMPUTED_VALUE"""),-4.677134724478776)</f>
        <v>-4.677134724</v>
      </c>
      <c r="I160" s="4"/>
      <c r="J160" s="4"/>
      <c r="K160" s="4">
        <f>IFERROR(__xludf.DUMMYFUNCTION("""COMPUTED_VALUE"""),-3.25801002468404)</f>
        <v>-3.258010025</v>
      </c>
      <c r="L160" s="4"/>
      <c r="M160" s="4"/>
      <c r="N160" s="4">
        <f>IFERROR(__xludf.DUMMYFUNCTION("""COMPUTED_VALUE"""),-3.443678458690499)</f>
        <v>-3.443678459</v>
      </c>
      <c r="O160" s="4"/>
      <c r="P160" s="4"/>
      <c r="Q160" s="4">
        <f>IFERROR(__xludf.DUMMYFUNCTION("""COMPUTED_VALUE"""),-3.955490795112155)</f>
        <v>-3.955490795</v>
      </c>
      <c r="R160" s="4"/>
      <c r="S160" s="4"/>
      <c r="T160" s="4">
        <f>IFERROR(__xludf.DUMMYFUNCTION("""COMPUTED_VALUE"""),-6.589090326586643)</f>
        <v>-6.589090327</v>
      </c>
      <c r="U160" s="4"/>
      <c r="V160" s="4"/>
      <c r="W160" s="4">
        <f>IFERROR(__xludf.DUMMYFUNCTION("""COMPUTED_VALUE"""),1.680652099988265)</f>
        <v>1.6806521</v>
      </c>
      <c r="X160" s="4"/>
      <c r="Y160" s="4"/>
      <c r="Z160" s="4">
        <f>IFERROR(__xludf.DUMMYFUNCTION("""COMPUTED_VALUE"""),21.4689239525693)</f>
        <v>21.46892395</v>
      </c>
      <c r="AA160" s="4"/>
      <c r="AB160" s="4"/>
      <c r="AC160" s="4">
        <f>IFERROR(__xludf.DUMMYFUNCTION("""COMPUTED_VALUE"""),45.313906455758115)</f>
        <v>45.31390646</v>
      </c>
      <c r="AD160" s="4"/>
      <c r="AE160" s="4"/>
      <c r="AF160" s="4">
        <f>IFERROR(__xludf.DUMMYFUNCTION("""COMPUTED_VALUE"""),60.78263579715417)</f>
        <v>60.7826358</v>
      </c>
      <c r="AG160" s="4"/>
      <c r="AH160" s="4"/>
      <c r="AI160" s="4">
        <f>IFERROR(__xludf.DUMMYFUNCTION("""COMPUTED_VALUE"""),84.92670075540838)</f>
        <v>84.92670076</v>
      </c>
      <c r="AJ160" s="4"/>
      <c r="AK160" s="4"/>
      <c r="AL160" s="4">
        <f>IFERROR(__xludf.DUMMYFUNCTION("""COMPUTED_VALUE"""),82.94628625144048)</f>
        <v>82.94628625</v>
      </c>
      <c r="AM160" s="4"/>
      <c r="AN160" s="4"/>
      <c r="AO160" s="4">
        <f>IFERROR(__xludf.DUMMYFUNCTION("""COMPUTED_VALUE"""),74.74352628287409)</f>
        <v>74.74352628</v>
      </c>
      <c r="AP160" s="4"/>
      <c r="AQ160" s="4"/>
      <c r="AR160" s="4">
        <f>IFERROR(__xludf.DUMMYFUNCTION("""COMPUTED_VALUE"""),68.9561520881262)</f>
        <v>68.95615209</v>
      </c>
      <c r="AS160" s="4"/>
      <c r="AT160" s="4"/>
      <c r="AU160" s="4">
        <f>IFERROR(__xludf.DUMMYFUNCTION("""COMPUTED_VALUE"""),47.049798806964134)</f>
        <v>47.04979881</v>
      </c>
      <c r="AV160" s="4"/>
      <c r="AW160" s="4"/>
      <c r="AX160" s="4">
        <f>IFERROR(__xludf.DUMMYFUNCTION("""COMPUTED_VALUE"""),38.78198666752115)</f>
        <v>38.78198667</v>
      </c>
      <c r="AY160" s="4"/>
      <c r="AZ160" s="4"/>
      <c r="BA160" s="4">
        <f>IFERROR(__xludf.DUMMYFUNCTION("""COMPUTED_VALUE"""),19.01374886821361)</f>
        <v>19.01374887</v>
      </c>
      <c r="BB160" s="4"/>
      <c r="BC160" s="4"/>
      <c r="BD160" s="4">
        <f>IFERROR(__xludf.DUMMYFUNCTION("""COMPUTED_VALUE"""),6.775685975198314)</f>
        <v>6.775685975</v>
      </c>
      <c r="BE160" s="4"/>
      <c r="BF160" s="4"/>
      <c r="BG160" s="4">
        <f>IFERROR(__xludf.DUMMYFUNCTION("""COMPUTED_VALUE"""),-0.04396820901530418)</f>
        <v>-0.04396820902</v>
      </c>
      <c r="BH160" s="4"/>
      <c r="BI160" s="4"/>
      <c r="BJ160" s="4"/>
      <c r="BK160" s="4"/>
    </row>
    <row r="161">
      <c r="A161" s="4"/>
      <c r="B161" s="4"/>
      <c r="C161" s="4"/>
      <c r="D161" s="4">
        <f>IFERROR(__xludf.DUMMYFUNCTION("""COMPUTED_VALUE"""),65.1990253829815)</f>
        <v>65.19902538</v>
      </c>
      <c r="E161" s="23">
        <f>IFERROR(__xludf.DUMMYFUNCTION("""COMPUTED_VALUE"""),-9.44761778283214)</f>
        <v>-9.447617783</v>
      </c>
      <c r="F161" s="4"/>
      <c r="G161" s="4"/>
      <c r="H161" s="4">
        <f>IFERROR(__xludf.DUMMYFUNCTION("""COMPUTED_VALUE"""),2.2824285282399046)</f>
        <v>2.282428528</v>
      </c>
      <c r="I161" s="4"/>
      <c r="J161" s="4"/>
      <c r="K161" s="4">
        <f>IFERROR(__xludf.DUMMYFUNCTION("""COMPUTED_VALUE"""),-2.3861521636945326)</f>
        <v>-2.386152164</v>
      </c>
      <c r="L161" s="4"/>
      <c r="M161" s="4"/>
      <c r="N161" s="4">
        <f>IFERROR(__xludf.DUMMYFUNCTION("""COMPUTED_VALUE"""),-5.206216210257196)</f>
        <v>-5.20621621</v>
      </c>
      <c r="O161" s="4"/>
      <c r="P161" s="4"/>
      <c r="Q161" s="4">
        <f>IFERROR(__xludf.DUMMYFUNCTION("""COMPUTED_VALUE"""),2.0626153190229957)</f>
        <v>2.062615319</v>
      </c>
      <c r="R161" s="4"/>
      <c r="S161" s="4"/>
      <c r="T161" s="4">
        <f>IFERROR(__xludf.DUMMYFUNCTION("""COMPUTED_VALUE"""),-3.01691282160823)</f>
        <v>-3.016912822</v>
      </c>
      <c r="U161" s="4"/>
      <c r="V161" s="4"/>
      <c r="W161" s="4">
        <f>IFERROR(__xludf.DUMMYFUNCTION("""COMPUTED_VALUE"""),-5.237626130371609)</f>
        <v>-5.23762613</v>
      </c>
      <c r="X161" s="4"/>
      <c r="Y161" s="4"/>
      <c r="Z161" s="4">
        <f>IFERROR(__xludf.DUMMYFUNCTION("""COMPUTED_VALUE"""),29.91357065399626)</f>
        <v>29.91357065</v>
      </c>
      <c r="AA161" s="4"/>
      <c r="AB161" s="4"/>
      <c r="AC161" s="4">
        <f>IFERROR(__xludf.DUMMYFUNCTION("""COMPUTED_VALUE"""),50.87772432182493)</f>
        <v>50.87772432</v>
      </c>
      <c r="AD161" s="4"/>
      <c r="AE161" s="4"/>
      <c r="AF161" s="4">
        <f>IFERROR(__xludf.DUMMYFUNCTION("""COMPUTED_VALUE"""),60.430091322201974)</f>
        <v>60.43009132</v>
      </c>
      <c r="AG161" s="4"/>
      <c r="AH161" s="4"/>
      <c r="AI161" s="4">
        <f>IFERROR(__xludf.DUMMYFUNCTION("""COMPUTED_VALUE"""),79.62061526099131)</f>
        <v>79.62061526</v>
      </c>
      <c r="AJ161" s="4"/>
      <c r="AK161" s="4"/>
      <c r="AL161" s="4">
        <f>IFERROR(__xludf.DUMMYFUNCTION("""COMPUTED_VALUE"""),84.01102925831611)</f>
        <v>84.01102926</v>
      </c>
      <c r="AM161" s="4"/>
      <c r="AN161" s="4"/>
      <c r="AO161" s="4">
        <f>IFERROR(__xludf.DUMMYFUNCTION("""COMPUTED_VALUE"""),79.21878116075891)</f>
        <v>79.21878116</v>
      </c>
      <c r="AP161" s="4"/>
      <c r="AQ161" s="4"/>
      <c r="AR161" s="4">
        <f>IFERROR(__xludf.DUMMYFUNCTION("""COMPUTED_VALUE"""),74.0233353535155)</f>
        <v>74.02333535</v>
      </c>
      <c r="AS161" s="4"/>
      <c r="AT161" s="4"/>
      <c r="AU161" s="4">
        <f>IFERROR(__xludf.DUMMYFUNCTION("""COMPUTED_VALUE"""),45.43209489552311)</f>
        <v>45.4320949</v>
      </c>
      <c r="AV161" s="4"/>
      <c r="AW161" s="4"/>
      <c r="AX161" s="4">
        <f>IFERROR(__xludf.DUMMYFUNCTION("""COMPUTED_VALUE"""),32.20689130788685)</f>
        <v>32.20689131</v>
      </c>
      <c r="AY161" s="4"/>
      <c r="AZ161" s="4"/>
      <c r="BA161" s="4">
        <f>IFERROR(__xludf.DUMMYFUNCTION("""COMPUTED_VALUE"""),13.633572507096062)</f>
        <v>13.63357251</v>
      </c>
      <c r="BB161" s="4"/>
      <c r="BC161" s="4"/>
      <c r="BD161" s="4">
        <f>IFERROR(__xludf.DUMMYFUNCTION("""COMPUTED_VALUE"""),4.947898985417908)</f>
        <v>4.947898985</v>
      </c>
      <c r="BE161" s="4"/>
      <c r="BF161" s="4"/>
      <c r="BG161" s="4">
        <f>IFERROR(__xludf.DUMMYFUNCTION("""COMPUTED_VALUE"""),-2.5186406871162603)</f>
        <v>-2.518640687</v>
      </c>
      <c r="BH161" s="4"/>
      <c r="BI161" s="4"/>
      <c r="BJ161" s="4"/>
      <c r="BK161" s="4"/>
    </row>
    <row r="162">
      <c r="A162" s="4"/>
      <c r="B162" s="4"/>
      <c r="C162" s="4"/>
      <c r="D162" s="4">
        <f>IFERROR(__xludf.DUMMYFUNCTION("""COMPUTED_VALUE"""),64.28072925023179)</f>
        <v>64.28072925</v>
      </c>
      <c r="E162" s="23">
        <f>IFERROR(__xludf.DUMMYFUNCTION("""COMPUTED_VALUE"""),-2.9059791280102445)</f>
        <v>-2.905979128</v>
      </c>
      <c r="F162" s="4"/>
      <c r="G162" s="4"/>
      <c r="H162" s="4">
        <f>IFERROR(__xludf.DUMMYFUNCTION("""COMPUTED_VALUE"""),-7.000934156745188)</f>
        <v>-7.000934157</v>
      </c>
      <c r="I162" s="4"/>
      <c r="J162" s="4"/>
      <c r="K162" s="4">
        <f>IFERROR(__xludf.DUMMYFUNCTION("""COMPUTED_VALUE"""),1.4063360612797737)</f>
        <v>1.406336061</v>
      </c>
      <c r="L162" s="4"/>
      <c r="M162" s="4"/>
      <c r="N162" s="4">
        <f>IFERROR(__xludf.DUMMYFUNCTION("""COMPUTED_VALUE"""),-0.903246184677073)</f>
        <v>-0.9032461847</v>
      </c>
      <c r="O162" s="4"/>
      <c r="P162" s="4"/>
      <c r="Q162" s="4">
        <f>IFERROR(__xludf.DUMMYFUNCTION("""COMPUTED_VALUE"""),-2.425343607496245)</f>
        <v>-2.425343607</v>
      </c>
      <c r="R162" s="4"/>
      <c r="S162" s="4"/>
      <c r="T162" s="4">
        <f>IFERROR(__xludf.DUMMYFUNCTION("""COMPUTED_VALUE"""),-0.1806728260345949)</f>
        <v>-0.180672826</v>
      </c>
      <c r="U162" s="4"/>
      <c r="V162" s="4"/>
      <c r="W162" s="4">
        <f>IFERROR(__xludf.DUMMYFUNCTION("""COMPUTED_VALUE"""),-0.737966765485055)</f>
        <v>-0.7379667655</v>
      </c>
      <c r="X162" s="4"/>
      <c r="Y162" s="4"/>
      <c r="Z162" s="4">
        <f>IFERROR(__xludf.DUMMYFUNCTION("""COMPUTED_VALUE"""),22.677434395668456)</f>
        <v>22.6774344</v>
      </c>
      <c r="AA162" s="4"/>
      <c r="AB162" s="4"/>
      <c r="AC162" s="4">
        <f>IFERROR(__xludf.DUMMYFUNCTION("""COMPUTED_VALUE"""),43.23709261217164)</f>
        <v>43.23709261</v>
      </c>
      <c r="AD162" s="4"/>
      <c r="AE162" s="4"/>
      <c r="AF162" s="4">
        <f>IFERROR(__xludf.DUMMYFUNCTION("""COMPUTED_VALUE"""),59.12960769156973)</f>
        <v>59.12960769</v>
      </c>
      <c r="AG162" s="4"/>
      <c r="AH162" s="4"/>
      <c r="AI162" s="4">
        <f>IFERROR(__xludf.DUMMYFUNCTION("""COMPUTED_VALUE"""),80.55972739208869)</f>
        <v>80.55972739</v>
      </c>
      <c r="AJ162" s="4"/>
      <c r="AK162" s="4"/>
      <c r="AL162" s="4">
        <f>IFERROR(__xludf.DUMMYFUNCTION("""COMPUTED_VALUE"""),83.05470290406765)</f>
        <v>83.0547029</v>
      </c>
      <c r="AM162" s="4"/>
      <c r="AN162" s="4"/>
      <c r="AO162" s="4">
        <f>IFERROR(__xludf.DUMMYFUNCTION("""COMPUTED_VALUE"""),82.51912807276466)</f>
        <v>82.51912807</v>
      </c>
      <c r="AP162" s="4"/>
      <c r="AQ162" s="4"/>
      <c r="AR162" s="4">
        <f>IFERROR(__xludf.DUMMYFUNCTION("""COMPUTED_VALUE"""),65.98963671796952)</f>
        <v>65.98963672</v>
      </c>
      <c r="AS162" s="4"/>
      <c r="AT162" s="4"/>
      <c r="AU162" s="4">
        <f>IFERROR(__xludf.DUMMYFUNCTION("""COMPUTED_VALUE"""),47.782679826307344)</f>
        <v>47.78267983</v>
      </c>
      <c r="AV162" s="4"/>
      <c r="AW162" s="4"/>
      <c r="AX162" s="4">
        <f>IFERROR(__xludf.DUMMYFUNCTION("""COMPUTED_VALUE"""),36.6808461428231)</f>
        <v>36.68084614</v>
      </c>
      <c r="AY162" s="4"/>
      <c r="AZ162" s="4"/>
      <c r="BA162" s="4">
        <f>IFERROR(__xludf.DUMMYFUNCTION("""COMPUTED_VALUE"""),19.364171258269835)</f>
        <v>19.36417126</v>
      </c>
      <c r="BB162" s="4"/>
      <c r="BC162" s="4"/>
      <c r="BD162" s="4">
        <f>IFERROR(__xludf.DUMMYFUNCTION("""COMPUTED_VALUE"""),3.206394461792115)</f>
        <v>3.206394462</v>
      </c>
      <c r="BE162" s="4"/>
      <c r="BF162" s="4"/>
      <c r="BG162" s="4">
        <f>IFERROR(__xludf.DUMMYFUNCTION("""COMPUTED_VALUE"""),2.044521006971877)</f>
        <v>2.044521007</v>
      </c>
      <c r="BH162" s="4"/>
      <c r="BI162" s="4"/>
      <c r="BJ162" s="4"/>
      <c r="BK162" s="4"/>
    </row>
    <row r="163">
      <c r="A163" s="4"/>
      <c r="B163" s="4"/>
      <c r="C163" s="4"/>
      <c r="D163" s="4">
        <f>IFERROR(__xludf.DUMMYFUNCTION("""COMPUTED_VALUE"""),63.362433117431706)</f>
        <v>63.36243312</v>
      </c>
      <c r="E163" s="23">
        <f>IFERROR(__xludf.DUMMYFUNCTION("""COMPUTED_VALUE"""),-4.451701429370473)</f>
        <v>-4.451701429</v>
      </c>
      <c r="F163" s="4"/>
      <c r="G163" s="4"/>
      <c r="H163" s="4">
        <f>IFERROR(__xludf.DUMMYFUNCTION("""COMPUTED_VALUE"""),-1.975795146910798)</f>
        <v>-1.975795147</v>
      </c>
      <c r="I163" s="4"/>
      <c r="J163" s="4"/>
      <c r="K163" s="4">
        <f>IFERROR(__xludf.DUMMYFUNCTION("""COMPUTED_VALUE"""),-1.7125086081026666)</f>
        <v>-1.712508608</v>
      </c>
      <c r="L163" s="4"/>
      <c r="M163" s="4"/>
      <c r="N163" s="4">
        <f>IFERROR(__xludf.DUMMYFUNCTION("""COMPUTED_VALUE"""),1.3072695647242085)</f>
        <v>1.307269565</v>
      </c>
      <c r="O163" s="4"/>
      <c r="P163" s="4"/>
      <c r="Q163" s="4">
        <f>IFERROR(__xludf.DUMMYFUNCTION("""COMPUTED_VALUE"""),-3.6863843734557236)</f>
        <v>-3.686384373</v>
      </c>
      <c r="R163" s="4"/>
      <c r="S163" s="4"/>
      <c r="T163" s="4">
        <f>IFERROR(__xludf.DUMMYFUNCTION("""COMPUTED_VALUE"""),0.21440324000462851)</f>
        <v>0.21440324</v>
      </c>
      <c r="U163" s="4"/>
      <c r="V163" s="4"/>
      <c r="W163" s="4">
        <f>IFERROR(__xludf.DUMMYFUNCTION("""COMPUTED_VALUE"""),1.4371293610183216)</f>
        <v>1.437129361</v>
      </c>
      <c r="X163" s="4"/>
      <c r="Y163" s="4"/>
      <c r="Z163" s="4">
        <f>IFERROR(__xludf.DUMMYFUNCTION("""COMPUTED_VALUE"""),21.523801546013942)</f>
        <v>21.52380155</v>
      </c>
      <c r="AA163" s="4"/>
      <c r="AB163" s="4"/>
      <c r="AC163" s="4">
        <f>IFERROR(__xludf.DUMMYFUNCTION("""COMPUTED_VALUE"""),48.09167784466388)</f>
        <v>48.09167784</v>
      </c>
      <c r="AD163" s="4"/>
      <c r="AE163" s="4"/>
      <c r="AF163" s="4">
        <f>IFERROR(__xludf.DUMMYFUNCTION("""COMPUTED_VALUE"""),55.777405063263586)</f>
        <v>55.77740506</v>
      </c>
      <c r="AG163" s="4"/>
      <c r="AH163" s="4"/>
      <c r="AI163" s="4">
        <f>IFERROR(__xludf.DUMMYFUNCTION("""COMPUTED_VALUE"""),74.87015814793995)</f>
        <v>74.87015815</v>
      </c>
      <c r="AJ163" s="4"/>
      <c r="AK163" s="4"/>
      <c r="AL163" s="4">
        <f>IFERROR(__xludf.DUMMYFUNCTION("""COMPUTED_VALUE"""),86.7032505842667)</f>
        <v>86.70325058</v>
      </c>
      <c r="AM163" s="4"/>
      <c r="AN163" s="4"/>
      <c r="AO163" s="4">
        <f>IFERROR(__xludf.DUMMYFUNCTION("""COMPUTED_VALUE"""),78.49348627382659)</f>
        <v>78.49348627</v>
      </c>
      <c r="AP163" s="4"/>
      <c r="AQ163" s="4"/>
      <c r="AR163" s="4">
        <f>IFERROR(__xludf.DUMMYFUNCTION("""COMPUTED_VALUE"""),68.85551412305216)</f>
        <v>68.85551412</v>
      </c>
      <c r="AS163" s="4"/>
      <c r="AT163" s="4"/>
      <c r="AU163" s="4">
        <f>IFERROR(__xludf.DUMMYFUNCTION("""COMPUTED_VALUE"""),52.67256733033241)</f>
        <v>52.67256733</v>
      </c>
      <c r="AV163" s="4"/>
      <c r="AW163" s="4"/>
      <c r="AX163" s="4">
        <f>IFERROR(__xludf.DUMMYFUNCTION("""COMPUTED_VALUE"""),34.69180083087116)</f>
        <v>34.69180083</v>
      </c>
      <c r="AY163" s="4"/>
      <c r="AZ163" s="4"/>
      <c r="BA163" s="4">
        <f>IFERROR(__xludf.DUMMYFUNCTION("""COMPUTED_VALUE"""),15.874549676166282)</f>
        <v>15.87454968</v>
      </c>
      <c r="BB163" s="4"/>
      <c r="BC163" s="4"/>
      <c r="BD163" s="4">
        <f>IFERROR(__xludf.DUMMYFUNCTION("""COMPUTED_VALUE"""),10.865365362476211)</f>
        <v>10.86536536</v>
      </c>
      <c r="BE163" s="4"/>
      <c r="BF163" s="4"/>
      <c r="BG163" s="4">
        <f>IFERROR(__xludf.DUMMYFUNCTION("""COMPUTED_VALUE"""),1.1083010719234494)</f>
        <v>1.108301072</v>
      </c>
      <c r="BH163" s="4"/>
      <c r="BI163" s="4"/>
      <c r="BJ163" s="4"/>
      <c r="BK163" s="4"/>
    </row>
    <row r="164">
      <c r="A164" s="4"/>
      <c r="B164" s="4"/>
      <c r="C164" s="4"/>
      <c r="D164" s="4">
        <f>IFERROR(__xludf.DUMMYFUNCTION("""COMPUTED_VALUE"""),62.444136986746585)</f>
        <v>62.44413699</v>
      </c>
      <c r="E164" s="23">
        <f>IFERROR(__xludf.DUMMYFUNCTION("""COMPUTED_VALUE"""),-1.319833691195413)</f>
        <v>-1.319833691</v>
      </c>
      <c r="F164" s="4"/>
      <c r="G164" s="4"/>
      <c r="H164" s="4">
        <f>IFERROR(__xludf.DUMMYFUNCTION("""COMPUTED_VALUE"""),1.6198641567905838)</f>
        <v>1.619864157</v>
      </c>
      <c r="I164" s="4"/>
      <c r="J164" s="4"/>
      <c r="K164" s="4">
        <f>IFERROR(__xludf.DUMMYFUNCTION("""COMPUTED_VALUE"""),-3.0715393009159584)</f>
        <v>-3.071539301</v>
      </c>
      <c r="L164" s="4"/>
      <c r="M164" s="4"/>
      <c r="N164" s="4">
        <f>IFERROR(__xludf.DUMMYFUNCTION("""COMPUTED_VALUE"""),-8.1456653653903)</f>
        <v>-8.145665365</v>
      </c>
      <c r="O164" s="4"/>
      <c r="P164" s="4"/>
      <c r="Q164" s="4">
        <f>IFERROR(__xludf.DUMMYFUNCTION("""COMPUTED_VALUE"""),0.2539465364887974)</f>
        <v>0.2539465365</v>
      </c>
      <c r="R164" s="4"/>
      <c r="S164" s="4"/>
      <c r="T164" s="4">
        <f>IFERROR(__xludf.DUMMYFUNCTION("""COMPUTED_VALUE"""),-1.1321695318312663)</f>
        <v>-1.132169532</v>
      </c>
      <c r="U164" s="4"/>
      <c r="V164" s="4"/>
      <c r="W164" s="4">
        <f>IFERROR(__xludf.DUMMYFUNCTION("""COMPUTED_VALUE"""),3.6479509790177076)</f>
        <v>3.647950979</v>
      </c>
      <c r="X164" s="4"/>
      <c r="Y164" s="4"/>
      <c r="Z164" s="4">
        <f>IFERROR(__xludf.DUMMYFUNCTION("""COMPUTED_VALUE"""),23.483199661616368)</f>
        <v>23.48319966</v>
      </c>
      <c r="AA164" s="4"/>
      <c r="AB164" s="4"/>
      <c r="AC164" s="4">
        <f>IFERROR(__xludf.DUMMYFUNCTION("""COMPUTED_VALUE"""),46.14022560918335)</f>
        <v>46.14022561</v>
      </c>
      <c r="AD164" s="4"/>
      <c r="AE164" s="4"/>
      <c r="AF164" s="4">
        <f>IFERROR(__xludf.DUMMYFUNCTION("""COMPUTED_VALUE"""),58.98843267270354)</f>
        <v>58.98843267</v>
      </c>
      <c r="AG164" s="4"/>
      <c r="AH164" s="4"/>
      <c r="AI164" s="4">
        <f>IFERROR(__xludf.DUMMYFUNCTION("""COMPUTED_VALUE"""),76.46999836721449)</f>
        <v>76.46999837</v>
      </c>
      <c r="AJ164" s="4"/>
      <c r="AK164" s="4"/>
      <c r="AL164" s="4">
        <f>IFERROR(__xludf.DUMMYFUNCTION("""COMPUTED_VALUE"""),83.98154073154774)</f>
        <v>83.98154073</v>
      </c>
      <c r="AM164" s="4"/>
      <c r="AN164" s="4"/>
      <c r="AO164" s="4">
        <f>IFERROR(__xludf.DUMMYFUNCTION("""COMPUTED_VALUE"""),87.08031532373553)</f>
        <v>87.08031532</v>
      </c>
      <c r="AP164" s="4"/>
      <c r="AQ164" s="4"/>
      <c r="AR164" s="4">
        <f>IFERROR(__xludf.DUMMYFUNCTION("""COMPUTED_VALUE"""),70.1447688773801)</f>
        <v>70.14476888</v>
      </c>
      <c r="AS164" s="4"/>
      <c r="AT164" s="4"/>
      <c r="AU164" s="4">
        <f>IFERROR(__xludf.DUMMYFUNCTION("""COMPUTED_VALUE"""),54.28177862333496)</f>
        <v>54.28177862</v>
      </c>
      <c r="AV164" s="4"/>
      <c r="AW164" s="4"/>
      <c r="AX164" s="4">
        <f>IFERROR(__xludf.DUMMYFUNCTION("""COMPUTED_VALUE"""),36.415140433025215)</f>
        <v>36.41514043</v>
      </c>
      <c r="AY164" s="4"/>
      <c r="AZ164" s="4"/>
      <c r="BA164" s="4">
        <f>IFERROR(__xludf.DUMMYFUNCTION("""COMPUTED_VALUE"""),20.889967777119807)</f>
        <v>20.88996778</v>
      </c>
      <c r="BB164" s="4"/>
      <c r="BC164" s="4"/>
      <c r="BD164" s="4">
        <f>IFERROR(__xludf.DUMMYFUNCTION("""COMPUTED_VALUE"""),5.572567623863051)</f>
        <v>5.572567624</v>
      </c>
      <c r="BE164" s="4"/>
      <c r="BF164" s="4"/>
      <c r="BG164" s="4">
        <f>IFERROR(__xludf.DUMMYFUNCTION("""COMPUTED_VALUE"""),2.0070435934477473)</f>
        <v>2.007043593</v>
      </c>
      <c r="BH164" s="4"/>
      <c r="BI164" s="4"/>
      <c r="BJ164" s="4"/>
      <c r="BK164" s="4"/>
    </row>
    <row r="165">
      <c r="A165" s="4"/>
      <c r="B165" s="4"/>
      <c r="C165" s="4"/>
      <c r="D165" s="4">
        <f>IFERROR(__xludf.DUMMYFUNCTION("""COMPUTED_VALUE"""),61.52584085399686)</f>
        <v>61.52584085</v>
      </c>
      <c r="E165" s="23">
        <f>IFERROR(__xludf.DUMMYFUNCTION("""COMPUTED_VALUE"""),4.386457880330738)</f>
        <v>4.38645788</v>
      </c>
      <c r="F165" s="4"/>
      <c r="G165" s="4"/>
      <c r="H165" s="4">
        <f>IFERROR(__xludf.DUMMYFUNCTION("""COMPUTED_VALUE"""),-0.9235640971647854)</f>
        <v>-0.9235640972</v>
      </c>
      <c r="I165" s="4"/>
      <c r="J165" s="4"/>
      <c r="K165" s="4">
        <f>IFERROR(__xludf.DUMMYFUNCTION("""COMPUTED_VALUE"""),-0.1583758672382487)</f>
        <v>-0.1583758672</v>
      </c>
      <c r="L165" s="4"/>
      <c r="M165" s="4"/>
      <c r="N165" s="4">
        <f>IFERROR(__xludf.DUMMYFUNCTION("""COMPUTED_VALUE"""),-8.781017843158224)</f>
        <v>-8.781017843</v>
      </c>
      <c r="O165" s="4"/>
      <c r="P165" s="4"/>
      <c r="Q165" s="4">
        <f>IFERROR(__xludf.DUMMYFUNCTION("""COMPUTED_VALUE"""),-1.5888799489244434)</f>
        <v>-1.588879949</v>
      </c>
      <c r="R165" s="4"/>
      <c r="S165" s="4"/>
      <c r="T165" s="4">
        <f>IFERROR(__xludf.DUMMYFUNCTION("""COMPUTED_VALUE"""),0.3059494804617202)</f>
        <v>0.3059494805</v>
      </c>
      <c r="U165" s="4"/>
      <c r="V165" s="4"/>
      <c r="W165" s="4">
        <f>IFERROR(__xludf.DUMMYFUNCTION("""COMPUTED_VALUE"""),1.8441651840349778)</f>
        <v>1.844165184</v>
      </c>
      <c r="X165" s="4"/>
      <c r="Y165" s="4"/>
      <c r="Z165" s="4">
        <f>IFERROR(__xludf.DUMMYFUNCTION("""COMPUTED_VALUE"""),20.72883460518051)</f>
        <v>20.72883461</v>
      </c>
      <c r="AA165" s="4"/>
      <c r="AB165" s="4"/>
      <c r="AC165" s="4">
        <f>IFERROR(__xludf.DUMMYFUNCTION("""COMPUTED_VALUE"""),49.154544436356616)</f>
        <v>49.15454444</v>
      </c>
      <c r="AD165" s="4"/>
      <c r="AE165" s="4"/>
      <c r="AF165" s="4">
        <f>IFERROR(__xludf.DUMMYFUNCTION("""COMPUTED_VALUE"""),58.3462546627992)</f>
        <v>58.34625466</v>
      </c>
      <c r="AG165" s="4"/>
      <c r="AH165" s="4"/>
      <c r="AI165" s="4">
        <f>IFERROR(__xludf.DUMMYFUNCTION("""COMPUTED_VALUE"""),80.2445561026368)</f>
        <v>80.2445561</v>
      </c>
      <c r="AJ165" s="4"/>
      <c r="AK165" s="4"/>
      <c r="AL165" s="4">
        <f>IFERROR(__xludf.DUMMYFUNCTION("""COMPUTED_VALUE"""),85.03405504739067)</f>
        <v>85.03405505</v>
      </c>
      <c r="AM165" s="4"/>
      <c r="AN165" s="4"/>
      <c r="AO165" s="4">
        <f>IFERROR(__xludf.DUMMYFUNCTION("""COMPUTED_VALUE"""),79.34469317649325)</f>
        <v>79.34469318</v>
      </c>
      <c r="AP165" s="4"/>
      <c r="AQ165" s="4"/>
      <c r="AR165" s="4">
        <f>IFERROR(__xludf.DUMMYFUNCTION("""COMPUTED_VALUE"""),65.81356578099462)</f>
        <v>65.81356578</v>
      </c>
      <c r="AS165" s="4"/>
      <c r="AT165" s="4"/>
      <c r="AU165" s="4">
        <f>IFERROR(__xludf.DUMMYFUNCTION("""COMPUTED_VALUE"""),45.670982563899486)</f>
        <v>45.67098256</v>
      </c>
      <c r="AV165" s="4"/>
      <c r="AW165" s="4"/>
      <c r="AX165" s="4">
        <f>IFERROR(__xludf.DUMMYFUNCTION("""COMPUTED_VALUE"""),36.472381380702416)</f>
        <v>36.47238138</v>
      </c>
      <c r="AY165" s="4"/>
      <c r="AZ165" s="4"/>
      <c r="BA165" s="4">
        <f>IFERROR(__xludf.DUMMYFUNCTION("""COMPUTED_VALUE"""),18.07296342643798)</f>
        <v>18.07296343</v>
      </c>
      <c r="BB165" s="4"/>
      <c r="BC165" s="4"/>
      <c r="BD165" s="4">
        <f>IFERROR(__xludf.DUMMYFUNCTION("""COMPUTED_VALUE"""),6.246102720980559)</f>
        <v>6.246102721</v>
      </c>
      <c r="BE165" s="4"/>
      <c r="BF165" s="4"/>
      <c r="BG165" s="4">
        <f>IFERROR(__xludf.DUMMYFUNCTION("""COMPUTED_VALUE"""),-4.043868180134439)</f>
        <v>-4.04386818</v>
      </c>
      <c r="BH165" s="4"/>
      <c r="BI165" s="4"/>
      <c r="BJ165" s="4"/>
      <c r="BK165" s="4"/>
    </row>
    <row r="166">
      <c r="A166" s="4"/>
      <c r="B166" s="4"/>
      <c r="C166" s="4"/>
      <c r="D166" s="4">
        <f>IFERROR(__xludf.DUMMYFUNCTION("""COMPUTED_VALUE"""),60.60754472119679)</f>
        <v>60.60754472</v>
      </c>
      <c r="E166" s="23">
        <f>IFERROR(__xludf.DUMMYFUNCTION("""COMPUTED_VALUE"""),-7.365111681191195)</f>
        <v>-7.365111681</v>
      </c>
      <c r="F166" s="4"/>
      <c r="G166" s="4"/>
      <c r="H166" s="4">
        <f>IFERROR(__xludf.DUMMYFUNCTION("""COMPUTED_VALUE"""),-2.9072378430650474)</f>
        <v>-2.907237843</v>
      </c>
      <c r="I166" s="4"/>
      <c r="J166" s="4"/>
      <c r="K166" s="4">
        <f>IFERROR(__xludf.DUMMYFUNCTION("""COMPUTED_VALUE"""),0.0938161562283426)</f>
        <v>0.09381615623</v>
      </c>
      <c r="L166" s="4"/>
      <c r="M166" s="4"/>
      <c r="N166" s="4">
        <f>IFERROR(__xludf.DUMMYFUNCTION("""COMPUTED_VALUE"""),-6.464899865001826)</f>
        <v>-6.464899865</v>
      </c>
      <c r="O166" s="4"/>
      <c r="P166" s="4"/>
      <c r="Q166" s="4">
        <f>IFERROR(__xludf.DUMMYFUNCTION("""COMPUTED_VALUE"""),-5.5954730291741726)</f>
        <v>-5.595473029</v>
      </c>
      <c r="R166" s="4"/>
      <c r="S166" s="4"/>
      <c r="T166" s="4">
        <f>IFERROR(__xludf.DUMMYFUNCTION("""COMPUTED_VALUE"""),-1.2948071536166026)</f>
        <v>-1.294807154</v>
      </c>
      <c r="U166" s="4"/>
      <c r="V166" s="4"/>
      <c r="W166" s="4">
        <f>IFERROR(__xludf.DUMMYFUNCTION("""COMPUTED_VALUE"""),8.642662400978963)</f>
        <v>8.642662401</v>
      </c>
      <c r="X166" s="4"/>
      <c r="Y166" s="4"/>
      <c r="Z166" s="4">
        <f>IFERROR(__xludf.DUMMYFUNCTION("""COMPUTED_VALUE"""),16.772550880590302)</f>
        <v>16.77255088</v>
      </c>
      <c r="AA166" s="4"/>
      <c r="AB166" s="4"/>
      <c r="AC166" s="4">
        <f>IFERROR(__xludf.DUMMYFUNCTION("""COMPUTED_VALUE"""),45.89382942807151)</f>
        <v>45.89382943</v>
      </c>
      <c r="AD166" s="4"/>
      <c r="AE166" s="4"/>
      <c r="AF166" s="4">
        <f>IFERROR(__xludf.DUMMYFUNCTION("""COMPUTED_VALUE"""),61.59829993523664)</f>
        <v>61.59829994</v>
      </c>
      <c r="AG166" s="4"/>
      <c r="AH166" s="4"/>
      <c r="AI166" s="4">
        <f>IFERROR(__xludf.DUMMYFUNCTION("""COMPUTED_VALUE"""),74.71913344054644)</f>
        <v>74.71913344</v>
      </c>
      <c r="AJ166" s="4"/>
      <c r="AK166" s="4"/>
      <c r="AL166" s="4">
        <f>IFERROR(__xludf.DUMMYFUNCTION("""COMPUTED_VALUE"""),86.07386869662281)</f>
        <v>86.0738687</v>
      </c>
      <c r="AM166" s="4"/>
      <c r="AN166" s="4"/>
      <c r="AO166" s="4">
        <f>IFERROR(__xludf.DUMMYFUNCTION("""COMPUTED_VALUE"""),83.37779626822186)</f>
        <v>83.37779627</v>
      </c>
      <c r="AP166" s="4"/>
      <c r="AQ166" s="4"/>
      <c r="AR166" s="4">
        <f>IFERROR(__xludf.DUMMYFUNCTION("""COMPUTED_VALUE"""),65.0174667757247)</f>
        <v>65.01746678</v>
      </c>
      <c r="AS166" s="4"/>
      <c r="AT166" s="4"/>
      <c r="AU166" s="4">
        <f>IFERROR(__xludf.DUMMYFUNCTION("""COMPUTED_VALUE"""),50.85401725361254)</f>
        <v>50.85401725</v>
      </c>
      <c r="AV166" s="4"/>
      <c r="AW166" s="4"/>
      <c r="AX166" s="4">
        <f>IFERROR(__xludf.DUMMYFUNCTION("""COMPUTED_VALUE"""),32.08796462674678)</f>
        <v>32.08796463</v>
      </c>
      <c r="AY166" s="4"/>
      <c r="AZ166" s="4"/>
      <c r="BA166" s="4">
        <f>IFERROR(__xludf.DUMMYFUNCTION("""COMPUTED_VALUE"""),19.97587781627857)</f>
        <v>19.97587782</v>
      </c>
      <c r="BB166" s="4"/>
      <c r="BC166" s="4"/>
      <c r="BD166" s="4">
        <f>IFERROR(__xludf.DUMMYFUNCTION("""COMPUTED_VALUE"""),4.797587568161816)</f>
        <v>4.797587568</v>
      </c>
      <c r="BE166" s="4"/>
      <c r="BF166" s="4"/>
      <c r="BG166" s="4">
        <f>IFERROR(__xludf.DUMMYFUNCTION("""COMPUTED_VALUE"""),-5.550287801508773)</f>
        <v>-5.550287802</v>
      </c>
      <c r="BH166" s="4"/>
      <c r="BI166" s="4"/>
      <c r="BJ166" s="4"/>
      <c r="BK166" s="4"/>
    </row>
    <row r="167">
      <c r="A167" s="4"/>
      <c r="B167" s="4"/>
      <c r="C167" s="4"/>
      <c r="D167" s="4">
        <f>IFERROR(__xludf.DUMMYFUNCTION("""COMPUTED_VALUE"""),59.689248590562016)</f>
        <v>59.68924859</v>
      </c>
      <c r="E167" s="23">
        <f>IFERROR(__xludf.DUMMYFUNCTION("""COMPUTED_VALUE"""),-8.894384464975701)</f>
        <v>-8.894384465</v>
      </c>
      <c r="F167" s="4"/>
      <c r="G167" s="4"/>
      <c r="H167" s="4">
        <f>IFERROR(__xludf.DUMMYFUNCTION("""COMPUTED_VALUE"""),0.3100601860126062)</f>
        <v>0.310060186</v>
      </c>
      <c r="I167" s="4"/>
      <c r="J167" s="4"/>
      <c r="K167" s="4">
        <f>IFERROR(__xludf.DUMMYFUNCTION("""COMPUTED_VALUE"""),-4.403493908647135)</f>
        <v>-4.403493909</v>
      </c>
      <c r="L167" s="4"/>
      <c r="M167" s="4"/>
      <c r="N167" s="4">
        <f>IFERROR(__xludf.DUMMYFUNCTION("""COMPUTED_VALUE"""),-5.999464389856826)</f>
        <v>-5.99946439</v>
      </c>
      <c r="O167" s="4"/>
      <c r="P167" s="4"/>
      <c r="Q167" s="4">
        <f>IFERROR(__xludf.DUMMYFUNCTION("""COMPUTED_VALUE"""),1.940668090675274)</f>
        <v>1.940668091</v>
      </c>
      <c r="R167" s="4"/>
      <c r="S167" s="4"/>
      <c r="T167" s="4">
        <f>IFERROR(__xludf.DUMMYFUNCTION("""COMPUTED_VALUE"""),1.5821476358802897)</f>
        <v>1.582147636</v>
      </c>
      <c r="U167" s="4"/>
      <c r="V167" s="4"/>
      <c r="W167" s="4">
        <f>IFERROR(__xludf.DUMMYFUNCTION("""COMPUTED_VALUE"""),-0.5586435693304566)</f>
        <v>-0.5586435693</v>
      </c>
      <c r="X167" s="4"/>
      <c r="Y167" s="4"/>
      <c r="Z167" s="4">
        <f>IFERROR(__xludf.DUMMYFUNCTION("""COMPUTED_VALUE"""),18.126467486825675)</f>
        <v>18.12646749</v>
      </c>
      <c r="AA167" s="4"/>
      <c r="AB167" s="4"/>
      <c r="AC167" s="4">
        <f>IFERROR(__xludf.DUMMYFUNCTION("""COMPUTED_VALUE"""),47.050489364303644)</f>
        <v>47.05048936</v>
      </c>
      <c r="AD167" s="4"/>
      <c r="AE167" s="4"/>
      <c r="AF167" s="4">
        <f>IFERROR(__xludf.DUMMYFUNCTION("""COMPUTED_VALUE"""),63.33971662370635)</f>
        <v>63.33971662</v>
      </c>
      <c r="AG167" s="4"/>
      <c r="AH167" s="4"/>
      <c r="AI167" s="4">
        <f>IFERROR(__xludf.DUMMYFUNCTION("""COMPUTED_VALUE"""),75.61502736548897)</f>
        <v>75.61502737</v>
      </c>
      <c r="AJ167" s="4"/>
      <c r="AK167" s="4"/>
      <c r="AL167" s="4">
        <f>IFERROR(__xludf.DUMMYFUNCTION("""COMPUTED_VALUE"""),82.97795301520858)</f>
        <v>82.97795302</v>
      </c>
      <c r="AM167" s="4"/>
      <c r="AN167" s="4"/>
      <c r="AO167" s="4">
        <f>IFERROR(__xludf.DUMMYFUNCTION("""COMPUTED_VALUE"""),82.98080645278105)</f>
        <v>82.98080645</v>
      </c>
      <c r="AP167" s="4"/>
      <c r="AQ167" s="4"/>
      <c r="AR167" s="4">
        <f>IFERROR(__xludf.DUMMYFUNCTION("""COMPUTED_VALUE"""),75.64724246929643)</f>
        <v>75.64724247</v>
      </c>
      <c r="AS167" s="4"/>
      <c r="AT167" s="4"/>
      <c r="AU167" s="4">
        <f>IFERROR(__xludf.DUMMYFUNCTION("""COMPUTED_VALUE"""),52.13260582543586)</f>
        <v>52.13260583</v>
      </c>
      <c r="AV167" s="4"/>
      <c r="AW167" s="4"/>
      <c r="AX167" s="4">
        <f>IFERROR(__xludf.DUMMYFUNCTION("""COMPUTED_VALUE"""),36.820130749162274)</f>
        <v>36.82013075</v>
      </c>
      <c r="AY167" s="4"/>
      <c r="AZ167" s="4"/>
      <c r="BA167" s="4">
        <f>IFERROR(__xludf.DUMMYFUNCTION("""COMPUTED_VALUE"""),19.638126630686656)</f>
        <v>19.63812663</v>
      </c>
      <c r="BB167" s="4"/>
      <c r="BC167" s="4"/>
      <c r="BD167" s="4">
        <f>IFERROR(__xludf.DUMMYFUNCTION("""COMPUTED_VALUE"""),10.253182026963543)</f>
        <v>10.25318203</v>
      </c>
      <c r="BE167" s="4"/>
      <c r="BF167" s="4"/>
      <c r="BG167" s="4">
        <f>IFERROR(__xludf.DUMMYFUNCTION("""COMPUTED_VALUE"""),-1.2324450795749726)</f>
        <v>-1.23244508</v>
      </c>
      <c r="BH167" s="4"/>
      <c r="BI167" s="4"/>
      <c r="BJ167" s="4"/>
      <c r="BK167" s="4"/>
    </row>
    <row r="168">
      <c r="A168" s="4"/>
      <c r="B168" s="4"/>
      <c r="C168" s="4"/>
      <c r="D168" s="4">
        <f>IFERROR(__xludf.DUMMYFUNCTION("""COMPUTED_VALUE"""),58.77095245776194)</f>
        <v>58.77095246</v>
      </c>
      <c r="E168" s="23">
        <f>IFERROR(__xludf.DUMMYFUNCTION("""COMPUTED_VALUE"""),-7.869907017587536)</f>
        <v>-7.869907018</v>
      </c>
      <c r="F168" s="4"/>
      <c r="G168" s="4"/>
      <c r="H168" s="4">
        <f>IFERROR(__xludf.DUMMYFUNCTION("""COMPUTED_VALUE"""),4.408114205936613)</f>
        <v>4.408114206</v>
      </c>
      <c r="I168" s="4"/>
      <c r="J168" s="4"/>
      <c r="K168" s="4">
        <f>IFERROR(__xludf.DUMMYFUNCTION("""COMPUTED_VALUE"""),-6.763528509559876)</f>
        <v>-6.76352851</v>
      </c>
      <c r="L168" s="4"/>
      <c r="M168" s="4"/>
      <c r="N168" s="4">
        <f>IFERROR(__xludf.DUMMYFUNCTION("""COMPUTED_VALUE"""),-4.474630631066702)</f>
        <v>-4.474630631</v>
      </c>
      <c r="O168" s="4"/>
      <c r="P168" s="4"/>
      <c r="Q168" s="4">
        <f>IFERROR(__xludf.DUMMYFUNCTION("""COMPUTED_VALUE"""),-1.082275752012663)</f>
        <v>-1.082275752</v>
      </c>
      <c r="R168" s="4"/>
      <c r="S168" s="4"/>
      <c r="T168" s="4">
        <f>IFERROR(__xludf.DUMMYFUNCTION("""COMPUTED_VALUE"""),1.2751449381811426)</f>
        <v>1.275144938</v>
      </c>
      <c r="U168" s="4"/>
      <c r="V168" s="4"/>
      <c r="W168" s="4">
        <f>IFERROR(__xludf.DUMMYFUNCTION("""COMPUTED_VALUE"""),-0.8011153818475236)</f>
        <v>-0.8011153818</v>
      </c>
      <c r="X168" s="4"/>
      <c r="Y168" s="4"/>
      <c r="Z168" s="4">
        <f>IFERROR(__xludf.DUMMYFUNCTION("""COMPUTED_VALUE"""),20.42308499442902)</f>
        <v>20.42308499</v>
      </c>
      <c r="AA168" s="4"/>
      <c r="AB168" s="4"/>
      <c r="AC168" s="4">
        <f>IFERROR(__xludf.DUMMYFUNCTION("""COMPUTED_VALUE"""),42.937150283878395)</f>
        <v>42.93715028</v>
      </c>
      <c r="AD168" s="4"/>
      <c r="AE168" s="4"/>
      <c r="AF168" s="4">
        <f>IFERROR(__xludf.DUMMYFUNCTION("""COMPUTED_VALUE"""),57.03869456322411)</f>
        <v>57.03869456</v>
      </c>
      <c r="AG168" s="4"/>
      <c r="AH168" s="4"/>
      <c r="AI168" s="4">
        <f>IFERROR(__xludf.DUMMYFUNCTION("""COMPUTED_VALUE"""),75.46962843518071)</f>
        <v>75.46962844</v>
      </c>
      <c r="AJ168" s="4"/>
      <c r="AK168" s="4"/>
      <c r="AL168" s="4">
        <f>IFERROR(__xludf.DUMMYFUNCTION("""COMPUTED_VALUE"""),78.36254238097848)</f>
        <v>78.36254238</v>
      </c>
      <c r="AM168" s="4"/>
      <c r="AN168" s="4"/>
      <c r="AO168" s="4">
        <f>IFERROR(__xludf.DUMMYFUNCTION("""COMPUTED_VALUE"""),80.94932606231782)</f>
        <v>80.94932606</v>
      </c>
      <c r="AP168" s="4"/>
      <c r="AQ168" s="4"/>
      <c r="AR168" s="4">
        <f>IFERROR(__xludf.DUMMYFUNCTION("""COMPUTED_VALUE"""),65.84039079867244)</f>
        <v>65.8403908</v>
      </c>
      <c r="AS168" s="4"/>
      <c r="AT168" s="4"/>
      <c r="AU168" s="4">
        <f>IFERROR(__xludf.DUMMYFUNCTION("""COMPUTED_VALUE"""),50.68926481012181)</f>
        <v>50.68926481</v>
      </c>
      <c r="AV168" s="4"/>
      <c r="AW168" s="4"/>
      <c r="AX168" s="4">
        <f>IFERROR(__xludf.DUMMYFUNCTION("""COMPUTED_VALUE"""),38.114216805150704)</f>
        <v>38.11421681</v>
      </c>
      <c r="AY168" s="4"/>
      <c r="AZ168" s="4"/>
      <c r="BA168" s="4">
        <f>IFERROR(__xludf.DUMMYFUNCTION("""COMPUTED_VALUE"""),25.879063382979552)</f>
        <v>25.87906338</v>
      </c>
      <c r="BB168" s="4"/>
      <c r="BC168" s="4"/>
      <c r="BD168" s="4">
        <f>IFERROR(__xludf.DUMMYFUNCTION("""COMPUTED_VALUE"""),6.653529383328703)</f>
        <v>6.653529383</v>
      </c>
      <c r="BE168" s="4"/>
      <c r="BF168" s="4"/>
      <c r="BG168" s="4">
        <f>IFERROR(__xludf.DUMMYFUNCTION("""COMPUTED_VALUE"""),2.1886746977950224)</f>
        <v>2.188674698</v>
      </c>
      <c r="BH168" s="4"/>
      <c r="BI168" s="4"/>
      <c r="BJ168" s="4"/>
      <c r="BK168" s="4"/>
    </row>
    <row r="169">
      <c r="A169" s="4"/>
      <c r="B169" s="4"/>
      <c r="C169" s="4"/>
      <c r="D169" s="4">
        <f>IFERROR(__xludf.DUMMYFUNCTION("""COMPUTED_VALUE"""),57.85265632496186)</f>
        <v>57.85265632</v>
      </c>
      <c r="E169" s="23">
        <f>IFERROR(__xludf.DUMMYFUNCTION("""COMPUTED_VALUE"""),3.5184424715183695)</f>
        <v>3.518442472</v>
      </c>
      <c r="F169" s="4"/>
      <c r="G169" s="4"/>
      <c r="H169" s="4">
        <f>IFERROR(__xludf.DUMMYFUNCTION("""COMPUTED_VALUE"""),-1.4503143354876897)</f>
        <v>-1.450314335</v>
      </c>
      <c r="I169" s="4"/>
      <c r="J169" s="4"/>
      <c r="K169" s="4">
        <f>IFERROR(__xludf.DUMMYFUNCTION("""COMPUTED_VALUE"""),-4.464630299454825)</f>
        <v>-4.464630299</v>
      </c>
      <c r="L169" s="4"/>
      <c r="M169" s="4"/>
      <c r="N169" s="4">
        <f>IFERROR(__xludf.DUMMYFUNCTION("""COMPUTED_VALUE"""),-9.713109073172006)</f>
        <v>-9.713109073</v>
      </c>
      <c r="O169" s="4"/>
      <c r="P169" s="4"/>
      <c r="Q169" s="4">
        <f>IFERROR(__xludf.DUMMYFUNCTION("""COMPUTED_VALUE"""),-3.908694531745482)</f>
        <v>-3.908694532</v>
      </c>
      <c r="R169" s="4"/>
      <c r="S169" s="4"/>
      <c r="T169" s="4">
        <f>IFERROR(__xludf.DUMMYFUNCTION("""COMPUTED_VALUE"""),-1.038975726806541)</f>
        <v>-1.038975727</v>
      </c>
      <c r="U169" s="4"/>
      <c r="V169" s="4"/>
      <c r="W169" s="4">
        <f>IFERROR(__xludf.DUMMYFUNCTION("""COMPUTED_VALUE"""),0.8080649759738208)</f>
        <v>0.808064976</v>
      </c>
      <c r="X169" s="4"/>
      <c r="Y169" s="4"/>
      <c r="Z169" s="4">
        <f>IFERROR(__xludf.DUMMYFUNCTION("""COMPUTED_VALUE"""),16.016011784273815)</f>
        <v>16.01601178</v>
      </c>
      <c r="AA169" s="4"/>
      <c r="AB169" s="4"/>
      <c r="AC169" s="4">
        <f>IFERROR(__xludf.DUMMYFUNCTION("""COMPUTED_VALUE"""),51.76622992021589)</f>
        <v>51.76622992</v>
      </c>
      <c r="AD169" s="4"/>
      <c r="AE169" s="4"/>
      <c r="AF169" s="4">
        <f>IFERROR(__xludf.DUMMYFUNCTION("""COMPUTED_VALUE"""),59.93620237780766)</f>
        <v>59.93620238</v>
      </c>
      <c r="AG169" s="4"/>
      <c r="AH169" s="4"/>
      <c r="AI169" s="4">
        <f>IFERROR(__xludf.DUMMYFUNCTION("""COMPUTED_VALUE"""),73.12427342090035)</f>
        <v>73.12427342</v>
      </c>
      <c r="AJ169" s="4"/>
      <c r="AK169" s="4"/>
      <c r="AL169" s="4">
        <f>IFERROR(__xludf.DUMMYFUNCTION("""COMPUTED_VALUE"""),86.89962340999631)</f>
        <v>86.89962341</v>
      </c>
      <c r="AM169" s="4"/>
      <c r="AN169" s="4"/>
      <c r="AO169" s="4">
        <f>IFERROR(__xludf.DUMMYFUNCTION("""COMPUTED_VALUE"""),84.82156636328801)</f>
        <v>84.82156636</v>
      </c>
      <c r="AP169" s="4"/>
      <c r="AQ169" s="4"/>
      <c r="AR169" s="4">
        <f>IFERROR(__xludf.DUMMYFUNCTION("""COMPUTED_VALUE"""),67.71787421172314)</f>
        <v>67.71787421</v>
      </c>
      <c r="AS169" s="4"/>
      <c r="AT169" s="4"/>
      <c r="AU169" s="4">
        <f>IFERROR(__xludf.DUMMYFUNCTION("""COMPUTED_VALUE"""),57.08608454997932)</f>
        <v>57.08608455</v>
      </c>
      <c r="AV169" s="4"/>
      <c r="AW169" s="4"/>
      <c r="AX169" s="4">
        <f>IFERROR(__xludf.DUMMYFUNCTION("""COMPUTED_VALUE"""),30.3246185487626)</f>
        <v>30.32461855</v>
      </c>
      <c r="AY169" s="4"/>
      <c r="AZ169" s="4"/>
      <c r="BA169" s="4">
        <f>IFERROR(__xludf.DUMMYFUNCTION("""COMPUTED_VALUE"""),21.9568521893558)</f>
        <v>21.95685219</v>
      </c>
      <c r="BB169" s="4"/>
      <c r="BC169" s="4"/>
      <c r="BD169" s="4">
        <f>IFERROR(__xludf.DUMMYFUNCTION("""COMPUTED_VALUE"""),11.90890894838435)</f>
        <v>11.90890895</v>
      </c>
      <c r="BE169" s="4"/>
      <c r="BF169" s="4"/>
      <c r="BG169" s="4">
        <f>IFERROR(__xludf.DUMMYFUNCTION("""COMPUTED_VALUE"""),0.42297072621329335)</f>
        <v>0.4229707262</v>
      </c>
      <c r="BH169" s="4"/>
      <c r="BI169" s="4"/>
      <c r="BJ169" s="4"/>
      <c r="BK169" s="4"/>
    </row>
    <row r="170">
      <c r="A170" s="4"/>
      <c r="B170" s="4"/>
      <c r="C170" s="4"/>
      <c r="D170" s="4">
        <f>IFERROR(__xludf.DUMMYFUNCTION("""COMPUTED_VALUE"""),56.9343601943271)</f>
        <v>56.93436019</v>
      </c>
      <c r="E170" s="23">
        <f>IFERROR(__xludf.DUMMYFUNCTION("""COMPUTED_VALUE"""),-3.4254861123566798)</f>
        <v>-3.425486112</v>
      </c>
      <c r="F170" s="4"/>
      <c r="G170" s="4"/>
      <c r="H170" s="4">
        <f>IFERROR(__xludf.DUMMYFUNCTION("""COMPUTED_VALUE"""),2.107076222413525)</f>
        <v>2.107076222</v>
      </c>
      <c r="I170" s="4"/>
      <c r="J170" s="4"/>
      <c r="K170" s="4">
        <f>IFERROR(__xludf.DUMMYFUNCTION("""COMPUTED_VALUE"""),-6.79955272599625)</f>
        <v>-6.799552726</v>
      </c>
      <c r="L170" s="4"/>
      <c r="M170" s="4"/>
      <c r="N170" s="4">
        <f>IFERROR(__xludf.DUMMYFUNCTION("""COMPUTED_VALUE"""),1.0460151090990735)</f>
        <v>1.046015109</v>
      </c>
      <c r="O170" s="4"/>
      <c r="P170" s="4"/>
      <c r="Q170" s="4">
        <f>IFERROR(__xludf.DUMMYFUNCTION("""COMPUTED_VALUE"""),-5.6069372872320855)</f>
        <v>-5.606937287</v>
      </c>
      <c r="R170" s="4"/>
      <c r="S170" s="4"/>
      <c r="T170" s="4">
        <f>IFERROR(__xludf.DUMMYFUNCTION("""COMPUTED_VALUE"""),-1.8706926662513865)</f>
        <v>-1.870692666</v>
      </c>
      <c r="U170" s="4"/>
      <c r="V170" s="4"/>
      <c r="W170" s="4">
        <f>IFERROR(__xludf.DUMMYFUNCTION("""COMPUTED_VALUE"""),1.0989741325337832)</f>
        <v>1.098974133</v>
      </c>
      <c r="X170" s="4"/>
      <c r="Y170" s="4"/>
      <c r="Z170" s="4">
        <f>IFERROR(__xludf.DUMMYFUNCTION("""COMPUTED_VALUE"""),24.797546462192997)</f>
        <v>24.79754646</v>
      </c>
      <c r="AA170" s="4"/>
      <c r="AB170" s="4"/>
      <c r="AC170" s="4">
        <f>IFERROR(__xludf.DUMMYFUNCTION("""COMPUTED_VALUE"""),45.34757838438793)</f>
        <v>45.34757838</v>
      </c>
      <c r="AD170" s="4"/>
      <c r="AE170" s="4"/>
      <c r="AF170" s="4">
        <f>IFERROR(__xludf.DUMMYFUNCTION("""COMPUTED_VALUE"""),64.52360238494987)</f>
        <v>64.52360238</v>
      </c>
      <c r="AG170" s="4"/>
      <c r="AH170" s="4"/>
      <c r="AI170" s="4">
        <f>IFERROR(__xludf.DUMMYFUNCTION("""COMPUTED_VALUE"""),71.85913336012578)</f>
        <v>71.85913336</v>
      </c>
      <c r="AJ170" s="4"/>
      <c r="AK170" s="4"/>
      <c r="AL170" s="4">
        <f>IFERROR(__xludf.DUMMYFUNCTION("""COMPUTED_VALUE"""),85.14546637823895)</f>
        <v>85.14546638</v>
      </c>
      <c r="AM170" s="4"/>
      <c r="AN170" s="4"/>
      <c r="AO170" s="4">
        <f>IFERROR(__xludf.DUMMYFUNCTION("""COMPUTED_VALUE"""),75.49024418444901)</f>
        <v>75.49024418</v>
      </c>
      <c r="AP170" s="4"/>
      <c r="AQ170" s="4"/>
      <c r="AR170" s="4">
        <f>IFERROR(__xludf.DUMMYFUNCTION("""COMPUTED_VALUE"""),70.93151383715644)</f>
        <v>70.93151384</v>
      </c>
      <c r="AS170" s="4"/>
      <c r="AT170" s="4"/>
      <c r="AU170" s="4">
        <f>IFERROR(__xludf.DUMMYFUNCTION("""COMPUTED_VALUE"""),53.72942304299221)</f>
        <v>53.72942304</v>
      </c>
      <c r="AV170" s="4"/>
      <c r="AW170" s="4"/>
      <c r="AX170" s="4">
        <f>IFERROR(__xludf.DUMMYFUNCTION("""COMPUTED_VALUE"""),37.75499744486575)</f>
        <v>37.75499744</v>
      </c>
      <c r="AY170" s="4"/>
      <c r="AZ170" s="4"/>
      <c r="BA170" s="4">
        <f>IFERROR(__xludf.DUMMYFUNCTION("""COMPUTED_VALUE"""),21.317113695520334)</f>
        <v>21.3171137</v>
      </c>
      <c r="BB170" s="4"/>
      <c r="BC170" s="4"/>
      <c r="BD170" s="4">
        <f>IFERROR(__xludf.DUMMYFUNCTION("""COMPUTED_VALUE"""),14.01250731592404)</f>
        <v>14.01250732</v>
      </c>
      <c r="BE170" s="4"/>
      <c r="BF170" s="4"/>
      <c r="BG170" s="4">
        <f>IFERROR(__xludf.DUMMYFUNCTION("""COMPUTED_VALUE"""),-0.3366983903149503)</f>
        <v>-0.3366983903</v>
      </c>
      <c r="BH170" s="4"/>
      <c r="BI170" s="4"/>
      <c r="BJ170" s="4"/>
      <c r="BK170" s="4"/>
    </row>
    <row r="171">
      <c r="A171" s="4"/>
      <c r="B171" s="4"/>
      <c r="C171" s="4"/>
      <c r="D171" s="4">
        <f>IFERROR(__xludf.DUMMYFUNCTION("""COMPUTED_VALUE"""),56.01606406152701)</f>
        <v>56.01606406</v>
      </c>
      <c r="E171" s="23">
        <f>IFERROR(__xludf.DUMMYFUNCTION("""COMPUTED_VALUE"""),-1.8741559988308154)</f>
        <v>-1.874155999</v>
      </c>
      <c r="F171" s="4"/>
      <c r="G171" s="4"/>
      <c r="H171" s="4">
        <f>IFERROR(__xludf.DUMMYFUNCTION("""COMPUTED_VALUE"""),3.372853036199899)</f>
        <v>3.372853036</v>
      </c>
      <c r="I171" s="4"/>
      <c r="J171" s="4"/>
      <c r="K171" s="4">
        <f>IFERROR(__xludf.DUMMYFUNCTION("""COMPUTED_VALUE"""),2.9610494695266425)</f>
        <v>2.96104947</v>
      </c>
      <c r="L171" s="4"/>
      <c r="M171" s="4"/>
      <c r="N171" s="4">
        <f>IFERROR(__xludf.DUMMYFUNCTION("""COMPUTED_VALUE"""),-1.0422040654138414)</f>
        <v>-1.042204065</v>
      </c>
      <c r="O171" s="4"/>
      <c r="P171" s="4"/>
      <c r="Q171" s="4">
        <f>IFERROR(__xludf.DUMMYFUNCTION("""COMPUTED_VALUE"""),-6.578693240777227)</f>
        <v>-6.578693241</v>
      </c>
      <c r="R171" s="4"/>
      <c r="S171" s="4"/>
      <c r="T171" s="4">
        <f>IFERROR(__xludf.DUMMYFUNCTION("""COMPUTED_VALUE"""),-0.6517094597589335)</f>
        <v>-0.6517094598</v>
      </c>
      <c r="U171" s="4"/>
      <c r="V171" s="4"/>
      <c r="W171" s="4">
        <f>IFERROR(__xludf.DUMMYFUNCTION("""COMPUTED_VALUE"""),5.134979330985743)</f>
        <v>5.134979331</v>
      </c>
      <c r="X171" s="4"/>
      <c r="Y171" s="4"/>
      <c r="Z171" s="4">
        <f>IFERROR(__xludf.DUMMYFUNCTION("""COMPUTED_VALUE"""),18.272189595540965)</f>
        <v>18.2721896</v>
      </c>
      <c r="AA171" s="4"/>
      <c r="AB171" s="4"/>
      <c r="AC171" s="4">
        <f>IFERROR(__xludf.DUMMYFUNCTION("""COMPUTED_VALUE"""),44.12269315575941)</f>
        <v>44.12269316</v>
      </c>
      <c r="AD171" s="4"/>
      <c r="AE171" s="4"/>
      <c r="AF171" s="4">
        <f>IFERROR(__xludf.DUMMYFUNCTION("""COMPUTED_VALUE"""),62.29115860206002)</f>
        <v>62.2911586</v>
      </c>
      <c r="AG171" s="4"/>
      <c r="AH171" s="4"/>
      <c r="AI171" s="4">
        <f>IFERROR(__xludf.DUMMYFUNCTION("""COMPUTED_VALUE"""),79.36408675041935)</f>
        <v>79.36408675</v>
      </c>
      <c r="AJ171" s="4"/>
      <c r="AK171" s="4"/>
      <c r="AL171" s="4">
        <f>IFERROR(__xludf.DUMMYFUNCTION("""COMPUTED_VALUE"""),86.87803080793435)</f>
        <v>86.87803081</v>
      </c>
      <c r="AM171" s="4"/>
      <c r="AN171" s="4"/>
      <c r="AO171" s="4">
        <f>IFERROR(__xludf.DUMMYFUNCTION("""COMPUTED_VALUE"""),84.288427426375)</f>
        <v>84.28842743</v>
      </c>
      <c r="AP171" s="4"/>
      <c r="AQ171" s="4"/>
      <c r="AR171" s="4">
        <f>IFERROR(__xludf.DUMMYFUNCTION("""COMPUTED_VALUE"""),72.7848678565872)</f>
        <v>72.78486786</v>
      </c>
      <c r="AS171" s="4"/>
      <c r="AT171" s="4"/>
      <c r="AU171" s="4">
        <f>IFERROR(__xludf.DUMMYFUNCTION("""COMPUTED_VALUE"""),59.91590618696438)</f>
        <v>59.91590619</v>
      </c>
      <c r="AV171" s="4"/>
      <c r="AW171" s="4"/>
      <c r="AX171" s="4">
        <f>IFERROR(__xludf.DUMMYFUNCTION("""COMPUTED_VALUE"""),40.47303864976789)</f>
        <v>40.47303865</v>
      </c>
      <c r="AY171" s="4"/>
      <c r="AZ171" s="4"/>
      <c r="BA171" s="4">
        <f>IFERROR(__xludf.DUMMYFUNCTION("""COMPUTED_VALUE"""),24.075436969663883)</f>
        <v>24.07543697</v>
      </c>
      <c r="BB171" s="4"/>
      <c r="BC171" s="4"/>
      <c r="BD171" s="4">
        <f>IFERROR(__xludf.DUMMYFUNCTION("""COMPUTED_VALUE"""),10.739873582855921)</f>
        <v>10.73987358</v>
      </c>
      <c r="BE171" s="4"/>
      <c r="BF171" s="4"/>
      <c r="BG171" s="4">
        <f>IFERROR(__xludf.DUMMYFUNCTION("""COMPUTED_VALUE"""),4.192510522102054)</f>
        <v>4.192510522</v>
      </c>
      <c r="BH171" s="4"/>
      <c r="BI171" s="4"/>
      <c r="BJ171" s="4"/>
      <c r="BK171" s="4"/>
    </row>
    <row r="172">
      <c r="A172" s="4"/>
      <c r="B172" s="4"/>
      <c r="C172" s="4"/>
      <c r="D172" s="4">
        <f>IFERROR(__xludf.DUMMYFUNCTION("""COMPUTED_VALUE"""),55.097767928777294)</f>
        <v>55.09776793</v>
      </c>
      <c r="E172" s="23">
        <f>IFERROR(__xludf.DUMMYFUNCTION("""COMPUTED_VALUE"""),-3.275764196313901)</f>
        <v>-3.275764196</v>
      </c>
      <c r="F172" s="4"/>
      <c r="G172" s="4"/>
      <c r="H172" s="4">
        <f>IFERROR(__xludf.DUMMYFUNCTION("""COMPUTED_VALUE"""),0.34862318487711264)</f>
        <v>0.3486231849</v>
      </c>
      <c r="I172" s="4"/>
      <c r="J172" s="4"/>
      <c r="K172" s="4">
        <f>IFERROR(__xludf.DUMMYFUNCTION("""COMPUTED_VALUE"""),-6.245906957221337)</f>
        <v>-6.245906957</v>
      </c>
      <c r="L172" s="4"/>
      <c r="M172" s="4"/>
      <c r="N172" s="4">
        <f>IFERROR(__xludf.DUMMYFUNCTION("""COMPUTED_VALUE"""),-9.231426469650785)</f>
        <v>-9.23142647</v>
      </c>
      <c r="O172" s="4"/>
      <c r="P172" s="4"/>
      <c r="Q172" s="4">
        <f>IFERROR(__xludf.DUMMYFUNCTION("""COMPUTED_VALUE"""),0.7672791585703749)</f>
        <v>0.7672791586</v>
      </c>
      <c r="R172" s="4"/>
      <c r="S172" s="4"/>
      <c r="T172" s="4">
        <f>IFERROR(__xludf.DUMMYFUNCTION("""COMPUTED_VALUE"""),-0.0881603826810533)</f>
        <v>-0.08816038268</v>
      </c>
      <c r="U172" s="4"/>
      <c r="V172" s="4"/>
      <c r="W172" s="4">
        <f>IFERROR(__xludf.DUMMYFUNCTION("""COMPUTED_VALUE"""),4.265908025534031)</f>
        <v>4.265908026</v>
      </c>
      <c r="X172" s="4"/>
      <c r="Y172" s="4"/>
      <c r="Z172" s="4">
        <f>IFERROR(__xludf.DUMMYFUNCTION("""COMPUTED_VALUE"""),20.25378930816356)</f>
        <v>20.25378931</v>
      </c>
      <c r="AA172" s="4"/>
      <c r="AB172" s="4"/>
      <c r="AC172" s="4">
        <f>IFERROR(__xludf.DUMMYFUNCTION("""COMPUTED_VALUE"""),40.69118165695414)</f>
        <v>40.69118166</v>
      </c>
      <c r="AD172" s="4"/>
      <c r="AE172" s="4"/>
      <c r="AF172" s="4">
        <f>IFERROR(__xludf.DUMMYFUNCTION("""COMPUTED_VALUE"""),67.35763301495876)</f>
        <v>67.35763301</v>
      </c>
      <c r="AG172" s="4"/>
      <c r="AH172" s="4"/>
      <c r="AI172" s="4">
        <f>IFERROR(__xludf.DUMMYFUNCTION("""COMPUTED_VALUE"""),72.82794016576491)</f>
        <v>72.82794017</v>
      </c>
      <c r="AJ172" s="4"/>
      <c r="AK172" s="4"/>
      <c r="AL172" s="4">
        <f>IFERROR(__xludf.DUMMYFUNCTION("""COMPUTED_VALUE"""),93.19100262681701)</f>
        <v>93.19100263</v>
      </c>
      <c r="AM172" s="4"/>
      <c r="AN172" s="4"/>
      <c r="AO172" s="4">
        <f>IFERROR(__xludf.DUMMYFUNCTION("""COMPUTED_VALUE"""),83.72873884484443)</f>
        <v>83.72873884</v>
      </c>
      <c r="AP172" s="4"/>
      <c r="AQ172" s="4"/>
      <c r="AR172" s="4">
        <f>IFERROR(__xludf.DUMMYFUNCTION("""COMPUTED_VALUE"""),70.38477174922576)</f>
        <v>70.38477175</v>
      </c>
      <c r="AS172" s="4"/>
      <c r="AT172" s="4"/>
      <c r="AU172" s="4">
        <f>IFERROR(__xludf.DUMMYFUNCTION("""COMPUTED_VALUE"""),51.46180223685934)</f>
        <v>51.46180224</v>
      </c>
      <c r="AV172" s="4"/>
      <c r="AW172" s="4"/>
      <c r="AX172" s="4">
        <f>IFERROR(__xludf.DUMMYFUNCTION("""COMPUTED_VALUE"""),39.80342417737495)</f>
        <v>39.80342418</v>
      </c>
      <c r="AY172" s="4"/>
      <c r="AZ172" s="4"/>
      <c r="BA172" s="4">
        <f>IFERROR(__xludf.DUMMYFUNCTION("""COMPUTED_VALUE"""),16.82842831754573)</f>
        <v>16.82842832</v>
      </c>
      <c r="BB172" s="4"/>
      <c r="BC172" s="4"/>
      <c r="BD172" s="4">
        <f>IFERROR(__xludf.DUMMYFUNCTION("""COMPUTED_VALUE"""),16.43835648041147)</f>
        <v>16.43835648</v>
      </c>
      <c r="BE172" s="4"/>
      <c r="BF172" s="4"/>
      <c r="BG172" s="4">
        <f>IFERROR(__xludf.DUMMYFUNCTION("""COMPUTED_VALUE"""),-0.25387385116647465)</f>
        <v>-0.2538738512</v>
      </c>
      <c r="BH172" s="4"/>
      <c r="BI172" s="4"/>
      <c r="BJ172" s="4"/>
      <c r="BK172" s="4"/>
    </row>
    <row r="173">
      <c r="A173" s="4"/>
      <c r="B173" s="4"/>
      <c r="C173" s="4"/>
      <c r="D173" s="4">
        <f>IFERROR(__xludf.DUMMYFUNCTION("""COMPUTED_VALUE"""),54.17947179597722)</f>
        <v>54.1794718</v>
      </c>
      <c r="E173" s="23">
        <f>IFERROR(__xludf.DUMMYFUNCTION("""COMPUTED_VALUE"""),-6.628600898233344)</f>
        <v>-6.628600898</v>
      </c>
      <c r="F173" s="4"/>
      <c r="G173" s="4"/>
      <c r="H173" s="4">
        <f>IFERROR(__xludf.DUMMYFUNCTION("""COMPUTED_VALUE"""),-6.164229879195602)</f>
        <v>-6.164229879</v>
      </c>
      <c r="I173" s="4"/>
      <c r="J173" s="4"/>
      <c r="K173" s="4">
        <f>IFERROR(__xludf.DUMMYFUNCTION("""COMPUTED_VALUE"""),-0.19725072104830588)</f>
        <v>-0.197250721</v>
      </c>
      <c r="L173" s="4"/>
      <c r="M173" s="4"/>
      <c r="N173" s="4">
        <f>IFERROR(__xludf.DUMMYFUNCTION("""COMPUTED_VALUE"""),-9.17906238137698)</f>
        <v>-9.179062381</v>
      </c>
      <c r="O173" s="4"/>
      <c r="P173" s="4"/>
      <c r="Q173" s="4">
        <f>IFERROR(__xludf.DUMMYFUNCTION("""COMPUTED_VALUE"""),-3.9501111733167704)</f>
        <v>-3.950111173</v>
      </c>
      <c r="R173" s="4"/>
      <c r="S173" s="4"/>
      <c r="T173" s="4">
        <f>IFERROR(__xludf.DUMMYFUNCTION("""COMPUTED_VALUE"""),-5.941692553534722)</f>
        <v>-5.941692554</v>
      </c>
      <c r="U173" s="4"/>
      <c r="V173" s="4"/>
      <c r="W173" s="4">
        <f>IFERROR(__xludf.DUMMYFUNCTION("""COMPUTED_VALUE"""),2.8893804814111945)</f>
        <v>2.889380481</v>
      </c>
      <c r="X173" s="4"/>
      <c r="Y173" s="4"/>
      <c r="Z173" s="4">
        <f>IFERROR(__xludf.DUMMYFUNCTION("""COMPUTED_VALUE"""),14.455282512125393)</f>
        <v>14.45528251</v>
      </c>
      <c r="AA173" s="4"/>
      <c r="AB173" s="4"/>
      <c r="AC173" s="4">
        <f>IFERROR(__xludf.DUMMYFUNCTION("""COMPUTED_VALUE"""),47.44335521347432)</f>
        <v>47.44335521</v>
      </c>
      <c r="AD173" s="4"/>
      <c r="AE173" s="4"/>
      <c r="AF173" s="4">
        <f>IFERROR(__xludf.DUMMYFUNCTION("""COMPUTED_VALUE"""),67.70880315494452)</f>
        <v>67.70880315</v>
      </c>
      <c r="AG173" s="4"/>
      <c r="AH173" s="4"/>
      <c r="AI173" s="4">
        <f>IFERROR(__xludf.DUMMYFUNCTION("""COMPUTED_VALUE"""),81.2330061130038)</f>
        <v>81.23300611</v>
      </c>
      <c r="AJ173" s="4"/>
      <c r="AK173" s="4"/>
      <c r="AL173" s="4">
        <f>IFERROR(__xludf.DUMMYFUNCTION("""COMPUTED_VALUE"""),85.36951491096994)</f>
        <v>85.36951491</v>
      </c>
      <c r="AM173" s="4"/>
      <c r="AN173" s="4"/>
      <c r="AO173" s="4">
        <f>IFERROR(__xludf.DUMMYFUNCTION("""COMPUTED_VALUE"""),81.81868876568637)</f>
        <v>81.81868877</v>
      </c>
      <c r="AP173" s="4"/>
      <c r="AQ173" s="4"/>
      <c r="AR173" s="4">
        <f>IFERROR(__xludf.DUMMYFUNCTION("""COMPUTED_VALUE"""),69.55317329824385)</f>
        <v>69.5531733</v>
      </c>
      <c r="AS173" s="4"/>
      <c r="AT173" s="4"/>
      <c r="AU173" s="4">
        <f>IFERROR(__xludf.DUMMYFUNCTION("""COMPUTED_VALUE"""),57.47861603636761)</f>
        <v>57.47861604</v>
      </c>
      <c r="AV173" s="4"/>
      <c r="AW173" s="4"/>
      <c r="AX173" s="4">
        <f>IFERROR(__xludf.DUMMYFUNCTION("""COMPUTED_VALUE"""),43.09168770498161)</f>
        <v>43.0916877</v>
      </c>
      <c r="AY173" s="4"/>
      <c r="AZ173" s="4"/>
      <c r="BA173" s="4">
        <f>IFERROR(__xludf.DUMMYFUNCTION("""COMPUTED_VALUE"""),24.700768981843055)</f>
        <v>24.70076898</v>
      </c>
      <c r="BB173" s="4"/>
      <c r="BC173" s="4"/>
      <c r="BD173" s="4">
        <f>IFERROR(__xludf.DUMMYFUNCTION("""COMPUTED_VALUE"""),8.587950033696814)</f>
        <v>8.587950034</v>
      </c>
      <c r="BE173" s="4"/>
      <c r="BF173" s="4"/>
      <c r="BG173" s="4">
        <f>IFERROR(__xludf.DUMMYFUNCTION("""COMPUTED_VALUE"""),4.684771926661313)</f>
        <v>4.684771927</v>
      </c>
      <c r="BH173" s="4"/>
      <c r="BI173" s="4"/>
      <c r="BJ173" s="4"/>
      <c r="BK173" s="4"/>
    </row>
    <row r="174">
      <c r="A174" s="4"/>
      <c r="B174" s="4"/>
      <c r="C174" s="4"/>
      <c r="D174" s="4">
        <f>IFERROR(__xludf.DUMMYFUNCTION("""COMPUTED_VALUE"""),53.26117566529209)</f>
        <v>53.26117567</v>
      </c>
      <c r="E174" s="23">
        <f>IFERROR(__xludf.DUMMYFUNCTION("""COMPUTED_VALUE"""),-3.4698848702782925)</f>
        <v>-3.46988487</v>
      </c>
      <c r="F174" s="4"/>
      <c r="G174" s="4"/>
      <c r="H174" s="4">
        <f>IFERROR(__xludf.DUMMYFUNCTION("""COMPUTED_VALUE"""),-1.7760944984911475)</f>
        <v>-1.776094498</v>
      </c>
      <c r="I174" s="4"/>
      <c r="J174" s="4"/>
      <c r="K174" s="4">
        <f>IFERROR(__xludf.DUMMYFUNCTION("""COMPUTED_VALUE"""),-6.158101389112801)</f>
        <v>-6.158101389</v>
      </c>
      <c r="L174" s="4"/>
      <c r="M174" s="4"/>
      <c r="N174" s="4">
        <f>IFERROR(__xludf.DUMMYFUNCTION("""COMPUTED_VALUE"""),-5.111949578946792)</f>
        <v>-5.111949579</v>
      </c>
      <c r="O174" s="4"/>
      <c r="P174" s="4"/>
      <c r="Q174" s="4">
        <f>IFERROR(__xludf.DUMMYFUNCTION("""COMPUTED_VALUE"""),-2.80166159946441)</f>
        <v>-2.801661599</v>
      </c>
      <c r="R174" s="4"/>
      <c r="S174" s="4"/>
      <c r="T174" s="4">
        <f>IFERROR(__xludf.DUMMYFUNCTION("""COMPUTED_VALUE"""),-0.7397357570347367)</f>
        <v>-0.739735757</v>
      </c>
      <c r="U174" s="4"/>
      <c r="V174" s="4"/>
      <c r="W174" s="4">
        <f>IFERROR(__xludf.DUMMYFUNCTION("""COMPUTED_VALUE"""),4.848047147980822)</f>
        <v>4.848047148</v>
      </c>
      <c r="X174" s="4"/>
      <c r="Y174" s="4"/>
      <c r="Z174" s="4">
        <f>IFERROR(__xludf.DUMMYFUNCTION("""COMPUTED_VALUE"""),18.818352972802586)</f>
        <v>18.81835297</v>
      </c>
      <c r="AA174" s="4"/>
      <c r="AB174" s="4"/>
      <c r="AC174" s="4">
        <f>IFERROR(__xludf.DUMMYFUNCTION("""COMPUTED_VALUE"""),45.84505795719133)</f>
        <v>45.84505796</v>
      </c>
      <c r="AD174" s="4"/>
      <c r="AE174" s="4"/>
      <c r="AF174" s="4">
        <f>IFERROR(__xludf.DUMMYFUNCTION("""COMPUTED_VALUE"""),66.5653366771408)</f>
        <v>66.56533668</v>
      </c>
      <c r="AG174" s="4"/>
      <c r="AH174" s="4"/>
      <c r="AI174" s="4">
        <f>IFERROR(__xludf.DUMMYFUNCTION("""COMPUTED_VALUE"""),71.51283037717633)</f>
        <v>71.51283038</v>
      </c>
      <c r="AJ174" s="4"/>
      <c r="AK174" s="4"/>
      <c r="AL174" s="4">
        <f>IFERROR(__xludf.DUMMYFUNCTION("""COMPUTED_VALUE"""),89.66829180850658)</f>
        <v>89.66829181</v>
      </c>
      <c r="AM174" s="4"/>
      <c r="AN174" s="4"/>
      <c r="AO174" s="4">
        <f>IFERROR(__xludf.DUMMYFUNCTION("""COMPUTED_VALUE"""),92.40205501935037)</f>
        <v>92.40205502</v>
      </c>
      <c r="AP174" s="4"/>
      <c r="AQ174" s="4"/>
      <c r="AR174" s="4">
        <f>IFERROR(__xludf.DUMMYFUNCTION("""COMPUTED_VALUE"""),72.07835640236851)</f>
        <v>72.0783564</v>
      </c>
      <c r="AS174" s="4"/>
      <c r="AT174" s="4"/>
      <c r="AU174" s="4">
        <f>IFERROR(__xludf.DUMMYFUNCTION("""COMPUTED_VALUE"""),56.0162539514626)</f>
        <v>56.01625395</v>
      </c>
      <c r="AV174" s="4"/>
      <c r="AW174" s="4"/>
      <c r="AX174" s="4">
        <f>IFERROR(__xludf.DUMMYFUNCTION("""COMPUTED_VALUE"""),42.27184444500557)</f>
        <v>42.27184445</v>
      </c>
      <c r="AY174" s="4"/>
      <c r="AZ174" s="4"/>
      <c r="BA174" s="4">
        <f>IFERROR(__xludf.DUMMYFUNCTION("""COMPUTED_VALUE"""),29.81327840273076)</f>
        <v>29.8132784</v>
      </c>
      <c r="BB174" s="4"/>
      <c r="BC174" s="4"/>
      <c r="BD174" s="4">
        <f>IFERROR(__xludf.DUMMYFUNCTION("""COMPUTED_VALUE"""),15.641046542490244)</f>
        <v>15.64104654</v>
      </c>
      <c r="BE174" s="4"/>
      <c r="BF174" s="4"/>
      <c r="BG174" s="4">
        <f>IFERROR(__xludf.DUMMYFUNCTION("""COMPUTED_VALUE"""),4.333680406369922)</f>
        <v>4.333680406</v>
      </c>
      <c r="BH174" s="4"/>
      <c r="BI174" s="4"/>
      <c r="BJ174" s="4"/>
      <c r="BK174" s="4"/>
    </row>
    <row r="175">
      <c r="A175" s="4"/>
      <c r="B175" s="4"/>
      <c r="C175" s="4"/>
      <c r="D175" s="4">
        <f>IFERROR(__xludf.DUMMYFUNCTION("""COMPUTED_VALUE"""),52.34287953254237)</f>
        <v>52.34287953</v>
      </c>
      <c r="E175" s="23">
        <f>IFERROR(__xludf.DUMMYFUNCTION("""COMPUTED_VALUE"""),-7.32652598326041)</f>
        <v>-7.326525983</v>
      </c>
      <c r="F175" s="4"/>
      <c r="G175" s="4"/>
      <c r="H175" s="4">
        <f>IFERROR(__xludf.DUMMYFUNCTION("""COMPUTED_VALUE"""),0.0897200822498121)</f>
        <v>0.08972008225</v>
      </c>
      <c r="I175" s="4"/>
      <c r="J175" s="4"/>
      <c r="K175" s="4">
        <f>IFERROR(__xludf.DUMMYFUNCTION("""COMPUTED_VALUE"""),-1.8474051407766297)</f>
        <v>-1.847405141</v>
      </c>
      <c r="L175" s="4"/>
      <c r="M175" s="4"/>
      <c r="N175" s="4">
        <f>IFERROR(__xludf.DUMMYFUNCTION("""COMPUTED_VALUE"""),3.482152423379432)</f>
        <v>3.482152423</v>
      </c>
      <c r="O175" s="4"/>
      <c r="P175" s="4"/>
      <c r="Q175" s="4">
        <f>IFERROR(__xludf.DUMMYFUNCTION("""COMPUTED_VALUE"""),-1.3796263230883596)</f>
        <v>-1.379626323</v>
      </c>
      <c r="R175" s="4"/>
      <c r="S175" s="4"/>
      <c r="T175" s="4">
        <f>IFERROR(__xludf.DUMMYFUNCTION("""COMPUTED_VALUE"""),4.164367148828546)</f>
        <v>4.164367149</v>
      </c>
      <c r="U175" s="4"/>
      <c r="V175" s="4"/>
      <c r="W175" s="4">
        <f>IFERROR(__xludf.DUMMYFUNCTION("""COMPUTED_VALUE"""),10.935595187322463)</f>
        <v>10.93559519</v>
      </c>
      <c r="X175" s="4"/>
      <c r="Y175" s="4"/>
      <c r="Z175" s="4">
        <f>IFERROR(__xludf.DUMMYFUNCTION("""COMPUTED_VALUE"""),16.797451652850214)</f>
        <v>16.79745165</v>
      </c>
      <c r="AA175" s="4"/>
      <c r="AB175" s="4"/>
      <c r="AC175" s="4">
        <f>IFERROR(__xludf.DUMMYFUNCTION("""COMPUTED_VALUE"""),43.48957025395583)</f>
        <v>43.48957025</v>
      </c>
      <c r="AD175" s="4"/>
      <c r="AE175" s="4"/>
      <c r="AF175" s="4">
        <f>IFERROR(__xludf.DUMMYFUNCTION("""COMPUTED_VALUE"""),63.81724333222866)</f>
        <v>63.81724333</v>
      </c>
      <c r="AG175" s="4"/>
      <c r="AH175" s="4"/>
      <c r="AI175" s="4">
        <f>IFERROR(__xludf.DUMMYFUNCTION("""COMPUTED_VALUE"""),73.01805581654287)</f>
        <v>73.01805582</v>
      </c>
      <c r="AJ175" s="4"/>
      <c r="AK175" s="4"/>
      <c r="AL175" s="4">
        <f>IFERROR(__xludf.DUMMYFUNCTION("""COMPUTED_VALUE"""),85.80546374325581)</f>
        <v>85.80546374</v>
      </c>
      <c r="AM175" s="4"/>
      <c r="AN175" s="4"/>
      <c r="AO175" s="4">
        <f>IFERROR(__xludf.DUMMYFUNCTION("""COMPUTED_VALUE"""),91.22103343144357)</f>
        <v>91.22103343</v>
      </c>
      <c r="AP175" s="4"/>
      <c r="AQ175" s="4"/>
      <c r="AR175" s="4">
        <f>IFERROR(__xludf.DUMMYFUNCTION("""COMPUTED_VALUE"""),69.45200700243726)</f>
        <v>69.452007</v>
      </c>
      <c r="AS175" s="4"/>
      <c r="AT175" s="4"/>
      <c r="AU175" s="4">
        <f>IFERROR(__xludf.DUMMYFUNCTION("""COMPUTED_VALUE"""),55.983422800447556)</f>
        <v>55.9834228</v>
      </c>
      <c r="AV175" s="4"/>
      <c r="AW175" s="4"/>
      <c r="AX175" s="4">
        <f>IFERROR(__xludf.DUMMYFUNCTION("""COMPUTED_VALUE"""),40.68899298038184)</f>
        <v>40.68899298</v>
      </c>
      <c r="AY175" s="4"/>
      <c r="AZ175" s="4"/>
      <c r="BA175" s="4">
        <f>IFERROR(__xludf.DUMMYFUNCTION("""COMPUTED_VALUE"""),25.805449783817437)</f>
        <v>25.80544978</v>
      </c>
      <c r="BB175" s="4"/>
      <c r="BC175" s="4"/>
      <c r="BD175" s="4">
        <f>IFERROR(__xludf.DUMMYFUNCTION("""COMPUTED_VALUE"""),8.298276083629673)</f>
        <v>8.298276084</v>
      </c>
      <c r="BE175" s="4"/>
      <c r="BF175" s="4"/>
      <c r="BG175" s="4">
        <f>IFERROR(__xludf.DUMMYFUNCTION("""COMPUTED_VALUE"""),1.0623691012337417)</f>
        <v>1.062369101</v>
      </c>
      <c r="BH175" s="4"/>
      <c r="BI175" s="4"/>
      <c r="BJ175" s="4"/>
      <c r="BK175" s="4"/>
    </row>
    <row r="176">
      <c r="A176" s="4"/>
      <c r="B176" s="4"/>
      <c r="C176" s="4"/>
      <c r="D176" s="4">
        <f>IFERROR(__xludf.DUMMYFUNCTION("""COMPUTED_VALUE"""),51.424583399742296)</f>
        <v>51.4245834</v>
      </c>
      <c r="E176" s="23">
        <f>IFERROR(__xludf.DUMMYFUNCTION("""COMPUTED_VALUE"""),-1.8887688473114963)</f>
        <v>-1.888768847</v>
      </c>
      <c r="F176" s="4"/>
      <c r="G176" s="4"/>
      <c r="H176" s="4">
        <f>IFERROR(__xludf.DUMMYFUNCTION("""COMPUTED_VALUE"""),0.8346855026919684)</f>
        <v>0.8346855027</v>
      </c>
      <c r="I176" s="4"/>
      <c r="J176" s="4"/>
      <c r="K176" s="4">
        <f>IFERROR(__xludf.DUMMYFUNCTION("""COMPUTED_VALUE"""),-3.362378782578844)</f>
        <v>-3.362378783</v>
      </c>
      <c r="L176" s="4"/>
      <c r="M176" s="4"/>
      <c r="N176" s="4">
        <f>IFERROR(__xludf.DUMMYFUNCTION("""COMPUTED_VALUE"""),-6.347207200331866)</f>
        <v>-6.3472072</v>
      </c>
      <c r="O176" s="4"/>
      <c r="P176" s="4"/>
      <c r="Q176" s="4">
        <f>IFERROR(__xludf.DUMMYFUNCTION("""COMPUTED_VALUE"""),-5.772341066175159)</f>
        <v>-5.772341066</v>
      </c>
      <c r="R176" s="4"/>
      <c r="S176" s="4"/>
      <c r="T176" s="4">
        <f>IFERROR(__xludf.DUMMYFUNCTION("""COMPUTED_VALUE"""),-0.7116004305354977)</f>
        <v>-0.7116004305</v>
      </c>
      <c r="U176" s="4"/>
      <c r="V176" s="4"/>
      <c r="W176" s="4">
        <f>IFERROR(__xludf.DUMMYFUNCTION("""COMPUTED_VALUE"""),2.7268609125594594)</f>
        <v>2.726860913</v>
      </c>
      <c r="X176" s="4"/>
      <c r="Y176" s="4"/>
      <c r="Z176" s="4">
        <f>IFERROR(__xludf.DUMMYFUNCTION("""COMPUTED_VALUE"""),20.01676369627961)</f>
        <v>20.0167637</v>
      </c>
      <c r="AA176" s="4"/>
      <c r="AB176" s="4"/>
      <c r="AC176" s="4">
        <f>IFERROR(__xludf.DUMMYFUNCTION("""COMPUTED_VALUE"""),37.58251379252482)</f>
        <v>37.58251379</v>
      </c>
      <c r="AD176" s="4"/>
      <c r="AE176" s="4"/>
      <c r="AF176" s="4">
        <f>IFERROR(__xludf.DUMMYFUNCTION("""COMPUTED_VALUE"""),60.07192666977073)</f>
        <v>60.07192667</v>
      </c>
      <c r="AG176" s="4"/>
      <c r="AH176" s="4"/>
      <c r="AI176" s="4">
        <f>IFERROR(__xludf.DUMMYFUNCTION("""COMPUTED_VALUE"""),80.74303528138717)</f>
        <v>80.74303528</v>
      </c>
      <c r="AJ176" s="4"/>
      <c r="AK176" s="4"/>
      <c r="AL176" s="4">
        <f>IFERROR(__xludf.DUMMYFUNCTION("""COMPUTED_VALUE"""),87.77450604325043)</f>
        <v>87.77450604</v>
      </c>
      <c r="AM176" s="4"/>
      <c r="AN176" s="4"/>
      <c r="AO176" s="4">
        <f>IFERROR(__xludf.DUMMYFUNCTION("""COMPUTED_VALUE"""),76.9464431820025)</f>
        <v>76.94644318</v>
      </c>
      <c r="AP176" s="4"/>
      <c r="AQ176" s="4"/>
      <c r="AR176" s="4">
        <f>IFERROR(__xludf.DUMMYFUNCTION("""COMPUTED_VALUE"""),77.16671876090732)</f>
        <v>77.16671876</v>
      </c>
      <c r="AS176" s="4"/>
      <c r="AT176" s="4"/>
      <c r="AU176" s="4">
        <f>IFERROR(__xludf.DUMMYFUNCTION("""COMPUTED_VALUE"""),57.193063069744426)</f>
        <v>57.19306307</v>
      </c>
      <c r="AV176" s="4"/>
      <c r="AW176" s="4"/>
      <c r="AX176" s="4">
        <f>IFERROR(__xludf.DUMMYFUNCTION("""COMPUTED_VALUE"""),34.90118434150514)</f>
        <v>34.90118434</v>
      </c>
      <c r="AY176" s="4"/>
      <c r="AZ176" s="4"/>
      <c r="BA176" s="4">
        <f>IFERROR(__xludf.DUMMYFUNCTION("""COMPUTED_VALUE"""),25.85422398641606)</f>
        <v>25.85422399</v>
      </c>
      <c r="BB176" s="4"/>
      <c r="BC176" s="4"/>
      <c r="BD176" s="4">
        <f>IFERROR(__xludf.DUMMYFUNCTION("""COMPUTED_VALUE"""),12.550323125219734)</f>
        <v>12.55032313</v>
      </c>
      <c r="BE176" s="4"/>
      <c r="BF176" s="4"/>
      <c r="BG176" s="4">
        <f>IFERROR(__xludf.DUMMYFUNCTION("""COMPUTED_VALUE"""),1.4727571946536386)</f>
        <v>1.472757195</v>
      </c>
      <c r="BH176" s="4"/>
      <c r="BI176" s="4"/>
      <c r="BJ176" s="4"/>
      <c r="BK176" s="4"/>
    </row>
    <row r="177">
      <c r="A177" s="4"/>
      <c r="B177" s="4"/>
      <c r="C177" s="4"/>
      <c r="D177" s="4">
        <f>IFERROR(__xludf.DUMMYFUNCTION("""COMPUTED_VALUE"""),50.50628726905717)</f>
        <v>50.50628727</v>
      </c>
      <c r="E177" s="23">
        <f>IFERROR(__xludf.DUMMYFUNCTION("""COMPUTED_VALUE"""),-1.3684965642125917)</f>
        <v>-1.368496564</v>
      </c>
      <c r="F177" s="4"/>
      <c r="G177" s="4"/>
      <c r="H177" s="4">
        <f>IFERROR(__xludf.DUMMYFUNCTION("""COMPUTED_VALUE"""),-0.3066622850085423)</f>
        <v>-0.306662285</v>
      </c>
      <c r="I177" s="4"/>
      <c r="J177" s="4"/>
      <c r="K177" s="4">
        <f>IFERROR(__xludf.DUMMYFUNCTION("""COMPUTED_VALUE"""),0.6218849463127185)</f>
        <v>0.6218849463</v>
      </c>
      <c r="L177" s="4"/>
      <c r="M177" s="4"/>
      <c r="N177" s="4">
        <f>IFERROR(__xludf.DUMMYFUNCTION("""COMPUTED_VALUE"""),-7.543912568949509)</f>
        <v>-7.543912569</v>
      </c>
      <c r="O177" s="4"/>
      <c r="P177" s="4"/>
      <c r="Q177" s="4">
        <f>IFERROR(__xludf.DUMMYFUNCTION("""COMPUTED_VALUE"""),1.7675715541296313)</f>
        <v>1.767571554</v>
      </c>
      <c r="R177" s="4"/>
      <c r="S177" s="4"/>
      <c r="T177" s="4">
        <f>IFERROR(__xludf.DUMMYFUNCTION("""COMPUTED_VALUE"""),0.6542131242756)</f>
        <v>0.6542131243</v>
      </c>
      <c r="U177" s="4"/>
      <c r="V177" s="4"/>
      <c r="W177" s="4">
        <f>IFERROR(__xludf.DUMMYFUNCTION("""COMPUTED_VALUE"""),-0.806473882900832)</f>
        <v>-0.8064738829</v>
      </c>
      <c r="X177" s="4"/>
      <c r="Y177" s="4"/>
      <c r="Z177" s="4">
        <f>IFERROR(__xludf.DUMMYFUNCTION("""COMPUTED_VALUE"""),22.114675614145426)</f>
        <v>22.11467561</v>
      </c>
      <c r="AA177" s="4"/>
      <c r="AB177" s="4"/>
      <c r="AC177" s="4">
        <f>IFERROR(__xludf.DUMMYFUNCTION("""COMPUTED_VALUE"""),48.56831545803237)</f>
        <v>48.56831546</v>
      </c>
      <c r="AD177" s="4"/>
      <c r="AE177" s="4"/>
      <c r="AF177" s="4">
        <f>IFERROR(__xludf.DUMMYFUNCTION("""COMPUTED_VALUE"""),59.202477982035816)</f>
        <v>59.20247798</v>
      </c>
      <c r="AG177" s="4"/>
      <c r="AH177" s="4"/>
      <c r="AI177" s="4">
        <f>IFERROR(__xludf.DUMMYFUNCTION("""COMPUTED_VALUE"""),73.49187996740318)</f>
        <v>73.49187997</v>
      </c>
      <c r="AJ177" s="4"/>
      <c r="AK177" s="4"/>
      <c r="AL177" s="4">
        <f>IFERROR(__xludf.DUMMYFUNCTION("""COMPUTED_VALUE"""),88.72940582738545)</f>
        <v>88.72940583</v>
      </c>
      <c r="AM177" s="4"/>
      <c r="AN177" s="4"/>
      <c r="AO177" s="4">
        <f>IFERROR(__xludf.DUMMYFUNCTION("""COMPUTED_VALUE"""),79.8702638240755)</f>
        <v>79.87026382</v>
      </c>
      <c r="AP177" s="4"/>
      <c r="AQ177" s="4"/>
      <c r="AR177" s="4">
        <f>IFERROR(__xludf.DUMMYFUNCTION("""COMPUTED_VALUE"""),78.66537231650341)</f>
        <v>78.66537232</v>
      </c>
      <c r="AS177" s="4"/>
      <c r="AT177" s="4"/>
      <c r="AU177" s="4">
        <f>IFERROR(__xludf.DUMMYFUNCTION("""COMPUTED_VALUE"""),58.199447481192294)</f>
        <v>58.19944748</v>
      </c>
      <c r="AV177" s="4"/>
      <c r="AW177" s="4"/>
      <c r="AX177" s="4">
        <f>IFERROR(__xludf.DUMMYFUNCTION("""COMPUTED_VALUE"""),42.92991813702537)</f>
        <v>42.92991814</v>
      </c>
      <c r="AY177" s="4"/>
      <c r="AZ177" s="4"/>
      <c r="BA177" s="4">
        <f>IFERROR(__xludf.DUMMYFUNCTION("""COMPUTED_VALUE"""),18.860343564386426)</f>
        <v>18.86034356</v>
      </c>
      <c r="BB177" s="4"/>
      <c r="BC177" s="4"/>
      <c r="BD177" s="4">
        <f>IFERROR(__xludf.DUMMYFUNCTION("""COMPUTED_VALUE"""),11.48631142114533)</f>
        <v>11.48631142</v>
      </c>
      <c r="BE177" s="4"/>
      <c r="BF177" s="4"/>
      <c r="BG177" s="4">
        <f>IFERROR(__xludf.DUMMYFUNCTION("""COMPUTED_VALUE"""),4.010297785703813)</f>
        <v>4.010297786</v>
      </c>
      <c r="BH177" s="4"/>
      <c r="BI177" s="4"/>
      <c r="BJ177" s="4"/>
      <c r="BK177" s="4"/>
    </row>
    <row r="178">
      <c r="A178" s="4"/>
      <c r="B178" s="4"/>
      <c r="C178" s="4"/>
      <c r="D178" s="4">
        <f>IFERROR(__xludf.DUMMYFUNCTION("""COMPUTED_VALUE"""),49.587991136307444)</f>
        <v>49.58799114</v>
      </c>
      <c r="E178" s="23">
        <f>IFERROR(__xludf.DUMMYFUNCTION("""COMPUTED_VALUE"""),-6.295745601681801)</f>
        <v>-6.295745602</v>
      </c>
      <c r="F178" s="4"/>
      <c r="G178" s="4"/>
      <c r="H178" s="4">
        <f>IFERROR(__xludf.DUMMYFUNCTION("""COMPUTED_VALUE"""),-3.3300547187204756)</f>
        <v>-3.330054719</v>
      </c>
      <c r="I178" s="4"/>
      <c r="J178" s="4"/>
      <c r="K178" s="4">
        <f>IFERROR(__xludf.DUMMYFUNCTION("""COMPUTED_VALUE"""),-4.068974394112388)</f>
        <v>-4.068974394</v>
      </c>
      <c r="L178" s="4"/>
      <c r="M178" s="4"/>
      <c r="N178" s="4">
        <f>IFERROR(__xludf.DUMMYFUNCTION("""COMPUTED_VALUE"""),-10.010516503900305)</f>
        <v>-10.0105165</v>
      </c>
      <c r="O178" s="4"/>
      <c r="P178" s="4"/>
      <c r="Q178" s="4">
        <f>IFERROR(__xludf.DUMMYFUNCTION("""COMPUTED_VALUE"""),0.42400904822636676)</f>
        <v>0.4240090482</v>
      </c>
      <c r="R178" s="4"/>
      <c r="S178" s="4"/>
      <c r="T178" s="4">
        <f>IFERROR(__xludf.DUMMYFUNCTION("""COMPUTED_VALUE"""),2.500541449930097)</f>
        <v>2.50054145</v>
      </c>
      <c r="U178" s="4"/>
      <c r="V178" s="4"/>
      <c r="W178" s="4">
        <f>IFERROR(__xludf.DUMMYFUNCTION("""COMPUTED_VALUE"""),6.162016400811183)</f>
        <v>6.162016401</v>
      </c>
      <c r="X178" s="4"/>
      <c r="Y178" s="4"/>
      <c r="Z178" s="4">
        <f>IFERROR(__xludf.DUMMYFUNCTION("""COMPUTED_VALUE"""),17.446499714842105)</f>
        <v>17.44649971</v>
      </c>
      <c r="AA178" s="4"/>
      <c r="AB178" s="4"/>
      <c r="AC178" s="4">
        <f>IFERROR(__xludf.DUMMYFUNCTION("""COMPUTED_VALUE"""),43.11242618223463)</f>
        <v>43.11242618</v>
      </c>
      <c r="AD178" s="4"/>
      <c r="AE178" s="4"/>
      <c r="AF178" s="4">
        <f>IFERROR(__xludf.DUMMYFUNCTION("""COMPUTED_VALUE"""),65.40130179794988)</f>
        <v>65.4013018</v>
      </c>
      <c r="AG178" s="4"/>
      <c r="AH178" s="4"/>
      <c r="AI178" s="4">
        <f>IFERROR(__xludf.DUMMYFUNCTION("""COMPUTED_VALUE"""),73.27759057448282)</f>
        <v>73.27759057</v>
      </c>
      <c r="AJ178" s="4"/>
      <c r="AK178" s="4"/>
      <c r="AL178" s="4">
        <f>IFERROR(__xludf.DUMMYFUNCTION("""COMPUTED_VALUE"""),88.76177830774515)</f>
        <v>88.76177831</v>
      </c>
      <c r="AM178" s="4"/>
      <c r="AN178" s="4"/>
      <c r="AO178" s="4">
        <f>IFERROR(__xludf.DUMMYFUNCTION("""COMPUTED_VALUE"""),80.3110796820061)</f>
        <v>80.31107968</v>
      </c>
      <c r="AP178" s="4"/>
      <c r="AQ178" s="4"/>
      <c r="AR178" s="4">
        <f>IFERROR(__xludf.DUMMYFUNCTION("""COMPUTED_VALUE"""),79.58973304268193)</f>
        <v>79.58973304</v>
      </c>
      <c r="AS178" s="4"/>
      <c r="AT178" s="4"/>
      <c r="AU178" s="4">
        <f>IFERROR(__xludf.DUMMYFUNCTION("""COMPUTED_VALUE"""),57.10957394930438)</f>
        <v>57.10957395</v>
      </c>
      <c r="AV178" s="4"/>
      <c r="AW178" s="4"/>
      <c r="AX178" s="4">
        <f>IFERROR(__xludf.DUMMYFUNCTION("""COMPUTED_VALUE"""),38.51069113086339)</f>
        <v>38.51069113</v>
      </c>
      <c r="AY178" s="4"/>
      <c r="AZ178" s="4"/>
      <c r="BA178" s="4">
        <f>IFERROR(__xludf.DUMMYFUNCTION("""COMPUTED_VALUE"""),19.19916692626356)</f>
        <v>19.19916693</v>
      </c>
      <c r="BB178" s="4"/>
      <c r="BC178" s="4"/>
      <c r="BD178" s="4">
        <f>IFERROR(__xludf.DUMMYFUNCTION("""COMPUTED_VALUE"""),10.069139026023663)</f>
        <v>10.06913903</v>
      </c>
      <c r="BE178" s="4"/>
      <c r="BF178" s="4"/>
      <c r="BG178" s="4">
        <f>IFERROR(__xludf.DUMMYFUNCTION("""COMPUTED_VALUE"""),6.539783992666003)</f>
        <v>6.539783993</v>
      </c>
      <c r="BH178" s="4"/>
      <c r="BI178" s="4"/>
      <c r="BJ178" s="4"/>
      <c r="BK178" s="4"/>
    </row>
    <row r="179">
      <c r="A179" s="4"/>
      <c r="B179" s="4"/>
      <c r="C179" s="4"/>
      <c r="D179" s="4">
        <f>IFERROR(__xludf.DUMMYFUNCTION("""COMPUTED_VALUE"""),48.66969500350737)</f>
        <v>48.669695</v>
      </c>
      <c r="E179" s="23">
        <f>IFERROR(__xludf.DUMMYFUNCTION("""COMPUTED_VALUE"""),-6.511245041745326)</f>
        <v>-6.511245042</v>
      </c>
      <c r="F179" s="4"/>
      <c r="G179" s="4"/>
      <c r="H179" s="4">
        <f>IFERROR(__xludf.DUMMYFUNCTION("""COMPUTED_VALUE"""),-0.5932378952344948)</f>
        <v>-0.5932378952</v>
      </c>
      <c r="I179" s="4"/>
      <c r="J179" s="4"/>
      <c r="K179" s="4">
        <f>IFERROR(__xludf.DUMMYFUNCTION("""COMPUTED_VALUE"""),0.7094228556314306)</f>
        <v>0.7094228556</v>
      </c>
      <c r="L179" s="4"/>
      <c r="M179" s="4"/>
      <c r="N179" s="4">
        <f>IFERROR(__xludf.DUMMYFUNCTION("""COMPUTED_VALUE"""),-4.147044591455199)</f>
        <v>-4.147044591</v>
      </c>
      <c r="O179" s="4"/>
      <c r="P179" s="4"/>
      <c r="Q179" s="4">
        <f>IFERROR(__xludf.DUMMYFUNCTION("""COMPUTED_VALUE"""),-0.956767842825343)</f>
        <v>-0.9567678428</v>
      </c>
      <c r="R179" s="4"/>
      <c r="S179" s="4"/>
      <c r="T179" s="4">
        <f>IFERROR(__xludf.DUMMYFUNCTION("""COMPUTED_VALUE"""),2.8346321115599267)</f>
        <v>2.834632112</v>
      </c>
      <c r="U179" s="4"/>
      <c r="V179" s="4"/>
      <c r="W179" s="4">
        <f>IFERROR(__xludf.DUMMYFUNCTION("""COMPUTED_VALUE"""),1.5529555318302073)</f>
        <v>1.552955532</v>
      </c>
      <c r="X179" s="4"/>
      <c r="Y179" s="4"/>
      <c r="Z179" s="4">
        <f>IFERROR(__xludf.DUMMYFUNCTION("""COMPUTED_VALUE"""),28.07105752596391)</f>
        <v>28.07105753</v>
      </c>
      <c r="AA179" s="4"/>
      <c r="AB179" s="4"/>
      <c r="AC179" s="4">
        <f>IFERROR(__xludf.DUMMYFUNCTION("""COMPUTED_VALUE"""),44.07765234897283)</f>
        <v>44.07765235</v>
      </c>
      <c r="AD179" s="4"/>
      <c r="AE179" s="4"/>
      <c r="AF179" s="4">
        <f>IFERROR(__xludf.DUMMYFUNCTION("""COMPUTED_VALUE"""),65.327367644601)</f>
        <v>65.32736764</v>
      </c>
      <c r="AG179" s="4"/>
      <c r="AH179" s="4"/>
      <c r="AI179" s="4">
        <f>IFERROR(__xludf.DUMMYFUNCTION("""COMPUTED_VALUE"""),78.9350186235373)</f>
        <v>78.93501862</v>
      </c>
      <c r="AJ179" s="4"/>
      <c r="AK179" s="4"/>
      <c r="AL179" s="4">
        <f>IFERROR(__xludf.DUMMYFUNCTION("""COMPUTED_VALUE"""),86.11745664569662)</f>
        <v>86.11745665</v>
      </c>
      <c r="AM179" s="4"/>
      <c r="AN179" s="4"/>
      <c r="AO179" s="4">
        <f>IFERROR(__xludf.DUMMYFUNCTION("""COMPUTED_VALUE"""),81.4611296200448)</f>
        <v>81.46112962</v>
      </c>
      <c r="AP179" s="4"/>
      <c r="AQ179" s="4"/>
      <c r="AR179" s="4">
        <f>IFERROR(__xludf.DUMMYFUNCTION("""COMPUTED_VALUE"""),72.80170754630751)</f>
        <v>72.80170755</v>
      </c>
      <c r="AS179" s="4"/>
      <c r="AT179" s="4"/>
      <c r="AU179" s="4">
        <f>IFERROR(__xludf.DUMMYFUNCTION("""COMPUTED_VALUE"""),58.09307617555817)</f>
        <v>58.09307618</v>
      </c>
      <c r="AV179" s="4"/>
      <c r="AW179" s="4"/>
      <c r="AX179" s="4">
        <f>IFERROR(__xludf.DUMMYFUNCTION("""COMPUTED_VALUE"""),41.05089876917583)</f>
        <v>41.05089877</v>
      </c>
      <c r="AY179" s="4"/>
      <c r="AZ179" s="4"/>
      <c r="BA179" s="4">
        <f>IFERROR(__xludf.DUMMYFUNCTION("""COMPUTED_VALUE"""),25.726369093556855)</f>
        <v>25.72636909</v>
      </c>
      <c r="BB179" s="4"/>
      <c r="BC179" s="4"/>
      <c r="BD179" s="4">
        <f>IFERROR(__xludf.DUMMYFUNCTION("""COMPUTED_VALUE"""),6.455459744525228)</f>
        <v>6.455459745</v>
      </c>
      <c r="BE179" s="4"/>
      <c r="BF179" s="4"/>
      <c r="BG179" s="4">
        <f>IFERROR(__xludf.DUMMYFUNCTION("""COMPUTED_VALUE"""),3.136330088093416)</f>
        <v>3.136330088</v>
      </c>
      <c r="BH179" s="4"/>
      <c r="BI179" s="4"/>
      <c r="BJ179" s="4"/>
      <c r="BK179" s="4"/>
    </row>
    <row r="180">
      <c r="A180" s="4"/>
      <c r="B180" s="4"/>
      <c r="C180" s="4"/>
      <c r="D180" s="4">
        <f>IFERROR(__xludf.DUMMYFUNCTION("""COMPUTED_VALUE"""),47.7513988728726)</f>
        <v>47.75139887</v>
      </c>
      <c r="E180" s="23">
        <f>IFERROR(__xludf.DUMMYFUNCTION("""COMPUTED_VALUE"""),-1.1200406912548715)</f>
        <v>-1.120040691</v>
      </c>
      <c r="F180" s="4"/>
      <c r="G180" s="4"/>
      <c r="H180" s="4">
        <f>IFERROR(__xludf.DUMMYFUNCTION("""COMPUTED_VALUE"""),-3.990557951645883)</f>
        <v>-3.990557952</v>
      </c>
      <c r="I180" s="4"/>
      <c r="J180" s="4"/>
      <c r="K180" s="4">
        <f>IFERROR(__xludf.DUMMYFUNCTION("""COMPUTED_VALUE"""),8.387128401219968)</f>
        <v>8.387128401</v>
      </c>
      <c r="L180" s="4"/>
      <c r="M180" s="4"/>
      <c r="N180" s="4">
        <f>IFERROR(__xludf.DUMMYFUNCTION("""COMPUTED_VALUE"""),-7.870076991831809)</f>
        <v>-7.870076992</v>
      </c>
      <c r="O180" s="4"/>
      <c r="P180" s="4"/>
      <c r="Q180" s="4">
        <f>IFERROR(__xludf.DUMMYFUNCTION("""COMPUTED_VALUE"""),2.2152991866003617)</f>
        <v>2.215299187</v>
      </c>
      <c r="R180" s="4"/>
      <c r="S180" s="4"/>
      <c r="T180" s="4">
        <f>IFERROR(__xludf.DUMMYFUNCTION("""COMPUTED_VALUE"""),2.4183696668501966)</f>
        <v>2.418369667</v>
      </c>
      <c r="U180" s="4"/>
      <c r="V180" s="4"/>
      <c r="W180" s="4">
        <f>IFERROR(__xludf.DUMMYFUNCTION("""COMPUTED_VALUE"""),7.487732105142015)</f>
        <v>7.487732105</v>
      </c>
      <c r="X180" s="4"/>
      <c r="Y180" s="4"/>
      <c r="Z180" s="4">
        <f>IFERROR(__xludf.DUMMYFUNCTION("""COMPUTED_VALUE"""),25.405657507392277)</f>
        <v>25.40565751</v>
      </c>
      <c r="AA180" s="4"/>
      <c r="AB180" s="4"/>
      <c r="AC180" s="4">
        <f>IFERROR(__xludf.DUMMYFUNCTION("""COMPUTED_VALUE"""),41.236296472650224)</f>
        <v>41.23629647</v>
      </c>
      <c r="AD180" s="4"/>
      <c r="AE180" s="4"/>
      <c r="AF180" s="4">
        <f>IFERROR(__xludf.DUMMYFUNCTION("""COMPUTED_VALUE"""),60.87391854700394)</f>
        <v>60.87391855</v>
      </c>
      <c r="AG180" s="4"/>
      <c r="AH180" s="4"/>
      <c r="AI180" s="4">
        <f>IFERROR(__xludf.DUMMYFUNCTION("""COMPUTED_VALUE"""),76.20856689421822)</f>
        <v>76.20856689</v>
      </c>
      <c r="AJ180" s="4"/>
      <c r="AK180" s="4"/>
      <c r="AL180" s="4">
        <f>IFERROR(__xludf.DUMMYFUNCTION("""COMPUTED_VALUE"""),83.95509713243581)</f>
        <v>83.95509713</v>
      </c>
      <c r="AM180" s="4"/>
      <c r="AN180" s="4"/>
      <c r="AO180" s="4">
        <f>IFERROR(__xludf.DUMMYFUNCTION("""COMPUTED_VALUE"""),85.90049202550733)</f>
        <v>85.90049203</v>
      </c>
      <c r="AP180" s="4"/>
      <c r="AQ180" s="4"/>
      <c r="AR180" s="4">
        <f>IFERROR(__xludf.DUMMYFUNCTION("""COMPUTED_VALUE"""),69.60214642289486)</f>
        <v>69.60214642</v>
      </c>
      <c r="AS180" s="4"/>
      <c r="AT180" s="4"/>
      <c r="AU180" s="4">
        <f>IFERROR(__xludf.DUMMYFUNCTION("""COMPUTED_VALUE"""),57.02009854123861)</f>
        <v>57.02009854</v>
      </c>
      <c r="AV180" s="4"/>
      <c r="AW180" s="4"/>
      <c r="AX180" s="4">
        <f>IFERROR(__xludf.DUMMYFUNCTION("""COMPUTED_VALUE"""),42.66902445695979)</f>
        <v>42.66902446</v>
      </c>
      <c r="AY180" s="4"/>
      <c r="AZ180" s="4"/>
      <c r="BA180" s="4">
        <f>IFERROR(__xludf.DUMMYFUNCTION("""COMPUTED_VALUE"""),22.1111668985414)</f>
        <v>22.1111669</v>
      </c>
      <c r="BB180" s="4"/>
      <c r="BC180" s="4"/>
      <c r="BD180" s="4">
        <f>IFERROR(__xludf.DUMMYFUNCTION("""COMPUTED_VALUE"""),8.891309851880237)</f>
        <v>8.891309852</v>
      </c>
      <c r="BE180" s="4"/>
      <c r="BF180" s="4"/>
      <c r="BG180" s="4">
        <f>IFERROR(__xludf.DUMMYFUNCTION("""COMPUTED_VALUE"""),-1.033059313168451)</f>
        <v>-1.033059313</v>
      </c>
      <c r="BH180" s="4"/>
      <c r="BI180" s="4"/>
      <c r="BJ180" s="4"/>
      <c r="BK180" s="4"/>
    </row>
    <row r="181">
      <c r="A181" s="4"/>
      <c r="B181" s="4"/>
      <c r="C181" s="4"/>
      <c r="D181" s="4">
        <f>IFERROR(__xludf.DUMMYFUNCTION("""COMPUTED_VALUE"""),46.833102740072526)</f>
        <v>46.83310274</v>
      </c>
      <c r="E181" s="23">
        <f>IFERROR(__xludf.DUMMYFUNCTION("""COMPUTED_VALUE"""),-3.8008657861655024)</f>
        <v>-3.800865786</v>
      </c>
      <c r="F181" s="4"/>
      <c r="G181" s="4"/>
      <c r="H181" s="4">
        <f>IFERROR(__xludf.DUMMYFUNCTION("""COMPUTED_VALUE"""),-0.15984991893662936)</f>
        <v>-0.1598499189</v>
      </c>
      <c r="I181" s="4"/>
      <c r="J181" s="4"/>
      <c r="K181" s="4">
        <f>IFERROR(__xludf.DUMMYFUNCTION("""COMPUTED_VALUE"""),-4.422059404374409)</f>
        <v>-4.422059404</v>
      </c>
      <c r="L181" s="4"/>
      <c r="M181" s="4"/>
      <c r="N181" s="4">
        <f>IFERROR(__xludf.DUMMYFUNCTION("""COMPUTED_VALUE"""),-3.4516412934258938)</f>
        <v>-3.451641293</v>
      </c>
      <c r="O181" s="4"/>
      <c r="P181" s="4"/>
      <c r="Q181" s="4">
        <f>IFERROR(__xludf.DUMMYFUNCTION("""COMPUTED_VALUE"""),-8.174492841058452)</f>
        <v>-8.174492841</v>
      </c>
      <c r="R181" s="4"/>
      <c r="S181" s="4"/>
      <c r="T181" s="4">
        <f>IFERROR(__xludf.DUMMYFUNCTION("""COMPUTED_VALUE"""),2.161101658743519)</f>
        <v>2.161101659</v>
      </c>
      <c r="U181" s="4"/>
      <c r="V181" s="4"/>
      <c r="W181" s="4">
        <f>IFERROR(__xludf.DUMMYFUNCTION("""COMPUTED_VALUE"""),8.39533852178539)</f>
        <v>8.395338522</v>
      </c>
      <c r="X181" s="4"/>
      <c r="Y181" s="4"/>
      <c r="Z181" s="4">
        <f>IFERROR(__xludf.DUMMYFUNCTION("""COMPUTED_VALUE"""),19.972813771774213)</f>
        <v>19.97281377</v>
      </c>
      <c r="AA181" s="4"/>
      <c r="AB181" s="4"/>
      <c r="AC181" s="4">
        <f>IFERROR(__xludf.DUMMYFUNCTION("""COMPUTED_VALUE"""),43.08886285225759)</f>
        <v>43.08886285</v>
      </c>
      <c r="AD181" s="4"/>
      <c r="AE181" s="4"/>
      <c r="AF181" s="4">
        <f>IFERROR(__xludf.DUMMYFUNCTION("""COMPUTED_VALUE"""),60.37540643283677)</f>
        <v>60.37540643</v>
      </c>
      <c r="AG181" s="4"/>
      <c r="AH181" s="4"/>
      <c r="AI181" s="4">
        <f>IFERROR(__xludf.DUMMYFUNCTION("""COMPUTED_VALUE"""),83.03420563977011)</f>
        <v>83.03420564</v>
      </c>
      <c r="AJ181" s="4"/>
      <c r="AK181" s="4"/>
      <c r="AL181" s="4">
        <f>IFERROR(__xludf.DUMMYFUNCTION("""COMPUTED_VALUE"""),86.12163386312176)</f>
        <v>86.12163386</v>
      </c>
      <c r="AM181" s="4"/>
      <c r="AN181" s="4"/>
      <c r="AO181" s="4">
        <f>IFERROR(__xludf.DUMMYFUNCTION("""COMPUTED_VALUE"""),84.78891178620836)</f>
        <v>84.78891179</v>
      </c>
      <c r="AP181" s="4"/>
      <c r="AQ181" s="4"/>
      <c r="AR181" s="4">
        <f>IFERROR(__xludf.DUMMYFUNCTION("""COMPUTED_VALUE"""),71.81696786343349)</f>
        <v>71.81696786</v>
      </c>
      <c r="AS181" s="4"/>
      <c r="AT181" s="4"/>
      <c r="AU181" s="4">
        <f>IFERROR(__xludf.DUMMYFUNCTION("""COMPUTED_VALUE"""),50.516543613546446)</f>
        <v>50.51654361</v>
      </c>
      <c r="AV181" s="4"/>
      <c r="AW181" s="4"/>
      <c r="AX181" s="4">
        <f>IFERROR(__xludf.DUMMYFUNCTION("""COMPUTED_VALUE"""),41.06889412825967)</f>
        <v>41.06889413</v>
      </c>
      <c r="AY181" s="4"/>
      <c r="AZ181" s="4"/>
      <c r="BA181" s="4">
        <f>IFERROR(__xludf.DUMMYFUNCTION("""COMPUTED_VALUE"""),27.780498568141468)</f>
        <v>27.78049857</v>
      </c>
      <c r="BB181" s="4"/>
      <c r="BC181" s="4"/>
      <c r="BD181" s="4">
        <f>IFERROR(__xludf.DUMMYFUNCTION("""COMPUTED_VALUE"""),15.939300957604019)</f>
        <v>15.93930096</v>
      </c>
      <c r="BE181" s="4"/>
      <c r="BF181" s="4"/>
      <c r="BG181" s="4">
        <f>IFERROR(__xludf.DUMMYFUNCTION("""COMPUTED_VALUE"""),1.3065163455225388)</f>
        <v>1.306516346</v>
      </c>
      <c r="BH181" s="4"/>
      <c r="BI181" s="4"/>
      <c r="BJ181" s="4"/>
      <c r="BK181" s="4"/>
    </row>
    <row r="182">
      <c r="A182" s="4"/>
      <c r="B182" s="4"/>
      <c r="C182" s="4"/>
      <c r="D182" s="4">
        <f>IFERROR(__xludf.DUMMYFUNCTION("""COMPUTED_VALUE"""),45.91480660727245)</f>
        <v>45.91480661</v>
      </c>
      <c r="E182" s="23">
        <f>IFERROR(__xludf.DUMMYFUNCTION("""COMPUTED_VALUE"""),0.6904369843576319)</f>
        <v>0.6904369844</v>
      </c>
      <c r="F182" s="4"/>
      <c r="G182" s="4"/>
      <c r="H182" s="4">
        <f>IFERROR(__xludf.DUMMYFUNCTION("""COMPUTED_VALUE"""),-2.752829055145469)</f>
        <v>-2.752829055</v>
      </c>
      <c r="I182" s="4"/>
      <c r="J182" s="4"/>
      <c r="K182" s="4">
        <f>IFERROR(__xludf.DUMMYFUNCTION("""COMPUTED_VALUE"""),-2.77093421688312)</f>
        <v>-2.770934217</v>
      </c>
      <c r="L182" s="4"/>
      <c r="M182" s="4"/>
      <c r="N182" s="4">
        <f>IFERROR(__xludf.DUMMYFUNCTION("""COMPUTED_VALUE"""),-1.2044541563088274)</f>
        <v>-1.204454156</v>
      </c>
      <c r="O182" s="4"/>
      <c r="P182" s="4"/>
      <c r="Q182" s="4">
        <f>IFERROR(__xludf.DUMMYFUNCTION("""COMPUTED_VALUE"""),0.814854619212042)</f>
        <v>0.8148546192</v>
      </c>
      <c r="R182" s="4"/>
      <c r="S182" s="4"/>
      <c r="T182" s="4">
        <f>IFERROR(__xludf.DUMMYFUNCTION("""COMPUTED_VALUE"""),-2.2272980963487043)</f>
        <v>-2.227298096</v>
      </c>
      <c r="U182" s="4"/>
      <c r="V182" s="4"/>
      <c r="W182" s="4">
        <f>IFERROR(__xludf.DUMMYFUNCTION("""COMPUTED_VALUE"""),11.343995267266791)</f>
        <v>11.34399527</v>
      </c>
      <c r="X182" s="4"/>
      <c r="Y182" s="4"/>
      <c r="Z182" s="4">
        <f>IFERROR(__xludf.DUMMYFUNCTION("""COMPUTED_VALUE"""),22.028742172966247)</f>
        <v>22.02874217</v>
      </c>
      <c r="AA182" s="4"/>
      <c r="AB182" s="4"/>
      <c r="AC182" s="4">
        <f>IFERROR(__xludf.DUMMYFUNCTION("""COMPUTED_VALUE"""),48.530509593356896)</f>
        <v>48.53050959</v>
      </c>
      <c r="AD182" s="4"/>
      <c r="AE182" s="4"/>
      <c r="AF182" s="4">
        <f>IFERROR(__xludf.DUMMYFUNCTION("""COMPUTED_VALUE"""),60.29452766822038)</f>
        <v>60.29452767</v>
      </c>
      <c r="AG182" s="4"/>
      <c r="AH182" s="4"/>
      <c r="AI182" s="4">
        <f>IFERROR(__xludf.DUMMYFUNCTION("""COMPUTED_VALUE"""),80.09895581362406)</f>
        <v>80.09895581</v>
      </c>
      <c r="AJ182" s="4"/>
      <c r="AK182" s="4"/>
      <c r="AL182" s="4">
        <f>IFERROR(__xludf.DUMMYFUNCTION("""COMPUTED_VALUE"""),81.1459539578899)</f>
        <v>81.14595396</v>
      </c>
      <c r="AM182" s="4"/>
      <c r="AN182" s="4"/>
      <c r="AO182" s="4">
        <f>IFERROR(__xludf.DUMMYFUNCTION("""COMPUTED_VALUE"""),84.57255756406101)</f>
        <v>84.57255756</v>
      </c>
      <c r="AP182" s="4"/>
      <c r="AQ182" s="4"/>
      <c r="AR182" s="4">
        <f>IFERROR(__xludf.DUMMYFUNCTION("""COMPUTED_VALUE"""),76.81985680927693)</f>
        <v>76.81985681</v>
      </c>
      <c r="AS182" s="4"/>
      <c r="AT182" s="4"/>
      <c r="AU182" s="4">
        <f>IFERROR(__xludf.DUMMYFUNCTION("""COMPUTED_VALUE"""),55.675702978295135)</f>
        <v>55.67570298</v>
      </c>
      <c r="AV182" s="4"/>
      <c r="AW182" s="4"/>
      <c r="AX182" s="4">
        <f>IFERROR(__xludf.DUMMYFUNCTION("""COMPUTED_VALUE"""),45.01810061741838)</f>
        <v>45.01810062</v>
      </c>
      <c r="AY182" s="4"/>
      <c r="AZ182" s="4"/>
      <c r="BA182" s="4">
        <f>IFERROR(__xludf.DUMMYFUNCTION("""COMPUTED_VALUE"""),23.61010737367775)</f>
        <v>23.61010737</v>
      </c>
      <c r="BB182" s="4"/>
      <c r="BC182" s="4"/>
      <c r="BD182" s="4">
        <f>IFERROR(__xludf.DUMMYFUNCTION("""COMPUTED_VALUE"""),9.678967228016347)</f>
        <v>9.678967228</v>
      </c>
      <c r="BE182" s="4"/>
      <c r="BF182" s="4"/>
      <c r="BG182" s="4">
        <f>IFERROR(__xludf.DUMMYFUNCTION("""COMPUTED_VALUE"""),5.585929569098198)</f>
        <v>5.585929569</v>
      </c>
      <c r="BH182" s="4"/>
      <c r="BI182" s="4"/>
      <c r="BJ182" s="4"/>
      <c r="BK182" s="4"/>
    </row>
    <row r="183">
      <c r="A183" s="4"/>
      <c r="B183" s="4"/>
      <c r="C183" s="4"/>
      <c r="D183" s="4">
        <f>IFERROR(__xludf.DUMMYFUNCTION("""COMPUTED_VALUE"""),44.99651047663768)</f>
        <v>44.99651048</v>
      </c>
      <c r="E183" s="23">
        <f>IFERROR(__xludf.DUMMYFUNCTION("""COMPUTED_VALUE"""),0.7557117026260585)</f>
        <v>0.7557117026</v>
      </c>
      <c r="F183" s="4"/>
      <c r="G183" s="4"/>
      <c r="H183" s="4">
        <f>IFERROR(__xludf.DUMMYFUNCTION("""COMPUTED_VALUE"""),-3.9381011753328607)</f>
        <v>-3.938101175</v>
      </c>
      <c r="I183" s="4"/>
      <c r="J183" s="4"/>
      <c r="K183" s="4">
        <f>IFERROR(__xludf.DUMMYFUNCTION("""COMPUTED_VALUE"""),-0.8754405862069348)</f>
        <v>-0.8754405862</v>
      </c>
      <c r="L183" s="4"/>
      <c r="M183" s="4"/>
      <c r="N183" s="4">
        <f>IFERROR(__xludf.DUMMYFUNCTION("""COMPUTED_VALUE"""),-4.166482086336714)</f>
        <v>-4.166482086</v>
      </c>
      <c r="O183" s="4"/>
      <c r="P183" s="4"/>
      <c r="Q183" s="4">
        <f>IFERROR(__xludf.DUMMYFUNCTION("""COMPUTED_VALUE"""),1.929231804294659)</f>
        <v>1.929231804</v>
      </c>
      <c r="R183" s="4"/>
      <c r="S183" s="4"/>
      <c r="T183" s="4">
        <f>IFERROR(__xludf.DUMMYFUNCTION("""COMPUTED_VALUE"""),-0.35942468495335334)</f>
        <v>-0.359424685</v>
      </c>
      <c r="U183" s="4"/>
      <c r="V183" s="4"/>
      <c r="W183" s="4">
        <f>IFERROR(__xludf.DUMMYFUNCTION("""COMPUTED_VALUE"""),4.7056667214151275)</f>
        <v>4.705666721</v>
      </c>
      <c r="X183" s="4"/>
      <c r="Y183" s="4"/>
      <c r="Z183" s="4">
        <f>IFERROR(__xludf.DUMMYFUNCTION("""COMPUTED_VALUE"""),20.293399913931978)</f>
        <v>20.29339991</v>
      </c>
      <c r="AA183" s="4"/>
      <c r="AB183" s="4"/>
      <c r="AC183" s="4">
        <f>IFERROR(__xludf.DUMMYFUNCTION("""COMPUTED_VALUE"""),44.00355467177326)</f>
        <v>44.00355467</v>
      </c>
      <c r="AD183" s="4"/>
      <c r="AE183" s="4"/>
      <c r="AF183" s="4">
        <f>IFERROR(__xludf.DUMMYFUNCTION("""COMPUTED_VALUE"""),75.6400612590079)</f>
        <v>75.64006126</v>
      </c>
      <c r="AG183" s="4"/>
      <c r="AH183" s="4"/>
      <c r="AI183" s="4">
        <f>IFERROR(__xludf.DUMMYFUNCTION("""COMPUTED_VALUE"""),73.9455188892735)</f>
        <v>73.94551889</v>
      </c>
      <c r="AJ183" s="4"/>
      <c r="AK183" s="4"/>
      <c r="AL183" s="4">
        <f>IFERROR(__xludf.DUMMYFUNCTION("""COMPUTED_VALUE"""),85.02454494681587)</f>
        <v>85.02454495</v>
      </c>
      <c r="AM183" s="4"/>
      <c r="AN183" s="4"/>
      <c r="AO183" s="4">
        <f>IFERROR(__xludf.DUMMYFUNCTION("""COMPUTED_VALUE"""),86.73760060613074)</f>
        <v>86.73760061</v>
      </c>
      <c r="AP183" s="4"/>
      <c r="AQ183" s="4"/>
      <c r="AR183" s="4">
        <f>IFERROR(__xludf.DUMMYFUNCTION("""COMPUTED_VALUE"""),74.72468849863054)</f>
        <v>74.7246885</v>
      </c>
      <c r="AS183" s="4"/>
      <c r="AT183" s="4"/>
      <c r="AU183" s="4">
        <f>IFERROR(__xludf.DUMMYFUNCTION("""COMPUTED_VALUE"""),58.217675305915975)</f>
        <v>58.21767531</v>
      </c>
      <c r="AV183" s="4"/>
      <c r="AW183" s="4"/>
      <c r="AX183" s="4">
        <f>IFERROR(__xludf.DUMMYFUNCTION("""COMPUTED_VALUE"""),34.37055349748647)</f>
        <v>34.3705535</v>
      </c>
      <c r="AY183" s="4"/>
      <c r="AZ183" s="4"/>
      <c r="BA183" s="4">
        <f>IFERROR(__xludf.DUMMYFUNCTION("""COMPUTED_VALUE"""),24.684441152627926)</f>
        <v>24.68444115</v>
      </c>
      <c r="BB183" s="4"/>
      <c r="BC183" s="4"/>
      <c r="BD183" s="4">
        <f>IFERROR(__xludf.DUMMYFUNCTION("""COMPUTED_VALUE"""),11.22935426373698)</f>
        <v>11.22935426</v>
      </c>
      <c r="BE183" s="4"/>
      <c r="BF183" s="4"/>
      <c r="BG183" s="4">
        <f>IFERROR(__xludf.DUMMYFUNCTION("""COMPUTED_VALUE"""),3.709756584201614)</f>
        <v>3.709756584</v>
      </c>
      <c r="BH183" s="4"/>
      <c r="BI183" s="4"/>
      <c r="BJ183" s="4"/>
      <c r="BK183" s="4"/>
    </row>
    <row r="184">
      <c r="A184" s="4"/>
      <c r="B184" s="4"/>
      <c r="C184" s="4"/>
      <c r="D184" s="4">
        <f>IFERROR(__xludf.DUMMYFUNCTION("""COMPUTED_VALUE"""),44.0782143438376)</f>
        <v>44.07821434</v>
      </c>
      <c r="E184" s="23">
        <f>IFERROR(__xludf.DUMMYFUNCTION("""COMPUTED_VALUE"""),-4.158888181613406)</f>
        <v>-4.158888182</v>
      </c>
      <c r="F184" s="4"/>
      <c r="G184" s="4"/>
      <c r="H184" s="4">
        <f>IFERROR(__xludf.DUMMYFUNCTION("""COMPUTED_VALUE"""),-4.83988612059386)</f>
        <v>-4.839886121</v>
      </c>
      <c r="I184" s="4"/>
      <c r="J184" s="4"/>
      <c r="K184" s="4">
        <f>IFERROR(__xludf.DUMMYFUNCTION("""COMPUTED_VALUE"""),3.777558608159495)</f>
        <v>3.777558608</v>
      </c>
      <c r="L184" s="4"/>
      <c r="M184" s="4"/>
      <c r="N184" s="4">
        <f>IFERROR(__xludf.DUMMYFUNCTION("""COMPUTED_VALUE"""),-4.431632094941051)</f>
        <v>-4.431632095</v>
      </c>
      <c r="O184" s="4"/>
      <c r="P184" s="4"/>
      <c r="Q184" s="4">
        <f>IFERROR(__xludf.DUMMYFUNCTION("""COMPUTED_VALUE"""),-1.3948872271197956)</f>
        <v>-1.394887227</v>
      </c>
      <c r="R184" s="4"/>
      <c r="S184" s="4"/>
      <c r="T184" s="4">
        <f>IFERROR(__xludf.DUMMYFUNCTION("""COMPUTED_VALUE"""),-0.016575205128447124)</f>
        <v>-0.01657520513</v>
      </c>
      <c r="U184" s="4"/>
      <c r="V184" s="4"/>
      <c r="W184" s="4">
        <f>IFERROR(__xludf.DUMMYFUNCTION("""COMPUTED_VALUE"""),0.06054464394458137)</f>
        <v>0.06054464394</v>
      </c>
      <c r="X184" s="4"/>
      <c r="Y184" s="4"/>
      <c r="Z184" s="4">
        <f>IFERROR(__xludf.DUMMYFUNCTION("""COMPUTED_VALUE"""),25.245997220897493)</f>
        <v>25.24599722</v>
      </c>
      <c r="AA184" s="4"/>
      <c r="AB184" s="4"/>
      <c r="AC184" s="4">
        <f>IFERROR(__xludf.DUMMYFUNCTION("""COMPUTED_VALUE"""),42.06902208143754)</f>
        <v>42.06902208</v>
      </c>
      <c r="AD184" s="4"/>
      <c r="AE184" s="4"/>
      <c r="AF184" s="4">
        <f>IFERROR(__xludf.DUMMYFUNCTION("""COMPUTED_VALUE"""),63.750636200794986)</f>
        <v>63.7506362</v>
      </c>
      <c r="AG184" s="4"/>
      <c r="AH184" s="4"/>
      <c r="AI184" s="4">
        <f>IFERROR(__xludf.DUMMYFUNCTION("""COMPUTED_VALUE"""),75.89035122780837)</f>
        <v>75.89035123</v>
      </c>
      <c r="AJ184" s="4"/>
      <c r="AK184" s="4"/>
      <c r="AL184" s="4">
        <f>IFERROR(__xludf.DUMMYFUNCTION("""COMPUTED_VALUE"""),90.12905654817513)</f>
        <v>90.12905655</v>
      </c>
      <c r="AM184" s="4"/>
      <c r="AN184" s="4"/>
      <c r="AO184" s="4">
        <f>IFERROR(__xludf.DUMMYFUNCTION("""COMPUTED_VALUE"""),79.11579311508359)</f>
        <v>79.11579312</v>
      </c>
      <c r="AP184" s="4"/>
      <c r="AQ184" s="4"/>
      <c r="AR184" s="4">
        <f>IFERROR(__xludf.DUMMYFUNCTION("""COMPUTED_VALUE"""),72.17104928991859)</f>
        <v>72.17104929</v>
      </c>
      <c r="AS184" s="4"/>
      <c r="AT184" s="4"/>
      <c r="AU184" s="4">
        <f>IFERROR(__xludf.DUMMYFUNCTION("""COMPUTED_VALUE"""),57.723042597041456)</f>
        <v>57.7230426</v>
      </c>
      <c r="AV184" s="4"/>
      <c r="AW184" s="4"/>
      <c r="AX184" s="4">
        <f>IFERROR(__xludf.DUMMYFUNCTION("""COMPUTED_VALUE"""),41.175833551644246)</f>
        <v>41.17583355</v>
      </c>
      <c r="AY184" s="4"/>
      <c r="AZ184" s="4"/>
      <c r="BA184" s="4">
        <f>IFERROR(__xludf.DUMMYFUNCTION("""COMPUTED_VALUE"""),25.275673940941488)</f>
        <v>25.27567394</v>
      </c>
      <c r="BB184" s="4"/>
      <c r="BC184" s="4"/>
      <c r="BD184" s="4">
        <f>IFERROR(__xludf.DUMMYFUNCTION("""COMPUTED_VALUE"""),13.92321795106784)</f>
        <v>13.92321795</v>
      </c>
      <c r="BE184" s="4"/>
      <c r="BF184" s="4"/>
      <c r="BG184" s="4">
        <f>IFERROR(__xludf.DUMMYFUNCTION("""COMPUTED_VALUE"""),4.892963192333241)</f>
        <v>4.892963192</v>
      </c>
      <c r="BH184" s="4"/>
      <c r="BI184" s="4"/>
      <c r="BJ184" s="4"/>
      <c r="BK184" s="4"/>
    </row>
    <row r="185">
      <c r="A185" s="4"/>
      <c r="B185" s="4"/>
      <c r="C185" s="4"/>
      <c r="D185" s="4">
        <f>IFERROR(__xludf.DUMMYFUNCTION("""COMPUTED_VALUE"""),43.159918211087884)</f>
        <v>43.15991821</v>
      </c>
      <c r="E185" s="23">
        <f>IFERROR(__xludf.DUMMYFUNCTION("""COMPUTED_VALUE"""),-2.2857397498999035)</f>
        <v>-2.28573975</v>
      </c>
      <c r="F185" s="4"/>
      <c r="G185" s="4"/>
      <c r="H185" s="4">
        <f>IFERROR(__xludf.DUMMYFUNCTION("""COMPUTED_VALUE"""),3.237544232399614)</f>
        <v>3.237544232</v>
      </c>
      <c r="I185" s="4"/>
      <c r="J185" s="4"/>
      <c r="K185" s="4">
        <f>IFERROR(__xludf.DUMMYFUNCTION("""COMPUTED_VALUE"""),5.6368905496238995)</f>
        <v>5.63689055</v>
      </c>
      <c r="L185" s="4"/>
      <c r="M185" s="4"/>
      <c r="N185" s="4">
        <f>IFERROR(__xludf.DUMMYFUNCTION("""COMPUTED_VALUE"""),-4.6504948991040465)</f>
        <v>-4.650494899</v>
      </c>
      <c r="O185" s="4"/>
      <c r="P185" s="4"/>
      <c r="Q185" s="4">
        <f>IFERROR(__xludf.DUMMYFUNCTION("""COMPUTED_VALUE"""),3.4307294279742564)</f>
        <v>3.430729428</v>
      </c>
      <c r="R185" s="4"/>
      <c r="S185" s="4"/>
      <c r="T185" s="4">
        <f>IFERROR(__xludf.DUMMYFUNCTION("""COMPUTED_VALUE"""),-0.41154441161631894)</f>
        <v>-0.4115444116</v>
      </c>
      <c r="U185" s="4"/>
      <c r="V185" s="4"/>
      <c r="W185" s="4">
        <f>IFERROR(__xludf.DUMMYFUNCTION("""COMPUTED_VALUE"""),12.181495585303992)</f>
        <v>12.18149559</v>
      </c>
      <c r="X185" s="4"/>
      <c r="Y185" s="4"/>
      <c r="Z185" s="4">
        <f>IFERROR(__xludf.DUMMYFUNCTION("""COMPUTED_VALUE"""),25.67536917975349)</f>
        <v>25.67536918</v>
      </c>
      <c r="AA185" s="4"/>
      <c r="AB185" s="4"/>
      <c r="AC185" s="4">
        <f>IFERROR(__xludf.DUMMYFUNCTION("""COMPUTED_VALUE"""),38.7588189941315)</f>
        <v>38.75881899</v>
      </c>
      <c r="AD185" s="4"/>
      <c r="AE185" s="4"/>
      <c r="AF185" s="4">
        <f>IFERROR(__xludf.DUMMYFUNCTION("""COMPUTED_VALUE"""),63.541475928353805)</f>
        <v>63.54147593</v>
      </c>
      <c r="AG185" s="4"/>
      <c r="AH185" s="4"/>
      <c r="AI185" s="4">
        <f>IFERROR(__xludf.DUMMYFUNCTION("""COMPUTED_VALUE"""),80.49148745317132)</f>
        <v>80.49148745</v>
      </c>
      <c r="AJ185" s="4"/>
      <c r="AK185" s="4"/>
      <c r="AL185" s="4">
        <f>IFERROR(__xludf.DUMMYFUNCTION("""COMPUTED_VALUE"""),91.98155174865519)</f>
        <v>91.98155175</v>
      </c>
      <c r="AM185" s="4"/>
      <c r="AN185" s="4"/>
      <c r="AO185" s="4">
        <f>IFERROR(__xludf.DUMMYFUNCTION("""COMPUTED_VALUE"""),81.83657554445767)</f>
        <v>81.83657554</v>
      </c>
      <c r="AP185" s="4"/>
      <c r="AQ185" s="4"/>
      <c r="AR185" s="4">
        <f>IFERROR(__xludf.DUMMYFUNCTION("""COMPUTED_VALUE"""),66.35413153411378)</f>
        <v>66.35413153</v>
      </c>
      <c r="AS185" s="4"/>
      <c r="AT185" s="4"/>
      <c r="AU185" s="4">
        <f>IFERROR(__xludf.DUMMYFUNCTION("""COMPUTED_VALUE"""),57.92828738950027)</f>
        <v>57.92828739</v>
      </c>
      <c r="AV185" s="4"/>
      <c r="AW185" s="4"/>
      <c r="AX185" s="4">
        <f>IFERROR(__xludf.DUMMYFUNCTION("""COMPUTED_VALUE"""),43.06250517572738)</f>
        <v>43.06250518</v>
      </c>
      <c r="AY185" s="4"/>
      <c r="AZ185" s="4"/>
      <c r="BA185" s="4">
        <f>IFERROR(__xludf.DUMMYFUNCTION("""COMPUTED_VALUE"""),28.82070741186004)</f>
        <v>28.82070741</v>
      </c>
      <c r="BB185" s="4"/>
      <c r="BC185" s="4"/>
      <c r="BD185" s="4">
        <f>IFERROR(__xludf.DUMMYFUNCTION("""COMPUTED_VALUE"""),15.716016731412822)</f>
        <v>15.71601673</v>
      </c>
      <c r="BE185" s="4"/>
      <c r="BF185" s="4"/>
      <c r="BG185" s="4">
        <f>IFERROR(__xludf.DUMMYFUNCTION("""COMPUTED_VALUE"""),5.385562212812147)</f>
        <v>5.385562213</v>
      </c>
      <c r="BH185" s="4"/>
      <c r="BI185" s="4"/>
      <c r="BJ185" s="4"/>
      <c r="BK185" s="4"/>
    </row>
    <row r="186">
      <c r="A186" s="4"/>
      <c r="B186" s="4"/>
      <c r="C186" s="4"/>
      <c r="D186" s="4">
        <f>IFERROR(__xludf.DUMMYFUNCTION("""COMPUTED_VALUE"""),42.241622078287804)</f>
        <v>42.24162208</v>
      </c>
      <c r="E186" s="23">
        <f>IFERROR(__xludf.DUMMYFUNCTION("""COMPUTED_VALUE"""),-5.198295797969308)</f>
        <v>-5.198295798</v>
      </c>
      <c r="F186" s="4"/>
      <c r="G186" s="4"/>
      <c r="H186" s="4">
        <f>IFERROR(__xludf.DUMMYFUNCTION("""COMPUTED_VALUE"""),4.222256862721679)</f>
        <v>4.222256863</v>
      </c>
      <c r="I186" s="4"/>
      <c r="J186" s="4"/>
      <c r="K186" s="4">
        <f>IFERROR(__xludf.DUMMYFUNCTION("""COMPUTED_VALUE"""),6.222123473496936)</f>
        <v>6.222123473</v>
      </c>
      <c r="L186" s="4"/>
      <c r="M186" s="4"/>
      <c r="N186" s="4">
        <f>IFERROR(__xludf.DUMMYFUNCTION("""COMPUTED_VALUE"""),1.710377161304109)</f>
        <v>1.710377161</v>
      </c>
      <c r="O186" s="4"/>
      <c r="P186" s="4"/>
      <c r="Q186" s="4">
        <f>IFERROR(__xludf.DUMMYFUNCTION("""COMPUTED_VALUE"""),4.395370385322622)</f>
        <v>4.395370385</v>
      </c>
      <c r="R186" s="4"/>
      <c r="S186" s="4"/>
      <c r="T186" s="4">
        <f>IFERROR(__xludf.DUMMYFUNCTION("""COMPUTED_VALUE"""),2.330446207580451)</f>
        <v>2.330446208</v>
      </c>
      <c r="U186" s="4"/>
      <c r="V186" s="4"/>
      <c r="W186" s="4">
        <f>IFERROR(__xludf.DUMMYFUNCTION("""COMPUTED_VALUE"""),6.01227546619657)</f>
        <v>6.012275466</v>
      </c>
      <c r="X186" s="4"/>
      <c r="Y186" s="4"/>
      <c r="Z186" s="4">
        <f>IFERROR(__xludf.DUMMYFUNCTION("""COMPUTED_VALUE"""),29.487976569233638)</f>
        <v>29.48797657</v>
      </c>
      <c r="AA186" s="4"/>
      <c r="AB186" s="4"/>
      <c r="AC186" s="4">
        <f>IFERROR(__xludf.DUMMYFUNCTION("""COMPUTED_VALUE"""),47.67102572826866)</f>
        <v>47.67102573</v>
      </c>
      <c r="AD186" s="4"/>
      <c r="AE186" s="4"/>
      <c r="AF186" s="4">
        <f>IFERROR(__xludf.DUMMYFUNCTION("""COMPUTED_VALUE"""),61.5537206799134)</f>
        <v>61.55372068</v>
      </c>
      <c r="AG186" s="4"/>
      <c r="AH186" s="4"/>
      <c r="AI186" s="4">
        <f>IFERROR(__xludf.DUMMYFUNCTION("""COMPUTED_VALUE"""),77.32717384849127)</f>
        <v>77.32717385</v>
      </c>
      <c r="AJ186" s="4"/>
      <c r="AK186" s="4"/>
      <c r="AL186" s="4">
        <f>IFERROR(__xludf.DUMMYFUNCTION("""COMPUTED_VALUE"""),79.97318057407188)</f>
        <v>79.97318057</v>
      </c>
      <c r="AM186" s="4"/>
      <c r="AN186" s="4"/>
      <c r="AO186" s="4">
        <f>IFERROR(__xludf.DUMMYFUNCTION("""COMPUTED_VALUE"""),89.04808683242919)</f>
        <v>89.04808683</v>
      </c>
      <c r="AP186" s="4"/>
      <c r="AQ186" s="4"/>
      <c r="AR186" s="4">
        <f>IFERROR(__xludf.DUMMYFUNCTION("""COMPUTED_VALUE"""),76.62568320483604)</f>
        <v>76.6256832</v>
      </c>
      <c r="AS186" s="4"/>
      <c r="AT186" s="4"/>
      <c r="AU186" s="4">
        <f>IFERROR(__xludf.DUMMYFUNCTION("""COMPUTED_VALUE"""),56.67252549255795)</f>
        <v>56.67252549</v>
      </c>
      <c r="AV186" s="4"/>
      <c r="AW186" s="4"/>
      <c r="AX186" s="4">
        <f>IFERROR(__xludf.DUMMYFUNCTION("""COMPUTED_VALUE"""),39.314277860333675)</f>
        <v>39.31427786</v>
      </c>
      <c r="AY186" s="4"/>
      <c r="AZ186" s="4"/>
      <c r="BA186" s="4">
        <f>IFERROR(__xludf.DUMMYFUNCTION("""COMPUTED_VALUE"""),27.489781490986502)</f>
        <v>27.48978149</v>
      </c>
      <c r="BB186" s="4"/>
      <c r="BC186" s="4"/>
      <c r="BD186" s="4">
        <f>IFERROR(__xludf.DUMMYFUNCTION("""COMPUTED_VALUE"""),20.00772698129373)</f>
        <v>20.00772698</v>
      </c>
      <c r="BE186" s="4"/>
      <c r="BF186" s="4"/>
      <c r="BG186" s="4">
        <f>IFERROR(__xludf.DUMMYFUNCTION("""COMPUTED_VALUE"""),8.089255147564813)</f>
        <v>8.089255148</v>
      </c>
      <c r="BH186" s="4"/>
      <c r="BI186" s="4"/>
      <c r="BJ186" s="4"/>
      <c r="BK186" s="4"/>
    </row>
    <row r="187">
      <c r="A187" s="4"/>
      <c r="B187" s="4"/>
      <c r="C187" s="4"/>
      <c r="D187" s="4">
        <f>IFERROR(__xludf.DUMMYFUNCTION("""COMPUTED_VALUE"""),41.32332594760268)</f>
        <v>41.32332595</v>
      </c>
      <c r="E187" s="23">
        <f>IFERROR(__xludf.DUMMYFUNCTION("""COMPUTED_VALUE"""),-7.944794580919847)</f>
        <v>-7.944794581</v>
      </c>
      <c r="F187" s="4"/>
      <c r="G187" s="4"/>
      <c r="H187" s="4">
        <f>IFERROR(__xludf.DUMMYFUNCTION("""COMPUTED_VALUE"""),-3.3412490950827873)</f>
        <v>-3.341249095</v>
      </c>
      <c r="I187" s="4"/>
      <c r="J187" s="4"/>
      <c r="K187" s="4">
        <f>IFERROR(__xludf.DUMMYFUNCTION("""COMPUTED_VALUE"""),-0.9977684460366163)</f>
        <v>-0.997768446</v>
      </c>
      <c r="L187" s="4"/>
      <c r="M187" s="4"/>
      <c r="N187" s="4">
        <f>IFERROR(__xludf.DUMMYFUNCTION("""COMPUTED_VALUE"""),0.8609617906348035)</f>
        <v>0.8609617906</v>
      </c>
      <c r="O187" s="4"/>
      <c r="P187" s="4"/>
      <c r="Q187" s="4">
        <f>IFERROR(__xludf.DUMMYFUNCTION("""COMPUTED_VALUE"""),-1.9849504794012773)</f>
        <v>-1.984950479</v>
      </c>
      <c r="R187" s="4"/>
      <c r="S187" s="4"/>
      <c r="T187" s="4">
        <f>IFERROR(__xludf.DUMMYFUNCTION("""COMPUTED_VALUE"""),3.056173951895744)</f>
        <v>3.056173952</v>
      </c>
      <c r="U187" s="4"/>
      <c r="V187" s="4"/>
      <c r="W187" s="4">
        <f>IFERROR(__xludf.DUMMYFUNCTION("""COMPUTED_VALUE"""),7.32701451757373)</f>
        <v>7.327014518</v>
      </c>
      <c r="X187" s="4"/>
      <c r="Y187" s="4"/>
      <c r="Z187" s="4">
        <f>IFERROR(__xludf.DUMMYFUNCTION("""COMPUTED_VALUE"""),26.679734462772956)</f>
        <v>26.67973446</v>
      </c>
      <c r="AA187" s="4"/>
      <c r="AB187" s="4"/>
      <c r="AC187" s="4">
        <f>IFERROR(__xludf.DUMMYFUNCTION("""COMPUTED_VALUE"""),52.23380804068256)</f>
        <v>52.23380804</v>
      </c>
      <c r="AD187" s="4"/>
      <c r="AE187" s="4"/>
      <c r="AF187" s="4">
        <f>IFERROR(__xludf.DUMMYFUNCTION("""COMPUTED_VALUE"""),65.82511624046441)</f>
        <v>65.82511624</v>
      </c>
      <c r="AG187" s="4"/>
      <c r="AH187" s="4"/>
      <c r="AI187" s="4">
        <f>IFERROR(__xludf.DUMMYFUNCTION("""COMPUTED_VALUE"""),72.59588851494863)</f>
        <v>72.59588851</v>
      </c>
      <c r="AJ187" s="4"/>
      <c r="AK187" s="4"/>
      <c r="AL187" s="4">
        <f>IFERROR(__xludf.DUMMYFUNCTION("""COMPUTED_VALUE"""),89.00806275663342)</f>
        <v>89.00806276</v>
      </c>
      <c r="AM187" s="4"/>
      <c r="AN187" s="4"/>
      <c r="AO187" s="4">
        <f>IFERROR(__xludf.DUMMYFUNCTION("""COMPUTED_VALUE"""),78.6779800735215)</f>
        <v>78.67798007</v>
      </c>
      <c r="AP187" s="4"/>
      <c r="AQ187" s="4"/>
      <c r="AR187" s="4">
        <f>IFERROR(__xludf.DUMMYFUNCTION("""COMPUTED_VALUE"""),79.20343973477543)</f>
        <v>79.20343973</v>
      </c>
      <c r="AS187" s="4"/>
      <c r="AT187" s="4"/>
      <c r="AU187" s="4">
        <f>IFERROR(__xludf.DUMMYFUNCTION("""COMPUTED_VALUE"""),56.530511853935536)</f>
        <v>56.53051185</v>
      </c>
      <c r="AV187" s="4"/>
      <c r="AW187" s="4"/>
      <c r="AX187" s="4">
        <f>IFERROR(__xludf.DUMMYFUNCTION("""COMPUTED_VALUE"""),45.53527459550793)</f>
        <v>45.5352746</v>
      </c>
      <c r="AY187" s="4"/>
      <c r="AZ187" s="4"/>
      <c r="BA187" s="4">
        <f>IFERROR(__xludf.DUMMYFUNCTION("""COMPUTED_VALUE"""),23.94726303330998)</f>
        <v>23.94726303</v>
      </c>
      <c r="BB187" s="4"/>
      <c r="BC187" s="4"/>
      <c r="BD187" s="4">
        <f>IFERROR(__xludf.DUMMYFUNCTION("""COMPUTED_VALUE"""),13.964742674536183)</f>
        <v>13.96474267</v>
      </c>
      <c r="BE187" s="4"/>
      <c r="BF187" s="4"/>
      <c r="BG187" s="4">
        <f>IFERROR(__xludf.DUMMYFUNCTION("""COMPUTED_VALUE"""),7.0270610122154835)</f>
        <v>7.027061012</v>
      </c>
      <c r="BH187" s="4"/>
      <c r="BI187" s="4"/>
      <c r="BJ187" s="4"/>
      <c r="BK187" s="4"/>
    </row>
    <row r="188">
      <c r="A188" s="4"/>
      <c r="B188" s="4"/>
      <c r="C188" s="4"/>
      <c r="D188" s="4">
        <f>IFERROR(__xludf.DUMMYFUNCTION("""COMPUTED_VALUE"""),40.40502981485296)</f>
        <v>40.40502981</v>
      </c>
      <c r="E188" s="23">
        <f>IFERROR(__xludf.DUMMYFUNCTION("""COMPUTED_VALUE"""),-3.23587401836312)</f>
        <v>-3.235874018</v>
      </c>
      <c r="F188" s="4"/>
      <c r="G188" s="4"/>
      <c r="H188" s="4">
        <f>IFERROR(__xludf.DUMMYFUNCTION("""COMPUTED_VALUE"""),-3.0135486326033742)</f>
        <v>-3.013548633</v>
      </c>
      <c r="I188" s="4"/>
      <c r="J188" s="4"/>
      <c r="K188" s="4">
        <f>IFERROR(__xludf.DUMMYFUNCTION("""COMPUTED_VALUE"""),0.9326962436689428)</f>
        <v>0.9326962437</v>
      </c>
      <c r="L188" s="4"/>
      <c r="M188" s="4"/>
      <c r="N188" s="4">
        <f>IFERROR(__xludf.DUMMYFUNCTION("""COMPUTED_VALUE"""),-2.1579826336763404)</f>
        <v>-2.157982634</v>
      </c>
      <c r="O188" s="4"/>
      <c r="P188" s="4"/>
      <c r="Q188" s="4">
        <f>IFERROR(__xludf.DUMMYFUNCTION("""COMPUTED_VALUE"""),4.746631520489075)</f>
        <v>4.74663152</v>
      </c>
      <c r="R188" s="4"/>
      <c r="S188" s="4"/>
      <c r="T188" s="4">
        <f>IFERROR(__xludf.DUMMYFUNCTION("""COMPUTED_VALUE"""),5.9878806265040225)</f>
        <v>5.987880627</v>
      </c>
      <c r="U188" s="4"/>
      <c r="V188" s="4"/>
      <c r="W188" s="4">
        <f>IFERROR(__xludf.DUMMYFUNCTION("""COMPUTED_VALUE"""),7.71112562856473)</f>
        <v>7.711125629</v>
      </c>
      <c r="X188" s="4"/>
      <c r="Y188" s="4"/>
      <c r="Z188" s="4">
        <f>IFERROR(__xludf.DUMMYFUNCTION("""COMPUTED_VALUE"""),32.6154261276298)</f>
        <v>32.61542613</v>
      </c>
      <c r="AA188" s="4"/>
      <c r="AB188" s="4"/>
      <c r="AC188" s="4">
        <f>IFERROR(__xludf.DUMMYFUNCTION("""COMPUTED_VALUE"""),48.92188675887485)</f>
        <v>48.92188676</v>
      </c>
      <c r="AD188" s="4"/>
      <c r="AE188" s="4"/>
      <c r="AF188" s="4">
        <f>IFERROR(__xludf.DUMMYFUNCTION("""COMPUTED_VALUE"""),64.2230296238796)</f>
        <v>64.22302962</v>
      </c>
      <c r="AG188" s="4"/>
      <c r="AH188" s="4"/>
      <c r="AI188" s="4">
        <f>IFERROR(__xludf.DUMMYFUNCTION("""COMPUTED_VALUE"""),82.7825759847085)</f>
        <v>82.78257598</v>
      </c>
      <c r="AJ188" s="4"/>
      <c r="AK188" s="4"/>
      <c r="AL188" s="4">
        <f>IFERROR(__xludf.DUMMYFUNCTION("""COMPUTED_VALUE"""),88.2464753175604)</f>
        <v>88.24647532</v>
      </c>
      <c r="AM188" s="4"/>
      <c r="AN188" s="4"/>
      <c r="AO188" s="4">
        <f>IFERROR(__xludf.DUMMYFUNCTION("""COMPUTED_VALUE"""),80.7516523294588)</f>
        <v>80.75165233</v>
      </c>
      <c r="AP188" s="4"/>
      <c r="AQ188" s="4"/>
      <c r="AR188" s="4">
        <f>IFERROR(__xludf.DUMMYFUNCTION("""COMPUTED_VALUE"""),73.32764661297227)</f>
        <v>73.32764661</v>
      </c>
      <c r="AS188" s="4"/>
      <c r="AT188" s="4"/>
      <c r="AU188" s="4">
        <f>IFERROR(__xludf.DUMMYFUNCTION("""COMPUTED_VALUE"""),53.53197385855805)</f>
        <v>53.53197386</v>
      </c>
      <c r="AV188" s="4"/>
      <c r="AW188" s="4"/>
      <c r="AX188" s="4">
        <f>IFERROR(__xludf.DUMMYFUNCTION("""COMPUTED_VALUE"""),39.85683679191504)</f>
        <v>39.85683679</v>
      </c>
      <c r="AY188" s="4"/>
      <c r="AZ188" s="4"/>
      <c r="BA188" s="4">
        <f>IFERROR(__xludf.DUMMYFUNCTION("""COMPUTED_VALUE"""),27.435199811655423)</f>
        <v>27.43519981</v>
      </c>
      <c r="BB188" s="4"/>
      <c r="BC188" s="4"/>
      <c r="BD188" s="4">
        <f>IFERROR(__xludf.DUMMYFUNCTION("""COMPUTED_VALUE"""),15.332342277104374)</f>
        <v>15.33234228</v>
      </c>
      <c r="BE188" s="4"/>
      <c r="BF188" s="4"/>
      <c r="BG188" s="4">
        <f>IFERROR(__xludf.DUMMYFUNCTION("""COMPUTED_VALUE"""),1.7867288348962234)</f>
        <v>1.786728835</v>
      </c>
      <c r="BH188" s="4"/>
      <c r="BI188" s="4"/>
      <c r="BJ188" s="4"/>
      <c r="BK188" s="4"/>
    </row>
    <row r="189">
      <c r="A189" s="4"/>
      <c r="B189" s="4"/>
      <c r="C189" s="4"/>
      <c r="D189" s="4">
        <f>IFERROR(__xludf.DUMMYFUNCTION("""COMPUTED_VALUE"""),39.486733682052886)</f>
        <v>39.48673368</v>
      </c>
      <c r="E189" s="23">
        <f>IFERROR(__xludf.DUMMYFUNCTION("""COMPUTED_VALUE"""),-1.489451329624785)</f>
        <v>-1.48945133</v>
      </c>
      <c r="F189" s="4"/>
      <c r="G189" s="4"/>
      <c r="H189" s="4">
        <f>IFERROR(__xludf.DUMMYFUNCTION("""COMPUTED_VALUE"""),6.571644482365002)</f>
        <v>6.571644482</v>
      </c>
      <c r="I189" s="4"/>
      <c r="J189" s="4"/>
      <c r="K189" s="4">
        <f>IFERROR(__xludf.DUMMYFUNCTION("""COMPUTED_VALUE"""),5.714559396154982)</f>
        <v>5.714559396</v>
      </c>
      <c r="L189" s="4"/>
      <c r="M189" s="4"/>
      <c r="N189" s="4">
        <f>IFERROR(__xludf.DUMMYFUNCTION("""COMPUTED_VALUE"""),0.9139720246930665)</f>
        <v>0.9139720247</v>
      </c>
      <c r="O189" s="4"/>
      <c r="P189" s="4"/>
      <c r="Q189" s="4">
        <f>IFERROR(__xludf.DUMMYFUNCTION("""COMPUTED_VALUE"""),5.262239284269583)</f>
        <v>5.262239284</v>
      </c>
      <c r="R189" s="4"/>
      <c r="S189" s="4"/>
      <c r="T189" s="4">
        <f>IFERROR(__xludf.DUMMYFUNCTION("""COMPUTED_VALUE"""),0.5777112014365571)</f>
        <v>0.5777112014</v>
      </c>
      <c r="U189" s="4"/>
      <c r="V189" s="4"/>
      <c r="W189" s="4">
        <f>IFERROR(__xludf.DUMMYFUNCTION("""COMPUTED_VALUE"""),7.266801882662094)</f>
        <v>7.266801883</v>
      </c>
      <c r="X189" s="4"/>
      <c r="Y189" s="4"/>
      <c r="Z189" s="4">
        <f>IFERROR(__xludf.DUMMYFUNCTION("""COMPUTED_VALUE"""),23.354175594384287)</f>
        <v>23.35417559</v>
      </c>
      <c r="AA189" s="4"/>
      <c r="AB189" s="4"/>
      <c r="AC189" s="4">
        <f>IFERROR(__xludf.DUMMYFUNCTION("""COMPUTED_VALUE"""),49.30844803940198)</f>
        <v>49.30844804</v>
      </c>
      <c r="AD189" s="4"/>
      <c r="AE189" s="4"/>
      <c r="AF189" s="4">
        <f>IFERROR(__xludf.DUMMYFUNCTION("""COMPUTED_VALUE"""),62.42308670532742)</f>
        <v>62.42308671</v>
      </c>
      <c r="AG189" s="4"/>
      <c r="AH189" s="4"/>
      <c r="AI189" s="4">
        <f>IFERROR(__xludf.DUMMYFUNCTION("""COMPUTED_VALUE"""),75.22239529490076)</f>
        <v>75.22239529</v>
      </c>
      <c r="AJ189" s="4"/>
      <c r="AK189" s="4"/>
      <c r="AL189" s="4">
        <f>IFERROR(__xludf.DUMMYFUNCTION("""COMPUTED_VALUE"""),95.70286471871879)</f>
        <v>95.70286472</v>
      </c>
      <c r="AM189" s="4"/>
      <c r="AN189" s="4"/>
      <c r="AO189" s="4">
        <f>IFERROR(__xludf.DUMMYFUNCTION("""COMPUTED_VALUE"""),80.69272095233936)</f>
        <v>80.69272095</v>
      </c>
      <c r="AP189" s="4"/>
      <c r="AQ189" s="4"/>
      <c r="AR189" s="4">
        <f>IFERROR(__xludf.DUMMYFUNCTION("""COMPUTED_VALUE"""),75.37808196825443)</f>
        <v>75.37808197</v>
      </c>
      <c r="AS189" s="4"/>
      <c r="AT189" s="4"/>
      <c r="AU189" s="4">
        <f>IFERROR(__xludf.DUMMYFUNCTION("""COMPUTED_VALUE"""),53.29824301582829)</f>
        <v>53.29824302</v>
      </c>
      <c r="AV189" s="4"/>
      <c r="AW189" s="4"/>
      <c r="AX189" s="4">
        <f>IFERROR(__xludf.DUMMYFUNCTION("""COMPUTED_VALUE"""),41.47404468740376)</f>
        <v>41.47404469</v>
      </c>
      <c r="AY189" s="4"/>
      <c r="AZ189" s="4"/>
      <c r="BA189" s="4">
        <f>IFERROR(__xludf.DUMMYFUNCTION("""COMPUTED_VALUE"""),28.643805655246354)</f>
        <v>28.64380566</v>
      </c>
      <c r="BB189" s="4"/>
      <c r="BC189" s="4"/>
      <c r="BD189" s="4">
        <f>IFERROR(__xludf.DUMMYFUNCTION("""COMPUTED_VALUE"""),20.426449946947116)</f>
        <v>20.42644995</v>
      </c>
      <c r="BE189" s="4"/>
      <c r="BF189" s="4"/>
      <c r="BG189" s="4">
        <f>IFERROR(__xludf.DUMMYFUNCTION("""COMPUTED_VALUE"""),3.7686796294267992)</f>
        <v>3.768679629</v>
      </c>
      <c r="BH189" s="4"/>
      <c r="BI189" s="4"/>
      <c r="BJ189" s="4"/>
      <c r="BK189" s="4"/>
    </row>
    <row r="190">
      <c r="A190" s="4"/>
      <c r="B190" s="4"/>
      <c r="C190" s="4"/>
      <c r="D190" s="4">
        <f>IFERROR(__xludf.DUMMYFUNCTION("""COMPUTED_VALUE"""),38.568437551418114)</f>
        <v>38.56843755</v>
      </c>
      <c r="E190" s="23">
        <f>IFERROR(__xludf.DUMMYFUNCTION("""COMPUTED_VALUE"""),-3.567017527348412)</f>
        <v>-3.567017527</v>
      </c>
      <c r="F190" s="4"/>
      <c r="G190" s="4"/>
      <c r="H190" s="4">
        <f>IFERROR(__xludf.DUMMYFUNCTION("""COMPUTED_VALUE"""),2.7433460311592626)</f>
        <v>2.743346031</v>
      </c>
      <c r="I190" s="4"/>
      <c r="J190" s="4"/>
      <c r="K190" s="4">
        <f>IFERROR(__xludf.DUMMYFUNCTION("""COMPUTED_VALUE"""),0.6086484462066437)</f>
        <v>0.6086484462</v>
      </c>
      <c r="L190" s="4"/>
      <c r="M190" s="4"/>
      <c r="N190" s="4">
        <f>IFERROR(__xludf.DUMMYFUNCTION("""COMPUTED_VALUE"""),4.2271165763702925)</f>
        <v>4.227116576</v>
      </c>
      <c r="O190" s="4"/>
      <c r="P190" s="4"/>
      <c r="Q190" s="4">
        <f>IFERROR(__xludf.DUMMYFUNCTION("""COMPUTED_VALUE"""),5.794084992605178)</f>
        <v>5.794084993</v>
      </c>
      <c r="R190" s="4"/>
      <c r="S190" s="4"/>
      <c r="T190" s="4">
        <f>IFERROR(__xludf.DUMMYFUNCTION("""COMPUTED_VALUE"""),6.668863083425549)</f>
        <v>6.668863083</v>
      </c>
      <c r="U190" s="4"/>
      <c r="V190" s="4"/>
      <c r="W190" s="4">
        <f>IFERROR(__xludf.DUMMYFUNCTION("""COMPUTED_VALUE"""),3.1873312340272264)</f>
        <v>3.187331234</v>
      </c>
      <c r="X190" s="4"/>
      <c r="Y190" s="4"/>
      <c r="Z190" s="4">
        <f>IFERROR(__xludf.DUMMYFUNCTION("""COMPUTED_VALUE"""),26.04116384613053)</f>
        <v>26.04116385</v>
      </c>
      <c r="AA190" s="4"/>
      <c r="AB190" s="4"/>
      <c r="AC190" s="4">
        <f>IFERROR(__xludf.DUMMYFUNCTION("""COMPUTED_VALUE"""),46.154436172246164)</f>
        <v>46.15443617</v>
      </c>
      <c r="AD190" s="4"/>
      <c r="AE190" s="4"/>
      <c r="AF190" s="4">
        <f>IFERROR(__xludf.DUMMYFUNCTION("""COMPUTED_VALUE"""),64.22430653165884)</f>
        <v>64.22430653</v>
      </c>
      <c r="AG190" s="4"/>
      <c r="AH190" s="4"/>
      <c r="AI190" s="4">
        <f>IFERROR(__xludf.DUMMYFUNCTION("""COMPUTED_VALUE"""),78.44489479555466)</f>
        <v>78.4448948</v>
      </c>
      <c r="AJ190" s="4"/>
      <c r="AK190" s="4"/>
      <c r="AL190" s="4">
        <f>IFERROR(__xludf.DUMMYFUNCTION("""COMPUTED_VALUE"""),89.74830120311464)</f>
        <v>89.7483012</v>
      </c>
      <c r="AM190" s="4"/>
      <c r="AN190" s="4"/>
      <c r="AO190" s="4">
        <f>IFERROR(__xludf.DUMMYFUNCTION("""COMPUTED_VALUE"""),77.52298762264121)</f>
        <v>77.52298762</v>
      </c>
      <c r="AP190" s="4"/>
      <c r="AQ190" s="4"/>
      <c r="AR190" s="4">
        <f>IFERROR(__xludf.DUMMYFUNCTION("""COMPUTED_VALUE"""),75.42578261538358)</f>
        <v>75.42578262</v>
      </c>
      <c r="AS190" s="4"/>
      <c r="AT190" s="4"/>
      <c r="AU190" s="4">
        <f>IFERROR(__xludf.DUMMYFUNCTION("""COMPUTED_VALUE"""),58.20131576852293)</f>
        <v>58.20131577</v>
      </c>
      <c r="AV190" s="4"/>
      <c r="AW190" s="4"/>
      <c r="AX190" s="4">
        <f>IFERROR(__xludf.DUMMYFUNCTION("""COMPUTED_VALUE"""),44.738555381640595)</f>
        <v>44.73855538</v>
      </c>
      <c r="AY190" s="4"/>
      <c r="AZ190" s="4"/>
      <c r="BA190" s="4">
        <f>IFERROR(__xludf.DUMMYFUNCTION("""COMPUTED_VALUE"""),32.17911328654833)</f>
        <v>32.17911329</v>
      </c>
      <c r="BB190" s="4"/>
      <c r="BC190" s="4"/>
      <c r="BD190" s="4">
        <f>IFERROR(__xludf.DUMMYFUNCTION("""COMPUTED_VALUE"""),21.83870768722187)</f>
        <v>21.83870769</v>
      </c>
      <c r="BE190" s="4"/>
      <c r="BF190" s="4"/>
      <c r="BG190" s="4">
        <f>IFERROR(__xludf.DUMMYFUNCTION("""COMPUTED_VALUE"""),4.368170717464636)</f>
        <v>4.368170717</v>
      </c>
      <c r="BH190" s="4"/>
      <c r="BI190" s="4"/>
      <c r="BJ190" s="4"/>
      <c r="BK190" s="4"/>
    </row>
    <row r="191">
      <c r="A191" s="4"/>
      <c r="B191" s="4"/>
      <c r="C191" s="4"/>
      <c r="D191" s="4">
        <f>IFERROR(__xludf.DUMMYFUNCTION("""COMPUTED_VALUE"""),37.65014141861804)</f>
        <v>37.65014142</v>
      </c>
      <c r="E191" s="23">
        <f>IFERROR(__xludf.DUMMYFUNCTION("""COMPUTED_VALUE"""),5.717608567669856)</f>
        <v>5.717608568</v>
      </c>
      <c r="F191" s="4"/>
      <c r="G191" s="4"/>
      <c r="H191" s="4">
        <f>IFERROR(__xludf.DUMMYFUNCTION("""COMPUTED_VALUE"""),1.2935959964263475)</f>
        <v>1.293595996</v>
      </c>
      <c r="I191" s="4"/>
      <c r="J191" s="4"/>
      <c r="K191" s="4">
        <f>IFERROR(__xludf.DUMMYFUNCTION("""COMPUTED_VALUE"""),-5.405897463092458)</f>
        <v>-5.405897463</v>
      </c>
      <c r="L191" s="4"/>
      <c r="M191" s="4"/>
      <c r="N191" s="4">
        <f>IFERROR(__xludf.DUMMYFUNCTION("""COMPUTED_VALUE"""),0.9100698979783033)</f>
        <v>0.910069898</v>
      </c>
      <c r="O191" s="4"/>
      <c r="P191" s="4"/>
      <c r="Q191" s="4">
        <f>IFERROR(__xludf.DUMMYFUNCTION("""COMPUTED_VALUE"""),4.181712044422227)</f>
        <v>4.181712044</v>
      </c>
      <c r="R191" s="4"/>
      <c r="S191" s="4"/>
      <c r="T191" s="4">
        <f>IFERROR(__xludf.DUMMYFUNCTION("""COMPUTED_VALUE"""),5.563162010089798)</f>
        <v>5.56316201</v>
      </c>
      <c r="U191" s="4"/>
      <c r="V191" s="4"/>
      <c r="W191" s="4">
        <f>IFERROR(__xludf.DUMMYFUNCTION("""COMPUTED_VALUE"""),9.864992845394909)</f>
        <v>9.864992845</v>
      </c>
      <c r="X191" s="4"/>
      <c r="Y191" s="4"/>
      <c r="Z191" s="4">
        <f>IFERROR(__xludf.DUMMYFUNCTION("""COMPUTED_VALUE"""),24.615981078025015)</f>
        <v>24.61598108</v>
      </c>
      <c r="AA191" s="4"/>
      <c r="AB191" s="4"/>
      <c r="AC191" s="4">
        <f>IFERROR(__xludf.DUMMYFUNCTION("""COMPUTED_VALUE"""),48.448064182964856)</f>
        <v>48.44806418</v>
      </c>
      <c r="AD191" s="4"/>
      <c r="AE191" s="4"/>
      <c r="AF191" s="4">
        <f>IFERROR(__xludf.DUMMYFUNCTION("""COMPUTED_VALUE"""),67.60442309163165)</f>
        <v>67.60442309</v>
      </c>
      <c r="AG191" s="4"/>
      <c r="AH191" s="4"/>
      <c r="AI191" s="4">
        <f>IFERROR(__xludf.DUMMYFUNCTION("""COMPUTED_VALUE"""),82.19302265112577)</f>
        <v>82.19302265</v>
      </c>
      <c r="AJ191" s="4"/>
      <c r="AK191" s="4"/>
      <c r="AL191" s="4">
        <f>IFERROR(__xludf.DUMMYFUNCTION("""COMPUTED_VALUE"""),85.56226032216489)</f>
        <v>85.56226032</v>
      </c>
      <c r="AM191" s="4"/>
      <c r="AN191" s="4"/>
      <c r="AO191" s="4">
        <f>IFERROR(__xludf.DUMMYFUNCTION("""COMPUTED_VALUE"""),85.45883595705072)</f>
        <v>85.45883596</v>
      </c>
      <c r="AP191" s="4"/>
      <c r="AQ191" s="4"/>
      <c r="AR191" s="4">
        <f>IFERROR(__xludf.DUMMYFUNCTION("""COMPUTED_VALUE"""),79.55645179031188)</f>
        <v>79.55645179</v>
      </c>
      <c r="AS191" s="4"/>
      <c r="AT191" s="4"/>
      <c r="AU191" s="4">
        <f>IFERROR(__xludf.DUMMYFUNCTION("""COMPUTED_VALUE"""),61.489722706244095)</f>
        <v>61.48972271</v>
      </c>
      <c r="AV191" s="4"/>
      <c r="AW191" s="4"/>
      <c r="AX191" s="4">
        <f>IFERROR(__xludf.DUMMYFUNCTION("""COMPUTED_VALUE"""),44.377983219081216)</f>
        <v>44.37798322</v>
      </c>
      <c r="AY191" s="4"/>
      <c r="AZ191" s="4"/>
      <c r="BA191" s="4">
        <f>IFERROR(__xludf.DUMMYFUNCTION("""COMPUTED_VALUE"""),25.98999983296136)</f>
        <v>25.98999983</v>
      </c>
      <c r="BB191" s="4"/>
      <c r="BC191" s="4"/>
      <c r="BD191" s="4">
        <f>IFERROR(__xludf.DUMMYFUNCTION("""COMPUTED_VALUE"""),15.879462222237862)</f>
        <v>15.87946222</v>
      </c>
      <c r="BE191" s="4"/>
      <c r="BF191" s="4"/>
      <c r="BG191" s="4">
        <f>IFERROR(__xludf.DUMMYFUNCTION("""COMPUTED_VALUE"""),6.024665882701754)</f>
        <v>6.024665883</v>
      </c>
      <c r="BH191" s="4"/>
      <c r="BI191" s="4"/>
      <c r="BJ191" s="4"/>
      <c r="BK191" s="4"/>
    </row>
    <row r="192">
      <c r="A192" s="4"/>
      <c r="B192" s="4"/>
      <c r="C192" s="4"/>
      <c r="D192" s="4">
        <f>IFERROR(__xludf.DUMMYFUNCTION("""COMPUTED_VALUE"""),36.73184528581796)</f>
        <v>36.73184529</v>
      </c>
      <c r="E192" s="23">
        <f>IFERROR(__xludf.DUMMYFUNCTION("""COMPUTED_VALUE"""),0.5347879797564588)</f>
        <v>0.5347879798</v>
      </c>
      <c r="F192" s="4"/>
      <c r="G192" s="4"/>
      <c r="H192" s="4">
        <f>IFERROR(__xludf.DUMMYFUNCTION("""COMPUTED_VALUE"""),-0.3718873554985862)</f>
        <v>-0.3718873555</v>
      </c>
      <c r="I192" s="4"/>
      <c r="J192" s="4"/>
      <c r="K192" s="4">
        <f>IFERROR(__xludf.DUMMYFUNCTION("""COMPUTED_VALUE"""),2.8364701249961968)</f>
        <v>2.836470125</v>
      </c>
      <c r="L192" s="4"/>
      <c r="M192" s="4"/>
      <c r="N192" s="4">
        <f>IFERROR(__xludf.DUMMYFUNCTION("""COMPUTED_VALUE"""),-2.5353614554641695)</f>
        <v>-2.535361455</v>
      </c>
      <c r="O192" s="4"/>
      <c r="P192" s="4"/>
      <c r="Q192" s="4">
        <f>IFERROR(__xludf.DUMMYFUNCTION("""COMPUTED_VALUE"""),6.336263178081424)</f>
        <v>6.336263178</v>
      </c>
      <c r="R192" s="4"/>
      <c r="S192" s="4"/>
      <c r="T192" s="4">
        <f>IFERROR(__xludf.DUMMYFUNCTION("""COMPUTED_VALUE"""),1.099128612908828)</f>
        <v>1.099128613</v>
      </c>
      <c r="U192" s="4"/>
      <c r="V192" s="4"/>
      <c r="W192" s="4">
        <f>IFERROR(__xludf.DUMMYFUNCTION("""COMPUTED_VALUE"""),8.787385514996856)</f>
        <v>8.787385515</v>
      </c>
      <c r="X192" s="4"/>
      <c r="Y192" s="4"/>
      <c r="Z192" s="4">
        <f>IFERROR(__xludf.DUMMYFUNCTION("""COMPUTED_VALUE"""),25.235174516275322)</f>
        <v>25.23517452</v>
      </c>
      <c r="AA192" s="4"/>
      <c r="AB192" s="4"/>
      <c r="AC192" s="4">
        <f>IFERROR(__xludf.DUMMYFUNCTION("""COMPUTED_VALUE"""),50.584235239317024)</f>
        <v>50.58423524</v>
      </c>
      <c r="AD192" s="4"/>
      <c r="AE192" s="4"/>
      <c r="AF192" s="4">
        <f>IFERROR(__xludf.DUMMYFUNCTION("""COMPUTED_VALUE"""),65.15783437433095)</f>
        <v>65.15783437</v>
      </c>
      <c r="AG192" s="4"/>
      <c r="AH192" s="4"/>
      <c r="AI192" s="4">
        <f>IFERROR(__xludf.DUMMYFUNCTION("""COMPUTED_VALUE"""),83.2600124403101)</f>
        <v>83.26001244</v>
      </c>
      <c r="AJ192" s="4"/>
      <c r="AK192" s="4"/>
      <c r="AL192" s="4">
        <f>IFERROR(__xludf.DUMMYFUNCTION("""COMPUTED_VALUE"""),83.83944438095665)</f>
        <v>83.83944438</v>
      </c>
      <c r="AM192" s="4"/>
      <c r="AN192" s="4"/>
      <c r="AO192" s="4">
        <f>IFERROR(__xludf.DUMMYFUNCTION("""COMPUTED_VALUE"""),83.61114287425227)</f>
        <v>83.61114287</v>
      </c>
      <c r="AP192" s="4"/>
      <c r="AQ192" s="4"/>
      <c r="AR192" s="4">
        <f>IFERROR(__xludf.DUMMYFUNCTION("""COMPUTED_VALUE"""),77.3928995609545)</f>
        <v>77.39289956</v>
      </c>
      <c r="AS192" s="4"/>
      <c r="AT192" s="4"/>
      <c r="AU192" s="4">
        <f>IFERROR(__xludf.DUMMYFUNCTION("""COMPUTED_VALUE"""),56.24211806213077)</f>
        <v>56.24211806</v>
      </c>
      <c r="AV192" s="4"/>
      <c r="AW192" s="4"/>
      <c r="AX192" s="4">
        <f>IFERROR(__xludf.DUMMYFUNCTION("""COMPUTED_VALUE"""),41.06999303872243)</f>
        <v>41.06999304</v>
      </c>
      <c r="AY192" s="4"/>
      <c r="AZ192" s="4"/>
      <c r="BA192" s="4">
        <f>IFERROR(__xludf.DUMMYFUNCTION("""COMPUTED_VALUE"""),31.051446226074916)</f>
        <v>31.05144623</v>
      </c>
      <c r="BB192" s="4"/>
      <c r="BC192" s="4"/>
      <c r="BD192" s="4">
        <f>IFERROR(__xludf.DUMMYFUNCTION("""COMPUTED_VALUE"""),23.05713467381321)</f>
        <v>23.05713467</v>
      </c>
      <c r="BE192" s="4"/>
      <c r="BF192" s="4"/>
      <c r="BG192" s="4">
        <f>IFERROR(__xludf.DUMMYFUNCTION("""COMPUTED_VALUE"""),4.0672872523401224)</f>
        <v>4.067287252</v>
      </c>
      <c r="BH192" s="4"/>
      <c r="BI192" s="4"/>
      <c r="BJ192" s="4"/>
      <c r="BK192" s="4"/>
    </row>
    <row r="193">
      <c r="A193" s="4"/>
      <c r="B193" s="4"/>
      <c r="C193" s="4"/>
      <c r="D193" s="4">
        <f>IFERROR(__xludf.DUMMYFUNCTION("""COMPUTED_VALUE"""),35.81354915518319)</f>
        <v>35.81354916</v>
      </c>
      <c r="E193" s="23">
        <f>IFERROR(__xludf.DUMMYFUNCTION("""COMPUTED_VALUE"""),2.64972240286545)</f>
        <v>2.649722403</v>
      </c>
      <c r="F193" s="4"/>
      <c r="G193" s="4"/>
      <c r="H193" s="4">
        <f>IFERROR(__xludf.DUMMYFUNCTION("""COMPUTED_VALUE"""),1.47646851623756)</f>
        <v>1.476468516</v>
      </c>
      <c r="I193" s="4"/>
      <c r="J193" s="4"/>
      <c r="K193" s="4">
        <f>IFERROR(__xludf.DUMMYFUNCTION("""COMPUTED_VALUE"""),3.1725143741298893)</f>
        <v>3.172514374</v>
      </c>
      <c r="L193" s="4"/>
      <c r="M193" s="4"/>
      <c r="N193" s="4">
        <f>IFERROR(__xludf.DUMMYFUNCTION("""COMPUTED_VALUE"""),-1.1785452385221333)</f>
        <v>-1.178545239</v>
      </c>
      <c r="O193" s="4"/>
      <c r="P193" s="4"/>
      <c r="Q193" s="4">
        <f>IFERROR(__xludf.DUMMYFUNCTION("""COMPUTED_VALUE"""),3.09737161850569)</f>
        <v>3.097371619</v>
      </c>
      <c r="R193" s="4"/>
      <c r="S193" s="4"/>
      <c r="T193" s="4">
        <f>IFERROR(__xludf.DUMMYFUNCTION("""COMPUTED_VALUE"""),3.4113773312320177)</f>
        <v>3.411377331</v>
      </c>
      <c r="U193" s="4"/>
      <c r="V193" s="4"/>
      <c r="W193" s="4">
        <f>IFERROR(__xludf.DUMMYFUNCTION("""COMPUTED_VALUE"""),6.8966001526409855)</f>
        <v>6.896600153</v>
      </c>
      <c r="X193" s="4"/>
      <c r="Y193" s="4"/>
      <c r="Z193" s="4">
        <f>IFERROR(__xludf.DUMMYFUNCTION("""COMPUTED_VALUE"""),27.90810335876938)</f>
        <v>27.90810336</v>
      </c>
      <c r="AA193" s="4"/>
      <c r="AB193" s="4"/>
      <c r="AC193" s="4">
        <f>IFERROR(__xludf.DUMMYFUNCTION("""COMPUTED_VALUE"""),42.90831891329367)</f>
        <v>42.90831891</v>
      </c>
      <c r="AD193" s="4"/>
      <c r="AE193" s="4"/>
      <c r="AF193" s="4">
        <f>IFERROR(__xludf.DUMMYFUNCTION("""COMPUTED_VALUE"""),65.50875585950786)</f>
        <v>65.50875586</v>
      </c>
      <c r="AG193" s="4"/>
      <c r="AH193" s="4"/>
      <c r="AI193" s="4">
        <f>IFERROR(__xludf.DUMMYFUNCTION("""COMPUTED_VALUE"""),76.8299854541678)</f>
        <v>76.82998545</v>
      </c>
      <c r="AJ193" s="4"/>
      <c r="AK193" s="4"/>
      <c r="AL193" s="4">
        <f>IFERROR(__xludf.DUMMYFUNCTION("""COMPUTED_VALUE"""),86.05178916207541)</f>
        <v>86.05178916</v>
      </c>
      <c r="AM193" s="4"/>
      <c r="AN193" s="4"/>
      <c r="AO193" s="4">
        <f>IFERROR(__xludf.DUMMYFUNCTION("""COMPUTED_VALUE"""),81.6416800451596)</f>
        <v>81.64168005</v>
      </c>
      <c r="AP193" s="4"/>
      <c r="AQ193" s="4"/>
      <c r="AR193" s="4">
        <f>IFERROR(__xludf.DUMMYFUNCTION("""COMPUTED_VALUE"""),70.5716916397119)</f>
        <v>70.57169164</v>
      </c>
      <c r="AS193" s="4"/>
      <c r="AT193" s="4"/>
      <c r="AU193" s="4">
        <f>IFERROR(__xludf.DUMMYFUNCTION("""COMPUTED_VALUE"""),56.18897433684782)</f>
        <v>56.18897434</v>
      </c>
      <c r="AV193" s="4"/>
      <c r="AW193" s="4"/>
      <c r="AX193" s="4">
        <f>IFERROR(__xludf.DUMMYFUNCTION("""COMPUTED_VALUE"""),43.7255061918691)</f>
        <v>43.72550619</v>
      </c>
      <c r="AY193" s="4"/>
      <c r="AZ193" s="4"/>
      <c r="BA193" s="4">
        <f>IFERROR(__xludf.DUMMYFUNCTION("""COMPUTED_VALUE"""),33.24792802265375)</f>
        <v>33.24792802</v>
      </c>
      <c r="BB193" s="4"/>
      <c r="BC193" s="4"/>
      <c r="BD193" s="4">
        <f>IFERROR(__xludf.DUMMYFUNCTION("""COMPUTED_VALUE"""),24.201274351467305)</f>
        <v>24.20127435</v>
      </c>
      <c r="BE193" s="4"/>
      <c r="BF193" s="4"/>
      <c r="BG193" s="4">
        <f>IFERROR(__xludf.DUMMYFUNCTION("""COMPUTED_VALUE"""),6.1005839273506695)</f>
        <v>6.100583927</v>
      </c>
      <c r="BH193" s="4"/>
      <c r="BI193" s="4"/>
      <c r="BJ193" s="4"/>
      <c r="BK193" s="4"/>
    </row>
    <row r="194">
      <c r="A194" s="4"/>
      <c r="B194" s="4"/>
      <c r="C194" s="4"/>
      <c r="D194" s="4">
        <f>IFERROR(__xludf.DUMMYFUNCTION("""COMPUTED_VALUE"""),34.89525302238311)</f>
        <v>34.89525302</v>
      </c>
      <c r="E194" s="23">
        <f>IFERROR(__xludf.DUMMYFUNCTION("""COMPUTED_VALUE"""),-6.42095060458405)</f>
        <v>-6.420950605</v>
      </c>
      <c r="F194" s="4"/>
      <c r="G194" s="4"/>
      <c r="H194" s="4">
        <f>IFERROR(__xludf.DUMMYFUNCTION("""COMPUTED_VALUE"""),-0.20597614235947503)</f>
        <v>-0.2059761424</v>
      </c>
      <c r="I194" s="4"/>
      <c r="J194" s="4"/>
      <c r="K194" s="4">
        <f>IFERROR(__xludf.DUMMYFUNCTION("""COMPUTED_VALUE"""),9.789229268673978)</f>
        <v>9.789229269</v>
      </c>
      <c r="L194" s="4"/>
      <c r="M194" s="4"/>
      <c r="N194" s="4">
        <f>IFERROR(__xludf.DUMMYFUNCTION("""COMPUTED_VALUE"""),3.690441504106957)</f>
        <v>3.690441504</v>
      </c>
      <c r="O194" s="4"/>
      <c r="P194" s="4"/>
      <c r="Q194" s="4">
        <f>IFERROR(__xludf.DUMMYFUNCTION("""COMPUTED_VALUE"""),6.461687199442451)</f>
        <v>6.461687199</v>
      </c>
      <c r="R194" s="4"/>
      <c r="S194" s="4"/>
      <c r="T194" s="4">
        <f>IFERROR(__xludf.DUMMYFUNCTION("""COMPUTED_VALUE"""),8.41695725442753)</f>
        <v>8.416957254</v>
      </c>
      <c r="U194" s="4"/>
      <c r="V194" s="4"/>
      <c r="W194" s="4">
        <f>IFERROR(__xludf.DUMMYFUNCTION("""COMPUTED_VALUE"""),-0.7390601755193984)</f>
        <v>-0.7390601755</v>
      </c>
      <c r="X194" s="4"/>
      <c r="Y194" s="4"/>
      <c r="Z194" s="4">
        <f>IFERROR(__xludf.DUMMYFUNCTION("""COMPUTED_VALUE"""),22.97370187989418)</f>
        <v>22.97370188</v>
      </c>
      <c r="AA194" s="4"/>
      <c r="AB194" s="4"/>
      <c r="AC194" s="4">
        <f>IFERROR(__xludf.DUMMYFUNCTION("""COMPUTED_VALUE"""),51.25059411945114)</f>
        <v>51.25059412</v>
      </c>
      <c r="AD194" s="4"/>
      <c r="AE194" s="4"/>
      <c r="AF194" s="4">
        <f>IFERROR(__xludf.DUMMYFUNCTION("""COMPUTED_VALUE"""),67.18811841132708)</f>
        <v>67.18811841</v>
      </c>
      <c r="AG194" s="4"/>
      <c r="AH194" s="4"/>
      <c r="AI194" s="4">
        <f>IFERROR(__xludf.DUMMYFUNCTION("""COMPUTED_VALUE"""),78.84883070118423)</f>
        <v>78.8488307</v>
      </c>
      <c r="AJ194" s="4"/>
      <c r="AK194" s="4"/>
      <c r="AL194" s="4">
        <f>IFERROR(__xludf.DUMMYFUNCTION("""COMPUTED_VALUE"""),88.28865638280593)</f>
        <v>88.28865638</v>
      </c>
      <c r="AM194" s="4"/>
      <c r="AN194" s="4"/>
      <c r="AO194" s="4">
        <f>IFERROR(__xludf.DUMMYFUNCTION("""COMPUTED_VALUE"""),76.91252160875882)</f>
        <v>76.91252161</v>
      </c>
      <c r="AP194" s="4"/>
      <c r="AQ194" s="4"/>
      <c r="AR194" s="4">
        <f>IFERROR(__xludf.DUMMYFUNCTION("""COMPUTED_VALUE"""),72.49779398910601)</f>
        <v>72.49779399</v>
      </c>
      <c r="AS194" s="4"/>
      <c r="AT194" s="4"/>
      <c r="AU194" s="4">
        <f>IFERROR(__xludf.DUMMYFUNCTION("""COMPUTED_VALUE"""),58.44026695557966)</f>
        <v>58.44026696</v>
      </c>
      <c r="AV194" s="4"/>
      <c r="AW194" s="4"/>
      <c r="AX194" s="4">
        <f>IFERROR(__xludf.DUMMYFUNCTION("""COMPUTED_VALUE"""),39.80904737550139)</f>
        <v>39.80904738</v>
      </c>
      <c r="AY194" s="4"/>
      <c r="AZ194" s="4"/>
      <c r="BA194" s="4">
        <f>IFERROR(__xludf.DUMMYFUNCTION("""COMPUTED_VALUE"""),36.363969520430715)</f>
        <v>36.36396952</v>
      </c>
      <c r="BB194" s="4"/>
      <c r="BC194" s="4"/>
      <c r="BD194" s="4">
        <f>IFERROR(__xludf.DUMMYFUNCTION("""COMPUTED_VALUE"""),17.662548608266547)</f>
        <v>17.66254861</v>
      </c>
      <c r="BE194" s="4"/>
      <c r="BF194" s="4"/>
      <c r="BG194" s="4">
        <f>IFERROR(__xludf.DUMMYFUNCTION("""COMPUTED_VALUE"""),8.442808811984378)</f>
        <v>8.442808812</v>
      </c>
      <c r="BH194" s="4"/>
      <c r="BI194" s="4"/>
      <c r="BJ194" s="4"/>
      <c r="BK194" s="4"/>
    </row>
    <row r="195">
      <c r="A195" s="4"/>
      <c r="B195" s="4"/>
      <c r="C195" s="4"/>
      <c r="D195" s="4">
        <f>IFERROR(__xludf.DUMMYFUNCTION("""COMPUTED_VALUE"""),33.97695688963339)</f>
        <v>33.97695689</v>
      </c>
      <c r="E195" s="23">
        <f>IFERROR(__xludf.DUMMYFUNCTION("""COMPUTED_VALUE"""),1.7163519583089624)</f>
        <v>1.716351958</v>
      </c>
      <c r="F195" s="4"/>
      <c r="G195" s="4"/>
      <c r="H195" s="4">
        <f>IFERROR(__xludf.DUMMYFUNCTION("""COMPUTED_VALUE"""),3.4182780291039876)</f>
        <v>3.418278029</v>
      </c>
      <c r="I195" s="4"/>
      <c r="J195" s="4"/>
      <c r="K195" s="4">
        <f>IFERROR(__xludf.DUMMYFUNCTION("""COMPUTED_VALUE"""),0.05756017882714559)</f>
        <v>0.05756017883</v>
      </c>
      <c r="L195" s="4"/>
      <c r="M195" s="4"/>
      <c r="N195" s="4">
        <f>IFERROR(__xludf.DUMMYFUNCTION("""COMPUTED_VALUE"""),-1.9705238221008585)</f>
        <v>-1.970523822</v>
      </c>
      <c r="O195" s="4"/>
      <c r="P195" s="4"/>
      <c r="Q195" s="4">
        <f>IFERROR(__xludf.DUMMYFUNCTION("""COMPUTED_VALUE"""),0.8356844957054932)</f>
        <v>0.8356844957</v>
      </c>
      <c r="R195" s="4"/>
      <c r="S195" s="4"/>
      <c r="T195" s="4">
        <f>IFERROR(__xludf.DUMMYFUNCTION("""COMPUTED_VALUE"""),6.81662577957195)</f>
        <v>6.81662578</v>
      </c>
      <c r="U195" s="4"/>
      <c r="V195" s="4"/>
      <c r="W195" s="4">
        <f>IFERROR(__xludf.DUMMYFUNCTION("""COMPUTED_VALUE"""),12.74933805340362)</f>
        <v>12.74933805</v>
      </c>
      <c r="X195" s="4"/>
      <c r="Y195" s="4"/>
      <c r="Z195" s="4">
        <f>IFERROR(__xludf.DUMMYFUNCTION("""COMPUTED_VALUE"""),31.06363051510459)</f>
        <v>31.06363052</v>
      </c>
      <c r="AA195" s="4"/>
      <c r="AB195" s="4"/>
      <c r="AC195" s="4">
        <f>IFERROR(__xludf.DUMMYFUNCTION("""COMPUTED_VALUE"""),50.787790881695685)</f>
        <v>50.78779088</v>
      </c>
      <c r="AD195" s="4"/>
      <c r="AE195" s="4"/>
      <c r="AF195" s="4">
        <f>IFERROR(__xludf.DUMMYFUNCTION("""COMPUTED_VALUE"""),62.56802126359139)</f>
        <v>62.56802126</v>
      </c>
      <c r="AG195" s="4"/>
      <c r="AH195" s="4"/>
      <c r="AI195" s="4">
        <f>IFERROR(__xludf.DUMMYFUNCTION("""COMPUTED_VALUE"""),79.58858698812355)</f>
        <v>79.58858699</v>
      </c>
      <c r="AJ195" s="4"/>
      <c r="AK195" s="4"/>
      <c r="AL195" s="4">
        <f>IFERROR(__xludf.DUMMYFUNCTION("""COMPUTED_VALUE"""),91.55909157468477)</f>
        <v>91.55909157</v>
      </c>
      <c r="AM195" s="4"/>
      <c r="AN195" s="4"/>
      <c r="AO195" s="4">
        <f>IFERROR(__xludf.DUMMYFUNCTION("""COMPUTED_VALUE"""),86.3383637323679)</f>
        <v>86.33836373</v>
      </c>
      <c r="AP195" s="4"/>
      <c r="AQ195" s="4"/>
      <c r="AR195" s="4">
        <f>IFERROR(__xludf.DUMMYFUNCTION("""COMPUTED_VALUE"""),76.63213866642724)</f>
        <v>76.63213867</v>
      </c>
      <c r="AS195" s="4"/>
      <c r="AT195" s="4"/>
      <c r="AU195" s="4">
        <f>IFERROR(__xludf.DUMMYFUNCTION("""COMPUTED_VALUE"""),60.174453323439025)</f>
        <v>60.17445332</v>
      </c>
      <c r="AV195" s="4"/>
      <c r="AW195" s="4"/>
      <c r="AX195" s="4">
        <f>IFERROR(__xludf.DUMMYFUNCTION("""COMPUTED_VALUE"""),46.55761572914264)</f>
        <v>46.55761573</v>
      </c>
      <c r="AY195" s="4"/>
      <c r="AZ195" s="4"/>
      <c r="BA195" s="4">
        <f>IFERROR(__xludf.DUMMYFUNCTION("""COMPUTED_VALUE"""),32.19220945214954)</f>
        <v>32.19220945</v>
      </c>
      <c r="BB195" s="4"/>
      <c r="BC195" s="4"/>
      <c r="BD195" s="4">
        <f>IFERROR(__xludf.DUMMYFUNCTION("""COMPUTED_VALUE"""),22.64505674805372)</f>
        <v>22.64505675</v>
      </c>
      <c r="BE195" s="4"/>
      <c r="BF195" s="4"/>
      <c r="BG195" s="4">
        <f>IFERROR(__xludf.DUMMYFUNCTION("""COMPUTED_VALUE"""),10.975524595754507)</f>
        <v>10.9755246</v>
      </c>
      <c r="BH195" s="4"/>
      <c r="BI195" s="4"/>
      <c r="BJ195" s="4"/>
      <c r="BK195" s="4"/>
    </row>
    <row r="196">
      <c r="A196" s="4"/>
      <c r="B196" s="4"/>
      <c r="C196" s="4"/>
      <c r="D196" s="4">
        <f>IFERROR(__xludf.DUMMYFUNCTION("""COMPUTED_VALUE"""),33.05866075683332)</f>
        <v>33.05866076</v>
      </c>
      <c r="E196" s="23">
        <f>IFERROR(__xludf.DUMMYFUNCTION("""COMPUTED_VALUE"""),-1.8095570110858716)</f>
        <v>-1.809557011</v>
      </c>
      <c r="F196" s="4"/>
      <c r="G196" s="4"/>
      <c r="H196" s="4">
        <f>IFERROR(__xludf.DUMMYFUNCTION("""COMPUTED_VALUE"""),1.6127718822323232)</f>
        <v>1.612771882</v>
      </c>
      <c r="I196" s="4"/>
      <c r="J196" s="4"/>
      <c r="K196" s="4">
        <f>IFERROR(__xludf.DUMMYFUNCTION("""COMPUTED_VALUE"""),1.3997927982327951)</f>
        <v>1.399792798</v>
      </c>
      <c r="L196" s="4"/>
      <c r="M196" s="4"/>
      <c r="N196" s="4">
        <f>IFERROR(__xludf.DUMMYFUNCTION("""COMPUTED_VALUE"""),-3.4684768220800493)</f>
        <v>-3.468476822</v>
      </c>
      <c r="O196" s="4"/>
      <c r="P196" s="4"/>
      <c r="Q196" s="4">
        <f>IFERROR(__xludf.DUMMYFUNCTION("""COMPUTED_VALUE"""),-4.8085275104420475)</f>
        <v>-4.80852751</v>
      </c>
      <c r="R196" s="4"/>
      <c r="S196" s="4"/>
      <c r="T196" s="4">
        <f>IFERROR(__xludf.DUMMYFUNCTION("""COMPUTED_VALUE"""),2.3844021032505225)</f>
        <v>2.384402103</v>
      </c>
      <c r="U196" s="4"/>
      <c r="V196" s="4"/>
      <c r="W196" s="4">
        <f>IFERROR(__xludf.DUMMYFUNCTION("""COMPUTED_VALUE"""),8.9011951764017)</f>
        <v>8.901195176</v>
      </c>
      <c r="X196" s="4"/>
      <c r="Y196" s="4"/>
      <c r="Z196" s="4">
        <f>IFERROR(__xludf.DUMMYFUNCTION("""COMPUTED_VALUE"""),29.663173885565868)</f>
        <v>29.66317389</v>
      </c>
      <c r="AA196" s="4"/>
      <c r="AB196" s="4"/>
      <c r="AC196" s="4">
        <f>IFERROR(__xludf.DUMMYFUNCTION("""COMPUTED_VALUE"""),53.10669701428873)</f>
        <v>53.10669701</v>
      </c>
      <c r="AD196" s="4"/>
      <c r="AE196" s="4"/>
      <c r="AF196" s="4">
        <f>IFERROR(__xludf.DUMMYFUNCTION("""COMPUTED_VALUE"""),65.3910819048894)</f>
        <v>65.3910819</v>
      </c>
      <c r="AG196" s="4"/>
      <c r="AH196" s="4"/>
      <c r="AI196" s="4">
        <f>IFERROR(__xludf.DUMMYFUNCTION("""COMPUTED_VALUE"""),83.41165128182183)</f>
        <v>83.41165128</v>
      </c>
      <c r="AJ196" s="4"/>
      <c r="AK196" s="4"/>
      <c r="AL196" s="4">
        <f>IFERROR(__xludf.DUMMYFUNCTION("""COMPUTED_VALUE"""),91.17560909310134)</f>
        <v>91.17560909</v>
      </c>
      <c r="AM196" s="4"/>
      <c r="AN196" s="4"/>
      <c r="AO196" s="4">
        <f>IFERROR(__xludf.DUMMYFUNCTION("""COMPUTED_VALUE"""),85.5517335158882)</f>
        <v>85.55173352</v>
      </c>
      <c r="AP196" s="4"/>
      <c r="AQ196" s="4"/>
      <c r="AR196" s="4">
        <f>IFERROR(__xludf.DUMMYFUNCTION("""COMPUTED_VALUE"""),86.85863976484728)</f>
        <v>86.85863976</v>
      </c>
      <c r="AS196" s="4"/>
      <c r="AT196" s="4"/>
      <c r="AU196" s="4">
        <f>IFERROR(__xludf.DUMMYFUNCTION("""COMPUTED_VALUE"""),70.19183822662507)</f>
        <v>70.19183823</v>
      </c>
      <c r="AV196" s="4"/>
      <c r="AW196" s="4"/>
      <c r="AX196" s="4">
        <f>IFERROR(__xludf.DUMMYFUNCTION("""COMPUTED_VALUE"""),43.875063388138926)</f>
        <v>43.87506339</v>
      </c>
      <c r="AY196" s="4"/>
      <c r="AZ196" s="4"/>
      <c r="BA196" s="4">
        <f>IFERROR(__xludf.DUMMYFUNCTION("""COMPUTED_VALUE"""),34.94446402315236)</f>
        <v>34.94446402</v>
      </c>
      <c r="BB196" s="4"/>
      <c r="BC196" s="4"/>
      <c r="BD196" s="4">
        <f>IFERROR(__xludf.DUMMYFUNCTION("""COMPUTED_VALUE"""),23.77207361175141)</f>
        <v>23.77207361</v>
      </c>
      <c r="BE196" s="4"/>
      <c r="BF196" s="4"/>
      <c r="BG196" s="4">
        <f>IFERROR(__xludf.DUMMYFUNCTION("""COMPUTED_VALUE"""),6.97424723314316)</f>
        <v>6.974247233</v>
      </c>
      <c r="BH196" s="4"/>
      <c r="BI196" s="4"/>
      <c r="BJ196" s="4"/>
      <c r="BK196" s="4"/>
    </row>
    <row r="197">
      <c r="A197" s="4"/>
      <c r="B197" s="4"/>
      <c r="C197" s="4"/>
      <c r="D197" s="4">
        <f>IFERROR(__xludf.DUMMYFUNCTION("""COMPUTED_VALUE"""),32.14036462614819)</f>
        <v>32.14036463</v>
      </c>
      <c r="E197" s="23">
        <f>IFERROR(__xludf.DUMMYFUNCTION("""COMPUTED_VALUE"""),1.5465935936319966)</f>
        <v>1.546593594</v>
      </c>
      <c r="F197" s="4"/>
      <c r="G197" s="4"/>
      <c r="H197" s="4">
        <f>IFERROR(__xludf.DUMMYFUNCTION("""COMPUTED_VALUE"""),1.1490826021026237)</f>
        <v>1.149082602</v>
      </c>
      <c r="I197" s="4"/>
      <c r="J197" s="4"/>
      <c r="K197" s="4">
        <f>IFERROR(__xludf.DUMMYFUNCTION("""COMPUTED_VALUE"""),-1.2674714514379843)</f>
        <v>-1.267471451</v>
      </c>
      <c r="L197" s="4"/>
      <c r="M197" s="4"/>
      <c r="N197" s="4">
        <f>IFERROR(__xludf.DUMMYFUNCTION("""COMPUTED_VALUE"""),-4.903930781108784)</f>
        <v>-4.903930781</v>
      </c>
      <c r="O197" s="4"/>
      <c r="P197" s="4"/>
      <c r="Q197" s="4">
        <f>IFERROR(__xludf.DUMMYFUNCTION("""COMPUTED_VALUE"""),2.3471164150784602)</f>
        <v>2.347116415</v>
      </c>
      <c r="R197" s="4"/>
      <c r="S197" s="4"/>
      <c r="T197" s="4">
        <f>IFERROR(__xludf.DUMMYFUNCTION("""COMPUTED_VALUE"""),0.09714010037959042)</f>
        <v>0.09714010038</v>
      </c>
      <c r="U197" s="4"/>
      <c r="V197" s="4"/>
      <c r="W197" s="4">
        <f>IFERROR(__xludf.DUMMYFUNCTION("""COMPUTED_VALUE"""),8.177822642479441)</f>
        <v>8.177822642</v>
      </c>
      <c r="X197" s="4"/>
      <c r="Y197" s="4"/>
      <c r="Z197" s="4">
        <f>IFERROR(__xludf.DUMMYFUNCTION("""COMPUTED_VALUE"""),23.163683264287158)</f>
        <v>23.16368326</v>
      </c>
      <c r="AA197" s="4"/>
      <c r="AB197" s="4"/>
      <c r="AC197" s="4">
        <f>IFERROR(__xludf.DUMMYFUNCTION("""COMPUTED_VALUE"""),56.15106871065342)</f>
        <v>56.15106871</v>
      </c>
      <c r="AD197" s="4"/>
      <c r="AE197" s="4"/>
      <c r="AF197" s="4">
        <f>IFERROR(__xludf.DUMMYFUNCTION("""COMPUTED_VALUE"""),72.21566585313059)</f>
        <v>72.21566585</v>
      </c>
      <c r="AG197" s="4"/>
      <c r="AH197" s="4"/>
      <c r="AI197" s="4">
        <f>IFERROR(__xludf.DUMMYFUNCTION("""COMPUTED_VALUE"""),77.95560114659048)</f>
        <v>77.95560115</v>
      </c>
      <c r="AJ197" s="4"/>
      <c r="AK197" s="4"/>
      <c r="AL197" s="4">
        <f>IFERROR(__xludf.DUMMYFUNCTION("""COMPUTED_VALUE"""),94.33046604593903)</f>
        <v>94.33046605</v>
      </c>
      <c r="AM197" s="4"/>
      <c r="AN197" s="4"/>
      <c r="AO197" s="4">
        <f>IFERROR(__xludf.DUMMYFUNCTION("""COMPUTED_VALUE"""),85.27700002842033)</f>
        <v>85.27700003</v>
      </c>
      <c r="AP197" s="4"/>
      <c r="AQ197" s="4"/>
      <c r="AR197" s="4">
        <f>IFERROR(__xludf.DUMMYFUNCTION("""COMPUTED_VALUE"""),76.28536754720528)</f>
        <v>76.28536755</v>
      </c>
      <c r="AS197" s="4"/>
      <c r="AT197" s="4"/>
      <c r="AU197" s="4">
        <f>IFERROR(__xludf.DUMMYFUNCTION("""COMPUTED_VALUE"""),58.93868895577941)</f>
        <v>58.93868896</v>
      </c>
      <c r="AV197" s="4"/>
      <c r="AW197" s="4"/>
      <c r="AX197" s="4">
        <f>IFERROR(__xludf.DUMMYFUNCTION("""COMPUTED_VALUE"""),56.11624562724097)</f>
        <v>56.11624563</v>
      </c>
      <c r="AY197" s="4"/>
      <c r="AZ197" s="4"/>
      <c r="BA197" s="4">
        <f>IFERROR(__xludf.DUMMYFUNCTION("""COMPUTED_VALUE"""),36.46879048247513)</f>
        <v>36.46879048</v>
      </c>
      <c r="BB197" s="4"/>
      <c r="BC197" s="4"/>
      <c r="BD197" s="4">
        <f>IFERROR(__xludf.DUMMYFUNCTION("""COMPUTED_VALUE"""),22.578898122139094)</f>
        <v>22.57889812</v>
      </c>
      <c r="BE197" s="4"/>
      <c r="BF197" s="4"/>
      <c r="BG197" s="4">
        <f>IFERROR(__xludf.DUMMYFUNCTION("""COMPUTED_VALUE"""),10.560265866361249)</f>
        <v>10.56026587</v>
      </c>
      <c r="BH197" s="4"/>
      <c r="BI197" s="4"/>
      <c r="BJ197" s="4"/>
      <c r="BK197" s="4"/>
    </row>
    <row r="198">
      <c r="A198" s="4"/>
      <c r="B198" s="4"/>
      <c r="C198" s="4"/>
      <c r="D198" s="4">
        <f>IFERROR(__xludf.DUMMYFUNCTION("""COMPUTED_VALUE"""),31.22206849339847)</f>
        <v>31.22206849</v>
      </c>
      <c r="E198" s="23">
        <f>IFERROR(__xludf.DUMMYFUNCTION("""COMPUTED_VALUE"""),-2.0826568656132736)</f>
        <v>-2.082656866</v>
      </c>
      <c r="F198" s="4"/>
      <c r="G198" s="4"/>
      <c r="H198" s="4">
        <f>IFERROR(__xludf.DUMMYFUNCTION("""COMPUTED_VALUE"""),1.7276195107588137)</f>
        <v>1.727619511</v>
      </c>
      <c r="I198" s="4"/>
      <c r="J198" s="4"/>
      <c r="K198" s="4">
        <f>IFERROR(__xludf.DUMMYFUNCTION("""COMPUTED_VALUE"""),-0.2434770768275598)</f>
        <v>-0.2434770768</v>
      </c>
      <c r="L198" s="4"/>
      <c r="M198" s="4"/>
      <c r="N198" s="4">
        <f>IFERROR(__xludf.DUMMYFUNCTION("""COMPUTED_VALUE"""),7.325698192673599)</f>
        <v>7.325698193</v>
      </c>
      <c r="O198" s="4"/>
      <c r="P198" s="4"/>
      <c r="Q198" s="4">
        <f>IFERROR(__xludf.DUMMYFUNCTION("""COMPUTED_VALUE"""),-1.2162357306851845)</f>
        <v>-1.216235731</v>
      </c>
      <c r="R198" s="4"/>
      <c r="S198" s="4"/>
      <c r="T198" s="4">
        <f>IFERROR(__xludf.DUMMYFUNCTION("""COMPUTED_VALUE"""),7.125945228908392)</f>
        <v>7.125945229</v>
      </c>
      <c r="U198" s="4"/>
      <c r="V198" s="4"/>
      <c r="W198" s="4">
        <f>IFERROR(__xludf.DUMMYFUNCTION("""COMPUTED_VALUE"""),9.859467077913678)</f>
        <v>9.859467078</v>
      </c>
      <c r="X198" s="4"/>
      <c r="Y198" s="4"/>
      <c r="Z198" s="4">
        <f>IFERROR(__xludf.DUMMYFUNCTION("""COMPUTED_VALUE"""),31.399739385974783)</f>
        <v>31.39973939</v>
      </c>
      <c r="AA198" s="4"/>
      <c r="AB198" s="4"/>
      <c r="AC198" s="4">
        <f>IFERROR(__xludf.DUMMYFUNCTION("""COMPUTED_VALUE"""),54.44258454713099)</f>
        <v>54.44258455</v>
      </c>
      <c r="AD198" s="4"/>
      <c r="AE198" s="4"/>
      <c r="AF198" s="4">
        <f>IFERROR(__xludf.DUMMYFUNCTION("""COMPUTED_VALUE"""),64.84506572109706)</f>
        <v>64.84506572</v>
      </c>
      <c r="AG198" s="4"/>
      <c r="AH198" s="4"/>
      <c r="AI198" s="4">
        <f>IFERROR(__xludf.DUMMYFUNCTION("""COMPUTED_VALUE"""),82.30892198640458)</f>
        <v>82.30892199</v>
      </c>
      <c r="AJ198" s="4"/>
      <c r="AK198" s="4"/>
      <c r="AL198" s="4">
        <f>IFERROR(__xludf.DUMMYFUNCTION("""COMPUTED_VALUE"""),97.68456694627486)</f>
        <v>97.68456695</v>
      </c>
      <c r="AM198" s="4"/>
      <c r="AN198" s="4"/>
      <c r="AO198" s="4">
        <f>IFERROR(__xludf.DUMMYFUNCTION("""COMPUTED_VALUE"""),86.60011525514176)</f>
        <v>86.60011526</v>
      </c>
      <c r="AP198" s="4"/>
      <c r="AQ198" s="4"/>
      <c r="AR198" s="4">
        <f>IFERROR(__xludf.DUMMYFUNCTION("""COMPUTED_VALUE"""),79.89578989301441)</f>
        <v>79.89578989</v>
      </c>
      <c r="AS198" s="4"/>
      <c r="AT198" s="4"/>
      <c r="AU198" s="4">
        <f>IFERROR(__xludf.DUMMYFUNCTION("""COMPUTED_VALUE"""),71.48212143364822)</f>
        <v>71.48212143</v>
      </c>
      <c r="AV198" s="4"/>
      <c r="AW198" s="4"/>
      <c r="AX198" s="4">
        <f>IFERROR(__xludf.DUMMYFUNCTION("""COMPUTED_VALUE"""),45.9940042798421)</f>
        <v>45.99400428</v>
      </c>
      <c r="AY198" s="4"/>
      <c r="AZ198" s="4"/>
      <c r="BA198" s="4">
        <f>IFERROR(__xludf.DUMMYFUNCTION("""COMPUTED_VALUE"""),38.75380516822196)</f>
        <v>38.75380517</v>
      </c>
      <c r="BB198" s="4"/>
      <c r="BC198" s="4"/>
      <c r="BD198" s="4">
        <f>IFERROR(__xludf.DUMMYFUNCTION("""COMPUTED_VALUE"""),22.203963401875683)</f>
        <v>22.2039634</v>
      </c>
      <c r="BE198" s="4"/>
      <c r="BF198" s="4"/>
      <c r="BG198" s="4">
        <f>IFERROR(__xludf.DUMMYFUNCTION("""COMPUTED_VALUE"""),12.389544270264594)</f>
        <v>12.38954427</v>
      </c>
      <c r="BH198" s="4"/>
      <c r="BI198" s="4"/>
      <c r="BJ198" s="4"/>
      <c r="BK198" s="4"/>
    </row>
    <row r="199">
      <c r="A199" s="4"/>
      <c r="B199" s="4"/>
      <c r="C199" s="4"/>
      <c r="D199" s="4">
        <f>IFERROR(__xludf.DUMMYFUNCTION("""COMPUTED_VALUE"""),30.303772360598394)</f>
        <v>30.30377236</v>
      </c>
      <c r="E199" s="23">
        <f>IFERROR(__xludf.DUMMYFUNCTION("""COMPUTED_VALUE"""),-6.101198943238273)</f>
        <v>-6.101198943</v>
      </c>
      <c r="F199" s="4"/>
      <c r="G199" s="4"/>
      <c r="H199" s="4">
        <f>IFERROR(__xludf.DUMMYFUNCTION("""COMPUTED_VALUE"""),1.5303674784512395)</f>
        <v>1.530367478</v>
      </c>
      <c r="I199" s="4"/>
      <c r="J199" s="4"/>
      <c r="K199" s="4">
        <f>IFERROR(__xludf.DUMMYFUNCTION("""COMPUTED_VALUE"""),0.7280050154371907)</f>
        <v>0.7280050154</v>
      </c>
      <c r="L199" s="4"/>
      <c r="M199" s="4"/>
      <c r="N199" s="4">
        <f>IFERROR(__xludf.DUMMYFUNCTION("""COMPUTED_VALUE"""),3.3067288668988795)</f>
        <v>3.306728867</v>
      </c>
      <c r="O199" s="4"/>
      <c r="P199" s="4"/>
      <c r="Q199" s="4">
        <f>IFERROR(__xludf.DUMMYFUNCTION("""COMPUTED_VALUE"""),6.865162682041841)</f>
        <v>6.865162682</v>
      </c>
      <c r="R199" s="4"/>
      <c r="S199" s="4"/>
      <c r="T199" s="4">
        <f>IFERROR(__xludf.DUMMYFUNCTION("""COMPUTED_VALUE"""),10.841144530177246)</f>
        <v>10.84114453</v>
      </c>
      <c r="U199" s="4"/>
      <c r="V199" s="4"/>
      <c r="W199" s="4">
        <f>IFERROR(__xludf.DUMMYFUNCTION("""COMPUTED_VALUE"""),12.234041495626684)</f>
        <v>12.2340415</v>
      </c>
      <c r="X199" s="4"/>
      <c r="Y199" s="4"/>
      <c r="Z199" s="4">
        <f>IFERROR(__xludf.DUMMYFUNCTION("""COMPUTED_VALUE"""),31.829554537896)</f>
        <v>31.82955454</v>
      </c>
      <c r="AA199" s="4"/>
      <c r="AB199" s="4"/>
      <c r="AC199" s="4">
        <f>IFERROR(__xludf.DUMMYFUNCTION("""COMPUTED_VALUE"""),59.38873737625477)</f>
        <v>59.38873738</v>
      </c>
      <c r="AD199" s="4"/>
      <c r="AE199" s="4"/>
      <c r="AF199" s="4">
        <f>IFERROR(__xludf.DUMMYFUNCTION("""COMPUTED_VALUE"""),67.57440913220142)</f>
        <v>67.57440913</v>
      </c>
      <c r="AG199" s="4"/>
      <c r="AH199" s="4"/>
      <c r="AI199" s="4">
        <f>IFERROR(__xludf.DUMMYFUNCTION("""COMPUTED_VALUE"""),83.96826902493217)</f>
        <v>83.96826902</v>
      </c>
      <c r="AJ199" s="4"/>
      <c r="AK199" s="4"/>
      <c r="AL199" s="4">
        <f>IFERROR(__xludf.DUMMYFUNCTION("""COMPUTED_VALUE"""),92.23707084914821)</f>
        <v>92.23707085</v>
      </c>
      <c r="AM199" s="4"/>
      <c r="AN199" s="4"/>
      <c r="AO199" s="4">
        <f>IFERROR(__xludf.DUMMYFUNCTION("""COMPUTED_VALUE"""),88.90327862985208)</f>
        <v>88.90327863</v>
      </c>
      <c r="AP199" s="4"/>
      <c r="AQ199" s="4"/>
      <c r="AR199" s="4">
        <f>IFERROR(__xludf.DUMMYFUNCTION("""COMPUTED_VALUE"""),83.1780718567502)</f>
        <v>83.17807186</v>
      </c>
      <c r="AS199" s="4"/>
      <c r="AT199" s="4"/>
      <c r="AU199" s="4">
        <f>IFERROR(__xludf.DUMMYFUNCTION("""COMPUTED_VALUE"""),71.8097510843699)</f>
        <v>71.80975108</v>
      </c>
      <c r="AV199" s="4"/>
      <c r="AW199" s="4"/>
      <c r="AX199" s="4">
        <f>IFERROR(__xludf.DUMMYFUNCTION("""COMPUTED_VALUE"""),57.56966409026501)</f>
        <v>57.56966409</v>
      </c>
      <c r="AY199" s="4"/>
      <c r="AZ199" s="4"/>
      <c r="BA199" s="4">
        <f>IFERROR(__xludf.DUMMYFUNCTION("""COMPUTED_VALUE"""),33.42015388738923)</f>
        <v>33.42015389</v>
      </c>
      <c r="BB199" s="4"/>
      <c r="BC199" s="4"/>
      <c r="BD199" s="4">
        <f>IFERROR(__xludf.DUMMYFUNCTION("""COMPUTED_VALUE"""),25.99468113453048)</f>
        <v>25.99468113</v>
      </c>
      <c r="BE199" s="4"/>
      <c r="BF199" s="4"/>
      <c r="BG199" s="4">
        <f>IFERROR(__xludf.DUMMYFUNCTION("""COMPUTED_VALUE"""),10.530503169503447)</f>
        <v>10.53050317</v>
      </c>
      <c r="BH199" s="4"/>
      <c r="BI199" s="4"/>
      <c r="BJ199" s="4"/>
      <c r="BK199" s="4"/>
    </row>
    <row r="200">
      <c r="A200" s="4"/>
      <c r="B200" s="4"/>
      <c r="C200" s="4"/>
      <c r="D200" s="4">
        <f>IFERROR(__xludf.DUMMYFUNCTION("""COMPUTED_VALUE"""),29.385476229913266)</f>
        <v>29.38547623</v>
      </c>
      <c r="E200" s="23">
        <f>IFERROR(__xludf.DUMMYFUNCTION("""COMPUTED_VALUE"""),-0.9296307165446933)</f>
        <v>-0.9296307165</v>
      </c>
      <c r="F200" s="4"/>
      <c r="G200" s="4"/>
      <c r="H200" s="4">
        <f>IFERROR(__xludf.DUMMYFUNCTION("""COMPUTED_VALUE"""),1.9660156935416921)</f>
        <v>1.966015694</v>
      </c>
      <c r="I200" s="4"/>
      <c r="J200" s="4"/>
      <c r="K200" s="4">
        <f>IFERROR(__xludf.DUMMYFUNCTION("""COMPUTED_VALUE"""),-2.3958174873981193)</f>
        <v>-2.395817487</v>
      </c>
      <c r="L200" s="4"/>
      <c r="M200" s="4"/>
      <c r="N200" s="4">
        <f>IFERROR(__xludf.DUMMYFUNCTION("""COMPUTED_VALUE"""),7.099845254457421)</f>
        <v>7.099845254</v>
      </c>
      <c r="O200" s="4"/>
      <c r="P200" s="4"/>
      <c r="Q200" s="4">
        <f>IFERROR(__xludf.DUMMYFUNCTION("""COMPUTED_VALUE"""),3.4256069899010413)</f>
        <v>3.42560699</v>
      </c>
      <c r="R200" s="4"/>
      <c r="S200" s="4"/>
      <c r="T200" s="4">
        <f>IFERROR(__xludf.DUMMYFUNCTION("""COMPUTED_VALUE"""),10.35906202922996)</f>
        <v>10.35906203</v>
      </c>
      <c r="U200" s="4"/>
      <c r="V200" s="4"/>
      <c r="W200" s="4">
        <f>IFERROR(__xludf.DUMMYFUNCTION("""COMPUTED_VALUE"""),16.251293169253586)</f>
        <v>16.25129317</v>
      </c>
      <c r="X200" s="4"/>
      <c r="Y200" s="4"/>
      <c r="Z200" s="4">
        <f>IFERROR(__xludf.DUMMYFUNCTION("""COMPUTED_VALUE"""),35.767357964909195)</f>
        <v>35.76735796</v>
      </c>
      <c r="AA200" s="4"/>
      <c r="AB200" s="4"/>
      <c r="AC200" s="4">
        <f>IFERROR(__xludf.DUMMYFUNCTION("""COMPUTED_VALUE"""),57.91108658741871)</f>
        <v>57.91108659</v>
      </c>
      <c r="AD200" s="4"/>
      <c r="AE200" s="4"/>
      <c r="AF200" s="4">
        <f>IFERROR(__xludf.DUMMYFUNCTION("""COMPUTED_VALUE"""),77.07439437642506)</f>
        <v>77.07439438</v>
      </c>
      <c r="AG200" s="4"/>
      <c r="AH200" s="4"/>
      <c r="AI200" s="4">
        <f>IFERROR(__xludf.DUMMYFUNCTION("""COMPUTED_VALUE"""),87.70003789054653)</f>
        <v>87.70003789</v>
      </c>
      <c r="AJ200" s="4"/>
      <c r="AK200" s="4"/>
      <c r="AL200" s="4">
        <f>IFERROR(__xludf.DUMMYFUNCTION("""COMPUTED_VALUE"""),95.29663462086955)</f>
        <v>95.29663462</v>
      </c>
      <c r="AM200" s="4"/>
      <c r="AN200" s="4"/>
      <c r="AO200" s="4">
        <f>IFERROR(__xludf.DUMMYFUNCTION("""COMPUTED_VALUE"""),92.25071804087418)</f>
        <v>92.25071804</v>
      </c>
      <c r="AP200" s="4"/>
      <c r="AQ200" s="4"/>
      <c r="AR200" s="4">
        <f>IFERROR(__xludf.DUMMYFUNCTION("""COMPUTED_VALUE"""),81.64288157265509)</f>
        <v>81.64288157</v>
      </c>
      <c r="AS200" s="4"/>
      <c r="AT200" s="4"/>
      <c r="AU200" s="4">
        <f>IFERROR(__xludf.DUMMYFUNCTION("""COMPUTED_VALUE"""),68.37433254183298)</f>
        <v>68.37433254</v>
      </c>
      <c r="AV200" s="4"/>
      <c r="AW200" s="4"/>
      <c r="AX200" s="4">
        <f>IFERROR(__xludf.DUMMYFUNCTION("""COMPUTED_VALUE"""),52.04980477697262)</f>
        <v>52.04980478</v>
      </c>
      <c r="AY200" s="4"/>
      <c r="AZ200" s="4"/>
      <c r="BA200" s="4">
        <f>IFERROR(__xludf.DUMMYFUNCTION("""COMPUTED_VALUE"""),40.431572876652524)</f>
        <v>40.43157288</v>
      </c>
      <c r="BB200" s="4"/>
      <c r="BC200" s="4"/>
      <c r="BD200" s="4">
        <f>IFERROR(__xludf.DUMMYFUNCTION("""COMPUTED_VALUE"""),24.145169899142957)</f>
        <v>24.1451699</v>
      </c>
      <c r="BE200" s="4"/>
      <c r="BF200" s="4"/>
      <c r="BG200" s="4">
        <f>IFERROR(__xludf.DUMMYFUNCTION("""COMPUTED_VALUE"""),15.053265386219778)</f>
        <v>15.05326539</v>
      </c>
      <c r="BH200" s="4"/>
      <c r="BI200" s="4"/>
      <c r="BJ200" s="4"/>
      <c r="BK200" s="4"/>
    </row>
    <row r="201">
      <c r="A201" s="4"/>
      <c r="B201" s="4"/>
      <c r="C201" s="4"/>
      <c r="D201" s="4">
        <f>IFERROR(__xludf.DUMMYFUNCTION("""COMPUTED_VALUE"""),28.46718009716355)</f>
        <v>28.4671801</v>
      </c>
      <c r="E201" s="23">
        <f>IFERROR(__xludf.DUMMYFUNCTION("""COMPUTED_VALUE"""),2.350304380501143)</f>
        <v>2.350304381</v>
      </c>
      <c r="F201" s="4"/>
      <c r="G201" s="4"/>
      <c r="H201" s="4">
        <f>IFERROR(__xludf.DUMMYFUNCTION("""COMPUTED_VALUE"""),3.294960893349298)</f>
        <v>3.294960893</v>
      </c>
      <c r="I201" s="4"/>
      <c r="J201" s="4"/>
      <c r="K201" s="4">
        <f>IFERROR(__xludf.DUMMYFUNCTION("""COMPUTED_VALUE"""),-1.4162437033601805)</f>
        <v>-1.416243703</v>
      </c>
      <c r="L201" s="4"/>
      <c r="M201" s="4"/>
      <c r="N201" s="4">
        <f>IFERROR(__xludf.DUMMYFUNCTION("""COMPUTED_VALUE"""),-0.47441206344637976)</f>
        <v>-0.4744120634</v>
      </c>
      <c r="O201" s="4"/>
      <c r="P201" s="4"/>
      <c r="Q201" s="4">
        <f>IFERROR(__xludf.DUMMYFUNCTION("""COMPUTED_VALUE"""),10.925405400913917)</f>
        <v>10.9254054</v>
      </c>
      <c r="R201" s="4"/>
      <c r="S201" s="4"/>
      <c r="T201" s="4">
        <f>IFERROR(__xludf.DUMMYFUNCTION("""COMPUTED_VALUE"""),7.034236399256372)</f>
        <v>7.034236399</v>
      </c>
      <c r="U201" s="4"/>
      <c r="V201" s="4"/>
      <c r="W201" s="4">
        <f>IFERROR(__xludf.DUMMYFUNCTION("""COMPUTED_VALUE"""),16.30309825573022)</f>
        <v>16.30309826</v>
      </c>
      <c r="X201" s="4"/>
      <c r="Y201" s="4"/>
      <c r="Z201" s="4">
        <f>IFERROR(__xludf.DUMMYFUNCTION("""COMPUTED_VALUE"""),37.64771397486288)</f>
        <v>37.64771397</v>
      </c>
      <c r="AA201" s="4"/>
      <c r="AB201" s="4"/>
      <c r="AC201" s="4">
        <f>IFERROR(__xludf.DUMMYFUNCTION("""COMPUTED_VALUE"""),56.80672783054018)</f>
        <v>56.80672783</v>
      </c>
      <c r="AD201" s="4"/>
      <c r="AE201" s="4"/>
      <c r="AF201" s="4">
        <f>IFERROR(__xludf.DUMMYFUNCTION("""COMPUTED_VALUE"""),70.1828360336641)</f>
        <v>70.18283603</v>
      </c>
      <c r="AG201" s="4"/>
      <c r="AH201" s="4"/>
      <c r="AI201" s="4">
        <f>IFERROR(__xludf.DUMMYFUNCTION("""COMPUTED_VALUE"""),83.06760054956561)</f>
        <v>83.06760055</v>
      </c>
      <c r="AJ201" s="4"/>
      <c r="AK201" s="4"/>
      <c r="AL201" s="4">
        <f>IFERROR(__xludf.DUMMYFUNCTION("""COMPUTED_VALUE"""),91.73510635969319)</f>
        <v>91.73510636</v>
      </c>
      <c r="AM201" s="4"/>
      <c r="AN201" s="4"/>
      <c r="AO201" s="4">
        <f>IFERROR(__xludf.DUMMYFUNCTION("""COMPUTED_VALUE"""),93.29899463719488)</f>
        <v>93.29899464</v>
      </c>
      <c r="AP201" s="4"/>
      <c r="AQ201" s="4"/>
      <c r="AR201" s="4">
        <f>IFERROR(__xludf.DUMMYFUNCTION("""COMPUTED_VALUE"""),85.09628505912883)</f>
        <v>85.09628506</v>
      </c>
      <c r="AS201" s="4"/>
      <c r="AT201" s="4"/>
      <c r="AU201" s="4">
        <f>IFERROR(__xludf.DUMMYFUNCTION("""COMPUTED_VALUE"""),73.84483630442963)</f>
        <v>73.8448363</v>
      </c>
      <c r="AV201" s="4"/>
      <c r="AW201" s="4"/>
      <c r="AX201" s="4">
        <f>IFERROR(__xludf.DUMMYFUNCTION("""COMPUTED_VALUE"""),49.8320486402265)</f>
        <v>49.83204864</v>
      </c>
      <c r="AY201" s="4"/>
      <c r="AZ201" s="4"/>
      <c r="BA201" s="4">
        <f>IFERROR(__xludf.DUMMYFUNCTION("""COMPUTED_VALUE"""),34.2071163922904)</f>
        <v>34.20711639</v>
      </c>
      <c r="BB201" s="4"/>
      <c r="BC201" s="4"/>
      <c r="BD201" s="4">
        <f>IFERROR(__xludf.DUMMYFUNCTION("""COMPUTED_VALUE"""),22.557806175379824)</f>
        <v>22.55780618</v>
      </c>
      <c r="BE201" s="4"/>
      <c r="BF201" s="4"/>
      <c r="BG201" s="4">
        <f>IFERROR(__xludf.DUMMYFUNCTION("""COMPUTED_VALUE"""),15.289001966721855)</f>
        <v>15.28900197</v>
      </c>
      <c r="BH201" s="4"/>
      <c r="BI201" s="4"/>
      <c r="BJ201" s="4"/>
      <c r="BK201" s="4"/>
    </row>
    <row r="202">
      <c r="A202" s="4"/>
      <c r="B202" s="4"/>
      <c r="C202" s="4"/>
      <c r="D202" s="4">
        <f>IFERROR(__xludf.DUMMYFUNCTION("""COMPUTED_VALUE"""),27.54888396436347)</f>
        <v>27.54888396</v>
      </c>
      <c r="E202" s="23">
        <f>IFERROR(__xludf.DUMMYFUNCTION("""COMPUTED_VALUE"""),-0.8605084799242491)</f>
        <v>-0.8605084799</v>
      </c>
      <c r="F202" s="4"/>
      <c r="G202" s="4"/>
      <c r="H202" s="4">
        <f>IFERROR(__xludf.DUMMYFUNCTION("""COMPUTED_VALUE"""),4.033123600705949)</f>
        <v>4.033123601</v>
      </c>
      <c r="I202" s="4"/>
      <c r="J202" s="4"/>
      <c r="K202" s="4">
        <f>IFERROR(__xludf.DUMMYFUNCTION("""COMPUTED_VALUE"""),3.697834083501675)</f>
        <v>3.697834084</v>
      </c>
      <c r="L202" s="4"/>
      <c r="M202" s="4"/>
      <c r="N202" s="4">
        <f>IFERROR(__xludf.DUMMYFUNCTION("""COMPUTED_VALUE"""),-1.5346934783082702)</f>
        <v>-1.534693478</v>
      </c>
      <c r="O202" s="4"/>
      <c r="P202" s="4"/>
      <c r="Q202" s="4">
        <f>IFERROR(__xludf.DUMMYFUNCTION("""COMPUTED_VALUE"""),7.630400894482307)</f>
        <v>7.630400894</v>
      </c>
      <c r="R202" s="4"/>
      <c r="S202" s="4"/>
      <c r="T202" s="4">
        <f>IFERROR(__xludf.DUMMYFUNCTION("""COMPUTED_VALUE"""),5.825902437799357)</f>
        <v>5.825902438</v>
      </c>
      <c r="U202" s="4"/>
      <c r="V202" s="4"/>
      <c r="W202" s="4">
        <f>IFERROR(__xludf.DUMMYFUNCTION("""COMPUTED_VALUE"""),12.935688561677296)</f>
        <v>12.93568856</v>
      </c>
      <c r="X202" s="4"/>
      <c r="Y202" s="4"/>
      <c r="Z202" s="4">
        <f>IFERROR(__xludf.DUMMYFUNCTION("""COMPUTED_VALUE"""),33.890382703386365)</f>
        <v>33.8903827</v>
      </c>
      <c r="AA202" s="4"/>
      <c r="AB202" s="4"/>
      <c r="AC202" s="4">
        <f>IFERROR(__xludf.DUMMYFUNCTION("""COMPUTED_VALUE"""),54.08049004007779)</f>
        <v>54.08049004</v>
      </c>
      <c r="AD202" s="4"/>
      <c r="AE202" s="4"/>
      <c r="AF202" s="4">
        <f>IFERROR(__xludf.DUMMYFUNCTION("""COMPUTED_VALUE"""),68.69784672131419)</f>
        <v>68.69784672</v>
      </c>
      <c r="AG202" s="4"/>
      <c r="AH202" s="4"/>
      <c r="AI202" s="4">
        <f>IFERROR(__xludf.DUMMYFUNCTION("""COMPUTED_VALUE"""),85.96816083900092)</f>
        <v>85.96816084</v>
      </c>
      <c r="AJ202" s="4"/>
      <c r="AK202" s="4"/>
      <c r="AL202" s="4">
        <f>IFERROR(__xludf.DUMMYFUNCTION("""COMPUTED_VALUE"""),102.78777676900489)</f>
        <v>102.7877768</v>
      </c>
      <c r="AM202" s="4"/>
      <c r="AN202" s="4"/>
      <c r="AO202" s="4">
        <f>IFERROR(__xludf.DUMMYFUNCTION("""COMPUTED_VALUE"""),100.14713996370779)</f>
        <v>100.14714</v>
      </c>
      <c r="AP202" s="4"/>
      <c r="AQ202" s="4"/>
      <c r="AR202" s="4">
        <f>IFERROR(__xludf.DUMMYFUNCTION("""COMPUTED_VALUE"""),89.61873545657471)</f>
        <v>89.61873546</v>
      </c>
      <c r="AS202" s="4"/>
      <c r="AT202" s="4"/>
      <c r="AU202" s="4">
        <f>IFERROR(__xludf.DUMMYFUNCTION("""COMPUTED_VALUE"""),70.88314518463045)</f>
        <v>70.88314518</v>
      </c>
      <c r="AV202" s="4"/>
      <c r="AW202" s="4"/>
      <c r="AX202" s="4">
        <f>IFERROR(__xludf.DUMMYFUNCTION("""COMPUTED_VALUE"""),58.75418618974595)</f>
        <v>58.75418619</v>
      </c>
      <c r="AY202" s="4"/>
      <c r="AZ202" s="4"/>
      <c r="BA202" s="4">
        <f>IFERROR(__xludf.DUMMYFUNCTION("""COMPUTED_VALUE"""),38.02072175367283)</f>
        <v>38.02072175</v>
      </c>
      <c r="BB202" s="4"/>
      <c r="BC202" s="4"/>
      <c r="BD202" s="4">
        <f>IFERROR(__xludf.DUMMYFUNCTION("""COMPUTED_VALUE"""),29.91853098121055)</f>
        <v>29.91853098</v>
      </c>
      <c r="BE202" s="4"/>
      <c r="BF202" s="4"/>
      <c r="BG202" s="4">
        <f>IFERROR(__xludf.DUMMYFUNCTION("""COMPUTED_VALUE"""),11.923562204930704)</f>
        <v>11.9235622</v>
      </c>
      <c r="BH202" s="4"/>
      <c r="BI202" s="4"/>
      <c r="BJ202" s="4"/>
      <c r="BK202" s="4"/>
    </row>
    <row r="203">
      <c r="A203" s="4"/>
      <c r="B203" s="4"/>
      <c r="C203" s="4"/>
      <c r="D203" s="4">
        <f>IFERROR(__xludf.DUMMYFUNCTION("""COMPUTED_VALUE"""),26.630587833728697)</f>
        <v>26.63058783</v>
      </c>
      <c r="E203" s="23">
        <f>IFERROR(__xludf.DUMMYFUNCTION("""COMPUTED_VALUE"""),-3.485668923648234)</f>
        <v>-3.485668924</v>
      </c>
      <c r="F203" s="4"/>
      <c r="G203" s="4"/>
      <c r="H203" s="4">
        <f>IFERROR(__xludf.DUMMYFUNCTION("""COMPUTED_VALUE"""),8.077528127582866)</f>
        <v>8.077528128</v>
      </c>
      <c r="I203" s="4"/>
      <c r="J203" s="4"/>
      <c r="K203" s="4">
        <f>IFERROR(__xludf.DUMMYFUNCTION("""COMPUTED_VALUE"""),4.3588788003687)</f>
        <v>4.3588788</v>
      </c>
      <c r="L203" s="4"/>
      <c r="M203" s="4"/>
      <c r="N203" s="4">
        <f>IFERROR(__xludf.DUMMYFUNCTION("""COMPUTED_VALUE"""),1.6931117168369951)</f>
        <v>1.693111717</v>
      </c>
      <c r="O203" s="4"/>
      <c r="P203" s="4"/>
      <c r="Q203" s="4">
        <f>IFERROR(__xludf.DUMMYFUNCTION("""COMPUTED_VALUE"""),2.7083210329407166)</f>
        <v>2.708321033</v>
      </c>
      <c r="R203" s="4"/>
      <c r="S203" s="4"/>
      <c r="T203" s="4">
        <f>IFERROR(__xludf.DUMMYFUNCTION("""COMPUTED_VALUE"""),11.867873130728753)</f>
        <v>11.86787313</v>
      </c>
      <c r="U203" s="4"/>
      <c r="V203" s="4"/>
      <c r="W203" s="4">
        <f>IFERROR(__xludf.DUMMYFUNCTION("""COMPUTED_VALUE"""),8.046083123226424)</f>
        <v>8.046083123</v>
      </c>
      <c r="X203" s="4"/>
      <c r="Y203" s="4"/>
      <c r="Z203" s="4">
        <f>IFERROR(__xludf.DUMMYFUNCTION("""COMPUTED_VALUE"""),32.66400039328141)</f>
        <v>32.66400039</v>
      </c>
      <c r="AA203" s="4"/>
      <c r="AB203" s="4"/>
      <c r="AC203" s="4">
        <f>IFERROR(__xludf.DUMMYFUNCTION("""COMPUTED_VALUE"""),56.34220220889216)</f>
        <v>56.34220221</v>
      </c>
      <c r="AD203" s="4"/>
      <c r="AE203" s="4"/>
      <c r="AF203" s="4">
        <f>IFERROR(__xludf.DUMMYFUNCTION("""COMPUTED_VALUE"""),70.53735338990128)</f>
        <v>70.53735339</v>
      </c>
      <c r="AG203" s="4"/>
      <c r="AH203" s="4"/>
      <c r="AI203" s="4">
        <f>IFERROR(__xludf.DUMMYFUNCTION("""COMPUTED_VALUE"""),84.76113661800946)</f>
        <v>84.76113662</v>
      </c>
      <c r="AJ203" s="4"/>
      <c r="AK203" s="4"/>
      <c r="AL203" s="4">
        <f>IFERROR(__xludf.DUMMYFUNCTION("""COMPUTED_VALUE"""),109.2436033370144)</f>
        <v>109.2436033</v>
      </c>
      <c r="AM203" s="4"/>
      <c r="AN203" s="4"/>
      <c r="AO203" s="4">
        <f>IFERROR(__xludf.DUMMYFUNCTION("""COMPUTED_VALUE"""),101.69934454903273)</f>
        <v>101.6993445</v>
      </c>
      <c r="AP203" s="4"/>
      <c r="AQ203" s="4"/>
      <c r="AR203" s="4">
        <f>IFERROR(__xludf.DUMMYFUNCTION("""COMPUTED_VALUE"""),92.31212905106764)</f>
        <v>92.31212905</v>
      </c>
      <c r="AS203" s="4"/>
      <c r="AT203" s="4"/>
      <c r="AU203" s="4">
        <f>IFERROR(__xludf.DUMMYFUNCTION("""COMPUTED_VALUE"""),77.46043828726943)</f>
        <v>77.46043829</v>
      </c>
      <c r="AV203" s="4"/>
      <c r="AW203" s="4"/>
      <c r="AX203" s="4">
        <f>IFERROR(__xludf.DUMMYFUNCTION("""COMPUTED_VALUE"""),54.83992174974219)</f>
        <v>54.83992175</v>
      </c>
      <c r="AY203" s="4"/>
      <c r="AZ203" s="4"/>
      <c r="BA203" s="4">
        <f>IFERROR(__xludf.DUMMYFUNCTION("""COMPUTED_VALUE"""),47.00776755950574)</f>
        <v>47.00776756</v>
      </c>
      <c r="BB203" s="4"/>
      <c r="BC203" s="4"/>
      <c r="BD203" s="4">
        <f>IFERROR(__xludf.DUMMYFUNCTION("""COMPUTED_VALUE"""),22.174713265440346)</f>
        <v>22.17471327</v>
      </c>
      <c r="BE203" s="4"/>
      <c r="BF203" s="4"/>
      <c r="BG203" s="4">
        <f>IFERROR(__xludf.DUMMYFUNCTION("""COMPUTED_VALUE"""),12.844726477695303)</f>
        <v>12.84472648</v>
      </c>
      <c r="BH203" s="4"/>
      <c r="BI203" s="4"/>
      <c r="BJ203" s="4"/>
      <c r="BK203" s="4"/>
    </row>
    <row r="204">
      <c r="A204" s="4"/>
      <c r="B204" s="4"/>
      <c r="C204" s="4"/>
      <c r="D204" s="4">
        <f>IFERROR(__xludf.DUMMYFUNCTION("""COMPUTED_VALUE"""),25.71229170092862)</f>
        <v>25.7122917</v>
      </c>
      <c r="E204" s="23">
        <f>IFERROR(__xludf.DUMMYFUNCTION("""COMPUTED_VALUE"""),0.48533426579450634)</f>
        <v>0.4853342658</v>
      </c>
      <c r="F204" s="4"/>
      <c r="G204" s="4"/>
      <c r="H204" s="4">
        <f>IFERROR(__xludf.DUMMYFUNCTION("""COMPUTED_VALUE"""),5.372474917732916)</f>
        <v>5.372474918</v>
      </c>
      <c r="I204" s="4"/>
      <c r="J204" s="4"/>
      <c r="K204" s="4">
        <f>IFERROR(__xludf.DUMMYFUNCTION("""COMPUTED_VALUE"""),8.50047611284856)</f>
        <v>8.500476113</v>
      </c>
      <c r="L204" s="4"/>
      <c r="M204" s="4"/>
      <c r="N204" s="4">
        <f>IFERROR(__xludf.DUMMYFUNCTION("""COMPUTED_VALUE"""),-1.9982358372450335)</f>
        <v>-1.998235837</v>
      </c>
      <c r="O204" s="4"/>
      <c r="P204" s="4"/>
      <c r="Q204" s="4">
        <f>IFERROR(__xludf.DUMMYFUNCTION("""COMPUTED_VALUE"""),8.678115031997095)</f>
        <v>8.678115032</v>
      </c>
      <c r="R204" s="4"/>
      <c r="S204" s="4"/>
      <c r="T204" s="4">
        <f>IFERROR(__xludf.DUMMYFUNCTION("""COMPUTED_VALUE"""),10.561526182281284)</f>
        <v>10.56152618</v>
      </c>
      <c r="U204" s="4"/>
      <c r="V204" s="4"/>
      <c r="W204" s="4">
        <f>IFERROR(__xludf.DUMMYFUNCTION("""COMPUTED_VALUE"""),10.839671001083161)</f>
        <v>10.839671</v>
      </c>
      <c r="X204" s="4"/>
      <c r="Y204" s="4"/>
      <c r="Z204" s="4">
        <f>IFERROR(__xludf.DUMMYFUNCTION("""COMPUTED_VALUE"""),31.997706904191546)</f>
        <v>31.9977069</v>
      </c>
      <c r="AA204" s="4"/>
      <c r="AB204" s="4"/>
      <c r="AC204" s="4">
        <f>IFERROR(__xludf.DUMMYFUNCTION("""COMPUTED_VALUE"""),60.40651344812909)</f>
        <v>60.40651345</v>
      </c>
      <c r="AD204" s="4"/>
      <c r="AE204" s="4"/>
      <c r="AF204" s="4">
        <f>IFERROR(__xludf.DUMMYFUNCTION("""COMPUTED_VALUE"""),78.7444715572961)</f>
        <v>78.74447156</v>
      </c>
      <c r="AG204" s="4"/>
      <c r="AH204" s="4"/>
      <c r="AI204" s="4">
        <f>IFERROR(__xludf.DUMMYFUNCTION("""COMPUTED_VALUE"""),89.18372423781676)</f>
        <v>89.18372424</v>
      </c>
      <c r="AJ204" s="4"/>
      <c r="AK204" s="4"/>
      <c r="AL204" s="4">
        <f>IFERROR(__xludf.DUMMYFUNCTION("""COMPUTED_VALUE"""),100.5160576790692)</f>
        <v>100.5160577</v>
      </c>
      <c r="AM204" s="4"/>
      <c r="AN204" s="4"/>
      <c r="AO204" s="4">
        <f>IFERROR(__xludf.DUMMYFUNCTION("""COMPUTED_VALUE"""),99.78302287771186)</f>
        <v>99.78302288</v>
      </c>
      <c r="AP204" s="4"/>
      <c r="AQ204" s="4"/>
      <c r="AR204" s="4">
        <f>IFERROR(__xludf.DUMMYFUNCTION("""COMPUTED_VALUE"""),97.41434096931982)</f>
        <v>97.41434097</v>
      </c>
      <c r="AS204" s="4"/>
      <c r="AT204" s="4"/>
      <c r="AU204" s="4">
        <f>IFERROR(__xludf.DUMMYFUNCTION("""COMPUTED_VALUE"""),73.41176530014337)</f>
        <v>73.4117653</v>
      </c>
      <c r="AV204" s="4"/>
      <c r="AW204" s="4"/>
      <c r="AX204" s="4">
        <f>IFERROR(__xludf.DUMMYFUNCTION("""COMPUTED_VALUE"""),53.44191785618477)</f>
        <v>53.44191786</v>
      </c>
      <c r="AY204" s="4"/>
      <c r="AZ204" s="4"/>
      <c r="BA204" s="4">
        <f>IFERROR(__xludf.DUMMYFUNCTION("""COMPUTED_VALUE"""),43.69249568036503)</f>
        <v>43.69249568</v>
      </c>
      <c r="BB204" s="4"/>
      <c r="BC204" s="4"/>
      <c r="BD204" s="4">
        <f>IFERROR(__xludf.DUMMYFUNCTION("""COMPUTED_VALUE"""),25.155240447619576)</f>
        <v>25.15524045</v>
      </c>
      <c r="BE204" s="4"/>
      <c r="BF204" s="4"/>
      <c r="BG204" s="4">
        <f>IFERROR(__xludf.DUMMYFUNCTION("""COMPUTED_VALUE"""),19.01476013342881)</f>
        <v>19.01476013</v>
      </c>
      <c r="BH204" s="4"/>
      <c r="BI204" s="4"/>
      <c r="BJ204" s="4"/>
      <c r="BK204" s="4"/>
    </row>
    <row r="205">
      <c r="A205" s="4"/>
      <c r="B205" s="4"/>
      <c r="C205" s="4"/>
      <c r="D205" s="4">
        <f>IFERROR(__xludf.DUMMYFUNCTION("""COMPUTED_VALUE"""),24.793995568128548)</f>
        <v>24.79399557</v>
      </c>
      <c r="E205" s="23">
        <f>IFERROR(__xludf.DUMMYFUNCTION("""COMPUTED_VALUE"""),1.0474841218554616)</f>
        <v>1.047484122</v>
      </c>
      <c r="F205" s="4"/>
      <c r="G205" s="4"/>
      <c r="H205" s="4">
        <f>IFERROR(__xludf.DUMMYFUNCTION("""COMPUTED_VALUE"""),3.205308030199433)</f>
        <v>3.20530803</v>
      </c>
      <c r="I205" s="4"/>
      <c r="J205" s="4"/>
      <c r="K205" s="4">
        <f>IFERROR(__xludf.DUMMYFUNCTION("""COMPUTED_VALUE"""),0.690787606039521)</f>
        <v>0.690787606</v>
      </c>
      <c r="L205" s="4"/>
      <c r="M205" s="4"/>
      <c r="N205" s="4">
        <f>IFERROR(__xludf.DUMMYFUNCTION("""COMPUTED_VALUE"""),2.7977433237400646)</f>
        <v>2.797743324</v>
      </c>
      <c r="O205" s="4"/>
      <c r="P205" s="4"/>
      <c r="Q205" s="4">
        <f>IFERROR(__xludf.DUMMYFUNCTION("""COMPUTED_VALUE"""),3.650607002205163)</f>
        <v>3.650607002</v>
      </c>
      <c r="R205" s="4"/>
      <c r="S205" s="4"/>
      <c r="T205" s="4">
        <f>IFERROR(__xludf.DUMMYFUNCTION("""COMPUTED_VALUE"""),13.142565708614711)</f>
        <v>13.14256571</v>
      </c>
      <c r="U205" s="4"/>
      <c r="V205" s="4"/>
      <c r="W205" s="4">
        <f>IFERROR(__xludf.DUMMYFUNCTION("""COMPUTED_VALUE"""),12.768261442469623)</f>
        <v>12.76826144</v>
      </c>
      <c r="X205" s="4"/>
      <c r="Y205" s="4"/>
      <c r="Z205" s="4">
        <f>IFERROR(__xludf.DUMMYFUNCTION("""COMPUTED_VALUE"""),39.13649151216441)</f>
        <v>39.13649151</v>
      </c>
      <c r="AA205" s="4"/>
      <c r="AB205" s="4"/>
      <c r="AC205" s="4">
        <f>IFERROR(__xludf.DUMMYFUNCTION("""COMPUTED_VALUE"""),67.89885846334005)</f>
        <v>67.89885846</v>
      </c>
      <c r="AD205" s="4"/>
      <c r="AE205" s="4"/>
      <c r="AF205" s="4">
        <f>IFERROR(__xludf.DUMMYFUNCTION("""COMPUTED_VALUE"""),76.23760555743587)</f>
        <v>76.23760556</v>
      </c>
      <c r="AG205" s="4"/>
      <c r="AH205" s="4"/>
      <c r="AI205" s="4">
        <f>IFERROR(__xludf.DUMMYFUNCTION("""COMPUTED_VALUE"""),92.13198245909274)</f>
        <v>92.13198246</v>
      </c>
      <c r="AJ205" s="4"/>
      <c r="AK205" s="4"/>
      <c r="AL205" s="4">
        <f>IFERROR(__xludf.DUMMYFUNCTION("""COMPUTED_VALUE"""),110.77828563817741)</f>
        <v>110.7782856</v>
      </c>
      <c r="AM205" s="4"/>
      <c r="AN205" s="4"/>
      <c r="AO205" s="4">
        <f>IFERROR(__xludf.DUMMYFUNCTION("""COMPUTED_VALUE"""),107.346297235115)</f>
        <v>107.3462972</v>
      </c>
      <c r="AP205" s="4"/>
      <c r="AQ205" s="4"/>
      <c r="AR205" s="4">
        <f>IFERROR(__xludf.DUMMYFUNCTION("""COMPUTED_VALUE"""),95.621553460712)</f>
        <v>95.62155346</v>
      </c>
      <c r="AS205" s="4"/>
      <c r="AT205" s="4"/>
      <c r="AU205" s="4">
        <f>IFERROR(__xludf.DUMMYFUNCTION("""COMPUTED_VALUE"""),83.15336170943226)</f>
        <v>83.15336171</v>
      </c>
      <c r="AV205" s="4"/>
      <c r="AW205" s="4"/>
      <c r="AX205" s="4">
        <f>IFERROR(__xludf.DUMMYFUNCTION("""COMPUTED_VALUE"""),60.77455198513934)</f>
        <v>60.77455199</v>
      </c>
      <c r="AY205" s="4"/>
      <c r="AZ205" s="4"/>
      <c r="BA205" s="4">
        <f>IFERROR(__xludf.DUMMYFUNCTION("""COMPUTED_VALUE"""),47.42899224025615)</f>
        <v>47.42899224</v>
      </c>
      <c r="BB205" s="4"/>
      <c r="BC205" s="4"/>
      <c r="BD205" s="4">
        <f>IFERROR(__xludf.DUMMYFUNCTION("""COMPUTED_VALUE"""),29.854989633828552)</f>
        <v>29.85498963</v>
      </c>
      <c r="BE205" s="4"/>
      <c r="BF205" s="4"/>
      <c r="BG205" s="4">
        <f>IFERROR(__xludf.DUMMYFUNCTION("""COMPUTED_VALUE"""),16.51237072470485)</f>
        <v>16.51237072</v>
      </c>
      <c r="BH205" s="4"/>
      <c r="BI205" s="4"/>
      <c r="BJ205" s="4"/>
      <c r="BK205" s="4"/>
    </row>
    <row r="206">
      <c r="A206" s="4"/>
      <c r="B206" s="4"/>
      <c r="C206" s="4"/>
      <c r="D206" s="4">
        <f>IFERROR(__xludf.DUMMYFUNCTION("""COMPUTED_VALUE"""),23.875699437493775)</f>
        <v>23.87569944</v>
      </c>
      <c r="E206" s="23">
        <f>IFERROR(__xludf.DUMMYFUNCTION("""COMPUTED_VALUE"""),6.646812051146412)</f>
        <v>6.646812051</v>
      </c>
      <c r="F206" s="4"/>
      <c r="G206" s="4"/>
      <c r="H206" s="4">
        <f>IFERROR(__xludf.DUMMYFUNCTION("""COMPUTED_VALUE"""),1.4497187886901202)</f>
        <v>1.449718789</v>
      </c>
      <c r="I206" s="4"/>
      <c r="J206" s="4"/>
      <c r="K206" s="4">
        <f>IFERROR(__xludf.DUMMYFUNCTION("""COMPUTED_VALUE"""),-3.349105608828438)</f>
        <v>-3.349105609</v>
      </c>
      <c r="L206" s="4"/>
      <c r="M206" s="4"/>
      <c r="N206" s="4">
        <f>IFERROR(__xludf.DUMMYFUNCTION("""COMPUTED_VALUE"""),-2.36768249433743)</f>
        <v>-2.367682494</v>
      </c>
      <c r="O206" s="4"/>
      <c r="P206" s="4"/>
      <c r="Q206" s="4">
        <f>IFERROR(__xludf.DUMMYFUNCTION("""COMPUTED_VALUE"""),4.8572619391593435)</f>
        <v>4.857261939</v>
      </c>
      <c r="R206" s="4"/>
      <c r="S206" s="4"/>
      <c r="T206" s="4">
        <f>IFERROR(__xludf.DUMMYFUNCTION("""COMPUTED_VALUE"""),8.416579244152786)</f>
        <v>8.416579244</v>
      </c>
      <c r="U206" s="4"/>
      <c r="V206" s="4"/>
      <c r="W206" s="4">
        <f>IFERROR(__xludf.DUMMYFUNCTION("""COMPUTED_VALUE"""),11.667115445085528)</f>
        <v>11.66711545</v>
      </c>
      <c r="X206" s="4"/>
      <c r="Y206" s="4"/>
      <c r="Z206" s="4">
        <f>IFERROR(__xludf.DUMMYFUNCTION("""COMPUTED_VALUE"""),42.15246923733406)</f>
        <v>42.15246924</v>
      </c>
      <c r="AA206" s="4"/>
      <c r="AB206" s="4"/>
      <c r="AC206" s="4">
        <f>IFERROR(__xludf.DUMMYFUNCTION("""COMPUTED_VALUE"""),63.267145316640324)</f>
        <v>63.26714532</v>
      </c>
      <c r="AD206" s="4"/>
      <c r="AE206" s="4"/>
      <c r="AF206" s="4">
        <f>IFERROR(__xludf.DUMMYFUNCTION("""COMPUTED_VALUE"""),79.0984438262193)</f>
        <v>79.09844383</v>
      </c>
      <c r="AG206" s="4"/>
      <c r="AH206" s="4"/>
      <c r="AI206" s="4">
        <f>IFERROR(__xludf.DUMMYFUNCTION("""COMPUTED_VALUE"""),97.46562137899747)</f>
        <v>97.46562138</v>
      </c>
      <c r="AJ206" s="4"/>
      <c r="AK206" s="4"/>
      <c r="AL206" s="4">
        <f>IFERROR(__xludf.DUMMYFUNCTION("""COMPUTED_VALUE"""),109.76869091312125)</f>
        <v>109.7686909</v>
      </c>
      <c r="AM206" s="4"/>
      <c r="AN206" s="4"/>
      <c r="AO206" s="4">
        <f>IFERROR(__xludf.DUMMYFUNCTION("""COMPUTED_VALUE"""),107.54776569614353)</f>
        <v>107.5477657</v>
      </c>
      <c r="AP206" s="4"/>
      <c r="AQ206" s="4"/>
      <c r="AR206" s="4">
        <f>IFERROR(__xludf.DUMMYFUNCTION("""COMPUTED_VALUE"""),96.8654120169922)</f>
        <v>96.86541202</v>
      </c>
      <c r="AS206" s="4"/>
      <c r="AT206" s="4"/>
      <c r="AU206" s="4">
        <f>IFERROR(__xludf.DUMMYFUNCTION("""COMPUTED_VALUE"""),72.54498183366542)</f>
        <v>72.54498183</v>
      </c>
      <c r="AV206" s="4"/>
      <c r="AW206" s="4"/>
      <c r="AX206" s="4">
        <f>IFERROR(__xludf.DUMMYFUNCTION("""COMPUTED_VALUE"""),56.97983938767646)</f>
        <v>56.97983939</v>
      </c>
      <c r="AY206" s="4"/>
      <c r="AZ206" s="4"/>
      <c r="BA206" s="4">
        <f>IFERROR(__xludf.DUMMYFUNCTION("""COMPUTED_VALUE"""),42.716873291315096)</f>
        <v>42.71687329</v>
      </c>
      <c r="BB206" s="4"/>
      <c r="BC206" s="4"/>
      <c r="BD206" s="4">
        <f>IFERROR(__xludf.DUMMYFUNCTION("""COMPUTED_VALUE"""),33.19084269722799)</f>
        <v>33.1908427</v>
      </c>
      <c r="BE206" s="4"/>
      <c r="BF206" s="4"/>
      <c r="BG206" s="4">
        <f>IFERROR(__xludf.DUMMYFUNCTION("""COMPUTED_VALUE"""),21.106184846632004)</f>
        <v>21.10618485</v>
      </c>
      <c r="BH206" s="4"/>
      <c r="BI206" s="4"/>
      <c r="BJ206" s="4"/>
      <c r="BK206" s="4"/>
    </row>
    <row r="207">
      <c r="A207" s="4"/>
      <c r="B207" s="4"/>
      <c r="C207" s="4"/>
      <c r="D207" s="4">
        <f>IFERROR(__xludf.DUMMYFUNCTION("""COMPUTED_VALUE"""),22.9574033046937)</f>
        <v>22.9574033</v>
      </c>
      <c r="E207" s="23">
        <f>IFERROR(__xludf.DUMMYFUNCTION("""COMPUTED_VALUE"""),2.124787062918699)</f>
        <v>2.124787063</v>
      </c>
      <c r="F207" s="4"/>
      <c r="G207" s="4"/>
      <c r="H207" s="4">
        <f>IFERROR(__xludf.DUMMYFUNCTION("""COMPUTED_VALUE"""),10.310914115738967)</f>
        <v>10.31091412</v>
      </c>
      <c r="I207" s="4"/>
      <c r="J207" s="4"/>
      <c r="K207" s="4">
        <f>IFERROR(__xludf.DUMMYFUNCTION("""COMPUTED_VALUE"""),1.7145569468844997)</f>
        <v>1.714556947</v>
      </c>
      <c r="L207" s="4"/>
      <c r="M207" s="4"/>
      <c r="N207" s="4">
        <f>IFERROR(__xludf.DUMMYFUNCTION("""COMPUTED_VALUE"""),1.9625913025002433)</f>
        <v>1.962591303</v>
      </c>
      <c r="O207" s="4"/>
      <c r="P207" s="4"/>
      <c r="Q207" s="4">
        <f>IFERROR(__xludf.DUMMYFUNCTION("""COMPUTED_VALUE"""),4.07337498003875)</f>
        <v>4.07337498</v>
      </c>
      <c r="R207" s="4"/>
      <c r="S207" s="4"/>
      <c r="T207" s="4">
        <f>IFERROR(__xludf.DUMMYFUNCTION("""COMPUTED_VALUE"""),5.973143552501597)</f>
        <v>5.973143553</v>
      </c>
      <c r="U207" s="4"/>
      <c r="V207" s="4"/>
      <c r="W207" s="4">
        <f>IFERROR(__xludf.DUMMYFUNCTION("""COMPUTED_VALUE"""),16.582884162146456)</f>
        <v>16.58288416</v>
      </c>
      <c r="X207" s="4"/>
      <c r="Y207" s="4"/>
      <c r="Z207" s="4">
        <f>IFERROR(__xludf.DUMMYFUNCTION("""COMPUTED_VALUE"""),32.083809895391084)</f>
        <v>32.0838099</v>
      </c>
      <c r="AA207" s="4"/>
      <c r="AB207" s="4"/>
      <c r="AC207" s="4">
        <f>IFERROR(__xludf.DUMMYFUNCTION("""COMPUTED_VALUE"""),59.13318437816935)</f>
        <v>59.13318438</v>
      </c>
      <c r="AD207" s="4"/>
      <c r="AE207" s="4"/>
      <c r="AF207" s="4">
        <f>IFERROR(__xludf.DUMMYFUNCTION("""COMPUTED_VALUE"""),80.49842565755432)</f>
        <v>80.49842566</v>
      </c>
      <c r="AG207" s="4"/>
      <c r="AH207" s="4"/>
      <c r="AI207" s="4">
        <f>IFERROR(__xludf.DUMMYFUNCTION("""COMPUTED_VALUE"""),96.92721262706942)</f>
        <v>96.92721263</v>
      </c>
      <c r="AJ207" s="4"/>
      <c r="AK207" s="4"/>
      <c r="AL207" s="4">
        <f>IFERROR(__xludf.DUMMYFUNCTION("""COMPUTED_VALUE"""),108.0408737972653)</f>
        <v>108.0408738</v>
      </c>
      <c r="AM207" s="4"/>
      <c r="AN207" s="4"/>
      <c r="AO207" s="4">
        <f>IFERROR(__xludf.DUMMYFUNCTION("""COMPUTED_VALUE"""),102.67255691258674)</f>
        <v>102.6725569</v>
      </c>
      <c r="AP207" s="4"/>
      <c r="AQ207" s="4"/>
      <c r="AR207" s="4">
        <f>IFERROR(__xludf.DUMMYFUNCTION("""COMPUTED_VALUE"""),100.04756287549856)</f>
        <v>100.0475629</v>
      </c>
      <c r="AS207" s="4"/>
      <c r="AT207" s="4"/>
      <c r="AU207" s="4">
        <f>IFERROR(__xludf.DUMMYFUNCTION("""COMPUTED_VALUE"""),79.3655108261326)</f>
        <v>79.36551083</v>
      </c>
      <c r="AV207" s="4"/>
      <c r="AW207" s="4"/>
      <c r="AX207" s="4">
        <f>IFERROR(__xludf.DUMMYFUNCTION("""COMPUTED_VALUE"""),64.37827235721232)</f>
        <v>64.37827236</v>
      </c>
      <c r="AY207" s="4"/>
      <c r="AZ207" s="4"/>
      <c r="BA207" s="4">
        <f>IFERROR(__xludf.DUMMYFUNCTION("""COMPUTED_VALUE"""),38.50783387059249)</f>
        <v>38.50783387</v>
      </c>
      <c r="BB207" s="4"/>
      <c r="BC207" s="4"/>
      <c r="BD207" s="4">
        <f>IFERROR(__xludf.DUMMYFUNCTION("""COMPUTED_VALUE"""),32.94305528807604)</f>
        <v>32.94305529</v>
      </c>
      <c r="BE207" s="4"/>
      <c r="BF207" s="4"/>
      <c r="BG207" s="4">
        <f>IFERROR(__xludf.DUMMYFUNCTION("""COMPUTED_VALUE"""),23.01680154439208)</f>
        <v>23.01680154</v>
      </c>
      <c r="BH207" s="4"/>
      <c r="BI207" s="4"/>
      <c r="BJ207" s="4"/>
      <c r="BK207" s="4"/>
    </row>
    <row r="208">
      <c r="A208" s="4"/>
      <c r="B208" s="4"/>
      <c r="C208" s="4"/>
      <c r="D208" s="4">
        <f>IFERROR(__xludf.DUMMYFUNCTION("""COMPUTED_VALUE"""),22.03910717194398)</f>
        <v>22.03910717</v>
      </c>
      <c r="E208" s="23">
        <f>IFERROR(__xludf.DUMMYFUNCTION("""COMPUTED_VALUE"""),-2.7660006021337153)</f>
        <v>-2.766000602</v>
      </c>
      <c r="F208" s="4"/>
      <c r="G208" s="4"/>
      <c r="H208" s="4">
        <f>IFERROR(__xludf.DUMMYFUNCTION("""COMPUTED_VALUE"""),7.052575587736499)</f>
        <v>7.052575588</v>
      </c>
      <c r="I208" s="4"/>
      <c r="J208" s="4"/>
      <c r="K208" s="4">
        <f>IFERROR(__xludf.DUMMYFUNCTION("""COMPUTED_VALUE"""),3.793513252808566)</f>
        <v>3.793513253</v>
      </c>
      <c r="L208" s="4"/>
      <c r="M208" s="4"/>
      <c r="N208" s="4">
        <f>IFERROR(__xludf.DUMMYFUNCTION("""COMPUTED_VALUE"""),2.894174714953749)</f>
        <v>2.894174715</v>
      </c>
      <c r="O208" s="4"/>
      <c r="P208" s="4"/>
      <c r="Q208" s="4">
        <f>IFERROR(__xludf.DUMMYFUNCTION("""COMPUTED_VALUE"""),11.13796121772856)</f>
        <v>11.13796122</v>
      </c>
      <c r="R208" s="4"/>
      <c r="S208" s="4"/>
      <c r="T208" s="4">
        <f>IFERROR(__xludf.DUMMYFUNCTION("""COMPUTED_VALUE"""),17.364321345789847)</f>
        <v>17.36432135</v>
      </c>
      <c r="U208" s="4"/>
      <c r="V208" s="4"/>
      <c r="W208" s="4">
        <f>IFERROR(__xludf.DUMMYFUNCTION("""COMPUTED_VALUE"""),24.779166254762345)</f>
        <v>24.77916625</v>
      </c>
      <c r="X208" s="4"/>
      <c r="Y208" s="4"/>
      <c r="Z208" s="4">
        <f>IFERROR(__xludf.DUMMYFUNCTION("""COMPUTED_VALUE"""),40.86694904122044)</f>
        <v>40.86694904</v>
      </c>
      <c r="AA208" s="4"/>
      <c r="AB208" s="4"/>
      <c r="AC208" s="4">
        <f>IFERROR(__xludf.DUMMYFUNCTION("""COMPUTED_VALUE"""),65.12873249990571)</f>
        <v>65.1287325</v>
      </c>
      <c r="AD208" s="4"/>
      <c r="AE208" s="4"/>
      <c r="AF208" s="4">
        <f>IFERROR(__xludf.DUMMYFUNCTION("""COMPUTED_VALUE"""),81.66839175492026)</f>
        <v>81.66839175</v>
      </c>
      <c r="AG208" s="4"/>
      <c r="AH208" s="4"/>
      <c r="AI208" s="4">
        <f>IFERROR(__xludf.DUMMYFUNCTION("""COMPUTED_VALUE"""),94.19737644994859)</f>
        <v>94.19737645</v>
      </c>
      <c r="AJ208" s="4"/>
      <c r="AK208" s="4"/>
      <c r="AL208" s="4">
        <f>IFERROR(__xludf.DUMMYFUNCTION("""COMPUTED_VALUE"""),107.9921839891793)</f>
        <v>107.992184</v>
      </c>
      <c r="AM208" s="4"/>
      <c r="AN208" s="4"/>
      <c r="AO208" s="4">
        <f>IFERROR(__xludf.DUMMYFUNCTION("""COMPUTED_VALUE"""),103.34075776802115)</f>
        <v>103.3407578</v>
      </c>
      <c r="AP208" s="4"/>
      <c r="AQ208" s="4"/>
      <c r="AR208" s="4">
        <f>IFERROR(__xludf.DUMMYFUNCTION("""COMPUTED_VALUE"""),99.19479704940113)</f>
        <v>99.19479705</v>
      </c>
      <c r="AS208" s="4"/>
      <c r="AT208" s="4"/>
      <c r="AU208" s="4">
        <f>IFERROR(__xludf.DUMMYFUNCTION("""COMPUTED_VALUE"""),82.56907669129907)</f>
        <v>82.56907669</v>
      </c>
      <c r="AV208" s="4"/>
      <c r="AW208" s="4"/>
      <c r="AX208" s="4">
        <f>IFERROR(__xludf.DUMMYFUNCTION("""COMPUTED_VALUE"""),62.57146716834069)</f>
        <v>62.57146717</v>
      </c>
      <c r="AY208" s="4"/>
      <c r="AZ208" s="4"/>
      <c r="BA208" s="4">
        <f>IFERROR(__xludf.DUMMYFUNCTION("""COMPUTED_VALUE"""),39.69500988406952)</f>
        <v>39.69500988</v>
      </c>
      <c r="BB208" s="4"/>
      <c r="BC208" s="4"/>
      <c r="BD208" s="4">
        <f>IFERROR(__xludf.DUMMYFUNCTION("""COMPUTED_VALUE"""),31.788895338167038)</f>
        <v>31.78889534</v>
      </c>
      <c r="BE208" s="4"/>
      <c r="BF208" s="4"/>
      <c r="BG208" s="4">
        <f>IFERROR(__xludf.DUMMYFUNCTION("""COMPUTED_VALUE"""),16.089070173378275)</f>
        <v>16.08907017</v>
      </c>
      <c r="BH208" s="4"/>
      <c r="BI208" s="4"/>
      <c r="BJ208" s="4"/>
      <c r="BK208" s="4"/>
    </row>
    <row r="209">
      <c r="A209" s="4"/>
      <c r="B209" s="4"/>
      <c r="C209" s="4"/>
      <c r="D209" s="4">
        <f>IFERROR(__xludf.DUMMYFUNCTION("""COMPUTED_VALUE"""),21.120811039143902)</f>
        <v>21.12081104</v>
      </c>
      <c r="E209" s="23">
        <f>IFERROR(__xludf.DUMMYFUNCTION("""COMPUTED_VALUE"""),0.20796373810708246)</f>
        <v>0.2079637381</v>
      </c>
      <c r="F209" s="4"/>
      <c r="G209" s="4"/>
      <c r="H209" s="4">
        <f>IFERROR(__xludf.DUMMYFUNCTION("""COMPUTED_VALUE"""),4.175048082825015)</f>
        <v>4.175048083</v>
      </c>
      <c r="I209" s="4"/>
      <c r="J209" s="4"/>
      <c r="K209" s="4">
        <f>IFERROR(__xludf.DUMMYFUNCTION("""COMPUTED_VALUE"""),5.218894554178746)</f>
        <v>5.218894554</v>
      </c>
      <c r="L209" s="4"/>
      <c r="M209" s="4"/>
      <c r="N209" s="4">
        <f>IFERROR(__xludf.DUMMYFUNCTION("""COMPUTED_VALUE"""),4.942908085071338)</f>
        <v>4.942908085</v>
      </c>
      <c r="O209" s="4"/>
      <c r="P209" s="4"/>
      <c r="Q209" s="4">
        <f>IFERROR(__xludf.DUMMYFUNCTION("""COMPUTED_VALUE"""),4.444284125898378)</f>
        <v>4.444284126</v>
      </c>
      <c r="R209" s="4"/>
      <c r="S209" s="4"/>
      <c r="T209" s="4">
        <f>IFERROR(__xludf.DUMMYFUNCTION("""COMPUTED_VALUE"""),16.714598489424986)</f>
        <v>16.71459849</v>
      </c>
      <c r="U209" s="4"/>
      <c r="V209" s="4"/>
      <c r="W209" s="4">
        <f>IFERROR(__xludf.DUMMYFUNCTION("""COMPUTED_VALUE"""),17.599122846149214)</f>
        <v>17.59912285</v>
      </c>
      <c r="X209" s="4"/>
      <c r="Y209" s="4"/>
      <c r="Z209" s="4">
        <f>IFERROR(__xludf.DUMMYFUNCTION("""COMPUTED_VALUE"""),42.85874446318701)</f>
        <v>42.85874446</v>
      </c>
      <c r="AA209" s="4"/>
      <c r="AB209" s="4"/>
      <c r="AC209" s="4">
        <f>IFERROR(__xludf.DUMMYFUNCTION("""COMPUTED_VALUE"""),65.60301958811084)</f>
        <v>65.60301959</v>
      </c>
      <c r="AD209" s="4"/>
      <c r="AE209" s="4"/>
      <c r="AF209" s="4">
        <f>IFERROR(__xludf.DUMMYFUNCTION("""COMPUTED_VALUE"""),90.68132629679712)</f>
        <v>90.6813263</v>
      </c>
      <c r="AG209" s="4"/>
      <c r="AH209" s="4"/>
      <c r="AI209" s="4">
        <f>IFERROR(__xludf.DUMMYFUNCTION("""COMPUTED_VALUE"""),98.62138036787161)</f>
        <v>98.62138037</v>
      </c>
      <c r="AJ209" s="4"/>
      <c r="AK209" s="4"/>
      <c r="AL209" s="4">
        <f>IFERROR(__xludf.DUMMYFUNCTION("""COMPUTED_VALUE"""),116.47628588687928)</f>
        <v>116.4762859</v>
      </c>
      <c r="AM209" s="4"/>
      <c r="AN209" s="4"/>
      <c r="AO209" s="4">
        <f>IFERROR(__xludf.DUMMYFUNCTION("""COMPUTED_VALUE"""),106.76074449336113)</f>
        <v>106.7607445</v>
      </c>
      <c r="AP209" s="4"/>
      <c r="AQ209" s="4"/>
      <c r="AR209" s="4">
        <f>IFERROR(__xludf.DUMMYFUNCTION("""COMPUTED_VALUE"""),96.1701360950106)</f>
        <v>96.1701361</v>
      </c>
      <c r="AS209" s="4"/>
      <c r="AT209" s="4"/>
      <c r="AU209" s="4">
        <f>IFERROR(__xludf.DUMMYFUNCTION("""COMPUTED_VALUE"""),85.08649927234927)</f>
        <v>85.08649927</v>
      </c>
      <c r="AV209" s="4"/>
      <c r="AW209" s="4"/>
      <c r="AX209" s="4">
        <f>IFERROR(__xludf.DUMMYFUNCTION("""COMPUTED_VALUE"""),61.28270569584981)</f>
        <v>61.2827057</v>
      </c>
      <c r="AY209" s="4"/>
      <c r="AZ209" s="4"/>
      <c r="BA209" s="4">
        <f>IFERROR(__xludf.DUMMYFUNCTION("""COMPUTED_VALUE"""),43.53170951228117)</f>
        <v>43.53170951</v>
      </c>
      <c r="BB209" s="4"/>
      <c r="BC209" s="4"/>
      <c r="BD209" s="4">
        <f>IFERROR(__xludf.DUMMYFUNCTION("""COMPUTED_VALUE"""),29.914872562495646)</f>
        <v>29.91487256</v>
      </c>
      <c r="BE209" s="4"/>
      <c r="BF209" s="4"/>
      <c r="BG209" s="4">
        <f>IFERROR(__xludf.DUMMYFUNCTION("""COMPUTED_VALUE"""),17.188756212734063)</f>
        <v>17.18875621</v>
      </c>
      <c r="BH209" s="4"/>
      <c r="BI209" s="4"/>
      <c r="BJ209" s="4"/>
      <c r="BK209" s="4"/>
    </row>
    <row r="210">
      <c r="A210" s="4"/>
      <c r="B210" s="4"/>
      <c r="C210" s="4"/>
      <c r="D210" s="4">
        <f>IFERROR(__xludf.DUMMYFUNCTION("""COMPUTED_VALUE"""),20.202514908458774)</f>
        <v>20.20251491</v>
      </c>
      <c r="E210" s="23">
        <f>IFERROR(__xludf.DUMMYFUNCTION("""COMPUTED_VALUE"""),4.710002085811084)</f>
        <v>4.710002086</v>
      </c>
      <c r="F210" s="4"/>
      <c r="G210" s="4"/>
      <c r="H210" s="4">
        <f>IFERROR(__xludf.DUMMYFUNCTION("""COMPUTED_VALUE"""),1.691704484166337)</f>
        <v>1.691704484</v>
      </c>
      <c r="I210" s="4"/>
      <c r="J210" s="4"/>
      <c r="K210" s="4">
        <f>IFERROR(__xludf.DUMMYFUNCTION("""COMPUTED_VALUE"""),-1.9854594285347957)</f>
        <v>-1.985459429</v>
      </c>
      <c r="L210" s="4"/>
      <c r="M210" s="4"/>
      <c r="N210" s="4">
        <f>IFERROR(__xludf.DUMMYFUNCTION("""COMPUTED_VALUE"""),-3.162604733032424)</f>
        <v>-3.162604733</v>
      </c>
      <c r="O210" s="4"/>
      <c r="P210" s="4"/>
      <c r="Q210" s="4">
        <f>IFERROR(__xludf.DUMMYFUNCTION("""COMPUTED_VALUE"""),8.807137735576703)</f>
        <v>8.807137736</v>
      </c>
      <c r="R210" s="4"/>
      <c r="S210" s="4"/>
      <c r="T210" s="4">
        <f>IFERROR(__xludf.DUMMYFUNCTION("""COMPUTED_VALUE"""),11.879305583632515)</f>
        <v>11.87930558</v>
      </c>
      <c r="U210" s="4"/>
      <c r="V210" s="4"/>
      <c r="W210" s="4">
        <f>IFERROR(__xludf.DUMMYFUNCTION("""COMPUTED_VALUE"""),22.422402425996154)</f>
        <v>22.42240243</v>
      </c>
      <c r="X210" s="4"/>
      <c r="Y210" s="4"/>
      <c r="Z210" s="4">
        <f>IFERROR(__xludf.DUMMYFUNCTION("""COMPUTED_VALUE"""),41.81045286903566)</f>
        <v>41.81045287</v>
      </c>
      <c r="AA210" s="4"/>
      <c r="AB210" s="4"/>
      <c r="AC210" s="4">
        <f>IFERROR(__xludf.DUMMYFUNCTION("""COMPUTED_VALUE"""),68.74277829657075)</f>
        <v>68.7427783</v>
      </c>
      <c r="AD210" s="4"/>
      <c r="AE210" s="4"/>
      <c r="AF210" s="4">
        <f>IFERROR(__xludf.DUMMYFUNCTION("""COMPUTED_VALUE"""),91.53762884657215)</f>
        <v>91.53762885</v>
      </c>
      <c r="AG210" s="4"/>
      <c r="AH210" s="4"/>
      <c r="AI210" s="4">
        <f>IFERROR(__xludf.DUMMYFUNCTION("""COMPUTED_VALUE"""),99.20493899515441)</f>
        <v>99.204939</v>
      </c>
      <c r="AJ210" s="4"/>
      <c r="AK210" s="4"/>
      <c r="AL210" s="4">
        <f>IFERROR(__xludf.DUMMYFUNCTION("""COMPUTED_VALUE"""),106.75006086232622)</f>
        <v>106.7500609</v>
      </c>
      <c r="AM210" s="4"/>
      <c r="AN210" s="4"/>
      <c r="AO210" s="4">
        <f>IFERROR(__xludf.DUMMYFUNCTION("""COMPUTED_VALUE"""),100.04404703636857)</f>
        <v>100.044047</v>
      </c>
      <c r="AP210" s="4"/>
      <c r="AQ210" s="4"/>
      <c r="AR210" s="4">
        <f>IFERROR(__xludf.DUMMYFUNCTION("""COMPUTED_VALUE"""),96.87045928505569)</f>
        <v>96.87045929</v>
      </c>
      <c r="AS210" s="4"/>
      <c r="AT210" s="4"/>
      <c r="AU210" s="4">
        <f>IFERROR(__xludf.DUMMYFUNCTION("""COMPUTED_VALUE"""),81.55501379780344)</f>
        <v>81.5550138</v>
      </c>
      <c r="AV210" s="4"/>
      <c r="AW210" s="4"/>
      <c r="AX210" s="4">
        <f>IFERROR(__xludf.DUMMYFUNCTION("""COMPUTED_VALUE"""),61.403499256744226)</f>
        <v>61.40349926</v>
      </c>
      <c r="AY210" s="4"/>
      <c r="AZ210" s="4"/>
      <c r="BA210" s="4">
        <f>IFERROR(__xludf.DUMMYFUNCTION("""COMPUTED_VALUE"""),43.340438259138466)</f>
        <v>43.34043826</v>
      </c>
      <c r="BB210" s="4"/>
      <c r="BC210" s="4"/>
      <c r="BD210" s="4">
        <f>IFERROR(__xludf.DUMMYFUNCTION("""COMPUTED_VALUE"""),30.002523660932184)</f>
        <v>30.00252366</v>
      </c>
      <c r="BE210" s="4"/>
      <c r="BF210" s="4"/>
      <c r="BG210" s="4">
        <f>IFERROR(__xludf.DUMMYFUNCTION("""COMPUTED_VALUE"""),19.31907129962343)</f>
        <v>19.3190713</v>
      </c>
      <c r="BH210" s="4"/>
      <c r="BI210" s="4"/>
      <c r="BJ210" s="4"/>
      <c r="BK210" s="4"/>
    </row>
    <row r="211">
      <c r="A211" s="4"/>
      <c r="B211" s="4"/>
      <c r="C211" s="4"/>
      <c r="D211" s="4">
        <f>IFERROR(__xludf.DUMMYFUNCTION("""COMPUTED_VALUE"""),19.284218775709057)</f>
        <v>19.28421878</v>
      </c>
      <c r="E211" s="23">
        <f>IFERROR(__xludf.DUMMYFUNCTION("""COMPUTED_VALUE"""),8.516012934280582)</f>
        <v>8.516012934</v>
      </c>
      <c r="F211" s="4"/>
      <c r="G211" s="4"/>
      <c r="H211" s="4">
        <f>IFERROR(__xludf.DUMMYFUNCTION("""COMPUTED_VALUE"""),3.154827925041616)</f>
        <v>3.154827925</v>
      </c>
      <c r="I211" s="4"/>
      <c r="J211" s="4"/>
      <c r="K211" s="4">
        <f>IFERROR(__xludf.DUMMYFUNCTION("""COMPUTED_VALUE"""),6.594793678947383)</f>
        <v>6.594793679</v>
      </c>
      <c r="L211" s="4"/>
      <c r="M211" s="4"/>
      <c r="N211" s="4">
        <f>IFERROR(__xludf.DUMMYFUNCTION("""COMPUTED_VALUE"""),-6.793635229124959)</f>
        <v>-6.793635229</v>
      </c>
      <c r="O211" s="4"/>
      <c r="P211" s="4"/>
      <c r="Q211" s="4">
        <f>IFERROR(__xludf.DUMMYFUNCTION("""COMPUTED_VALUE"""),2.2704183476371327)</f>
        <v>2.270418348</v>
      </c>
      <c r="R211" s="4"/>
      <c r="S211" s="4"/>
      <c r="T211" s="4">
        <f>IFERROR(__xludf.DUMMYFUNCTION("""COMPUTED_VALUE"""),9.159991535939184)</f>
        <v>9.159991536</v>
      </c>
      <c r="U211" s="4"/>
      <c r="V211" s="4"/>
      <c r="W211" s="4">
        <f>IFERROR(__xludf.DUMMYFUNCTION("""COMPUTED_VALUE"""),21.13286818274463)</f>
        <v>21.13286818</v>
      </c>
      <c r="X211" s="4"/>
      <c r="Y211" s="4"/>
      <c r="Z211" s="4">
        <f>IFERROR(__xludf.DUMMYFUNCTION("""COMPUTED_VALUE"""),43.57347004074825)</f>
        <v>43.57347004</v>
      </c>
      <c r="AA211" s="4"/>
      <c r="AB211" s="4"/>
      <c r="AC211" s="4">
        <f>IFERROR(__xludf.DUMMYFUNCTION("""COMPUTED_VALUE"""),72.77504706157845)</f>
        <v>72.77504706</v>
      </c>
      <c r="AD211" s="4"/>
      <c r="AE211" s="4"/>
      <c r="AF211" s="4">
        <f>IFERROR(__xludf.DUMMYFUNCTION("""COMPUTED_VALUE"""),86.38364889045278)</f>
        <v>86.38364889</v>
      </c>
      <c r="AG211" s="4"/>
      <c r="AH211" s="4"/>
      <c r="AI211" s="4">
        <f>IFERROR(__xludf.DUMMYFUNCTION("""COMPUTED_VALUE"""),101.89280779270376)</f>
        <v>101.8928078</v>
      </c>
      <c r="AJ211" s="4"/>
      <c r="AK211" s="4"/>
      <c r="AL211" s="4">
        <f>IFERROR(__xludf.DUMMYFUNCTION("""COMPUTED_VALUE"""),110.18635991175086)</f>
        <v>110.1863599</v>
      </c>
      <c r="AM211" s="4"/>
      <c r="AN211" s="4"/>
      <c r="AO211" s="4">
        <f>IFERROR(__xludf.DUMMYFUNCTION("""COMPUTED_VALUE"""),108.67492624160263)</f>
        <v>108.6749262</v>
      </c>
      <c r="AP211" s="4"/>
      <c r="AQ211" s="4"/>
      <c r="AR211" s="4">
        <f>IFERROR(__xludf.DUMMYFUNCTION("""COMPUTED_VALUE"""),100.5163114428799)</f>
        <v>100.5163114</v>
      </c>
      <c r="AS211" s="4"/>
      <c r="AT211" s="4"/>
      <c r="AU211" s="4">
        <f>IFERROR(__xludf.DUMMYFUNCTION("""COMPUTED_VALUE"""),80.2143987711375)</f>
        <v>80.21439877</v>
      </c>
      <c r="AV211" s="4"/>
      <c r="AW211" s="4"/>
      <c r="AX211" s="4">
        <f>IFERROR(__xludf.DUMMYFUNCTION("""COMPUTED_VALUE"""),63.48236314198908)</f>
        <v>63.48236314</v>
      </c>
      <c r="AY211" s="4"/>
      <c r="AZ211" s="4"/>
      <c r="BA211" s="4">
        <f>IFERROR(__xludf.DUMMYFUNCTION("""COMPUTED_VALUE"""),46.286868999246735)</f>
        <v>46.286869</v>
      </c>
      <c r="BB211" s="4"/>
      <c r="BC211" s="4"/>
      <c r="BD211" s="4">
        <f>IFERROR(__xludf.DUMMYFUNCTION("""COMPUTED_VALUE"""),23.891727584247803)</f>
        <v>23.89172758</v>
      </c>
      <c r="BE211" s="4"/>
      <c r="BF211" s="4"/>
      <c r="BG211" s="4">
        <f>IFERROR(__xludf.DUMMYFUNCTION("""COMPUTED_VALUE"""),15.404309114858165)</f>
        <v>15.40430911</v>
      </c>
      <c r="BH211" s="4"/>
      <c r="BI211" s="4"/>
      <c r="BJ211" s="4"/>
      <c r="BK211" s="4"/>
    </row>
    <row r="212">
      <c r="A212" s="4"/>
      <c r="B212" s="4"/>
      <c r="C212" s="4"/>
      <c r="D212" s="4">
        <f>IFERROR(__xludf.DUMMYFUNCTION("""COMPUTED_VALUE"""),18.36592264290898)</f>
        <v>18.36592264</v>
      </c>
      <c r="E212" s="23">
        <f>IFERROR(__xludf.DUMMYFUNCTION("""COMPUTED_VALUE"""),1.94884673297787)</f>
        <v>1.948846733</v>
      </c>
      <c r="F212" s="4"/>
      <c r="G212" s="4"/>
      <c r="H212" s="4">
        <f>IFERROR(__xludf.DUMMYFUNCTION("""COMPUTED_VALUE"""),10.883745746696377)</f>
        <v>10.88374575</v>
      </c>
      <c r="I212" s="4"/>
      <c r="J212" s="4"/>
      <c r="K212" s="4">
        <f>IFERROR(__xludf.DUMMYFUNCTION("""COMPUTED_VALUE"""),4.285048839648539)</f>
        <v>4.28504884</v>
      </c>
      <c r="L212" s="4"/>
      <c r="M212" s="4"/>
      <c r="N212" s="4">
        <f>IFERROR(__xludf.DUMMYFUNCTION("""COMPUTED_VALUE"""),3.596282363515627)</f>
        <v>3.596282364</v>
      </c>
      <c r="O212" s="4"/>
      <c r="P212" s="4"/>
      <c r="Q212" s="4">
        <f>IFERROR(__xludf.DUMMYFUNCTION("""COMPUTED_VALUE"""),5.314258559616974)</f>
        <v>5.31425856</v>
      </c>
      <c r="R212" s="4"/>
      <c r="S212" s="4"/>
      <c r="T212" s="4">
        <f>IFERROR(__xludf.DUMMYFUNCTION("""COMPUTED_VALUE"""),10.840165303307629)</f>
        <v>10.8401653</v>
      </c>
      <c r="U212" s="4"/>
      <c r="V212" s="4"/>
      <c r="W212" s="4">
        <f>IFERROR(__xludf.DUMMYFUNCTION("""COMPUTED_VALUE"""),25.996652496124568)</f>
        <v>25.9966525</v>
      </c>
      <c r="X212" s="4"/>
      <c r="Y212" s="4"/>
      <c r="Z212" s="4">
        <f>IFERROR(__xludf.DUMMYFUNCTION("""COMPUTED_VALUE"""),45.243112631272425)</f>
        <v>45.24311263</v>
      </c>
      <c r="AA212" s="4"/>
      <c r="AB212" s="4"/>
      <c r="AC212" s="4">
        <f>IFERROR(__xludf.DUMMYFUNCTION("""COMPUTED_VALUE"""),80.25794843073078)</f>
        <v>80.25794843</v>
      </c>
      <c r="AD212" s="4"/>
      <c r="AE212" s="4"/>
      <c r="AF212" s="4">
        <f>IFERROR(__xludf.DUMMYFUNCTION("""COMPUTED_VALUE"""),92.03662619980742)</f>
        <v>92.0366262</v>
      </c>
      <c r="AG212" s="4"/>
      <c r="AH212" s="4"/>
      <c r="AI212" s="4">
        <f>IFERROR(__xludf.DUMMYFUNCTION("""COMPUTED_VALUE"""),110.61551333606258)</f>
        <v>110.6155133</v>
      </c>
      <c r="AJ212" s="4"/>
      <c r="AK212" s="4"/>
      <c r="AL212" s="4">
        <f>IFERROR(__xludf.DUMMYFUNCTION("""COMPUTED_VALUE"""),113.73174051498626)</f>
        <v>113.7317405</v>
      </c>
      <c r="AM212" s="4"/>
      <c r="AN212" s="4"/>
      <c r="AO212" s="4">
        <f>IFERROR(__xludf.DUMMYFUNCTION("""COMPUTED_VALUE"""),108.32785265507908)</f>
        <v>108.3278527</v>
      </c>
      <c r="AP212" s="4"/>
      <c r="AQ212" s="4"/>
      <c r="AR212" s="4">
        <f>IFERROR(__xludf.DUMMYFUNCTION("""COMPUTED_VALUE"""),98.99030940185907)</f>
        <v>98.9903094</v>
      </c>
      <c r="AS212" s="4"/>
      <c r="AT212" s="4"/>
      <c r="AU212" s="4">
        <f>IFERROR(__xludf.DUMMYFUNCTION("""COMPUTED_VALUE"""),86.64567198031529)</f>
        <v>86.64567198</v>
      </c>
      <c r="AV212" s="4"/>
      <c r="AW212" s="4"/>
      <c r="AX212" s="4">
        <f>IFERROR(__xludf.DUMMYFUNCTION("""COMPUTED_VALUE"""),63.00147140342443)</f>
        <v>63.0014714</v>
      </c>
      <c r="AY212" s="4"/>
      <c r="AZ212" s="4"/>
      <c r="BA212" s="4">
        <f>IFERROR(__xludf.DUMMYFUNCTION("""COMPUTED_VALUE"""),45.498621603050424)</f>
        <v>45.4986216</v>
      </c>
      <c r="BB212" s="4"/>
      <c r="BC212" s="4"/>
      <c r="BD212" s="4">
        <f>IFERROR(__xludf.DUMMYFUNCTION("""COMPUTED_VALUE"""),32.175266387166516)</f>
        <v>32.17526639</v>
      </c>
      <c r="BE212" s="4"/>
      <c r="BF212" s="4"/>
      <c r="BG212" s="4">
        <f>IFERROR(__xludf.DUMMYFUNCTION("""COMPUTED_VALUE"""),20.372760610471232)</f>
        <v>20.37276061</v>
      </c>
      <c r="BH212" s="4"/>
      <c r="BI212" s="4"/>
      <c r="BJ212" s="4"/>
      <c r="BK212" s="4"/>
    </row>
    <row r="213">
      <c r="A213" s="4"/>
      <c r="B213" s="4"/>
      <c r="C213" s="4"/>
      <c r="D213" s="4">
        <f>IFERROR(__xludf.DUMMYFUNCTION("""COMPUTED_VALUE"""),17.44762651227421)</f>
        <v>17.44762651</v>
      </c>
      <c r="E213" s="23">
        <f>IFERROR(__xludf.DUMMYFUNCTION("""COMPUTED_VALUE"""),5.036245205571902)</f>
        <v>5.036245206</v>
      </c>
      <c r="F213" s="4"/>
      <c r="G213" s="4"/>
      <c r="H213" s="4">
        <f>IFERROR(__xludf.DUMMYFUNCTION("""COMPUTED_VALUE"""),5.732491929870889)</f>
        <v>5.73249193</v>
      </c>
      <c r="I213" s="4"/>
      <c r="J213" s="4"/>
      <c r="K213" s="4">
        <f>IFERROR(__xludf.DUMMYFUNCTION("""COMPUTED_VALUE"""),-1.0119741721733817)</f>
        <v>-1.011974172</v>
      </c>
      <c r="L213" s="4"/>
      <c r="M213" s="4"/>
      <c r="N213" s="4">
        <f>IFERROR(__xludf.DUMMYFUNCTION("""COMPUTED_VALUE"""),0.3622640018130028)</f>
        <v>0.3622640018</v>
      </c>
      <c r="O213" s="4"/>
      <c r="P213" s="4"/>
      <c r="Q213" s="4">
        <f>IFERROR(__xludf.DUMMYFUNCTION("""COMPUTED_VALUE"""),8.133786392074512)</f>
        <v>8.133786392</v>
      </c>
      <c r="R213" s="4"/>
      <c r="S213" s="4"/>
      <c r="T213" s="4">
        <f>IFERROR(__xludf.DUMMYFUNCTION("""COMPUTED_VALUE"""),11.583664008474273)</f>
        <v>11.58366401</v>
      </c>
      <c r="U213" s="4"/>
      <c r="V213" s="4"/>
      <c r="W213" s="4">
        <f>IFERROR(__xludf.DUMMYFUNCTION("""COMPUTED_VALUE"""),25.52455483312866)</f>
        <v>25.52455483</v>
      </c>
      <c r="X213" s="4"/>
      <c r="Y213" s="4"/>
      <c r="Z213" s="4">
        <f>IFERROR(__xludf.DUMMYFUNCTION("""COMPUTED_VALUE"""),48.32630595749134)</f>
        <v>48.32630596</v>
      </c>
      <c r="AA213" s="4"/>
      <c r="AB213" s="4"/>
      <c r="AC213" s="4">
        <f>IFERROR(__xludf.DUMMYFUNCTION("""COMPUTED_VALUE"""),78.71387932280192)</f>
        <v>78.71387932</v>
      </c>
      <c r="AD213" s="4"/>
      <c r="AE213" s="4"/>
      <c r="AF213" s="4">
        <f>IFERROR(__xludf.DUMMYFUNCTION("""COMPUTED_VALUE"""),96.23047405666262)</f>
        <v>96.23047406</v>
      </c>
      <c r="AG213" s="4"/>
      <c r="AH213" s="4"/>
      <c r="AI213" s="4">
        <f>IFERROR(__xludf.DUMMYFUNCTION("""COMPUTED_VALUE"""),110.9584088557562)</f>
        <v>110.9584089</v>
      </c>
      <c r="AJ213" s="4"/>
      <c r="AK213" s="4"/>
      <c r="AL213" s="4">
        <f>IFERROR(__xludf.DUMMYFUNCTION("""COMPUTED_VALUE"""),112.20653279783534)</f>
        <v>112.2065328</v>
      </c>
      <c r="AM213" s="4"/>
      <c r="AN213" s="4"/>
      <c r="AO213" s="4">
        <f>IFERROR(__xludf.DUMMYFUNCTION("""COMPUTED_VALUE"""),114.38439676907694)</f>
        <v>114.3843968</v>
      </c>
      <c r="AP213" s="4"/>
      <c r="AQ213" s="4"/>
      <c r="AR213" s="4">
        <f>IFERROR(__xludf.DUMMYFUNCTION("""COMPUTED_VALUE"""),96.53984929525978)</f>
        <v>96.5398493</v>
      </c>
      <c r="AS213" s="4"/>
      <c r="AT213" s="4"/>
      <c r="AU213" s="4">
        <f>IFERROR(__xludf.DUMMYFUNCTION("""COMPUTED_VALUE"""),80.30226749864676)</f>
        <v>80.3022675</v>
      </c>
      <c r="AV213" s="4"/>
      <c r="AW213" s="4"/>
      <c r="AX213" s="4">
        <f>IFERROR(__xludf.DUMMYFUNCTION("""COMPUTED_VALUE"""),67.28654356222307)</f>
        <v>67.28654356</v>
      </c>
      <c r="AY213" s="4"/>
      <c r="AZ213" s="4"/>
      <c r="BA213" s="4">
        <f>IFERROR(__xludf.DUMMYFUNCTION("""COMPUTED_VALUE"""),50.47765846491217)</f>
        <v>50.47765846</v>
      </c>
      <c r="BB213" s="4"/>
      <c r="BC213" s="4"/>
      <c r="BD213" s="4">
        <f>IFERROR(__xludf.DUMMYFUNCTION("""COMPUTED_VALUE"""),31.673187691222665)</f>
        <v>31.67318769</v>
      </c>
      <c r="BE213" s="4"/>
      <c r="BF213" s="4"/>
      <c r="BG213" s="4">
        <f>IFERROR(__xludf.DUMMYFUNCTION("""COMPUTED_VALUE"""),20.813842909702146)</f>
        <v>20.81384291</v>
      </c>
      <c r="BH213" s="4"/>
      <c r="BI213" s="4"/>
      <c r="BJ213" s="4"/>
      <c r="BK213" s="4"/>
    </row>
    <row r="214">
      <c r="A214" s="4"/>
      <c r="B214" s="4"/>
      <c r="C214" s="4"/>
      <c r="D214" s="4">
        <f>IFERROR(__xludf.DUMMYFUNCTION("""COMPUTED_VALUE"""),16.529330379474132)</f>
        <v>16.52933038</v>
      </c>
      <c r="E214" s="23">
        <f>IFERROR(__xludf.DUMMYFUNCTION("""COMPUTED_VALUE"""),5.2947988593853665)</f>
        <v>5.294798859</v>
      </c>
      <c r="F214" s="4"/>
      <c r="G214" s="4"/>
      <c r="H214" s="4">
        <f>IFERROR(__xludf.DUMMYFUNCTION("""COMPUTED_VALUE"""),6.444474321832445)</f>
        <v>6.444474322</v>
      </c>
      <c r="I214" s="4"/>
      <c r="J214" s="4"/>
      <c r="K214" s="4">
        <f>IFERROR(__xludf.DUMMYFUNCTION("""COMPUTED_VALUE"""),3.112428050067024)</f>
        <v>3.11242805</v>
      </c>
      <c r="L214" s="4"/>
      <c r="M214" s="4"/>
      <c r="N214" s="4">
        <f>IFERROR(__xludf.DUMMYFUNCTION("""COMPUTED_VALUE"""),0.8872695332255489)</f>
        <v>0.8872695332</v>
      </c>
      <c r="O214" s="4"/>
      <c r="P214" s="4"/>
      <c r="Q214" s="4">
        <f>IFERROR(__xludf.DUMMYFUNCTION("""COMPUTED_VALUE"""),12.234056195298365)</f>
        <v>12.2340562</v>
      </c>
      <c r="R214" s="4"/>
      <c r="S214" s="4"/>
      <c r="T214" s="4">
        <f>IFERROR(__xludf.DUMMYFUNCTION("""COMPUTED_VALUE"""),16.798605138420953)</f>
        <v>16.79860514</v>
      </c>
      <c r="U214" s="4"/>
      <c r="V214" s="4"/>
      <c r="W214" s="4">
        <f>IFERROR(__xludf.DUMMYFUNCTION("""COMPUTED_VALUE"""),33.67532264253725)</f>
        <v>33.67532264</v>
      </c>
      <c r="X214" s="4"/>
      <c r="Y214" s="4"/>
      <c r="Z214" s="4">
        <f>IFERROR(__xludf.DUMMYFUNCTION("""COMPUTED_VALUE"""),54.05567423748738)</f>
        <v>54.05567424</v>
      </c>
      <c r="AA214" s="4"/>
      <c r="AB214" s="4"/>
      <c r="AC214" s="4">
        <f>IFERROR(__xludf.DUMMYFUNCTION("""COMPUTED_VALUE"""),73.13673111594892)</f>
        <v>73.13673112</v>
      </c>
      <c r="AD214" s="4"/>
      <c r="AE214" s="4"/>
      <c r="AF214" s="4">
        <f>IFERROR(__xludf.DUMMYFUNCTION("""COMPUTED_VALUE"""),96.33652595997756)</f>
        <v>96.33652596</v>
      </c>
      <c r="AG214" s="4"/>
      <c r="AH214" s="4"/>
      <c r="AI214" s="4">
        <f>IFERROR(__xludf.DUMMYFUNCTION("""COMPUTED_VALUE"""),99.42038528448467)</f>
        <v>99.42038528</v>
      </c>
      <c r="AJ214" s="4"/>
      <c r="AK214" s="4"/>
      <c r="AL214" s="4">
        <f>IFERROR(__xludf.DUMMYFUNCTION("""COMPUTED_VALUE"""),116.00854661293738)</f>
        <v>116.0085466</v>
      </c>
      <c r="AM214" s="4"/>
      <c r="AN214" s="4"/>
      <c r="AO214" s="4">
        <f>IFERROR(__xludf.DUMMYFUNCTION("""COMPUTED_VALUE"""),107.108064610145)</f>
        <v>107.1080646</v>
      </c>
      <c r="AP214" s="4"/>
      <c r="AQ214" s="4"/>
      <c r="AR214" s="4">
        <f>IFERROR(__xludf.DUMMYFUNCTION("""COMPUTED_VALUE"""),101.51011634330348)</f>
        <v>101.5101163</v>
      </c>
      <c r="AS214" s="4"/>
      <c r="AT214" s="4"/>
      <c r="AU214" s="4">
        <f>IFERROR(__xludf.DUMMYFUNCTION("""COMPUTED_VALUE"""),84.16431251697679)</f>
        <v>84.16431252</v>
      </c>
      <c r="AV214" s="4"/>
      <c r="AW214" s="4"/>
      <c r="AX214" s="4">
        <f>IFERROR(__xludf.DUMMYFUNCTION("""COMPUTED_VALUE"""),65.25927814659792)</f>
        <v>65.25927815</v>
      </c>
      <c r="AY214" s="4"/>
      <c r="AZ214" s="4"/>
      <c r="BA214" s="4">
        <f>IFERROR(__xludf.DUMMYFUNCTION("""COMPUTED_VALUE"""),50.158204215986586)</f>
        <v>50.15820422</v>
      </c>
      <c r="BB214" s="4"/>
      <c r="BC214" s="4"/>
      <c r="BD214" s="4">
        <f>IFERROR(__xludf.DUMMYFUNCTION("""COMPUTED_VALUE"""),35.501905572685075)</f>
        <v>35.50190557</v>
      </c>
      <c r="BE214" s="4"/>
      <c r="BF214" s="4"/>
      <c r="BG214" s="4">
        <f>IFERROR(__xludf.DUMMYFUNCTION("""COMPUTED_VALUE"""),18.557033788058277)</f>
        <v>18.55703379</v>
      </c>
      <c r="BH214" s="4"/>
      <c r="BI214" s="4"/>
      <c r="BJ214" s="4"/>
      <c r="BK214" s="4"/>
    </row>
    <row r="215">
      <c r="A215" s="4"/>
      <c r="B215" s="4"/>
      <c r="C215" s="4"/>
      <c r="D215" s="4">
        <f>IFERROR(__xludf.DUMMYFUNCTION("""COMPUTED_VALUE"""),15.611034246674055)</f>
        <v>15.61103425</v>
      </c>
      <c r="E215" s="23">
        <f>IFERROR(__xludf.DUMMYFUNCTION("""COMPUTED_VALUE"""),5.138606681575084)</f>
        <v>5.138606682</v>
      </c>
      <c r="F215" s="4"/>
      <c r="G215" s="4"/>
      <c r="H215" s="4">
        <f>IFERROR(__xludf.DUMMYFUNCTION("""COMPUTED_VALUE"""),3.475945115731804)</f>
        <v>3.475945116</v>
      </c>
      <c r="I215" s="4"/>
      <c r="J215" s="4"/>
      <c r="K215" s="4">
        <f>IFERROR(__xludf.DUMMYFUNCTION("""COMPUTED_VALUE"""),5.557061113506904)</f>
        <v>5.557061114</v>
      </c>
      <c r="L215" s="4"/>
      <c r="M215" s="4"/>
      <c r="N215" s="4">
        <f>IFERROR(__xludf.DUMMYFUNCTION("""COMPUTED_VALUE"""),0.7563887889370449)</f>
        <v>0.7563887889</v>
      </c>
      <c r="O215" s="4"/>
      <c r="P215" s="4"/>
      <c r="Q215" s="4">
        <f>IFERROR(__xludf.DUMMYFUNCTION("""COMPUTED_VALUE"""),12.722729850577423)</f>
        <v>12.72272985</v>
      </c>
      <c r="R215" s="4"/>
      <c r="S215" s="4"/>
      <c r="T215" s="4">
        <f>IFERROR(__xludf.DUMMYFUNCTION("""COMPUTED_VALUE"""),15.452299508551732)</f>
        <v>15.45229951</v>
      </c>
      <c r="U215" s="4"/>
      <c r="V215" s="4"/>
      <c r="W215" s="4">
        <f>IFERROR(__xludf.DUMMYFUNCTION("""COMPUTED_VALUE"""),24.62329117969051)</f>
        <v>24.62329118</v>
      </c>
      <c r="X215" s="4"/>
      <c r="Y215" s="4"/>
      <c r="Z215" s="4">
        <f>IFERROR(__xludf.DUMMYFUNCTION("""COMPUTED_VALUE"""),58.196596340401754)</f>
        <v>58.19659634</v>
      </c>
      <c r="AA215" s="4"/>
      <c r="AB215" s="4"/>
      <c r="AC215" s="4">
        <f>IFERROR(__xludf.DUMMYFUNCTION("""COMPUTED_VALUE"""),81.80156333394774)</f>
        <v>81.80156333</v>
      </c>
      <c r="AD215" s="4"/>
      <c r="AE215" s="4"/>
      <c r="AF215" s="4">
        <f>IFERROR(__xludf.DUMMYFUNCTION("""COMPUTED_VALUE"""),93.79736734500511)</f>
        <v>93.79736735</v>
      </c>
      <c r="AG215" s="4"/>
      <c r="AH215" s="4"/>
      <c r="AI215" s="4">
        <f>IFERROR(__xludf.DUMMYFUNCTION("""COMPUTED_VALUE"""),107.27231015498518)</f>
        <v>107.2723102</v>
      </c>
      <c r="AJ215" s="4"/>
      <c r="AK215" s="4"/>
      <c r="AL215" s="4">
        <f>IFERROR(__xludf.DUMMYFUNCTION("""COMPUTED_VALUE"""),117.11428410594948)</f>
        <v>117.1142841</v>
      </c>
      <c r="AM215" s="4"/>
      <c r="AN215" s="4"/>
      <c r="AO215" s="4">
        <f>IFERROR(__xludf.DUMMYFUNCTION("""COMPUTED_VALUE"""),111.06203666711775)</f>
        <v>111.0620367</v>
      </c>
      <c r="AP215" s="4"/>
      <c r="AQ215" s="4"/>
      <c r="AR215" s="4">
        <f>IFERROR(__xludf.DUMMYFUNCTION("""COMPUTED_VALUE"""),98.9170521567209)</f>
        <v>98.91705216</v>
      </c>
      <c r="AS215" s="4"/>
      <c r="AT215" s="4"/>
      <c r="AU215" s="4">
        <f>IFERROR(__xludf.DUMMYFUNCTION("""COMPUTED_VALUE"""),78.60372081535513)</f>
        <v>78.60372082</v>
      </c>
      <c r="AV215" s="4"/>
      <c r="AW215" s="4"/>
      <c r="AX215" s="4">
        <f>IFERROR(__xludf.DUMMYFUNCTION("""COMPUTED_VALUE"""),56.027785210537786)</f>
        <v>56.02778521</v>
      </c>
      <c r="AY215" s="4"/>
      <c r="AZ215" s="4"/>
      <c r="BA215" s="4">
        <f>IFERROR(__xludf.DUMMYFUNCTION("""COMPUTED_VALUE"""),38.07770020626111)</f>
        <v>38.07770021</v>
      </c>
      <c r="BB215" s="4"/>
      <c r="BC215" s="4"/>
      <c r="BD215" s="4">
        <f>IFERROR(__xludf.DUMMYFUNCTION("""COMPUTED_VALUE"""),36.46917994210543)</f>
        <v>36.46917994</v>
      </c>
      <c r="BE215" s="4"/>
      <c r="BF215" s="4"/>
      <c r="BG215" s="4">
        <f>IFERROR(__xludf.DUMMYFUNCTION("""COMPUTED_VALUE"""),20.308476705792884)</f>
        <v>20.30847671</v>
      </c>
      <c r="BH215" s="4"/>
      <c r="BI215" s="4"/>
      <c r="BJ215" s="4"/>
      <c r="BK215" s="4"/>
    </row>
    <row r="216">
      <c r="A216" s="4"/>
      <c r="B216" s="4"/>
      <c r="C216" s="4"/>
      <c r="D216" s="4">
        <f>IFERROR(__xludf.DUMMYFUNCTION("""COMPUTED_VALUE"""),14.692738116039285)</f>
        <v>14.69273812</v>
      </c>
      <c r="E216" s="23">
        <f>IFERROR(__xludf.DUMMYFUNCTION("""COMPUTED_VALUE"""),7.50420462019639)</f>
        <v>7.50420462</v>
      </c>
      <c r="F216" s="4"/>
      <c r="G216" s="4"/>
      <c r="H216" s="4">
        <f>IFERROR(__xludf.DUMMYFUNCTION("""COMPUTED_VALUE"""),7.615695770764887)</f>
        <v>7.615695771</v>
      </c>
      <c r="I216" s="4"/>
      <c r="J216" s="4"/>
      <c r="K216" s="4">
        <f>IFERROR(__xludf.DUMMYFUNCTION("""COMPUTED_VALUE"""),2.1393528286523633)</f>
        <v>2.139352829</v>
      </c>
      <c r="L216" s="4"/>
      <c r="M216" s="4"/>
      <c r="N216" s="4">
        <f>IFERROR(__xludf.DUMMYFUNCTION("""COMPUTED_VALUE"""),8.711055837339757)</f>
        <v>8.711055837</v>
      </c>
      <c r="O216" s="4"/>
      <c r="P216" s="4"/>
      <c r="Q216" s="4">
        <f>IFERROR(__xludf.DUMMYFUNCTION("""COMPUTED_VALUE"""),15.106575885987581)</f>
        <v>15.10657589</v>
      </c>
      <c r="R216" s="4"/>
      <c r="S216" s="4"/>
      <c r="T216" s="4">
        <f>IFERROR(__xludf.DUMMYFUNCTION("""COMPUTED_VALUE"""),18.13091535563666)</f>
        <v>18.13091536</v>
      </c>
      <c r="U216" s="4"/>
      <c r="V216" s="4"/>
      <c r="W216" s="4">
        <f>IFERROR(__xludf.DUMMYFUNCTION("""COMPUTED_VALUE"""),24.385475109348477)</f>
        <v>24.38547511</v>
      </c>
      <c r="X216" s="4"/>
      <c r="Y216" s="4"/>
      <c r="Z216" s="4">
        <f>IFERROR(__xludf.DUMMYFUNCTION("""COMPUTED_VALUE"""),55.848022443250386)</f>
        <v>55.84802244</v>
      </c>
      <c r="AA216" s="4"/>
      <c r="AB216" s="4"/>
      <c r="AC216" s="4">
        <f>IFERROR(__xludf.DUMMYFUNCTION("""COMPUTED_VALUE"""),85.53680993518577)</f>
        <v>85.53680994</v>
      </c>
      <c r="AD216" s="4"/>
      <c r="AE216" s="4"/>
      <c r="AF216" s="4">
        <f>IFERROR(__xludf.DUMMYFUNCTION("""COMPUTED_VALUE"""),94.67129916796193)</f>
        <v>94.67129917</v>
      </c>
      <c r="AG216" s="4"/>
      <c r="AH216" s="4"/>
      <c r="AI216" s="4">
        <f>IFERROR(__xludf.DUMMYFUNCTION("""COMPUTED_VALUE"""),113.7673485880058)</f>
        <v>113.7673486</v>
      </c>
      <c r="AJ216" s="4"/>
      <c r="AK216" s="4"/>
      <c r="AL216" s="4">
        <f>IFERROR(__xludf.DUMMYFUNCTION("""COMPUTED_VALUE"""),114.08333923283794)</f>
        <v>114.0833392</v>
      </c>
      <c r="AM216" s="4"/>
      <c r="AN216" s="4"/>
      <c r="AO216" s="4">
        <f>IFERROR(__xludf.DUMMYFUNCTION("""COMPUTED_VALUE"""),110.84772232474864)</f>
        <v>110.8477223</v>
      </c>
      <c r="AP216" s="4"/>
      <c r="AQ216" s="4"/>
      <c r="AR216" s="4">
        <f>IFERROR(__xludf.DUMMYFUNCTION("""COMPUTED_VALUE"""),90.6490529413548)</f>
        <v>90.64905294</v>
      </c>
      <c r="AS216" s="4"/>
      <c r="AT216" s="4"/>
      <c r="AU216" s="4">
        <f>IFERROR(__xludf.DUMMYFUNCTION("""COMPUTED_VALUE"""),84.1774403670073)</f>
        <v>84.17744037</v>
      </c>
      <c r="AV216" s="4"/>
      <c r="AW216" s="4"/>
      <c r="AX216" s="4">
        <f>IFERROR(__xludf.DUMMYFUNCTION("""COMPUTED_VALUE"""),66.66922463482047)</f>
        <v>66.66922463</v>
      </c>
      <c r="AY216" s="4"/>
      <c r="AZ216" s="4"/>
      <c r="BA216" s="4">
        <f>IFERROR(__xludf.DUMMYFUNCTION("""COMPUTED_VALUE"""),40.24684523147988)</f>
        <v>40.24684523</v>
      </c>
      <c r="BB216" s="4"/>
      <c r="BC216" s="4"/>
      <c r="BD216" s="4">
        <f>IFERROR(__xludf.DUMMYFUNCTION("""COMPUTED_VALUE"""),33.92677399671891)</f>
        <v>33.926774</v>
      </c>
      <c r="BE216" s="4"/>
      <c r="BF216" s="4"/>
      <c r="BG216" s="4">
        <f>IFERROR(__xludf.DUMMYFUNCTION("""COMPUTED_VALUE"""),25.36276857657367)</f>
        <v>25.36276858</v>
      </c>
      <c r="BH216" s="4"/>
      <c r="BI216" s="4"/>
      <c r="BJ216" s="4"/>
      <c r="BK216" s="4"/>
    </row>
    <row r="217">
      <c r="A217" s="4"/>
      <c r="B217" s="4"/>
      <c r="C217" s="4"/>
      <c r="D217" s="4">
        <f>IFERROR(__xludf.DUMMYFUNCTION("""COMPUTED_VALUE"""),13.77444198323921)</f>
        <v>13.77444198</v>
      </c>
      <c r="E217" s="23">
        <f>IFERROR(__xludf.DUMMYFUNCTION("""COMPUTED_VALUE"""),3.885844734020111)</f>
        <v>3.885844734</v>
      </c>
      <c r="F217" s="4"/>
      <c r="G217" s="4"/>
      <c r="H217" s="4">
        <f>IFERROR(__xludf.DUMMYFUNCTION("""COMPUTED_VALUE"""),4.941733599754457)</f>
        <v>4.9417336</v>
      </c>
      <c r="I217" s="4"/>
      <c r="J217" s="4"/>
      <c r="K217" s="4">
        <f>IFERROR(__xludf.DUMMYFUNCTION("""COMPUTED_VALUE"""),6.287171274585262)</f>
        <v>6.287171275</v>
      </c>
      <c r="L217" s="4"/>
      <c r="M217" s="4"/>
      <c r="N217" s="4">
        <f>IFERROR(__xludf.DUMMYFUNCTION("""COMPUTED_VALUE"""),10.515506330863161)</f>
        <v>10.51550633</v>
      </c>
      <c r="O217" s="4"/>
      <c r="P217" s="4"/>
      <c r="Q217" s="4">
        <f>IFERROR(__xludf.DUMMYFUNCTION("""COMPUTED_VALUE"""),14.015939491180404)</f>
        <v>14.01593949</v>
      </c>
      <c r="R217" s="4"/>
      <c r="S217" s="4"/>
      <c r="T217" s="4">
        <f>IFERROR(__xludf.DUMMYFUNCTION("""COMPUTED_VALUE"""),19.099781450544242)</f>
        <v>19.09978145</v>
      </c>
      <c r="U217" s="4"/>
      <c r="V217" s="4"/>
      <c r="W217" s="4">
        <f>IFERROR(__xludf.DUMMYFUNCTION("""COMPUTED_VALUE"""),37.17755218120368)</f>
        <v>37.17755218</v>
      </c>
      <c r="X217" s="4"/>
      <c r="Y217" s="4"/>
      <c r="Z217" s="4">
        <f>IFERROR(__xludf.DUMMYFUNCTION("""COMPUTED_VALUE"""),60.83394257031233)</f>
        <v>60.83394257</v>
      </c>
      <c r="AA217" s="4"/>
      <c r="AB217" s="4"/>
      <c r="AC217" s="4">
        <f>IFERROR(__xludf.DUMMYFUNCTION("""COMPUTED_VALUE"""),86.04632214226513)</f>
        <v>86.04632214</v>
      </c>
      <c r="AD217" s="4"/>
      <c r="AE217" s="4"/>
      <c r="AF217" s="4">
        <f>IFERROR(__xludf.DUMMYFUNCTION("""COMPUTED_VALUE"""),94.3201048651282)</f>
        <v>94.32010487</v>
      </c>
      <c r="AG217" s="4"/>
      <c r="AH217" s="4"/>
      <c r="AI217" s="4">
        <f>IFERROR(__xludf.DUMMYFUNCTION("""COMPUTED_VALUE"""),114.40877855435326)</f>
        <v>114.4087786</v>
      </c>
      <c r="AJ217" s="4"/>
      <c r="AK217" s="4"/>
      <c r="AL217" s="4">
        <f>IFERROR(__xludf.DUMMYFUNCTION("""COMPUTED_VALUE"""),115.3880854095334)</f>
        <v>115.3880854</v>
      </c>
      <c r="AM217" s="4"/>
      <c r="AN217" s="4"/>
      <c r="AO217" s="4">
        <f>IFERROR(__xludf.DUMMYFUNCTION("""COMPUTED_VALUE"""),110.77078946391748)</f>
        <v>110.7707895</v>
      </c>
      <c r="AP217" s="4"/>
      <c r="AQ217" s="4"/>
      <c r="AR217" s="4">
        <f>IFERROR(__xludf.DUMMYFUNCTION("""COMPUTED_VALUE"""),90.09069269173216)</f>
        <v>90.09069269</v>
      </c>
      <c r="AS217" s="4"/>
      <c r="AT217" s="4"/>
      <c r="AU217" s="4">
        <f>IFERROR(__xludf.DUMMYFUNCTION("""COMPUTED_VALUE"""),82.30759607914894)</f>
        <v>82.30759608</v>
      </c>
      <c r="AV217" s="4"/>
      <c r="AW217" s="4"/>
      <c r="AX217" s="4">
        <f>IFERROR(__xludf.DUMMYFUNCTION("""COMPUTED_VALUE"""),56.3267804281993)</f>
        <v>56.32678043</v>
      </c>
      <c r="AY217" s="4"/>
      <c r="AZ217" s="4"/>
      <c r="BA217" s="4">
        <f>IFERROR(__xludf.DUMMYFUNCTION("""COMPUTED_VALUE"""),46.85894998357065)</f>
        <v>46.85894998</v>
      </c>
      <c r="BB217" s="4"/>
      <c r="BC217" s="4"/>
      <c r="BD217" s="4">
        <f>IFERROR(__xludf.DUMMYFUNCTION("""COMPUTED_VALUE"""),34.31834342567504)</f>
        <v>34.31834343</v>
      </c>
      <c r="BE217" s="4"/>
      <c r="BF217" s="4"/>
      <c r="BG217" s="4">
        <f>IFERROR(__xludf.DUMMYFUNCTION("""COMPUTED_VALUE"""),21.31014900563258)</f>
        <v>21.31014901</v>
      </c>
      <c r="BH217" s="4"/>
      <c r="BI217" s="4"/>
      <c r="BJ217" s="4"/>
      <c r="BK217" s="4"/>
    </row>
    <row r="218">
      <c r="A218" s="4"/>
      <c r="B218" s="4"/>
      <c r="C218" s="4"/>
      <c r="D218" s="4">
        <f>IFERROR(__xludf.DUMMYFUNCTION("""COMPUTED_VALUE"""),12.85614585048949)</f>
        <v>12.85614585</v>
      </c>
      <c r="E218" s="23">
        <f>IFERROR(__xludf.DUMMYFUNCTION("""COMPUTED_VALUE"""),0.3717883631001655)</f>
        <v>0.3717883631</v>
      </c>
      <c r="F218" s="4"/>
      <c r="G218" s="4"/>
      <c r="H218" s="4">
        <f>IFERROR(__xludf.DUMMYFUNCTION("""COMPUTED_VALUE"""),3.507573764886729)</f>
        <v>3.507573765</v>
      </c>
      <c r="I218" s="4"/>
      <c r="J218" s="4"/>
      <c r="K218" s="4">
        <f>IFERROR(__xludf.DUMMYFUNCTION("""COMPUTED_VALUE"""),7.392653558601069)</f>
        <v>7.392653559</v>
      </c>
      <c r="L218" s="4"/>
      <c r="M218" s="4"/>
      <c r="N218" s="4">
        <f>IFERROR(__xludf.DUMMYFUNCTION("""COMPUTED_VALUE"""),10.649912925773549)</f>
        <v>10.64991293</v>
      </c>
      <c r="O218" s="4"/>
      <c r="P218" s="4"/>
      <c r="Q218" s="4">
        <f>IFERROR(__xludf.DUMMYFUNCTION("""COMPUTED_VALUE"""),16.15657721531153)</f>
        <v>16.15657722</v>
      </c>
      <c r="R218" s="4"/>
      <c r="S218" s="4"/>
      <c r="T218" s="4">
        <f>IFERROR(__xludf.DUMMYFUNCTION("""COMPUTED_VALUE"""),20.892723720512492)</f>
        <v>20.89272372</v>
      </c>
      <c r="U218" s="4"/>
      <c r="V218" s="4"/>
      <c r="W218" s="4">
        <f>IFERROR(__xludf.DUMMYFUNCTION("""COMPUTED_VALUE"""),30.342534137139126)</f>
        <v>30.34253414</v>
      </c>
      <c r="X218" s="4"/>
      <c r="Y218" s="4"/>
      <c r="Z218" s="4">
        <f>IFERROR(__xludf.DUMMYFUNCTION("""COMPUTED_VALUE"""),57.16784903943932)</f>
        <v>57.16784904</v>
      </c>
      <c r="AA218" s="4"/>
      <c r="AB218" s="4"/>
      <c r="AC218" s="4">
        <f>IFERROR(__xludf.DUMMYFUNCTION("""COMPUTED_VALUE"""),86.90507192322002)</f>
        <v>86.90507192</v>
      </c>
      <c r="AD218" s="4"/>
      <c r="AE218" s="4"/>
      <c r="AF218" s="4">
        <f>IFERROR(__xludf.DUMMYFUNCTION("""COMPUTED_VALUE"""),100.49912086164397)</f>
        <v>100.4991209</v>
      </c>
      <c r="AG218" s="4"/>
      <c r="AH218" s="4"/>
      <c r="AI218" s="4">
        <f>IFERROR(__xludf.DUMMYFUNCTION("""COMPUTED_VALUE"""),106.23810977000278)</f>
        <v>106.2381098</v>
      </c>
      <c r="AJ218" s="4"/>
      <c r="AK218" s="4"/>
      <c r="AL218" s="4">
        <f>IFERROR(__xludf.DUMMYFUNCTION("""COMPUTED_VALUE"""),120.20175921514908)</f>
        <v>120.2017592</v>
      </c>
      <c r="AM218" s="4"/>
      <c r="AN218" s="4"/>
      <c r="AO218" s="4">
        <f>IFERROR(__xludf.DUMMYFUNCTION("""COMPUTED_VALUE"""),110.11266602420909)</f>
        <v>110.112666</v>
      </c>
      <c r="AP218" s="4"/>
      <c r="AQ218" s="4"/>
      <c r="AR218" s="4">
        <f>IFERROR(__xludf.DUMMYFUNCTION("""COMPUTED_VALUE"""),95.46158426706018)</f>
        <v>95.46158427</v>
      </c>
      <c r="AS218" s="4"/>
      <c r="AT218" s="4"/>
      <c r="AU218" s="4">
        <f>IFERROR(__xludf.DUMMYFUNCTION("""COMPUTED_VALUE"""),79.3044013024321)</f>
        <v>79.3044013</v>
      </c>
      <c r="AV218" s="4"/>
      <c r="AW218" s="4"/>
      <c r="AX218" s="4">
        <f>IFERROR(__xludf.DUMMYFUNCTION("""COMPUTED_VALUE"""),65.11712149007548)</f>
        <v>65.11712149</v>
      </c>
      <c r="AY218" s="4"/>
      <c r="AZ218" s="4"/>
      <c r="BA218" s="4">
        <f>IFERROR(__xludf.DUMMYFUNCTION("""COMPUTED_VALUE"""),46.84582415756506)</f>
        <v>46.84582416</v>
      </c>
      <c r="BB218" s="4"/>
      <c r="BC218" s="4"/>
      <c r="BD218" s="4">
        <f>IFERROR(__xludf.DUMMYFUNCTION("""COMPUTED_VALUE"""),35.245697862616)</f>
        <v>35.24569786</v>
      </c>
      <c r="BE218" s="4"/>
      <c r="BF218" s="4"/>
      <c r="BG218" s="4">
        <f>IFERROR(__xludf.DUMMYFUNCTION("""COMPUTED_VALUE"""),21.496476695921785)</f>
        <v>21.4964767</v>
      </c>
      <c r="BH218" s="4"/>
      <c r="BI218" s="4"/>
      <c r="BJ218" s="4"/>
      <c r="BK218" s="4"/>
    </row>
    <row r="219">
      <c r="A219" s="4"/>
      <c r="B219" s="4"/>
      <c r="C219" s="4"/>
      <c r="D219" s="4">
        <f>IFERROR(__xludf.DUMMYFUNCTION("""COMPUTED_VALUE"""),11.937849717689412)</f>
        <v>11.93784972</v>
      </c>
      <c r="E219" s="23">
        <f>IFERROR(__xludf.DUMMYFUNCTION("""COMPUTED_VALUE"""),4.908659247992773)</f>
        <v>4.908659248</v>
      </c>
      <c r="F219" s="4"/>
      <c r="G219" s="4"/>
      <c r="H219" s="4">
        <f>IFERROR(__xludf.DUMMYFUNCTION("""COMPUTED_VALUE"""),3.250740663109866)</f>
        <v>3.250740663</v>
      </c>
      <c r="I219" s="4"/>
      <c r="J219" s="4"/>
      <c r="K219" s="4">
        <f>IFERROR(__xludf.DUMMYFUNCTION("""COMPUTED_VALUE"""),3.363872061353561)</f>
        <v>3.363872061</v>
      </c>
      <c r="L219" s="4"/>
      <c r="M219" s="4"/>
      <c r="N219" s="4">
        <f>IFERROR(__xludf.DUMMYFUNCTION("""COMPUTED_VALUE"""),12.440766725386538)</f>
        <v>12.44076673</v>
      </c>
      <c r="O219" s="4"/>
      <c r="P219" s="4"/>
      <c r="Q219" s="4">
        <f>IFERROR(__xludf.DUMMYFUNCTION("""COMPUTED_VALUE"""),17.79150416173485)</f>
        <v>17.79150416</v>
      </c>
      <c r="R219" s="4"/>
      <c r="S219" s="4"/>
      <c r="T219" s="4">
        <f>IFERROR(__xludf.DUMMYFUNCTION("""COMPUTED_VALUE"""),22.119340807244157)</f>
        <v>22.11934081</v>
      </c>
      <c r="U219" s="4"/>
      <c r="V219" s="4"/>
      <c r="W219" s="4">
        <f>IFERROR(__xludf.DUMMYFUNCTION("""COMPUTED_VALUE"""),33.889062497426835)</f>
        <v>33.8890625</v>
      </c>
      <c r="X219" s="4"/>
      <c r="Y219" s="4"/>
      <c r="Z219" s="4">
        <f>IFERROR(__xludf.DUMMYFUNCTION("""COMPUTED_VALUE"""),62.82481211203401)</f>
        <v>62.82481211</v>
      </c>
      <c r="AA219" s="4"/>
      <c r="AB219" s="4"/>
      <c r="AC219" s="4">
        <f>IFERROR(__xludf.DUMMYFUNCTION("""COMPUTED_VALUE"""),85.91134230456345)</f>
        <v>85.9113423</v>
      </c>
      <c r="AD219" s="4"/>
      <c r="AE219" s="4"/>
      <c r="AF219" s="4">
        <f>IFERROR(__xludf.DUMMYFUNCTION("""COMPUTED_VALUE"""),106.62118846813974)</f>
        <v>106.6211885</v>
      </c>
      <c r="AG219" s="4"/>
      <c r="AH219" s="4"/>
      <c r="AI219" s="4">
        <f>IFERROR(__xludf.DUMMYFUNCTION("""COMPUTED_VALUE"""),118.2648087738383)</f>
        <v>118.2648088</v>
      </c>
      <c r="AJ219" s="4"/>
      <c r="AK219" s="4"/>
      <c r="AL219" s="4">
        <f>IFERROR(__xludf.DUMMYFUNCTION("""COMPUTED_VALUE"""),115.61306771173224)</f>
        <v>115.6130677</v>
      </c>
      <c r="AM219" s="4"/>
      <c r="AN219" s="4"/>
      <c r="AO219" s="4">
        <f>IFERROR(__xludf.DUMMYFUNCTION("""COMPUTED_VALUE"""),103.87587485839163)</f>
        <v>103.8758749</v>
      </c>
      <c r="AP219" s="4"/>
      <c r="AQ219" s="4"/>
      <c r="AR219" s="4">
        <f>IFERROR(__xludf.DUMMYFUNCTION("""COMPUTED_VALUE"""),97.99852258445844)</f>
        <v>97.99852258</v>
      </c>
      <c r="AS219" s="4"/>
      <c r="AT219" s="4"/>
      <c r="AU219" s="4">
        <f>IFERROR(__xludf.DUMMYFUNCTION("""COMPUTED_VALUE"""),78.35660713115328)</f>
        <v>78.35660713</v>
      </c>
      <c r="AV219" s="4"/>
      <c r="AW219" s="4"/>
      <c r="AX219" s="4">
        <f>IFERROR(__xludf.DUMMYFUNCTION("""COMPUTED_VALUE"""),63.10482184001364)</f>
        <v>63.10482184</v>
      </c>
      <c r="AY219" s="4"/>
      <c r="AZ219" s="4"/>
      <c r="BA219" s="4">
        <f>IFERROR(__xludf.DUMMYFUNCTION("""COMPUTED_VALUE"""),50.56337439950437)</f>
        <v>50.5633744</v>
      </c>
      <c r="BB219" s="4"/>
      <c r="BC219" s="4"/>
      <c r="BD219" s="4">
        <f>IFERROR(__xludf.DUMMYFUNCTION("""COMPUTED_VALUE"""),34.7078297195834)</f>
        <v>34.70782972</v>
      </c>
      <c r="BE219" s="4"/>
      <c r="BF219" s="4"/>
      <c r="BG219" s="4">
        <f>IFERROR(__xludf.DUMMYFUNCTION("""COMPUTED_VALUE"""),27.42903421630149)</f>
        <v>27.42903422</v>
      </c>
      <c r="BH219" s="4"/>
      <c r="BI219" s="4"/>
      <c r="BJ219" s="4"/>
      <c r="BK219" s="4"/>
    </row>
    <row r="220">
      <c r="A220" s="4"/>
      <c r="B220" s="4"/>
      <c r="C220" s="4"/>
      <c r="D220" s="4">
        <f>IFERROR(__xludf.DUMMYFUNCTION("""COMPUTED_VALUE"""),11.019553587004285)</f>
        <v>11.01955359</v>
      </c>
      <c r="E220" s="23">
        <f>IFERROR(__xludf.DUMMYFUNCTION("""COMPUTED_VALUE"""),1.7211693319057417)</f>
        <v>1.721169332</v>
      </c>
      <c r="F220" s="4"/>
      <c r="G220" s="4"/>
      <c r="H220" s="4">
        <f>IFERROR(__xludf.DUMMYFUNCTION("""COMPUTED_VALUE"""),8.23948473341892)</f>
        <v>8.239484733</v>
      </c>
      <c r="I220" s="4"/>
      <c r="J220" s="4"/>
      <c r="K220" s="4">
        <f>IFERROR(__xludf.DUMMYFUNCTION("""COMPUTED_VALUE"""),2.804820522610953)</f>
        <v>2.804820523</v>
      </c>
      <c r="L220" s="4"/>
      <c r="M220" s="4"/>
      <c r="N220" s="4">
        <f>IFERROR(__xludf.DUMMYFUNCTION("""COMPUTED_VALUE"""),7.49827446088608)</f>
        <v>7.498274461</v>
      </c>
      <c r="O220" s="4"/>
      <c r="P220" s="4"/>
      <c r="Q220" s="4">
        <f>IFERROR(__xludf.DUMMYFUNCTION("""COMPUTED_VALUE"""),12.151713507150134)</f>
        <v>12.15171351</v>
      </c>
      <c r="R220" s="4"/>
      <c r="S220" s="4"/>
      <c r="T220" s="4">
        <f>IFERROR(__xludf.DUMMYFUNCTION("""COMPUTED_VALUE"""),28.46500825514846)</f>
        <v>28.46500826</v>
      </c>
      <c r="U220" s="4"/>
      <c r="V220" s="4"/>
      <c r="W220" s="4">
        <f>IFERROR(__xludf.DUMMYFUNCTION("""COMPUTED_VALUE"""),30.567552861520994)</f>
        <v>30.56755286</v>
      </c>
      <c r="X220" s="4"/>
      <c r="Y220" s="4"/>
      <c r="Z220" s="4">
        <f>IFERROR(__xludf.DUMMYFUNCTION("""COMPUTED_VALUE"""),61.0180434031916)</f>
        <v>61.0180434</v>
      </c>
      <c r="AA220" s="4"/>
      <c r="AB220" s="4"/>
      <c r="AC220" s="4">
        <f>IFERROR(__xludf.DUMMYFUNCTION("""COMPUTED_VALUE"""),88.89013426866467)</f>
        <v>88.89013427</v>
      </c>
      <c r="AD220" s="4"/>
      <c r="AE220" s="4"/>
      <c r="AF220" s="4">
        <f>IFERROR(__xludf.DUMMYFUNCTION("""COMPUTED_VALUE"""),101.89237105125113)</f>
        <v>101.8923711</v>
      </c>
      <c r="AG220" s="4"/>
      <c r="AH220" s="4"/>
      <c r="AI220" s="4">
        <f>IFERROR(__xludf.DUMMYFUNCTION("""COMPUTED_VALUE"""),122.30800057204169)</f>
        <v>122.3080006</v>
      </c>
      <c r="AJ220" s="4"/>
      <c r="AK220" s="4"/>
      <c r="AL220" s="4">
        <f>IFERROR(__xludf.DUMMYFUNCTION("""COMPUTED_VALUE"""),119.69768137084327)</f>
        <v>119.6976814</v>
      </c>
      <c r="AM220" s="4"/>
      <c r="AN220" s="4"/>
      <c r="AO220" s="4">
        <f>IFERROR(__xludf.DUMMYFUNCTION("""COMPUTED_VALUE"""),99.36484436953816)</f>
        <v>99.36484437</v>
      </c>
      <c r="AP220" s="4"/>
      <c r="AQ220" s="4"/>
      <c r="AR220" s="4">
        <f>IFERROR(__xludf.DUMMYFUNCTION("""COMPUTED_VALUE"""),93.75419538089278)</f>
        <v>93.75419538</v>
      </c>
      <c r="AS220" s="4"/>
      <c r="AT220" s="4"/>
      <c r="AU220" s="4">
        <f>IFERROR(__xludf.DUMMYFUNCTION("""COMPUTED_VALUE"""),83.9600116101418)</f>
        <v>83.96001161</v>
      </c>
      <c r="AV220" s="4"/>
      <c r="AW220" s="4"/>
      <c r="AX220" s="4">
        <f>IFERROR(__xludf.DUMMYFUNCTION("""COMPUTED_VALUE"""),60.52454649583905)</f>
        <v>60.5245465</v>
      </c>
      <c r="AY220" s="4"/>
      <c r="AZ220" s="4"/>
      <c r="BA220" s="4">
        <f>IFERROR(__xludf.DUMMYFUNCTION("""COMPUTED_VALUE"""),46.66022572302302)</f>
        <v>46.66022572</v>
      </c>
      <c r="BB220" s="4"/>
      <c r="BC220" s="4"/>
      <c r="BD220" s="4">
        <f>IFERROR(__xludf.DUMMYFUNCTION("""COMPUTED_VALUE"""),39.93298955727636)</f>
        <v>39.93298956</v>
      </c>
      <c r="BE220" s="4"/>
      <c r="BF220" s="4"/>
      <c r="BG220" s="4">
        <f>IFERROR(__xludf.DUMMYFUNCTION("""COMPUTED_VALUE"""),26.18748365063209)</f>
        <v>26.18748365</v>
      </c>
      <c r="BH220" s="4"/>
      <c r="BI220" s="4"/>
      <c r="BJ220" s="4"/>
      <c r="BK220" s="4"/>
    </row>
    <row r="221">
      <c r="A221" s="4"/>
      <c r="B221" s="4"/>
      <c r="C221" s="4"/>
      <c r="D221" s="4">
        <f>IFERROR(__xludf.DUMMYFUNCTION("""COMPUTED_VALUE"""),10.101257454254567)</f>
        <v>10.10125745</v>
      </c>
      <c r="E221" s="23">
        <f>IFERROR(__xludf.DUMMYFUNCTION("""COMPUTED_VALUE"""),8.244228266568655)</f>
        <v>8.244228267</v>
      </c>
      <c r="F221" s="4"/>
      <c r="G221" s="4"/>
      <c r="H221" s="4">
        <f>IFERROR(__xludf.DUMMYFUNCTION("""COMPUTED_VALUE"""),6.453956301636424)</f>
        <v>6.453956302</v>
      </c>
      <c r="I221" s="4"/>
      <c r="J221" s="4"/>
      <c r="K221" s="4">
        <f>IFERROR(__xludf.DUMMYFUNCTION("""COMPUTED_VALUE"""),8.591195591875476)</f>
        <v>8.591195592</v>
      </c>
      <c r="L221" s="4"/>
      <c r="M221" s="4"/>
      <c r="N221" s="4">
        <f>IFERROR(__xludf.DUMMYFUNCTION("""COMPUTED_VALUE"""),5.832985119721286)</f>
        <v>5.83298512</v>
      </c>
      <c r="O221" s="4"/>
      <c r="P221" s="4"/>
      <c r="Q221" s="4">
        <f>IFERROR(__xludf.DUMMYFUNCTION("""COMPUTED_VALUE"""),15.581458744057443)</f>
        <v>15.58145874</v>
      </c>
      <c r="R221" s="4"/>
      <c r="S221" s="4"/>
      <c r="T221" s="4">
        <f>IFERROR(__xludf.DUMMYFUNCTION("""COMPUTED_VALUE"""),25.095007389245836)</f>
        <v>25.09500739</v>
      </c>
      <c r="U221" s="4"/>
      <c r="V221" s="4"/>
      <c r="W221" s="4">
        <f>IFERROR(__xludf.DUMMYFUNCTION("""COMPUTED_VALUE"""),36.860896271321224)</f>
        <v>36.86089627</v>
      </c>
      <c r="X221" s="4"/>
      <c r="Y221" s="4"/>
      <c r="Z221" s="4">
        <f>IFERROR(__xludf.DUMMYFUNCTION("""COMPUTED_VALUE"""),60.221718924342895)</f>
        <v>60.22171892</v>
      </c>
      <c r="AA221" s="4"/>
      <c r="AB221" s="4"/>
      <c r="AC221" s="4">
        <f>IFERROR(__xludf.DUMMYFUNCTION("""COMPUTED_VALUE"""),91.7055262281275)</f>
        <v>91.70552623</v>
      </c>
      <c r="AD221" s="4"/>
      <c r="AE221" s="4"/>
      <c r="AF221" s="4">
        <f>IFERROR(__xludf.DUMMYFUNCTION("""COMPUTED_VALUE"""),106.94810010032904)</f>
        <v>106.9481001</v>
      </c>
      <c r="AG221" s="4"/>
      <c r="AH221" s="4"/>
      <c r="AI221" s="4">
        <f>IFERROR(__xludf.DUMMYFUNCTION("""COMPUTED_VALUE"""),112.01178867339326)</f>
        <v>112.0117887</v>
      </c>
      <c r="AJ221" s="4"/>
      <c r="AK221" s="4"/>
      <c r="AL221" s="4">
        <f>IFERROR(__xludf.DUMMYFUNCTION("""COMPUTED_VALUE"""),110.08343404236285)</f>
        <v>110.083434</v>
      </c>
      <c r="AM221" s="4"/>
      <c r="AN221" s="4"/>
      <c r="AO221" s="4">
        <f>IFERROR(__xludf.DUMMYFUNCTION("""COMPUTED_VALUE"""),113.72996725587706)</f>
        <v>113.7299673</v>
      </c>
      <c r="AP221" s="4"/>
      <c r="AQ221" s="4"/>
      <c r="AR221" s="4">
        <f>IFERROR(__xludf.DUMMYFUNCTION("""COMPUTED_VALUE"""),103.84788823868217)</f>
        <v>103.8478882</v>
      </c>
      <c r="AS221" s="4"/>
      <c r="AT221" s="4"/>
      <c r="AU221" s="4">
        <f>IFERROR(__xludf.DUMMYFUNCTION("""COMPUTED_VALUE"""),79.6582278171278)</f>
        <v>79.65822782</v>
      </c>
      <c r="AV221" s="4"/>
      <c r="AW221" s="4"/>
      <c r="AX221" s="4">
        <f>IFERROR(__xludf.DUMMYFUNCTION("""COMPUTED_VALUE"""),67.28252974946275)</f>
        <v>67.28252975</v>
      </c>
      <c r="AY221" s="4"/>
      <c r="AZ221" s="4"/>
      <c r="BA221" s="4">
        <f>IFERROR(__xludf.DUMMYFUNCTION("""COMPUTED_VALUE"""),47.017938034919496)</f>
        <v>47.01793803</v>
      </c>
      <c r="BB221" s="4"/>
      <c r="BC221" s="4"/>
      <c r="BD221" s="4">
        <f>IFERROR(__xludf.DUMMYFUNCTION("""COMPUTED_VALUE"""),35.95067746726244)</f>
        <v>35.95067747</v>
      </c>
      <c r="BE221" s="4"/>
      <c r="BF221" s="4"/>
      <c r="BG221" s="4">
        <f>IFERROR(__xludf.DUMMYFUNCTION("""COMPUTED_VALUE"""),20.847474979271794)</f>
        <v>20.84747498</v>
      </c>
      <c r="BH221" s="4"/>
      <c r="BI221" s="4"/>
      <c r="BJ221" s="4"/>
      <c r="BK221" s="4"/>
    </row>
    <row r="222">
      <c r="A222" s="4"/>
      <c r="B222" s="4"/>
      <c r="C222" s="4"/>
      <c r="D222" s="4">
        <f>IFERROR(__xludf.DUMMYFUNCTION("""COMPUTED_VALUE"""),9.18296132145449)</f>
        <v>9.182961321</v>
      </c>
      <c r="E222" s="23">
        <f>IFERROR(__xludf.DUMMYFUNCTION("""COMPUTED_VALUE"""),1.8602902236840464)</f>
        <v>1.860290224</v>
      </c>
      <c r="F222" s="4"/>
      <c r="G222" s="4"/>
      <c r="H222" s="4">
        <f>IFERROR(__xludf.DUMMYFUNCTION("""COMPUTED_VALUE"""),7.298204166412972)</f>
        <v>7.298204166</v>
      </c>
      <c r="I222" s="4"/>
      <c r="J222" s="4"/>
      <c r="K222" s="4">
        <f>IFERROR(__xludf.DUMMYFUNCTION("""COMPUTED_VALUE"""),9.020317338662721)</f>
        <v>9.020317339</v>
      </c>
      <c r="L222" s="4"/>
      <c r="M222" s="4"/>
      <c r="N222" s="4">
        <f>IFERROR(__xludf.DUMMYFUNCTION("""COMPUTED_VALUE"""),9.673476919686607)</f>
        <v>9.67347692</v>
      </c>
      <c r="O222" s="4"/>
      <c r="P222" s="4"/>
      <c r="Q222" s="4">
        <f>IFERROR(__xludf.DUMMYFUNCTION("""COMPUTED_VALUE"""),14.708801565915962)</f>
        <v>14.70880157</v>
      </c>
      <c r="R222" s="4"/>
      <c r="S222" s="4"/>
      <c r="T222" s="4">
        <f>IFERROR(__xludf.DUMMYFUNCTION("""COMPUTED_VALUE"""),25.176225282970563)</f>
        <v>25.17622528</v>
      </c>
      <c r="U222" s="4"/>
      <c r="V222" s="4"/>
      <c r="W222" s="4">
        <f>IFERROR(__xludf.DUMMYFUNCTION("""COMPUTED_VALUE"""),35.5621547573179)</f>
        <v>35.56215476</v>
      </c>
      <c r="X222" s="4"/>
      <c r="Y222" s="4"/>
      <c r="Z222" s="4">
        <f>IFERROR(__xludf.DUMMYFUNCTION("""COMPUTED_VALUE"""),61.94942917253297)</f>
        <v>61.94942917</v>
      </c>
      <c r="AA222" s="4"/>
      <c r="AB222" s="4"/>
      <c r="AC222" s="4">
        <f>IFERROR(__xludf.DUMMYFUNCTION("""COMPUTED_VALUE"""),89.4175780042562)</f>
        <v>89.417578</v>
      </c>
      <c r="AD222" s="4"/>
      <c r="AE222" s="4"/>
      <c r="AF222" s="4">
        <f>IFERROR(__xludf.DUMMYFUNCTION("""COMPUTED_VALUE"""),106.78367562217039)</f>
        <v>106.7836756</v>
      </c>
      <c r="AG222" s="4"/>
      <c r="AH222" s="4"/>
      <c r="AI222" s="4">
        <f>IFERROR(__xludf.DUMMYFUNCTION("""COMPUTED_VALUE"""),117.6850605884008)</f>
        <v>117.6850606</v>
      </c>
      <c r="AJ222" s="4"/>
      <c r="AK222" s="4"/>
      <c r="AL222" s="4">
        <f>IFERROR(__xludf.DUMMYFUNCTION("""COMPUTED_VALUE"""),118.7828654159)</f>
        <v>118.7828654</v>
      </c>
      <c r="AM222" s="4"/>
      <c r="AN222" s="4"/>
      <c r="AO222" s="4">
        <f>IFERROR(__xludf.DUMMYFUNCTION("""COMPUTED_VALUE"""),106.3059183107942)</f>
        <v>106.3059183</v>
      </c>
      <c r="AP222" s="4"/>
      <c r="AQ222" s="4"/>
      <c r="AR222" s="4">
        <f>IFERROR(__xludf.DUMMYFUNCTION("""COMPUTED_VALUE"""),91.87365824616433)</f>
        <v>91.87365825</v>
      </c>
      <c r="AS222" s="4"/>
      <c r="AT222" s="4"/>
      <c r="AU222" s="4">
        <f>IFERROR(__xludf.DUMMYFUNCTION("""COMPUTED_VALUE"""),73.92137377429964)</f>
        <v>73.92137377</v>
      </c>
      <c r="AV222" s="4"/>
      <c r="AW222" s="4"/>
      <c r="AX222" s="4">
        <f>IFERROR(__xludf.DUMMYFUNCTION("""COMPUTED_VALUE"""),64.76192480691458)</f>
        <v>64.76192481</v>
      </c>
      <c r="AY222" s="4"/>
      <c r="AZ222" s="4"/>
      <c r="BA222" s="4">
        <f>IFERROR(__xludf.DUMMYFUNCTION("""COMPUTED_VALUE"""),51.961759583933315)</f>
        <v>51.96175958</v>
      </c>
      <c r="BB222" s="4"/>
      <c r="BC222" s="4"/>
      <c r="BD222" s="4">
        <f>IFERROR(__xludf.DUMMYFUNCTION("""COMPUTED_VALUE"""),35.48748194758235)</f>
        <v>35.48748195</v>
      </c>
      <c r="BE222" s="4"/>
      <c r="BF222" s="4"/>
      <c r="BG222" s="4">
        <f>IFERROR(__xludf.DUMMYFUNCTION("""COMPUTED_VALUE"""),24.09859072402685)</f>
        <v>24.09859072</v>
      </c>
      <c r="BH222" s="4"/>
      <c r="BI222" s="4"/>
      <c r="BJ222" s="4"/>
      <c r="BK222" s="4"/>
    </row>
    <row r="223">
      <c r="A223" s="4"/>
      <c r="B223" s="4"/>
      <c r="C223" s="4"/>
      <c r="D223" s="4">
        <f>IFERROR(__xludf.DUMMYFUNCTION("""COMPUTED_VALUE"""),8.264665190769362)</f>
        <v>8.264665191</v>
      </c>
      <c r="E223" s="23">
        <f>IFERROR(__xludf.DUMMYFUNCTION("""COMPUTED_VALUE"""),11.520300007311448)</f>
        <v>11.52030001</v>
      </c>
      <c r="F223" s="4"/>
      <c r="G223" s="4"/>
      <c r="H223" s="4">
        <f>IFERROR(__xludf.DUMMYFUNCTION("""COMPUTED_VALUE"""),8.101155494631712)</f>
        <v>8.101155495</v>
      </c>
      <c r="I223" s="4"/>
      <c r="J223" s="4"/>
      <c r="K223" s="4">
        <f>IFERROR(__xludf.DUMMYFUNCTION("""COMPUTED_VALUE"""),16.33016476862059)</f>
        <v>16.33016477</v>
      </c>
      <c r="L223" s="4"/>
      <c r="M223" s="4"/>
      <c r="N223" s="4">
        <f>IFERROR(__xludf.DUMMYFUNCTION("""COMPUTED_VALUE"""),15.016290677136396)</f>
        <v>15.01629068</v>
      </c>
      <c r="O223" s="4"/>
      <c r="P223" s="4"/>
      <c r="Q223" s="4">
        <f>IFERROR(__xludf.DUMMYFUNCTION("""COMPUTED_VALUE"""),21.51277191482251)</f>
        <v>21.51277191</v>
      </c>
      <c r="R223" s="4"/>
      <c r="S223" s="4"/>
      <c r="T223" s="4">
        <f>IFERROR(__xludf.DUMMYFUNCTION("""COMPUTED_VALUE"""),29.322494837250872)</f>
        <v>29.32249484</v>
      </c>
      <c r="U223" s="4"/>
      <c r="V223" s="4"/>
      <c r="W223" s="4">
        <f>IFERROR(__xludf.DUMMYFUNCTION("""COMPUTED_VALUE"""),41.17923594235026)</f>
        <v>41.17923594</v>
      </c>
      <c r="X223" s="4"/>
      <c r="Y223" s="4"/>
      <c r="Z223" s="4">
        <f>IFERROR(__xludf.DUMMYFUNCTION("""COMPUTED_VALUE"""),66.49746428853894)</f>
        <v>66.49746429</v>
      </c>
      <c r="AA223" s="4"/>
      <c r="AB223" s="4"/>
      <c r="AC223" s="4">
        <f>IFERROR(__xludf.DUMMYFUNCTION("""COMPUTED_VALUE"""),94.52049960443617)</f>
        <v>94.5204996</v>
      </c>
      <c r="AD223" s="4"/>
      <c r="AE223" s="4"/>
      <c r="AF223" s="4">
        <f>IFERROR(__xludf.DUMMYFUNCTION("""COMPUTED_VALUE"""),103.40397015872105)</f>
        <v>103.4039702</v>
      </c>
      <c r="AG223" s="4"/>
      <c r="AH223" s="4"/>
      <c r="AI223" s="4">
        <f>IFERROR(__xludf.DUMMYFUNCTION("""COMPUTED_VALUE"""),118.11161759489033)</f>
        <v>118.1116176</v>
      </c>
      <c r="AJ223" s="4"/>
      <c r="AK223" s="4"/>
      <c r="AL223" s="4">
        <f>IFERROR(__xludf.DUMMYFUNCTION("""COMPUTED_VALUE"""),121.18678922830713)</f>
        <v>121.1867892</v>
      </c>
      <c r="AM223" s="4"/>
      <c r="AN223" s="4"/>
      <c r="AO223" s="4">
        <f>IFERROR(__xludf.DUMMYFUNCTION("""COMPUTED_VALUE"""),108.73979787307155)</f>
        <v>108.7397979</v>
      </c>
      <c r="AP223" s="4"/>
      <c r="AQ223" s="4"/>
      <c r="AR223" s="4">
        <f>IFERROR(__xludf.DUMMYFUNCTION("""COMPUTED_VALUE"""),96.94252555246362)</f>
        <v>96.94252555</v>
      </c>
      <c r="AS223" s="4"/>
      <c r="AT223" s="4"/>
      <c r="AU223" s="4">
        <f>IFERROR(__xludf.DUMMYFUNCTION("""COMPUTED_VALUE"""),76.61377659945339)</f>
        <v>76.6137766</v>
      </c>
      <c r="AV223" s="4"/>
      <c r="AW223" s="4"/>
      <c r="AX223" s="4">
        <f>IFERROR(__xludf.DUMMYFUNCTION("""COMPUTED_VALUE"""),64.95174668611048)</f>
        <v>64.95174669</v>
      </c>
      <c r="AY223" s="4"/>
      <c r="AZ223" s="4"/>
      <c r="BA223" s="4">
        <f>IFERROR(__xludf.DUMMYFUNCTION("""COMPUTED_VALUE"""),52.52514850697423)</f>
        <v>52.52514851</v>
      </c>
      <c r="BB223" s="4"/>
      <c r="BC223" s="4"/>
      <c r="BD223" s="4">
        <f>IFERROR(__xludf.DUMMYFUNCTION("""COMPUTED_VALUE"""),39.62693427186446)</f>
        <v>39.62693427</v>
      </c>
      <c r="BE223" s="4"/>
      <c r="BF223" s="4"/>
      <c r="BG223" s="4">
        <f>IFERROR(__xludf.DUMMYFUNCTION("""COMPUTED_VALUE"""),31.94900439203434)</f>
        <v>31.94900439</v>
      </c>
      <c r="BH223" s="4"/>
      <c r="BI223" s="4"/>
      <c r="BJ223" s="4"/>
      <c r="BK223" s="4"/>
    </row>
    <row r="224">
      <c r="A224" s="4"/>
      <c r="B224" s="4"/>
      <c r="C224" s="4"/>
      <c r="D224" s="4">
        <f>IFERROR(__xludf.DUMMYFUNCTION("""COMPUTED_VALUE"""),7.346369058019643)</f>
        <v>7.346369058</v>
      </c>
      <c r="E224" s="23">
        <f>IFERROR(__xludf.DUMMYFUNCTION("""COMPUTED_VALUE"""),11.268072793962574)</f>
        <v>11.26807279</v>
      </c>
      <c r="F224" s="4"/>
      <c r="G224" s="4"/>
      <c r="H224" s="4">
        <f>IFERROR(__xludf.DUMMYFUNCTION("""COMPUTED_VALUE"""),8.143239893614862)</f>
        <v>8.143239894</v>
      </c>
      <c r="I224" s="4"/>
      <c r="J224" s="4"/>
      <c r="K224" s="4">
        <f>IFERROR(__xludf.DUMMYFUNCTION("""COMPUTED_VALUE"""),12.992772282832846)</f>
        <v>12.99277228</v>
      </c>
      <c r="L224" s="4"/>
      <c r="M224" s="4"/>
      <c r="N224" s="4">
        <f>IFERROR(__xludf.DUMMYFUNCTION("""COMPUTED_VALUE"""),15.39520981704328)</f>
        <v>15.39520982</v>
      </c>
      <c r="O224" s="4"/>
      <c r="P224" s="4"/>
      <c r="Q224" s="4">
        <f>IFERROR(__xludf.DUMMYFUNCTION("""COMPUTED_VALUE"""),21.751346870171687)</f>
        <v>21.75134687</v>
      </c>
      <c r="R224" s="4"/>
      <c r="S224" s="4"/>
      <c r="T224" s="4">
        <f>IFERROR(__xludf.DUMMYFUNCTION("""COMPUTED_VALUE"""),25.397280280748475)</f>
        <v>25.39728028</v>
      </c>
      <c r="U224" s="4"/>
      <c r="V224" s="4"/>
      <c r="W224" s="4">
        <f>IFERROR(__xludf.DUMMYFUNCTION("""COMPUTED_VALUE"""),37.7768244406783)</f>
        <v>37.77682444</v>
      </c>
      <c r="X224" s="4"/>
      <c r="Y224" s="4"/>
      <c r="Z224" s="4">
        <f>IFERROR(__xludf.DUMMYFUNCTION("""COMPUTED_VALUE"""),67.42548371282021)</f>
        <v>67.42548371</v>
      </c>
      <c r="AA224" s="4"/>
      <c r="AB224" s="4"/>
      <c r="AC224" s="4">
        <f>IFERROR(__xludf.DUMMYFUNCTION("""COMPUTED_VALUE"""),99.24630866772009)</f>
        <v>99.24630867</v>
      </c>
      <c r="AD224" s="4"/>
      <c r="AE224" s="4"/>
      <c r="AF224" s="4">
        <f>IFERROR(__xludf.DUMMYFUNCTION("""COMPUTED_VALUE"""),114.40729406333634)</f>
        <v>114.4072941</v>
      </c>
      <c r="AG224" s="4"/>
      <c r="AH224" s="4"/>
      <c r="AI224" s="4">
        <f>IFERROR(__xludf.DUMMYFUNCTION("""COMPUTED_VALUE"""),114.37608410435894)</f>
        <v>114.3760841</v>
      </c>
      <c r="AJ224" s="4"/>
      <c r="AK224" s="4"/>
      <c r="AL224" s="4">
        <f>IFERROR(__xludf.DUMMYFUNCTION("""COMPUTED_VALUE"""),113.8611643951221)</f>
        <v>113.8611644</v>
      </c>
      <c r="AM224" s="4"/>
      <c r="AN224" s="4"/>
      <c r="AO224" s="4">
        <f>IFERROR(__xludf.DUMMYFUNCTION("""COMPUTED_VALUE"""),113.93089841366611)</f>
        <v>113.9308984</v>
      </c>
      <c r="AP224" s="4"/>
      <c r="AQ224" s="4"/>
      <c r="AR224" s="4">
        <f>IFERROR(__xludf.DUMMYFUNCTION("""COMPUTED_VALUE"""),96.55763171005822)</f>
        <v>96.55763171</v>
      </c>
      <c r="AS224" s="4"/>
      <c r="AT224" s="4"/>
      <c r="AU224" s="4">
        <f>IFERROR(__xludf.DUMMYFUNCTION("""COMPUTED_VALUE"""),82.57279163357077)</f>
        <v>82.57279163</v>
      </c>
      <c r="AV224" s="4"/>
      <c r="AW224" s="4"/>
      <c r="AX224" s="4">
        <f>IFERROR(__xludf.DUMMYFUNCTION("""COMPUTED_VALUE"""),63.38638401647336)</f>
        <v>63.38638402</v>
      </c>
      <c r="AY224" s="4"/>
      <c r="AZ224" s="4"/>
      <c r="BA224" s="4">
        <f>IFERROR(__xludf.DUMMYFUNCTION("""COMPUTED_VALUE"""),47.13124682647373)</f>
        <v>47.13124683</v>
      </c>
      <c r="BB224" s="4"/>
      <c r="BC224" s="4"/>
      <c r="BD224" s="4">
        <f>IFERROR(__xludf.DUMMYFUNCTION("""COMPUTED_VALUE"""),40.94190512113818)</f>
        <v>40.94190512</v>
      </c>
      <c r="BE224" s="4"/>
      <c r="BF224" s="4"/>
      <c r="BG224" s="4">
        <f>IFERROR(__xludf.DUMMYFUNCTION("""COMPUTED_VALUE"""),27.685861711950167)</f>
        <v>27.68586171</v>
      </c>
      <c r="BH224" s="4"/>
      <c r="BI224" s="4"/>
      <c r="BJ224" s="4"/>
      <c r="BK224" s="4"/>
    </row>
    <row r="225">
      <c r="A225" s="4"/>
      <c r="B225" s="4"/>
      <c r="C225" s="4"/>
      <c r="D225" s="4">
        <f>IFERROR(__xludf.DUMMYFUNCTION("""COMPUTED_VALUE"""),6.428072925219567)</f>
        <v>6.428072925</v>
      </c>
      <c r="E225" s="23">
        <f>IFERROR(__xludf.DUMMYFUNCTION("""COMPUTED_VALUE"""),7.5498567608494795)</f>
        <v>7.549856761</v>
      </c>
      <c r="F225" s="4"/>
      <c r="G225" s="4"/>
      <c r="H225" s="4">
        <f>IFERROR(__xludf.DUMMYFUNCTION("""COMPUTED_VALUE"""),8.869445494023978)</f>
        <v>8.869445494</v>
      </c>
      <c r="I225" s="4"/>
      <c r="J225" s="4"/>
      <c r="K225" s="4">
        <f>IFERROR(__xludf.DUMMYFUNCTION("""COMPUTED_VALUE"""),13.202004442656118)</f>
        <v>13.20200444</v>
      </c>
      <c r="L225" s="4"/>
      <c r="M225" s="4"/>
      <c r="N225" s="4">
        <f>IFERROR(__xludf.DUMMYFUNCTION("""COMPUTED_VALUE"""),11.476482547462297)</f>
        <v>11.47648255</v>
      </c>
      <c r="O225" s="4"/>
      <c r="P225" s="4"/>
      <c r="Q225" s="4">
        <f>IFERROR(__xludf.DUMMYFUNCTION("""COMPUTED_VALUE"""),23.067754483937165)</f>
        <v>23.06775448</v>
      </c>
      <c r="R225" s="4"/>
      <c r="S225" s="4"/>
      <c r="T225" s="4">
        <f>IFERROR(__xludf.DUMMYFUNCTION("""COMPUTED_VALUE"""),30.608282533498368)</f>
        <v>30.60828253</v>
      </c>
      <c r="U225" s="4"/>
      <c r="V225" s="4"/>
      <c r="W225" s="4">
        <f>IFERROR(__xludf.DUMMYFUNCTION("""COMPUTED_VALUE"""),43.090229407282095)</f>
        <v>43.09022941</v>
      </c>
      <c r="X225" s="4"/>
      <c r="Y225" s="4"/>
      <c r="Z225" s="4">
        <f>IFERROR(__xludf.DUMMYFUNCTION("""COMPUTED_VALUE"""),64.8177071557846)</f>
        <v>64.81770716</v>
      </c>
      <c r="AA225" s="4"/>
      <c r="AB225" s="4"/>
      <c r="AC225" s="4">
        <f>IFERROR(__xludf.DUMMYFUNCTION("""COMPUTED_VALUE"""),99.35348296056799)</f>
        <v>99.35348296</v>
      </c>
      <c r="AD225" s="4"/>
      <c r="AE225" s="4"/>
      <c r="AF225" s="4">
        <f>IFERROR(__xludf.DUMMYFUNCTION("""COMPUTED_VALUE"""),103.94525967952148)</f>
        <v>103.9452597</v>
      </c>
      <c r="AG225" s="4"/>
      <c r="AH225" s="4"/>
      <c r="AI225" s="4">
        <f>IFERROR(__xludf.DUMMYFUNCTION("""COMPUTED_VALUE"""),119.3238080023666)</f>
        <v>119.323808</v>
      </c>
      <c r="AJ225" s="4"/>
      <c r="AK225" s="4"/>
      <c r="AL225" s="4">
        <f>IFERROR(__xludf.DUMMYFUNCTION("""COMPUTED_VALUE"""),120.0734908790526)</f>
        <v>120.0734909</v>
      </c>
      <c r="AM225" s="4"/>
      <c r="AN225" s="4"/>
      <c r="AO225" s="4">
        <f>IFERROR(__xludf.DUMMYFUNCTION("""COMPUTED_VALUE"""),107.6484883386272)</f>
        <v>107.6484883</v>
      </c>
      <c r="AP225" s="4"/>
      <c r="AQ225" s="4"/>
      <c r="AR225" s="4">
        <f>IFERROR(__xludf.DUMMYFUNCTION("""COMPUTED_VALUE"""),98.20367602519684)</f>
        <v>98.20367603</v>
      </c>
      <c r="AS225" s="4"/>
      <c r="AT225" s="4"/>
      <c r="AU225" s="4">
        <f>IFERROR(__xludf.DUMMYFUNCTION("""COMPUTED_VALUE"""),83.79986119774588)</f>
        <v>83.7998612</v>
      </c>
      <c r="AV225" s="4"/>
      <c r="AW225" s="4"/>
      <c r="AX225" s="4">
        <f>IFERROR(__xludf.DUMMYFUNCTION("""COMPUTED_VALUE"""),63.57237423426318)</f>
        <v>63.57237423</v>
      </c>
      <c r="AY225" s="4"/>
      <c r="AZ225" s="4"/>
      <c r="BA225" s="4">
        <f>IFERROR(__xludf.DUMMYFUNCTION("""COMPUTED_VALUE"""),46.00958757005935)</f>
        <v>46.00958757</v>
      </c>
      <c r="BB225" s="4"/>
      <c r="BC225" s="4"/>
      <c r="BD225" s="4">
        <f>IFERROR(__xludf.DUMMYFUNCTION("""COMPUTED_VALUE"""),43.644306185929736)</f>
        <v>43.64430619</v>
      </c>
      <c r="BE225" s="4"/>
      <c r="BF225" s="4"/>
      <c r="BG225" s="4">
        <f>IFERROR(__xludf.DUMMYFUNCTION("""COMPUTED_VALUE"""),33.9179683270508)</f>
        <v>33.91796833</v>
      </c>
      <c r="BH225" s="4"/>
      <c r="BI225" s="4"/>
      <c r="BJ225" s="4"/>
      <c r="BK225" s="4"/>
    </row>
    <row r="226">
      <c r="A226" s="4"/>
      <c r="B226" s="4"/>
      <c r="C226" s="4"/>
      <c r="D226" s="4">
        <f>IFERROR(__xludf.DUMMYFUNCTION("""COMPUTED_VALUE"""),5.509776794584797)</f>
        <v>5.509776795</v>
      </c>
      <c r="E226" s="23">
        <f>IFERROR(__xludf.DUMMYFUNCTION("""COMPUTED_VALUE"""),12.090588093087774)</f>
        <v>12.09058809</v>
      </c>
      <c r="F226" s="4"/>
      <c r="G226" s="4"/>
      <c r="H226" s="4">
        <f>IFERROR(__xludf.DUMMYFUNCTION("""COMPUTED_VALUE"""),6.8945365398756735)</f>
        <v>6.89453654</v>
      </c>
      <c r="I226" s="4"/>
      <c r="J226" s="4"/>
      <c r="K226" s="4">
        <f>IFERROR(__xludf.DUMMYFUNCTION("""COMPUTED_VALUE"""),14.914582669325682)</f>
        <v>14.91458267</v>
      </c>
      <c r="L226" s="4"/>
      <c r="M226" s="4"/>
      <c r="N226" s="4">
        <f>IFERROR(__xludf.DUMMYFUNCTION("""COMPUTED_VALUE"""),10.676471044152038)</f>
        <v>10.67647104</v>
      </c>
      <c r="O226" s="4"/>
      <c r="P226" s="4"/>
      <c r="Q226" s="4">
        <f>IFERROR(__xludf.DUMMYFUNCTION("""COMPUTED_VALUE"""),21.062086625792347)</f>
        <v>21.06208663</v>
      </c>
      <c r="R226" s="4"/>
      <c r="S226" s="4"/>
      <c r="T226" s="4">
        <f>IFERROR(__xludf.DUMMYFUNCTION("""COMPUTED_VALUE"""),31.338015028154643)</f>
        <v>31.33801503</v>
      </c>
      <c r="U226" s="4"/>
      <c r="V226" s="4"/>
      <c r="W226" s="4">
        <f>IFERROR(__xludf.DUMMYFUNCTION("""COMPUTED_VALUE"""),44.82970710038455)</f>
        <v>44.8297071</v>
      </c>
      <c r="X226" s="4"/>
      <c r="Y226" s="4"/>
      <c r="Z226" s="4">
        <f>IFERROR(__xludf.DUMMYFUNCTION("""COMPUTED_VALUE"""),68.59358365446963)</f>
        <v>68.59358365</v>
      </c>
      <c r="AA226" s="4"/>
      <c r="AB226" s="4"/>
      <c r="AC226" s="4">
        <f>IFERROR(__xludf.DUMMYFUNCTION("""COMPUTED_VALUE"""),93.45869360802516)</f>
        <v>93.45869361</v>
      </c>
      <c r="AD226" s="4"/>
      <c r="AE226" s="4"/>
      <c r="AF226" s="4">
        <f>IFERROR(__xludf.DUMMYFUNCTION("""COMPUTED_VALUE"""),108.14477430966446)</f>
        <v>108.1447743</v>
      </c>
      <c r="AG226" s="4"/>
      <c r="AH226" s="4"/>
      <c r="AI226" s="4">
        <f>IFERROR(__xludf.DUMMYFUNCTION("""COMPUTED_VALUE"""),125.78868075021137)</f>
        <v>125.7886808</v>
      </c>
      <c r="AJ226" s="4"/>
      <c r="AK226" s="4"/>
      <c r="AL226" s="4">
        <f>IFERROR(__xludf.DUMMYFUNCTION("""COMPUTED_VALUE"""),125.99502990302068)</f>
        <v>125.9950299</v>
      </c>
      <c r="AM226" s="4"/>
      <c r="AN226" s="4"/>
      <c r="AO226" s="4">
        <f>IFERROR(__xludf.DUMMYFUNCTION("""COMPUTED_VALUE"""),114.17283734330027)</f>
        <v>114.1728373</v>
      </c>
      <c r="AP226" s="4"/>
      <c r="AQ226" s="4"/>
      <c r="AR226" s="4">
        <f>IFERROR(__xludf.DUMMYFUNCTION("""COMPUTED_VALUE"""),95.81552426439447)</f>
        <v>95.81552426</v>
      </c>
      <c r="AS226" s="4"/>
      <c r="AT226" s="4"/>
      <c r="AU226" s="4">
        <f>IFERROR(__xludf.DUMMYFUNCTION("""COMPUTED_VALUE"""),86.92051344037645)</f>
        <v>86.92051344</v>
      </c>
      <c r="AV226" s="4"/>
      <c r="AW226" s="4"/>
      <c r="AX226" s="4">
        <f>IFERROR(__xludf.DUMMYFUNCTION("""COMPUTED_VALUE"""),66.23399245354506)</f>
        <v>66.23399245</v>
      </c>
      <c r="AY226" s="4"/>
      <c r="AZ226" s="4"/>
      <c r="BA226" s="4">
        <f>IFERROR(__xludf.DUMMYFUNCTION("""COMPUTED_VALUE"""),55.59398608103038)</f>
        <v>55.59398608</v>
      </c>
      <c r="BB226" s="4"/>
      <c r="BC226" s="4"/>
      <c r="BD226" s="4">
        <f>IFERROR(__xludf.DUMMYFUNCTION("""COMPUTED_VALUE"""),44.41036169839913)</f>
        <v>44.4103617</v>
      </c>
      <c r="BE226" s="4"/>
      <c r="BF226" s="4"/>
      <c r="BG226" s="4">
        <f>IFERROR(__xludf.DUMMYFUNCTION("""COMPUTED_VALUE"""),31.244030304777255)</f>
        <v>31.2440303</v>
      </c>
      <c r="BH226" s="4"/>
      <c r="BI226" s="4"/>
      <c r="BJ226" s="4"/>
      <c r="BK226" s="4"/>
    </row>
    <row r="227">
      <c r="A227" s="4"/>
      <c r="B227" s="4"/>
      <c r="C227" s="4"/>
      <c r="D227" s="4">
        <f>IFERROR(__xludf.DUMMYFUNCTION("""COMPUTED_VALUE"""),4.59148066178472)</f>
        <v>4.591480662</v>
      </c>
      <c r="E227" s="23">
        <f>IFERROR(__xludf.DUMMYFUNCTION("""COMPUTED_VALUE"""),7.063074335260239)</f>
        <v>7.063074335</v>
      </c>
      <c r="F227" s="4"/>
      <c r="G227" s="4"/>
      <c r="H227" s="4">
        <f>IFERROR(__xludf.DUMMYFUNCTION("""COMPUTED_VALUE"""),9.834081622047677)</f>
        <v>9.834081622</v>
      </c>
      <c r="I227" s="4"/>
      <c r="J227" s="4"/>
      <c r="K227" s="4">
        <f>IFERROR(__xludf.DUMMYFUNCTION("""COMPUTED_VALUE"""),15.420623595758514)</f>
        <v>15.4206236</v>
      </c>
      <c r="L227" s="4"/>
      <c r="M227" s="4"/>
      <c r="N227" s="4">
        <f>IFERROR(__xludf.DUMMYFUNCTION("""COMPUTED_VALUE"""),23.031663068770968)</f>
        <v>23.03166307</v>
      </c>
      <c r="O227" s="4"/>
      <c r="P227" s="4"/>
      <c r="Q227" s="4">
        <f>IFERROR(__xludf.DUMMYFUNCTION("""COMPUTED_VALUE"""),20.05348964034448)</f>
        <v>20.05348964</v>
      </c>
      <c r="R227" s="4"/>
      <c r="S227" s="4"/>
      <c r="T227" s="4">
        <f>IFERROR(__xludf.DUMMYFUNCTION("""COMPUTED_VALUE"""),37.5029118328593)</f>
        <v>37.50291183</v>
      </c>
      <c r="U227" s="4"/>
      <c r="V227" s="4"/>
      <c r="W227" s="4">
        <f>IFERROR(__xludf.DUMMYFUNCTION("""COMPUTED_VALUE"""),44.62996034665508)</f>
        <v>44.62996035</v>
      </c>
      <c r="X227" s="4"/>
      <c r="Y227" s="4"/>
      <c r="Z227" s="4">
        <f>IFERROR(__xludf.DUMMYFUNCTION("""COMPUTED_VALUE"""),70.3851705429222)</f>
        <v>70.38517054</v>
      </c>
      <c r="AA227" s="4"/>
      <c r="AB227" s="4"/>
      <c r="AC227" s="4">
        <f>IFERROR(__xludf.DUMMYFUNCTION("""COMPUTED_VALUE"""),104.21355943032273)</f>
        <v>104.2135594</v>
      </c>
      <c r="AD227" s="4"/>
      <c r="AE227" s="4"/>
      <c r="AF227" s="4">
        <f>IFERROR(__xludf.DUMMYFUNCTION("""COMPUTED_VALUE"""),110.55252119012886)</f>
        <v>110.5525212</v>
      </c>
      <c r="AG227" s="4"/>
      <c r="AH227" s="4"/>
      <c r="AI227" s="4">
        <f>IFERROR(__xludf.DUMMYFUNCTION("""COMPUTED_VALUE"""),128.38100560362028)</f>
        <v>128.3810056</v>
      </c>
      <c r="AJ227" s="4"/>
      <c r="AK227" s="4"/>
      <c r="AL227" s="4">
        <f>IFERROR(__xludf.DUMMYFUNCTION("""COMPUTED_VALUE"""),122.23061635616403)</f>
        <v>122.2306164</v>
      </c>
      <c r="AM227" s="4"/>
      <c r="AN227" s="4"/>
      <c r="AO227" s="4">
        <f>IFERROR(__xludf.DUMMYFUNCTION("""COMPUTED_VALUE"""),112.63339416083295)</f>
        <v>112.6333942</v>
      </c>
      <c r="AP227" s="4"/>
      <c r="AQ227" s="4"/>
      <c r="AR227" s="4">
        <f>IFERROR(__xludf.DUMMYFUNCTION("""COMPUTED_VALUE"""),96.47220476573409)</f>
        <v>96.47220477</v>
      </c>
      <c r="AS227" s="4"/>
      <c r="AT227" s="4"/>
      <c r="AU227" s="4">
        <f>IFERROR(__xludf.DUMMYFUNCTION("""COMPUTED_VALUE"""),89.15068243172249)</f>
        <v>89.15068243</v>
      </c>
      <c r="AV227" s="4"/>
      <c r="AW227" s="4"/>
      <c r="AX227" s="4">
        <f>IFERROR(__xludf.DUMMYFUNCTION("""COMPUTED_VALUE"""),64.87113612216473)</f>
        <v>64.87113612</v>
      </c>
      <c r="AY227" s="4"/>
      <c r="AZ227" s="4"/>
      <c r="BA227" s="4">
        <f>IFERROR(__xludf.DUMMYFUNCTION("""COMPUTED_VALUE"""),58.1628863238746)</f>
        <v>58.16288632</v>
      </c>
      <c r="BB227" s="4"/>
      <c r="BC227" s="4"/>
      <c r="BD227" s="4">
        <f>IFERROR(__xludf.DUMMYFUNCTION("""COMPUTED_VALUE"""),48.47596066130245)</f>
        <v>48.47596066</v>
      </c>
      <c r="BE227" s="4"/>
      <c r="BF227" s="4"/>
      <c r="BG227" s="4">
        <f>IFERROR(__xludf.DUMMYFUNCTION("""COMPUTED_VALUE"""),38.77882171820909)</f>
        <v>38.77882172</v>
      </c>
      <c r="BH227" s="4"/>
      <c r="BI227" s="4"/>
      <c r="BJ227" s="4"/>
      <c r="BK227" s="4"/>
    </row>
    <row r="228">
      <c r="A228" s="4"/>
      <c r="B228" s="4"/>
      <c r="C228" s="4"/>
      <c r="D228" s="4">
        <f>IFERROR(__xludf.DUMMYFUNCTION("""COMPUTED_VALUE"""),3.6731845289846436)</f>
        <v>3.673184529</v>
      </c>
      <c r="E228" s="23">
        <f>IFERROR(__xludf.DUMMYFUNCTION("""COMPUTED_VALUE"""),7.375919251911682)</f>
        <v>7.375919252</v>
      </c>
      <c r="F228" s="4"/>
      <c r="G228" s="4"/>
      <c r="H228" s="4">
        <f>IFERROR(__xludf.DUMMYFUNCTION("""COMPUTED_VALUE"""),13.707018800830895)</f>
        <v>13.7070188</v>
      </c>
      <c r="I228" s="4"/>
      <c r="J228" s="4"/>
      <c r="K228" s="4">
        <f>IFERROR(__xludf.DUMMYFUNCTION("""COMPUTED_VALUE"""),12.021014026039722)</f>
        <v>12.02101403</v>
      </c>
      <c r="L228" s="4"/>
      <c r="M228" s="4"/>
      <c r="N228" s="4">
        <f>IFERROR(__xludf.DUMMYFUNCTION("""COMPUTED_VALUE"""),15.927097652917382)</f>
        <v>15.92709765</v>
      </c>
      <c r="O228" s="4"/>
      <c r="P228" s="4"/>
      <c r="Q228" s="4">
        <f>IFERROR(__xludf.DUMMYFUNCTION("""COMPUTED_VALUE"""),23.946394362680337)</f>
        <v>23.94639436</v>
      </c>
      <c r="R228" s="4"/>
      <c r="S228" s="4"/>
      <c r="T228" s="4">
        <f>IFERROR(__xludf.DUMMYFUNCTION("""COMPUTED_VALUE"""),36.31769949799144)</f>
        <v>36.3176995</v>
      </c>
      <c r="U228" s="4"/>
      <c r="V228" s="4"/>
      <c r="W228" s="4">
        <f>IFERROR(__xludf.DUMMYFUNCTION("""COMPUTED_VALUE"""),48.45280085455346)</f>
        <v>48.45280085</v>
      </c>
      <c r="X228" s="4"/>
      <c r="Y228" s="4"/>
      <c r="Z228" s="4">
        <f>IFERROR(__xludf.DUMMYFUNCTION("""COMPUTED_VALUE"""),77.82042059488629)</f>
        <v>77.82042059</v>
      </c>
      <c r="AA228" s="4"/>
      <c r="AB228" s="4"/>
      <c r="AC228" s="4">
        <f>IFERROR(__xludf.DUMMYFUNCTION("""COMPUTED_VALUE"""),108.47265318509596)</f>
        <v>108.4726532</v>
      </c>
      <c r="AD228" s="4"/>
      <c r="AE228" s="4"/>
      <c r="AF228" s="4">
        <f>IFERROR(__xludf.DUMMYFUNCTION("""COMPUTED_VALUE"""),120.30706869362183)</f>
        <v>120.3070687</v>
      </c>
      <c r="AG228" s="4"/>
      <c r="AH228" s="4"/>
      <c r="AI228" s="4">
        <f>IFERROR(__xludf.DUMMYFUNCTION("""COMPUTED_VALUE"""),135.10298762780042)</f>
        <v>135.1029876</v>
      </c>
      <c r="AJ228" s="4"/>
      <c r="AK228" s="4"/>
      <c r="AL228" s="4">
        <f>IFERROR(__xludf.DUMMYFUNCTION("""COMPUTED_VALUE"""),130.80470375258756)</f>
        <v>130.8047038</v>
      </c>
      <c r="AM228" s="4"/>
      <c r="AN228" s="4"/>
      <c r="AO228" s="4">
        <f>IFERROR(__xludf.DUMMYFUNCTION("""COMPUTED_VALUE"""),124.52291204440229)</f>
        <v>124.522912</v>
      </c>
      <c r="AP228" s="4"/>
      <c r="AQ228" s="4"/>
      <c r="AR228" s="4">
        <f>IFERROR(__xludf.DUMMYFUNCTION("""COMPUTED_VALUE"""),103.65155817863644)</f>
        <v>103.6515582</v>
      </c>
      <c r="AS228" s="4"/>
      <c r="AT228" s="4"/>
      <c r="AU228" s="4">
        <f>IFERROR(__xludf.DUMMYFUNCTION("""COMPUTED_VALUE"""),85.67974794456097)</f>
        <v>85.67974794</v>
      </c>
      <c r="AV228" s="4"/>
      <c r="AW228" s="4"/>
      <c r="AX228" s="4">
        <f>IFERROR(__xludf.DUMMYFUNCTION("""COMPUTED_VALUE"""),69.09497614924203)</f>
        <v>69.09497615</v>
      </c>
      <c r="AY228" s="4"/>
      <c r="AZ228" s="4"/>
      <c r="BA228" s="4">
        <f>IFERROR(__xludf.DUMMYFUNCTION("""COMPUTED_VALUE"""),59.07560529836792)</f>
        <v>59.0756053</v>
      </c>
      <c r="BB228" s="4"/>
      <c r="BC228" s="4"/>
      <c r="BD228" s="4">
        <f>IFERROR(__xludf.DUMMYFUNCTION("""COMPUTED_VALUE"""),49.585385964749605)</f>
        <v>49.58538596</v>
      </c>
      <c r="BE228" s="4"/>
      <c r="BF228" s="4"/>
      <c r="BG228" s="4">
        <f>IFERROR(__xludf.DUMMYFUNCTION("""COMPUTED_VALUE"""),33.978021256725754)</f>
        <v>33.97802126</v>
      </c>
      <c r="BH228" s="4"/>
      <c r="BI228" s="4"/>
      <c r="BJ228" s="4"/>
      <c r="BK228" s="4"/>
    </row>
    <row r="229">
      <c r="A229" s="4"/>
      <c r="B229" s="4"/>
      <c r="C229" s="4"/>
      <c r="D229" s="4">
        <f>IFERROR(__xludf.DUMMYFUNCTION("""COMPUTED_VALUE"""),2.754888398349873)</f>
        <v>2.754888398</v>
      </c>
      <c r="E229" s="23">
        <f>IFERROR(__xludf.DUMMYFUNCTION("""COMPUTED_VALUE"""),15.467126999585844)</f>
        <v>15.467127</v>
      </c>
      <c r="F229" s="4"/>
      <c r="G229" s="4"/>
      <c r="H229" s="4">
        <f>IFERROR(__xludf.DUMMYFUNCTION("""COMPUTED_VALUE"""),12.937211780494522)</f>
        <v>12.93721178</v>
      </c>
      <c r="I229" s="4"/>
      <c r="J229" s="4"/>
      <c r="K229" s="4">
        <f>IFERROR(__xludf.DUMMYFUNCTION("""COMPUTED_VALUE"""),17.99753985327834)</f>
        <v>17.99753985</v>
      </c>
      <c r="L229" s="4"/>
      <c r="M229" s="4"/>
      <c r="N229" s="4">
        <f>IFERROR(__xludf.DUMMYFUNCTION("""COMPUTED_VALUE"""),15.300273540060914)</f>
        <v>15.30027354</v>
      </c>
      <c r="O229" s="4"/>
      <c r="P229" s="4"/>
      <c r="Q229" s="4">
        <f>IFERROR(__xludf.DUMMYFUNCTION("""COMPUTED_VALUE"""),26.225866113427173)</f>
        <v>26.22586611</v>
      </c>
      <c r="R229" s="4"/>
      <c r="S229" s="4"/>
      <c r="T229" s="4">
        <f>IFERROR(__xludf.DUMMYFUNCTION("""COMPUTED_VALUE"""),39.418285921293716)</f>
        <v>39.41828592</v>
      </c>
      <c r="U229" s="4"/>
      <c r="V229" s="4"/>
      <c r="W229" s="4">
        <f>IFERROR(__xludf.DUMMYFUNCTION("""COMPUTED_VALUE"""),50.10086816518947)</f>
        <v>50.10086817</v>
      </c>
      <c r="X229" s="4"/>
      <c r="Y229" s="4"/>
      <c r="Z229" s="4">
        <f>IFERROR(__xludf.DUMMYFUNCTION("""COMPUTED_VALUE"""),77.44254068470866)</f>
        <v>77.44254068</v>
      </c>
      <c r="AA229" s="4"/>
      <c r="AB229" s="4"/>
      <c r="AC229" s="4">
        <f>IFERROR(__xludf.DUMMYFUNCTION("""COMPUTED_VALUE"""),111.13123693726692)</f>
        <v>111.1312369</v>
      </c>
      <c r="AD229" s="4"/>
      <c r="AE229" s="4"/>
      <c r="AF229" s="4">
        <f>IFERROR(__xludf.DUMMYFUNCTION("""COMPUTED_VALUE"""),119.99084039907268)</f>
        <v>119.9908404</v>
      </c>
      <c r="AG229" s="4"/>
      <c r="AH229" s="4"/>
      <c r="AI229" s="4">
        <f>IFERROR(__xludf.DUMMYFUNCTION("""COMPUTED_VALUE"""),131.34475324839013)</f>
        <v>131.3447532</v>
      </c>
      <c r="AJ229" s="4"/>
      <c r="AK229" s="4"/>
      <c r="AL229" s="4">
        <f>IFERROR(__xludf.DUMMYFUNCTION("""COMPUTED_VALUE"""),135.3110390328581)</f>
        <v>135.311039</v>
      </c>
      <c r="AM229" s="4"/>
      <c r="AN229" s="4"/>
      <c r="AO229" s="4">
        <f>IFERROR(__xludf.DUMMYFUNCTION("""COMPUTED_VALUE"""),115.2376146947563)</f>
        <v>115.2376147</v>
      </c>
      <c r="AP229" s="4"/>
      <c r="AQ229" s="4"/>
      <c r="AR229" s="4">
        <f>IFERROR(__xludf.DUMMYFUNCTION("""COMPUTED_VALUE"""),110.9357745489205)</f>
        <v>110.9357745</v>
      </c>
      <c r="AS229" s="4"/>
      <c r="AT229" s="4"/>
      <c r="AU229" s="4">
        <f>IFERROR(__xludf.DUMMYFUNCTION("""COMPUTED_VALUE"""),84.0299884082313)</f>
        <v>84.02998841</v>
      </c>
      <c r="AV229" s="4"/>
      <c r="AW229" s="4"/>
      <c r="AX229" s="4">
        <f>IFERROR(__xludf.DUMMYFUNCTION("""COMPUTED_VALUE"""),78.18385429210991)</f>
        <v>78.18385429</v>
      </c>
      <c r="AY229" s="4"/>
      <c r="AZ229" s="4"/>
      <c r="BA229" s="4">
        <f>IFERROR(__xludf.DUMMYFUNCTION("""COMPUTED_VALUE"""),61.32217508340443)</f>
        <v>61.32217508</v>
      </c>
      <c r="BB229" s="4"/>
      <c r="BC229" s="4"/>
      <c r="BD229" s="4">
        <f>IFERROR(__xludf.DUMMYFUNCTION("""COMPUTED_VALUE"""),43.27148230405828)</f>
        <v>43.2714823</v>
      </c>
      <c r="BE229" s="4"/>
      <c r="BF229" s="4"/>
      <c r="BG229" s="4">
        <f>IFERROR(__xludf.DUMMYFUNCTION("""COMPUTED_VALUE"""),35.09967012942724)</f>
        <v>35.09967013</v>
      </c>
      <c r="BH229" s="4"/>
      <c r="BI229" s="4"/>
      <c r="BJ229" s="4"/>
      <c r="BK229" s="4"/>
    </row>
    <row r="230">
      <c r="A230" s="4"/>
      <c r="B230" s="4"/>
      <c r="C230" s="4"/>
      <c r="D230" s="4">
        <f>IFERROR(__xludf.DUMMYFUNCTION("""COMPUTED_VALUE"""),1.8365922655497964)</f>
        <v>1.836592266</v>
      </c>
      <c r="E230" s="23">
        <f>IFERROR(__xludf.DUMMYFUNCTION("""COMPUTED_VALUE"""),4.276703033626006)</f>
        <v>4.276703034</v>
      </c>
      <c r="F230" s="4"/>
      <c r="G230" s="4"/>
      <c r="H230" s="4">
        <f>IFERROR(__xludf.DUMMYFUNCTION("""COMPUTED_VALUE"""),10.043386507977345)</f>
        <v>10.04338651</v>
      </c>
      <c r="I230" s="4"/>
      <c r="J230" s="4"/>
      <c r="K230" s="4">
        <f>IFERROR(__xludf.DUMMYFUNCTION("""COMPUTED_VALUE"""),16.469313175505135)</f>
        <v>16.46931318</v>
      </c>
      <c r="L230" s="4"/>
      <c r="M230" s="4"/>
      <c r="N230" s="4">
        <f>IFERROR(__xludf.DUMMYFUNCTION("""COMPUTED_VALUE"""),17.978943371152354)</f>
        <v>17.97894337</v>
      </c>
      <c r="O230" s="4"/>
      <c r="P230" s="4"/>
      <c r="Q230" s="4">
        <f>IFERROR(__xludf.DUMMYFUNCTION("""COMPUTED_VALUE"""),26.16178671360609)</f>
        <v>26.16178671</v>
      </c>
      <c r="R230" s="4"/>
      <c r="S230" s="4"/>
      <c r="T230" s="4">
        <f>IFERROR(__xludf.DUMMYFUNCTION("""COMPUTED_VALUE"""),38.879022429881616)</f>
        <v>38.87902243</v>
      </c>
      <c r="U230" s="4"/>
      <c r="V230" s="4"/>
      <c r="W230" s="4">
        <f>IFERROR(__xludf.DUMMYFUNCTION("""COMPUTED_VALUE"""),51.07308181030038)</f>
        <v>51.07308181</v>
      </c>
      <c r="X230" s="4"/>
      <c r="Y230" s="4"/>
      <c r="Z230" s="4">
        <f>IFERROR(__xludf.DUMMYFUNCTION("""COMPUTED_VALUE"""),78.45101915280412)</f>
        <v>78.45101915</v>
      </c>
      <c r="AA230" s="4"/>
      <c r="AB230" s="4"/>
      <c r="AC230" s="4">
        <f>IFERROR(__xludf.DUMMYFUNCTION("""COMPUTED_VALUE"""),115.63807238931537)</f>
        <v>115.6380724</v>
      </c>
      <c r="AD230" s="4"/>
      <c r="AE230" s="4"/>
      <c r="AF230" s="4">
        <f>IFERROR(__xludf.DUMMYFUNCTION("""COMPUTED_VALUE"""),126.01874584100875)</f>
        <v>126.0187458</v>
      </c>
      <c r="AG230" s="4"/>
      <c r="AH230" s="4"/>
      <c r="AI230" s="4">
        <f>IFERROR(__xludf.DUMMYFUNCTION("""COMPUTED_VALUE"""),134.33996753556937)</f>
        <v>134.3399675</v>
      </c>
      <c r="AJ230" s="4"/>
      <c r="AK230" s="4"/>
      <c r="AL230" s="4">
        <f>IFERROR(__xludf.DUMMYFUNCTION("""COMPUTED_VALUE"""),139.19142560390657)</f>
        <v>139.1914256</v>
      </c>
      <c r="AM230" s="4"/>
      <c r="AN230" s="4"/>
      <c r="AO230" s="4">
        <f>IFERROR(__xludf.DUMMYFUNCTION("""COMPUTED_VALUE"""),128.55188143017176)</f>
        <v>128.5518814</v>
      </c>
      <c r="AP230" s="4"/>
      <c r="AQ230" s="4"/>
      <c r="AR230" s="4">
        <f>IFERROR(__xludf.DUMMYFUNCTION("""COMPUTED_VALUE"""),111.23639636282218)</f>
        <v>111.2363964</v>
      </c>
      <c r="AS230" s="4"/>
      <c r="AT230" s="4"/>
      <c r="AU230" s="4">
        <f>IFERROR(__xludf.DUMMYFUNCTION("""COMPUTED_VALUE"""),89.16238451375995)</f>
        <v>89.16238451</v>
      </c>
      <c r="AV230" s="4"/>
      <c r="AW230" s="4"/>
      <c r="AX230" s="4">
        <f>IFERROR(__xludf.DUMMYFUNCTION("""COMPUTED_VALUE"""),88.20769801081201)</f>
        <v>88.20769801</v>
      </c>
      <c r="AY230" s="4"/>
      <c r="AZ230" s="4"/>
      <c r="BA230" s="4">
        <f>IFERROR(__xludf.DUMMYFUNCTION("""COMPUTED_VALUE"""),56.81524075795852)</f>
        <v>56.81524076</v>
      </c>
      <c r="BB230" s="4"/>
      <c r="BC230" s="4"/>
      <c r="BD230" s="4">
        <f>IFERROR(__xludf.DUMMYFUNCTION("""COMPUTED_VALUE"""),50.73403821039574)</f>
        <v>50.73403821</v>
      </c>
      <c r="BE230" s="4"/>
      <c r="BF230" s="4"/>
      <c r="BG230" s="4">
        <f>IFERROR(__xludf.DUMMYFUNCTION("""COMPUTED_VALUE"""),43.200530062044095)</f>
        <v>43.20053006</v>
      </c>
      <c r="BH230" s="4"/>
      <c r="BI230" s="4"/>
      <c r="BJ230" s="4"/>
      <c r="BK230" s="4"/>
    </row>
    <row r="231">
      <c r="A231" s="4"/>
      <c r="B231" s="4"/>
      <c r="C231" s="4"/>
      <c r="D231" s="4">
        <f>IFERROR(__xludf.DUMMYFUNCTION("""COMPUTED_VALUE"""),0.9182961328000762)</f>
        <v>0.9182961328</v>
      </c>
      <c r="E231" s="23">
        <f>IFERROR(__xludf.DUMMYFUNCTION("""COMPUTED_VALUE"""),17.734538281483196)</f>
        <v>17.73453828</v>
      </c>
      <c r="F231" s="4"/>
      <c r="G231" s="4"/>
      <c r="H231" s="4">
        <f>IFERROR(__xludf.DUMMYFUNCTION("""COMPUTED_VALUE"""),11.858031836811278)</f>
        <v>11.85803184</v>
      </c>
      <c r="I231" s="4"/>
      <c r="J231" s="4"/>
      <c r="K231" s="4">
        <f>IFERROR(__xludf.DUMMYFUNCTION("""COMPUTED_VALUE"""),17.202903711558974)</f>
        <v>17.20290371</v>
      </c>
      <c r="L231" s="4"/>
      <c r="M231" s="4"/>
      <c r="N231" s="4">
        <f>IFERROR(__xludf.DUMMYFUNCTION("""COMPUTED_VALUE"""),21.804423657435393)</f>
        <v>21.80442366</v>
      </c>
      <c r="O231" s="4"/>
      <c r="P231" s="4"/>
      <c r="Q231" s="4">
        <f>IFERROR(__xludf.DUMMYFUNCTION("""COMPUTED_VALUE"""),31.769344789831223)</f>
        <v>31.76934479</v>
      </c>
      <c r="R231" s="4"/>
      <c r="S231" s="4"/>
      <c r="T231" s="4">
        <f>IFERROR(__xludf.DUMMYFUNCTION("""COMPUTED_VALUE"""),45.024488956632354)</f>
        <v>45.02448896</v>
      </c>
      <c r="U231" s="4"/>
      <c r="V231" s="4"/>
      <c r="W231" s="4">
        <f>IFERROR(__xludf.DUMMYFUNCTION("""COMPUTED_VALUE"""),48.704711990294356)</f>
        <v>48.70471199</v>
      </c>
      <c r="X231" s="4"/>
      <c r="Y231" s="4"/>
      <c r="Z231" s="4">
        <f>IFERROR(__xludf.DUMMYFUNCTION("""COMPUTED_VALUE"""),83.68971703450433)</f>
        <v>83.68971703</v>
      </c>
      <c r="AA231" s="4"/>
      <c r="AB231" s="4"/>
      <c r="AC231" s="4">
        <f>IFERROR(__xludf.DUMMYFUNCTION("""COMPUTED_VALUE"""),109.4694067465781)</f>
        <v>109.4694067</v>
      </c>
      <c r="AD231" s="4"/>
      <c r="AE231" s="4"/>
      <c r="AF231" s="4">
        <f>IFERROR(__xludf.DUMMYFUNCTION("""COMPUTED_VALUE"""),135.7791388733275)</f>
        <v>135.7791389</v>
      </c>
      <c r="AG231" s="4"/>
      <c r="AH231" s="4"/>
      <c r="AI231" s="4">
        <f>IFERROR(__xludf.DUMMYFUNCTION("""COMPUTED_VALUE"""),141.96726775005948)</f>
        <v>141.9672678</v>
      </c>
      <c r="AJ231" s="4"/>
      <c r="AK231" s="4"/>
      <c r="AL231" s="4">
        <f>IFERROR(__xludf.DUMMYFUNCTION("""COMPUTED_VALUE"""),149.0584659417991)</f>
        <v>149.0584659</v>
      </c>
      <c r="AM231" s="4"/>
      <c r="AN231" s="4"/>
      <c r="AO231" s="4">
        <f>IFERROR(__xludf.DUMMYFUNCTION("""COMPUTED_VALUE"""),128.67212173717826)</f>
        <v>128.6721217</v>
      </c>
      <c r="AP231" s="4"/>
      <c r="AQ231" s="4"/>
      <c r="AR231" s="4">
        <f>IFERROR(__xludf.DUMMYFUNCTION("""COMPUTED_VALUE"""),125.48012429359733)</f>
        <v>125.4801243</v>
      </c>
      <c r="AS231" s="4"/>
      <c r="AT231" s="4"/>
      <c r="AU231" s="4">
        <f>IFERROR(__xludf.DUMMYFUNCTION("""COMPUTED_VALUE"""),101.91719646281064)</f>
        <v>101.9171965</v>
      </c>
      <c r="AV231" s="4"/>
      <c r="AW231" s="4"/>
      <c r="AX231" s="4">
        <f>IFERROR(__xludf.DUMMYFUNCTION("""COMPUTED_VALUE"""),84.88835416049494)</f>
        <v>84.88835416</v>
      </c>
      <c r="AY231" s="4"/>
      <c r="AZ231" s="4"/>
      <c r="BA231" s="4">
        <f>IFERROR(__xludf.DUMMYFUNCTION("""COMPUTED_VALUE"""),67.50262109027216)</f>
        <v>67.50262109</v>
      </c>
      <c r="BB231" s="4"/>
      <c r="BC231" s="4"/>
      <c r="BD231" s="4">
        <f>IFERROR(__xludf.DUMMYFUNCTION("""COMPUTED_VALUE"""),53.733401541539536)</f>
        <v>53.73340154</v>
      </c>
      <c r="BE231" s="4"/>
      <c r="BF231" s="4"/>
      <c r="BG231" s="4">
        <f>IFERROR(__xludf.DUMMYFUNCTION("""COMPUTED_VALUE"""),45.154761610863375)</f>
        <v>45.15476161</v>
      </c>
      <c r="BH231" s="4"/>
      <c r="BI231" s="4"/>
      <c r="BJ231" s="4"/>
      <c r="BK231" s="4"/>
    </row>
    <row r="232">
      <c r="A232" s="4"/>
      <c r="B232" s="4"/>
      <c r="C232" s="4"/>
      <c r="D232" s="4">
        <f>IFERROR(__xludf.DUMMYFUNCTION("""COMPUTED_VALUE"""),0.0)</f>
        <v>0</v>
      </c>
      <c r="E232" s="23">
        <f>IFERROR(__xludf.DUMMYFUNCTION("""COMPUTED_VALUE"""),19.45809373493705)</f>
        <v>19.45809373</v>
      </c>
      <c r="F232" s="4"/>
      <c r="G232" s="4"/>
      <c r="H232" s="4">
        <f>IFERROR(__xludf.DUMMYFUNCTION("""COMPUTED_VALUE"""),19.78440702044361)</f>
        <v>19.78440702</v>
      </c>
      <c r="I232" s="4"/>
      <c r="J232" s="4"/>
      <c r="K232" s="4">
        <f>IFERROR(__xludf.DUMMYFUNCTION("""COMPUTED_VALUE"""),23.659358651797277)</f>
        <v>23.65935865</v>
      </c>
      <c r="L232" s="4"/>
      <c r="M232" s="4"/>
      <c r="N232" s="4">
        <f>IFERROR(__xludf.DUMMYFUNCTION("""COMPUTED_VALUE"""),28.93198867986621)</f>
        <v>28.93198868</v>
      </c>
      <c r="O232" s="4"/>
      <c r="P232" s="4"/>
      <c r="Q232" s="4">
        <f>IFERROR(__xludf.DUMMYFUNCTION("""COMPUTED_VALUE"""),32.21632505652025)</f>
        <v>32.21632506</v>
      </c>
      <c r="R232" s="4"/>
      <c r="S232" s="4"/>
      <c r="T232" s="4">
        <f>IFERROR(__xludf.DUMMYFUNCTION("""COMPUTED_VALUE"""),41.32127227824742)</f>
        <v>41.32127228</v>
      </c>
      <c r="U232" s="4"/>
      <c r="V232" s="4"/>
      <c r="W232" s="4">
        <f>IFERROR(__xludf.DUMMYFUNCTION("""COMPUTED_VALUE"""),55.97245376246809)</f>
        <v>55.97245376</v>
      </c>
      <c r="X232" s="4"/>
      <c r="Y232" s="4"/>
      <c r="Z232" s="4">
        <f>IFERROR(__xludf.DUMMYFUNCTION("""COMPUTED_VALUE"""),92.45115926961148)</f>
        <v>92.45115927</v>
      </c>
      <c r="AA232" s="4"/>
      <c r="AB232" s="4"/>
      <c r="AC232" s="4">
        <f>IFERROR(__xludf.DUMMYFUNCTION("""COMPUTED_VALUE"""),119.40620127629086)</f>
        <v>119.4062013</v>
      </c>
      <c r="AD232" s="4"/>
      <c r="AE232" s="4"/>
      <c r="AF232" s="4">
        <f>IFERROR(__xludf.DUMMYFUNCTION("""COMPUTED_VALUE"""),136.58814431644066)</f>
        <v>136.5881443</v>
      </c>
      <c r="AG232" s="4"/>
      <c r="AH232" s="4"/>
      <c r="AI232" s="4">
        <f>IFERROR(__xludf.DUMMYFUNCTION("""COMPUTED_VALUE"""),147.81145563681548)</f>
        <v>147.8114556</v>
      </c>
      <c r="AJ232" s="4"/>
      <c r="AK232" s="4"/>
      <c r="AL232" s="4">
        <f>IFERROR(__xludf.DUMMYFUNCTION("""COMPUTED_VALUE"""),155.7125270833589)</f>
        <v>155.7125271</v>
      </c>
      <c r="AM232" s="4"/>
      <c r="AN232" s="4"/>
      <c r="AO232" s="4">
        <f>IFERROR(__xludf.DUMMYFUNCTION("""COMPUTED_VALUE"""),138.58825811481393)</f>
        <v>138.5882581</v>
      </c>
      <c r="AP232" s="4"/>
      <c r="AQ232" s="4"/>
      <c r="AR232" s="4">
        <f>IFERROR(__xludf.DUMMYFUNCTION("""COMPUTED_VALUE"""),127.09671234935018)</f>
        <v>127.0967123</v>
      </c>
      <c r="AS232" s="4"/>
      <c r="AT232" s="4"/>
      <c r="AU232" s="4">
        <f>IFERROR(__xludf.DUMMYFUNCTION("""COMPUTED_VALUE"""),106.12416203610672)</f>
        <v>106.124162</v>
      </c>
      <c r="AV232" s="4"/>
      <c r="AW232" s="4"/>
      <c r="AX232" s="4">
        <f>IFERROR(__xludf.DUMMYFUNCTION("""COMPUTED_VALUE"""),82.9837854684942)</f>
        <v>82.98378547</v>
      </c>
      <c r="AY232" s="4"/>
      <c r="AZ232" s="4"/>
      <c r="BA232" s="4">
        <f>IFERROR(__xludf.DUMMYFUNCTION("""COMPUTED_VALUE"""),69.62046543676496)</f>
        <v>69.62046544</v>
      </c>
      <c r="BB232" s="4"/>
      <c r="BC232" s="4"/>
      <c r="BD232" s="4">
        <f>IFERROR(__xludf.DUMMYFUNCTION("""COMPUTED_VALUE"""),58.39497794572236)</f>
        <v>58.39497795</v>
      </c>
      <c r="BE232" s="4"/>
      <c r="BF232" s="4"/>
      <c r="BG232" s="4">
        <f>IFERROR(__xludf.DUMMYFUNCTION("""COMPUTED_VALUE"""),51.14537583616857)</f>
        <v>51.14537584</v>
      </c>
      <c r="BH232" s="4"/>
      <c r="BI232" s="4"/>
      <c r="BJ232" s="4"/>
      <c r="BK232" s="4"/>
    </row>
    <row r="233">
      <c r="A233" s="4"/>
      <c r="B233" s="4"/>
      <c r="C233" s="4"/>
      <c r="D233" s="4">
        <f>IFERROR(__xludf.DUMMYFUNCTION("""COMPUTED_VALUE"""),-0.9182961306851268)</f>
        <v>-0.9182961307</v>
      </c>
      <c r="E233" s="23">
        <f>IFERROR(__xludf.DUMMYFUNCTION("""COMPUTED_VALUE"""),16.79249438749315)</f>
        <v>16.79249439</v>
      </c>
      <c r="F233" s="4"/>
      <c r="G233" s="4"/>
      <c r="H233" s="4">
        <f>IFERROR(__xludf.DUMMYFUNCTION("""COMPUTED_VALUE"""),20.980616873005033)</f>
        <v>20.98061687</v>
      </c>
      <c r="I233" s="4"/>
      <c r="J233" s="4"/>
      <c r="K233" s="4">
        <f>IFERROR(__xludf.DUMMYFUNCTION("""COMPUTED_VALUE"""),20.605298151527847)</f>
        <v>20.60529815</v>
      </c>
      <c r="L233" s="4"/>
      <c r="M233" s="4"/>
      <c r="N233" s="4">
        <f>IFERROR(__xludf.DUMMYFUNCTION("""COMPUTED_VALUE"""),29.269602323950835)</f>
        <v>29.26960232</v>
      </c>
      <c r="O233" s="4"/>
      <c r="P233" s="4"/>
      <c r="Q233" s="4">
        <f>IFERROR(__xludf.DUMMYFUNCTION("""COMPUTED_VALUE"""),31.606580738416028)</f>
        <v>31.60658074</v>
      </c>
      <c r="R233" s="4"/>
      <c r="S233" s="4"/>
      <c r="T233" s="4">
        <f>IFERROR(__xludf.DUMMYFUNCTION("""COMPUTED_VALUE"""),48.458132102642764)</f>
        <v>48.4581321</v>
      </c>
      <c r="U233" s="4"/>
      <c r="V233" s="4"/>
      <c r="W233" s="4">
        <f>IFERROR(__xludf.DUMMYFUNCTION("""COMPUTED_VALUE"""),59.187488744814516)</f>
        <v>59.18748874</v>
      </c>
      <c r="X233" s="4"/>
      <c r="Y233" s="4"/>
      <c r="Z233" s="4">
        <f>IFERROR(__xludf.DUMMYFUNCTION("""COMPUTED_VALUE"""),92.38483027291727)</f>
        <v>92.38483027</v>
      </c>
      <c r="AA233" s="4"/>
      <c r="AB233" s="4"/>
      <c r="AC233" s="4">
        <f>IFERROR(__xludf.DUMMYFUNCTION("""COMPUTED_VALUE"""),130.24899931194943)</f>
        <v>130.2489993</v>
      </c>
      <c r="AD233" s="4"/>
      <c r="AE233" s="4"/>
      <c r="AF233" s="4">
        <f>IFERROR(__xludf.DUMMYFUNCTION("""COMPUTED_VALUE"""),145.98701095601245)</f>
        <v>145.987011</v>
      </c>
      <c r="AG233" s="4"/>
      <c r="AH233" s="4"/>
      <c r="AI233" s="4">
        <f>IFERROR(__xludf.DUMMYFUNCTION("""COMPUTED_VALUE"""),153.13159855114435)</f>
        <v>153.1315986</v>
      </c>
      <c r="AJ233" s="4"/>
      <c r="AK233" s="4"/>
      <c r="AL233" s="4">
        <f>IFERROR(__xludf.DUMMYFUNCTION("""COMPUTED_VALUE"""),153.71369210221434)</f>
        <v>153.7136921</v>
      </c>
      <c r="AM233" s="4"/>
      <c r="AN233" s="4"/>
      <c r="AO233" s="4">
        <f>IFERROR(__xludf.DUMMYFUNCTION("""COMPUTED_VALUE"""),136.75601144806006)</f>
        <v>136.7560114</v>
      </c>
      <c r="AP233" s="4"/>
      <c r="AQ233" s="4"/>
      <c r="AR233" s="4">
        <f>IFERROR(__xludf.DUMMYFUNCTION("""COMPUTED_VALUE"""),131.84976762831297)</f>
        <v>131.8497676</v>
      </c>
      <c r="AS233" s="4"/>
      <c r="AT233" s="4"/>
      <c r="AU233" s="4">
        <f>IFERROR(__xludf.DUMMYFUNCTION("""COMPUTED_VALUE"""),108.83886575347532)</f>
        <v>108.8388658</v>
      </c>
      <c r="AV233" s="4"/>
      <c r="AW233" s="4"/>
      <c r="AX233" s="4">
        <f>IFERROR(__xludf.DUMMYFUNCTION("""COMPUTED_VALUE"""),90.77374792167774)</f>
        <v>90.77374792</v>
      </c>
      <c r="AY233" s="4"/>
      <c r="AZ233" s="4"/>
      <c r="BA233" s="4">
        <f>IFERROR(__xludf.DUMMYFUNCTION("""COMPUTED_VALUE"""),76.73452186583472)</f>
        <v>76.73452187</v>
      </c>
      <c r="BB233" s="4"/>
      <c r="BC233" s="4"/>
      <c r="BD233" s="4">
        <f>IFERROR(__xludf.DUMMYFUNCTION("""COMPUTED_VALUE"""),60.36013428397314)</f>
        <v>60.36013428</v>
      </c>
      <c r="BE233" s="4"/>
      <c r="BF233" s="4"/>
      <c r="BG233" s="4">
        <f>IFERROR(__xludf.DUMMYFUNCTION("""COMPUTED_VALUE"""),48.60384022226941)</f>
        <v>48.60384022</v>
      </c>
      <c r="BH233" s="4"/>
      <c r="BI233" s="4"/>
      <c r="BJ233" s="4"/>
      <c r="BK233" s="4"/>
    </row>
    <row r="234">
      <c r="A234" s="4"/>
      <c r="B234" s="4"/>
      <c r="C234" s="4"/>
      <c r="D234" s="4">
        <f>IFERROR(__xludf.DUMMYFUNCTION("""COMPUTED_VALUE"""),-1.836592263434847)</f>
        <v>-1.836592263</v>
      </c>
      <c r="E234" s="23">
        <f>IFERROR(__xludf.DUMMYFUNCTION("""COMPUTED_VALUE"""),17.342694764032046)</f>
        <v>17.34269476</v>
      </c>
      <c r="F234" s="4"/>
      <c r="G234" s="4"/>
      <c r="H234" s="4">
        <f>IFERROR(__xludf.DUMMYFUNCTION("""COMPUTED_VALUE"""),17.69631942947666)</f>
        <v>17.69631943</v>
      </c>
      <c r="I234" s="4"/>
      <c r="J234" s="4"/>
      <c r="K234" s="4">
        <f>IFERROR(__xludf.DUMMYFUNCTION("""COMPUTED_VALUE"""),20.625518473934108)</f>
        <v>20.62551847</v>
      </c>
      <c r="L234" s="4"/>
      <c r="M234" s="4"/>
      <c r="N234" s="4">
        <f>IFERROR(__xludf.DUMMYFUNCTION("""COMPUTED_VALUE"""),25.52680820787026)</f>
        <v>25.52680821</v>
      </c>
      <c r="O234" s="4"/>
      <c r="P234" s="4"/>
      <c r="Q234" s="4">
        <f>IFERROR(__xludf.DUMMYFUNCTION("""COMPUTED_VALUE"""),41.21562793337148)</f>
        <v>41.21562793</v>
      </c>
      <c r="R234" s="4"/>
      <c r="S234" s="4"/>
      <c r="T234" s="4">
        <f>IFERROR(__xludf.DUMMYFUNCTION("""COMPUTED_VALUE"""),57.19319301577309)</f>
        <v>57.19319302</v>
      </c>
      <c r="U234" s="4"/>
      <c r="V234" s="4"/>
      <c r="W234" s="4">
        <f>IFERROR(__xludf.DUMMYFUNCTION("""COMPUTED_VALUE"""),67.6140273171223)</f>
        <v>67.61402732</v>
      </c>
      <c r="X234" s="4"/>
      <c r="Y234" s="4"/>
      <c r="Z234" s="4">
        <f>IFERROR(__xludf.DUMMYFUNCTION("""COMPUTED_VALUE"""),90.26923879915296)</f>
        <v>90.2692388</v>
      </c>
      <c r="AA234" s="4"/>
      <c r="AB234" s="4"/>
      <c r="AC234" s="4">
        <f>IFERROR(__xludf.DUMMYFUNCTION("""COMPUTED_VALUE"""),135.65575886311274)</f>
        <v>135.6557589</v>
      </c>
      <c r="AD234" s="4"/>
      <c r="AE234" s="4"/>
      <c r="AF234" s="4">
        <f>IFERROR(__xludf.DUMMYFUNCTION("""COMPUTED_VALUE"""),147.77626928052632)</f>
        <v>147.7762693</v>
      </c>
      <c r="AG234" s="4"/>
      <c r="AH234" s="4"/>
      <c r="AI234" s="4">
        <f>IFERROR(__xludf.DUMMYFUNCTION("""COMPUTED_VALUE"""),152.11860155711003)</f>
        <v>152.1186016</v>
      </c>
      <c r="AJ234" s="4"/>
      <c r="AK234" s="4"/>
      <c r="AL234" s="4">
        <f>IFERROR(__xludf.DUMMYFUNCTION("""COMPUTED_VALUE"""),164.49856356033195)</f>
        <v>164.4985636</v>
      </c>
      <c r="AM234" s="4"/>
      <c r="AN234" s="4"/>
      <c r="AO234" s="4">
        <f>IFERROR(__xludf.DUMMYFUNCTION("""COMPUTED_VALUE"""),151.5383429709808)</f>
        <v>151.538343</v>
      </c>
      <c r="AP234" s="4"/>
      <c r="AQ234" s="4"/>
      <c r="AR234" s="4">
        <f>IFERROR(__xludf.DUMMYFUNCTION("""COMPUTED_VALUE"""),139.73963045240146)</f>
        <v>139.7396305</v>
      </c>
      <c r="AS234" s="4"/>
      <c r="AT234" s="4"/>
      <c r="AU234" s="4">
        <f>IFERROR(__xludf.DUMMYFUNCTION("""COMPUTED_VALUE"""),112.44181088899239)</f>
        <v>112.4418109</v>
      </c>
      <c r="AV234" s="4"/>
      <c r="AW234" s="4"/>
      <c r="AX234" s="4">
        <f>IFERROR(__xludf.DUMMYFUNCTION("""COMPUTED_VALUE"""),94.49173567964408)</f>
        <v>94.49173568</v>
      </c>
      <c r="AY234" s="4"/>
      <c r="AZ234" s="4"/>
      <c r="BA234" s="4">
        <f>IFERROR(__xludf.DUMMYFUNCTION("""COMPUTED_VALUE"""),76.37506691656387)</f>
        <v>76.37506692</v>
      </c>
      <c r="BB234" s="4"/>
      <c r="BC234" s="4"/>
      <c r="BD234" s="4">
        <f>IFERROR(__xludf.DUMMYFUNCTION("""COMPUTED_VALUE"""),64.83266008713042)</f>
        <v>64.83266009</v>
      </c>
      <c r="BE234" s="4"/>
      <c r="BF234" s="4"/>
      <c r="BG234" s="4">
        <f>IFERROR(__xludf.DUMMYFUNCTION("""COMPUTED_VALUE"""),56.52048590078908)</f>
        <v>56.5204859</v>
      </c>
      <c r="BH234" s="4"/>
      <c r="BI234" s="4"/>
      <c r="BJ234" s="4"/>
      <c r="BK234" s="4"/>
    </row>
    <row r="235">
      <c r="A235" s="4"/>
      <c r="B235" s="4"/>
      <c r="C235" s="4"/>
      <c r="D235" s="4">
        <f>IFERROR(__xludf.DUMMYFUNCTION("""COMPUTED_VALUE"""),-2.7548883962349233)</f>
        <v>-2.754888396</v>
      </c>
      <c r="E235" s="23">
        <f>IFERROR(__xludf.DUMMYFUNCTION("""COMPUTED_VALUE"""),14.018255251881783)</f>
        <v>14.01825525</v>
      </c>
      <c r="F235" s="4"/>
      <c r="G235" s="4"/>
      <c r="H235" s="4">
        <f>IFERROR(__xludf.DUMMYFUNCTION("""COMPUTED_VALUE"""),17.562728991465576)</f>
        <v>17.56272899</v>
      </c>
      <c r="I235" s="4"/>
      <c r="J235" s="4"/>
      <c r="K235" s="4">
        <f>IFERROR(__xludf.DUMMYFUNCTION("""COMPUTED_VALUE"""),25.460754106025945)</f>
        <v>25.46075411</v>
      </c>
      <c r="L235" s="4"/>
      <c r="M235" s="4"/>
      <c r="N235" s="4">
        <f>IFERROR(__xludf.DUMMYFUNCTION("""COMPUTED_VALUE"""),30.571548521893646)</f>
        <v>30.57154852</v>
      </c>
      <c r="O235" s="4"/>
      <c r="P235" s="4"/>
      <c r="Q235" s="4">
        <f>IFERROR(__xludf.DUMMYFUNCTION("""COMPUTED_VALUE"""),44.711300684190746)</f>
        <v>44.71130068</v>
      </c>
      <c r="R235" s="4"/>
      <c r="S235" s="4"/>
      <c r="T235" s="4">
        <f>IFERROR(__xludf.DUMMYFUNCTION("""COMPUTED_VALUE"""),59.99534931328964)</f>
        <v>59.99534931</v>
      </c>
      <c r="U235" s="4"/>
      <c r="V235" s="4"/>
      <c r="W235" s="4">
        <f>IFERROR(__xludf.DUMMYFUNCTION("""COMPUTED_VALUE"""),64.31119951037232)</f>
        <v>64.31119951</v>
      </c>
      <c r="X235" s="4"/>
      <c r="Y235" s="4"/>
      <c r="Z235" s="4">
        <f>IFERROR(__xludf.DUMMYFUNCTION("""COMPUTED_VALUE"""),97.7122389678608)</f>
        <v>97.71223897</v>
      </c>
      <c r="AA235" s="4"/>
      <c r="AB235" s="4"/>
      <c r="AC235" s="4">
        <f>IFERROR(__xludf.DUMMYFUNCTION("""COMPUTED_VALUE"""),129.24088797197328)</f>
        <v>129.240888</v>
      </c>
      <c r="AD235" s="4"/>
      <c r="AE235" s="4"/>
      <c r="AF235" s="4">
        <f>IFERROR(__xludf.DUMMYFUNCTION("""COMPUTED_VALUE"""),155.7659743364914)</f>
        <v>155.7659743</v>
      </c>
      <c r="AG235" s="4"/>
      <c r="AH235" s="4"/>
      <c r="AI235" s="4">
        <f>IFERROR(__xludf.DUMMYFUNCTION("""COMPUTED_VALUE"""),161.06950413281305)</f>
        <v>161.0695041</v>
      </c>
      <c r="AJ235" s="4"/>
      <c r="AK235" s="4"/>
      <c r="AL235" s="4">
        <f>IFERROR(__xludf.DUMMYFUNCTION("""COMPUTED_VALUE"""),165.4705285105976)</f>
        <v>165.4705285</v>
      </c>
      <c r="AM235" s="4"/>
      <c r="AN235" s="4"/>
      <c r="AO235" s="4">
        <f>IFERROR(__xludf.DUMMYFUNCTION("""COMPUTED_VALUE"""),150.36615389940954)</f>
        <v>150.3661539</v>
      </c>
      <c r="AP235" s="4"/>
      <c r="AQ235" s="4"/>
      <c r="AR235" s="4">
        <f>IFERROR(__xludf.DUMMYFUNCTION("""COMPUTED_VALUE"""),139.82269706382124)</f>
        <v>139.8226971</v>
      </c>
      <c r="AS235" s="4"/>
      <c r="AT235" s="4"/>
      <c r="AU235" s="4">
        <f>IFERROR(__xludf.DUMMYFUNCTION("""COMPUTED_VALUE"""),123.61387806968133)</f>
        <v>123.6138781</v>
      </c>
      <c r="AV235" s="4"/>
      <c r="AW235" s="4"/>
      <c r="AX235" s="4">
        <f>IFERROR(__xludf.DUMMYFUNCTION("""COMPUTED_VALUE"""),103.20479392045291)</f>
        <v>103.2047939</v>
      </c>
      <c r="AY235" s="4"/>
      <c r="AZ235" s="4"/>
      <c r="BA235" s="4">
        <f>IFERROR(__xludf.DUMMYFUNCTION("""COMPUTED_VALUE"""),90.75277573241715)</f>
        <v>90.75277573</v>
      </c>
      <c r="BB235" s="4"/>
      <c r="BC235" s="4"/>
      <c r="BD235" s="4">
        <f>IFERROR(__xludf.DUMMYFUNCTION("""COMPUTED_VALUE"""),73.82783474456772)</f>
        <v>73.82783474</v>
      </c>
      <c r="BE235" s="4"/>
      <c r="BF235" s="4"/>
      <c r="BG235" s="4">
        <f>IFERROR(__xludf.DUMMYFUNCTION("""COMPUTED_VALUE"""),65.70305666506573)</f>
        <v>65.70305667</v>
      </c>
      <c r="BH235" s="4"/>
      <c r="BI235" s="4"/>
      <c r="BJ235" s="4"/>
      <c r="BK235" s="4"/>
    </row>
    <row r="236">
      <c r="A236" s="4"/>
      <c r="B236" s="4"/>
      <c r="C236" s="4"/>
      <c r="D236" s="4">
        <f>IFERROR(__xludf.DUMMYFUNCTION("""COMPUTED_VALUE"""),-3.673184526869694)</f>
        <v>-3.673184527</v>
      </c>
      <c r="E236" s="23">
        <f>IFERROR(__xludf.DUMMYFUNCTION("""COMPUTED_VALUE"""),19.55883156369879)</f>
        <v>19.55883156</v>
      </c>
      <c r="F236" s="4"/>
      <c r="G236" s="4"/>
      <c r="H236" s="4">
        <f>IFERROR(__xludf.DUMMYFUNCTION("""COMPUTED_VALUE"""),22.645365854432157)</f>
        <v>22.64536585</v>
      </c>
      <c r="I236" s="4"/>
      <c r="J236" s="4"/>
      <c r="K236" s="4">
        <f>IFERROR(__xludf.DUMMYFUNCTION("""COMPUTED_VALUE"""),33.653085278615094)</f>
        <v>33.65308528</v>
      </c>
      <c r="L236" s="4"/>
      <c r="M236" s="4"/>
      <c r="N236" s="4">
        <f>IFERROR(__xludf.DUMMYFUNCTION("""COMPUTED_VALUE"""),37.772978600694216)</f>
        <v>37.7729786</v>
      </c>
      <c r="O236" s="4"/>
      <c r="P236" s="4"/>
      <c r="Q236" s="4">
        <f>IFERROR(__xludf.DUMMYFUNCTION("""COMPUTED_VALUE"""),45.06870112565025)</f>
        <v>45.06870113</v>
      </c>
      <c r="R236" s="4"/>
      <c r="S236" s="4"/>
      <c r="T236" s="4">
        <f>IFERROR(__xludf.DUMMYFUNCTION("""COMPUTED_VALUE"""),65.68384558243201)</f>
        <v>65.68384558</v>
      </c>
      <c r="U236" s="4"/>
      <c r="V236" s="4"/>
      <c r="W236" s="4">
        <f>IFERROR(__xludf.DUMMYFUNCTION("""COMPUTED_VALUE"""),76.0044465590513)</f>
        <v>76.00444656</v>
      </c>
      <c r="X236" s="4"/>
      <c r="Y236" s="4"/>
      <c r="Z236" s="4">
        <f>IFERROR(__xludf.DUMMYFUNCTION("""COMPUTED_VALUE"""),112.38801852090387)</f>
        <v>112.3880185</v>
      </c>
      <c r="AA236" s="4"/>
      <c r="AB236" s="4"/>
      <c r="AC236" s="4">
        <f>IFERROR(__xludf.DUMMYFUNCTION("""COMPUTED_VALUE"""),135.03327923504992)</f>
        <v>135.0332792</v>
      </c>
      <c r="AD236" s="4"/>
      <c r="AE236" s="4"/>
      <c r="AF236" s="4">
        <f>IFERROR(__xludf.DUMMYFUNCTION("""COMPUTED_VALUE"""),164.19187521489954)</f>
        <v>164.1918752</v>
      </c>
      <c r="AG236" s="4"/>
      <c r="AH236" s="4"/>
      <c r="AI236" s="4">
        <f>IFERROR(__xludf.DUMMYFUNCTION("""COMPUTED_VALUE"""),166.6900532651042)</f>
        <v>166.6900533</v>
      </c>
      <c r="AJ236" s="4"/>
      <c r="AK236" s="4"/>
      <c r="AL236" s="4">
        <f>IFERROR(__xludf.DUMMYFUNCTION("""COMPUTED_VALUE"""),165.7042109978148)</f>
        <v>165.704211</v>
      </c>
      <c r="AM236" s="4"/>
      <c r="AN236" s="4"/>
      <c r="AO236" s="4">
        <f>IFERROR(__xludf.DUMMYFUNCTION("""COMPUTED_VALUE"""),154.49426472325143)</f>
        <v>154.4942647</v>
      </c>
      <c r="AP236" s="4"/>
      <c r="AQ236" s="4"/>
      <c r="AR236" s="4">
        <f>IFERROR(__xludf.DUMMYFUNCTION("""COMPUTED_VALUE"""),140.72000438608717)</f>
        <v>140.7200044</v>
      </c>
      <c r="AS236" s="4"/>
      <c r="AT236" s="4"/>
      <c r="AU236" s="4">
        <f>IFERROR(__xludf.DUMMYFUNCTION("""COMPUTED_VALUE"""),121.32541198970813)</f>
        <v>121.325412</v>
      </c>
      <c r="AV236" s="4"/>
      <c r="AW236" s="4"/>
      <c r="AX236" s="4">
        <f>IFERROR(__xludf.DUMMYFUNCTION("""COMPUTED_VALUE"""),112.46666049045729)</f>
        <v>112.4666605</v>
      </c>
      <c r="AY236" s="4"/>
      <c r="AZ236" s="4"/>
      <c r="BA236" s="4">
        <f>IFERROR(__xludf.DUMMYFUNCTION("""COMPUTED_VALUE"""),98.34949407671945)</f>
        <v>98.34949408</v>
      </c>
      <c r="BB236" s="4"/>
      <c r="BC236" s="4"/>
      <c r="BD236" s="4">
        <f>IFERROR(__xludf.DUMMYFUNCTION("""COMPUTED_VALUE"""),85.9011861973566)</f>
        <v>85.9011862</v>
      </c>
      <c r="BE236" s="4"/>
      <c r="BF236" s="4"/>
      <c r="BG236" s="4">
        <f>IFERROR(__xludf.DUMMYFUNCTION("""COMPUTED_VALUE"""),69.95060673741716)</f>
        <v>69.95060674</v>
      </c>
      <c r="BH236" s="4"/>
      <c r="BI236" s="4"/>
      <c r="BJ236" s="4"/>
      <c r="BK236" s="4"/>
    </row>
    <row r="237">
      <c r="A237" s="4"/>
      <c r="B237" s="4"/>
      <c r="C237" s="4"/>
      <c r="D237" s="4">
        <f>IFERROR(__xludf.DUMMYFUNCTION("""COMPUTED_VALUE"""),-4.59148065966977)</f>
        <v>-4.59148066</v>
      </c>
      <c r="E237" s="23">
        <f>IFERROR(__xludf.DUMMYFUNCTION("""COMPUTED_VALUE"""),20.304363927426436)</f>
        <v>20.30436393</v>
      </c>
      <c r="F237" s="4"/>
      <c r="G237" s="4"/>
      <c r="H237" s="4">
        <f>IFERROR(__xludf.DUMMYFUNCTION("""COMPUTED_VALUE"""),24.38913178542481)</f>
        <v>24.38913179</v>
      </c>
      <c r="I237" s="4"/>
      <c r="J237" s="4"/>
      <c r="K237" s="4">
        <f>IFERROR(__xludf.DUMMYFUNCTION("""COMPUTED_VALUE"""),27.215721115628412)</f>
        <v>27.21572112</v>
      </c>
      <c r="L237" s="4"/>
      <c r="M237" s="4"/>
      <c r="N237" s="4">
        <f>IFERROR(__xludf.DUMMYFUNCTION("""COMPUTED_VALUE"""),36.564190267110575)</f>
        <v>36.56419027</v>
      </c>
      <c r="O237" s="4"/>
      <c r="P237" s="4"/>
      <c r="Q237" s="4">
        <f>IFERROR(__xludf.DUMMYFUNCTION("""COMPUTED_VALUE"""),52.51091590162298)</f>
        <v>52.5109159</v>
      </c>
      <c r="R237" s="4"/>
      <c r="S237" s="4"/>
      <c r="T237" s="4">
        <f>IFERROR(__xludf.DUMMYFUNCTION("""COMPUTED_VALUE"""),61.863631166056564)</f>
        <v>61.86363117</v>
      </c>
      <c r="U237" s="4"/>
      <c r="V237" s="4"/>
      <c r="W237" s="4">
        <f>IFERROR(__xludf.DUMMYFUNCTION("""COMPUTED_VALUE"""),82.40014354375523)</f>
        <v>82.40014354</v>
      </c>
      <c r="X237" s="4"/>
      <c r="Y237" s="4"/>
      <c r="Z237" s="4">
        <f>IFERROR(__xludf.DUMMYFUNCTION("""COMPUTED_VALUE"""),114.90506277347765)</f>
        <v>114.9050628</v>
      </c>
      <c r="AA237" s="4"/>
      <c r="AB237" s="4"/>
      <c r="AC237" s="4">
        <f>IFERROR(__xludf.DUMMYFUNCTION("""COMPUTED_VALUE"""),156.7728893929024)</f>
        <v>156.7728894</v>
      </c>
      <c r="AD237" s="4"/>
      <c r="AE237" s="4"/>
      <c r="AF237" s="4">
        <f>IFERROR(__xludf.DUMMYFUNCTION("""COMPUTED_VALUE"""),165.6935662797285)</f>
        <v>165.6935663</v>
      </c>
      <c r="AG237" s="4"/>
      <c r="AH237" s="4"/>
      <c r="AI237" s="4">
        <f>IFERROR(__xludf.DUMMYFUNCTION("""COMPUTED_VALUE"""),169.75623271368926)</f>
        <v>169.7562327</v>
      </c>
      <c r="AJ237" s="4"/>
      <c r="AK237" s="4"/>
      <c r="AL237" s="4">
        <f>IFERROR(__xludf.DUMMYFUNCTION("""COMPUTED_VALUE"""),174.91669598484634)</f>
        <v>174.916696</v>
      </c>
      <c r="AM237" s="4"/>
      <c r="AN237" s="4"/>
      <c r="AO237" s="4">
        <f>IFERROR(__xludf.DUMMYFUNCTION("""COMPUTED_VALUE"""),161.92565008607284)</f>
        <v>161.9256501</v>
      </c>
      <c r="AP237" s="4"/>
      <c r="AQ237" s="4"/>
      <c r="AR237" s="4">
        <f>IFERROR(__xludf.DUMMYFUNCTION("""COMPUTED_VALUE"""),148.28555912576923)</f>
        <v>148.2855591</v>
      </c>
      <c r="AS237" s="4"/>
      <c r="AT237" s="4"/>
      <c r="AU237" s="4">
        <f>IFERROR(__xludf.DUMMYFUNCTION("""COMPUTED_VALUE"""),128.82774761964066)</f>
        <v>128.8277476</v>
      </c>
      <c r="AV237" s="4"/>
      <c r="AW237" s="4"/>
      <c r="AX237" s="4">
        <f>IFERROR(__xludf.DUMMYFUNCTION("""COMPUTED_VALUE"""),112.20089637636312)</f>
        <v>112.2008964</v>
      </c>
      <c r="AY237" s="4"/>
      <c r="AZ237" s="4"/>
      <c r="BA237" s="4">
        <f>IFERROR(__xludf.DUMMYFUNCTION("""COMPUTED_VALUE"""),99.9696868176153)</f>
        <v>99.96968682</v>
      </c>
      <c r="BB237" s="4"/>
      <c r="BC237" s="4"/>
      <c r="BD237" s="4">
        <f>IFERROR(__xludf.DUMMYFUNCTION("""COMPUTED_VALUE"""),92.30188875884977)</f>
        <v>92.30188876</v>
      </c>
      <c r="BE237" s="4"/>
      <c r="BF237" s="4"/>
      <c r="BG237" s="4">
        <f>IFERROR(__xludf.DUMMYFUNCTION("""COMPUTED_VALUE"""),80.80686109613492)</f>
        <v>80.8068611</v>
      </c>
      <c r="BH237" s="4"/>
      <c r="BI237" s="4"/>
      <c r="BJ237" s="4"/>
      <c r="BK237" s="4"/>
    </row>
    <row r="238">
      <c r="A238" s="4"/>
      <c r="B238" s="4"/>
      <c r="C238" s="4"/>
      <c r="D238" s="4">
        <f>IFERROR(__xludf.DUMMYFUNCTION("""COMPUTED_VALUE"""),-5.509776792469847)</f>
        <v>-5.509776792</v>
      </c>
      <c r="E238" s="23">
        <f>IFERROR(__xludf.DUMMYFUNCTION("""COMPUTED_VALUE"""),17.313497273180758)</f>
        <v>17.31349727</v>
      </c>
      <c r="F238" s="4"/>
      <c r="G238" s="4"/>
      <c r="H238" s="4">
        <f>IFERROR(__xludf.DUMMYFUNCTION("""COMPUTED_VALUE"""),24.51831380041733)</f>
        <v>24.5183138</v>
      </c>
      <c r="I238" s="4"/>
      <c r="J238" s="4"/>
      <c r="K238" s="4">
        <f>IFERROR(__xludf.DUMMYFUNCTION("""COMPUTED_VALUE"""),27.764668404781617)</f>
        <v>27.7646684</v>
      </c>
      <c r="L238" s="4"/>
      <c r="M238" s="4"/>
      <c r="N238" s="4">
        <f>IFERROR(__xludf.DUMMYFUNCTION("""COMPUTED_VALUE"""),48.13421569676075)</f>
        <v>48.1342157</v>
      </c>
      <c r="O238" s="4"/>
      <c r="P238" s="4"/>
      <c r="Q238" s="4">
        <f>IFERROR(__xludf.DUMMYFUNCTION("""COMPUTED_VALUE"""),63.3375799273428)</f>
        <v>63.33757993</v>
      </c>
      <c r="R238" s="4"/>
      <c r="S238" s="4"/>
      <c r="T238" s="4">
        <f>IFERROR(__xludf.DUMMYFUNCTION("""COMPUTED_VALUE"""),68.26732556811692)</f>
        <v>68.26732557</v>
      </c>
      <c r="U238" s="4"/>
      <c r="V238" s="4"/>
      <c r="W238" s="4">
        <f>IFERROR(__xludf.DUMMYFUNCTION("""COMPUTED_VALUE"""),90.05281398181165)</f>
        <v>90.05281398</v>
      </c>
      <c r="X238" s="4"/>
      <c r="Y238" s="4"/>
      <c r="Z238" s="4">
        <f>IFERROR(__xludf.DUMMYFUNCTION("""COMPUTED_VALUE"""),123.70624688783244)</f>
        <v>123.7062469</v>
      </c>
      <c r="AA238" s="4"/>
      <c r="AB238" s="4"/>
      <c r="AC238" s="4">
        <f>IFERROR(__xludf.DUMMYFUNCTION("""COMPUTED_VALUE"""),151.76516492020772)</f>
        <v>151.7651649</v>
      </c>
      <c r="AD238" s="4"/>
      <c r="AE238" s="4"/>
      <c r="AF238" s="4">
        <f>IFERROR(__xludf.DUMMYFUNCTION("""COMPUTED_VALUE"""),161.00163266179095)</f>
        <v>161.0016327</v>
      </c>
      <c r="AG238" s="4"/>
      <c r="AH238" s="4"/>
      <c r="AI238" s="4">
        <f>IFERROR(__xludf.DUMMYFUNCTION("""COMPUTED_VALUE"""),177.73118604457227)</f>
        <v>177.731186</v>
      </c>
      <c r="AJ238" s="4"/>
      <c r="AK238" s="4"/>
      <c r="AL238" s="4">
        <f>IFERROR(__xludf.DUMMYFUNCTION("""COMPUTED_VALUE"""),173.5359511340448)</f>
        <v>173.5359511</v>
      </c>
      <c r="AM238" s="4"/>
      <c r="AN238" s="4"/>
      <c r="AO238" s="4">
        <f>IFERROR(__xludf.DUMMYFUNCTION("""COMPUTED_VALUE"""),168.30298192578317)</f>
        <v>168.3029819</v>
      </c>
      <c r="AP238" s="4"/>
      <c r="AQ238" s="4"/>
      <c r="AR238" s="4">
        <f>IFERROR(__xludf.DUMMYFUNCTION("""COMPUTED_VALUE"""),156.23296563361413)</f>
        <v>156.2329656</v>
      </c>
      <c r="AS238" s="4"/>
      <c r="AT238" s="4"/>
      <c r="AU238" s="4">
        <f>IFERROR(__xludf.DUMMYFUNCTION("""COMPUTED_VALUE"""),142.84677923066113)</f>
        <v>142.8467792</v>
      </c>
      <c r="AV238" s="4"/>
      <c r="AW238" s="4"/>
      <c r="AX238" s="4">
        <f>IFERROR(__xludf.DUMMYFUNCTION("""COMPUTED_VALUE"""),122.81754771757255)</f>
        <v>122.8175477</v>
      </c>
      <c r="AY238" s="4"/>
      <c r="AZ238" s="4"/>
      <c r="BA238" s="4">
        <f>IFERROR(__xludf.DUMMYFUNCTION("""COMPUTED_VALUE"""),116.00174654129478)</f>
        <v>116.0017465</v>
      </c>
      <c r="BB238" s="4"/>
      <c r="BC238" s="4"/>
      <c r="BD238" s="4">
        <f>IFERROR(__xludf.DUMMYFUNCTION("""COMPUTED_VALUE"""),92.59762609014479)</f>
        <v>92.59762609</v>
      </c>
      <c r="BE238" s="4"/>
      <c r="BF238" s="4"/>
      <c r="BG238" s="4">
        <f>IFERROR(__xludf.DUMMYFUNCTION("""COMPUTED_VALUE"""),88.88053222055424)</f>
        <v>88.88053222</v>
      </c>
      <c r="BH238" s="4"/>
      <c r="BI238" s="4"/>
      <c r="BJ238" s="4"/>
      <c r="BK238" s="4"/>
    </row>
    <row r="239">
      <c r="A239" s="4"/>
      <c r="B239" s="4"/>
      <c r="C239" s="4"/>
      <c r="D239" s="4">
        <f>IFERROR(__xludf.DUMMYFUNCTION("""COMPUTED_VALUE"""),-6.428072923104617)</f>
        <v>-6.428072923</v>
      </c>
      <c r="E239" s="23">
        <f>IFERROR(__xludf.DUMMYFUNCTION("""COMPUTED_VALUE"""),15.360750740836693)</f>
        <v>15.36075074</v>
      </c>
      <c r="F239" s="4"/>
      <c r="G239" s="4"/>
      <c r="H239" s="4">
        <f>IFERROR(__xludf.DUMMYFUNCTION("""COMPUTED_VALUE"""),19.430422788303247)</f>
        <v>19.43042279</v>
      </c>
      <c r="I239" s="4"/>
      <c r="J239" s="4"/>
      <c r="K239" s="4">
        <f>IFERROR(__xludf.DUMMYFUNCTION("""COMPUTED_VALUE"""),36.73420869167609)</f>
        <v>36.73420869</v>
      </c>
      <c r="L239" s="4"/>
      <c r="M239" s="4"/>
      <c r="N239" s="4">
        <f>IFERROR(__xludf.DUMMYFUNCTION("""COMPUTED_VALUE"""),40.918494068357234)</f>
        <v>40.91849407</v>
      </c>
      <c r="O239" s="4"/>
      <c r="P239" s="4"/>
      <c r="Q239" s="4">
        <f>IFERROR(__xludf.DUMMYFUNCTION("""COMPUTED_VALUE"""),66.01845910031642)</f>
        <v>66.0184591</v>
      </c>
      <c r="R239" s="4"/>
      <c r="S239" s="4"/>
      <c r="T239" s="4">
        <f>IFERROR(__xludf.DUMMYFUNCTION("""COMPUTED_VALUE"""),73.88738007625375)</f>
        <v>73.88738008</v>
      </c>
      <c r="U239" s="4"/>
      <c r="V239" s="4"/>
      <c r="W239" s="4">
        <f>IFERROR(__xludf.DUMMYFUNCTION("""COMPUTED_VALUE"""),89.56218069852235)</f>
        <v>89.5621807</v>
      </c>
      <c r="X239" s="4"/>
      <c r="Y239" s="4"/>
      <c r="Z239" s="4">
        <f>IFERROR(__xludf.DUMMYFUNCTION("""COMPUTED_VALUE"""),127.03840354122855)</f>
        <v>127.0384035</v>
      </c>
      <c r="AA239" s="4"/>
      <c r="AB239" s="4"/>
      <c r="AC239" s="4">
        <f>IFERROR(__xludf.DUMMYFUNCTION("""COMPUTED_VALUE"""),158.29451505799062)</f>
        <v>158.2945151</v>
      </c>
      <c r="AD239" s="4"/>
      <c r="AE239" s="4"/>
      <c r="AF239" s="4">
        <f>IFERROR(__xludf.DUMMYFUNCTION("""COMPUTED_VALUE"""),179.0770082264724)</f>
        <v>179.0770082</v>
      </c>
      <c r="AG239" s="4"/>
      <c r="AH239" s="4"/>
      <c r="AI239" s="4">
        <f>IFERROR(__xludf.DUMMYFUNCTION("""COMPUTED_VALUE"""),185.39260250943545)</f>
        <v>185.3926025</v>
      </c>
      <c r="AJ239" s="4"/>
      <c r="AK239" s="4"/>
      <c r="AL239" s="4">
        <f>IFERROR(__xludf.DUMMYFUNCTION("""COMPUTED_VALUE"""),173.45748602913397)</f>
        <v>173.457486</v>
      </c>
      <c r="AM239" s="4"/>
      <c r="AN239" s="4"/>
      <c r="AO239" s="4">
        <f>IFERROR(__xludf.DUMMYFUNCTION("""COMPUTED_VALUE"""),170.9571111701386)</f>
        <v>170.9571112</v>
      </c>
      <c r="AP239" s="4"/>
      <c r="AQ239" s="4"/>
      <c r="AR239" s="4">
        <f>IFERROR(__xludf.DUMMYFUNCTION("""COMPUTED_VALUE"""),155.9796913230274)</f>
        <v>155.9796913</v>
      </c>
      <c r="AS239" s="4"/>
      <c r="AT239" s="4"/>
      <c r="AU239" s="4">
        <f>IFERROR(__xludf.DUMMYFUNCTION("""COMPUTED_VALUE"""),145.49319810676593)</f>
        <v>145.4931981</v>
      </c>
      <c r="AV239" s="4"/>
      <c r="AW239" s="4"/>
      <c r="AX239" s="4">
        <f>IFERROR(__xludf.DUMMYFUNCTION("""COMPUTED_VALUE"""),134.72708804022142)</f>
        <v>134.727088</v>
      </c>
      <c r="AY239" s="4"/>
      <c r="AZ239" s="4"/>
      <c r="BA239" s="4">
        <f>IFERROR(__xludf.DUMMYFUNCTION("""COMPUTED_VALUE"""),120.02577012703603)</f>
        <v>120.0257701</v>
      </c>
      <c r="BB239" s="4"/>
      <c r="BC239" s="4"/>
      <c r="BD239" s="4">
        <f>IFERROR(__xludf.DUMMYFUNCTION("""COMPUTED_VALUE"""),106.2583477658884)</f>
        <v>106.2583478</v>
      </c>
      <c r="BE239" s="4"/>
      <c r="BF239" s="4"/>
      <c r="BG239" s="4">
        <f>IFERROR(__xludf.DUMMYFUNCTION("""COMPUTED_VALUE"""),95.86014398956047)</f>
        <v>95.86014399</v>
      </c>
      <c r="BH239" s="4"/>
      <c r="BI239" s="4"/>
      <c r="BJ239" s="4"/>
      <c r="BK239" s="4"/>
    </row>
    <row r="240">
      <c r="A240" s="4"/>
      <c r="B240" s="4"/>
      <c r="C240" s="4"/>
      <c r="D240" s="4">
        <f>IFERROR(__xludf.DUMMYFUNCTION("""COMPUTED_VALUE"""),-7.3463690559046935)</f>
        <v>-7.346369056</v>
      </c>
      <c r="E240" s="23">
        <f>IFERROR(__xludf.DUMMYFUNCTION("""COMPUTED_VALUE"""),19.12566738968775)</f>
        <v>19.12566739</v>
      </c>
      <c r="F240" s="4"/>
      <c r="G240" s="4"/>
      <c r="H240" s="4">
        <f>IFERROR(__xludf.DUMMYFUNCTION("""COMPUTED_VALUE"""),23.71428202353627)</f>
        <v>23.71428202</v>
      </c>
      <c r="I240" s="4"/>
      <c r="J240" s="4"/>
      <c r="K240" s="4">
        <f>IFERROR(__xludf.DUMMYFUNCTION("""COMPUTED_VALUE"""),41.70388749713874)</f>
        <v>41.7038875</v>
      </c>
      <c r="L240" s="4"/>
      <c r="M240" s="4"/>
      <c r="N240" s="4">
        <f>IFERROR(__xludf.DUMMYFUNCTION("""COMPUTED_VALUE"""),55.13926344139378)</f>
        <v>55.13926344</v>
      </c>
      <c r="O240" s="4"/>
      <c r="P240" s="4"/>
      <c r="Q240" s="4">
        <f>IFERROR(__xludf.DUMMYFUNCTION("""COMPUTED_VALUE"""),68.3404225246532)</f>
        <v>68.34042252</v>
      </c>
      <c r="R240" s="4"/>
      <c r="S240" s="4"/>
      <c r="T240" s="4">
        <f>IFERROR(__xludf.DUMMYFUNCTION("""COMPUTED_VALUE"""),82.11603932980074)</f>
        <v>82.11603933</v>
      </c>
      <c r="U240" s="4"/>
      <c r="V240" s="4"/>
      <c r="W240" s="4">
        <f>IFERROR(__xludf.DUMMYFUNCTION("""COMPUTED_VALUE"""),105.88406617287552)</f>
        <v>105.8840662</v>
      </c>
      <c r="X240" s="4"/>
      <c r="Y240" s="4"/>
      <c r="Z240" s="4">
        <f>IFERROR(__xludf.DUMMYFUNCTION("""COMPUTED_VALUE"""),127.96827821695518)</f>
        <v>127.9682782</v>
      </c>
      <c r="AA240" s="4"/>
      <c r="AB240" s="4"/>
      <c r="AC240" s="4">
        <f>IFERROR(__xludf.DUMMYFUNCTION("""COMPUTED_VALUE"""),155.66758503564074)</f>
        <v>155.667585</v>
      </c>
      <c r="AD240" s="4"/>
      <c r="AE240" s="4"/>
      <c r="AF240" s="4">
        <f>IFERROR(__xludf.DUMMYFUNCTION("""COMPUTED_VALUE"""),174.4730667340785)</f>
        <v>174.4730667</v>
      </c>
      <c r="AG240" s="4"/>
      <c r="AH240" s="4"/>
      <c r="AI240" s="4">
        <f>IFERROR(__xludf.DUMMYFUNCTION("""COMPUTED_VALUE"""),172.92697776737026)</f>
        <v>172.9269778</v>
      </c>
      <c r="AJ240" s="4"/>
      <c r="AK240" s="4"/>
      <c r="AL240" s="4">
        <f>IFERROR(__xludf.DUMMYFUNCTION("""COMPUTED_VALUE"""),178.8670568177501)</f>
        <v>178.8670568</v>
      </c>
      <c r="AM240" s="4"/>
      <c r="AN240" s="4"/>
      <c r="AO240" s="4">
        <f>IFERROR(__xludf.DUMMYFUNCTION("""COMPUTED_VALUE"""),176.70807863097065)</f>
        <v>176.7080786</v>
      </c>
      <c r="AP240" s="4"/>
      <c r="AQ240" s="4"/>
      <c r="AR240" s="4">
        <f>IFERROR(__xludf.DUMMYFUNCTION("""COMPUTED_VALUE"""),154.4875016671606)</f>
        <v>154.4875017</v>
      </c>
      <c r="AS240" s="4"/>
      <c r="AT240" s="4"/>
      <c r="AU240" s="4">
        <f>IFERROR(__xludf.DUMMYFUNCTION("""COMPUTED_VALUE"""),152.48807357701446)</f>
        <v>152.4880736</v>
      </c>
      <c r="AV240" s="4"/>
      <c r="AW240" s="4"/>
      <c r="AX240" s="4">
        <f>IFERROR(__xludf.DUMMYFUNCTION("""COMPUTED_VALUE"""),137.13500751786358)</f>
        <v>137.1350075</v>
      </c>
      <c r="AY240" s="4"/>
      <c r="AZ240" s="4"/>
      <c r="BA240" s="4">
        <f>IFERROR(__xludf.DUMMYFUNCTION("""COMPUTED_VALUE"""),125.80015431866843)</f>
        <v>125.8001543</v>
      </c>
      <c r="BB240" s="4"/>
      <c r="BC240" s="4"/>
      <c r="BD240" s="4">
        <f>IFERROR(__xludf.DUMMYFUNCTION("""COMPUTED_VALUE"""),111.40132361814938)</f>
        <v>111.4013236</v>
      </c>
      <c r="BE240" s="4"/>
      <c r="BF240" s="4"/>
      <c r="BG240" s="4">
        <f>IFERROR(__xludf.DUMMYFUNCTION("""COMPUTED_VALUE"""),103.73615636926417)</f>
        <v>103.7361564</v>
      </c>
      <c r="BH240" s="4"/>
      <c r="BI240" s="4"/>
      <c r="BJ240" s="4"/>
      <c r="BK240" s="4"/>
    </row>
    <row r="241">
      <c r="A241" s="4"/>
      <c r="B241" s="4"/>
      <c r="C241" s="4"/>
      <c r="D241" s="4">
        <f>IFERROR(__xludf.DUMMYFUNCTION("""COMPUTED_VALUE"""),-8.264665188654414)</f>
        <v>-8.264665189</v>
      </c>
      <c r="E241" s="23">
        <f>IFERROR(__xludf.DUMMYFUNCTION("""COMPUTED_VALUE"""),25.373432561032303)</f>
        <v>25.37343256</v>
      </c>
      <c r="F241" s="4"/>
      <c r="G241" s="4"/>
      <c r="H241" s="4">
        <f>IFERROR(__xludf.DUMMYFUNCTION("""COMPUTED_VALUE"""),30.574541108926553)</f>
        <v>30.57454111</v>
      </c>
      <c r="I241" s="4"/>
      <c r="J241" s="4"/>
      <c r="K241" s="4">
        <f>IFERROR(__xludf.DUMMYFUNCTION("""COMPUTED_VALUE"""),49.497703504838455)</f>
        <v>49.4977035</v>
      </c>
      <c r="L241" s="4"/>
      <c r="M241" s="4"/>
      <c r="N241" s="4">
        <f>IFERROR(__xludf.DUMMYFUNCTION("""COMPUTED_VALUE"""),58.01110251815544)</f>
        <v>58.01110252</v>
      </c>
      <c r="O241" s="4"/>
      <c r="P241" s="4"/>
      <c r="Q241" s="4">
        <f>IFERROR(__xludf.DUMMYFUNCTION("""COMPUTED_VALUE"""),74.79554503326432)</f>
        <v>74.79554503</v>
      </c>
      <c r="R241" s="4"/>
      <c r="S241" s="4"/>
      <c r="T241" s="4">
        <f>IFERROR(__xludf.DUMMYFUNCTION("""COMPUTED_VALUE"""),94.52772047578776)</f>
        <v>94.52772048</v>
      </c>
      <c r="U241" s="4"/>
      <c r="V241" s="4"/>
      <c r="W241" s="4">
        <f>IFERROR(__xludf.DUMMYFUNCTION("""COMPUTED_VALUE"""),101.11223122535466)</f>
        <v>101.1122312</v>
      </c>
      <c r="X241" s="4"/>
      <c r="Y241" s="4"/>
      <c r="Z241" s="4">
        <f>IFERROR(__xludf.DUMMYFUNCTION("""COMPUTED_VALUE"""),134.77263434765428)</f>
        <v>134.7726343</v>
      </c>
      <c r="AA241" s="4"/>
      <c r="AB241" s="4"/>
      <c r="AC241" s="4">
        <f>IFERROR(__xludf.DUMMYFUNCTION("""COMPUTED_VALUE"""),167.21843405823148)</f>
        <v>167.2184341</v>
      </c>
      <c r="AD241" s="4"/>
      <c r="AE241" s="4"/>
      <c r="AF241" s="4">
        <f>IFERROR(__xludf.DUMMYFUNCTION("""COMPUTED_VALUE"""),175.63328993880276)</f>
        <v>175.6332899</v>
      </c>
      <c r="AG241" s="4"/>
      <c r="AH241" s="4"/>
      <c r="AI241" s="4">
        <f>IFERROR(__xludf.DUMMYFUNCTION("""COMPUTED_VALUE"""),180.92402987610978)</f>
        <v>180.9240299</v>
      </c>
      <c r="AJ241" s="4"/>
      <c r="AK241" s="4"/>
      <c r="AL241" s="4">
        <f>IFERROR(__xludf.DUMMYFUNCTION("""COMPUTED_VALUE"""),187.24004226633014)</f>
        <v>187.2400423</v>
      </c>
      <c r="AM241" s="4"/>
      <c r="AN241" s="4"/>
      <c r="AO241" s="4">
        <f>IFERROR(__xludf.DUMMYFUNCTION("""COMPUTED_VALUE"""),168.8766903911639)</f>
        <v>168.8766904</v>
      </c>
      <c r="AP241" s="4"/>
      <c r="AQ241" s="4"/>
      <c r="AR241" s="4">
        <f>IFERROR(__xludf.DUMMYFUNCTION("""COMPUTED_VALUE"""),168.78992745110742)</f>
        <v>168.7899275</v>
      </c>
      <c r="AS241" s="4"/>
      <c r="AT241" s="4"/>
      <c r="AU241" s="4">
        <f>IFERROR(__xludf.DUMMYFUNCTION("""COMPUTED_VALUE"""),150.55730248568835)</f>
        <v>150.5573025</v>
      </c>
      <c r="AV241" s="4"/>
      <c r="AW241" s="4"/>
      <c r="AX241" s="4">
        <f>IFERROR(__xludf.DUMMYFUNCTION("""COMPUTED_VALUE"""),148.68054981882642)</f>
        <v>148.6805498</v>
      </c>
      <c r="AY241" s="4"/>
      <c r="AZ241" s="4"/>
      <c r="BA241" s="4">
        <f>IFERROR(__xludf.DUMMYFUNCTION("""COMPUTED_VALUE"""),128.9010330535802)</f>
        <v>128.9010331</v>
      </c>
      <c r="BB241" s="4"/>
      <c r="BC241" s="4"/>
      <c r="BD241" s="4">
        <f>IFERROR(__xludf.DUMMYFUNCTION("""COMPUTED_VALUE"""),131.5452427040522)</f>
        <v>131.5452427</v>
      </c>
      <c r="BE241" s="4"/>
      <c r="BF241" s="4"/>
      <c r="BG241" s="4">
        <f>IFERROR(__xludf.DUMMYFUNCTION("""COMPUTED_VALUE"""),111.47996353944723)</f>
        <v>111.4799635</v>
      </c>
      <c r="BH241" s="4"/>
      <c r="BI241" s="4"/>
      <c r="BJ241" s="4"/>
      <c r="BK241" s="4"/>
    </row>
    <row r="242">
      <c r="A242" s="4"/>
      <c r="B242" s="4"/>
      <c r="C242" s="4"/>
      <c r="D242" s="4">
        <f>IFERROR(__xludf.DUMMYFUNCTION("""COMPUTED_VALUE"""),-9.18296132145449)</f>
        <v>-9.182961321</v>
      </c>
      <c r="E242" s="23">
        <f>IFERROR(__xludf.DUMMYFUNCTION("""COMPUTED_VALUE"""),24.76004273137255)</f>
        <v>24.76004273</v>
      </c>
      <c r="F242" s="4"/>
      <c r="G242" s="4"/>
      <c r="H242" s="4">
        <f>IFERROR(__xludf.DUMMYFUNCTION("""COMPUTED_VALUE"""),35.5054701554584)</f>
        <v>35.50547016</v>
      </c>
      <c r="I242" s="4"/>
      <c r="J242" s="4"/>
      <c r="K242" s="4">
        <f>IFERROR(__xludf.DUMMYFUNCTION("""COMPUTED_VALUE"""),41.34389546994629)</f>
        <v>41.34389547</v>
      </c>
      <c r="L242" s="4"/>
      <c r="M242" s="4"/>
      <c r="N242" s="4">
        <f>IFERROR(__xludf.DUMMYFUNCTION("""COMPUTED_VALUE"""),57.91939089971601)</f>
        <v>57.9193909</v>
      </c>
      <c r="O242" s="4"/>
      <c r="P242" s="4"/>
      <c r="Q242" s="4">
        <f>IFERROR(__xludf.DUMMYFUNCTION("""COMPUTED_VALUE"""),77.50079015857062)</f>
        <v>77.50079016</v>
      </c>
      <c r="R242" s="4"/>
      <c r="S242" s="4"/>
      <c r="T242" s="4">
        <f>IFERROR(__xludf.DUMMYFUNCTION("""COMPUTED_VALUE"""),100.4282582504361)</f>
        <v>100.4282583</v>
      </c>
      <c r="U242" s="4"/>
      <c r="V242" s="4"/>
      <c r="W242" s="4">
        <f>IFERROR(__xludf.DUMMYFUNCTION("""COMPUTED_VALUE"""),111.84310913188693)</f>
        <v>111.8431091</v>
      </c>
      <c r="X242" s="4"/>
      <c r="Y242" s="4"/>
      <c r="Z242" s="4">
        <f>IFERROR(__xludf.DUMMYFUNCTION("""COMPUTED_VALUE"""),143.51895988341238)</f>
        <v>143.5189599</v>
      </c>
      <c r="AA242" s="4"/>
      <c r="AB242" s="4"/>
      <c r="AC242" s="4">
        <f>IFERROR(__xludf.DUMMYFUNCTION("""COMPUTED_VALUE"""),167.579356335767)</f>
        <v>167.5793563</v>
      </c>
      <c r="AD242" s="4"/>
      <c r="AE242" s="4"/>
      <c r="AF242" s="4">
        <f>IFERROR(__xludf.DUMMYFUNCTION("""COMPUTED_VALUE"""),180.38170218886063)</f>
        <v>180.3817022</v>
      </c>
      <c r="AG242" s="4"/>
      <c r="AH242" s="4"/>
      <c r="AI242" s="4">
        <f>IFERROR(__xludf.DUMMYFUNCTION("""COMPUTED_VALUE"""),182.41922930320328)</f>
        <v>182.4192293</v>
      </c>
      <c r="AJ242" s="4"/>
      <c r="AK242" s="4"/>
      <c r="AL242" s="4">
        <f>IFERROR(__xludf.DUMMYFUNCTION("""COMPUTED_VALUE"""),192.90202137648294)</f>
        <v>192.9020214</v>
      </c>
      <c r="AM242" s="4"/>
      <c r="AN242" s="4"/>
      <c r="AO242" s="4">
        <f>IFERROR(__xludf.DUMMYFUNCTION("""COMPUTED_VALUE"""),183.37716859628392)</f>
        <v>183.3771686</v>
      </c>
      <c r="AP242" s="4"/>
      <c r="AQ242" s="4"/>
      <c r="AR242" s="4">
        <f>IFERROR(__xludf.DUMMYFUNCTION("""COMPUTED_VALUE"""),173.74679827071492)</f>
        <v>173.7467983</v>
      </c>
      <c r="AS242" s="4"/>
      <c r="AT242" s="4"/>
      <c r="AU242" s="4">
        <f>IFERROR(__xludf.DUMMYFUNCTION("""COMPUTED_VALUE"""),160.47815089009015)</f>
        <v>160.4781509</v>
      </c>
      <c r="AV242" s="4"/>
      <c r="AW242" s="4"/>
      <c r="AX242" s="4">
        <f>IFERROR(__xludf.DUMMYFUNCTION("""COMPUTED_VALUE"""),146.37561120401983)</f>
        <v>146.3756112</v>
      </c>
      <c r="AY242" s="4"/>
      <c r="AZ242" s="4"/>
      <c r="BA242" s="4">
        <f>IFERROR(__xludf.DUMMYFUNCTION("""COMPUTED_VALUE"""),141.6419223535861)</f>
        <v>141.6419224</v>
      </c>
      <c r="BB242" s="4"/>
      <c r="BC242" s="4"/>
      <c r="BD242" s="4">
        <f>IFERROR(__xludf.DUMMYFUNCTION("""COMPUTED_VALUE"""),130.64352590845255)</f>
        <v>130.6435259</v>
      </c>
      <c r="BE242" s="4"/>
      <c r="BF242" s="4"/>
      <c r="BG242" s="4">
        <f>IFERROR(__xludf.DUMMYFUNCTION("""COMPUTED_VALUE"""),121.95382831675477)</f>
        <v>121.9538283</v>
      </c>
      <c r="BH242" s="4"/>
      <c r="BI242" s="4"/>
      <c r="BJ242" s="4"/>
      <c r="BK242" s="4"/>
    </row>
    <row r="243">
      <c r="A243" s="4"/>
      <c r="B243" s="4"/>
      <c r="C243" s="4"/>
      <c r="D243" s="4">
        <f>IFERROR(__xludf.DUMMYFUNCTION("""COMPUTED_VALUE"""),-10.101257452139617)</f>
        <v>-10.10125745</v>
      </c>
      <c r="E243" s="23">
        <f>IFERROR(__xludf.DUMMYFUNCTION("""COMPUTED_VALUE"""),28.94536173965156)</f>
        <v>28.94536174</v>
      </c>
      <c r="F243" s="4"/>
      <c r="G243" s="4"/>
      <c r="H243" s="4">
        <f>IFERROR(__xludf.DUMMYFUNCTION("""COMPUTED_VALUE"""),30.725608838565222)</f>
        <v>30.72560884</v>
      </c>
      <c r="I243" s="4"/>
      <c r="J243" s="4"/>
      <c r="K243" s="4">
        <f>IFERROR(__xludf.DUMMYFUNCTION("""COMPUTED_VALUE"""),49.086762161432034)</f>
        <v>49.08676216</v>
      </c>
      <c r="L243" s="4"/>
      <c r="M243" s="4"/>
      <c r="N243" s="4">
        <f>IFERROR(__xludf.DUMMYFUNCTION("""COMPUTED_VALUE"""),59.78106273710745)</f>
        <v>59.78106274</v>
      </c>
      <c r="O243" s="4"/>
      <c r="P243" s="4"/>
      <c r="Q243" s="4">
        <f>IFERROR(__xludf.DUMMYFUNCTION("""COMPUTED_VALUE"""),87.82696648402072)</f>
        <v>87.82696648</v>
      </c>
      <c r="R243" s="4"/>
      <c r="S243" s="4"/>
      <c r="T243" s="4">
        <f>IFERROR(__xludf.DUMMYFUNCTION("""COMPUTED_VALUE"""),99.21724689135715)</f>
        <v>99.21724689</v>
      </c>
      <c r="U243" s="4"/>
      <c r="V243" s="4"/>
      <c r="W243" s="4">
        <f>IFERROR(__xludf.DUMMYFUNCTION("""COMPUTED_VALUE"""),119.9890687233069)</f>
        <v>119.9890687</v>
      </c>
      <c r="X243" s="4"/>
      <c r="Y243" s="4"/>
      <c r="Z243" s="4">
        <f>IFERROR(__xludf.DUMMYFUNCTION("""COMPUTED_VALUE"""),140.7107223229649)</f>
        <v>140.7107223</v>
      </c>
      <c r="AA243" s="4"/>
      <c r="AB243" s="4"/>
      <c r="AC243" s="4">
        <f>IFERROR(__xludf.DUMMYFUNCTION("""COMPUTED_VALUE"""),170.39144470974264)</f>
        <v>170.3914447</v>
      </c>
      <c r="AD243" s="4"/>
      <c r="AE243" s="4"/>
      <c r="AF243" s="4">
        <f>IFERROR(__xludf.DUMMYFUNCTION("""COMPUTED_VALUE"""),184.18776374871612)</f>
        <v>184.1877637</v>
      </c>
      <c r="AG243" s="4"/>
      <c r="AH243" s="4"/>
      <c r="AI243" s="4">
        <f>IFERROR(__xludf.DUMMYFUNCTION("""COMPUTED_VALUE"""),183.81851693280322)</f>
        <v>183.8185169</v>
      </c>
      <c r="AJ243" s="4"/>
      <c r="AK243" s="4"/>
      <c r="AL243" s="4">
        <f>IFERROR(__xludf.DUMMYFUNCTION("""COMPUTED_VALUE"""),185.32054704679285)</f>
        <v>185.320547</v>
      </c>
      <c r="AM243" s="4"/>
      <c r="AN243" s="4"/>
      <c r="AO243" s="4">
        <f>IFERROR(__xludf.DUMMYFUNCTION("""COMPUTED_VALUE"""),180.28584714772325)</f>
        <v>180.2858471</v>
      </c>
      <c r="AP243" s="4"/>
      <c r="AQ243" s="4"/>
      <c r="AR243" s="4">
        <f>IFERROR(__xludf.DUMMYFUNCTION("""COMPUTED_VALUE"""),178.4892354956279)</f>
        <v>178.4892355</v>
      </c>
      <c r="AS243" s="4"/>
      <c r="AT243" s="4"/>
      <c r="AU243" s="4">
        <f>IFERROR(__xludf.DUMMYFUNCTION("""COMPUTED_VALUE"""),165.17073349537856)</f>
        <v>165.1707335</v>
      </c>
      <c r="AV243" s="4"/>
      <c r="AW243" s="4"/>
      <c r="AX243" s="4">
        <f>IFERROR(__xludf.DUMMYFUNCTION("""COMPUTED_VALUE"""),161.79914386139018)</f>
        <v>161.7991439</v>
      </c>
      <c r="AY243" s="4"/>
      <c r="AZ243" s="4"/>
      <c r="BA243" s="4">
        <f>IFERROR(__xludf.DUMMYFUNCTION("""COMPUTED_VALUE"""),143.34170693734353)</f>
        <v>143.3417069</v>
      </c>
      <c r="BB243" s="4"/>
      <c r="BC243" s="4"/>
      <c r="BD243" s="4">
        <f>IFERROR(__xludf.DUMMYFUNCTION("""COMPUTED_VALUE"""),141.48792088338018)</f>
        <v>141.4879209</v>
      </c>
      <c r="BE243" s="4"/>
      <c r="BF243" s="4"/>
      <c r="BG243" s="4">
        <f>IFERROR(__xludf.DUMMYFUNCTION("""COMPUTED_VALUE"""),130.79955644429845)</f>
        <v>130.7995564</v>
      </c>
      <c r="BH243" s="4"/>
      <c r="BI243" s="4"/>
      <c r="BJ243" s="4"/>
      <c r="BK243" s="4"/>
    </row>
    <row r="244">
      <c r="A244" s="4"/>
      <c r="B244" s="4"/>
      <c r="C244" s="4"/>
      <c r="D244" s="4">
        <f>IFERROR(__xludf.DUMMYFUNCTION("""COMPUTED_VALUE"""),-11.019553584889337)</f>
        <v>-11.01955358</v>
      </c>
      <c r="E244" s="23">
        <f>IFERROR(__xludf.DUMMYFUNCTION("""COMPUTED_VALUE"""),23.635978110269093)</f>
        <v>23.63597811</v>
      </c>
      <c r="F244" s="4"/>
      <c r="G244" s="4"/>
      <c r="H244" s="4">
        <f>IFERROR(__xludf.DUMMYFUNCTION("""COMPUTED_VALUE"""),39.40785138172839)</f>
        <v>39.40785138</v>
      </c>
      <c r="I244" s="4"/>
      <c r="J244" s="4"/>
      <c r="K244" s="4">
        <f>IFERROR(__xludf.DUMMYFUNCTION("""COMPUTED_VALUE"""),53.2493450107055)</f>
        <v>53.24934501</v>
      </c>
      <c r="L244" s="4"/>
      <c r="M244" s="4"/>
      <c r="N244" s="4">
        <f>IFERROR(__xludf.DUMMYFUNCTION("""COMPUTED_VALUE"""),67.52709679206424)</f>
        <v>67.52709679</v>
      </c>
      <c r="O244" s="4"/>
      <c r="P244" s="4"/>
      <c r="Q244" s="4">
        <f>IFERROR(__xludf.DUMMYFUNCTION("""COMPUTED_VALUE"""),89.17631640393654)</f>
        <v>89.1763164</v>
      </c>
      <c r="R244" s="4"/>
      <c r="S244" s="4"/>
      <c r="T244" s="4">
        <f>IFERROR(__xludf.DUMMYFUNCTION("""COMPUTED_VALUE"""),105.41684067462774)</f>
        <v>105.4168407</v>
      </c>
      <c r="U244" s="4"/>
      <c r="V244" s="4"/>
      <c r="W244" s="4">
        <f>IFERROR(__xludf.DUMMYFUNCTION("""COMPUTED_VALUE"""),118.71642044624679)</f>
        <v>118.7164204</v>
      </c>
      <c r="X244" s="4"/>
      <c r="Y244" s="4"/>
      <c r="Z244" s="4">
        <f>IFERROR(__xludf.DUMMYFUNCTION("""COMPUTED_VALUE"""),151.3429775891152)</f>
        <v>151.3429776</v>
      </c>
      <c r="AA244" s="4"/>
      <c r="AB244" s="4"/>
      <c r="AC244" s="4">
        <f>IFERROR(__xludf.DUMMYFUNCTION("""COMPUTED_VALUE"""),169.79754380326472)</f>
        <v>169.7975438</v>
      </c>
      <c r="AD244" s="4"/>
      <c r="AE244" s="4"/>
      <c r="AF244" s="4">
        <f>IFERROR(__xludf.DUMMYFUNCTION("""COMPUTED_VALUE"""),180.7706248710141)</f>
        <v>180.7706249</v>
      </c>
      <c r="AG244" s="4"/>
      <c r="AH244" s="4"/>
      <c r="AI244" s="4">
        <f>IFERROR(__xludf.DUMMYFUNCTION("""COMPUTED_VALUE"""),188.8836838524869)</f>
        <v>188.8836839</v>
      </c>
      <c r="AJ244" s="4"/>
      <c r="AK244" s="4"/>
      <c r="AL244" s="4">
        <f>IFERROR(__xludf.DUMMYFUNCTION("""COMPUTED_VALUE"""),189.16898136407667)</f>
        <v>189.1689814</v>
      </c>
      <c r="AM244" s="4"/>
      <c r="AN244" s="4"/>
      <c r="AO244" s="4">
        <f>IFERROR(__xludf.DUMMYFUNCTION("""COMPUTED_VALUE"""),192.26758538926583)</f>
        <v>192.2675854</v>
      </c>
      <c r="AP244" s="4"/>
      <c r="AQ244" s="4"/>
      <c r="AR244" s="4">
        <f>IFERROR(__xludf.DUMMYFUNCTION("""COMPUTED_VALUE"""),189.42339155054827)</f>
        <v>189.4233916</v>
      </c>
      <c r="AS244" s="4"/>
      <c r="AT244" s="4"/>
      <c r="AU244" s="4">
        <f>IFERROR(__xludf.DUMMYFUNCTION("""COMPUTED_VALUE"""),169.08055782837386)</f>
        <v>169.0805578</v>
      </c>
      <c r="AV244" s="4"/>
      <c r="AW244" s="4"/>
      <c r="AX244" s="4">
        <f>IFERROR(__xludf.DUMMYFUNCTION("""COMPUTED_VALUE"""),168.27705014914415)</f>
        <v>168.2770501</v>
      </c>
      <c r="AY244" s="4"/>
      <c r="AZ244" s="4"/>
      <c r="BA244" s="4">
        <f>IFERROR(__xludf.DUMMYFUNCTION("""COMPUTED_VALUE"""),150.88136639326456)</f>
        <v>150.8813664</v>
      </c>
      <c r="BB244" s="4"/>
      <c r="BC244" s="4"/>
      <c r="BD244" s="4">
        <f>IFERROR(__xludf.DUMMYFUNCTION("""COMPUTED_VALUE"""),143.37674041375726)</f>
        <v>143.3767404</v>
      </c>
      <c r="BE244" s="4"/>
      <c r="BF244" s="4"/>
      <c r="BG244" s="4">
        <f>IFERROR(__xludf.DUMMYFUNCTION("""COMPUTED_VALUE"""),130.44347547465424)</f>
        <v>130.4434755</v>
      </c>
      <c r="BH244" s="4"/>
      <c r="BI244" s="4"/>
      <c r="BJ244" s="4"/>
      <c r="BK244" s="4"/>
    </row>
    <row r="245">
      <c r="A245" s="4"/>
      <c r="B245" s="4"/>
      <c r="C245" s="4"/>
      <c r="D245" s="4">
        <f>IFERROR(__xludf.DUMMYFUNCTION("""COMPUTED_VALUE"""),-11.937849717689412)</f>
        <v>-11.93784972</v>
      </c>
      <c r="E245" s="23">
        <f>IFERROR(__xludf.DUMMYFUNCTION("""COMPUTED_VALUE"""),26.854981422669653)</f>
        <v>26.85498142</v>
      </c>
      <c r="F245" s="4"/>
      <c r="G245" s="4"/>
      <c r="H245" s="4">
        <f>IFERROR(__xludf.DUMMYFUNCTION("""COMPUTED_VALUE"""),42.05702671328356)</f>
        <v>42.05702671</v>
      </c>
      <c r="I245" s="4"/>
      <c r="J245" s="4"/>
      <c r="K245" s="4">
        <f>IFERROR(__xludf.DUMMYFUNCTION("""COMPUTED_VALUE"""),48.83480683084662)</f>
        <v>48.83480683</v>
      </c>
      <c r="L245" s="4"/>
      <c r="M245" s="4"/>
      <c r="N245" s="4">
        <f>IFERROR(__xludf.DUMMYFUNCTION("""COMPUTED_VALUE"""),82.08140248236975)</f>
        <v>82.08140248</v>
      </c>
      <c r="O245" s="4"/>
      <c r="P245" s="4"/>
      <c r="Q245" s="4">
        <f>IFERROR(__xludf.DUMMYFUNCTION("""COMPUTED_VALUE"""),93.45855760910297)</f>
        <v>93.45855761</v>
      </c>
      <c r="R245" s="4"/>
      <c r="S245" s="4"/>
      <c r="T245" s="4">
        <f>IFERROR(__xludf.DUMMYFUNCTION("""COMPUTED_VALUE"""),108.94816421204598)</f>
        <v>108.9481642</v>
      </c>
      <c r="U245" s="4"/>
      <c r="V245" s="4"/>
      <c r="W245" s="4">
        <f>IFERROR(__xludf.DUMMYFUNCTION("""COMPUTED_VALUE"""),125.96535503007084)</f>
        <v>125.965355</v>
      </c>
      <c r="X245" s="4"/>
      <c r="Y245" s="4"/>
      <c r="Z245" s="4">
        <f>IFERROR(__xludf.DUMMYFUNCTION("""COMPUTED_VALUE"""),149.36769293846413)</f>
        <v>149.3676929</v>
      </c>
      <c r="AA245" s="4"/>
      <c r="AB245" s="4"/>
      <c r="AC245" s="4">
        <f>IFERROR(__xludf.DUMMYFUNCTION("""COMPUTED_VALUE"""),175.3880007635683)</f>
        <v>175.3880008</v>
      </c>
      <c r="AD245" s="4"/>
      <c r="AE245" s="4"/>
      <c r="AF245" s="4">
        <f>IFERROR(__xludf.DUMMYFUNCTION("""COMPUTED_VALUE"""),185.63083831747667)</f>
        <v>185.6308383</v>
      </c>
      <c r="AG245" s="4"/>
      <c r="AH245" s="4"/>
      <c r="AI245" s="4">
        <f>IFERROR(__xludf.DUMMYFUNCTION("""COMPUTED_VALUE"""),185.31336937814734)</f>
        <v>185.3133694</v>
      </c>
      <c r="AJ245" s="4"/>
      <c r="AK245" s="4"/>
      <c r="AL245" s="4">
        <f>IFERROR(__xludf.DUMMYFUNCTION("""COMPUTED_VALUE"""),188.318350576351)</f>
        <v>188.3183506</v>
      </c>
      <c r="AM245" s="4"/>
      <c r="AN245" s="4"/>
      <c r="AO245" s="4">
        <f>IFERROR(__xludf.DUMMYFUNCTION("""COMPUTED_VALUE"""),192.38301643736014)</f>
        <v>192.3830164</v>
      </c>
      <c r="AP245" s="4"/>
      <c r="AQ245" s="4"/>
      <c r="AR245" s="4">
        <f>IFERROR(__xludf.DUMMYFUNCTION("""COMPUTED_VALUE"""),182.01992687661175)</f>
        <v>182.0199269</v>
      </c>
      <c r="AS245" s="4"/>
      <c r="AT245" s="4"/>
      <c r="AU245" s="4">
        <f>IFERROR(__xludf.DUMMYFUNCTION("""COMPUTED_VALUE"""),172.4417972845618)</f>
        <v>172.4417973</v>
      </c>
      <c r="AV245" s="4"/>
      <c r="AW245" s="4"/>
      <c r="AX245" s="4">
        <f>IFERROR(__xludf.DUMMYFUNCTION("""COMPUTED_VALUE"""),172.48348687277417)</f>
        <v>172.4834869</v>
      </c>
      <c r="AY245" s="4"/>
      <c r="AZ245" s="4"/>
      <c r="BA245" s="4">
        <f>IFERROR(__xludf.DUMMYFUNCTION("""COMPUTED_VALUE"""),163.28460237185186)</f>
        <v>163.2846024</v>
      </c>
      <c r="BB245" s="4"/>
      <c r="BC245" s="4"/>
      <c r="BD245" s="4">
        <f>IFERROR(__xludf.DUMMYFUNCTION("""COMPUTED_VALUE"""),146.54976779462845)</f>
        <v>146.5497678</v>
      </c>
      <c r="BE245" s="4"/>
      <c r="BF245" s="4"/>
      <c r="BG245" s="4">
        <f>IFERROR(__xludf.DUMMYFUNCTION("""COMPUTED_VALUE"""),141.5757310426976)</f>
        <v>141.575731</v>
      </c>
      <c r="BH245" s="4"/>
      <c r="BI245" s="4"/>
      <c r="BJ245" s="4"/>
      <c r="BK245" s="4"/>
    </row>
    <row r="246">
      <c r="A246" s="4"/>
      <c r="B246" s="4"/>
      <c r="C246" s="4"/>
      <c r="D246" s="4">
        <f>IFERROR(__xludf.DUMMYFUNCTION("""COMPUTED_VALUE"""),-12.85614584837454)</f>
        <v>-12.85614585</v>
      </c>
      <c r="E246" s="23">
        <f>IFERROR(__xludf.DUMMYFUNCTION("""COMPUTED_VALUE"""),23.78754577130968)</f>
        <v>23.78754577</v>
      </c>
      <c r="F246" s="4"/>
      <c r="G246" s="4"/>
      <c r="H246" s="4">
        <f>IFERROR(__xludf.DUMMYFUNCTION("""COMPUTED_VALUE"""),40.1326580220491)</f>
        <v>40.13265802</v>
      </c>
      <c r="I246" s="4"/>
      <c r="J246" s="4"/>
      <c r="K246" s="4">
        <f>IFERROR(__xludf.DUMMYFUNCTION("""COMPUTED_VALUE"""),49.08982472441244)</f>
        <v>49.08982472</v>
      </c>
      <c r="L246" s="4"/>
      <c r="M246" s="4"/>
      <c r="N246" s="4">
        <f>IFERROR(__xludf.DUMMYFUNCTION("""COMPUTED_VALUE"""),70.41441774780657)</f>
        <v>70.41441775</v>
      </c>
      <c r="O246" s="4"/>
      <c r="P246" s="4"/>
      <c r="Q246" s="4">
        <f>IFERROR(__xludf.DUMMYFUNCTION("""COMPUTED_VALUE"""),103.36053877491321)</f>
        <v>103.3605388</v>
      </c>
      <c r="R246" s="4"/>
      <c r="S246" s="4"/>
      <c r="T246" s="4">
        <f>IFERROR(__xludf.DUMMYFUNCTION("""COMPUTED_VALUE"""),120.60672572541563)</f>
        <v>120.6067257</v>
      </c>
      <c r="U246" s="4"/>
      <c r="V246" s="4"/>
      <c r="W246" s="4">
        <f>IFERROR(__xludf.DUMMYFUNCTION("""COMPUTED_VALUE"""),131.96583514187097)</f>
        <v>131.9658351</v>
      </c>
      <c r="X246" s="4"/>
      <c r="Y246" s="4"/>
      <c r="Z246" s="4">
        <f>IFERROR(__xludf.DUMMYFUNCTION("""COMPUTED_VALUE"""),159.59074504318517)</f>
        <v>159.590745</v>
      </c>
      <c r="AA246" s="4"/>
      <c r="AB246" s="4"/>
      <c r="AC246" s="4">
        <f>IFERROR(__xludf.DUMMYFUNCTION("""COMPUTED_VALUE"""),173.2539535885793)</f>
        <v>173.2539536</v>
      </c>
      <c r="AD246" s="4"/>
      <c r="AE246" s="4"/>
      <c r="AF246" s="4">
        <f>IFERROR(__xludf.DUMMYFUNCTION("""COMPUTED_VALUE"""),181.74902440762543)</f>
        <v>181.7490244</v>
      </c>
      <c r="AG246" s="4"/>
      <c r="AH246" s="4"/>
      <c r="AI246" s="4">
        <f>IFERROR(__xludf.DUMMYFUNCTION("""COMPUTED_VALUE"""),192.36266406667687)</f>
        <v>192.3626641</v>
      </c>
      <c r="AJ246" s="4"/>
      <c r="AK246" s="4"/>
      <c r="AL246" s="4">
        <f>IFERROR(__xludf.DUMMYFUNCTION("""COMPUTED_VALUE"""),196.53529417343566)</f>
        <v>196.5352942</v>
      </c>
      <c r="AM246" s="4"/>
      <c r="AN246" s="4"/>
      <c r="AO246" s="4">
        <f>IFERROR(__xludf.DUMMYFUNCTION("""COMPUTED_VALUE"""),193.2706199908573)</f>
        <v>193.27062</v>
      </c>
      <c r="AP246" s="4"/>
      <c r="AQ246" s="4"/>
      <c r="AR246" s="4">
        <f>IFERROR(__xludf.DUMMYFUNCTION("""COMPUTED_VALUE"""),188.21373408200344)</f>
        <v>188.2137341</v>
      </c>
      <c r="AS246" s="4"/>
      <c r="AT246" s="4"/>
      <c r="AU246" s="4">
        <f>IFERROR(__xludf.DUMMYFUNCTION("""COMPUTED_VALUE"""),183.11024427060073)</f>
        <v>183.1102443</v>
      </c>
      <c r="AV246" s="4"/>
      <c r="AW246" s="4"/>
      <c r="AX246" s="4">
        <f>IFERROR(__xludf.DUMMYFUNCTION("""COMPUTED_VALUE"""),175.06805647046963)</f>
        <v>175.0680565</v>
      </c>
      <c r="AY246" s="4"/>
      <c r="AZ246" s="4"/>
      <c r="BA246" s="4">
        <f>IFERROR(__xludf.DUMMYFUNCTION("""COMPUTED_VALUE"""),164.83414594934868)</f>
        <v>164.8341459</v>
      </c>
      <c r="BB246" s="4"/>
      <c r="BC246" s="4"/>
      <c r="BD246" s="4">
        <f>IFERROR(__xludf.DUMMYFUNCTION("""COMPUTED_VALUE"""),162.2549897183489)</f>
        <v>162.2549897</v>
      </c>
      <c r="BE246" s="4"/>
      <c r="BF246" s="4"/>
      <c r="BG246" s="4">
        <f>IFERROR(__xludf.DUMMYFUNCTION("""COMPUTED_VALUE"""),149.52857887672963)</f>
        <v>149.5285789</v>
      </c>
      <c r="BH246" s="4"/>
      <c r="BI246" s="4"/>
      <c r="BJ246" s="4"/>
      <c r="BK246" s="4"/>
    </row>
    <row r="247">
      <c r="A247" s="4"/>
      <c r="B247" s="4"/>
      <c r="C247" s="4"/>
      <c r="D247" s="4">
        <f>IFERROR(__xludf.DUMMYFUNCTION("""COMPUTED_VALUE"""),-13.77444198112426)</f>
        <v>-13.77444198</v>
      </c>
      <c r="E247" s="23">
        <f>IFERROR(__xludf.DUMMYFUNCTION("""COMPUTED_VALUE"""),31.50817402323031)</f>
        <v>31.50817402</v>
      </c>
      <c r="F247" s="4"/>
      <c r="G247" s="4"/>
      <c r="H247" s="4">
        <f>IFERROR(__xludf.DUMMYFUNCTION("""COMPUTED_VALUE"""),41.364216067276175)</f>
        <v>41.36421607</v>
      </c>
      <c r="I247" s="4"/>
      <c r="J247" s="4"/>
      <c r="K247" s="4">
        <f>IFERROR(__xludf.DUMMYFUNCTION("""COMPUTED_VALUE"""),49.18569398125669)</f>
        <v>49.18569398</v>
      </c>
      <c r="L247" s="4"/>
      <c r="M247" s="4"/>
      <c r="N247" s="4">
        <f>IFERROR(__xludf.DUMMYFUNCTION("""COMPUTED_VALUE"""),90.46209891676511)</f>
        <v>90.46209892</v>
      </c>
      <c r="O247" s="4"/>
      <c r="P247" s="4"/>
      <c r="Q247" s="4">
        <f>IFERROR(__xludf.DUMMYFUNCTION("""COMPUTED_VALUE"""),111.90292055672683)</f>
        <v>111.9029206</v>
      </c>
      <c r="R247" s="4"/>
      <c r="S247" s="4"/>
      <c r="T247" s="4">
        <f>IFERROR(__xludf.DUMMYFUNCTION("""COMPUTED_VALUE"""),126.62705330189988)</f>
        <v>126.6270533</v>
      </c>
      <c r="U247" s="4"/>
      <c r="V247" s="4"/>
      <c r="W247" s="4">
        <f>IFERROR(__xludf.DUMMYFUNCTION("""COMPUTED_VALUE"""),140.08183717850136)</f>
        <v>140.0818372</v>
      </c>
      <c r="X247" s="4"/>
      <c r="Y247" s="4"/>
      <c r="Z247" s="4">
        <f>IFERROR(__xludf.DUMMYFUNCTION("""COMPUTED_VALUE"""),159.75783123667742)</f>
        <v>159.7578312</v>
      </c>
      <c r="AA247" s="4"/>
      <c r="AB247" s="4"/>
      <c r="AC247" s="4">
        <f>IFERROR(__xludf.DUMMYFUNCTION("""COMPUTED_VALUE"""),171.28468154730615)</f>
        <v>171.2846815</v>
      </c>
      <c r="AD247" s="4"/>
      <c r="AE247" s="4"/>
      <c r="AF247" s="4">
        <f>IFERROR(__xludf.DUMMYFUNCTION("""COMPUTED_VALUE"""),188.74322390620927)</f>
        <v>188.7432239</v>
      </c>
      <c r="AG247" s="4"/>
      <c r="AH247" s="4"/>
      <c r="AI247" s="4">
        <f>IFERROR(__xludf.DUMMYFUNCTION("""COMPUTED_VALUE"""),187.00210100874045)</f>
        <v>187.002101</v>
      </c>
      <c r="AJ247" s="4"/>
      <c r="AK247" s="4"/>
      <c r="AL247" s="4">
        <f>IFERROR(__xludf.DUMMYFUNCTION("""COMPUTED_VALUE"""),187.5691307185886)</f>
        <v>187.5691307</v>
      </c>
      <c r="AM247" s="4"/>
      <c r="AN247" s="4"/>
      <c r="AO247" s="4">
        <f>IFERROR(__xludf.DUMMYFUNCTION("""COMPUTED_VALUE"""),186.12848943865305)</f>
        <v>186.1284894</v>
      </c>
      <c r="AP247" s="4"/>
      <c r="AQ247" s="4"/>
      <c r="AR247" s="4">
        <f>IFERROR(__xludf.DUMMYFUNCTION("""COMPUTED_VALUE"""),180.91897782446182)</f>
        <v>180.9189778</v>
      </c>
      <c r="AS247" s="4"/>
      <c r="AT247" s="4"/>
      <c r="AU247" s="4">
        <f>IFERROR(__xludf.DUMMYFUNCTION("""COMPUTED_VALUE"""),180.3847991129619)</f>
        <v>180.3847991</v>
      </c>
      <c r="AV247" s="4"/>
      <c r="AW247" s="4"/>
      <c r="AX247" s="4">
        <f>IFERROR(__xludf.DUMMYFUNCTION("""COMPUTED_VALUE"""),166.52410679052832)</f>
        <v>166.5241068</v>
      </c>
      <c r="AY247" s="4"/>
      <c r="AZ247" s="4"/>
      <c r="BA247" s="4">
        <f>IFERROR(__xludf.DUMMYFUNCTION("""COMPUTED_VALUE"""),155.7692240757438)</f>
        <v>155.7692241</v>
      </c>
      <c r="BB247" s="4"/>
      <c r="BC247" s="4"/>
      <c r="BD247" s="4">
        <f>IFERROR(__xludf.DUMMYFUNCTION("""COMPUTED_VALUE"""),163.921287996028)</f>
        <v>163.921288</v>
      </c>
      <c r="BE247" s="4"/>
      <c r="BF247" s="4"/>
      <c r="BG247" s="4">
        <f>IFERROR(__xludf.DUMMYFUNCTION("""COMPUTED_VALUE"""),147.2549238603645)</f>
        <v>147.2549239</v>
      </c>
      <c r="BH247" s="4"/>
      <c r="BI247" s="4"/>
      <c r="BJ247" s="4"/>
      <c r="BK247" s="4"/>
    </row>
    <row r="248">
      <c r="A248" s="4"/>
      <c r="B248" s="4"/>
      <c r="C248" s="4"/>
      <c r="D248" s="4">
        <f>IFERROR(__xludf.DUMMYFUNCTION("""COMPUTED_VALUE"""),-14.692738113924337)</f>
        <v>-14.69273811</v>
      </c>
      <c r="E248" s="23">
        <f>IFERROR(__xludf.DUMMYFUNCTION("""COMPUTED_VALUE"""),32.310127801827946)</f>
        <v>32.3101278</v>
      </c>
      <c r="F248" s="4"/>
      <c r="G248" s="4"/>
      <c r="H248" s="4">
        <f>IFERROR(__xludf.DUMMYFUNCTION("""COMPUTED_VALUE"""),42.297104211324665)</f>
        <v>42.29710421</v>
      </c>
      <c r="I248" s="4"/>
      <c r="J248" s="4"/>
      <c r="K248" s="4">
        <f>IFERROR(__xludf.DUMMYFUNCTION("""COMPUTED_VALUE"""),50.73969359982647)</f>
        <v>50.7396936</v>
      </c>
      <c r="L248" s="4"/>
      <c r="M248" s="4"/>
      <c r="N248" s="4">
        <f>IFERROR(__xludf.DUMMYFUNCTION("""COMPUTED_VALUE"""),80.37962344849592)</f>
        <v>80.37962345</v>
      </c>
      <c r="O248" s="4"/>
      <c r="P248" s="4"/>
      <c r="Q248" s="4">
        <f>IFERROR(__xludf.DUMMYFUNCTION("""COMPUTED_VALUE"""),111.36819315464436)</f>
        <v>111.3681932</v>
      </c>
      <c r="R248" s="4"/>
      <c r="S248" s="4"/>
      <c r="T248" s="4">
        <f>IFERROR(__xludf.DUMMYFUNCTION("""COMPUTED_VALUE"""),131.63917374742766)</f>
        <v>131.6391737</v>
      </c>
      <c r="U248" s="4"/>
      <c r="V248" s="4"/>
      <c r="W248" s="4">
        <f>IFERROR(__xludf.DUMMYFUNCTION("""COMPUTED_VALUE"""),140.45346019492683)</f>
        <v>140.4534602</v>
      </c>
      <c r="X248" s="4"/>
      <c r="Y248" s="4"/>
      <c r="Z248" s="4">
        <f>IFERROR(__xludf.DUMMYFUNCTION("""COMPUTED_VALUE"""),158.01612071188902)</f>
        <v>158.0161207</v>
      </c>
      <c r="AA248" s="4"/>
      <c r="AB248" s="4"/>
      <c r="AC248" s="4">
        <f>IFERROR(__xludf.DUMMYFUNCTION("""COMPUTED_VALUE"""),179.49274693972376)</f>
        <v>179.4927469</v>
      </c>
      <c r="AD248" s="4"/>
      <c r="AE248" s="4"/>
      <c r="AF248" s="4">
        <f>IFERROR(__xludf.DUMMYFUNCTION("""COMPUTED_VALUE"""),184.44720792937505)</f>
        <v>184.4472079</v>
      </c>
      <c r="AG248" s="4"/>
      <c r="AH248" s="4"/>
      <c r="AI248" s="4">
        <f>IFERROR(__xludf.DUMMYFUNCTION("""COMPUTED_VALUE"""),187.61999502864592)</f>
        <v>187.619995</v>
      </c>
      <c r="AJ248" s="4"/>
      <c r="AK248" s="4"/>
      <c r="AL248" s="4">
        <f>IFERROR(__xludf.DUMMYFUNCTION("""COMPUTED_VALUE"""),186.17196887310234)</f>
        <v>186.1719689</v>
      </c>
      <c r="AM248" s="4"/>
      <c r="AN248" s="4"/>
      <c r="AO248" s="4">
        <f>IFERROR(__xludf.DUMMYFUNCTION("""COMPUTED_VALUE"""),178.02016191996222)</f>
        <v>178.0201619</v>
      </c>
      <c r="AP248" s="4"/>
      <c r="AQ248" s="4"/>
      <c r="AR248" s="4">
        <f>IFERROR(__xludf.DUMMYFUNCTION("""COMPUTED_VALUE"""),183.57159440231055)</f>
        <v>183.5715944</v>
      </c>
      <c r="AS248" s="4"/>
      <c r="AT248" s="4"/>
      <c r="AU248" s="4">
        <f>IFERROR(__xludf.DUMMYFUNCTION("""COMPUTED_VALUE"""),177.26337750001574)</f>
        <v>177.2633775</v>
      </c>
      <c r="AV248" s="4"/>
      <c r="AW248" s="4"/>
      <c r="AX248" s="4">
        <f>IFERROR(__xludf.DUMMYFUNCTION("""COMPUTED_VALUE"""),174.46096797929738)</f>
        <v>174.460968</v>
      </c>
      <c r="AY248" s="4"/>
      <c r="AZ248" s="4"/>
      <c r="BA248" s="4">
        <f>IFERROR(__xludf.DUMMYFUNCTION("""COMPUTED_VALUE"""),168.60866508636542)</f>
        <v>168.6086651</v>
      </c>
      <c r="BB248" s="4"/>
      <c r="BC248" s="4"/>
      <c r="BD248" s="4">
        <f>IFERROR(__xludf.DUMMYFUNCTION("""COMPUTED_VALUE"""),155.19320595458413)</f>
        <v>155.193206</v>
      </c>
      <c r="BE248" s="4"/>
      <c r="BF248" s="4"/>
      <c r="BG248" s="4">
        <f>IFERROR(__xludf.DUMMYFUNCTION("""COMPUTED_VALUE"""),146.51630845200145)</f>
        <v>146.5163085</v>
      </c>
      <c r="BH248" s="4"/>
      <c r="BI248" s="4"/>
      <c r="BJ248" s="4"/>
      <c r="BK248" s="4"/>
    </row>
    <row r="249">
      <c r="A249" s="4"/>
      <c r="B249" s="4"/>
      <c r="C249" s="4"/>
      <c r="D249" s="4">
        <f>IFERROR(__xludf.DUMMYFUNCTION("""COMPUTED_VALUE"""),-15.611034244559107)</f>
        <v>-15.61103424</v>
      </c>
      <c r="E249" s="23">
        <f>IFERROR(__xludf.DUMMYFUNCTION("""COMPUTED_VALUE"""),32.260263272220755)</f>
        <v>32.26026327</v>
      </c>
      <c r="F249" s="4"/>
      <c r="G249" s="4"/>
      <c r="H249" s="4">
        <f>IFERROR(__xludf.DUMMYFUNCTION("""COMPUTED_VALUE"""),40.394637559609066)</f>
        <v>40.39463756</v>
      </c>
      <c r="I249" s="4"/>
      <c r="J249" s="4"/>
      <c r="K249" s="4">
        <f>IFERROR(__xludf.DUMMYFUNCTION("""COMPUTED_VALUE"""),56.710985997867)</f>
        <v>56.710986</v>
      </c>
      <c r="L249" s="4"/>
      <c r="M249" s="4"/>
      <c r="N249" s="4">
        <f>IFERROR(__xludf.DUMMYFUNCTION("""COMPUTED_VALUE"""),89.01630272345142)</f>
        <v>89.01630272</v>
      </c>
      <c r="O249" s="4"/>
      <c r="P249" s="4"/>
      <c r="Q249" s="4">
        <f>IFERROR(__xludf.DUMMYFUNCTION("""COMPUTED_VALUE"""),102.44336609485606)</f>
        <v>102.4433661</v>
      </c>
      <c r="R249" s="4"/>
      <c r="S249" s="4"/>
      <c r="T249" s="4">
        <f>IFERROR(__xludf.DUMMYFUNCTION("""COMPUTED_VALUE"""),135.60571886875204)</f>
        <v>135.6057189</v>
      </c>
      <c r="U249" s="4"/>
      <c r="V249" s="4"/>
      <c r="W249" s="4">
        <f>IFERROR(__xludf.DUMMYFUNCTION("""COMPUTED_VALUE"""),138.7055741996616)</f>
        <v>138.7055742</v>
      </c>
      <c r="X249" s="4"/>
      <c r="Y249" s="4"/>
      <c r="Z249" s="4">
        <f>IFERROR(__xludf.DUMMYFUNCTION("""COMPUTED_VALUE"""),163.14920284990245)</f>
        <v>163.1492028</v>
      </c>
      <c r="AA249" s="4"/>
      <c r="AB249" s="4"/>
      <c r="AC249" s="4">
        <f>IFERROR(__xludf.DUMMYFUNCTION("""COMPUTED_VALUE"""),171.7718311481509)</f>
        <v>171.7718311</v>
      </c>
      <c r="AD249" s="4"/>
      <c r="AE249" s="4"/>
      <c r="AF249" s="4">
        <f>IFERROR(__xludf.DUMMYFUNCTION("""COMPUTED_VALUE"""),183.7448454656236)</f>
        <v>183.7448455</v>
      </c>
      <c r="AG249" s="4"/>
      <c r="AH249" s="4"/>
      <c r="AI249" s="4">
        <f>IFERROR(__xludf.DUMMYFUNCTION("""COMPUTED_VALUE"""),181.05116579982513)</f>
        <v>181.0511658</v>
      </c>
      <c r="AJ249" s="4"/>
      <c r="AK249" s="4"/>
      <c r="AL249" s="4">
        <f>IFERROR(__xludf.DUMMYFUNCTION("""COMPUTED_VALUE"""),193.16957862012174)</f>
        <v>193.1695786</v>
      </c>
      <c r="AM249" s="4"/>
      <c r="AN249" s="4"/>
      <c r="AO249" s="4">
        <f>IFERROR(__xludf.DUMMYFUNCTION("""COMPUTED_VALUE"""),172.59776412700018)</f>
        <v>172.5977641</v>
      </c>
      <c r="AP249" s="4"/>
      <c r="AQ249" s="4"/>
      <c r="AR249" s="4">
        <f>IFERROR(__xludf.DUMMYFUNCTION("""COMPUTED_VALUE"""),179.43287531215617)</f>
        <v>179.4328753</v>
      </c>
      <c r="AS249" s="4"/>
      <c r="AT249" s="4"/>
      <c r="AU249" s="4">
        <f>IFERROR(__xludf.DUMMYFUNCTION("""COMPUTED_VALUE"""),181.4223812875794)</f>
        <v>181.4223813</v>
      </c>
      <c r="AV249" s="4"/>
      <c r="AW249" s="4"/>
      <c r="AX249" s="4">
        <f>IFERROR(__xludf.DUMMYFUNCTION("""COMPUTED_VALUE"""),172.6213761339837)</f>
        <v>172.6213761</v>
      </c>
      <c r="AY249" s="4"/>
      <c r="AZ249" s="4"/>
      <c r="BA249" s="4">
        <f>IFERROR(__xludf.DUMMYFUNCTION("""COMPUTED_VALUE"""),165.0809648410422)</f>
        <v>165.0809648</v>
      </c>
      <c r="BB249" s="4"/>
      <c r="BC249" s="4"/>
      <c r="BD249" s="4">
        <f>IFERROR(__xludf.DUMMYFUNCTION("""COMPUTED_VALUE"""),167.59289216908536)</f>
        <v>167.5928922</v>
      </c>
      <c r="BE249" s="4"/>
      <c r="BF249" s="4"/>
      <c r="BG249" s="4">
        <f>IFERROR(__xludf.DUMMYFUNCTION("""COMPUTED_VALUE"""),152.4209014442643)</f>
        <v>152.4209014</v>
      </c>
      <c r="BH249" s="4"/>
      <c r="BI249" s="4"/>
      <c r="BJ249" s="4"/>
      <c r="BK249" s="4"/>
    </row>
    <row r="250">
      <c r="A250" s="4"/>
      <c r="B250" s="4"/>
      <c r="C250" s="4"/>
      <c r="D250" s="4">
        <f>IFERROR(__xludf.DUMMYFUNCTION("""COMPUTED_VALUE"""),-16.529330377359184)</f>
        <v>-16.52933038</v>
      </c>
      <c r="E250" s="23">
        <f>IFERROR(__xludf.DUMMYFUNCTION("""COMPUTED_VALUE"""),30.99728171978626)</f>
        <v>30.99728172</v>
      </c>
      <c r="F250" s="4"/>
      <c r="G250" s="4"/>
      <c r="H250" s="4">
        <f>IFERROR(__xludf.DUMMYFUNCTION("""COMPUTED_VALUE"""),42.677831739874705)</f>
        <v>42.67783174</v>
      </c>
      <c r="I250" s="4"/>
      <c r="J250" s="4"/>
      <c r="K250" s="4">
        <f>IFERROR(__xludf.DUMMYFUNCTION("""COMPUTED_VALUE"""),65.30125845293401)</f>
        <v>65.30125845</v>
      </c>
      <c r="L250" s="4"/>
      <c r="M250" s="4"/>
      <c r="N250" s="4">
        <f>IFERROR(__xludf.DUMMYFUNCTION("""COMPUTED_VALUE"""),95.77003374673689)</f>
        <v>95.77003375</v>
      </c>
      <c r="O250" s="4"/>
      <c r="P250" s="4"/>
      <c r="Q250" s="4">
        <f>IFERROR(__xludf.DUMMYFUNCTION("""COMPUTED_VALUE"""),117.58067387800907)</f>
        <v>117.5806739</v>
      </c>
      <c r="R250" s="4"/>
      <c r="S250" s="4"/>
      <c r="T250" s="4">
        <f>IFERROR(__xludf.DUMMYFUNCTION("""COMPUTED_VALUE"""),120.27641582833996)</f>
        <v>120.2764158</v>
      </c>
      <c r="U250" s="4"/>
      <c r="V250" s="4"/>
      <c r="W250" s="4">
        <f>IFERROR(__xludf.DUMMYFUNCTION("""COMPUTED_VALUE"""),148.52183678592218)</f>
        <v>148.5218368</v>
      </c>
      <c r="X250" s="4"/>
      <c r="Y250" s="4"/>
      <c r="Z250" s="4">
        <f>IFERROR(__xludf.DUMMYFUNCTION("""COMPUTED_VALUE"""),161.10636237932715)</f>
        <v>161.1063624</v>
      </c>
      <c r="AA250" s="4"/>
      <c r="AB250" s="4"/>
      <c r="AC250" s="4">
        <f>IFERROR(__xludf.DUMMYFUNCTION("""COMPUTED_VALUE"""),174.72962410527032)</f>
        <v>174.7296241</v>
      </c>
      <c r="AD250" s="4"/>
      <c r="AE250" s="4"/>
      <c r="AF250" s="4">
        <f>IFERROR(__xludf.DUMMYFUNCTION("""COMPUTED_VALUE"""),179.14174589629215)</f>
        <v>179.1417459</v>
      </c>
      <c r="AG250" s="4"/>
      <c r="AH250" s="4"/>
      <c r="AI250" s="4">
        <f>IFERROR(__xludf.DUMMYFUNCTION("""COMPUTED_VALUE"""),178.44489922164928)</f>
        <v>178.4448992</v>
      </c>
      <c r="AJ250" s="4"/>
      <c r="AK250" s="4"/>
      <c r="AL250" s="4">
        <f>IFERROR(__xludf.DUMMYFUNCTION("""COMPUTED_VALUE"""),191.80538751440207)</f>
        <v>191.8053875</v>
      </c>
      <c r="AM250" s="4"/>
      <c r="AN250" s="4"/>
      <c r="AO250" s="4">
        <f>IFERROR(__xludf.DUMMYFUNCTION("""COMPUTED_VALUE"""),172.71773838387418)</f>
        <v>172.7177384</v>
      </c>
      <c r="AP250" s="4"/>
      <c r="AQ250" s="4"/>
      <c r="AR250" s="4">
        <f>IFERROR(__xludf.DUMMYFUNCTION("""COMPUTED_VALUE"""),173.05058793859246)</f>
        <v>173.0505879</v>
      </c>
      <c r="AS250" s="4"/>
      <c r="AT250" s="4"/>
      <c r="AU250" s="4">
        <f>IFERROR(__xludf.DUMMYFUNCTION("""COMPUTED_VALUE"""),172.41400723132682)</f>
        <v>172.4140072</v>
      </c>
      <c r="AV250" s="4"/>
      <c r="AW250" s="4"/>
      <c r="AX250" s="4">
        <f>IFERROR(__xludf.DUMMYFUNCTION("""COMPUTED_VALUE"""),162.7150595150983)</f>
        <v>162.7150595</v>
      </c>
      <c r="AY250" s="4"/>
      <c r="AZ250" s="4"/>
      <c r="BA250" s="4">
        <f>IFERROR(__xludf.DUMMYFUNCTION("""COMPUTED_VALUE"""),166.87034017809685)</f>
        <v>166.8703402</v>
      </c>
      <c r="BB250" s="4"/>
      <c r="BC250" s="4"/>
      <c r="BD250" s="4">
        <f>IFERROR(__xludf.DUMMYFUNCTION("""COMPUTED_VALUE"""),151.44088305687268)</f>
        <v>151.4408831</v>
      </c>
      <c r="BE250" s="4"/>
      <c r="BF250" s="4"/>
      <c r="BG250" s="4">
        <f>IFERROR(__xludf.DUMMYFUNCTION("""COMPUTED_VALUE"""),150.4231434615516)</f>
        <v>150.4231435</v>
      </c>
      <c r="BH250" s="4"/>
      <c r="BI250" s="4"/>
      <c r="BJ250" s="4"/>
      <c r="BK250" s="4"/>
    </row>
    <row r="251">
      <c r="A251" s="4"/>
      <c r="B251" s="4"/>
      <c r="C251" s="4"/>
      <c r="D251" s="4">
        <f>IFERROR(__xludf.DUMMYFUNCTION("""COMPUTED_VALUE"""),-17.44762651015926)</f>
        <v>-17.44762651</v>
      </c>
      <c r="E251" s="23">
        <f>IFERROR(__xludf.DUMMYFUNCTION("""COMPUTED_VALUE"""),39.68138630943713)</f>
        <v>39.68138631</v>
      </c>
      <c r="F251" s="4"/>
      <c r="G251" s="4"/>
      <c r="H251" s="4">
        <f>IFERROR(__xludf.DUMMYFUNCTION("""COMPUTED_VALUE"""),45.831246287767215)</f>
        <v>45.83124629</v>
      </c>
      <c r="I251" s="4"/>
      <c r="J251" s="4"/>
      <c r="K251" s="4">
        <f>IFERROR(__xludf.DUMMYFUNCTION("""COMPUTED_VALUE"""),67.48700678105706)</f>
        <v>67.48700678</v>
      </c>
      <c r="L251" s="4"/>
      <c r="M251" s="4"/>
      <c r="N251" s="4">
        <f>IFERROR(__xludf.DUMMYFUNCTION("""COMPUTED_VALUE"""),84.54497583887735)</f>
        <v>84.54497584</v>
      </c>
      <c r="O251" s="4"/>
      <c r="P251" s="4"/>
      <c r="Q251" s="4">
        <f>IFERROR(__xludf.DUMMYFUNCTION("""COMPUTED_VALUE"""),106.18014016572272)</f>
        <v>106.1801402</v>
      </c>
      <c r="R251" s="4"/>
      <c r="S251" s="4"/>
      <c r="T251" s="4">
        <f>IFERROR(__xludf.DUMMYFUNCTION("""COMPUTED_VALUE"""),135.5288678955231)</f>
        <v>135.5288679</v>
      </c>
      <c r="U251" s="4"/>
      <c r="V251" s="4"/>
      <c r="W251" s="4">
        <f>IFERROR(__xludf.DUMMYFUNCTION("""COMPUTED_VALUE"""),146.33551622950046)</f>
        <v>146.3355162</v>
      </c>
      <c r="X251" s="4"/>
      <c r="Y251" s="4"/>
      <c r="Z251" s="4">
        <f>IFERROR(__xludf.DUMMYFUNCTION("""COMPUTED_VALUE"""),167.63772443525744)</f>
        <v>167.6377244</v>
      </c>
      <c r="AA251" s="4"/>
      <c r="AB251" s="4"/>
      <c r="AC251" s="4">
        <f>IFERROR(__xludf.DUMMYFUNCTION("""COMPUTED_VALUE"""),185.33862256802786)</f>
        <v>185.3386226</v>
      </c>
      <c r="AD251" s="4"/>
      <c r="AE251" s="4"/>
      <c r="AF251" s="4">
        <f>IFERROR(__xludf.DUMMYFUNCTION("""COMPUTED_VALUE"""),181.20051911503583)</f>
        <v>181.2005191</v>
      </c>
      <c r="AG251" s="4"/>
      <c r="AH251" s="4"/>
      <c r="AI251" s="4">
        <f>IFERROR(__xludf.DUMMYFUNCTION("""COMPUTED_VALUE"""),187.62531873430004)</f>
        <v>187.6253187</v>
      </c>
      <c r="AJ251" s="4"/>
      <c r="AK251" s="4"/>
      <c r="AL251" s="4">
        <f>IFERROR(__xludf.DUMMYFUNCTION("""COMPUTED_VALUE"""),181.36841652840008)</f>
        <v>181.3684165</v>
      </c>
      <c r="AM251" s="4"/>
      <c r="AN251" s="4"/>
      <c r="AO251" s="4">
        <f>IFERROR(__xludf.DUMMYFUNCTION("""COMPUTED_VALUE"""),177.30815706580591)</f>
        <v>177.3081571</v>
      </c>
      <c r="AP251" s="4"/>
      <c r="AQ251" s="4"/>
      <c r="AR251" s="4">
        <f>IFERROR(__xludf.DUMMYFUNCTION("""COMPUTED_VALUE"""),168.06362337409877)</f>
        <v>168.0636234</v>
      </c>
      <c r="AS251" s="4"/>
      <c r="AT251" s="4"/>
      <c r="AU251" s="4">
        <f>IFERROR(__xludf.DUMMYFUNCTION("""COMPUTED_VALUE"""),157.09996300331437)</f>
        <v>157.099963</v>
      </c>
      <c r="AV251" s="4"/>
      <c r="AW251" s="4"/>
      <c r="AX251" s="4">
        <f>IFERROR(__xludf.DUMMYFUNCTION("""COMPUTED_VALUE"""),165.49074287058858)</f>
        <v>165.4907429</v>
      </c>
      <c r="AY251" s="4"/>
      <c r="AZ251" s="4"/>
      <c r="BA251" s="4">
        <f>IFERROR(__xludf.DUMMYFUNCTION("""COMPUTED_VALUE"""),161.26282412036608)</f>
        <v>161.2628241</v>
      </c>
      <c r="BB251" s="4"/>
      <c r="BC251" s="4"/>
      <c r="BD251" s="4">
        <f>IFERROR(__xludf.DUMMYFUNCTION("""COMPUTED_VALUE"""),160.69868697528392)</f>
        <v>160.698687</v>
      </c>
      <c r="BE251" s="4"/>
      <c r="BF251" s="4"/>
      <c r="BG251" s="4">
        <f>IFERROR(__xludf.DUMMYFUNCTION("""COMPUTED_VALUE"""),148.83945461670618)</f>
        <v>148.8394546</v>
      </c>
      <c r="BH251" s="4"/>
      <c r="BI251" s="4"/>
      <c r="BJ251" s="4"/>
      <c r="BK251" s="4"/>
    </row>
    <row r="252">
      <c r="A252" s="4"/>
      <c r="B252" s="4"/>
      <c r="C252" s="4"/>
      <c r="D252" s="4">
        <f>IFERROR(__xludf.DUMMYFUNCTION("""COMPUTED_VALUE"""),-18.36592264079403)</f>
        <v>-18.36592264</v>
      </c>
      <c r="E252" s="23">
        <f>IFERROR(__xludf.DUMMYFUNCTION("""COMPUTED_VALUE"""),41.24531125245869)</f>
        <v>41.24531125</v>
      </c>
      <c r="F252" s="4"/>
      <c r="G252" s="4"/>
      <c r="H252" s="4">
        <f>IFERROR(__xludf.DUMMYFUNCTION("""COMPUTED_VALUE"""),58.272539248879184)</f>
        <v>58.27253925</v>
      </c>
      <c r="I252" s="4"/>
      <c r="J252" s="4"/>
      <c r="K252" s="4">
        <f>IFERROR(__xludf.DUMMYFUNCTION("""COMPUTED_VALUE"""),56.665981030695264)</f>
        <v>56.66598103</v>
      </c>
      <c r="L252" s="4"/>
      <c r="M252" s="4"/>
      <c r="N252" s="4">
        <f>IFERROR(__xludf.DUMMYFUNCTION("""COMPUTED_VALUE"""),90.9967179395407)</f>
        <v>90.99671794</v>
      </c>
      <c r="O252" s="4"/>
      <c r="P252" s="4"/>
      <c r="Q252" s="4">
        <f>IFERROR(__xludf.DUMMYFUNCTION("""COMPUTED_VALUE"""),112.28555291716071)</f>
        <v>112.2855529</v>
      </c>
      <c r="R252" s="4"/>
      <c r="S252" s="4"/>
      <c r="T252" s="4">
        <f>IFERROR(__xludf.DUMMYFUNCTION("""COMPUTED_VALUE"""),133.5925637965163)</f>
        <v>133.5925638</v>
      </c>
      <c r="U252" s="4"/>
      <c r="V252" s="4"/>
      <c r="W252" s="4">
        <f>IFERROR(__xludf.DUMMYFUNCTION("""COMPUTED_VALUE"""),143.2353078672583)</f>
        <v>143.2353079</v>
      </c>
      <c r="X252" s="4"/>
      <c r="Y252" s="4"/>
      <c r="Z252" s="4">
        <f>IFERROR(__xludf.DUMMYFUNCTION("""COMPUTED_VALUE"""),156.31100122007592)</f>
        <v>156.3110012</v>
      </c>
      <c r="AA252" s="4"/>
      <c r="AB252" s="4"/>
      <c r="AC252" s="4">
        <f>IFERROR(__xludf.DUMMYFUNCTION("""COMPUTED_VALUE"""),184.1295391075426)</f>
        <v>184.1295391</v>
      </c>
      <c r="AD252" s="4"/>
      <c r="AE252" s="4"/>
      <c r="AF252" s="4">
        <f>IFERROR(__xludf.DUMMYFUNCTION("""COMPUTED_VALUE"""),179.1488289384672)</f>
        <v>179.1488289</v>
      </c>
      <c r="AG252" s="4"/>
      <c r="AH252" s="4"/>
      <c r="AI252" s="4">
        <f>IFERROR(__xludf.DUMMYFUNCTION("""COMPUTED_VALUE"""),187.66635852290256)</f>
        <v>187.6663585</v>
      </c>
      <c r="AJ252" s="4"/>
      <c r="AK252" s="4"/>
      <c r="AL252" s="4">
        <f>IFERROR(__xludf.DUMMYFUNCTION("""COMPUTED_VALUE"""),183.19927851130296)</f>
        <v>183.1992785</v>
      </c>
      <c r="AM252" s="4"/>
      <c r="AN252" s="4"/>
      <c r="AO252" s="4">
        <f>IFERROR(__xludf.DUMMYFUNCTION("""COMPUTED_VALUE"""),173.03896151058842)</f>
        <v>173.0389615</v>
      </c>
      <c r="AP252" s="4"/>
      <c r="AQ252" s="4"/>
      <c r="AR252" s="4">
        <f>IFERROR(__xludf.DUMMYFUNCTION("""COMPUTED_VALUE"""),163.7505614882025)</f>
        <v>163.7505615</v>
      </c>
      <c r="AS252" s="4"/>
      <c r="AT252" s="4"/>
      <c r="AU252" s="4">
        <f>IFERROR(__xludf.DUMMYFUNCTION("""COMPUTED_VALUE"""),157.34299788531285)</f>
        <v>157.3429979</v>
      </c>
      <c r="AV252" s="4"/>
      <c r="AW252" s="4"/>
      <c r="AX252" s="4">
        <f>IFERROR(__xludf.DUMMYFUNCTION("""COMPUTED_VALUE"""),161.72458630117706)</f>
        <v>161.7245863</v>
      </c>
      <c r="AY252" s="4"/>
      <c r="AZ252" s="4"/>
      <c r="BA252" s="4">
        <f>IFERROR(__xludf.DUMMYFUNCTION("""COMPUTED_VALUE"""),161.07363696548606)</f>
        <v>161.073637</v>
      </c>
      <c r="BB252" s="4"/>
      <c r="BC252" s="4"/>
      <c r="BD252" s="4">
        <f>IFERROR(__xludf.DUMMYFUNCTION("""COMPUTED_VALUE"""),155.9248918867416)</f>
        <v>155.9248919</v>
      </c>
      <c r="BE252" s="4"/>
      <c r="BF252" s="4"/>
      <c r="BG252" s="4">
        <f>IFERROR(__xludf.DUMMYFUNCTION("""COMPUTED_VALUE"""),141.63954881484045)</f>
        <v>141.6395488</v>
      </c>
      <c r="BH252" s="4"/>
      <c r="BI252" s="4"/>
      <c r="BJ252" s="4"/>
      <c r="BK252" s="4"/>
    </row>
    <row r="253">
      <c r="A253" s="4"/>
      <c r="B253" s="4"/>
      <c r="C253" s="4"/>
      <c r="D253" s="4">
        <f>IFERROR(__xludf.DUMMYFUNCTION("""COMPUTED_VALUE"""),-19.284218773594105)</f>
        <v>-19.28421877</v>
      </c>
      <c r="E253" s="23">
        <f>IFERROR(__xludf.DUMMYFUNCTION("""COMPUTED_VALUE"""),43.48548448733601)</f>
        <v>43.48548449</v>
      </c>
      <c r="F253" s="4"/>
      <c r="G253" s="4"/>
      <c r="H253" s="4">
        <f>IFERROR(__xludf.DUMMYFUNCTION("""COMPUTED_VALUE"""),55.35204974312251)</f>
        <v>55.35204974</v>
      </c>
      <c r="I253" s="4"/>
      <c r="J253" s="4"/>
      <c r="K253" s="4">
        <f>IFERROR(__xludf.DUMMYFUNCTION("""COMPUTED_VALUE"""),62.53029884010414)</f>
        <v>62.53029884</v>
      </c>
      <c r="L253" s="4"/>
      <c r="M253" s="4"/>
      <c r="N253" s="4">
        <f>IFERROR(__xludf.DUMMYFUNCTION("""COMPUTED_VALUE"""),106.3460916121474)</f>
        <v>106.3460916</v>
      </c>
      <c r="O253" s="4"/>
      <c r="P253" s="4"/>
      <c r="Q253" s="4">
        <f>IFERROR(__xludf.DUMMYFUNCTION("""COMPUTED_VALUE"""),127.54101702985287)</f>
        <v>127.541017</v>
      </c>
      <c r="R253" s="4"/>
      <c r="S253" s="4"/>
      <c r="T253" s="4">
        <f>IFERROR(__xludf.DUMMYFUNCTION("""COMPUTED_VALUE"""),141.69033713646064)</f>
        <v>141.6903371</v>
      </c>
      <c r="U253" s="4"/>
      <c r="V253" s="4"/>
      <c r="W253" s="4">
        <f>IFERROR(__xludf.DUMMYFUNCTION("""COMPUTED_VALUE"""),140.91618415702948)</f>
        <v>140.9161842</v>
      </c>
      <c r="X253" s="4"/>
      <c r="Y253" s="4"/>
      <c r="Z253" s="4">
        <f>IFERROR(__xludf.DUMMYFUNCTION("""COMPUTED_VALUE"""),160.56349365338173)</f>
        <v>160.5634937</v>
      </c>
      <c r="AA253" s="4"/>
      <c r="AB253" s="4"/>
      <c r="AC253" s="4">
        <f>IFERROR(__xludf.DUMMYFUNCTION("""COMPUTED_VALUE"""),179.5833176682944)</f>
        <v>179.5833177</v>
      </c>
      <c r="AD253" s="4"/>
      <c r="AE253" s="4"/>
      <c r="AF253" s="4">
        <f>IFERROR(__xludf.DUMMYFUNCTION("""COMPUTED_VALUE"""),178.90038272722643)</f>
        <v>178.9003827</v>
      </c>
      <c r="AG253" s="4"/>
      <c r="AH253" s="4"/>
      <c r="AI253" s="4">
        <f>IFERROR(__xludf.DUMMYFUNCTION("""COMPUTED_VALUE"""),177.29231848861798)</f>
        <v>177.2923185</v>
      </c>
      <c r="AJ253" s="4"/>
      <c r="AK253" s="4"/>
      <c r="AL253" s="4">
        <f>IFERROR(__xludf.DUMMYFUNCTION("""COMPUTED_VALUE"""),172.67937781946523)</f>
        <v>172.6793778</v>
      </c>
      <c r="AM253" s="4"/>
      <c r="AN253" s="4"/>
      <c r="AO253" s="4">
        <f>IFERROR(__xludf.DUMMYFUNCTION("""COMPUTED_VALUE"""),170.87776603886414)</f>
        <v>170.877766</v>
      </c>
      <c r="AP253" s="4"/>
      <c r="AQ253" s="4"/>
      <c r="AR253" s="4">
        <f>IFERROR(__xludf.DUMMYFUNCTION("""COMPUTED_VALUE"""),164.99549885252952)</f>
        <v>164.9954989</v>
      </c>
      <c r="AS253" s="4"/>
      <c r="AT253" s="4"/>
      <c r="AU253" s="4">
        <f>IFERROR(__xludf.DUMMYFUNCTION("""COMPUTED_VALUE"""),160.40789493926331)</f>
        <v>160.4078949</v>
      </c>
      <c r="AV253" s="4"/>
      <c r="AW253" s="4"/>
      <c r="AX253" s="4">
        <f>IFERROR(__xludf.DUMMYFUNCTION("""COMPUTED_VALUE"""),165.91331296429183)</f>
        <v>165.913313</v>
      </c>
      <c r="AY253" s="4"/>
      <c r="AZ253" s="4"/>
      <c r="BA253" s="4">
        <f>IFERROR(__xludf.DUMMYFUNCTION("""COMPUTED_VALUE"""),156.2212175720781)</f>
        <v>156.2212176</v>
      </c>
      <c r="BB253" s="4"/>
      <c r="BC253" s="4"/>
      <c r="BD253" s="4">
        <f>IFERROR(__xludf.DUMMYFUNCTION("""COMPUTED_VALUE"""),138.22187225753123)</f>
        <v>138.2218723</v>
      </c>
      <c r="BE253" s="4"/>
      <c r="BF253" s="4"/>
      <c r="BG253" s="4">
        <f>IFERROR(__xludf.DUMMYFUNCTION("""COMPUTED_VALUE"""),130.53696868847555)</f>
        <v>130.5369687</v>
      </c>
      <c r="BH253" s="4"/>
      <c r="BI253" s="4"/>
      <c r="BJ253" s="4"/>
      <c r="BK253" s="4"/>
    </row>
    <row r="254">
      <c r="A254" s="4"/>
      <c r="B254" s="4"/>
      <c r="C254" s="4"/>
      <c r="D254" s="4">
        <f>IFERROR(__xludf.DUMMYFUNCTION("""COMPUTED_VALUE"""),-20.20251490634383)</f>
        <v>-20.20251491</v>
      </c>
      <c r="E254" s="23">
        <f>IFERROR(__xludf.DUMMYFUNCTION("""COMPUTED_VALUE"""),50.4784750239661)</f>
        <v>50.47847502</v>
      </c>
      <c r="F254" s="4"/>
      <c r="G254" s="4"/>
      <c r="H254" s="4">
        <f>IFERROR(__xludf.DUMMYFUNCTION("""COMPUTED_VALUE"""),57.79151945695446)</f>
        <v>57.79151946</v>
      </c>
      <c r="I254" s="4"/>
      <c r="J254" s="4"/>
      <c r="K254" s="4">
        <f>IFERROR(__xludf.DUMMYFUNCTION("""COMPUTED_VALUE"""),76.72479949533255)</f>
        <v>76.7247995</v>
      </c>
      <c r="L254" s="4"/>
      <c r="M254" s="4"/>
      <c r="N254" s="4">
        <f>IFERROR(__xludf.DUMMYFUNCTION("""COMPUTED_VALUE"""),101.2717980733546)</f>
        <v>101.2717981</v>
      </c>
      <c r="O254" s="4"/>
      <c r="P254" s="4"/>
      <c r="Q254" s="4">
        <f>IFERROR(__xludf.DUMMYFUNCTION("""COMPUTED_VALUE"""),123.50357903592334)</f>
        <v>123.503579</v>
      </c>
      <c r="R254" s="4"/>
      <c r="S254" s="4"/>
      <c r="T254" s="4">
        <f>IFERROR(__xludf.DUMMYFUNCTION("""COMPUTED_VALUE"""),144.5137455830369)</f>
        <v>144.5137456</v>
      </c>
      <c r="U254" s="4"/>
      <c r="V254" s="4"/>
      <c r="W254" s="4">
        <f>IFERROR(__xludf.DUMMYFUNCTION("""COMPUTED_VALUE"""),148.14010909024535)</f>
        <v>148.1401091</v>
      </c>
      <c r="X254" s="4"/>
      <c r="Y254" s="4"/>
      <c r="Z254" s="4">
        <f>IFERROR(__xludf.DUMMYFUNCTION("""COMPUTED_VALUE"""),177.11897922128384)</f>
        <v>177.1189792</v>
      </c>
      <c r="AA254" s="4"/>
      <c r="AB254" s="4"/>
      <c r="AC254" s="4">
        <f>IFERROR(__xludf.DUMMYFUNCTION("""COMPUTED_VALUE"""),183.40547294288194)</f>
        <v>183.4054729</v>
      </c>
      <c r="AD254" s="4"/>
      <c r="AE254" s="4"/>
      <c r="AF254" s="4">
        <f>IFERROR(__xludf.DUMMYFUNCTION("""COMPUTED_VALUE"""),179.39267316669554)</f>
        <v>179.3926732</v>
      </c>
      <c r="AG254" s="4"/>
      <c r="AH254" s="4"/>
      <c r="AI254" s="4">
        <f>IFERROR(__xludf.DUMMYFUNCTION("""COMPUTED_VALUE"""),181.47228404402568)</f>
        <v>181.472284</v>
      </c>
      <c r="AJ254" s="4"/>
      <c r="AK254" s="4"/>
      <c r="AL254" s="4">
        <f>IFERROR(__xludf.DUMMYFUNCTION("""COMPUTED_VALUE"""),175.91355201192812)</f>
        <v>175.913552</v>
      </c>
      <c r="AM254" s="4"/>
      <c r="AN254" s="4"/>
      <c r="AO254" s="4">
        <f>IFERROR(__xludf.DUMMYFUNCTION("""COMPUTED_VALUE"""),172.45489212494738)</f>
        <v>172.4548921</v>
      </c>
      <c r="AP254" s="4"/>
      <c r="AQ254" s="4"/>
      <c r="AR254" s="4">
        <f>IFERROR(__xludf.DUMMYFUNCTION("""COMPUTED_VALUE"""),170.71399183891242)</f>
        <v>170.7139918</v>
      </c>
      <c r="AS254" s="4"/>
      <c r="AT254" s="4"/>
      <c r="AU254" s="4">
        <f>IFERROR(__xludf.DUMMYFUNCTION("""COMPUTED_VALUE"""),164.44818159528592)</f>
        <v>164.4481816</v>
      </c>
      <c r="AV254" s="4"/>
      <c r="AW254" s="4"/>
      <c r="AX254" s="4">
        <f>IFERROR(__xludf.DUMMYFUNCTION("""COMPUTED_VALUE"""),154.71951784037304)</f>
        <v>154.7195178</v>
      </c>
      <c r="AY254" s="4"/>
      <c r="AZ254" s="4"/>
      <c r="BA254" s="4">
        <f>IFERROR(__xludf.DUMMYFUNCTION("""COMPUTED_VALUE"""),153.69781375160517)</f>
        <v>153.6978138</v>
      </c>
      <c r="BB254" s="4"/>
      <c r="BC254" s="4"/>
      <c r="BD254" s="4">
        <f>IFERROR(__xludf.DUMMYFUNCTION("""COMPUTED_VALUE"""),131.54997874265814)</f>
        <v>131.5499787</v>
      </c>
      <c r="BE254" s="4"/>
      <c r="BF254" s="4"/>
      <c r="BG254" s="4">
        <f>IFERROR(__xludf.DUMMYFUNCTION("""COMPUTED_VALUE"""),117.16166604422125)</f>
        <v>117.161666</v>
      </c>
      <c r="BH254" s="4"/>
      <c r="BI254" s="4"/>
      <c r="BJ254" s="4"/>
      <c r="BK254" s="4"/>
    </row>
    <row r="255">
      <c r="A255" s="4"/>
      <c r="B255" s="4"/>
      <c r="C255" s="4"/>
      <c r="D255" s="4">
        <f>IFERROR(__xludf.DUMMYFUNCTION("""COMPUTED_VALUE"""),-21.120811039143902)</f>
        <v>-21.12081104</v>
      </c>
      <c r="E255" s="23">
        <f>IFERROR(__xludf.DUMMYFUNCTION("""COMPUTED_VALUE"""),48.491566324246264)</f>
        <v>48.49156632</v>
      </c>
      <c r="F255" s="4"/>
      <c r="G255" s="4"/>
      <c r="H255" s="4">
        <f>IFERROR(__xludf.DUMMYFUNCTION("""COMPUTED_VALUE"""),62.31645832130221)</f>
        <v>62.31645832</v>
      </c>
      <c r="I255" s="4"/>
      <c r="J255" s="4"/>
      <c r="K255" s="4">
        <f>IFERROR(__xludf.DUMMYFUNCTION("""COMPUTED_VALUE"""),79.14793992165283)</f>
        <v>79.14793992</v>
      </c>
      <c r="L255" s="4"/>
      <c r="M255" s="4"/>
      <c r="N255" s="4">
        <f>IFERROR(__xludf.DUMMYFUNCTION("""COMPUTED_VALUE"""),113.78058507400647)</f>
        <v>113.7805851</v>
      </c>
      <c r="O255" s="4"/>
      <c r="P255" s="4"/>
      <c r="Q255" s="4">
        <f>IFERROR(__xludf.DUMMYFUNCTION("""COMPUTED_VALUE"""),136.91172216072476)</f>
        <v>136.9117222</v>
      </c>
      <c r="R255" s="4"/>
      <c r="S255" s="4"/>
      <c r="T255" s="4">
        <f>IFERROR(__xludf.DUMMYFUNCTION("""COMPUTED_VALUE"""),153.57087050808246)</f>
        <v>153.5708705</v>
      </c>
      <c r="U255" s="4"/>
      <c r="V255" s="4"/>
      <c r="W255" s="4">
        <f>IFERROR(__xludf.DUMMYFUNCTION("""COMPUTED_VALUE"""),153.5023147386973)</f>
        <v>153.5023147</v>
      </c>
      <c r="X255" s="4"/>
      <c r="Y255" s="4"/>
      <c r="Z255" s="4">
        <f>IFERROR(__xludf.DUMMYFUNCTION("""COMPUTED_VALUE"""),169.2509877509999)</f>
        <v>169.2509878</v>
      </c>
      <c r="AA255" s="4"/>
      <c r="AB255" s="4"/>
      <c r="AC255" s="4">
        <f>IFERROR(__xludf.DUMMYFUNCTION("""COMPUTED_VALUE"""),182.61421885973368)</f>
        <v>182.6142189</v>
      </c>
      <c r="AD255" s="4"/>
      <c r="AE255" s="4"/>
      <c r="AF255" s="4">
        <f>IFERROR(__xludf.DUMMYFUNCTION("""COMPUTED_VALUE"""),181.05334041409844)</f>
        <v>181.0533404</v>
      </c>
      <c r="AG255" s="4"/>
      <c r="AH255" s="4"/>
      <c r="AI255" s="4">
        <f>IFERROR(__xludf.DUMMYFUNCTION("""COMPUTED_VALUE"""),177.23925398498164)</f>
        <v>177.239254</v>
      </c>
      <c r="AJ255" s="4"/>
      <c r="AK255" s="4"/>
      <c r="AL255" s="4">
        <f>IFERROR(__xludf.DUMMYFUNCTION("""COMPUTED_VALUE"""),170.8205352125657)</f>
        <v>170.8205352</v>
      </c>
      <c r="AM255" s="4"/>
      <c r="AN255" s="4"/>
      <c r="AO255" s="4">
        <f>IFERROR(__xludf.DUMMYFUNCTION("""COMPUTED_VALUE"""),166.61474796281573)</f>
        <v>166.614748</v>
      </c>
      <c r="AP255" s="4"/>
      <c r="AQ255" s="4"/>
      <c r="AR255" s="4">
        <f>IFERROR(__xludf.DUMMYFUNCTION("""COMPUTED_VALUE"""),160.80839637724495)</f>
        <v>160.8083964</v>
      </c>
      <c r="AS255" s="4"/>
      <c r="AT255" s="4"/>
      <c r="AU255" s="4">
        <f>IFERROR(__xludf.DUMMYFUNCTION("""COMPUTED_VALUE"""),153.46419629427368)</f>
        <v>153.4641963</v>
      </c>
      <c r="AV255" s="4"/>
      <c r="AW255" s="4"/>
      <c r="AX255" s="4">
        <f>IFERROR(__xludf.DUMMYFUNCTION("""COMPUTED_VALUE"""),140.30356453228376)</f>
        <v>140.3035645</v>
      </c>
      <c r="AY255" s="4"/>
      <c r="AZ255" s="4"/>
      <c r="BA255" s="4">
        <f>IFERROR(__xludf.DUMMYFUNCTION("""COMPUTED_VALUE"""),131.62939574488843)</f>
        <v>131.6293957</v>
      </c>
      <c r="BB255" s="4"/>
      <c r="BC255" s="4"/>
      <c r="BD255" s="4">
        <f>IFERROR(__xludf.DUMMYFUNCTION("""COMPUTED_VALUE"""),124.35446424133977)</f>
        <v>124.3544642</v>
      </c>
      <c r="BE255" s="4"/>
      <c r="BF255" s="4"/>
      <c r="BG255" s="4">
        <f>IFERROR(__xludf.DUMMYFUNCTION("""COMPUTED_VALUE"""),101.3959410638767)</f>
        <v>101.3959411</v>
      </c>
      <c r="BH255" s="4"/>
      <c r="BI255" s="4"/>
      <c r="BJ255" s="4"/>
      <c r="BK255" s="4"/>
    </row>
    <row r="256">
      <c r="A256" s="4"/>
      <c r="B256" s="4"/>
      <c r="C256" s="4"/>
      <c r="D256" s="4">
        <f>IFERROR(__xludf.DUMMYFUNCTION("""COMPUTED_VALUE"""),-22.03910716982903)</f>
        <v>-22.03910717</v>
      </c>
      <c r="E256" s="23">
        <f>IFERROR(__xludf.DUMMYFUNCTION("""COMPUTED_VALUE"""),55.25233382154613)</f>
        <v>55.25233382</v>
      </c>
      <c r="F256" s="4"/>
      <c r="G256" s="4"/>
      <c r="H256" s="4">
        <f>IFERROR(__xludf.DUMMYFUNCTION("""COMPUTED_VALUE"""),71.65529451542642)</f>
        <v>71.65529452</v>
      </c>
      <c r="I256" s="4"/>
      <c r="J256" s="4"/>
      <c r="K256" s="4">
        <f>IFERROR(__xludf.DUMMYFUNCTION("""COMPUTED_VALUE"""),79.86770019710661)</f>
        <v>79.8677002</v>
      </c>
      <c r="L256" s="4"/>
      <c r="M256" s="4"/>
      <c r="N256" s="4">
        <f>IFERROR(__xludf.DUMMYFUNCTION("""COMPUTED_VALUE"""),123.93528577244138)</f>
        <v>123.9352858</v>
      </c>
      <c r="O256" s="4"/>
      <c r="P256" s="4"/>
      <c r="Q256" s="4">
        <f>IFERROR(__xludf.DUMMYFUNCTION("""COMPUTED_VALUE"""),137.27990633040923)</f>
        <v>137.2799063</v>
      </c>
      <c r="R256" s="4"/>
      <c r="S256" s="4"/>
      <c r="T256" s="4">
        <f>IFERROR(__xludf.DUMMYFUNCTION("""COMPUTED_VALUE"""),151.58796157176135)</f>
        <v>151.5879616</v>
      </c>
      <c r="U256" s="4"/>
      <c r="V256" s="4"/>
      <c r="W256" s="4">
        <f>IFERROR(__xludf.DUMMYFUNCTION("""COMPUTED_VALUE"""),172.61882128638587)</f>
        <v>172.6188213</v>
      </c>
      <c r="X256" s="4"/>
      <c r="Y256" s="4"/>
      <c r="Z256" s="4">
        <f>IFERROR(__xludf.DUMMYFUNCTION("""COMPUTED_VALUE"""),172.59716196465774)</f>
        <v>172.597162</v>
      </c>
      <c r="AA256" s="4"/>
      <c r="AB256" s="4"/>
      <c r="AC256" s="4">
        <f>IFERROR(__xludf.DUMMYFUNCTION("""COMPUTED_VALUE"""),184.22152573830743)</f>
        <v>184.2215257</v>
      </c>
      <c r="AD256" s="4"/>
      <c r="AE256" s="4"/>
      <c r="AF256" s="4">
        <f>IFERROR(__xludf.DUMMYFUNCTION("""COMPUTED_VALUE"""),183.2148871417291)</f>
        <v>183.2148871</v>
      </c>
      <c r="AG256" s="4"/>
      <c r="AH256" s="4"/>
      <c r="AI256" s="4">
        <f>IFERROR(__xludf.DUMMYFUNCTION("""COMPUTED_VALUE"""),174.5821361475995)</f>
        <v>174.5821361</v>
      </c>
      <c r="AJ256" s="4"/>
      <c r="AK256" s="4"/>
      <c r="AL256" s="4">
        <f>IFERROR(__xludf.DUMMYFUNCTION("""COMPUTED_VALUE"""),174.8427448808497)</f>
        <v>174.8427449</v>
      </c>
      <c r="AM256" s="4"/>
      <c r="AN256" s="4"/>
      <c r="AO256" s="4">
        <f>IFERROR(__xludf.DUMMYFUNCTION("""COMPUTED_VALUE"""),169.79500976653026)</f>
        <v>169.7950098</v>
      </c>
      <c r="AP256" s="4"/>
      <c r="AQ256" s="4"/>
      <c r="AR256" s="4">
        <f>IFERROR(__xludf.DUMMYFUNCTION("""COMPUTED_VALUE"""),159.91211576496784)</f>
        <v>159.9121158</v>
      </c>
      <c r="AS256" s="4"/>
      <c r="AT256" s="4"/>
      <c r="AU256" s="4">
        <f>IFERROR(__xludf.DUMMYFUNCTION("""COMPUTED_VALUE"""),150.24373602551248)</f>
        <v>150.243736</v>
      </c>
      <c r="AV256" s="4"/>
      <c r="AW256" s="4"/>
      <c r="AX256" s="4">
        <f>IFERROR(__xludf.DUMMYFUNCTION("""COMPUTED_VALUE"""),138.77099718111748)</f>
        <v>138.7709972</v>
      </c>
      <c r="AY256" s="4"/>
      <c r="AZ256" s="4"/>
      <c r="BA256" s="4">
        <f>IFERROR(__xludf.DUMMYFUNCTION("""COMPUTED_VALUE"""),126.11847991659408)</f>
        <v>126.1184799</v>
      </c>
      <c r="BB256" s="4"/>
      <c r="BC256" s="4"/>
      <c r="BD256" s="4">
        <f>IFERROR(__xludf.DUMMYFUNCTION("""COMPUTED_VALUE"""),106.58333627898492)</f>
        <v>106.5833363</v>
      </c>
      <c r="BE256" s="4"/>
      <c r="BF256" s="4"/>
      <c r="BG256" s="4">
        <f>IFERROR(__xludf.DUMMYFUNCTION("""COMPUTED_VALUE"""),92.31097137378111)</f>
        <v>92.31097137</v>
      </c>
      <c r="BH256" s="4"/>
      <c r="BI256" s="4"/>
      <c r="BJ256" s="4"/>
      <c r="BK256" s="4"/>
    </row>
    <row r="257">
      <c r="A257" s="4"/>
      <c r="B257" s="4"/>
      <c r="C257" s="4"/>
      <c r="D257" s="4">
        <f>IFERROR(__xludf.DUMMYFUNCTION("""COMPUTED_VALUE"""),-22.95740330257875)</f>
        <v>-22.9574033</v>
      </c>
      <c r="E257" s="23">
        <f>IFERROR(__xludf.DUMMYFUNCTION("""COMPUTED_VALUE"""),54.665677559102505)</f>
        <v>54.66567756</v>
      </c>
      <c r="F257" s="4"/>
      <c r="G257" s="4"/>
      <c r="H257" s="4">
        <f>IFERROR(__xludf.DUMMYFUNCTION("""COMPUTED_VALUE"""),71.0978705926031)</f>
        <v>71.09787059</v>
      </c>
      <c r="I257" s="4"/>
      <c r="J257" s="4"/>
      <c r="K257" s="4">
        <f>IFERROR(__xludf.DUMMYFUNCTION("""COMPUTED_VALUE"""),95.04522397202044)</f>
        <v>95.04522397</v>
      </c>
      <c r="L257" s="4"/>
      <c r="M257" s="4"/>
      <c r="N257" s="4">
        <f>IFERROR(__xludf.DUMMYFUNCTION("""COMPUTED_VALUE"""),125.31132539066601)</f>
        <v>125.3113254</v>
      </c>
      <c r="O257" s="4"/>
      <c r="P257" s="4"/>
      <c r="Q257" s="4">
        <f>IFERROR(__xludf.DUMMYFUNCTION("""COMPUTED_VALUE"""),147.90728573564792)</f>
        <v>147.9072857</v>
      </c>
      <c r="R257" s="4"/>
      <c r="S257" s="4"/>
      <c r="T257" s="4">
        <f>IFERROR(__xludf.DUMMYFUNCTION("""COMPUTED_VALUE"""),155.53498156457175)</f>
        <v>155.5349816</v>
      </c>
      <c r="U257" s="4"/>
      <c r="V257" s="4"/>
      <c r="W257" s="4">
        <f>IFERROR(__xludf.DUMMYFUNCTION("""COMPUTED_VALUE"""),164.3240252228697)</f>
        <v>164.3240252</v>
      </c>
      <c r="X257" s="4"/>
      <c r="Y257" s="4"/>
      <c r="Z257" s="4">
        <f>IFERROR(__xludf.DUMMYFUNCTION("""COMPUTED_VALUE"""),187.0969262989326)</f>
        <v>187.0969263</v>
      </c>
      <c r="AA257" s="4"/>
      <c r="AB257" s="4"/>
      <c r="AC257" s="4">
        <f>IFERROR(__xludf.DUMMYFUNCTION("""COMPUTED_VALUE"""),185.3269655665374)</f>
        <v>185.3269656</v>
      </c>
      <c r="AD257" s="4"/>
      <c r="AE257" s="4"/>
      <c r="AF257" s="4">
        <f>IFERROR(__xludf.DUMMYFUNCTION("""COMPUTED_VALUE"""),179.70587194787385)</f>
        <v>179.7058719</v>
      </c>
      <c r="AG257" s="4"/>
      <c r="AH257" s="4"/>
      <c r="AI257" s="4">
        <f>IFERROR(__xludf.DUMMYFUNCTION("""COMPUTED_VALUE"""),177.41462152814717)</f>
        <v>177.4146215</v>
      </c>
      <c r="AJ257" s="4"/>
      <c r="AK257" s="4"/>
      <c r="AL257" s="4">
        <f>IFERROR(__xludf.DUMMYFUNCTION("""COMPUTED_VALUE"""),170.91588484756005)</f>
        <v>170.9158848</v>
      </c>
      <c r="AM257" s="4"/>
      <c r="AN257" s="4"/>
      <c r="AO257" s="4">
        <f>IFERROR(__xludf.DUMMYFUNCTION("""COMPUTED_VALUE"""),162.07991989060855)</f>
        <v>162.0799199</v>
      </c>
      <c r="AP257" s="4"/>
      <c r="AQ257" s="4"/>
      <c r="AR257" s="4">
        <f>IFERROR(__xludf.DUMMYFUNCTION("""COMPUTED_VALUE"""),155.50224111693035)</f>
        <v>155.5022411</v>
      </c>
      <c r="AS257" s="4"/>
      <c r="AT257" s="4"/>
      <c r="AU257" s="4">
        <f>IFERROR(__xludf.DUMMYFUNCTION("""COMPUTED_VALUE"""),139.68395382905663)</f>
        <v>139.6839538</v>
      </c>
      <c r="AV257" s="4"/>
      <c r="AW257" s="4"/>
      <c r="AX257" s="4">
        <f>IFERROR(__xludf.DUMMYFUNCTION("""COMPUTED_VALUE"""),128.85782034957293)</f>
        <v>128.8578203</v>
      </c>
      <c r="AY257" s="4"/>
      <c r="AZ257" s="4"/>
      <c r="BA257" s="4">
        <f>IFERROR(__xludf.DUMMYFUNCTION("""COMPUTED_VALUE"""),109.17626299854533)</f>
        <v>109.176263</v>
      </c>
      <c r="BB257" s="4"/>
      <c r="BC257" s="4"/>
      <c r="BD257" s="4">
        <f>IFERROR(__xludf.DUMMYFUNCTION("""COMPUTED_VALUE"""),104.16564328524845)</f>
        <v>104.1656433</v>
      </c>
      <c r="BE257" s="4"/>
      <c r="BF257" s="4"/>
      <c r="BG257" s="4">
        <f>IFERROR(__xludf.DUMMYFUNCTION("""COMPUTED_VALUE"""),84.6998214662596)</f>
        <v>84.69982147</v>
      </c>
      <c r="BH257" s="4"/>
      <c r="BI257" s="4"/>
      <c r="BJ257" s="4"/>
      <c r="BK257" s="4"/>
    </row>
    <row r="258">
      <c r="A258" s="4"/>
      <c r="B258" s="4"/>
      <c r="C258" s="4"/>
      <c r="D258" s="4">
        <f>IFERROR(__xludf.DUMMYFUNCTION("""COMPUTED_VALUE"""),-23.875699435378824)</f>
        <v>-23.87569944</v>
      </c>
      <c r="E258" s="23">
        <f>IFERROR(__xludf.DUMMYFUNCTION("""COMPUTED_VALUE"""),64.85501299645608)</f>
        <v>64.855013</v>
      </c>
      <c r="F258" s="4"/>
      <c r="G258" s="4"/>
      <c r="H258" s="4">
        <f>IFERROR(__xludf.DUMMYFUNCTION("""COMPUTED_VALUE"""),82.10360083535011)</f>
        <v>82.10360084</v>
      </c>
      <c r="I258" s="4"/>
      <c r="J258" s="4"/>
      <c r="K258" s="4">
        <f>IFERROR(__xludf.DUMMYFUNCTION("""COMPUTED_VALUE"""),107.8159311338112)</f>
        <v>107.8159311</v>
      </c>
      <c r="L258" s="4"/>
      <c r="M258" s="4"/>
      <c r="N258" s="4">
        <f>IFERROR(__xludf.DUMMYFUNCTION("""COMPUTED_VALUE"""),140.87883529876177)</f>
        <v>140.8788353</v>
      </c>
      <c r="O258" s="4"/>
      <c r="P258" s="4"/>
      <c r="Q258" s="4">
        <f>IFERROR(__xludf.DUMMYFUNCTION("""COMPUTED_VALUE"""),156.79383514256676)</f>
        <v>156.7938351</v>
      </c>
      <c r="R258" s="4"/>
      <c r="S258" s="4"/>
      <c r="T258" s="4">
        <f>IFERROR(__xludf.DUMMYFUNCTION("""COMPUTED_VALUE"""),163.49017167452507)</f>
        <v>163.4901717</v>
      </c>
      <c r="U258" s="4"/>
      <c r="V258" s="4"/>
      <c r="W258" s="4">
        <f>IFERROR(__xludf.DUMMYFUNCTION("""COMPUTED_VALUE"""),175.99980023865822)</f>
        <v>175.9998002</v>
      </c>
      <c r="X258" s="4"/>
      <c r="Y258" s="4"/>
      <c r="Z258" s="4">
        <f>IFERROR(__xludf.DUMMYFUNCTION("""COMPUTED_VALUE"""),178.2774379252142)</f>
        <v>178.2774379</v>
      </c>
      <c r="AA258" s="4"/>
      <c r="AB258" s="4"/>
      <c r="AC258" s="4">
        <f>IFERROR(__xludf.DUMMYFUNCTION("""COMPUTED_VALUE"""),192.68004770498345)</f>
        <v>192.6800477</v>
      </c>
      <c r="AD258" s="4"/>
      <c r="AE258" s="4"/>
      <c r="AF258" s="4">
        <f>IFERROR(__xludf.DUMMYFUNCTION("""COMPUTED_VALUE"""),190.2318380702602)</f>
        <v>190.2318381</v>
      </c>
      <c r="AG258" s="4"/>
      <c r="AH258" s="4"/>
      <c r="AI258" s="4">
        <f>IFERROR(__xludf.DUMMYFUNCTION("""COMPUTED_VALUE"""),175.16297413362764)</f>
        <v>175.1629741</v>
      </c>
      <c r="AJ258" s="4"/>
      <c r="AK258" s="4"/>
      <c r="AL258" s="4">
        <f>IFERROR(__xludf.DUMMYFUNCTION("""COMPUTED_VALUE"""),169.58383389401513)</f>
        <v>169.5838339</v>
      </c>
      <c r="AM258" s="4"/>
      <c r="AN258" s="4"/>
      <c r="AO258" s="4">
        <f>IFERROR(__xludf.DUMMYFUNCTION("""COMPUTED_VALUE"""),157.99529825333053)</f>
        <v>157.9952983</v>
      </c>
      <c r="AP258" s="4"/>
      <c r="AQ258" s="4"/>
      <c r="AR258" s="4">
        <f>IFERROR(__xludf.DUMMYFUNCTION("""COMPUTED_VALUE"""),140.2106398678887)</f>
        <v>140.2106399</v>
      </c>
      <c r="AS258" s="4"/>
      <c r="AT258" s="4"/>
      <c r="AU258" s="4">
        <f>IFERROR(__xludf.DUMMYFUNCTION("""COMPUTED_VALUE"""),128.38123642921903)</f>
        <v>128.3812364</v>
      </c>
      <c r="AV258" s="4"/>
      <c r="AW258" s="4"/>
      <c r="AX258" s="4">
        <f>IFERROR(__xludf.DUMMYFUNCTION("""COMPUTED_VALUE"""),116.81055565546495)</f>
        <v>116.8105557</v>
      </c>
      <c r="AY258" s="4"/>
      <c r="AZ258" s="4"/>
      <c r="BA258" s="4">
        <f>IFERROR(__xludf.DUMMYFUNCTION("""COMPUTED_VALUE"""),103.4574039652802)</f>
        <v>103.457404</v>
      </c>
      <c r="BB258" s="4"/>
      <c r="BC258" s="4"/>
      <c r="BD258" s="4">
        <f>IFERROR(__xludf.DUMMYFUNCTION("""COMPUTED_VALUE"""),75.51568025676073)</f>
        <v>75.51568026</v>
      </c>
      <c r="BE258" s="4"/>
      <c r="BF258" s="4"/>
      <c r="BG258" s="4">
        <f>IFERROR(__xludf.DUMMYFUNCTION("""COMPUTED_VALUE"""),62.47384745079745)</f>
        <v>62.47384745</v>
      </c>
      <c r="BH258" s="4"/>
      <c r="BI258" s="4"/>
      <c r="BJ258" s="4"/>
      <c r="BK258" s="4"/>
    </row>
    <row r="259">
      <c r="A259" s="4"/>
      <c r="B259" s="4"/>
      <c r="C259" s="4"/>
      <c r="D259" s="4">
        <f>IFERROR(__xludf.DUMMYFUNCTION("""COMPUTED_VALUE"""),-24.793995566013596)</f>
        <v>-24.79399557</v>
      </c>
      <c r="E259" s="23">
        <f>IFERROR(__xludf.DUMMYFUNCTION("""COMPUTED_VALUE"""),73.58180206985622)</f>
        <v>73.58180207</v>
      </c>
      <c r="F259" s="4"/>
      <c r="G259" s="4"/>
      <c r="H259" s="4">
        <f>IFERROR(__xludf.DUMMYFUNCTION("""COMPUTED_VALUE"""),95.89732413504987)</f>
        <v>95.89732414</v>
      </c>
      <c r="I259" s="4"/>
      <c r="J259" s="4"/>
      <c r="K259" s="4">
        <f>IFERROR(__xludf.DUMMYFUNCTION("""COMPUTED_VALUE"""),112.69317920424885)</f>
        <v>112.6931792</v>
      </c>
      <c r="L259" s="4"/>
      <c r="M259" s="4"/>
      <c r="N259" s="4">
        <f>IFERROR(__xludf.DUMMYFUNCTION("""COMPUTED_VALUE"""),146.9775210874816)</f>
        <v>146.9775211</v>
      </c>
      <c r="O259" s="4"/>
      <c r="P259" s="4"/>
      <c r="Q259" s="4">
        <f>IFERROR(__xludf.DUMMYFUNCTION("""COMPUTED_VALUE"""),169.03858102008934)</f>
        <v>169.038581</v>
      </c>
      <c r="R259" s="4"/>
      <c r="S259" s="4"/>
      <c r="T259" s="4">
        <f>IFERROR(__xludf.DUMMYFUNCTION("""COMPUTED_VALUE"""),174.71160518939342)</f>
        <v>174.7116052</v>
      </c>
      <c r="U259" s="4"/>
      <c r="V259" s="4"/>
      <c r="W259" s="4">
        <f>IFERROR(__xludf.DUMMYFUNCTION("""COMPUTED_VALUE"""),176.84934349566436)</f>
        <v>176.8493435</v>
      </c>
      <c r="X259" s="4"/>
      <c r="Y259" s="4"/>
      <c r="Z259" s="4">
        <f>IFERROR(__xludf.DUMMYFUNCTION("""COMPUTED_VALUE"""),181.85437859295132)</f>
        <v>181.8543786</v>
      </c>
      <c r="AA259" s="4"/>
      <c r="AB259" s="4"/>
      <c r="AC259" s="4">
        <f>IFERROR(__xludf.DUMMYFUNCTION("""COMPUTED_VALUE"""),178.82873742056978)</f>
        <v>178.8287374</v>
      </c>
      <c r="AD259" s="4"/>
      <c r="AE259" s="4"/>
      <c r="AF259" s="4">
        <f>IFERROR(__xludf.DUMMYFUNCTION("""COMPUTED_VALUE"""),183.6449512356789)</f>
        <v>183.6449512</v>
      </c>
      <c r="AG259" s="4"/>
      <c r="AH259" s="4"/>
      <c r="AI259" s="4">
        <f>IFERROR(__xludf.DUMMYFUNCTION("""COMPUTED_VALUE"""),176.78876753629572)</f>
        <v>176.7887675</v>
      </c>
      <c r="AJ259" s="4"/>
      <c r="AK259" s="4"/>
      <c r="AL259" s="4">
        <f>IFERROR(__xludf.DUMMYFUNCTION("""COMPUTED_VALUE"""),162.57397734502496)</f>
        <v>162.5739773</v>
      </c>
      <c r="AM259" s="4"/>
      <c r="AN259" s="4"/>
      <c r="AO259" s="4">
        <f>IFERROR(__xludf.DUMMYFUNCTION("""COMPUTED_VALUE"""),143.1457163982202)</f>
        <v>143.1457164</v>
      </c>
      <c r="AP259" s="4"/>
      <c r="AQ259" s="4"/>
      <c r="AR259" s="4">
        <f>IFERROR(__xludf.DUMMYFUNCTION("""COMPUTED_VALUE"""),132.07874037782938)</f>
        <v>132.0787404</v>
      </c>
      <c r="AS259" s="4"/>
      <c r="AT259" s="4"/>
      <c r="AU259" s="4">
        <f>IFERROR(__xludf.DUMMYFUNCTION("""COMPUTED_VALUE"""),113.95532905511135)</f>
        <v>113.9553291</v>
      </c>
      <c r="AV259" s="4"/>
      <c r="AW259" s="4"/>
      <c r="AX259" s="4">
        <f>IFERROR(__xludf.DUMMYFUNCTION("""COMPUTED_VALUE"""),102.06957767761816)</f>
        <v>102.0695777</v>
      </c>
      <c r="AY259" s="4"/>
      <c r="AZ259" s="4"/>
      <c r="BA259" s="4">
        <f>IFERROR(__xludf.DUMMYFUNCTION("""COMPUTED_VALUE"""),86.87735616910913)</f>
        <v>86.87735617</v>
      </c>
      <c r="BB259" s="4"/>
      <c r="BC259" s="4"/>
      <c r="BD259" s="4">
        <f>IFERROR(__xludf.DUMMYFUNCTION("""COMPUTED_VALUE"""),69.10296782344005)</f>
        <v>69.10296782</v>
      </c>
      <c r="BE259" s="4"/>
      <c r="BF259" s="4"/>
      <c r="BG259" s="4">
        <f>IFERROR(__xludf.DUMMYFUNCTION("""COMPUTED_VALUE"""),49.048425335357706)</f>
        <v>49.04842534</v>
      </c>
      <c r="BH259" s="4"/>
      <c r="BI259" s="4"/>
      <c r="BJ259" s="4"/>
      <c r="BK259" s="4"/>
    </row>
    <row r="260">
      <c r="A260" s="4"/>
      <c r="B260" s="4"/>
      <c r="C260" s="4"/>
      <c r="D260" s="4">
        <f>IFERROR(__xludf.DUMMYFUNCTION("""COMPUTED_VALUE"""),-25.712291698813676)</f>
        <v>-25.7122917</v>
      </c>
      <c r="E260" s="23">
        <f>IFERROR(__xludf.DUMMYFUNCTION("""COMPUTED_VALUE"""),77.37715787070402)</f>
        <v>77.37715787</v>
      </c>
      <c r="F260" s="4"/>
      <c r="G260" s="4"/>
      <c r="H260" s="4">
        <f>IFERROR(__xludf.DUMMYFUNCTION("""COMPUTED_VALUE"""),108.75001425693847)</f>
        <v>108.7500143</v>
      </c>
      <c r="I260" s="4"/>
      <c r="J260" s="4"/>
      <c r="K260" s="4">
        <f>IFERROR(__xludf.DUMMYFUNCTION("""COMPUTED_VALUE"""),128.57050204269387)</f>
        <v>128.570502</v>
      </c>
      <c r="L260" s="4"/>
      <c r="M260" s="4"/>
      <c r="N260" s="4">
        <f>IFERROR(__xludf.DUMMYFUNCTION("""COMPUTED_VALUE"""),154.38358253953317)</f>
        <v>154.3835825</v>
      </c>
      <c r="O260" s="4"/>
      <c r="P260" s="4"/>
      <c r="Q260" s="4">
        <f>IFERROR(__xludf.DUMMYFUNCTION("""COMPUTED_VALUE"""),172.33663096529312)</f>
        <v>172.336631</v>
      </c>
      <c r="R260" s="4"/>
      <c r="S260" s="4"/>
      <c r="T260" s="4">
        <f>IFERROR(__xludf.DUMMYFUNCTION("""COMPUTED_VALUE"""),181.81198847390124)</f>
        <v>181.8119885</v>
      </c>
      <c r="U260" s="4"/>
      <c r="V260" s="4"/>
      <c r="W260" s="4">
        <f>IFERROR(__xludf.DUMMYFUNCTION("""COMPUTED_VALUE"""),184.39669877800537)</f>
        <v>184.3966988</v>
      </c>
      <c r="X260" s="4"/>
      <c r="Y260" s="4"/>
      <c r="Z260" s="4">
        <f>IFERROR(__xludf.DUMMYFUNCTION("""COMPUTED_VALUE"""),188.44063597599938)</f>
        <v>188.440636</v>
      </c>
      <c r="AA260" s="4"/>
      <c r="AB260" s="4"/>
      <c r="AC260" s="4">
        <f>IFERROR(__xludf.DUMMYFUNCTION("""COMPUTED_VALUE"""),184.5360138672399)</f>
        <v>184.5360139</v>
      </c>
      <c r="AD260" s="4"/>
      <c r="AE260" s="4"/>
      <c r="AF260" s="4">
        <f>IFERROR(__xludf.DUMMYFUNCTION("""COMPUTED_VALUE"""),176.14614066160414)</f>
        <v>176.1461407</v>
      </c>
      <c r="AG260" s="4"/>
      <c r="AH260" s="4"/>
      <c r="AI260" s="4">
        <f>IFERROR(__xludf.DUMMYFUNCTION("""COMPUTED_VALUE"""),166.6928564728376)</f>
        <v>166.6928565</v>
      </c>
      <c r="AJ260" s="4"/>
      <c r="AK260" s="4"/>
      <c r="AL260" s="4">
        <f>IFERROR(__xludf.DUMMYFUNCTION("""COMPUTED_VALUE"""),152.50007005533325)</f>
        <v>152.5000701</v>
      </c>
      <c r="AM260" s="4"/>
      <c r="AN260" s="4"/>
      <c r="AO260" s="4">
        <f>IFERROR(__xludf.DUMMYFUNCTION("""COMPUTED_VALUE"""),145.11982766370647)</f>
        <v>145.1198277</v>
      </c>
      <c r="AP260" s="4"/>
      <c r="AQ260" s="4"/>
      <c r="AR260" s="4">
        <f>IFERROR(__xludf.DUMMYFUNCTION("""COMPUTED_VALUE"""),130.84918056389893)</f>
        <v>130.8491806</v>
      </c>
      <c r="AS260" s="4"/>
      <c r="AT260" s="4"/>
      <c r="AU260" s="4">
        <f>IFERROR(__xludf.DUMMYFUNCTION("""COMPUTED_VALUE"""),103.40747223135884)</f>
        <v>103.4074722</v>
      </c>
      <c r="AV260" s="4"/>
      <c r="AW260" s="4"/>
      <c r="AX260" s="4">
        <f>IFERROR(__xludf.DUMMYFUNCTION("""COMPUTED_VALUE"""),88.62392164644461)</f>
        <v>88.62392165</v>
      </c>
      <c r="AY260" s="4"/>
      <c r="AZ260" s="4"/>
      <c r="BA260" s="4">
        <f>IFERROR(__xludf.DUMMYFUNCTION("""COMPUTED_VALUE"""),76.06334225967294)</f>
        <v>76.06334226</v>
      </c>
      <c r="BB260" s="4"/>
      <c r="BC260" s="4"/>
      <c r="BD260" s="4">
        <f>IFERROR(__xludf.DUMMYFUNCTION("""COMPUTED_VALUE"""),53.39042520325063)</f>
        <v>53.3904252</v>
      </c>
      <c r="BE260" s="4"/>
      <c r="BF260" s="4"/>
      <c r="BG260" s="4">
        <f>IFERROR(__xludf.DUMMYFUNCTION("""COMPUTED_VALUE"""),40.260379836705624)</f>
        <v>40.26037984</v>
      </c>
      <c r="BH260" s="4"/>
      <c r="BI260" s="4"/>
      <c r="BJ260" s="4"/>
      <c r="BK260" s="4"/>
    </row>
    <row r="261">
      <c r="A261" s="4"/>
      <c r="B261" s="4"/>
      <c r="C261" s="4"/>
      <c r="D261" s="4">
        <f>IFERROR(__xludf.DUMMYFUNCTION("""COMPUTED_VALUE"""),-26.63058783161375)</f>
        <v>-26.63058783</v>
      </c>
      <c r="E261" s="23">
        <f>IFERROR(__xludf.DUMMYFUNCTION("""COMPUTED_VALUE"""),103.48565382548531)</f>
        <v>103.4856538</v>
      </c>
      <c r="F261" s="4"/>
      <c r="G261" s="4"/>
      <c r="H261" s="4">
        <f>IFERROR(__xludf.DUMMYFUNCTION("""COMPUTED_VALUE"""),119.4327070597684)</f>
        <v>119.4327071</v>
      </c>
      <c r="I261" s="4"/>
      <c r="J261" s="4"/>
      <c r="K261" s="4">
        <f>IFERROR(__xludf.DUMMYFUNCTION("""COMPUTED_VALUE"""),140.1340960612119)</f>
        <v>140.1340961</v>
      </c>
      <c r="L261" s="4"/>
      <c r="M261" s="4"/>
      <c r="N261" s="4">
        <f>IFERROR(__xludf.DUMMYFUNCTION("""COMPUTED_VALUE"""),172.1300098954518)</f>
        <v>172.1300099</v>
      </c>
      <c r="O261" s="4"/>
      <c r="P261" s="4"/>
      <c r="Q261" s="4">
        <f>IFERROR(__xludf.DUMMYFUNCTION("""COMPUTED_VALUE"""),185.51305957799252)</f>
        <v>185.5130596</v>
      </c>
      <c r="R261" s="4"/>
      <c r="S261" s="4"/>
      <c r="T261" s="4">
        <f>IFERROR(__xludf.DUMMYFUNCTION("""COMPUTED_VALUE"""),183.53557174942688)</f>
        <v>183.5355717</v>
      </c>
      <c r="U261" s="4"/>
      <c r="V261" s="4"/>
      <c r="W261" s="4">
        <f>IFERROR(__xludf.DUMMYFUNCTION("""COMPUTED_VALUE"""),173.21016358317883)</f>
        <v>173.2101636</v>
      </c>
      <c r="X261" s="4"/>
      <c r="Y261" s="4"/>
      <c r="Z261" s="4">
        <f>IFERROR(__xludf.DUMMYFUNCTION("""COMPUTED_VALUE"""),179.9316430152329)</f>
        <v>179.931643</v>
      </c>
      <c r="AA261" s="4"/>
      <c r="AB261" s="4"/>
      <c r="AC261" s="4">
        <f>IFERROR(__xludf.DUMMYFUNCTION("""COMPUTED_VALUE"""),174.5258387400603)</f>
        <v>174.5258387</v>
      </c>
      <c r="AD261" s="4"/>
      <c r="AE261" s="4"/>
      <c r="AF261" s="4">
        <f>IFERROR(__xludf.DUMMYFUNCTION("""COMPUTED_VALUE"""),174.72026651009128)</f>
        <v>174.7202665</v>
      </c>
      <c r="AG261" s="4"/>
      <c r="AH261" s="4"/>
      <c r="AI261" s="4">
        <f>IFERROR(__xludf.DUMMYFUNCTION("""COMPUTED_VALUE"""),157.00500907359105)</f>
        <v>157.0050091</v>
      </c>
      <c r="AJ261" s="4"/>
      <c r="AK261" s="4"/>
      <c r="AL261" s="4">
        <f>IFERROR(__xludf.DUMMYFUNCTION("""COMPUTED_VALUE"""),142.6920220938875)</f>
        <v>142.6920221</v>
      </c>
      <c r="AM261" s="4"/>
      <c r="AN261" s="4"/>
      <c r="AO261" s="4">
        <f>IFERROR(__xludf.DUMMYFUNCTION("""COMPUTED_VALUE"""),123.64646834021124)</f>
        <v>123.6464683</v>
      </c>
      <c r="AP261" s="4"/>
      <c r="AQ261" s="4"/>
      <c r="AR261" s="4">
        <f>IFERROR(__xludf.DUMMYFUNCTION("""COMPUTED_VALUE"""),115.47538520207524)</f>
        <v>115.4753852</v>
      </c>
      <c r="AS261" s="4"/>
      <c r="AT261" s="4"/>
      <c r="AU261" s="4">
        <f>IFERROR(__xludf.DUMMYFUNCTION("""COMPUTED_VALUE"""),95.08757693793251)</f>
        <v>95.08757694</v>
      </c>
      <c r="AV261" s="4"/>
      <c r="AW261" s="4"/>
      <c r="AX261" s="4">
        <f>IFERROR(__xludf.DUMMYFUNCTION("""COMPUTED_VALUE"""),66.52554392165172)</f>
        <v>66.52554392</v>
      </c>
      <c r="AY261" s="4"/>
      <c r="AZ261" s="4"/>
      <c r="BA261" s="4">
        <f>IFERROR(__xludf.DUMMYFUNCTION("""COMPUTED_VALUE"""),62.73502732113775)</f>
        <v>62.73502732</v>
      </c>
      <c r="BB261" s="4"/>
      <c r="BC261" s="4"/>
      <c r="BD261" s="4">
        <f>IFERROR(__xludf.DUMMYFUNCTION("""COMPUTED_VALUE"""),42.63425039803889)</f>
        <v>42.6342504</v>
      </c>
      <c r="BE261" s="4"/>
      <c r="BF261" s="4"/>
      <c r="BG261" s="4">
        <f>IFERROR(__xludf.DUMMYFUNCTION("""COMPUTED_VALUE"""),37.211395701372965)</f>
        <v>37.2113957</v>
      </c>
      <c r="BH261" s="4"/>
      <c r="BI261" s="4"/>
      <c r="BJ261" s="4"/>
      <c r="BK261" s="4"/>
    </row>
    <row r="262">
      <c r="A262" s="4"/>
      <c r="B262" s="4"/>
      <c r="C262" s="4"/>
      <c r="D262" s="4">
        <f>IFERROR(__xludf.DUMMYFUNCTION("""COMPUTED_VALUE"""),-27.54888396224852)</f>
        <v>-27.54888396</v>
      </c>
      <c r="E262" s="23">
        <f>IFERROR(__xludf.DUMMYFUNCTION("""COMPUTED_VALUE"""),116.4633675172849)</f>
        <v>116.4633675</v>
      </c>
      <c r="F262" s="4"/>
      <c r="G262" s="4"/>
      <c r="H262" s="4">
        <f>IFERROR(__xludf.DUMMYFUNCTION("""COMPUTED_VALUE"""),133.2854824903859)</f>
        <v>133.2854825</v>
      </c>
      <c r="I262" s="4"/>
      <c r="J262" s="4"/>
      <c r="K262" s="4">
        <f>IFERROR(__xludf.DUMMYFUNCTION("""COMPUTED_VALUE"""),151.43578880457306)</f>
        <v>151.4357888</v>
      </c>
      <c r="L262" s="4"/>
      <c r="M262" s="4"/>
      <c r="N262" s="4">
        <f>IFERROR(__xludf.DUMMYFUNCTION("""COMPUTED_VALUE"""),170.9143254848072)</f>
        <v>170.9143255</v>
      </c>
      <c r="O262" s="4"/>
      <c r="P262" s="4"/>
      <c r="Q262" s="4">
        <f>IFERROR(__xludf.DUMMYFUNCTION("""COMPUTED_VALUE"""),188.72091843384112)</f>
        <v>188.7209184</v>
      </c>
      <c r="R262" s="4"/>
      <c r="S262" s="4"/>
      <c r="T262" s="4">
        <f>IFERROR(__xludf.DUMMYFUNCTION("""COMPUTED_VALUE"""),173.34795473567596)</f>
        <v>173.3479547</v>
      </c>
      <c r="U262" s="4"/>
      <c r="V262" s="4"/>
      <c r="W262" s="4">
        <f>IFERROR(__xludf.DUMMYFUNCTION("""COMPUTED_VALUE"""),171.0260768849417)</f>
        <v>171.0260769</v>
      </c>
      <c r="X262" s="4"/>
      <c r="Y262" s="4"/>
      <c r="Z262" s="4">
        <f>IFERROR(__xludf.DUMMYFUNCTION("""COMPUTED_VALUE"""),175.47850643154771)</f>
        <v>175.4785064</v>
      </c>
      <c r="AA262" s="4"/>
      <c r="AB262" s="4"/>
      <c r="AC262" s="4">
        <f>IFERROR(__xludf.DUMMYFUNCTION("""COMPUTED_VALUE"""),167.94932712489253)</f>
        <v>167.9493271</v>
      </c>
      <c r="AD262" s="4"/>
      <c r="AE262" s="4"/>
      <c r="AF262" s="4">
        <f>IFERROR(__xludf.DUMMYFUNCTION("""COMPUTED_VALUE"""),152.23449415587163)</f>
        <v>152.2344942</v>
      </c>
      <c r="AG262" s="4"/>
      <c r="AH262" s="4"/>
      <c r="AI262" s="4">
        <f>IFERROR(__xludf.DUMMYFUNCTION("""COMPUTED_VALUE"""),136.66937257441515)</f>
        <v>136.6693726</v>
      </c>
      <c r="AJ262" s="4"/>
      <c r="AK262" s="4"/>
      <c r="AL262" s="4">
        <f>IFERROR(__xludf.DUMMYFUNCTION("""COMPUTED_VALUE"""),125.2739784315213)</f>
        <v>125.2739784</v>
      </c>
      <c r="AM262" s="4"/>
      <c r="AN262" s="4"/>
      <c r="AO262" s="4">
        <f>IFERROR(__xludf.DUMMYFUNCTION("""COMPUTED_VALUE"""),107.58628634766478)</f>
        <v>107.5862863</v>
      </c>
      <c r="AP262" s="4"/>
      <c r="AQ262" s="4"/>
      <c r="AR262" s="4">
        <f>IFERROR(__xludf.DUMMYFUNCTION("""COMPUTED_VALUE"""),99.66528945433413)</f>
        <v>99.66528945</v>
      </c>
      <c r="AS262" s="4"/>
      <c r="AT262" s="4"/>
      <c r="AU262" s="4">
        <f>IFERROR(__xludf.DUMMYFUNCTION("""COMPUTED_VALUE"""),86.18198882395245)</f>
        <v>86.18198882</v>
      </c>
      <c r="AV262" s="4"/>
      <c r="AW262" s="4"/>
      <c r="AX262" s="4">
        <f>IFERROR(__xludf.DUMMYFUNCTION("""COMPUTED_VALUE"""),60.849420495525294)</f>
        <v>60.8494205</v>
      </c>
      <c r="AY262" s="4"/>
      <c r="AZ262" s="4"/>
      <c r="BA262" s="4">
        <f>IFERROR(__xludf.DUMMYFUNCTION("""COMPUTED_VALUE"""),47.565468898809456)</f>
        <v>47.5654689</v>
      </c>
      <c r="BB262" s="4"/>
      <c r="BC262" s="4"/>
      <c r="BD262" s="4">
        <f>IFERROR(__xludf.DUMMYFUNCTION("""COMPUTED_VALUE"""),36.68865365728578)</f>
        <v>36.68865366</v>
      </c>
      <c r="BE262" s="4"/>
      <c r="BF262" s="4"/>
      <c r="BG262" s="4">
        <f>IFERROR(__xludf.DUMMYFUNCTION("""COMPUTED_VALUE"""),29.101939329741924)</f>
        <v>29.10193933</v>
      </c>
      <c r="BH262" s="4"/>
      <c r="BI262" s="4"/>
      <c r="BJ262" s="4"/>
      <c r="BK262" s="4"/>
    </row>
    <row r="263">
      <c r="A263" s="4"/>
      <c r="B263" s="4"/>
      <c r="C263" s="4"/>
      <c r="D263" s="4">
        <f>IFERROR(__xludf.DUMMYFUNCTION("""COMPUTED_VALUE"""),-28.467180095048597)</f>
        <v>-28.4671801</v>
      </c>
      <c r="E263" s="23">
        <f>IFERROR(__xludf.DUMMYFUNCTION("""COMPUTED_VALUE"""),126.97630315344321)</f>
        <v>126.9763032</v>
      </c>
      <c r="F263" s="4"/>
      <c r="G263" s="4"/>
      <c r="H263" s="4">
        <f>IFERROR(__xludf.DUMMYFUNCTION("""COMPUTED_VALUE"""),145.06229318210808)</f>
        <v>145.0622932</v>
      </c>
      <c r="I263" s="4"/>
      <c r="J263" s="4"/>
      <c r="K263" s="4">
        <f>IFERROR(__xludf.DUMMYFUNCTION("""COMPUTED_VALUE"""),172.83609417473798)</f>
        <v>172.8360942</v>
      </c>
      <c r="L263" s="4"/>
      <c r="M263" s="4"/>
      <c r="N263" s="4">
        <f>IFERROR(__xludf.DUMMYFUNCTION("""COMPUTED_VALUE"""),182.30419210490112)</f>
        <v>182.3041921</v>
      </c>
      <c r="O263" s="4"/>
      <c r="P263" s="4"/>
      <c r="Q263" s="4">
        <f>IFERROR(__xludf.DUMMYFUNCTION("""COMPUTED_VALUE"""),177.53012611624172)</f>
        <v>177.5301261</v>
      </c>
      <c r="R263" s="4"/>
      <c r="S263" s="4"/>
      <c r="T263" s="4">
        <f>IFERROR(__xludf.DUMMYFUNCTION("""COMPUTED_VALUE"""),171.04738482044854)</f>
        <v>171.0473848</v>
      </c>
      <c r="U263" s="4"/>
      <c r="V263" s="4"/>
      <c r="W263" s="4">
        <f>IFERROR(__xludf.DUMMYFUNCTION("""COMPUTED_VALUE"""),155.62930749412124)</f>
        <v>155.6293075</v>
      </c>
      <c r="X263" s="4"/>
      <c r="Y263" s="4"/>
      <c r="Z263" s="4">
        <f>IFERROR(__xludf.DUMMYFUNCTION("""COMPUTED_VALUE"""),164.77478594072392)</f>
        <v>164.7747859</v>
      </c>
      <c r="AA263" s="4"/>
      <c r="AB263" s="4"/>
      <c r="AC263" s="4">
        <f>IFERROR(__xludf.DUMMYFUNCTION("""COMPUTED_VALUE"""),156.88635974622377)</f>
        <v>156.8863597</v>
      </c>
      <c r="AD263" s="4"/>
      <c r="AE263" s="4"/>
      <c r="AF263" s="4">
        <f>IFERROR(__xludf.DUMMYFUNCTION("""COMPUTED_VALUE"""),149.79019919705968)</f>
        <v>149.7901992</v>
      </c>
      <c r="AG263" s="4"/>
      <c r="AH263" s="4"/>
      <c r="AI263" s="4">
        <f>IFERROR(__xludf.DUMMYFUNCTION("""COMPUTED_VALUE"""),134.873559955007)</f>
        <v>134.87356</v>
      </c>
      <c r="AJ263" s="4"/>
      <c r="AK263" s="4"/>
      <c r="AL263" s="4">
        <f>IFERROR(__xludf.DUMMYFUNCTION("""COMPUTED_VALUE"""),124.69870722537058)</f>
        <v>124.6987072</v>
      </c>
      <c r="AM263" s="4"/>
      <c r="AN263" s="4"/>
      <c r="AO263" s="4">
        <f>IFERROR(__xludf.DUMMYFUNCTION("""COMPUTED_VALUE"""),103.12890942472319)</f>
        <v>103.1289094</v>
      </c>
      <c r="AP263" s="4"/>
      <c r="AQ263" s="4"/>
      <c r="AR263" s="4">
        <f>IFERROR(__xludf.DUMMYFUNCTION("""COMPUTED_VALUE"""),85.43616182758603)</f>
        <v>85.43616183</v>
      </c>
      <c r="AS263" s="4"/>
      <c r="AT263" s="4"/>
      <c r="AU263" s="4">
        <f>IFERROR(__xludf.DUMMYFUNCTION("""COMPUTED_VALUE"""),72.60510329534117)</f>
        <v>72.6051033</v>
      </c>
      <c r="AV263" s="4"/>
      <c r="AW263" s="4"/>
      <c r="AX263" s="4">
        <f>IFERROR(__xludf.DUMMYFUNCTION("""COMPUTED_VALUE"""),55.72589819649045)</f>
        <v>55.7258982</v>
      </c>
      <c r="AY263" s="4"/>
      <c r="AZ263" s="4"/>
      <c r="BA263" s="4">
        <f>IFERROR(__xludf.DUMMYFUNCTION("""COMPUTED_VALUE"""),42.13833957346935)</f>
        <v>42.13833957</v>
      </c>
      <c r="BB263" s="4"/>
      <c r="BC263" s="4"/>
      <c r="BD263" s="4">
        <f>IFERROR(__xludf.DUMMYFUNCTION("""COMPUTED_VALUE"""),32.23903664798331)</f>
        <v>32.23903665</v>
      </c>
      <c r="BE263" s="4"/>
      <c r="BF263" s="4"/>
      <c r="BG263" s="4">
        <f>IFERROR(__xludf.DUMMYFUNCTION("""COMPUTED_VALUE"""),20.705636207930525)</f>
        <v>20.70563621</v>
      </c>
      <c r="BH263" s="4"/>
      <c r="BI263" s="4"/>
      <c r="BJ263" s="4"/>
      <c r="BK263" s="4"/>
    </row>
    <row r="264">
      <c r="A264" s="4"/>
      <c r="B264" s="4"/>
      <c r="C264" s="4"/>
      <c r="D264" s="4">
        <f>IFERROR(__xludf.DUMMYFUNCTION("""COMPUTED_VALUE"""),-29.385476227798318)</f>
        <v>-29.38547623</v>
      </c>
      <c r="E264" s="23">
        <f>IFERROR(__xludf.DUMMYFUNCTION("""COMPUTED_VALUE"""),147.2331575520941)</f>
        <v>147.2331576</v>
      </c>
      <c r="F264" s="4"/>
      <c r="G264" s="4"/>
      <c r="H264" s="4">
        <f>IFERROR(__xludf.DUMMYFUNCTION("""COMPUTED_VALUE"""),156.37263136661943)</f>
        <v>156.3726314</v>
      </c>
      <c r="I264" s="4"/>
      <c r="J264" s="4"/>
      <c r="K264" s="4">
        <f>IFERROR(__xludf.DUMMYFUNCTION("""COMPUTED_VALUE"""),173.76841110460674)</f>
        <v>173.7684111</v>
      </c>
      <c r="L264" s="4"/>
      <c r="M264" s="4"/>
      <c r="N264" s="4">
        <f>IFERROR(__xludf.DUMMYFUNCTION("""COMPUTED_VALUE"""),187.52951377661117)</f>
        <v>187.5295138</v>
      </c>
      <c r="O264" s="4"/>
      <c r="P264" s="4"/>
      <c r="Q264" s="4">
        <f>IFERROR(__xludf.DUMMYFUNCTION("""COMPUTED_VALUE"""),182.76621076790462)</f>
        <v>182.7662108</v>
      </c>
      <c r="R264" s="4"/>
      <c r="S264" s="4"/>
      <c r="T264" s="4">
        <f>IFERROR(__xludf.DUMMYFUNCTION("""COMPUTED_VALUE"""),175.0760934047451)</f>
        <v>175.0760934</v>
      </c>
      <c r="U264" s="4"/>
      <c r="V264" s="4"/>
      <c r="W264" s="4">
        <f>IFERROR(__xludf.DUMMYFUNCTION("""COMPUTED_VALUE"""),153.41204513510274)</f>
        <v>153.4120451</v>
      </c>
      <c r="X264" s="4"/>
      <c r="Y264" s="4"/>
      <c r="Z264" s="4">
        <f>IFERROR(__xludf.DUMMYFUNCTION("""COMPUTED_VALUE"""),149.88030338311137)</f>
        <v>149.8803034</v>
      </c>
      <c r="AA264" s="4"/>
      <c r="AB264" s="4"/>
      <c r="AC264" s="4">
        <f>IFERROR(__xludf.DUMMYFUNCTION("""COMPUTED_VALUE"""),148.8174348365303)</f>
        <v>148.8174348</v>
      </c>
      <c r="AD264" s="4"/>
      <c r="AE264" s="4"/>
      <c r="AF264" s="4">
        <f>IFERROR(__xludf.DUMMYFUNCTION("""COMPUTED_VALUE"""),123.15434543299898)</f>
        <v>123.1543454</v>
      </c>
      <c r="AG264" s="4"/>
      <c r="AH264" s="4"/>
      <c r="AI264" s="4">
        <f>IFERROR(__xludf.DUMMYFUNCTION("""COMPUTED_VALUE"""),114.72664114021552)</f>
        <v>114.7266411</v>
      </c>
      <c r="AJ264" s="4"/>
      <c r="AK264" s="4"/>
      <c r="AL264" s="4">
        <f>IFERROR(__xludf.DUMMYFUNCTION("""COMPUTED_VALUE"""),102.38592566424927)</f>
        <v>102.3859257</v>
      </c>
      <c r="AM264" s="4"/>
      <c r="AN264" s="4"/>
      <c r="AO264" s="4">
        <f>IFERROR(__xludf.DUMMYFUNCTION("""COMPUTED_VALUE"""),86.71981232733964)</f>
        <v>86.71981233</v>
      </c>
      <c r="AP264" s="4"/>
      <c r="AQ264" s="4"/>
      <c r="AR264" s="4">
        <f>IFERROR(__xludf.DUMMYFUNCTION("""COMPUTED_VALUE"""),75.45103052096448)</f>
        <v>75.45103052</v>
      </c>
      <c r="AS264" s="4"/>
      <c r="AT264" s="4"/>
      <c r="AU264" s="4">
        <f>IFERROR(__xludf.DUMMYFUNCTION("""COMPUTED_VALUE"""),62.074923269223746)</f>
        <v>62.07492327</v>
      </c>
      <c r="AV264" s="4"/>
      <c r="AW264" s="4"/>
      <c r="AX264" s="4">
        <f>IFERROR(__xludf.DUMMYFUNCTION("""COMPUTED_VALUE"""),50.17047169571873)</f>
        <v>50.1704717</v>
      </c>
      <c r="AY264" s="4"/>
      <c r="AZ264" s="4"/>
      <c r="BA264" s="4">
        <f>IFERROR(__xludf.DUMMYFUNCTION("""COMPUTED_VALUE"""),37.18703663239228)</f>
        <v>37.18703663</v>
      </c>
      <c r="BB264" s="4"/>
      <c r="BC264" s="4"/>
      <c r="BD264" s="4">
        <f>IFERROR(__xludf.DUMMYFUNCTION("""COMPUTED_VALUE"""),35.08207761240516)</f>
        <v>35.08207761</v>
      </c>
      <c r="BE264" s="4"/>
      <c r="BF264" s="4"/>
      <c r="BG264" s="4">
        <f>IFERROR(__xludf.DUMMYFUNCTION("""COMPUTED_VALUE"""),17.701708941794777)</f>
        <v>17.70170894</v>
      </c>
      <c r="BH264" s="4"/>
      <c r="BI264" s="4"/>
      <c r="BJ264" s="4"/>
      <c r="BK264" s="4"/>
    </row>
    <row r="265">
      <c r="A265" s="4"/>
      <c r="B265" s="4"/>
      <c r="C265" s="4"/>
      <c r="D265" s="4">
        <f>IFERROR(__xludf.DUMMYFUNCTION("""COMPUTED_VALUE"""),-30.303772360598394)</f>
        <v>-30.30377236</v>
      </c>
      <c r="E265" s="23">
        <f>IFERROR(__xludf.DUMMYFUNCTION("""COMPUTED_VALUE"""),160.6253934684882)</f>
        <v>160.6253935</v>
      </c>
      <c r="F265" s="4"/>
      <c r="G265" s="4"/>
      <c r="H265" s="4">
        <f>IFERROR(__xludf.DUMMYFUNCTION("""COMPUTED_VALUE"""),171.54467910798337)</f>
        <v>171.5446791</v>
      </c>
      <c r="I265" s="4"/>
      <c r="J265" s="4"/>
      <c r="K265" s="4">
        <f>IFERROR(__xludf.DUMMYFUNCTION("""COMPUTED_VALUE"""),192.8060222343912)</f>
        <v>192.8060222</v>
      </c>
      <c r="L265" s="4"/>
      <c r="M265" s="4"/>
      <c r="N265" s="4">
        <f>IFERROR(__xludf.DUMMYFUNCTION("""COMPUTED_VALUE"""),180.8101492511704)</f>
        <v>180.8101493</v>
      </c>
      <c r="O265" s="4"/>
      <c r="P265" s="4"/>
      <c r="Q265" s="4">
        <f>IFERROR(__xludf.DUMMYFUNCTION("""COMPUTED_VALUE"""),171.88081716037823)</f>
        <v>171.8808172</v>
      </c>
      <c r="R265" s="4"/>
      <c r="S265" s="4"/>
      <c r="T265" s="4">
        <f>IFERROR(__xludf.DUMMYFUNCTION("""COMPUTED_VALUE"""),156.44437800209562)</f>
        <v>156.444378</v>
      </c>
      <c r="U265" s="4"/>
      <c r="V265" s="4"/>
      <c r="W265" s="4">
        <f>IFERROR(__xludf.DUMMYFUNCTION("""COMPUTED_VALUE"""),134.2623811806717)</f>
        <v>134.2623812</v>
      </c>
      <c r="X265" s="4"/>
      <c r="Y265" s="4"/>
      <c r="Z265" s="4">
        <f>IFERROR(__xludf.DUMMYFUNCTION("""COMPUTED_VALUE"""),136.46380100286677)</f>
        <v>136.463801</v>
      </c>
      <c r="AA265" s="4"/>
      <c r="AB265" s="4"/>
      <c r="AC265" s="4">
        <f>IFERROR(__xludf.DUMMYFUNCTION("""COMPUTED_VALUE"""),134.65217312192016)</f>
        <v>134.6521731</v>
      </c>
      <c r="AD265" s="4"/>
      <c r="AE265" s="4"/>
      <c r="AF265" s="4">
        <f>IFERROR(__xludf.DUMMYFUNCTION("""COMPUTED_VALUE"""),119.90354330612979)</f>
        <v>119.9035433</v>
      </c>
      <c r="AG265" s="4"/>
      <c r="AH265" s="4"/>
      <c r="AI265" s="4">
        <f>IFERROR(__xludf.DUMMYFUNCTION("""COMPUTED_VALUE"""),105.34614824325212)</f>
        <v>105.3461482</v>
      </c>
      <c r="AJ265" s="4"/>
      <c r="AK265" s="4"/>
      <c r="AL265" s="4">
        <f>IFERROR(__xludf.DUMMYFUNCTION("""COMPUTED_VALUE"""),89.00982819807024)</f>
        <v>89.0098282</v>
      </c>
      <c r="AM265" s="4"/>
      <c r="AN265" s="4"/>
      <c r="AO265" s="4">
        <f>IFERROR(__xludf.DUMMYFUNCTION("""COMPUTED_VALUE"""),83.36965000814519)</f>
        <v>83.36965001</v>
      </c>
      <c r="AP265" s="4"/>
      <c r="AQ265" s="4"/>
      <c r="AR265" s="4">
        <f>IFERROR(__xludf.DUMMYFUNCTION("""COMPUTED_VALUE"""),69.3017062400034)</f>
        <v>69.30170624</v>
      </c>
      <c r="AS265" s="4"/>
      <c r="AT265" s="4"/>
      <c r="AU265" s="4">
        <f>IFERROR(__xludf.DUMMYFUNCTION("""COMPUTED_VALUE"""),55.83671474748985)</f>
        <v>55.83671475</v>
      </c>
      <c r="AV265" s="4"/>
      <c r="AW265" s="4"/>
      <c r="AX265" s="4">
        <f>IFERROR(__xludf.DUMMYFUNCTION("""COMPUTED_VALUE"""),41.29192674996722)</f>
        <v>41.29192675</v>
      </c>
      <c r="AY265" s="4"/>
      <c r="AZ265" s="4"/>
      <c r="BA265" s="4">
        <f>IFERROR(__xludf.DUMMYFUNCTION("""COMPUTED_VALUE"""),36.90303240452698)</f>
        <v>36.9030324</v>
      </c>
      <c r="BB265" s="4"/>
      <c r="BC265" s="4"/>
      <c r="BD265" s="4">
        <f>IFERROR(__xludf.DUMMYFUNCTION("""COMPUTED_VALUE"""),26.12275032942125)</f>
        <v>26.12275033</v>
      </c>
      <c r="BE265" s="4"/>
      <c r="BF265" s="4"/>
      <c r="BG265" s="4">
        <f>IFERROR(__xludf.DUMMYFUNCTION("""COMPUTED_VALUE"""),11.938814114903494)</f>
        <v>11.93881411</v>
      </c>
      <c r="BH265" s="4"/>
      <c r="BI265" s="4"/>
      <c r="BJ265" s="4"/>
      <c r="BK265" s="4"/>
    </row>
    <row r="266">
      <c r="A266" s="4"/>
      <c r="B266" s="4"/>
      <c r="C266" s="4"/>
      <c r="D266" s="4">
        <f>IFERROR(__xludf.DUMMYFUNCTION("""COMPUTED_VALUE"""),-31.22206849128352)</f>
        <v>-31.22206849</v>
      </c>
      <c r="E266" s="23">
        <f>IFERROR(__xludf.DUMMYFUNCTION("""COMPUTED_VALUE"""),170.88922204853554)</f>
        <v>170.889222</v>
      </c>
      <c r="F266" s="4"/>
      <c r="G266" s="4"/>
      <c r="H266" s="4">
        <f>IFERROR(__xludf.DUMMYFUNCTION("""COMPUTED_VALUE"""),177.9695673998395)</f>
        <v>177.9695674</v>
      </c>
      <c r="I266" s="4"/>
      <c r="J266" s="4"/>
      <c r="K266" s="4">
        <f>IFERROR(__xludf.DUMMYFUNCTION("""COMPUTED_VALUE"""),182.42198309920843)</f>
        <v>182.4219831</v>
      </c>
      <c r="L266" s="4"/>
      <c r="M266" s="4"/>
      <c r="N266" s="4">
        <f>IFERROR(__xludf.DUMMYFUNCTION("""COMPUTED_VALUE"""),176.7811932052656)</f>
        <v>176.7811932</v>
      </c>
      <c r="O266" s="4"/>
      <c r="P266" s="4"/>
      <c r="Q266" s="4">
        <f>IFERROR(__xludf.DUMMYFUNCTION("""COMPUTED_VALUE"""),154.37324143521676)</f>
        <v>154.3732414</v>
      </c>
      <c r="R266" s="4"/>
      <c r="S266" s="4"/>
      <c r="T266" s="4">
        <f>IFERROR(__xludf.DUMMYFUNCTION("""COMPUTED_VALUE"""),141.3977836902264)</f>
        <v>141.3977837</v>
      </c>
      <c r="U266" s="4"/>
      <c r="V266" s="4"/>
      <c r="W266" s="4">
        <f>IFERROR(__xludf.DUMMYFUNCTION("""COMPUTED_VALUE"""),119.65824504964917)</f>
        <v>119.658245</v>
      </c>
      <c r="X266" s="4"/>
      <c r="Y266" s="4"/>
      <c r="Z266" s="4">
        <f>IFERROR(__xludf.DUMMYFUNCTION("""COMPUTED_VALUE"""),115.92750109462804)</f>
        <v>115.9275011</v>
      </c>
      <c r="AA266" s="4"/>
      <c r="AB266" s="4"/>
      <c r="AC266" s="4">
        <f>IFERROR(__xludf.DUMMYFUNCTION("""COMPUTED_VALUE"""),116.93239059823492)</f>
        <v>116.9323906</v>
      </c>
      <c r="AD266" s="4"/>
      <c r="AE266" s="4"/>
      <c r="AF266" s="4">
        <f>IFERROR(__xludf.DUMMYFUNCTION("""COMPUTED_VALUE"""),105.23930195656362)</f>
        <v>105.239302</v>
      </c>
      <c r="AG266" s="4"/>
      <c r="AH266" s="4"/>
      <c r="AI266" s="4">
        <f>IFERROR(__xludf.DUMMYFUNCTION("""COMPUTED_VALUE"""),89.51757413072795)</f>
        <v>89.51757413</v>
      </c>
      <c r="AJ266" s="4"/>
      <c r="AK266" s="4"/>
      <c r="AL266" s="4">
        <f>IFERROR(__xludf.DUMMYFUNCTION("""COMPUTED_VALUE"""),84.18591701559927)</f>
        <v>84.18591702</v>
      </c>
      <c r="AM266" s="4"/>
      <c r="AN266" s="4"/>
      <c r="AO266" s="4">
        <f>IFERROR(__xludf.DUMMYFUNCTION("""COMPUTED_VALUE"""),67.5396392581257)</f>
        <v>67.53963926</v>
      </c>
      <c r="AP266" s="4"/>
      <c r="AQ266" s="4"/>
      <c r="AR266" s="4">
        <f>IFERROR(__xludf.DUMMYFUNCTION("""COMPUTED_VALUE"""),66.70207225057317)</f>
        <v>66.70207225</v>
      </c>
      <c r="AS266" s="4"/>
      <c r="AT266" s="4"/>
      <c r="AU266" s="4">
        <f>IFERROR(__xludf.DUMMYFUNCTION("""COMPUTED_VALUE"""),44.159835741934444)</f>
        <v>44.15983574</v>
      </c>
      <c r="AV266" s="4"/>
      <c r="AW266" s="4"/>
      <c r="AX266" s="4">
        <f>IFERROR(__xludf.DUMMYFUNCTION("""COMPUTED_VALUE"""),38.66377413179231)</f>
        <v>38.66377413</v>
      </c>
      <c r="AY266" s="4"/>
      <c r="AZ266" s="4"/>
      <c r="BA266" s="4">
        <f>IFERROR(__xludf.DUMMYFUNCTION("""COMPUTED_VALUE"""),27.84423920079786)</f>
        <v>27.8442392</v>
      </c>
      <c r="BB266" s="4"/>
      <c r="BC266" s="4"/>
      <c r="BD266" s="4">
        <f>IFERROR(__xludf.DUMMYFUNCTION("""COMPUTED_VALUE"""),24.304861384311835)</f>
        <v>24.30486138</v>
      </c>
      <c r="BE266" s="4"/>
      <c r="BF266" s="4"/>
      <c r="BG266" s="4">
        <f>IFERROR(__xludf.DUMMYFUNCTION("""COMPUTED_VALUE"""),24.52622810760795)</f>
        <v>24.52622811</v>
      </c>
      <c r="BH266" s="4"/>
      <c r="BI266" s="4"/>
      <c r="BJ266" s="4"/>
      <c r="BK266" s="4"/>
    </row>
    <row r="267">
      <c r="A267" s="4"/>
      <c r="B267" s="4"/>
      <c r="C267" s="4"/>
      <c r="D267" s="4">
        <f>IFERROR(__xludf.DUMMYFUNCTION("""COMPUTED_VALUE"""),-32.14036462403324)</f>
        <v>-32.14036462</v>
      </c>
      <c r="E267" s="23">
        <f>IFERROR(__xludf.DUMMYFUNCTION("""COMPUTED_VALUE"""),170.84558756038416)</f>
        <v>170.8455876</v>
      </c>
      <c r="F267" s="4"/>
      <c r="G267" s="4"/>
      <c r="H267" s="4">
        <f>IFERROR(__xludf.DUMMYFUNCTION("""COMPUTED_VALUE"""),183.3651990235149)</f>
        <v>183.365199</v>
      </c>
      <c r="I267" s="4"/>
      <c r="J267" s="4"/>
      <c r="K267" s="4">
        <f>IFERROR(__xludf.DUMMYFUNCTION("""COMPUTED_VALUE"""),180.26085100039973)</f>
        <v>180.260851</v>
      </c>
      <c r="L267" s="4"/>
      <c r="M267" s="4"/>
      <c r="N267" s="4">
        <f>IFERROR(__xludf.DUMMYFUNCTION("""COMPUTED_VALUE"""),164.2486576982273)</f>
        <v>164.2486577</v>
      </c>
      <c r="O267" s="4"/>
      <c r="P267" s="4"/>
      <c r="Q267" s="4">
        <f>IFERROR(__xludf.DUMMYFUNCTION("""COMPUTED_VALUE"""),144.46519371863542)</f>
        <v>144.4651937</v>
      </c>
      <c r="R267" s="4"/>
      <c r="S267" s="4"/>
      <c r="T267" s="4">
        <f>IFERROR(__xludf.DUMMYFUNCTION("""COMPUTED_VALUE"""),129.61808245112468)</f>
        <v>129.6180825</v>
      </c>
      <c r="U267" s="4"/>
      <c r="V267" s="4"/>
      <c r="W267" s="4">
        <f>IFERROR(__xludf.DUMMYFUNCTION("""COMPUTED_VALUE"""),107.11754543634493)</f>
        <v>107.1175454</v>
      </c>
      <c r="X267" s="4"/>
      <c r="Y267" s="4"/>
      <c r="Z267" s="4">
        <f>IFERROR(__xludf.DUMMYFUNCTION("""COMPUTED_VALUE"""),94.7695849910765)</f>
        <v>94.76958499</v>
      </c>
      <c r="AA267" s="4"/>
      <c r="AB267" s="4"/>
      <c r="AC267" s="4">
        <f>IFERROR(__xludf.DUMMYFUNCTION("""COMPUTED_VALUE"""),103.97229407535877)</f>
        <v>103.9722941</v>
      </c>
      <c r="AD267" s="4"/>
      <c r="AE267" s="4"/>
      <c r="AF267" s="4">
        <f>IFERROR(__xludf.DUMMYFUNCTION("""COMPUTED_VALUE"""),83.75378397302853)</f>
        <v>83.75378397</v>
      </c>
      <c r="AG267" s="4"/>
      <c r="AH267" s="4"/>
      <c r="AI267" s="4">
        <f>IFERROR(__xludf.DUMMYFUNCTION("""COMPUTED_VALUE"""),84.33750349456244)</f>
        <v>84.33750349</v>
      </c>
      <c r="AJ267" s="4"/>
      <c r="AK267" s="4"/>
      <c r="AL267" s="4">
        <f>IFERROR(__xludf.DUMMYFUNCTION("""COMPUTED_VALUE"""),74.84463773791464)</f>
        <v>74.84463774</v>
      </c>
      <c r="AM267" s="4"/>
      <c r="AN267" s="4"/>
      <c r="AO267" s="4">
        <f>IFERROR(__xludf.DUMMYFUNCTION("""COMPUTED_VALUE"""),65.73234535871802)</f>
        <v>65.73234536</v>
      </c>
      <c r="AP267" s="4"/>
      <c r="AQ267" s="4"/>
      <c r="AR267" s="4">
        <f>IFERROR(__xludf.DUMMYFUNCTION("""COMPUTED_VALUE"""),58.01291076078826)</f>
        <v>58.01291076</v>
      </c>
      <c r="AS267" s="4"/>
      <c r="AT267" s="4"/>
      <c r="AU267" s="4">
        <f>IFERROR(__xludf.DUMMYFUNCTION("""COMPUTED_VALUE"""),42.78095325743601)</f>
        <v>42.78095326</v>
      </c>
      <c r="AV267" s="4"/>
      <c r="AW267" s="4"/>
      <c r="AX267" s="4">
        <f>IFERROR(__xludf.DUMMYFUNCTION("""COMPUTED_VALUE"""),33.997904969359865)</f>
        <v>33.99790497</v>
      </c>
      <c r="AY267" s="4"/>
      <c r="AZ267" s="4"/>
      <c r="BA267" s="4">
        <f>IFERROR(__xludf.DUMMYFUNCTION("""COMPUTED_VALUE"""),24.963204525849733)</f>
        <v>24.96320453</v>
      </c>
      <c r="BB267" s="4"/>
      <c r="BC267" s="4"/>
      <c r="BD267" s="4">
        <f>IFERROR(__xludf.DUMMYFUNCTION("""COMPUTED_VALUE"""),21.357337333313808)</f>
        <v>21.35733733</v>
      </c>
      <c r="BE267" s="4"/>
      <c r="BF267" s="4"/>
      <c r="BG267" s="4">
        <f>IFERROR(__xludf.DUMMYFUNCTION("""COMPUTED_VALUE"""),17.48589371123387)</f>
        <v>17.48589371</v>
      </c>
      <c r="BH267" s="4"/>
      <c r="BI267" s="4"/>
      <c r="BJ267" s="4"/>
      <c r="BK267" s="4"/>
    </row>
    <row r="268">
      <c r="A268" s="4"/>
      <c r="B268" s="4"/>
      <c r="C268" s="4"/>
      <c r="D268" s="4">
        <f>IFERROR(__xludf.DUMMYFUNCTION("""COMPUTED_VALUE"""),-33.05866075683332)</f>
        <v>-33.05866076</v>
      </c>
      <c r="E268" s="23">
        <f>IFERROR(__xludf.DUMMYFUNCTION("""COMPUTED_VALUE"""),184.70250890333756)</f>
        <v>184.7025089</v>
      </c>
      <c r="F268" s="4"/>
      <c r="G268" s="4"/>
      <c r="H268" s="4">
        <f>IFERROR(__xludf.DUMMYFUNCTION("""COMPUTED_VALUE"""),184.85408880181222)</f>
        <v>184.8540888</v>
      </c>
      <c r="I268" s="4"/>
      <c r="J268" s="4"/>
      <c r="K268" s="4">
        <f>IFERROR(__xludf.DUMMYFUNCTION("""COMPUTED_VALUE"""),180.36680573055241)</f>
        <v>180.3668057</v>
      </c>
      <c r="L268" s="4"/>
      <c r="M268" s="4"/>
      <c r="N268" s="4">
        <f>IFERROR(__xludf.DUMMYFUNCTION("""COMPUTED_VALUE"""),159.8518790606991)</f>
        <v>159.8518791</v>
      </c>
      <c r="O268" s="4"/>
      <c r="P268" s="4"/>
      <c r="Q268" s="4">
        <f>IFERROR(__xludf.DUMMYFUNCTION("""COMPUTED_VALUE"""),123.39728193800562)</f>
        <v>123.3972819</v>
      </c>
      <c r="R268" s="4"/>
      <c r="S268" s="4"/>
      <c r="T268" s="4">
        <f>IFERROR(__xludf.DUMMYFUNCTION("""COMPUTED_VALUE"""),111.66653409354814)</f>
        <v>111.6665341</v>
      </c>
      <c r="U268" s="4"/>
      <c r="V268" s="4"/>
      <c r="W268" s="4">
        <f>IFERROR(__xludf.DUMMYFUNCTION("""COMPUTED_VALUE"""),95.64851538792425)</f>
        <v>95.64851539</v>
      </c>
      <c r="X268" s="4"/>
      <c r="Y268" s="4"/>
      <c r="Z268" s="4">
        <f>IFERROR(__xludf.DUMMYFUNCTION("""COMPUTED_VALUE"""),82.68954186544238)</f>
        <v>82.68954187</v>
      </c>
      <c r="AA268" s="4"/>
      <c r="AB268" s="4"/>
      <c r="AC268" s="4">
        <f>IFERROR(__xludf.DUMMYFUNCTION("""COMPUTED_VALUE"""),83.9689639471328)</f>
        <v>83.96896395</v>
      </c>
      <c r="AD268" s="4"/>
      <c r="AE268" s="4"/>
      <c r="AF268" s="4">
        <f>IFERROR(__xludf.DUMMYFUNCTION("""COMPUTED_VALUE"""),76.22187214592776)</f>
        <v>76.22187215</v>
      </c>
      <c r="AG268" s="4"/>
      <c r="AH268" s="4"/>
      <c r="AI268" s="4">
        <f>IFERROR(__xludf.DUMMYFUNCTION("""COMPUTED_VALUE"""),70.75675644159264)</f>
        <v>70.75675644</v>
      </c>
      <c r="AJ268" s="4"/>
      <c r="AK268" s="4"/>
      <c r="AL268" s="4">
        <f>IFERROR(__xludf.DUMMYFUNCTION("""COMPUTED_VALUE"""),71.04039022695946)</f>
        <v>71.04039023</v>
      </c>
      <c r="AM268" s="4"/>
      <c r="AN268" s="4"/>
      <c r="AO268" s="4">
        <f>IFERROR(__xludf.DUMMYFUNCTION("""COMPUTED_VALUE"""),55.268164845354136)</f>
        <v>55.26816485</v>
      </c>
      <c r="AP268" s="4"/>
      <c r="AQ268" s="4"/>
      <c r="AR268" s="4">
        <f>IFERROR(__xludf.DUMMYFUNCTION("""COMPUTED_VALUE"""),57.40827434814196)</f>
        <v>57.40827435</v>
      </c>
      <c r="AS268" s="4"/>
      <c r="AT268" s="4"/>
      <c r="AU268" s="4">
        <f>IFERROR(__xludf.DUMMYFUNCTION("""COMPUTED_VALUE"""),40.83914762802692)</f>
        <v>40.83914763</v>
      </c>
      <c r="AV268" s="4"/>
      <c r="AW268" s="4"/>
      <c r="AX268" s="4">
        <f>IFERROR(__xludf.DUMMYFUNCTION("""COMPUTED_VALUE"""),39.99911570439531)</f>
        <v>39.9991157</v>
      </c>
      <c r="AY268" s="4"/>
      <c r="AZ268" s="4"/>
      <c r="BA268" s="4">
        <f>IFERROR(__xludf.DUMMYFUNCTION("""COMPUTED_VALUE"""),25.067505791437156)</f>
        <v>25.06750579</v>
      </c>
      <c r="BB268" s="4"/>
      <c r="BC268" s="4"/>
      <c r="BD268" s="4">
        <f>IFERROR(__xludf.DUMMYFUNCTION("""COMPUTED_VALUE"""),20.14438099318636)</f>
        <v>20.14438099</v>
      </c>
      <c r="BE268" s="4"/>
      <c r="BF268" s="4"/>
      <c r="BG268" s="4">
        <f>IFERROR(__xludf.DUMMYFUNCTION("""COMPUTED_VALUE"""),19.4757555604196)</f>
        <v>19.47575556</v>
      </c>
      <c r="BH268" s="4"/>
      <c r="BI268" s="4"/>
      <c r="BJ268" s="4"/>
      <c r="BK268" s="4"/>
    </row>
    <row r="269">
      <c r="A269" s="4"/>
      <c r="B269" s="4"/>
      <c r="C269" s="4"/>
      <c r="D269" s="4">
        <f>IFERROR(__xludf.DUMMYFUNCTION("""COMPUTED_VALUE"""),-33.97695688751844)</f>
        <v>-33.97695689</v>
      </c>
      <c r="E269" s="23">
        <f>IFERROR(__xludf.DUMMYFUNCTION("""COMPUTED_VALUE"""),178.92343720165138)</f>
        <v>178.9234372</v>
      </c>
      <c r="F269" s="4"/>
      <c r="G269" s="4"/>
      <c r="H269" s="4">
        <f>IFERROR(__xludf.DUMMYFUNCTION("""COMPUTED_VALUE"""),188.362488722249)</f>
        <v>188.3624887</v>
      </c>
      <c r="I269" s="4"/>
      <c r="J269" s="4"/>
      <c r="K269" s="4">
        <f>IFERROR(__xludf.DUMMYFUNCTION("""COMPUTED_VALUE"""),168.1348350656853)</f>
        <v>168.1348351</v>
      </c>
      <c r="L269" s="4"/>
      <c r="M269" s="4"/>
      <c r="N269" s="4">
        <f>IFERROR(__xludf.DUMMYFUNCTION("""COMPUTED_VALUE"""),139.468222223564)</f>
        <v>139.4682222</v>
      </c>
      <c r="O269" s="4"/>
      <c r="P269" s="4"/>
      <c r="Q269" s="4">
        <f>IFERROR(__xludf.DUMMYFUNCTION("""COMPUTED_VALUE"""),112.56121523342915)</f>
        <v>112.5612152</v>
      </c>
      <c r="R269" s="4"/>
      <c r="S269" s="4"/>
      <c r="T269" s="4">
        <f>IFERROR(__xludf.DUMMYFUNCTION("""COMPUTED_VALUE"""),87.02300303390075)</f>
        <v>87.02300303</v>
      </c>
      <c r="U269" s="4"/>
      <c r="V269" s="4"/>
      <c r="W269" s="4">
        <f>IFERROR(__xludf.DUMMYFUNCTION("""COMPUTED_VALUE"""),80.708091445901)</f>
        <v>80.70809145</v>
      </c>
      <c r="X269" s="4"/>
      <c r="Y269" s="4"/>
      <c r="Z269" s="4">
        <f>IFERROR(__xludf.DUMMYFUNCTION("""COMPUTED_VALUE"""),72.90902977099245)</f>
        <v>72.90902977</v>
      </c>
      <c r="AA269" s="4"/>
      <c r="AB269" s="4"/>
      <c r="AC269" s="4">
        <f>IFERROR(__xludf.DUMMYFUNCTION("""COMPUTED_VALUE"""),74.51024066456324)</f>
        <v>74.51024066</v>
      </c>
      <c r="AD269" s="4"/>
      <c r="AE269" s="4"/>
      <c r="AF269" s="4">
        <f>IFERROR(__xludf.DUMMYFUNCTION("""COMPUTED_VALUE"""),73.48809074768542)</f>
        <v>73.48809075</v>
      </c>
      <c r="AG269" s="4"/>
      <c r="AH269" s="4"/>
      <c r="AI269" s="4">
        <f>IFERROR(__xludf.DUMMYFUNCTION("""COMPUTED_VALUE"""),59.97958682880579)</f>
        <v>59.97958683</v>
      </c>
      <c r="AJ269" s="4"/>
      <c r="AK269" s="4"/>
      <c r="AL269" s="4">
        <f>IFERROR(__xludf.DUMMYFUNCTION("""COMPUTED_VALUE"""),59.50197237006074)</f>
        <v>59.50197237</v>
      </c>
      <c r="AM269" s="4"/>
      <c r="AN269" s="4"/>
      <c r="AO269" s="4">
        <f>IFERROR(__xludf.DUMMYFUNCTION("""COMPUTED_VALUE"""),52.84715895038818)</f>
        <v>52.84715895</v>
      </c>
      <c r="AP269" s="4"/>
      <c r="AQ269" s="4"/>
      <c r="AR269" s="4">
        <f>IFERROR(__xludf.DUMMYFUNCTION("""COMPUTED_VALUE"""),53.48793943834255)</f>
        <v>53.48793944</v>
      </c>
      <c r="AS269" s="4"/>
      <c r="AT269" s="4"/>
      <c r="AU269" s="4">
        <f>IFERROR(__xludf.DUMMYFUNCTION("""COMPUTED_VALUE"""),38.01700788578188)</f>
        <v>38.01700789</v>
      </c>
      <c r="AV269" s="4"/>
      <c r="AW269" s="4"/>
      <c r="AX269" s="4">
        <f>IFERROR(__xludf.DUMMYFUNCTION("""COMPUTED_VALUE"""),33.440443593535974)</f>
        <v>33.44044359</v>
      </c>
      <c r="AY269" s="4"/>
      <c r="AZ269" s="4"/>
      <c r="BA269" s="4">
        <f>IFERROR(__xludf.DUMMYFUNCTION("""COMPUTED_VALUE"""),20.044486862303643)</f>
        <v>20.04448686</v>
      </c>
      <c r="BB269" s="4"/>
      <c r="BC269" s="4"/>
      <c r="BD269" s="4">
        <f>IFERROR(__xludf.DUMMYFUNCTION("""COMPUTED_VALUE"""),14.638951864661351)</f>
        <v>14.63895186</v>
      </c>
      <c r="BE269" s="4"/>
      <c r="BF269" s="4"/>
      <c r="BG269" s="4">
        <f>IFERROR(__xludf.DUMMYFUNCTION("""COMPUTED_VALUE"""),16.017085900913003)</f>
        <v>16.0170859</v>
      </c>
      <c r="BH269" s="4"/>
      <c r="BI269" s="4"/>
      <c r="BJ269" s="4"/>
      <c r="BK269" s="4"/>
    </row>
    <row r="270">
      <c r="A270" s="4"/>
      <c r="B270" s="4"/>
      <c r="C270" s="4"/>
      <c r="D270" s="4">
        <f>IFERROR(__xludf.DUMMYFUNCTION("""COMPUTED_VALUE"""),-34.895253020268164)</f>
        <v>-34.89525302</v>
      </c>
      <c r="E270" s="23">
        <f>IFERROR(__xludf.DUMMYFUNCTION("""COMPUTED_VALUE"""),177.04662097205994)</f>
        <v>177.046621</v>
      </c>
      <c r="F270" s="4"/>
      <c r="G270" s="4"/>
      <c r="H270" s="4">
        <f>IFERROR(__xludf.DUMMYFUNCTION("""COMPUTED_VALUE"""),170.54922321191498)</f>
        <v>170.5492232</v>
      </c>
      <c r="I270" s="4"/>
      <c r="J270" s="4"/>
      <c r="K270" s="4">
        <f>IFERROR(__xludf.DUMMYFUNCTION("""COMPUTED_VALUE"""),154.2303515128894)</f>
        <v>154.2303515</v>
      </c>
      <c r="L270" s="4"/>
      <c r="M270" s="4"/>
      <c r="N270" s="4">
        <f>IFERROR(__xludf.DUMMYFUNCTION("""COMPUTED_VALUE"""),115.71985857513812)</f>
        <v>115.7198586</v>
      </c>
      <c r="O270" s="4"/>
      <c r="P270" s="4"/>
      <c r="Q270" s="4">
        <f>IFERROR(__xludf.DUMMYFUNCTION("""COMPUTED_VALUE"""),98.58874779939879)</f>
        <v>98.5887478</v>
      </c>
      <c r="R270" s="4"/>
      <c r="S270" s="4"/>
      <c r="T270" s="4">
        <f>IFERROR(__xludf.DUMMYFUNCTION("""COMPUTED_VALUE"""),80.10085899272372)</f>
        <v>80.10085899</v>
      </c>
      <c r="U270" s="4"/>
      <c r="V270" s="4"/>
      <c r="W270" s="4">
        <f>IFERROR(__xludf.DUMMYFUNCTION("""COMPUTED_VALUE"""),66.73729506339731)</f>
        <v>66.73729506</v>
      </c>
      <c r="X270" s="4"/>
      <c r="Y270" s="4"/>
      <c r="Z270" s="4">
        <f>IFERROR(__xludf.DUMMYFUNCTION("""COMPUTED_VALUE"""),54.32820632473448)</f>
        <v>54.32820632</v>
      </c>
      <c r="AA270" s="4"/>
      <c r="AB270" s="4"/>
      <c r="AC270" s="4">
        <f>IFERROR(__xludf.DUMMYFUNCTION("""COMPUTED_VALUE"""),67.04038289079932)</f>
        <v>67.04038289</v>
      </c>
      <c r="AD270" s="4"/>
      <c r="AE270" s="4"/>
      <c r="AF270" s="4">
        <f>IFERROR(__xludf.DUMMYFUNCTION("""COMPUTED_VALUE"""),62.22681475250141)</f>
        <v>62.22681475</v>
      </c>
      <c r="AG270" s="4"/>
      <c r="AH270" s="4"/>
      <c r="AI270" s="4">
        <f>IFERROR(__xludf.DUMMYFUNCTION("""COMPUTED_VALUE"""),64.49498264644791)</f>
        <v>64.49498265</v>
      </c>
      <c r="AJ270" s="4"/>
      <c r="AK270" s="4"/>
      <c r="AL270" s="4">
        <f>IFERROR(__xludf.DUMMYFUNCTION("""COMPUTED_VALUE"""),55.217997288243794)</f>
        <v>55.21799729</v>
      </c>
      <c r="AM270" s="4"/>
      <c r="AN270" s="4"/>
      <c r="AO270" s="4">
        <f>IFERROR(__xludf.DUMMYFUNCTION("""COMPUTED_VALUE"""),49.18050733314425)</f>
        <v>49.18050733</v>
      </c>
      <c r="AP270" s="4"/>
      <c r="AQ270" s="4"/>
      <c r="AR270" s="4">
        <f>IFERROR(__xludf.DUMMYFUNCTION("""COMPUTED_VALUE"""),45.21520013058489)</f>
        <v>45.21520013</v>
      </c>
      <c r="AS270" s="4"/>
      <c r="AT270" s="4"/>
      <c r="AU270" s="4">
        <f>IFERROR(__xludf.DUMMYFUNCTION("""COMPUTED_VALUE"""),35.57546498823308)</f>
        <v>35.57546499</v>
      </c>
      <c r="AV270" s="4"/>
      <c r="AW270" s="4"/>
      <c r="AX270" s="4">
        <f>IFERROR(__xludf.DUMMYFUNCTION("""COMPUTED_VALUE"""),32.62980265814895)</f>
        <v>32.62980266</v>
      </c>
      <c r="AY270" s="4"/>
      <c r="AZ270" s="4"/>
      <c r="BA270" s="4">
        <f>IFERROR(__xludf.DUMMYFUNCTION("""COMPUTED_VALUE"""),22.578654246868552)</f>
        <v>22.57865425</v>
      </c>
      <c r="BB270" s="4"/>
      <c r="BC270" s="4"/>
      <c r="BD270" s="4">
        <f>IFERROR(__xludf.DUMMYFUNCTION("""COMPUTED_VALUE"""),20.043808073534876)</f>
        <v>20.04380807</v>
      </c>
      <c r="BE270" s="4"/>
      <c r="BF270" s="4"/>
      <c r="BG270" s="4">
        <f>IFERROR(__xludf.DUMMYFUNCTION("""COMPUTED_VALUE"""),15.379052178725544)</f>
        <v>15.37905218</v>
      </c>
      <c r="BH270" s="4"/>
      <c r="BI270" s="4"/>
      <c r="BJ270" s="4"/>
      <c r="BK270" s="4"/>
    </row>
    <row r="271">
      <c r="A271" s="4"/>
      <c r="B271" s="4"/>
      <c r="C271" s="4"/>
      <c r="D271" s="4">
        <f>IFERROR(__xludf.DUMMYFUNCTION("""COMPUTED_VALUE"""),-35.81354915306824)</f>
        <v>-35.81354915</v>
      </c>
      <c r="E271" s="23">
        <f>IFERROR(__xludf.DUMMYFUNCTION("""COMPUTED_VALUE"""),157.57833169766008)</f>
        <v>157.5783317</v>
      </c>
      <c r="F271" s="4"/>
      <c r="G271" s="4"/>
      <c r="H271" s="4">
        <f>IFERROR(__xludf.DUMMYFUNCTION("""COMPUTED_VALUE"""),144.16303856566896)</f>
        <v>144.1630386</v>
      </c>
      <c r="I271" s="4"/>
      <c r="J271" s="4"/>
      <c r="K271" s="4">
        <f>IFERROR(__xludf.DUMMYFUNCTION("""COMPUTED_VALUE"""),136.07701592636562)</f>
        <v>136.0770159</v>
      </c>
      <c r="L271" s="4"/>
      <c r="M271" s="4"/>
      <c r="N271" s="4">
        <f>IFERROR(__xludf.DUMMYFUNCTION("""COMPUTED_VALUE"""),97.75116442598136)</f>
        <v>97.75116443</v>
      </c>
      <c r="O271" s="4"/>
      <c r="P271" s="4"/>
      <c r="Q271" s="4">
        <f>IFERROR(__xludf.DUMMYFUNCTION("""COMPUTED_VALUE"""),82.46705449209543)</f>
        <v>82.46705449</v>
      </c>
      <c r="R271" s="4"/>
      <c r="S271" s="4"/>
      <c r="T271" s="4">
        <f>IFERROR(__xludf.DUMMYFUNCTION("""COMPUTED_VALUE"""),72.22083558214803)</f>
        <v>72.22083558</v>
      </c>
      <c r="U271" s="4"/>
      <c r="V271" s="4"/>
      <c r="W271" s="4">
        <f>IFERROR(__xludf.DUMMYFUNCTION("""COMPUTED_VALUE"""),51.603637043825586)</f>
        <v>51.60363704</v>
      </c>
      <c r="X271" s="4"/>
      <c r="Y271" s="4"/>
      <c r="Z271" s="4">
        <f>IFERROR(__xludf.DUMMYFUNCTION("""COMPUTED_VALUE"""),54.369325638608984)</f>
        <v>54.36932564</v>
      </c>
      <c r="AA271" s="4"/>
      <c r="AB271" s="4"/>
      <c r="AC271" s="4">
        <f>IFERROR(__xludf.DUMMYFUNCTION("""COMPUTED_VALUE"""),63.51343640531593)</f>
        <v>63.51343641</v>
      </c>
      <c r="AD271" s="4"/>
      <c r="AE271" s="4"/>
      <c r="AF271" s="4">
        <f>IFERROR(__xludf.DUMMYFUNCTION("""COMPUTED_VALUE"""),56.04130737662189)</f>
        <v>56.04130738</v>
      </c>
      <c r="AG271" s="4"/>
      <c r="AH271" s="4"/>
      <c r="AI271" s="4">
        <f>IFERROR(__xludf.DUMMYFUNCTION("""COMPUTED_VALUE"""),56.369828805248005)</f>
        <v>56.36982881</v>
      </c>
      <c r="AJ271" s="4"/>
      <c r="AK271" s="4"/>
      <c r="AL271" s="4">
        <f>IFERROR(__xludf.DUMMYFUNCTION("""COMPUTED_VALUE"""),48.39389253309224)</f>
        <v>48.39389253</v>
      </c>
      <c r="AM271" s="4"/>
      <c r="AN271" s="4"/>
      <c r="AO271" s="4">
        <f>IFERROR(__xludf.DUMMYFUNCTION("""COMPUTED_VALUE"""),51.159762467166956)</f>
        <v>51.15976247</v>
      </c>
      <c r="AP271" s="4"/>
      <c r="AQ271" s="4"/>
      <c r="AR271" s="4">
        <f>IFERROR(__xludf.DUMMYFUNCTION("""COMPUTED_VALUE"""),41.494843187372794)</f>
        <v>41.49484319</v>
      </c>
      <c r="AS271" s="4"/>
      <c r="AT271" s="4"/>
      <c r="AU271" s="4">
        <f>IFERROR(__xludf.DUMMYFUNCTION("""COMPUTED_VALUE"""),37.7258653304861)</f>
        <v>37.72586533</v>
      </c>
      <c r="AV271" s="4"/>
      <c r="AW271" s="4"/>
      <c r="AX271" s="4">
        <f>IFERROR(__xludf.DUMMYFUNCTION("""COMPUTED_VALUE"""),28.745242516421172)</f>
        <v>28.74524252</v>
      </c>
      <c r="AY271" s="4"/>
      <c r="AZ271" s="4"/>
      <c r="BA271" s="4">
        <f>IFERROR(__xludf.DUMMYFUNCTION("""COMPUTED_VALUE"""),22.777426076457402)</f>
        <v>22.77742608</v>
      </c>
      <c r="BB271" s="4"/>
      <c r="BC271" s="4"/>
      <c r="BD271" s="4">
        <f>IFERROR(__xludf.DUMMYFUNCTION("""COMPUTED_VALUE"""),20.664245652586658)</f>
        <v>20.66424565</v>
      </c>
      <c r="BE271" s="4"/>
      <c r="BF271" s="4"/>
      <c r="BG271" s="4">
        <f>IFERROR(__xludf.DUMMYFUNCTION("""COMPUTED_VALUE"""),15.30198061610173)</f>
        <v>15.30198062</v>
      </c>
      <c r="BH271" s="4"/>
      <c r="BI271" s="4"/>
      <c r="BJ271" s="4"/>
      <c r="BK271" s="4"/>
    </row>
    <row r="272">
      <c r="A272" s="4"/>
      <c r="B272" s="4"/>
      <c r="C272" s="4"/>
      <c r="D272" s="4">
        <f>IFERROR(__xludf.DUMMYFUNCTION("""COMPUTED_VALUE"""),-36.73184528370301)</f>
        <v>-36.73184528</v>
      </c>
      <c r="E272" s="23">
        <f>IFERROR(__xludf.DUMMYFUNCTION("""COMPUTED_VALUE"""),151.9314855361365)</f>
        <v>151.9314855</v>
      </c>
      <c r="F272" s="4"/>
      <c r="G272" s="4"/>
      <c r="H272" s="4">
        <f>IFERROR(__xludf.DUMMYFUNCTION("""COMPUTED_VALUE"""),127.51119898288687)</f>
        <v>127.511199</v>
      </c>
      <c r="I272" s="4"/>
      <c r="J272" s="4"/>
      <c r="K272" s="4">
        <f>IFERROR(__xludf.DUMMYFUNCTION("""COMPUTED_VALUE"""),114.76805120675317)</f>
        <v>114.7680512</v>
      </c>
      <c r="L272" s="4"/>
      <c r="M272" s="4"/>
      <c r="N272" s="4">
        <f>IFERROR(__xludf.DUMMYFUNCTION("""COMPUTED_VALUE"""),83.8920935532525)</f>
        <v>83.89209355</v>
      </c>
      <c r="O272" s="4"/>
      <c r="P272" s="4"/>
      <c r="Q272" s="4">
        <f>IFERROR(__xludf.DUMMYFUNCTION("""COMPUTED_VALUE"""),73.5278463550278)</f>
        <v>73.52784636</v>
      </c>
      <c r="R272" s="4"/>
      <c r="S272" s="4"/>
      <c r="T272" s="4">
        <f>IFERROR(__xludf.DUMMYFUNCTION("""COMPUTED_VALUE"""),54.811675650628615)</f>
        <v>54.81167565</v>
      </c>
      <c r="U272" s="4"/>
      <c r="V272" s="4"/>
      <c r="W272" s="4">
        <f>IFERROR(__xludf.DUMMYFUNCTION("""COMPUTED_VALUE"""),43.16798375362981)</f>
        <v>43.16798375</v>
      </c>
      <c r="X272" s="4"/>
      <c r="Y272" s="4"/>
      <c r="Z272" s="4">
        <f>IFERROR(__xludf.DUMMYFUNCTION("""COMPUTED_VALUE"""),46.37702074337176)</f>
        <v>46.37702074</v>
      </c>
      <c r="AA272" s="4"/>
      <c r="AB272" s="4"/>
      <c r="AC272" s="4">
        <f>IFERROR(__xludf.DUMMYFUNCTION("""COMPUTED_VALUE"""),59.450314350833594)</f>
        <v>59.45031435</v>
      </c>
      <c r="AD272" s="4"/>
      <c r="AE272" s="4"/>
      <c r="AF272" s="4">
        <f>IFERROR(__xludf.DUMMYFUNCTION("""COMPUTED_VALUE"""),56.263906709632636)</f>
        <v>56.26390671</v>
      </c>
      <c r="AG272" s="4"/>
      <c r="AH272" s="4"/>
      <c r="AI272" s="4">
        <f>IFERROR(__xludf.DUMMYFUNCTION("""COMPUTED_VALUE"""),52.2175211200767)</f>
        <v>52.21752112</v>
      </c>
      <c r="AJ272" s="4"/>
      <c r="AK272" s="4"/>
      <c r="AL272" s="4">
        <f>IFERROR(__xludf.DUMMYFUNCTION("""COMPUTED_VALUE"""),60.92517350587667)</f>
        <v>60.92517351</v>
      </c>
      <c r="AM272" s="4"/>
      <c r="AN272" s="4"/>
      <c r="AO272" s="4">
        <f>IFERROR(__xludf.DUMMYFUNCTION("""COMPUTED_VALUE"""),46.931535462355555)</f>
        <v>46.93153546</v>
      </c>
      <c r="AP272" s="4"/>
      <c r="AQ272" s="4"/>
      <c r="AR272" s="4">
        <f>IFERROR(__xludf.DUMMYFUNCTION("""COMPUTED_VALUE"""),46.822224460719326)</f>
        <v>46.82222446</v>
      </c>
      <c r="AS272" s="4"/>
      <c r="AT272" s="4"/>
      <c r="AU272" s="4">
        <f>IFERROR(__xludf.DUMMYFUNCTION("""COMPUTED_VALUE"""),41.021503534381225)</f>
        <v>41.02150353</v>
      </c>
      <c r="AV272" s="4"/>
      <c r="AW272" s="4"/>
      <c r="AX272" s="4">
        <f>IFERROR(__xludf.DUMMYFUNCTION("""COMPUTED_VALUE"""),33.92496785846214)</f>
        <v>33.92496786</v>
      </c>
      <c r="AY272" s="4"/>
      <c r="AZ272" s="4"/>
      <c r="BA272" s="4">
        <f>IFERROR(__xludf.DUMMYFUNCTION("""COMPUTED_VALUE"""),20.3145742298434)</f>
        <v>20.31457423</v>
      </c>
      <c r="BB272" s="4"/>
      <c r="BC272" s="4"/>
      <c r="BD272" s="4">
        <f>IFERROR(__xludf.DUMMYFUNCTION("""COMPUTED_VALUE"""),16.43848752162586)</f>
        <v>16.43848752</v>
      </c>
      <c r="BE272" s="4"/>
      <c r="BF272" s="4"/>
      <c r="BG272" s="4">
        <f>IFERROR(__xludf.DUMMYFUNCTION("""COMPUTED_VALUE"""),10.353931117079128)</f>
        <v>10.35393112</v>
      </c>
      <c r="BH272" s="4"/>
      <c r="BI272" s="4"/>
      <c r="BJ272" s="4"/>
      <c r="BK272" s="4"/>
    </row>
    <row r="273">
      <c r="A273" s="4"/>
      <c r="B273" s="4"/>
      <c r="C273" s="4"/>
      <c r="D273" s="4">
        <f>IFERROR(__xludf.DUMMYFUNCTION("""COMPUTED_VALUE"""),-37.65014141650309)</f>
        <v>-37.65014142</v>
      </c>
      <c r="E273" s="23">
        <f>IFERROR(__xludf.DUMMYFUNCTION("""COMPUTED_VALUE"""),131.6798242649371)</f>
        <v>131.6798243</v>
      </c>
      <c r="F273" s="4"/>
      <c r="G273" s="4"/>
      <c r="H273" s="4">
        <f>IFERROR(__xludf.DUMMYFUNCTION("""COMPUTED_VALUE"""),109.03827558964218)</f>
        <v>109.0382756</v>
      </c>
      <c r="I273" s="4"/>
      <c r="J273" s="4"/>
      <c r="K273" s="4">
        <f>IFERROR(__xludf.DUMMYFUNCTION("""COMPUTED_VALUE"""),107.27557480623801)</f>
        <v>107.2755748</v>
      </c>
      <c r="L273" s="4"/>
      <c r="M273" s="4"/>
      <c r="N273" s="4">
        <f>IFERROR(__xludf.DUMMYFUNCTION("""COMPUTED_VALUE"""),76.57570391369251)</f>
        <v>76.57570391</v>
      </c>
      <c r="O273" s="4"/>
      <c r="P273" s="4"/>
      <c r="Q273" s="4">
        <f>IFERROR(__xludf.DUMMYFUNCTION("""COMPUTED_VALUE"""),56.5013879124005)</f>
        <v>56.50138791</v>
      </c>
      <c r="R273" s="4"/>
      <c r="S273" s="4"/>
      <c r="T273" s="4">
        <f>IFERROR(__xludf.DUMMYFUNCTION("""COMPUTED_VALUE"""),48.66518173043147)</f>
        <v>48.66518173</v>
      </c>
      <c r="U273" s="4"/>
      <c r="V273" s="4"/>
      <c r="W273" s="4">
        <f>IFERROR(__xludf.DUMMYFUNCTION("""COMPUTED_VALUE"""),38.7978439366766)</f>
        <v>38.79784394</v>
      </c>
      <c r="X273" s="4"/>
      <c r="Y273" s="4"/>
      <c r="Z273" s="4">
        <f>IFERROR(__xludf.DUMMYFUNCTION("""COMPUTED_VALUE"""),47.023513666314614)</f>
        <v>47.02351367</v>
      </c>
      <c r="AA273" s="4"/>
      <c r="AB273" s="4"/>
      <c r="AC273" s="4">
        <f>IFERROR(__xludf.DUMMYFUNCTION("""COMPUTED_VALUE"""),50.80879656532193)</f>
        <v>50.80879657</v>
      </c>
      <c r="AD273" s="4"/>
      <c r="AE273" s="4"/>
      <c r="AF273" s="4">
        <f>IFERROR(__xludf.DUMMYFUNCTION("""COMPUTED_VALUE"""),54.965472855008954)</f>
        <v>54.96547286</v>
      </c>
      <c r="AG273" s="4"/>
      <c r="AH273" s="4"/>
      <c r="AI273" s="4">
        <f>IFERROR(__xludf.DUMMYFUNCTION("""COMPUTED_VALUE"""),48.811944960609424)</f>
        <v>48.81194496</v>
      </c>
      <c r="AJ273" s="4"/>
      <c r="AK273" s="4"/>
      <c r="AL273" s="4">
        <f>IFERROR(__xludf.DUMMYFUNCTION("""COMPUTED_VALUE"""),53.736328493023905)</f>
        <v>53.73632849</v>
      </c>
      <c r="AM273" s="4"/>
      <c r="AN273" s="4"/>
      <c r="AO273" s="4">
        <f>IFERROR(__xludf.DUMMYFUNCTION("""COMPUTED_VALUE"""),44.67611392031887)</f>
        <v>44.67611392</v>
      </c>
      <c r="AP273" s="4"/>
      <c r="AQ273" s="4"/>
      <c r="AR273" s="4">
        <f>IFERROR(__xludf.DUMMYFUNCTION("""COMPUTED_VALUE"""),44.67884552332515)</f>
        <v>44.67884552</v>
      </c>
      <c r="AS273" s="4"/>
      <c r="AT273" s="4"/>
      <c r="AU273" s="4">
        <f>IFERROR(__xludf.DUMMYFUNCTION("""COMPUTED_VALUE"""),41.33395073636308)</f>
        <v>41.33395074</v>
      </c>
      <c r="AV273" s="4"/>
      <c r="AW273" s="4"/>
      <c r="AX273" s="4">
        <f>IFERROR(__xludf.DUMMYFUNCTION("""COMPUTED_VALUE"""),24.53405755319335)</f>
        <v>24.53405755</v>
      </c>
      <c r="AY273" s="4"/>
      <c r="AZ273" s="4"/>
      <c r="BA273" s="4">
        <f>IFERROR(__xludf.DUMMYFUNCTION("""COMPUTED_VALUE"""),20.882282545136604)</f>
        <v>20.88228255</v>
      </c>
      <c r="BB273" s="4"/>
      <c r="BC273" s="4"/>
      <c r="BD273" s="4">
        <f>IFERROR(__xludf.DUMMYFUNCTION("""COMPUTED_VALUE"""),20.550956262473903)</f>
        <v>20.55095626</v>
      </c>
      <c r="BE273" s="4"/>
      <c r="BF273" s="4"/>
      <c r="BG273" s="4">
        <f>IFERROR(__xludf.DUMMYFUNCTION("""COMPUTED_VALUE"""),9.520503099490611)</f>
        <v>9.520503099</v>
      </c>
      <c r="BH273" s="4"/>
      <c r="BI273" s="4"/>
      <c r="BJ273" s="4"/>
      <c r="BK273" s="4"/>
    </row>
    <row r="274">
      <c r="A274" s="4"/>
      <c r="B274" s="4"/>
      <c r="C274" s="4"/>
      <c r="D274" s="4">
        <f>IFERROR(__xludf.DUMMYFUNCTION("""COMPUTED_VALUE"""),-38.56843754930316)</f>
        <v>-38.56843755</v>
      </c>
      <c r="E274" s="23">
        <f>IFERROR(__xludf.DUMMYFUNCTION("""COMPUTED_VALUE"""),113.3927316045071)</f>
        <v>113.3927316</v>
      </c>
      <c r="F274" s="4"/>
      <c r="G274" s="4"/>
      <c r="H274" s="4">
        <f>IFERROR(__xludf.DUMMYFUNCTION("""COMPUTED_VALUE"""),93.19823301319252)</f>
        <v>93.19823301</v>
      </c>
      <c r="I274" s="4"/>
      <c r="J274" s="4"/>
      <c r="K274" s="4">
        <f>IFERROR(__xludf.DUMMYFUNCTION("""COMPUTED_VALUE"""),85.16035400735643)</f>
        <v>85.16035401</v>
      </c>
      <c r="L274" s="4"/>
      <c r="M274" s="4"/>
      <c r="N274" s="4">
        <f>IFERROR(__xludf.DUMMYFUNCTION("""COMPUTED_VALUE"""),56.92231035387954)</f>
        <v>56.92231035</v>
      </c>
      <c r="O274" s="4"/>
      <c r="P274" s="4"/>
      <c r="Q274" s="4">
        <f>IFERROR(__xludf.DUMMYFUNCTION("""COMPUTED_VALUE"""),56.716393720876965)</f>
        <v>56.71639372</v>
      </c>
      <c r="R274" s="4"/>
      <c r="S274" s="4"/>
      <c r="T274" s="4">
        <f>IFERROR(__xludf.DUMMYFUNCTION("""COMPUTED_VALUE"""),41.44225312208226)</f>
        <v>41.44225312</v>
      </c>
      <c r="U274" s="4"/>
      <c r="V274" s="4"/>
      <c r="W274" s="4">
        <f>IFERROR(__xludf.DUMMYFUNCTION("""COMPUTED_VALUE"""),37.46145558733264)</f>
        <v>37.46145559</v>
      </c>
      <c r="X274" s="4"/>
      <c r="Y274" s="4"/>
      <c r="Z274" s="4">
        <f>IFERROR(__xludf.DUMMYFUNCTION("""COMPUTED_VALUE"""),35.967150317449125)</f>
        <v>35.96715032</v>
      </c>
      <c r="AA274" s="4"/>
      <c r="AB274" s="4"/>
      <c r="AC274" s="4">
        <f>IFERROR(__xludf.DUMMYFUNCTION("""COMPUTED_VALUE"""),47.45644662711862)</f>
        <v>47.45644663</v>
      </c>
      <c r="AD274" s="4"/>
      <c r="AE274" s="4"/>
      <c r="AF274" s="4">
        <f>IFERROR(__xludf.DUMMYFUNCTION("""COMPUTED_VALUE"""),54.23155941339229)</f>
        <v>54.23155941</v>
      </c>
      <c r="AG274" s="4"/>
      <c r="AH274" s="4"/>
      <c r="AI274" s="4">
        <f>IFERROR(__xludf.DUMMYFUNCTION("""COMPUTED_VALUE"""),52.313892430569865)</f>
        <v>52.31389243</v>
      </c>
      <c r="AJ274" s="4"/>
      <c r="AK274" s="4"/>
      <c r="AL274" s="4">
        <f>IFERROR(__xludf.DUMMYFUNCTION("""COMPUTED_VALUE"""),54.032290746335036)</f>
        <v>54.03229075</v>
      </c>
      <c r="AM274" s="4"/>
      <c r="AN274" s="4"/>
      <c r="AO274" s="4">
        <f>IFERROR(__xludf.DUMMYFUNCTION("""COMPUTED_VALUE"""),45.31732400012072)</f>
        <v>45.317324</v>
      </c>
      <c r="AP274" s="4"/>
      <c r="AQ274" s="4"/>
      <c r="AR274" s="4">
        <f>IFERROR(__xludf.DUMMYFUNCTION("""COMPUTED_VALUE"""),43.01384340691607)</f>
        <v>43.01384341</v>
      </c>
      <c r="AS274" s="4"/>
      <c r="AT274" s="4"/>
      <c r="AU274" s="4">
        <f>IFERROR(__xludf.DUMMYFUNCTION("""COMPUTED_VALUE"""),36.611085740946635)</f>
        <v>36.61108574</v>
      </c>
      <c r="AV274" s="4"/>
      <c r="AW274" s="4"/>
      <c r="AX274" s="4">
        <f>IFERROR(__xludf.DUMMYFUNCTION("""COMPUTED_VALUE"""),30.71578097619357)</f>
        <v>30.71578098</v>
      </c>
      <c r="AY274" s="4"/>
      <c r="AZ274" s="4"/>
      <c r="BA274" s="4">
        <f>IFERROR(__xludf.DUMMYFUNCTION("""COMPUTED_VALUE"""),21.19285107702234)</f>
        <v>21.19285108</v>
      </c>
      <c r="BB274" s="4"/>
      <c r="BC274" s="4"/>
      <c r="BD274" s="4">
        <f>IFERROR(__xludf.DUMMYFUNCTION("""COMPUTED_VALUE"""),17.34055169266321)</f>
        <v>17.34055169</v>
      </c>
      <c r="BE274" s="4"/>
      <c r="BF274" s="4"/>
      <c r="BG274" s="4">
        <f>IFERROR(__xludf.DUMMYFUNCTION("""COMPUTED_VALUE"""),17.71646497765306)</f>
        <v>17.71646498</v>
      </c>
      <c r="BH274" s="4"/>
      <c r="BI274" s="4"/>
      <c r="BJ274" s="4"/>
      <c r="BK274" s="4"/>
    </row>
    <row r="275">
      <c r="A275" s="4"/>
      <c r="B275" s="4"/>
      <c r="C275" s="4"/>
      <c r="D275" s="4">
        <f>IFERROR(__xludf.DUMMYFUNCTION("""COMPUTED_VALUE"""),-39.486733679937934)</f>
        <v>-39.48673368</v>
      </c>
      <c r="E275" s="23">
        <f>IFERROR(__xludf.DUMMYFUNCTION("""COMPUTED_VALUE"""),85.87421914976369)</f>
        <v>85.87421915</v>
      </c>
      <c r="F275" s="4"/>
      <c r="G275" s="4"/>
      <c r="H275" s="4">
        <f>IFERROR(__xludf.DUMMYFUNCTION("""COMPUTED_VALUE"""),74.48967625717927)</f>
        <v>74.48967626</v>
      </c>
      <c r="I275" s="4"/>
      <c r="J275" s="4"/>
      <c r="K275" s="4">
        <f>IFERROR(__xludf.DUMMYFUNCTION("""COMPUTED_VALUE"""),57.80960091865626)</f>
        <v>57.80960092</v>
      </c>
      <c r="L275" s="4"/>
      <c r="M275" s="4"/>
      <c r="N275" s="4">
        <f>IFERROR(__xludf.DUMMYFUNCTION("""COMPUTED_VALUE"""),42.59003038850693)</f>
        <v>42.59003039</v>
      </c>
      <c r="O275" s="4"/>
      <c r="P275" s="4"/>
      <c r="Q275" s="4">
        <f>IFERROR(__xludf.DUMMYFUNCTION("""COMPUTED_VALUE"""),38.663381883808825)</f>
        <v>38.66338188</v>
      </c>
      <c r="R275" s="4"/>
      <c r="S275" s="4"/>
      <c r="T275" s="4">
        <f>IFERROR(__xludf.DUMMYFUNCTION("""COMPUTED_VALUE"""),30.352085243727345)</f>
        <v>30.35208524</v>
      </c>
      <c r="U275" s="4"/>
      <c r="V275" s="4"/>
      <c r="W275" s="4">
        <f>IFERROR(__xludf.DUMMYFUNCTION("""COMPUTED_VALUE"""),27.473206289800373)</f>
        <v>27.47320629</v>
      </c>
      <c r="X275" s="4"/>
      <c r="Y275" s="4"/>
      <c r="Z275" s="4">
        <f>IFERROR(__xludf.DUMMYFUNCTION("""COMPUTED_VALUE"""),29.06691279515843)</f>
        <v>29.0669128</v>
      </c>
      <c r="AA275" s="4"/>
      <c r="AB275" s="4"/>
      <c r="AC275" s="4">
        <f>IFERROR(__xludf.DUMMYFUNCTION("""COMPUTED_VALUE"""),49.320490105404815)</f>
        <v>49.32049011</v>
      </c>
      <c r="AD275" s="4"/>
      <c r="AE275" s="4"/>
      <c r="AF275" s="4">
        <f>IFERROR(__xludf.DUMMYFUNCTION("""COMPUTED_VALUE"""),52.14026798081403)</f>
        <v>52.14026798</v>
      </c>
      <c r="AG275" s="4"/>
      <c r="AH275" s="4"/>
      <c r="AI275" s="4">
        <f>IFERROR(__xludf.DUMMYFUNCTION("""COMPUTED_VALUE"""),53.90271089326069)</f>
        <v>53.90271089</v>
      </c>
      <c r="AJ275" s="4"/>
      <c r="AK275" s="4"/>
      <c r="AL275" s="4">
        <f>IFERROR(__xludf.DUMMYFUNCTION("""COMPUTED_VALUE"""),51.11374678709632)</f>
        <v>51.11374679</v>
      </c>
      <c r="AM275" s="4"/>
      <c r="AN275" s="4"/>
      <c r="AO275" s="4">
        <f>IFERROR(__xludf.DUMMYFUNCTION("""COMPUTED_VALUE"""),43.21490049464728)</f>
        <v>43.21490049</v>
      </c>
      <c r="AP275" s="4"/>
      <c r="AQ275" s="4"/>
      <c r="AR275" s="4">
        <f>IFERROR(__xludf.DUMMYFUNCTION("""COMPUTED_VALUE"""),46.12242646574333)</f>
        <v>46.12242647</v>
      </c>
      <c r="AS275" s="4"/>
      <c r="AT275" s="4"/>
      <c r="AU275" s="4">
        <f>IFERROR(__xludf.DUMMYFUNCTION("""COMPUTED_VALUE"""),35.15161512151826)</f>
        <v>35.15161512</v>
      </c>
      <c r="AV275" s="4"/>
      <c r="AW275" s="4"/>
      <c r="AX275" s="4">
        <f>IFERROR(__xludf.DUMMYFUNCTION("""COMPUTED_VALUE"""),28.72829377608906)</f>
        <v>28.72829378</v>
      </c>
      <c r="AY275" s="4"/>
      <c r="AZ275" s="4"/>
      <c r="BA275" s="4">
        <f>IFERROR(__xludf.DUMMYFUNCTION("""COMPUTED_VALUE"""),21.305524209690248)</f>
        <v>21.30552421</v>
      </c>
      <c r="BB275" s="4"/>
      <c r="BC275" s="4"/>
      <c r="BD275" s="4">
        <f>IFERROR(__xludf.DUMMYFUNCTION("""COMPUTED_VALUE"""),10.037213484634549)</f>
        <v>10.03721348</v>
      </c>
      <c r="BE275" s="4"/>
      <c r="BF275" s="4"/>
      <c r="BG275" s="4">
        <f>IFERROR(__xludf.DUMMYFUNCTION("""COMPUTED_VALUE"""),12.099966654031562)</f>
        <v>12.09996665</v>
      </c>
      <c r="BH275" s="4"/>
      <c r="BI275" s="4"/>
      <c r="BJ275" s="4"/>
      <c r="BK275" s="4"/>
    </row>
    <row r="276">
      <c r="A276" s="4"/>
      <c r="B276" s="4"/>
      <c r="C276" s="4"/>
      <c r="D276" s="4">
        <f>IFERROR(__xludf.DUMMYFUNCTION("""COMPUTED_VALUE"""),-40.40502981273801)</f>
        <v>-40.40502981</v>
      </c>
      <c r="E276" s="23">
        <f>IFERROR(__xludf.DUMMYFUNCTION("""COMPUTED_VALUE"""),65.92047079446598)</f>
        <v>65.92047079</v>
      </c>
      <c r="F276" s="4"/>
      <c r="G276" s="4"/>
      <c r="H276" s="4">
        <f>IFERROR(__xludf.DUMMYFUNCTION("""COMPUTED_VALUE"""),58.97927051208717)</f>
        <v>58.97927051</v>
      </c>
      <c r="I276" s="4"/>
      <c r="J276" s="4"/>
      <c r="K276" s="4">
        <f>IFERROR(__xludf.DUMMYFUNCTION("""COMPUTED_VALUE"""),52.48287564255742)</f>
        <v>52.48287564</v>
      </c>
      <c r="L276" s="4"/>
      <c r="M276" s="4"/>
      <c r="N276" s="4">
        <f>IFERROR(__xludf.DUMMYFUNCTION("""COMPUTED_VALUE"""),39.15385986172748)</f>
        <v>39.15385986</v>
      </c>
      <c r="O276" s="4"/>
      <c r="P276" s="4"/>
      <c r="Q276" s="4">
        <f>IFERROR(__xludf.DUMMYFUNCTION("""COMPUTED_VALUE"""),35.53444329660033)</f>
        <v>35.5344433</v>
      </c>
      <c r="R276" s="4"/>
      <c r="S276" s="4"/>
      <c r="T276" s="4">
        <f>IFERROR(__xludf.DUMMYFUNCTION("""COMPUTED_VALUE"""),31.081423744172127)</f>
        <v>31.08142374</v>
      </c>
      <c r="U276" s="4"/>
      <c r="V276" s="4"/>
      <c r="W276" s="4">
        <f>IFERROR(__xludf.DUMMYFUNCTION("""COMPUTED_VALUE"""),20.72744636839724)</f>
        <v>20.72744637</v>
      </c>
      <c r="X276" s="4"/>
      <c r="Y276" s="4"/>
      <c r="Z276" s="4">
        <f>IFERROR(__xludf.DUMMYFUNCTION("""COMPUTED_VALUE"""),32.97330414406241)</f>
        <v>32.97330414</v>
      </c>
      <c r="AA276" s="4"/>
      <c r="AB276" s="4"/>
      <c r="AC276" s="4">
        <f>IFERROR(__xludf.DUMMYFUNCTION("""COMPUTED_VALUE"""),49.382715881350464)</f>
        <v>49.38271588</v>
      </c>
      <c r="AD276" s="4"/>
      <c r="AE276" s="4"/>
      <c r="AF276" s="4">
        <f>IFERROR(__xludf.DUMMYFUNCTION("""COMPUTED_VALUE"""),53.10851759871963)</f>
        <v>53.1085176</v>
      </c>
      <c r="AG276" s="4"/>
      <c r="AH276" s="4"/>
      <c r="AI276" s="4">
        <f>IFERROR(__xludf.DUMMYFUNCTION("""COMPUTED_VALUE"""),50.396713324153836)</f>
        <v>50.39671332</v>
      </c>
      <c r="AJ276" s="4"/>
      <c r="AK276" s="4"/>
      <c r="AL276" s="4">
        <f>IFERROR(__xludf.DUMMYFUNCTION("""COMPUTED_VALUE"""),48.17586544408579)</f>
        <v>48.17586544</v>
      </c>
      <c r="AM276" s="4"/>
      <c r="AN276" s="4"/>
      <c r="AO276" s="4">
        <f>IFERROR(__xludf.DUMMYFUNCTION("""COMPUTED_VALUE"""),47.88033839849544)</f>
        <v>47.8803384</v>
      </c>
      <c r="AP276" s="4"/>
      <c r="AQ276" s="4"/>
      <c r="AR276" s="4">
        <f>IFERROR(__xludf.DUMMYFUNCTION("""COMPUTED_VALUE"""),46.752543338865564)</f>
        <v>46.75254334</v>
      </c>
      <c r="AS276" s="4"/>
      <c r="AT276" s="4"/>
      <c r="AU276" s="4">
        <f>IFERROR(__xludf.DUMMYFUNCTION("""COMPUTED_VALUE"""),29.24547005661674)</f>
        <v>29.24547006</v>
      </c>
      <c r="AV276" s="4"/>
      <c r="AW276" s="4"/>
      <c r="AX276" s="4">
        <f>IFERROR(__xludf.DUMMYFUNCTION("""COMPUTED_VALUE"""),27.868820942179866)</f>
        <v>27.86882094</v>
      </c>
      <c r="AY276" s="4"/>
      <c r="AZ276" s="4"/>
      <c r="BA276" s="4">
        <f>IFERROR(__xludf.DUMMYFUNCTION("""COMPUTED_VALUE"""),27.320729289504357)</f>
        <v>27.32072929</v>
      </c>
      <c r="BB276" s="4"/>
      <c r="BC276" s="4"/>
      <c r="BD276" s="4">
        <f>IFERROR(__xludf.DUMMYFUNCTION("""COMPUTED_VALUE"""),17.985943949090313)</f>
        <v>17.98594395</v>
      </c>
      <c r="BE276" s="4"/>
      <c r="BF276" s="4"/>
      <c r="BG276" s="4">
        <f>IFERROR(__xludf.DUMMYFUNCTION("""COMPUTED_VALUE"""),17.16338355472533)</f>
        <v>17.16338355</v>
      </c>
      <c r="BH276" s="4"/>
      <c r="BI276" s="4"/>
      <c r="BJ276" s="4"/>
      <c r="BK276" s="4"/>
    </row>
    <row r="277">
      <c r="A277" s="4"/>
      <c r="B277" s="4"/>
      <c r="C277" s="4"/>
      <c r="D277" s="4">
        <f>IFERROR(__xludf.DUMMYFUNCTION("""COMPUTED_VALUE"""),-41.32332594548773)</f>
        <v>-41.32332595</v>
      </c>
      <c r="E277" s="23">
        <f>IFERROR(__xludf.DUMMYFUNCTION("""COMPUTED_VALUE"""),49.93856673003609)</f>
        <v>49.93856673</v>
      </c>
      <c r="F277" s="4"/>
      <c r="G277" s="4"/>
      <c r="H277" s="4">
        <f>IFERROR(__xludf.DUMMYFUNCTION("""COMPUTED_VALUE"""),39.21576981352683)</f>
        <v>39.21576981</v>
      </c>
      <c r="I277" s="4"/>
      <c r="J277" s="4"/>
      <c r="K277" s="4">
        <f>IFERROR(__xludf.DUMMYFUNCTION("""COMPUTED_VALUE"""),34.22135438581449)</f>
        <v>34.22135439</v>
      </c>
      <c r="L277" s="4"/>
      <c r="M277" s="4"/>
      <c r="N277" s="4">
        <f>IFERROR(__xludf.DUMMYFUNCTION("""COMPUTED_VALUE"""),29.988183298831075)</f>
        <v>29.9881833</v>
      </c>
      <c r="O277" s="4"/>
      <c r="P277" s="4"/>
      <c r="Q277" s="4">
        <f>IFERROR(__xludf.DUMMYFUNCTION("""COMPUTED_VALUE"""),29.703513512846257)</f>
        <v>29.70351351</v>
      </c>
      <c r="R277" s="4"/>
      <c r="S277" s="4"/>
      <c r="T277" s="4">
        <f>IFERROR(__xludf.DUMMYFUNCTION("""COMPUTED_VALUE"""),24.4206736202064)</f>
        <v>24.42067362</v>
      </c>
      <c r="U277" s="4"/>
      <c r="V277" s="4"/>
      <c r="W277" s="4">
        <f>IFERROR(__xludf.DUMMYFUNCTION("""COMPUTED_VALUE"""),18.09975845289415)</f>
        <v>18.09975845</v>
      </c>
      <c r="X277" s="4"/>
      <c r="Y277" s="4"/>
      <c r="Z277" s="4">
        <f>IFERROR(__xludf.DUMMYFUNCTION("""COMPUTED_VALUE"""),26.883224117709517)</f>
        <v>26.88322412</v>
      </c>
      <c r="AA277" s="4"/>
      <c r="AB277" s="4"/>
      <c r="AC277" s="4">
        <f>IFERROR(__xludf.DUMMYFUNCTION("""COMPUTED_VALUE"""),46.316003310401754)</f>
        <v>46.31600331</v>
      </c>
      <c r="AD277" s="4"/>
      <c r="AE277" s="4"/>
      <c r="AF277" s="4">
        <f>IFERROR(__xludf.DUMMYFUNCTION("""COMPUTED_VALUE"""),49.284537196753206)</f>
        <v>49.2845372</v>
      </c>
      <c r="AG277" s="4"/>
      <c r="AH277" s="4"/>
      <c r="AI277" s="4">
        <f>IFERROR(__xludf.DUMMYFUNCTION("""COMPUTED_VALUE"""),50.645086705583196)</f>
        <v>50.64508671</v>
      </c>
      <c r="AJ277" s="4"/>
      <c r="AK277" s="4"/>
      <c r="AL277" s="4">
        <f>IFERROR(__xludf.DUMMYFUNCTION("""COMPUTED_VALUE"""),50.62263150778824)</f>
        <v>50.62263151</v>
      </c>
      <c r="AM277" s="4"/>
      <c r="AN277" s="4"/>
      <c r="AO277" s="4">
        <f>IFERROR(__xludf.DUMMYFUNCTION("""COMPUTED_VALUE"""),46.91211452758921)</f>
        <v>46.91211453</v>
      </c>
      <c r="AP277" s="4"/>
      <c r="AQ277" s="4"/>
      <c r="AR277" s="4">
        <f>IFERROR(__xludf.DUMMYFUNCTION("""COMPUTED_VALUE"""),50.119384920326866)</f>
        <v>50.11938492</v>
      </c>
      <c r="AS277" s="4"/>
      <c r="AT277" s="4"/>
      <c r="AU277" s="4">
        <f>IFERROR(__xludf.DUMMYFUNCTION("""COMPUTED_VALUE"""),28.56658267517315)</f>
        <v>28.56658268</v>
      </c>
      <c r="AV277" s="4"/>
      <c r="AW277" s="4"/>
      <c r="AX277" s="4">
        <f>IFERROR(__xludf.DUMMYFUNCTION("""COMPUTED_VALUE"""),27.40364912848713)</f>
        <v>27.40364913</v>
      </c>
      <c r="AY277" s="4"/>
      <c r="AZ277" s="4"/>
      <c r="BA277" s="4">
        <f>IFERROR(__xludf.DUMMYFUNCTION("""COMPUTED_VALUE"""),25.028861207366845)</f>
        <v>25.02886121</v>
      </c>
      <c r="BB277" s="4"/>
      <c r="BC277" s="4"/>
      <c r="BD277" s="4">
        <f>IFERROR(__xludf.DUMMYFUNCTION("""COMPUTED_VALUE"""),13.814124662390725)</f>
        <v>13.81412466</v>
      </c>
      <c r="BE277" s="4"/>
      <c r="BF277" s="4"/>
      <c r="BG277" s="4">
        <f>IFERROR(__xludf.DUMMYFUNCTION("""COMPUTED_VALUE"""),10.710787458553682)</f>
        <v>10.71078746</v>
      </c>
      <c r="BH277" s="4"/>
      <c r="BI277" s="4"/>
      <c r="BJ277" s="4"/>
      <c r="BK277" s="4"/>
    </row>
    <row r="278">
      <c r="A278" s="4"/>
      <c r="B278" s="4"/>
      <c r="C278" s="4"/>
      <c r="D278" s="4">
        <f>IFERROR(__xludf.DUMMYFUNCTION("""COMPUTED_VALUE"""),-42.241622078287804)</f>
        <v>-42.24162208</v>
      </c>
      <c r="E278" s="23">
        <f>IFERROR(__xludf.DUMMYFUNCTION("""COMPUTED_VALUE"""),42.86190555937492)</f>
        <v>42.86190556</v>
      </c>
      <c r="F278" s="4"/>
      <c r="G278" s="4"/>
      <c r="H278" s="4">
        <f>IFERROR(__xludf.DUMMYFUNCTION("""COMPUTED_VALUE"""),40.81539166570434)</f>
        <v>40.81539167</v>
      </c>
      <c r="I278" s="4"/>
      <c r="J278" s="4"/>
      <c r="K278" s="4">
        <f>IFERROR(__xludf.DUMMYFUNCTION("""COMPUTED_VALUE"""),32.029921801775686)</f>
        <v>32.0299218</v>
      </c>
      <c r="L278" s="4"/>
      <c r="M278" s="4"/>
      <c r="N278" s="4">
        <f>IFERROR(__xludf.DUMMYFUNCTION("""COMPUTED_VALUE"""),26.267093826479254)</f>
        <v>26.26709383</v>
      </c>
      <c r="O278" s="4"/>
      <c r="P278" s="4"/>
      <c r="Q278" s="4">
        <f>IFERROR(__xludf.DUMMYFUNCTION("""COMPUTED_VALUE"""),26.422292037185684)</f>
        <v>26.42229204</v>
      </c>
      <c r="R278" s="4"/>
      <c r="S278" s="4"/>
      <c r="T278" s="4">
        <f>IFERROR(__xludf.DUMMYFUNCTION("""COMPUTED_VALUE"""),26.082623177457833)</f>
        <v>26.08262318</v>
      </c>
      <c r="U278" s="4"/>
      <c r="V278" s="4"/>
      <c r="W278" s="4">
        <f>IFERROR(__xludf.DUMMYFUNCTION("""COMPUTED_VALUE"""),23.34552932953659)</f>
        <v>23.34552933</v>
      </c>
      <c r="X278" s="4"/>
      <c r="Y278" s="4"/>
      <c r="Z278" s="4">
        <f>IFERROR(__xludf.DUMMYFUNCTION("""COMPUTED_VALUE"""),25.840348362824727)</f>
        <v>25.84034836</v>
      </c>
      <c r="AA278" s="4"/>
      <c r="AB278" s="4"/>
      <c r="AC278" s="4">
        <f>IFERROR(__xludf.DUMMYFUNCTION("""COMPUTED_VALUE"""),47.23066889668792)</f>
        <v>47.2306689</v>
      </c>
      <c r="AD278" s="4"/>
      <c r="AE278" s="4"/>
      <c r="AF278" s="4">
        <f>IFERROR(__xludf.DUMMYFUNCTION("""COMPUTED_VALUE"""),53.73452115238325)</f>
        <v>53.73452115</v>
      </c>
      <c r="AG278" s="4"/>
      <c r="AH278" s="4"/>
      <c r="AI278" s="4">
        <f>IFERROR(__xludf.DUMMYFUNCTION("""COMPUTED_VALUE"""),45.646063218126756)</f>
        <v>45.64606322</v>
      </c>
      <c r="AJ278" s="4"/>
      <c r="AK278" s="4"/>
      <c r="AL278" s="4">
        <f>IFERROR(__xludf.DUMMYFUNCTION("""COMPUTED_VALUE"""),53.25709251140461)</f>
        <v>53.25709251</v>
      </c>
      <c r="AM278" s="4"/>
      <c r="AN278" s="4"/>
      <c r="AO278" s="4">
        <f>IFERROR(__xludf.DUMMYFUNCTION("""COMPUTED_VALUE"""),42.295114350135634)</f>
        <v>42.29511435</v>
      </c>
      <c r="AP278" s="4"/>
      <c r="AQ278" s="4"/>
      <c r="AR278" s="4">
        <f>IFERROR(__xludf.DUMMYFUNCTION("""COMPUTED_VALUE"""),39.35565997184415)</f>
        <v>39.35565997</v>
      </c>
      <c r="AS278" s="4"/>
      <c r="AT278" s="4"/>
      <c r="AU278" s="4">
        <f>IFERROR(__xludf.DUMMYFUNCTION("""COMPUTED_VALUE"""),27.57279718170986)</f>
        <v>27.57279718</v>
      </c>
      <c r="AV278" s="4"/>
      <c r="AW278" s="4"/>
      <c r="AX278" s="4">
        <f>IFERROR(__xludf.DUMMYFUNCTION("""COMPUTED_VALUE"""),32.148688754465695)</f>
        <v>32.14868875</v>
      </c>
      <c r="AY278" s="4"/>
      <c r="AZ278" s="4"/>
      <c r="BA278" s="4">
        <f>IFERROR(__xludf.DUMMYFUNCTION("""COMPUTED_VALUE"""),20.98113487152642)</f>
        <v>20.98113487</v>
      </c>
      <c r="BB278" s="4"/>
      <c r="BC278" s="4"/>
      <c r="BD278" s="4">
        <f>IFERROR(__xludf.DUMMYFUNCTION("""COMPUTED_VALUE"""),18.168541724638203)</f>
        <v>18.16854172</v>
      </c>
      <c r="BE278" s="4"/>
      <c r="BF278" s="4"/>
      <c r="BG278" s="4">
        <f>IFERROR(__xludf.DUMMYFUNCTION("""COMPUTED_VALUE"""),10.413176684532402)</f>
        <v>10.41317668</v>
      </c>
      <c r="BH278" s="4"/>
      <c r="BI278" s="4"/>
      <c r="BJ278" s="4"/>
      <c r="BK278" s="4"/>
    </row>
    <row r="279">
      <c r="A279" s="4"/>
      <c r="B279" s="4"/>
      <c r="C279" s="4"/>
      <c r="D279" s="4">
        <f>IFERROR(__xludf.DUMMYFUNCTION("""COMPUTED_VALUE"""),-43.15991820897293)</f>
        <v>-43.15991821</v>
      </c>
      <c r="E279" s="23">
        <f>IFERROR(__xludf.DUMMYFUNCTION("""COMPUTED_VALUE"""),29.962065593135264)</f>
        <v>29.96206559</v>
      </c>
      <c r="F279" s="4"/>
      <c r="G279" s="4"/>
      <c r="H279" s="4">
        <f>IFERROR(__xludf.DUMMYFUNCTION("""COMPUTED_VALUE"""),30.733265737672355)</f>
        <v>30.73326574</v>
      </c>
      <c r="I279" s="4"/>
      <c r="J279" s="4"/>
      <c r="K279" s="4">
        <f>IFERROR(__xludf.DUMMYFUNCTION("""COMPUTED_VALUE"""),32.536412268920856)</f>
        <v>32.53641227</v>
      </c>
      <c r="L279" s="4"/>
      <c r="M279" s="4"/>
      <c r="N279" s="4">
        <f>IFERROR(__xludf.DUMMYFUNCTION("""COMPUTED_VALUE"""),27.582314445913823)</f>
        <v>27.58231445</v>
      </c>
      <c r="O279" s="4"/>
      <c r="P279" s="4"/>
      <c r="Q279" s="4">
        <f>IFERROR(__xludf.DUMMYFUNCTION("""COMPUTED_VALUE"""),19.7090114529895)</f>
        <v>19.70901145</v>
      </c>
      <c r="R279" s="4"/>
      <c r="S279" s="4"/>
      <c r="T279" s="4">
        <f>IFERROR(__xludf.DUMMYFUNCTION("""COMPUTED_VALUE"""),19.317410528945743)</f>
        <v>19.31741053</v>
      </c>
      <c r="U279" s="4"/>
      <c r="V279" s="4"/>
      <c r="W279" s="4">
        <f>IFERROR(__xludf.DUMMYFUNCTION("""COMPUTED_VALUE"""),8.56139387677564)</f>
        <v>8.561393877</v>
      </c>
      <c r="X279" s="4"/>
      <c r="Y279" s="4"/>
      <c r="Z279" s="4">
        <f>IFERROR(__xludf.DUMMYFUNCTION("""COMPUTED_VALUE"""),27.31654110521589)</f>
        <v>27.31654111</v>
      </c>
      <c r="AA279" s="4"/>
      <c r="AB279" s="4"/>
      <c r="AC279" s="4">
        <f>IFERROR(__xludf.DUMMYFUNCTION("""COMPUTED_VALUE"""),45.582275488059906)</f>
        <v>45.58227549</v>
      </c>
      <c r="AD279" s="4"/>
      <c r="AE279" s="4"/>
      <c r="AF279" s="4">
        <f>IFERROR(__xludf.DUMMYFUNCTION("""COMPUTED_VALUE"""),49.25720265279875)</f>
        <v>49.25720265</v>
      </c>
      <c r="AG279" s="4"/>
      <c r="AH279" s="4"/>
      <c r="AI279" s="4">
        <f>IFERROR(__xludf.DUMMYFUNCTION("""COMPUTED_VALUE"""),54.43184946145243)</f>
        <v>54.43184946</v>
      </c>
      <c r="AJ279" s="4"/>
      <c r="AK279" s="4"/>
      <c r="AL279" s="4">
        <f>IFERROR(__xludf.DUMMYFUNCTION("""COMPUTED_VALUE"""),56.21061613262037)</f>
        <v>56.21061613</v>
      </c>
      <c r="AM279" s="4"/>
      <c r="AN279" s="4"/>
      <c r="AO279" s="4">
        <f>IFERROR(__xludf.DUMMYFUNCTION("""COMPUTED_VALUE"""),51.49877585428948)</f>
        <v>51.49877585</v>
      </c>
      <c r="AP279" s="4"/>
      <c r="AQ279" s="4"/>
      <c r="AR279" s="4">
        <f>IFERROR(__xludf.DUMMYFUNCTION("""COMPUTED_VALUE"""),45.06160271668648)</f>
        <v>45.06160272</v>
      </c>
      <c r="AS279" s="4"/>
      <c r="AT279" s="4"/>
      <c r="AU279" s="4">
        <f>IFERROR(__xludf.DUMMYFUNCTION("""COMPUTED_VALUE"""),36.440734083812345)</f>
        <v>36.44073408</v>
      </c>
      <c r="AV279" s="4"/>
      <c r="AW279" s="4"/>
      <c r="AX279" s="4">
        <f>IFERROR(__xludf.DUMMYFUNCTION("""COMPUTED_VALUE"""),23.733427736230226)</f>
        <v>23.73342774</v>
      </c>
      <c r="AY279" s="4"/>
      <c r="AZ279" s="4"/>
      <c r="BA279" s="4">
        <f>IFERROR(__xludf.DUMMYFUNCTION("""COMPUTED_VALUE"""),19.01348465127228)</f>
        <v>19.01348465</v>
      </c>
      <c r="BB279" s="4"/>
      <c r="BC279" s="4"/>
      <c r="BD279" s="4">
        <f>IFERROR(__xludf.DUMMYFUNCTION("""COMPUTED_VALUE"""),10.712172002380953)</f>
        <v>10.712172</v>
      </c>
      <c r="BE279" s="4"/>
      <c r="BF279" s="4"/>
      <c r="BG279" s="4">
        <f>IFERROR(__xludf.DUMMYFUNCTION("""COMPUTED_VALUE"""),3.0381089975678037)</f>
        <v>3.038108998</v>
      </c>
      <c r="BH279" s="4"/>
      <c r="BI279" s="4"/>
      <c r="BJ279" s="4"/>
      <c r="BK279" s="4"/>
    </row>
    <row r="280">
      <c r="A280" s="4"/>
      <c r="B280" s="4"/>
      <c r="C280" s="4"/>
      <c r="D280" s="4">
        <f>IFERROR(__xludf.DUMMYFUNCTION("""COMPUTED_VALUE"""),-44.07821434172265)</f>
        <v>-44.07821434</v>
      </c>
      <c r="E280" s="23">
        <f>IFERROR(__xludf.DUMMYFUNCTION("""COMPUTED_VALUE"""),28.541889188806636)</f>
        <v>28.54188919</v>
      </c>
      <c r="F280" s="4"/>
      <c r="G280" s="4"/>
      <c r="H280" s="4">
        <f>IFERROR(__xludf.DUMMYFUNCTION("""COMPUTED_VALUE"""),22.483155302033992)</f>
        <v>22.4831553</v>
      </c>
      <c r="I280" s="4"/>
      <c r="J280" s="4"/>
      <c r="K280" s="4">
        <f>IFERROR(__xludf.DUMMYFUNCTION("""COMPUTED_VALUE"""),24.290373282825442)</f>
        <v>24.29037328</v>
      </c>
      <c r="L280" s="4"/>
      <c r="M280" s="4"/>
      <c r="N280" s="4">
        <f>IFERROR(__xludf.DUMMYFUNCTION("""COMPUTED_VALUE"""),17.599015545744635)</f>
        <v>17.59901555</v>
      </c>
      <c r="O280" s="4"/>
      <c r="P280" s="4"/>
      <c r="Q280" s="4">
        <f>IFERROR(__xludf.DUMMYFUNCTION("""COMPUTED_VALUE"""),21.822481971180878)</f>
        <v>21.82248197</v>
      </c>
      <c r="R280" s="4"/>
      <c r="S280" s="4"/>
      <c r="T280" s="4">
        <f>IFERROR(__xludf.DUMMYFUNCTION("""COMPUTED_VALUE"""),21.861110701916232)</f>
        <v>21.8611107</v>
      </c>
      <c r="U280" s="4"/>
      <c r="V280" s="4"/>
      <c r="W280" s="4">
        <f>IFERROR(__xludf.DUMMYFUNCTION("""COMPUTED_VALUE"""),13.394568058011828)</f>
        <v>13.39456806</v>
      </c>
      <c r="X280" s="4"/>
      <c r="Y280" s="4"/>
      <c r="Z280" s="4">
        <f>IFERROR(__xludf.DUMMYFUNCTION("""COMPUTED_VALUE"""),27.62485587514317)</f>
        <v>27.62485588</v>
      </c>
      <c r="AA280" s="4"/>
      <c r="AB280" s="4"/>
      <c r="AC280" s="4">
        <f>IFERROR(__xludf.DUMMYFUNCTION("""COMPUTED_VALUE"""),47.74699021909544)</f>
        <v>47.74699022</v>
      </c>
      <c r="AD280" s="4"/>
      <c r="AE280" s="4"/>
      <c r="AF280" s="4">
        <f>IFERROR(__xludf.DUMMYFUNCTION("""COMPUTED_VALUE"""),46.977466108106)</f>
        <v>46.97746611</v>
      </c>
      <c r="AG280" s="4"/>
      <c r="AH280" s="4"/>
      <c r="AI280" s="4">
        <f>IFERROR(__xludf.DUMMYFUNCTION("""COMPUTED_VALUE"""),47.25158819250373)</f>
        <v>47.25158819</v>
      </c>
      <c r="AJ280" s="4"/>
      <c r="AK280" s="4"/>
      <c r="AL280" s="4">
        <f>IFERROR(__xludf.DUMMYFUNCTION("""COMPUTED_VALUE"""),49.497959778411484)</f>
        <v>49.49795978</v>
      </c>
      <c r="AM280" s="4"/>
      <c r="AN280" s="4"/>
      <c r="AO280" s="4">
        <f>IFERROR(__xludf.DUMMYFUNCTION("""COMPUTED_VALUE"""),41.96364403131878)</f>
        <v>41.96364403</v>
      </c>
      <c r="AP280" s="4"/>
      <c r="AQ280" s="4"/>
      <c r="AR280" s="4">
        <f>IFERROR(__xludf.DUMMYFUNCTION("""COMPUTED_VALUE"""),43.539458653103054)</f>
        <v>43.53945865</v>
      </c>
      <c r="AS280" s="4"/>
      <c r="AT280" s="4"/>
      <c r="AU280" s="4">
        <f>IFERROR(__xludf.DUMMYFUNCTION("""COMPUTED_VALUE"""),33.21158343869723)</f>
        <v>33.21158344</v>
      </c>
      <c r="AV280" s="4"/>
      <c r="AW280" s="4"/>
      <c r="AX280" s="4">
        <f>IFERROR(__xludf.DUMMYFUNCTION("""COMPUTED_VALUE"""),18.725969293832065)</f>
        <v>18.72596929</v>
      </c>
      <c r="AY280" s="4"/>
      <c r="AZ280" s="4"/>
      <c r="BA280" s="4">
        <f>IFERROR(__xludf.DUMMYFUNCTION("""COMPUTED_VALUE"""),12.595572667675583)</f>
        <v>12.59557267</v>
      </c>
      <c r="BB280" s="4"/>
      <c r="BC280" s="4"/>
      <c r="BD280" s="4">
        <f>IFERROR(__xludf.DUMMYFUNCTION("""COMPUTED_VALUE"""),9.491310323064681)</f>
        <v>9.491310323</v>
      </c>
      <c r="BE280" s="4"/>
      <c r="BF280" s="4"/>
      <c r="BG280" s="4">
        <f>IFERROR(__xludf.DUMMYFUNCTION("""COMPUTED_VALUE"""),7.259624347309455)</f>
        <v>7.259624347</v>
      </c>
      <c r="BH280" s="4"/>
      <c r="BI280" s="4"/>
      <c r="BJ280" s="4"/>
      <c r="BK280" s="4"/>
    </row>
    <row r="281">
      <c r="A281" s="4"/>
      <c r="B281" s="4"/>
      <c r="C281" s="4"/>
      <c r="D281" s="4">
        <f>IFERROR(__xludf.DUMMYFUNCTION("""COMPUTED_VALUE"""),-44.99651047452273)</f>
        <v>-44.99651047</v>
      </c>
      <c r="E281" s="23">
        <f>IFERROR(__xludf.DUMMYFUNCTION("""COMPUTED_VALUE"""),21.09828340414242)</f>
        <v>21.0982834</v>
      </c>
      <c r="F281" s="4"/>
      <c r="G281" s="4"/>
      <c r="H281" s="4">
        <f>IFERROR(__xludf.DUMMYFUNCTION("""COMPUTED_VALUE"""),23.49277768704951)</f>
        <v>23.49277769</v>
      </c>
      <c r="I281" s="4"/>
      <c r="J281" s="4"/>
      <c r="K281" s="4">
        <f>IFERROR(__xludf.DUMMYFUNCTION("""COMPUTED_VALUE"""),22.32506830502149)</f>
        <v>22.32506831</v>
      </c>
      <c r="L281" s="4"/>
      <c r="M281" s="4"/>
      <c r="N281" s="4">
        <f>IFERROR(__xludf.DUMMYFUNCTION("""COMPUTED_VALUE"""),14.7410777532412)</f>
        <v>14.74107775</v>
      </c>
      <c r="O281" s="4"/>
      <c r="P281" s="4"/>
      <c r="Q281" s="4">
        <f>IFERROR(__xludf.DUMMYFUNCTION("""COMPUTED_VALUE"""),10.84532400998836)</f>
        <v>10.84532401</v>
      </c>
      <c r="R281" s="4"/>
      <c r="S281" s="4"/>
      <c r="T281" s="4">
        <f>IFERROR(__xludf.DUMMYFUNCTION("""COMPUTED_VALUE"""),22.80446353833935)</f>
        <v>22.80446354</v>
      </c>
      <c r="U281" s="4"/>
      <c r="V281" s="4"/>
      <c r="W281" s="4">
        <f>IFERROR(__xludf.DUMMYFUNCTION("""COMPUTED_VALUE"""),11.574624871552146)</f>
        <v>11.57462487</v>
      </c>
      <c r="X281" s="4"/>
      <c r="Y281" s="4"/>
      <c r="Z281" s="4">
        <f>IFERROR(__xludf.DUMMYFUNCTION("""COMPUTED_VALUE"""),24.358255672772145)</f>
        <v>24.35825567</v>
      </c>
      <c r="AA281" s="4"/>
      <c r="AB281" s="4"/>
      <c r="AC281" s="4">
        <f>IFERROR(__xludf.DUMMYFUNCTION("""COMPUTED_VALUE"""),44.58651216410567)</f>
        <v>44.58651216</v>
      </c>
      <c r="AD281" s="4"/>
      <c r="AE281" s="4"/>
      <c r="AF281" s="4">
        <f>IFERROR(__xludf.DUMMYFUNCTION("""COMPUTED_VALUE"""),48.08394825130233)</f>
        <v>48.08394825</v>
      </c>
      <c r="AG281" s="4"/>
      <c r="AH281" s="4"/>
      <c r="AI281" s="4">
        <f>IFERROR(__xludf.DUMMYFUNCTION("""COMPUTED_VALUE"""),51.46835834850822)</f>
        <v>51.46835835</v>
      </c>
      <c r="AJ281" s="4"/>
      <c r="AK281" s="4"/>
      <c r="AL281" s="4">
        <f>IFERROR(__xludf.DUMMYFUNCTION("""COMPUTED_VALUE"""),60.48907564986558)</f>
        <v>60.48907565</v>
      </c>
      <c r="AM281" s="4"/>
      <c r="AN281" s="4"/>
      <c r="AO281" s="4">
        <f>IFERROR(__xludf.DUMMYFUNCTION("""COMPUTED_VALUE"""),47.64891307940212)</f>
        <v>47.64891308</v>
      </c>
      <c r="AP281" s="4"/>
      <c r="AQ281" s="4"/>
      <c r="AR281" s="4">
        <f>IFERROR(__xludf.DUMMYFUNCTION("""COMPUTED_VALUE"""),42.26711396554981)</f>
        <v>42.26711397</v>
      </c>
      <c r="AS281" s="4"/>
      <c r="AT281" s="4"/>
      <c r="AU281" s="4">
        <f>IFERROR(__xludf.DUMMYFUNCTION("""COMPUTED_VALUE"""),33.24586705040332)</f>
        <v>33.24586705</v>
      </c>
      <c r="AV281" s="4"/>
      <c r="AW281" s="4"/>
      <c r="AX281" s="4">
        <f>IFERROR(__xludf.DUMMYFUNCTION("""COMPUTED_VALUE"""),24.01379111926684)</f>
        <v>24.01379112</v>
      </c>
      <c r="AY281" s="4"/>
      <c r="AZ281" s="4"/>
      <c r="BA281" s="4">
        <f>IFERROR(__xludf.DUMMYFUNCTION("""COMPUTED_VALUE"""),17.05843043827258)</f>
        <v>17.05843044</v>
      </c>
      <c r="BB281" s="4"/>
      <c r="BC281" s="4"/>
      <c r="BD281" s="4">
        <f>IFERROR(__xludf.DUMMYFUNCTION("""COMPUTED_VALUE"""),8.638107541968168)</f>
        <v>8.638107542</v>
      </c>
      <c r="BE281" s="4"/>
      <c r="BF281" s="4"/>
      <c r="BG281" s="4">
        <f>IFERROR(__xludf.DUMMYFUNCTION("""COMPUTED_VALUE"""),4.999526610235421)</f>
        <v>4.99952661</v>
      </c>
      <c r="BH281" s="4"/>
      <c r="BI281" s="4"/>
      <c r="BJ281" s="4"/>
      <c r="BK281" s="4"/>
    </row>
    <row r="282">
      <c r="A282" s="4"/>
      <c r="B282" s="4"/>
      <c r="C282" s="4"/>
      <c r="D282" s="4">
        <f>IFERROR(__xludf.DUMMYFUNCTION("""COMPUTED_VALUE"""),-45.9148066051575)</f>
        <v>-45.91480661</v>
      </c>
      <c r="E282" s="23">
        <f>IFERROR(__xludf.DUMMYFUNCTION("""COMPUTED_VALUE"""),21.591345613312)</f>
        <v>21.59134561</v>
      </c>
      <c r="F282" s="4"/>
      <c r="G282" s="4"/>
      <c r="H282" s="4">
        <f>IFERROR(__xludf.DUMMYFUNCTION("""COMPUTED_VALUE"""),22.244281521721348)</f>
        <v>22.24428152</v>
      </c>
      <c r="I282" s="4"/>
      <c r="J282" s="4"/>
      <c r="K282" s="4">
        <f>IFERROR(__xludf.DUMMYFUNCTION("""COMPUTED_VALUE"""),19.248255188306473)</f>
        <v>19.24825519</v>
      </c>
      <c r="L282" s="4"/>
      <c r="M282" s="4"/>
      <c r="N282" s="4">
        <f>IFERROR(__xludf.DUMMYFUNCTION("""COMPUTED_VALUE"""),13.518762346406561)</f>
        <v>13.51876235</v>
      </c>
      <c r="O282" s="4"/>
      <c r="P282" s="4"/>
      <c r="Q282" s="4">
        <f>IFERROR(__xludf.DUMMYFUNCTION("""COMPUTED_VALUE"""),13.73742372149178)</f>
        <v>13.73742372</v>
      </c>
      <c r="R282" s="4"/>
      <c r="S282" s="4"/>
      <c r="T282" s="4">
        <f>IFERROR(__xludf.DUMMYFUNCTION("""COMPUTED_VALUE"""),16.729903869841507)</f>
        <v>16.72990387</v>
      </c>
      <c r="U282" s="4"/>
      <c r="V282" s="4"/>
      <c r="W282" s="4">
        <f>IFERROR(__xludf.DUMMYFUNCTION("""COMPUTED_VALUE"""),17.548333384720593)</f>
        <v>17.54833338</v>
      </c>
      <c r="X282" s="4"/>
      <c r="Y282" s="4"/>
      <c r="Z282" s="4">
        <f>IFERROR(__xludf.DUMMYFUNCTION("""COMPUTED_VALUE"""),22.87381751462084)</f>
        <v>22.87381751</v>
      </c>
      <c r="AA282" s="4"/>
      <c r="AB282" s="4"/>
      <c r="AC282" s="4">
        <f>IFERROR(__xludf.DUMMYFUNCTION("""COMPUTED_VALUE"""),46.70886296934822)</f>
        <v>46.70886297</v>
      </c>
      <c r="AD282" s="4"/>
      <c r="AE282" s="4"/>
      <c r="AF282" s="4">
        <f>IFERROR(__xludf.DUMMYFUNCTION("""COMPUTED_VALUE"""),48.145409852156206)</f>
        <v>48.14540985</v>
      </c>
      <c r="AG282" s="4"/>
      <c r="AH282" s="4"/>
      <c r="AI282" s="4">
        <f>IFERROR(__xludf.DUMMYFUNCTION("""COMPUTED_VALUE"""),46.305394998800864)</f>
        <v>46.305395</v>
      </c>
      <c r="AJ282" s="4"/>
      <c r="AK282" s="4"/>
      <c r="AL282" s="4">
        <f>IFERROR(__xludf.DUMMYFUNCTION("""COMPUTED_VALUE"""),53.59513440858029)</f>
        <v>53.59513441</v>
      </c>
      <c r="AM282" s="4"/>
      <c r="AN282" s="4"/>
      <c r="AO282" s="4">
        <f>IFERROR(__xludf.DUMMYFUNCTION("""COMPUTED_VALUE"""),43.93032541988333)</f>
        <v>43.93032542</v>
      </c>
      <c r="AP282" s="4"/>
      <c r="AQ282" s="4"/>
      <c r="AR282" s="4">
        <f>IFERROR(__xludf.DUMMYFUNCTION("""COMPUTED_VALUE"""),43.211063712443035)</f>
        <v>43.21106371</v>
      </c>
      <c r="AS282" s="4"/>
      <c r="AT282" s="4"/>
      <c r="AU282" s="4">
        <f>IFERROR(__xludf.DUMMYFUNCTION("""COMPUTED_VALUE"""),35.07134737145543)</f>
        <v>35.07134737</v>
      </c>
      <c r="AV282" s="4"/>
      <c r="AW282" s="4"/>
      <c r="AX282" s="4">
        <f>IFERROR(__xludf.DUMMYFUNCTION("""COMPUTED_VALUE"""),28.274859369822025)</f>
        <v>28.27485937</v>
      </c>
      <c r="AY282" s="4"/>
      <c r="AZ282" s="4"/>
      <c r="BA282" s="4">
        <f>IFERROR(__xludf.DUMMYFUNCTION("""COMPUTED_VALUE"""),17.99135886964382)</f>
        <v>17.99135887</v>
      </c>
      <c r="BB282" s="4"/>
      <c r="BC282" s="4"/>
      <c r="BD282" s="4">
        <f>IFERROR(__xludf.DUMMYFUNCTION("""COMPUTED_VALUE"""),8.530284256261666)</f>
        <v>8.530284256</v>
      </c>
      <c r="BE282" s="4"/>
      <c r="BF282" s="4"/>
      <c r="BG282" s="4">
        <f>IFERROR(__xludf.DUMMYFUNCTION("""COMPUTED_VALUE"""),11.728870333328928)</f>
        <v>11.72887033</v>
      </c>
      <c r="BH282" s="4"/>
      <c r="BI282" s="4"/>
      <c r="BJ282" s="4"/>
      <c r="BK282" s="4"/>
    </row>
    <row r="283">
      <c r="A283" s="4"/>
      <c r="B283" s="4"/>
      <c r="C283" s="4"/>
      <c r="D283" s="4">
        <f>IFERROR(__xludf.DUMMYFUNCTION("""COMPUTED_VALUE"""),-46.833102737957574)</f>
        <v>-46.83310274</v>
      </c>
      <c r="E283" s="23">
        <f>IFERROR(__xludf.DUMMYFUNCTION("""COMPUTED_VALUE"""),10.978431113102658)</f>
        <v>10.97843111</v>
      </c>
      <c r="F283" s="4"/>
      <c r="G283" s="4"/>
      <c r="H283" s="4">
        <f>IFERROR(__xludf.DUMMYFUNCTION("""COMPUTED_VALUE"""),17.021186564003074)</f>
        <v>17.02118656</v>
      </c>
      <c r="I283" s="4"/>
      <c r="J283" s="4"/>
      <c r="K283" s="4">
        <f>IFERROR(__xludf.DUMMYFUNCTION("""COMPUTED_VALUE"""),16.209465144992237)</f>
        <v>16.20946514</v>
      </c>
      <c r="L283" s="4"/>
      <c r="M283" s="4"/>
      <c r="N283" s="4">
        <f>IFERROR(__xludf.DUMMYFUNCTION("""COMPUTED_VALUE"""),15.035882839191629)</f>
        <v>15.03588284</v>
      </c>
      <c r="O283" s="4"/>
      <c r="P283" s="4"/>
      <c r="Q283" s="4">
        <f>IFERROR(__xludf.DUMMYFUNCTION("""COMPUTED_VALUE"""),11.398712128989246)</f>
        <v>11.39871213</v>
      </c>
      <c r="R283" s="4"/>
      <c r="S283" s="4"/>
      <c r="T283" s="4">
        <f>IFERROR(__xludf.DUMMYFUNCTION("""COMPUTED_VALUE"""),19.244905199864775)</f>
        <v>19.2449052</v>
      </c>
      <c r="U283" s="4"/>
      <c r="V283" s="4"/>
      <c r="W283" s="4">
        <f>IFERROR(__xludf.DUMMYFUNCTION("""COMPUTED_VALUE"""),12.936367102846589)</f>
        <v>12.9363671</v>
      </c>
      <c r="X283" s="4"/>
      <c r="Y283" s="4"/>
      <c r="Z283" s="4">
        <f>IFERROR(__xludf.DUMMYFUNCTION("""COMPUTED_VALUE"""),27.068258508067856)</f>
        <v>27.06825851</v>
      </c>
      <c r="AA283" s="4"/>
      <c r="AB283" s="4"/>
      <c r="AC283" s="4">
        <f>IFERROR(__xludf.DUMMYFUNCTION("""COMPUTED_VALUE"""),46.10642367035854)</f>
        <v>46.10642367</v>
      </c>
      <c r="AD283" s="4"/>
      <c r="AE283" s="4"/>
      <c r="AF283" s="4">
        <f>IFERROR(__xludf.DUMMYFUNCTION("""COMPUTED_VALUE"""),45.18303265532279)</f>
        <v>45.18303266</v>
      </c>
      <c r="AG283" s="4"/>
      <c r="AH283" s="4"/>
      <c r="AI283" s="4">
        <f>IFERROR(__xludf.DUMMYFUNCTION("""COMPUTED_VALUE"""),57.47685585360284)</f>
        <v>57.47685585</v>
      </c>
      <c r="AJ283" s="4"/>
      <c r="AK283" s="4"/>
      <c r="AL283" s="4">
        <f>IFERROR(__xludf.DUMMYFUNCTION("""COMPUTED_VALUE"""),50.79185105433879)</f>
        <v>50.79185105</v>
      </c>
      <c r="AM283" s="4"/>
      <c r="AN283" s="4"/>
      <c r="AO283" s="4">
        <f>IFERROR(__xludf.DUMMYFUNCTION("""COMPUTED_VALUE"""),43.587046790693364)</f>
        <v>43.58704679</v>
      </c>
      <c r="AP283" s="4"/>
      <c r="AQ283" s="4"/>
      <c r="AR283" s="4">
        <f>IFERROR(__xludf.DUMMYFUNCTION("""COMPUTED_VALUE"""),39.41393537562681)</f>
        <v>39.41393538</v>
      </c>
      <c r="AS283" s="4"/>
      <c r="AT283" s="4"/>
      <c r="AU283" s="4">
        <f>IFERROR(__xludf.DUMMYFUNCTION("""COMPUTED_VALUE"""),40.05926081191899)</f>
        <v>40.05926081</v>
      </c>
      <c r="AV283" s="4"/>
      <c r="AW283" s="4"/>
      <c r="AX283" s="4">
        <f>IFERROR(__xludf.DUMMYFUNCTION("""COMPUTED_VALUE"""),26.102279882285927)</f>
        <v>26.10227988</v>
      </c>
      <c r="AY283" s="4"/>
      <c r="AZ283" s="4"/>
      <c r="BA283" s="4">
        <f>IFERROR(__xludf.DUMMYFUNCTION("""COMPUTED_VALUE"""),14.332403228556757)</f>
        <v>14.33240323</v>
      </c>
      <c r="BB283" s="4"/>
      <c r="BC283" s="4"/>
      <c r="BD283" s="4">
        <f>IFERROR(__xludf.DUMMYFUNCTION("""COMPUTED_VALUE"""),6.281492603604875)</f>
        <v>6.281492604</v>
      </c>
      <c r="BE283" s="4"/>
      <c r="BF283" s="4"/>
      <c r="BG283" s="4">
        <f>IFERROR(__xludf.DUMMYFUNCTION("""COMPUTED_VALUE"""),3.9236792666506517)</f>
        <v>3.923679267</v>
      </c>
      <c r="BH283" s="4"/>
      <c r="BI283" s="4"/>
      <c r="BJ283" s="4"/>
      <c r="BK283" s="4"/>
    </row>
    <row r="284">
      <c r="A284" s="4"/>
      <c r="B284" s="4"/>
      <c r="C284" s="4"/>
      <c r="D284" s="4">
        <f>IFERROR(__xludf.DUMMYFUNCTION("""COMPUTED_VALUE"""),-47.75139887075765)</f>
        <v>-47.75139887</v>
      </c>
      <c r="E284" s="23">
        <f>IFERROR(__xludf.DUMMYFUNCTION("""COMPUTED_VALUE"""),16.391211415226962)</f>
        <v>16.39121142</v>
      </c>
      <c r="F284" s="4"/>
      <c r="G284" s="4"/>
      <c r="H284" s="4">
        <f>IFERROR(__xludf.DUMMYFUNCTION("""COMPUTED_VALUE"""),12.36229561701407)</f>
        <v>12.36229562</v>
      </c>
      <c r="I284" s="4"/>
      <c r="J284" s="4"/>
      <c r="K284" s="4">
        <f>IFERROR(__xludf.DUMMYFUNCTION("""COMPUTED_VALUE"""),16.778824959981876)</f>
        <v>16.77882496</v>
      </c>
      <c r="L284" s="4"/>
      <c r="M284" s="4"/>
      <c r="N284" s="4">
        <f>IFERROR(__xludf.DUMMYFUNCTION("""COMPUTED_VALUE"""),11.332837610801732)</f>
        <v>11.33283761</v>
      </c>
      <c r="O284" s="4"/>
      <c r="P284" s="4"/>
      <c r="Q284" s="4">
        <f>IFERROR(__xludf.DUMMYFUNCTION("""COMPUTED_VALUE"""),10.310458359096742)</f>
        <v>10.31045836</v>
      </c>
      <c r="R284" s="4"/>
      <c r="S284" s="4"/>
      <c r="T284" s="4">
        <f>IFERROR(__xludf.DUMMYFUNCTION("""COMPUTED_VALUE"""),16.978954440436326)</f>
        <v>16.97895444</v>
      </c>
      <c r="U284" s="4"/>
      <c r="V284" s="4"/>
      <c r="W284" s="4">
        <f>IFERROR(__xludf.DUMMYFUNCTION("""COMPUTED_VALUE"""),14.1284688622369)</f>
        <v>14.12846886</v>
      </c>
      <c r="X284" s="4"/>
      <c r="Y284" s="4"/>
      <c r="Z284" s="4">
        <f>IFERROR(__xludf.DUMMYFUNCTION("""COMPUTED_VALUE"""),25.289527132291994)</f>
        <v>25.28952713</v>
      </c>
      <c r="AA284" s="4"/>
      <c r="AB284" s="4"/>
      <c r="AC284" s="4">
        <f>IFERROR(__xludf.DUMMYFUNCTION("""COMPUTED_VALUE"""),44.81667945570598)</f>
        <v>44.81667946</v>
      </c>
      <c r="AD284" s="4"/>
      <c r="AE284" s="4"/>
      <c r="AF284" s="4">
        <f>IFERROR(__xludf.DUMMYFUNCTION("""COMPUTED_VALUE"""),45.41840763964518)</f>
        <v>45.41840764</v>
      </c>
      <c r="AG284" s="4"/>
      <c r="AH284" s="4"/>
      <c r="AI284" s="4">
        <f>IFERROR(__xludf.DUMMYFUNCTION("""COMPUTED_VALUE"""),53.48889076057446)</f>
        <v>53.48889076</v>
      </c>
      <c r="AJ284" s="4"/>
      <c r="AK284" s="4"/>
      <c r="AL284" s="4">
        <f>IFERROR(__xludf.DUMMYFUNCTION("""COMPUTED_VALUE"""),49.129843065336445)</f>
        <v>49.12984307</v>
      </c>
      <c r="AM284" s="4"/>
      <c r="AN284" s="4"/>
      <c r="AO284" s="4">
        <f>IFERROR(__xludf.DUMMYFUNCTION("""COMPUTED_VALUE"""),44.27092105182811)</f>
        <v>44.27092105</v>
      </c>
      <c r="AP284" s="4"/>
      <c r="AQ284" s="4"/>
      <c r="AR284" s="4">
        <f>IFERROR(__xludf.DUMMYFUNCTION("""COMPUTED_VALUE"""),50.6930648393743)</f>
        <v>50.69306484</v>
      </c>
      <c r="AS284" s="4"/>
      <c r="AT284" s="4"/>
      <c r="AU284" s="4">
        <f>IFERROR(__xludf.DUMMYFUNCTION("""COMPUTED_VALUE"""),29.879438997673617)</f>
        <v>29.879439</v>
      </c>
      <c r="AV284" s="4"/>
      <c r="AW284" s="4"/>
      <c r="AX284" s="4">
        <f>IFERROR(__xludf.DUMMYFUNCTION("""COMPUTED_VALUE"""),20.758221356563297)</f>
        <v>20.75822136</v>
      </c>
      <c r="AY284" s="4"/>
      <c r="AZ284" s="4"/>
      <c r="BA284" s="4">
        <f>IFERROR(__xludf.DUMMYFUNCTION("""COMPUTED_VALUE"""),18.83831701594272)</f>
        <v>18.83831702</v>
      </c>
      <c r="BB284" s="4"/>
      <c r="BC284" s="4"/>
      <c r="BD284" s="4">
        <f>IFERROR(__xludf.DUMMYFUNCTION("""COMPUTED_VALUE"""),8.383084422001048)</f>
        <v>8.383084422</v>
      </c>
      <c r="BE284" s="4"/>
      <c r="BF284" s="4"/>
      <c r="BG284" s="4">
        <f>IFERROR(__xludf.DUMMYFUNCTION("""COMPUTED_VALUE"""),13.629183894937796)</f>
        <v>13.62918389</v>
      </c>
      <c r="BH284" s="4"/>
      <c r="BI284" s="4"/>
      <c r="BJ284" s="4"/>
      <c r="BK284" s="4"/>
    </row>
    <row r="285">
      <c r="A285" s="4"/>
      <c r="B285" s="4"/>
      <c r="C285" s="4"/>
      <c r="D285" s="4">
        <f>IFERROR(__xludf.DUMMYFUNCTION("""COMPUTED_VALUE"""),-48.66969500139242)</f>
        <v>-48.669695</v>
      </c>
      <c r="E285" s="23">
        <f>IFERROR(__xludf.DUMMYFUNCTION("""COMPUTED_VALUE"""),15.57760082802389)</f>
        <v>15.57760083</v>
      </c>
      <c r="F285" s="4"/>
      <c r="G285" s="4"/>
      <c r="H285" s="4">
        <f>IFERROR(__xludf.DUMMYFUNCTION("""COMPUTED_VALUE"""),12.309216410801355)</f>
        <v>12.30921641</v>
      </c>
      <c r="I285" s="4"/>
      <c r="J285" s="4"/>
      <c r="K285" s="4">
        <f>IFERROR(__xludf.DUMMYFUNCTION("""COMPUTED_VALUE"""),17.067826201517732)</f>
        <v>17.0678262</v>
      </c>
      <c r="L285" s="4"/>
      <c r="M285" s="4"/>
      <c r="N285" s="4">
        <f>IFERROR(__xludf.DUMMYFUNCTION("""COMPUTED_VALUE"""),8.187145653274001)</f>
        <v>8.187145653</v>
      </c>
      <c r="O285" s="4"/>
      <c r="P285" s="4"/>
      <c r="Q285" s="4">
        <f>IFERROR(__xludf.DUMMYFUNCTION("""COMPUTED_VALUE"""),18.10970280503443)</f>
        <v>18.10970281</v>
      </c>
      <c r="R285" s="4"/>
      <c r="S285" s="4"/>
      <c r="T285" s="4">
        <f>IFERROR(__xludf.DUMMYFUNCTION("""COMPUTED_VALUE"""),16.69300858311601)</f>
        <v>16.69300858</v>
      </c>
      <c r="U285" s="4"/>
      <c r="V285" s="4"/>
      <c r="W285" s="4">
        <f>IFERROR(__xludf.DUMMYFUNCTION("""COMPUTED_VALUE"""),11.546642306377862)</f>
        <v>11.54664231</v>
      </c>
      <c r="X285" s="4"/>
      <c r="Y285" s="4"/>
      <c r="Z285" s="4">
        <f>IFERROR(__xludf.DUMMYFUNCTION("""COMPUTED_VALUE"""),30.637897820462456)</f>
        <v>30.63789782</v>
      </c>
      <c r="AA285" s="4"/>
      <c r="AB285" s="4"/>
      <c r="AC285" s="4">
        <f>IFERROR(__xludf.DUMMYFUNCTION("""COMPUTED_VALUE"""),47.605314338060225)</f>
        <v>47.60531434</v>
      </c>
      <c r="AD285" s="4"/>
      <c r="AE285" s="4"/>
      <c r="AF285" s="4">
        <f>IFERROR(__xludf.DUMMYFUNCTION("""COMPUTED_VALUE"""),43.56073344020757)</f>
        <v>43.56073344</v>
      </c>
      <c r="AG285" s="4"/>
      <c r="AH285" s="4"/>
      <c r="AI285" s="4">
        <f>IFERROR(__xludf.DUMMYFUNCTION("""COMPUTED_VALUE"""),50.70342567892317)</f>
        <v>50.70342568</v>
      </c>
      <c r="AJ285" s="4"/>
      <c r="AK285" s="4"/>
      <c r="AL285" s="4">
        <f>IFERROR(__xludf.DUMMYFUNCTION("""COMPUTED_VALUE"""),48.205415206000794)</f>
        <v>48.20541521</v>
      </c>
      <c r="AM285" s="4"/>
      <c r="AN285" s="4"/>
      <c r="AO285" s="4">
        <f>IFERROR(__xludf.DUMMYFUNCTION("""COMPUTED_VALUE"""),44.637071715129025)</f>
        <v>44.63707172</v>
      </c>
      <c r="AP285" s="4"/>
      <c r="AQ285" s="4"/>
      <c r="AR285" s="4">
        <f>IFERROR(__xludf.DUMMYFUNCTION("""COMPUTED_VALUE"""),39.49548272653925)</f>
        <v>39.49548273</v>
      </c>
      <c r="AS285" s="4"/>
      <c r="AT285" s="4"/>
      <c r="AU285" s="4">
        <f>IFERROR(__xludf.DUMMYFUNCTION("""COMPUTED_VALUE"""),35.4952787330364)</f>
        <v>35.49527873</v>
      </c>
      <c r="AV285" s="4"/>
      <c r="AW285" s="4"/>
      <c r="AX285" s="4">
        <f>IFERROR(__xludf.DUMMYFUNCTION("""COMPUTED_VALUE"""),22.216624707872825)</f>
        <v>22.21662471</v>
      </c>
      <c r="AY285" s="4"/>
      <c r="AZ285" s="4"/>
      <c r="BA285" s="4">
        <f>IFERROR(__xludf.DUMMYFUNCTION("""COMPUTED_VALUE"""),14.71349666710529)</f>
        <v>14.71349667</v>
      </c>
      <c r="BB285" s="4"/>
      <c r="BC285" s="4"/>
      <c r="BD285" s="4">
        <f>IFERROR(__xludf.DUMMYFUNCTION("""COMPUTED_VALUE"""),10.546361474993205)</f>
        <v>10.54636147</v>
      </c>
      <c r="BE285" s="4"/>
      <c r="BF285" s="4"/>
      <c r="BG285" s="4">
        <f>IFERROR(__xludf.DUMMYFUNCTION("""COMPUTED_VALUE"""),9.426721823426362)</f>
        <v>9.426721823</v>
      </c>
      <c r="BH285" s="4"/>
      <c r="BI285" s="4"/>
      <c r="BJ285" s="4"/>
      <c r="BK285" s="4"/>
    </row>
    <row r="286">
      <c r="A286" s="4"/>
      <c r="B286" s="4"/>
      <c r="C286" s="4"/>
      <c r="D286" s="4">
        <f>IFERROR(__xludf.DUMMYFUNCTION("""COMPUTED_VALUE"""),-49.58799113419251)</f>
        <v>-49.58799113</v>
      </c>
      <c r="E286" s="23">
        <f>IFERROR(__xludf.DUMMYFUNCTION("""COMPUTED_VALUE"""),5.582741901863869)</f>
        <v>5.582741902</v>
      </c>
      <c r="F286" s="4"/>
      <c r="G286" s="4"/>
      <c r="H286" s="4">
        <f>IFERROR(__xludf.DUMMYFUNCTION("""COMPUTED_VALUE"""),13.948774583117995)</f>
        <v>13.94877458</v>
      </c>
      <c r="I286" s="4"/>
      <c r="J286" s="4"/>
      <c r="K286" s="4">
        <f>IFERROR(__xludf.DUMMYFUNCTION("""COMPUTED_VALUE"""),12.34447557856737)</f>
        <v>12.34447558</v>
      </c>
      <c r="L286" s="4"/>
      <c r="M286" s="4"/>
      <c r="N286" s="4">
        <f>IFERROR(__xludf.DUMMYFUNCTION("""COMPUTED_VALUE"""),15.92441042523592)</f>
        <v>15.92441043</v>
      </c>
      <c r="O286" s="4"/>
      <c r="P286" s="4"/>
      <c r="Q286" s="4">
        <f>IFERROR(__xludf.DUMMYFUNCTION("""COMPUTED_VALUE"""),16.36542653826433)</f>
        <v>16.36542654</v>
      </c>
      <c r="R286" s="4"/>
      <c r="S286" s="4"/>
      <c r="T286" s="4">
        <f>IFERROR(__xludf.DUMMYFUNCTION("""COMPUTED_VALUE"""),16.42335551636984)</f>
        <v>16.42335552</v>
      </c>
      <c r="U286" s="4"/>
      <c r="V286" s="4"/>
      <c r="W286" s="4">
        <f>IFERROR(__xludf.DUMMYFUNCTION("""COMPUTED_VALUE"""),13.043618173375307)</f>
        <v>13.04361817</v>
      </c>
      <c r="X286" s="4"/>
      <c r="Y286" s="4"/>
      <c r="Z286" s="4">
        <f>IFERROR(__xludf.DUMMYFUNCTION("""COMPUTED_VALUE"""),31.442932020712817)</f>
        <v>31.44293202</v>
      </c>
      <c r="AA286" s="4"/>
      <c r="AB286" s="4"/>
      <c r="AC286" s="4">
        <f>IFERROR(__xludf.DUMMYFUNCTION("""COMPUTED_VALUE"""),41.81659425413227)</f>
        <v>41.81659425</v>
      </c>
      <c r="AD286" s="4"/>
      <c r="AE286" s="4"/>
      <c r="AF286" s="4">
        <f>IFERROR(__xludf.DUMMYFUNCTION("""COMPUTED_VALUE"""),43.54590468185194)</f>
        <v>43.54590468</v>
      </c>
      <c r="AG286" s="4"/>
      <c r="AH286" s="4"/>
      <c r="AI286" s="4">
        <f>IFERROR(__xludf.DUMMYFUNCTION("""COMPUTED_VALUE"""),52.74968658597953)</f>
        <v>52.74968659</v>
      </c>
      <c r="AJ286" s="4"/>
      <c r="AK286" s="4"/>
      <c r="AL286" s="4">
        <f>IFERROR(__xludf.DUMMYFUNCTION("""COMPUTED_VALUE"""),54.521577841691794)</f>
        <v>54.52157784</v>
      </c>
      <c r="AM286" s="4"/>
      <c r="AN286" s="4"/>
      <c r="AO286" s="4">
        <f>IFERROR(__xludf.DUMMYFUNCTION("""COMPUTED_VALUE"""),46.157001455028194)</f>
        <v>46.15700146</v>
      </c>
      <c r="AP286" s="4"/>
      <c r="AQ286" s="4"/>
      <c r="AR286" s="4">
        <f>IFERROR(__xludf.DUMMYFUNCTION("""COMPUTED_VALUE"""),39.01986681028308)</f>
        <v>39.01986681</v>
      </c>
      <c r="AS286" s="4"/>
      <c r="AT286" s="4"/>
      <c r="AU286" s="4">
        <f>IFERROR(__xludf.DUMMYFUNCTION("""COMPUTED_VALUE"""),33.7801560618467)</f>
        <v>33.78015606</v>
      </c>
      <c r="AV286" s="4"/>
      <c r="AW286" s="4"/>
      <c r="AX286" s="4">
        <f>IFERROR(__xludf.DUMMYFUNCTION("""COMPUTED_VALUE"""),20.70819645372154)</f>
        <v>20.70819645</v>
      </c>
      <c r="AY286" s="4"/>
      <c r="AZ286" s="4"/>
      <c r="BA286" s="4">
        <f>IFERROR(__xludf.DUMMYFUNCTION("""COMPUTED_VALUE"""),16.948903789042618)</f>
        <v>16.94890379</v>
      </c>
      <c r="BB286" s="4"/>
      <c r="BC286" s="4"/>
      <c r="BD286" s="4">
        <f>IFERROR(__xludf.DUMMYFUNCTION("""COMPUTED_VALUE"""),14.04067989684512)</f>
        <v>14.0406799</v>
      </c>
      <c r="BE286" s="4"/>
      <c r="BF286" s="4"/>
      <c r="BG286" s="4">
        <f>IFERROR(__xludf.DUMMYFUNCTION("""COMPUTED_VALUE"""),2.8355437156458265)</f>
        <v>2.835543716</v>
      </c>
      <c r="BH286" s="4"/>
      <c r="BI286" s="4"/>
      <c r="BJ286" s="4"/>
      <c r="BK286" s="4"/>
    </row>
    <row r="287">
      <c r="A287" s="4"/>
      <c r="B287" s="4"/>
      <c r="C287" s="4"/>
      <c r="D287" s="4">
        <f>IFERROR(__xludf.DUMMYFUNCTION("""COMPUTED_VALUE"""),-50.506287266942216)</f>
        <v>-50.50628727</v>
      </c>
      <c r="E287" s="23">
        <f>IFERROR(__xludf.DUMMYFUNCTION("""COMPUTED_VALUE"""),12.570711847327004)</f>
        <v>12.57071185</v>
      </c>
      <c r="F287" s="4"/>
      <c r="G287" s="4"/>
      <c r="H287" s="4">
        <f>IFERROR(__xludf.DUMMYFUNCTION("""COMPUTED_VALUE"""),10.157835062049628)</f>
        <v>10.15783506</v>
      </c>
      <c r="I287" s="4"/>
      <c r="J287" s="4"/>
      <c r="K287" s="4">
        <f>IFERROR(__xludf.DUMMYFUNCTION("""COMPUTED_VALUE"""),14.369987208686496)</f>
        <v>14.36998721</v>
      </c>
      <c r="L287" s="4"/>
      <c r="M287" s="4"/>
      <c r="N287" s="4">
        <f>IFERROR(__xludf.DUMMYFUNCTION("""COMPUTED_VALUE"""),13.435996794573214)</f>
        <v>13.43599679</v>
      </c>
      <c r="O287" s="4"/>
      <c r="P287" s="4"/>
      <c r="Q287" s="4">
        <f>IFERROR(__xludf.DUMMYFUNCTION("""COMPUTED_VALUE"""),12.066842253867947)</f>
        <v>12.06684225</v>
      </c>
      <c r="R287" s="4"/>
      <c r="S287" s="4"/>
      <c r="T287" s="4">
        <f>IFERROR(__xludf.DUMMYFUNCTION("""COMPUTED_VALUE"""),18.384436727875993)</f>
        <v>18.38443673</v>
      </c>
      <c r="U287" s="4"/>
      <c r="V287" s="4"/>
      <c r="W287" s="4">
        <f>IFERROR(__xludf.DUMMYFUNCTION("""COMPUTED_VALUE"""),16.928146811414706)</f>
        <v>16.92814681</v>
      </c>
      <c r="X287" s="4"/>
      <c r="Y287" s="4"/>
      <c r="Z287" s="4">
        <f>IFERROR(__xludf.DUMMYFUNCTION("""COMPUTED_VALUE"""),27.85123500617442)</f>
        <v>27.85123501</v>
      </c>
      <c r="AA287" s="4"/>
      <c r="AB287" s="4"/>
      <c r="AC287" s="4">
        <f>IFERROR(__xludf.DUMMYFUNCTION("""COMPUTED_VALUE"""),46.926025993112376)</f>
        <v>46.92602599</v>
      </c>
      <c r="AD287" s="4"/>
      <c r="AE287" s="4"/>
      <c r="AF287" s="4">
        <f>IFERROR(__xludf.DUMMYFUNCTION("""COMPUTED_VALUE"""),43.129665345348826)</f>
        <v>43.12966535</v>
      </c>
      <c r="AG287" s="4"/>
      <c r="AH287" s="4"/>
      <c r="AI287" s="4">
        <f>IFERROR(__xludf.DUMMYFUNCTION("""COMPUTED_VALUE"""),51.101878157955696)</f>
        <v>51.10187816</v>
      </c>
      <c r="AJ287" s="4"/>
      <c r="AK287" s="4"/>
      <c r="AL287" s="4">
        <f>IFERROR(__xludf.DUMMYFUNCTION("""COMPUTED_VALUE"""),51.83934266962359)</f>
        <v>51.83934267</v>
      </c>
      <c r="AM287" s="4"/>
      <c r="AN287" s="4"/>
      <c r="AO287" s="4">
        <f>IFERROR(__xludf.DUMMYFUNCTION("""COMPUTED_VALUE"""),39.182304520572984)</f>
        <v>39.18230452</v>
      </c>
      <c r="AP287" s="4"/>
      <c r="AQ287" s="4"/>
      <c r="AR287" s="4">
        <f>IFERROR(__xludf.DUMMYFUNCTION("""COMPUTED_VALUE"""),39.640978325529375)</f>
        <v>39.64097833</v>
      </c>
      <c r="AS287" s="4"/>
      <c r="AT287" s="4"/>
      <c r="AU287" s="4">
        <f>IFERROR(__xludf.DUMMYFUNCTION("""COMPUTED_VALUE"""),31.21617306435803)</f>
        <v>31.21617306</v>
      </c>
      <c r="AV287" s="4"/>
      <c r="AW287" s="4"/>
      <c r="AX287" s="4">
        <f>IFERROR(__xludf.DUMMYFUNCTION("""COMPUTED_VALUE"""),20.297260628539334)</f>
        <v>20.29726063</v>
      </c>
      <c r="AY287" s="4"/>
      <c r="AZ287" s="4"/>
      <c r="BA287" s="4">
        <f>IFERROR(__xludf.DUMMYFUNCTION("""COMPUTED_VALUE"""),19.225209745671464)</f>
        <v>19.22520975</v>
      </c>
      <c r="BB287" s="4"/>
      <c r="BC287" s="4"/>
      <c r="BD287" s="4">
        <f>IFERROR(__xludf.DUMMYFUNCTION("""COMPUTED_VALUE"""),15.740626688606937)</f>
        <v>15.74062669</v>
      </c>
      <c r="BE287" s="4"/>
      <c r="BF287" s="4"/>
      <c r="BG287" s="4">
        <f>IFERROR(__xludf.DUMMYFUNCTION("""COMPUTED_VALUE"""),0.9167115640208294)</f>
        <v>0.916711564</v>
      </c>
      <c r="BH287" s="4"/>
      <c r="BI287" s="4"/>
      <c r="BJ287" s="4"/>
      <c r="BK287" s="4"/>
    </row>
    <row r="288">
      <c r="A288" s="4"/>
      <c r="B288" s="4"/>
      <c r="C288" s="4"/>
      <c r="D288" s="4">
        <f>IFERROR(__xludf.DUMMYFUNCTION("""COMPUTED_VALUE"""),-51.424583399742296)</f>
        <v>-51.4245834</v>
      </c>
      <c r="E288" s="23">
        <f>IFERROR(__xludf.DUMMYFUNCTION("""COMPUTED_VALUE"""),7.586600079336108)</f>
        <v>7.586600079</v>
      </c>
      <c r="F288" s="4"/>
      <c r="G288" s="4"/>
      <c r="H288" s="4">
        <f>IFERROR(__xludf.DUMMYFUNCTION("""COMPUTED_VALUE"""),4.951597515212541)</f>
        <v>4.951597515</v>
      </c>
      <c r="I288" s="4"/>
      <c r="J288" s="4"/>
      <c r="K288" s="4">
        <f>IFERROR(__xludf.DUMMYFUNCTION("""COMPUTED_VALUE"""),14.598904585252171)</f>
        <v>14.59890459</v>
      </c>
      <c r="L288" s="4"/>
      <c r="M288" s="4"/>
      <c r="N288" s="4">
        <f>IFERROR(__xludf.DUMMYFUNCTION("""COMPUTED_VALUE"""),7.474756202545279)</f>
        <v>7.474756203</v>
      </c>
      <c r="O288" s="4"/>
      <c r="P288" s="4"/>
      <c r="Q288" s="4">
        <f>IFERROR(__xludf.DUMMYFUNCTION("""COMPUTED_VALUE"""),14.703772788140498)</f>
        <v>14.70377279</v>
      </c>
      <c r="R288" s="4"/>
      <c r="S288" s="4"/>
      <c r="T288" s="4">
        <f>IFERROR(__xludf.DUMMYFUNCTION("""COMPUTED_VALUE"""),12.434510245682986)</f>
        <v>12.43451025</v>
      </c>
      <c r="U288" s="4"/>
      <c r="V288" s="4"/>
      <c r="W288" s="4">
        <f>IFERROR(__xludf.DUMMYFUNCTION("""COMPUTED_VALUE"""),17.077134298982116)</f>
        <v>17.0771343</v>
      </c>
      <c r="X288" s="4"/>
      <c r="Y288" s="4"/>
      <c r="Z288" s="4">
        <f>IFERROR(__xludf.DUMMYFUNCTION("""COMPUTED_VALUE"""),28.167967481407175)</f>
        <v>28.16796748</v>
      </c>
      <c r="AA288" s="4"/>
      <c r="AB288" s="4"/>
      <c r="AC288" s="4">
        <f>IFERROR(__xludf.DUMMYFUNCTION("""COMPUTED_VALUE"""),44.05908538656905)</f>
        <v>44.05908539</v>
      </c>
      <c r="AD288" s="4"/>
      <c r="AE288" s="4"/>
      <c r="AF288" s="4">
        <f>IFERROR(__xludf.DUMMYFUNCTION("""COMPUTED_VALUE"""),49.81450255113367)</f>
        <v>49.81450255</v>
      </c>
      <c r="AG288" s="4"/>
      <c r="AH288" s="4"/>
      <c r="AI288" s="4">
        <f>IFERROR(__xludf.DUMMYFUNCTION("""COMPUTED_VALUE"""),51.87020283224979)</f>
        <v>51.87020283</v>
      </c>
      <c r="AJ288" s="4"/>
      <c r="AK288" s="4"/>
      <c r="AL288" s="4">
        <f>IFERROR(__xludf.DUMMYFUNCTION("""COMPUTED_VALUE"""),56.695763873651686)</f>
        <v>56.69576387</v>
      </c>
      <c r="AM288" s="4"/>
      <c r="AN288" s="4"/>
      <c r="AO288" s="4">
        <f>IFERROR(__xludf.DUMMYFUNCTION("""COMPUTED_VALUE"""),42.80124564138151)</f>
        <v>42.80124564</v>
      </c>
      <c r="AP288" s="4"/>
      <c r="AQ288" s="4"/>
      <c r="AR288" s="4">
        <f>IFERROR(__xludf.DUMMYFUNCTION("""COMPUTED_VALUE"""),34.77115215475607)</f>
        <v>34.77115215</v>
      </c>
      <c r="AS288" s="4"/>
      <c r="AT288" s="4"/>
      <c r="AU288" s="4">
        <f>IFERROR(__xludf.DUMMYFUNCTION("""COMPUTED_VALUE"""),34.974959215144054)</f>
        <v>34.97495922</v>
      </c>
      <c r="AV288" s="4"/>
      <c r="AW288" s="4"/>
      <c r="AX288" s="4">
        <f>IFERROR(__xludf.DUMMYFUNCTION("""COMPUTED_VALUE"""),20.39173784012553)</f>
        <v>20.39173784</v>
      </c>
      <c r="AY288" s="4"/>
      <c r="AZ288" s="4"/>
      <c r="BA288" s="4">
        <f>IFERROR(__xludf.DUMMYFUNCTION("""COMPUTED_VALUE"""),13.5778470519802)</f>
        <v>13.57784705</v>
      </c>
      <c r="BB288" s="4"/>
      <c r="BC288" s="4"/>
      <c r="BD288" s="4">
        <f>IFERROR(__xludf.DUMMYFUNCTION("""COMPUTED_VALUE"""),14.986313158564712)</f>
        <v>14.98631316</v>
      </c>
      <c r="BE288" s="4"/>
      <c r="BF288" s="4"/>
      <c r="BG288" s="4">
        <f>IFERROR(__xludf.DUMMYFUNCTION("""COMPUTED_VALUE"""),9.191819667339132)</f>
        <v>9.191819667</v>
      </c>
      <c r="BH288" s="4"/>
      <c r="BI288" s="4"/>
      <c r="BJ288" s="4"/>
      <c r="BK288" s="4"/>
    </row>
    <row r="289">
      <c r="A289" s="4"/>
      <c r="B289" s="4"/>
      <c r="C289" s="4"/>
      <c r="D289" s="4">
        <f>IFERROR(__xludf.DUMMYFUNCTION("""COMPUTED_VALUE"""),-52.342879530427425)</f>
        <v>-52.34287953</v>
      </c>
      <c r="E289" s="23">
        <f>IFERROR(__xludf.DUMMYFUNCTION("""COMPUTED_VALUE"""),12.50346654332185)</f>
        <v>12.50346654</v>
      </c>
      <c r="F289" s="4"/>
      <c r="G289" s="4"/>
      <c r="H289" s="4">
        <f>IFERROR(__xludf.DUMMYFUNCTION("""COMPUTED_VALUE"""),9.59455281347664)</f>
        <v>9.594552813</v>
      </c>
      <c r="I289" s="4"/>
      <c r="J289" s="4"/>
      <c r="K289" s="4">
        <f>IFERROR(__xludf.DUMMYFUNCTION("""COMPUTED_VALUE"""),16.66389309528097)</f>
        <v>16.6638931</v>
      </c>
      <c r="L289" s="4"/>
      <c r="M289" s="4"/>
      <c r="N289" s="4">
        <f>IFERROR(__xludf.DUMMYFUNCTION("""COMPUTED_VALUE"""),5.196507420514706)</f>
        <v>5.196507421</v>
      </c>
      <c r="O289" s="4"/>
      <c r="P289" s="4"/>
      <c r="Q289" s="4">
        <f>IFERROR(__xludf.DUMMYFUNCTION("""COMPUTED_VALUE"""),10.601698608743504)</f>
        <v>10.60169861</v>
      </c>
      <c r="R289" s="4"/>
      <c r="S289" s="4"/>
      <c r="T289" s="4">
        <f>IFERROR(__xludf.DUMMYFUNCTION("""COMPUTED_VALUE"""),9.78340768580415)</f>
        <v>9.783407686</v>
      </c>
      <c r="U289" s="4"/>
      <c r="V289" s="4"/>
      <c r="W289" s="4">
        <f>IFERROR(__xludf.DUMMYFUNCTION("""COMPUTED_VALUE"""),16.998288640603334)</f>
        <v>16.99828864</v>
      </c>
      <c r="X289" s="4"/>
      <c r="Y289" s="4"/>
      <c r="Z289" s="4">
        <f>IFERROR(__xludf.DUMMYFUNCTION("""COMPUTED_VALUE"""),27.800753783000005)</f>
        <v>27.80075378</v>
      </c>
      <c r="AA289" s="4"/>
      <c r="AB289" s="4"/>
      <c r="AC289" s="4">
        <f>IFERROR(__xludf.DUMMYFUNCTION("""COMPUTED_VALUE"""),42.90378521655214)</f>
        <v>42.90378522</v>
      </c>
      <c r="AD289" s="4"/>
      <c r="AE289" s="4"/>
      <c r="AF289" s="4">
        <f>IFERROR(__xludf.DUMMYFUNCTION("""COMPUTED_VALUE"""),42.029562954101436)</f>
        <v>42.02956295</v>
      </c>
      <c r="AG289" s="4"/>
      <c r="AH289" s="4"/>
      <c r="AI289" s="4">
        <f>IFERROR(__xludf.DUMMYFUNCTION("""COMPUTED_VALUE"""),55.29218908077752)</f>
        <v>55.29218908</v>
      </c>
      <c r="AJ289" s="4"/>
      <c r="AK289" s="4"/>
      <c r="AL289" s="4">
        <f>IFERROR(__xludf.DUMMYFUNCTION("""COMPUTED_VALUE"""),50.934490051387115)</f>
        <v>50.93449005</v>
      </c>
      <c r="AM289" s="4"/>
      <c r="AN289" s="4"/>
      <c r="AO289" s="4">
        <f>IFERROR(__xludf.DUMMYFUNCTION("""COMPUTED_VALUE"""),42.33363024420686)</f>
        <v>42.33363024</v>
      </c>
      <c r="AP289" s="4"/>
      <c r="AQ289" s="4"/>
      <c r="AR289" s="4">
        <f>IFERROR(__xludf.DUMMYFUNCTION("""COMPUTED_VALUE"""),41.95762150221361)</f>
        <v>41.9576215</v>
      </c>
      <c r="AS289" s="4"/>
      <c r="AT289" s="4"/>
      <c r="AU289" s="4">
        <f>IFERROR(__xludf.DUMMYFUNCTION("""COMPUTED_VALUE"""),29.178319915247528)</f>
        <v>29.17831992</v>
      </c>
      <c r="AV289" s="4"/>
      <c r="AW289" s="4"/>
      <c r="AX289" s="4">
        <f>IFERROR(__xludf.DUMMYFUNCTION("""COMPUTED_VALUE"""),22.259133656487677)</f>
        <v>22.25913366</v>
      </c>
      <c r="AY289" s="4"/>
      <c r="AZ289" s="4"/>
      <c r="BA289" s="4">
        <f>IFERROR(__xludf.DUMMYFUNCTION("""COMPUTED_VALUE"""),15.494535932778774)</f>
        <v>15.49453593</v>
      </c>
      <c r="BB289" s="4"/>
      <c r="BC289" s="4"/>
      <c r="BD289" s="4">
        <f>IFERROR(__xludf.DUMMYFUNCTION("""COMPUTED_VALUE"""),11.485972888440244)</f>
        <v>11.48597289</v>
      </c>
      <c r="BE289" s="4"/>
      <c r="BF289" s="4"/>
      <c r="BG289" s="4">
        <f>IFERROR(__xludf.DUMMYFUNCTION("""COMPUTED_VALUE"""),7.078708021301907)</f>
        <v>7.078708021</v>
      </c>
      <c r="BH289" s="4"/>
      <c r="BI289" s="4"/>
      <c r="BJ289" s="4"/>
      <c r="BK289" s="4"/>
    </row>
    <row r="290">
      <c r="A290" s="4"/>
      <c r="B290" s="4"/>
      <c r="C290" s="4"/>
      <c r="D290" s="4">
        <f>IFERROR(__xludf.DUMMYFUNCTION("""COMPUTED_VALUE"""),-53.26117566317715)</f>
        <v>-53.26117566</v>
      </c>
      <c r="E290" s="23">
        <f>IFERROR(__xludf.DUMMYFUNCTION("""COMPUTED_VALUE"""),6.708527804174992)</f>
        <v>6.708527804</v>
      </c>
      <c r="F290" s="4"/>
      <c r="G290" s="4"/>
      <c r="H290" s="4">
        <f>IFERROR(__xludf.DUMMYFUNCTION("""COMPUTED_VALUE"""),9.516862093136922)</f>
        <v>9.516862093</v>
      </c>
      <c r="I290" s="4"/>
      <c r="J290" s="4"/>
      <c r="K290" s="4">
        <f>IFERROR(__xludf.DUMMYFUNCTION("""COMPUTED_VALUE"""),9.811812375550915)</f>
        <v>9.811812376</v>
      </c>
      <c r="L290" s="4"/>
      <c r="M290" s="4"/>
      <c r="N290" s="4">
        <f>IFERROR(__xludf.DUMMYFUNCTION("""COMPUTED_VALUE"""),7.709772678639638)</f>
        <v>7.709772679</v>
      </c>
      <c r="O290" s="4"/>
      <c r="P290" s="4"/>
      <c r="Q290" s="4">
        <f>IFERROR(__xludf.DUMMYFUNCTION("""COMPUTED_VALUE"""),3.8988587807686486)</f>
        <v>3.898858781</v>
      </c>
      <c r="R290" s="4"/>
      <c r="S290" s="4"/>
      <c r="T290" s="4">
        <f>IFERROR(__xludf.DUMMYFUNCTION("""COMPUTED_VALUE"""),9.478685303594943)</f>
        <v>9.478685304</v>
      </c>
      <c r="U290" s="4"/>
      <c r="V290" s="4"/>
      <c r="W290" s="4">
        <f>IFERROR(__xludf.DUMMYFUNCTION("""COMPUTED_VALUE"""),12.66968525589715)</f>
        <v>12.66968526</v>
      </c>
      <c r="X290" s="4"/>
      <c r="Y290" s="4"/>
      <c r="Z290" s="4">
        <f>IFERROR(__xludf.DUMMYFUNCTION("""COMPUTED_VALUE"""),29.022447241113014)</f>
        <v>29.02244724</v>
      </c>
      <c r="AA290" s="4"/>
      <c r="AB290" s="4"/>
      <c r="AC290" s="4">
        <f>IFERROR(__xludf.DUMMYFUNCTION("""COMPUTED_VALUE"""),48.24531668074769)</f>
        <v>48.24531668</v>
      </c>
      <c r="AD290" s="4"/>
      <c r="AE290" s="4"/>
      <c r="AF290" s="4">
        <f>IFERROR(__xludf.DUMMYFUNCTION("""COMPUTED_VALUE"""),51.00310254004819)</f>
        <v>51.00310254</v>
      </c>
      <c r="AG290" s="4"/>
      <c r="AH290" s="4"/>
      <c r="AI290" s="4">
        <f>IFERROR(__xludf.DUMMYFUNCTION("""COMPUTED_VALUE"""),53.977719886509874)</f>
        <v>53.97771989</v>
      </c>
      <c r="AJ290" s="4"/>
      <c r="AK290" s="4"/>
      <c r="AL290" s="4">
        <f>IFERROR(__xludf.DUMMYFUNCTION("""COMPUTED_VALUE"""),55.081632778688345)</f>
        <v>55.08163278</v>
      </c>
      <c r="AM290" s="4"/>
      <c r="AN290" s="4"/>
      <c r="AO290" s="4">
        <f>IFERROR(__xludf.DUMMYFUNCTION("""COMPUTED_VALUE"""),48.34066902933114)</f>
        <v>48.34066903</v>
      </c>
      <c r="AP290" s="4"/>
      <c r="AQ290" s="4"/>
      <c r="AR290" s="4">
        <f>IFERROR(__xludf.DUMMYFUNCTION("""COMPUTED_VALUE"""),37.27548762389824)</f>
        <v>37.27548762</v>
      </c>
      <c r="AS290" s="4"/>
      <c r="AT290" s="4"/>
      <c r="AU290" s="4">
        <f>IFERROR(__xludf.DUMMYFUNCTION("""COMPUTED_VALUE"""),24.983401226038552)</f>
        <v>24.98340123</v>
      </c>
      <c r="AV290" s="4"/>
      <c r="AW290" s="4"/>
      <c r="AX290" s="4">
        <f>IFERROR(__xludf.DUMMYFUNCTION("""COMPUTED_VALUE"""),22.601034792225846)</f>
        <v>22.60103479</v>
      </c>
      <c r="AY290" s="4"/>
      <c r="AZ290" s="4"/>
      <c r="BA290" s="4">
        <f>IFERROR(__xludf.DUMMYFUNCTION("""COMPUTED_VALUE"""),18.238676020362846)</f>
        <v>18.23867602</v>
      </c>
      <c r="BB290" s="4"/>
      <c r="BC290" s="4"/>
      <c r="BD290" s="4">
        <f>IFERROR(__xludf.DUMMYFUNCTION("""COMPUTED_VALUE"""),8.935549449362611)</f>
        <v>8.935549449</v>
      </c>
      <c r="BE290" s="4"/>
      <c r="BF290" s="4"/>
      <c r="BG290" s="4">
        <f>IFERROR(__xludf.DUMMYFUNCTION("""COMPUTED_VALUE"""),7.550480934090672)</f>
        <v>7.550480934</v>
      </c>
      <c r="BH290" s="4"/>
      <c r="BI290" s="4"/>
      <c r="BJ290" s="4"/>
      <c r="BK290" s="4"/>
    </row>
    <row r="291">
      <c r="A291" s="4"/>
      <c r="B291" s="4"/>
      <c r="C291" s="4"/>
      <c r="D291" s="4">
        <f>IFERROR(__xludf.DUMMYFUNCTION("""COMPUTED_VALUE"""),-54.17947179597722)</f>
        <v>-54.1794718</v>
      </c>
      <c r="E291" s="23">
        <f>IFERROR(__xludf.DUMMYFUNCTION("""COMPUTED_VALUE"""),7.371165232498413)</f>
        <v>7.371165232</v>
      </c>
      <c r="F291" s="4"/>
      <c r="G291" s="4"/>
      <c r="H291" s="4">
        <f>IFERROR(__xludf.DUMMYFUNCTION("""COMPUTED_VALUE"""),9.16115792953235)</f>
        <v>9.16115793</v>
      </c>
      <c r="I291" s="4"/>
      <c r="J291" s="4"/>
      <c r="K291" s="4">
        <f>IFERROR(__xludf.DUMMYFUNCTION("""COMPUTED_VALUE"""),12.80843103513115)</f>
        <v>12.80843104</v>
      </c>
      <c r="L291" s="4"/>
      <c r="M291" s="4"/>
      <c r="N291" s="4">
        <f>IFERROR(__xludf.DUMMYFUNCTION("""COMPUTED_VALUE"""),11.412546903622854)</f>
        <v>11.4125469</v>
      </c>
      <c r="O291" s="4"/>
      <c r="P291" s="4"/>
      <c r="Q291" s="4">
        <f>IFERROR(__xludf.DUMMYFUNCTION("""COMPUTED_VALUE"""),8.80426016119543)</f>
        <v>8.804260161</v>
      </c>
      <c r="R291" s="4"/>
      <c r="S291" s="4"/>
      <c r="T291" s="4">
        <f>IFERROR(__xludf.DUMMYFUNCTION("""COMPUTED_VALUE"""),13.335552507019543)</f>
        <v>13.33555251</v>
      </c>
      <c r="U291" s="4"/>
      <c r="V291" s="4"/>
      <c r="W291" s="4">
        <f>IFERROR(__xludf.DUMMYFUNCTION("""COMPUTED_VALUE"""),13.042418997293225)</f>
        <v>13.042419</v>
      </c>
      <c r="X291" s="4"/>
      <c r="Y291" s="4"/>
      <c r="Z291" s="4">
        <f>IFERROR(__xludf.DUMMYFUNCTION("""COMPUTED_VALUE"""),21.32387593203316)</f>
        <v>21.32387593</v>
      </c>
      <c r="AA291" s="4"/>
      <c r="AB291" s="4"/>
      <c r="AC291" s="4">
        <f>IFERROR(__xludf.DUMMYFUNCTION("""COMPUTED_VALUE"""),43.659456789470255)</f>
        <v>43.65945679</v>
      </c>
      <c r="AD291" s="4"/>
      <c r="AE291" s="4"/>
      <c r="AF291" s="4">
        <f>IFERROR(__xludf.DUMMYFUNCTION("""COMPUTED_VALUE"""),51.27587996258086)</f>
        <v>51.27587996</v>
      </c>
      <c r="AG291" s="4"/>
      <c r="AH291" s="4"/>
      <c r="AI291" s="4">
        <f>IFERROR(__xludf.DUMMYFUNCTION("""COMPUTED_VALUE"""),58.080045260919405)</f>
        <v>58.08004526</v>
      </c>
      <c r="AJ291" s="4"/>
      <c r="AK291" s="4"/>
      <c r="AL291" s="4">
        <f>IFERROR(__xludf.DUMMYFUNCTION("""COMPUTED_VALUE"""),54.698561547546376)</f>
        <v>54.69856155</v>
      </c>
      <c r="AM291" s="4"/>
      <c r="AN291" s="4"/>
      <c r="AO291" s="4">
        <f>IFERROR(__xludf.DUMMYFUNCTION("""COMPUTED_VALUE"""),42.14674213375247)</f>
        <v>42.14674213</v>
      </c>
      <c r="AP291" s="4"/>
      <c r="AQ291" s="4"/>
      <c r="AR291" s="4">
        <f>IFERROR(__xludf.DUMMYFUNCTION("""COMPUTED_VALUE"""),47.25901573735257)</f>
        <v>47.25901574</v>
      </c>
      <c r="AS291" s="4"/>
      <c r="AT291" s="4"/>
      <c r="AU291" s="4">
        <f>IFERROR(__xludf.DUMMYFUNCTION("""COMPUTED_VALUE"""),31.515501344105587)</f>
        <v>31.51550134</v>
      </c>
      <c r="AV291" s="4"/>
      <c r="AW291" s="4"/>
      <c r="AX291" s="4">
        <f>IFERROR(__xludf.DUMMYFUNCTION("""COMPUTED_VALUE"""),22.573896064315818)</f>
        <v>22.57389606</v>
      </c>
      <c r="AY291" s="4"/>
      <c r="AZ291" s="4"/>
      <c r="BA291" s="4">
        <f>IFERROR(__xludf.DUMMYFUNCTION("""COMPUTED_VALUE"""),20.78661295456567)</f>
        <v>20.78661295</v>
      </c>
      <c r="BB291" s="4"/>
      <c r="BC291" s="4"/>
      <c r="BD291" s="4">
        <f>IFERROR(__xludf.DUMMYFUNCTION("""COMPUTED_VALUE"""),9.461493860074256)</f>
        <v>9.46149386</v>
      </c>
      <c r="BE291" s="4"/>
      <c r="BF291" s="4"/>
      <c r="BG291" s="4">
        <f>IFERROR(__xludf.DUMMYFUNCTION("""COMPUTED_VALUE"""),12.879686019123596)</f>
        <v>12.87968602</v>
      </c>
      <c r="BH291" s="4"/>
      <c r="BI291" s="4"/>
      <c r="BJ291" s="4"/>
      <c r="BK291" s="4"/>
    </row>
    <row r="292">
      <c r="A292" s="4"/>
      <c r="B292" s="4"/>
      <c r="C292" s="4"/>
      <c r="D292" s="4">
        <f>IFERROR(__xludf.DUMMYFUNCTION("""COMPUTED_VALUE"""),-55.09776792666235)</f>
        <v>-55.09776793</v>
      </c>
      <c r="E292" s="23">
        <f>IFERROR(__xludf.DUMMYFUNCTION("""COMPUTED_VALUE"""),2.277482560319129)</f>
        <v>2.27748256</v>
      </c>
      <c r="F292" s="4"/>
      <c r="G292" s="4"/>
      <c r="H292" s="4">
        <f>IFERROR(__xludf.DUMMYFUNCTION("""COMPUTED_VALUE"""),5.662350720953555)</f>
        <v>5.662350721</v>
      </c>
      <c r="I292" s="4"/>
      <c r="J292" s="4"/>
      <c r="K292" s="4">
        <f>IFERROR(__xludf.DUMMYFUNCTION("""COMPUTED_VALUE"""),6.934274913136278)</f>
        <v>6.934274913</v>
      </c>
      <c r="L292" s="4"/>
      <c r="M292" s="4"/>
      <c r="N292" s="4">
        <f>IFERROR(__xludf.DUMMYFUNCTION("""COMPUTED_VALUE"""),10.715324529901181)</f>
        <v>10.71532453</v>
      </c>
      <c r="O292" s="4"/>
      <c r="P292" s="4"/>
      <c r="Q292" s="4">
        <f>IFERROR(__xludf.DUMMYFUNCTION("""COMPUTED_VALUE"""),9.371258624520237)</f>
        <v>9.371258625</v>
      </c>
      <c r="R292" s="4"/>
      <c r="S292" s="4"/>
      <c r="T292" s="4">
        <f>IFERROR(__xludf.DUMMYFUNCTION("""COMPUTED_VALUE"""),15.40196893551547)</f>
        <v>15.40196894</v>
      </c>
      <c r="U292" s="4"/>
      <c r="V292" s="4"/>
      <c r="W292" s="4">
        <f>IFERROR(__xludf.DUMMYFUNCTION("""COMPUTED_VALUE"""),16.697860957977127)</f>
        <v>16.69786096</v>
      </c>
      <c r="X292" s="4"/>
      <c r="Y292" s="4"/>
      <c r="Z292" s="4">
        <f>IFERROR(__xludf.DUMMYFUNCTION("""COMPUTED_VALUE"""),29.400829343035014)</f>
        <v>29.40082934</v>
      </c>
      <c r="AA292" s="4"/>
      <c r="AB292" s="4"/>
      <c r="AC292" s="4">
        <f>IFERROR(__xludf.DUMMYFUNCTION("""COMPUTED_VALUE"""),44.208077081059685)</f>
        <v>44.20807708</v>
      </c>
      <c r="AD292" s="4"/>
      <c r="AE292" s="4"/>
      <c r="AF292" s="4">
        <f>IFERROR(__xludf.DUMMYFUNCTION("""COMPUTED_VALUE"""),55.91992420882593)</f>
        <v>55.91992421</v>
      </c>
      <c r="AG292" s="4"/>
      <c r="AH292" s="4"/>
      <c r="AI292" s="4">
        <f>IFERROR(__xludf.DUMMYFUNCTION("""COMPUTED_VALUE"""),53.789413026685054)</f>
        <v>53.78941303</v>
      </c>
      <c r="AJ292" s="4"/>
      <c r="AK292" s="4"/>
      <c r="AL292" s="4">
        <f>IFERROR(__xludf.DUMMYFUNCTION("""COMPUTED_VALUE"""),60.5050054643491)</f>
        <v>60.50500546</v>
      </c>
      <c r="AM292" s="4"/>
      <c r="AN292" s="4"/>
      <c r="AO292" s="4">
        <f>IFERROR(__xludf.DUMMYFUNCTION("""COMPUTED_VALUE"""),45.60931710065341)</f>
        <v>45.6093171</v>
      </c>
      <c r="AP292" s="4"/>
      <c r="AQ292" s="4"/>
      <c r="AR292" s="4">
        <f>IFERROR(__xludf.DUMMYFUNCTION("""COMPUTED_VALUE"""),40.67084862399031)</f>
        <v>40.67084862</v>
      </c>
      <c r="AS292" s="4"/>
      <c r="AT292" s="4"/>
      <c r="AU292" s="4">
        <f>IFERROR(__xludf.DUMMYFUNCTION("""COMPUTED_VALUE"""),32.98890062390416)</f>
        <v>32.98890062</v>
      </c>
      <c r="AV292" s="4"/>
      <c r="AW292" s="4"/>
      <c r="AX292" s="4">
        <f>IFERROR(__xludf.DUMMYFUNCTION("""COMPUTED_VALUE"""),22.505973215473603)</f>
        <v>22.50597322</v>
      </c>
      <c r="AY292" s="4"/>
      <c r="AZ292" s="4"/>
      <c r="BA292" s="4">
        <f>IFERROR(__xludf.DUMMYFUNCTION("""COMPUTED_VALUE"""),17.74162682027793)</f>
        <v>17.74162682</v>
      </c>
      <c r="BB292" s="4"/>
      <c r="BC292" s="4"/>
      <c r="BD292" s="4">
        <f>IFERROR(__xludf.DUMMYFUNCTION("""COMPUTED_VALUE"""),5.556557986211885)</f>
        <v>5.556557986</v>
      </c>
      <c r="BE292" s="4"/>
      <c r="BF292" s="4"/>
      <c r="BG292" s="4">
        <f>IFERROR(__xludf.DUMMYFUNCTION("""COMPUTED_VALUE"""),4.982581860799542)</f>
        <v>4.982581861</v>
      </c>
      <c r="BH292" s="4"/>
      <c r="BI292" s="4"/>
      <c r="BJ292" s="4"/>
      <c r="BK292" s="4"/>
    </row>
    <row r="293">
      <c r="A293" s="4"/>
      <c r="B293" s="4"/>
      <c r="C293" s="4"/>
      <c r="D293" s="4">
        <f>IFERROR(__xludf.DUMMYFUNCTION("""COMPUTED_VALUE"""),-56.01606405941207)</f>
        <v>-56.01606406</v>
      </c>
      <c r="E293" s="23">
        <f>IFERROR(__xludf.DUMMYFUNCTION("""COMPUTED_VALUE"""),5.76462593742832)</f>
        <v>5.764625937</v>
      </c>
      <c r="F293" s="4"/>
      <c r="G293" s="4"/>
      <c r="H293" s="4">
        <f>IFERROR(__xludf.DUMMYFUNCTION("""COMPUTED_VALUE"""),6.1070130331595465)</f>
        <v>6.107013033</v>
      </c>
      <c r="I293" s="4"/>
      <c r="J293" s="4"/>
      <c r="K293" s="4">
        <f>IFERROR(__xludf.DUMMYFUNCTION("""COMPUTED_VALUE"""),6.500266938362529)</f>
        <v>6.500266938</v>
      </c>
      <c r="L293" s="4"/>
      <c r="M293" s="4"/>
      <c r="N293" s="4">
        <f>IFERROR(__xludf.DUMMYFUNCTION("""COMPUTED_VALUE"""),4.836553017247297)</f>
        <v>4.836553017</v>
      </c>
      <c r="O293" s="4"/>
      <c r="P293" s="4"/>
      <c r="Q293" s="4">
        <f>IFERROR(__xludf.DUMMYFUNCTION("""COMPUTED_VALUE"""),14.233667609011889)</f>
        <v>14.23366761</v>
      </c>
      <c r="R293" s="4"/>
      <c r="S293" s="4"/>
      <c r="T293" s="4">
        <f>IFERROR(__xludf.DUMMYFUNCTION("""COMPUTED_VALUE"""),14.310698898345834)</f>
        <v>14.3106989</v>
      </c>
      <c r="U293" s="4"/>
      <c r="V293" s="4"/>
      <c r="W293" s="4">
        <f>IFERROR(__xludf.DUMMYFUNCTION("""COMPUTED_VALUE"""),9.738024897284845)</f>
        <v>9.738024897</v>
      </c>
      <c r="X293" s="4"/>
      <c r="Y293" s="4"/>
      <c r="Z293" s="4">
        <f>IFERROR(__xludf.DUMMYFUNCTION("""COMPUTED_VALUE"""),32.81446869312913)</f>
        <v>32.81446869</v>
      </c>
      <c r="AA293" s="4"/>
      <c r="AB293" s="4"/>
      <c r="AC293" s="4">
        <f>IFERROR(__xludf.DUMMYFUNCTION("""COMPUTED_VALUE"""),51.56369370155642)</f>
        <v>51.5636937</v>
      </c>
      <c r="AD293" s="4"/>
      <c r="AE293" s="4"/>
      <c r="AF293" s="4">
        <f>IFERROR(__xludf.DUMMYFUNCTION("""COMPUTED_VALUE"""),50.97914694756781)</f>
        <v>50.97914695</v>
      </c>
      <c r="AG293" s="4"/>
      <c r="AH293" s="4"/>
      <c r="AI293" s="4">
        <f>IFERROR(__xludf.DUMMYFUNCTION("""COMPUTED_VALUE"""),58.589282004006236)</f>
        <v>58.589282</v>
      </c>
      <c r="AJ293" s="4"/>
      <c r="AK293" s="4"/>
      <c r="AL293" s="4">
        <f>IFERROR(__xludf.DUMMYFUNCTION("""COMPUTED_VALUE"""),50.882386201873146)</f>
        <v>50.8823862</v>
      </c>
      <c r="AM293" s="4"/>
      <c r="AN293" s="4"/>
      <c r="AO293" s="4">
        <f>IFERROR(__xludf.DUMMYFUNCTION("""COMPUTED_VALUE"""),47.36015871865328)</f>
        <v>47.36015872</v>
      </c>
      <c r="AP293" s="4"/>
      <c r="AQ293" s="4"/>
      <c r="AR293" s="4">
        <f>IFERROR(__xludf.DUMMYFUNCTION("""COMPUTED_VALUE"""),38.905341297520806)</f>
        <v>38.9053413</v>
      </c>
      <c r="AS293" s="4"/>
      <c r="AT293" s="4"/>
      <c r="AU293" s="4">
        <f>IFERROR(__xludf.DUMMYFUNCTION("""COMPUTED_VALUE"""),36.230455105651345)</f>
        <v>36.23045511</v>
      </c>
      <c r="AV293" s="4"/>
      <c r="AW293" s="4"/>
      <c r="AX293" s="4">
        <f>IFERROR(__xludf.DUMMYFUNCTION("""COMPUTED_VALUE"""),18.40539487757053)</f>
        <v>18.40539488</v>
      </c>
      <c r="AY293" s="4"/>
      <c r="AZ293" s="4"/>
      <c r="BA293" s="4">
        <f>IFERROR(__xludf.DUMMYFUNCTION("""COMPUTED_VALUE"""),11.640039803342745)</f>
        <v>11.6400398</v>
      </c>
      <c r="BB293" s="4"/>
      <c r="BC293" s="4"/>
      <c r="BD293" s="4">
        <f>IFERROR(__xludf.DUMMYFUNCTION("""COMPUTED_VALUE"""),9.850247911189854)</f>
        <v>9.850247911</v>
      </c>
      <c r="BE293" s="4"/>
      <c r="BF293" s="4"/>
      <c r="BG293" s="4">
        <f>IFERROR(__xludf.DUMMYFUNCTION("""COMPUTED_VALUE"""),11.248661558045967)</f>
        <v>11.24866156</v>
      </c>
      <c r="BH293" s="4"/>
      <c r="BI293" s="4"/>
      <c r="BJ293" s="4"/>
      <c r="BK293" s="4"/>
    </row>
    <row r="294">
      <c r="A294" s="4"/>
      <c r="B294" s="4"/>
      <c r="C294" s="4"/>
      <c r="D294" s="4">
        <f>IFERROR(__xludf.DUMMYFUNCTION("""COMPUTED_VALUE"""),-56.93436019221215)</f>
        <v>-56.93436019</v>
      </c>
      <c r="E294" s="23">
        <f>IFERROR(__xludf.DUMMYFUNCTION("""COMPUTED_VALUE"""),6.498346861815833)</f>
        <v>6.498346862</v>
      </c>
      <c r="F294" s="4"/>
      <c r="G294" s="4"/>
      <c r="H294" s="4">
        <f>IFERROR(__xludf.DUMMYFUNCTION("""COMPUTED_VALUE"""),-1.182017443110965)</f>
        <v>-1.182017443</v>
      </c>
      <c r="I294" s="4"/>
      <c r="J294" s="4"/>
      <c r="K294" s="4">
        <f>IFERROR(__xludf.DUMMYFUNCTION("""COMPUTED_VALUE"""),6.863555081917184)</f>
        <v>6.863555082</v>
      </c>
      <c r="L294" s="4"/>
      <c r="M294" s="4"/>
      <c r="N294" s="4">
        <f>IFERROR(__xludf.DUMMYFUNCTION("""COMPUTED_VALUE"""),4.531080072849022)</f>
        <v>4.531080073</v>
      </c>
      <c r="O294" s="4"/>
      <c r="P294" s="4"/>
      <c r="Q294" s="4">
        <f>IFERROR(__xludf.DUMMYFUNCTION("""COMPUTED_VALUE"""),8.626845278986991)</f>
        <v>8.626845279</v>
      </c>
      <c r="R294" s="4"/>
      <c r="S294" s="4"/>
      <c r="T294" s="4">
        <f>IFERROR(__xludf.DUMMYFUNCTION("""COMPUTED_VALUE"""),12.415341704870286)</f>
        <v>12.4153417</v>
      </c>
      <c r="U294" s="4"/>
      <c r="V294" s="4"/>
      <c r="W294" s="4">
        <f>IFERROR(__xludf.DUMMYFUNCTION("""COMPUTED_VALUE"""),16.427220526530107)</f>
        <v>16.42722053</v>
      </c>
      <c r="X294" s="4"/>
      <c r="Y294" s="4"/>
      <c r="Z294" s="4">
        <f>IFERROR(__xludf.DUMMYFUNCTION("""COMPUTED_VALUE"""),33.78277932289808)</f>
        <v>33.78277932</v>
      </c>
      <c r="AA294" s="4"/>
      <c r="AB294" s="4"/>
      <c r="AC294" s="4">
        <f>IFERROR(__xludf.DUMMYFUNCTION("""COMPUTED_VALUE"""),45.78565587771374)</f>
        <v>45.78565588</v>
      </c>
      <c r="AD294" s="4"/>
      <c r="AE294" s="4"/>
      <c r="AF294" s="4">
        <f>IFERROR(__xludf.DUMMYFUNCTION("""COMPUTED_VALUE"""),58.67172955137568)</f>
        <v>58.67172955</v>
      </c>
      <c r="AG294" s="4"/>
      <c r="AH294" s="4"/>
      <c r="AI294" s="4">
        <f>IFERROR(__xludf.DUMMYFUNCTION("""COMPUTED_VALUE"""),59.294890371445206)</f>
        <v>59.29489037</v>
      </c>
      <c r="AJ294" s="4"/>
      <c r="AK294" s="4"/>
      <c r="AL294" s="4">
        <f>IFERROR(__xludf.DUMMYFUNCTION("""COMPUTED_VALUE"""),54.392057901187286)</f>
        <v>54.3920579</v>
      </c>
      <c r="AM294" s="4"/>
      <c r="AN294" s="4"/>
      <c r="AO294" s="4">
        <f>IFERROR(__xludf.DUMMYFUNCTION("""COMPUTED_VALUE"""),46.02308383662199)</f>
        <v>46.02308384</v>
      </c>
      <c r="AP294" s="4"/>
      <c r="AQ294" s="4"/>
      <c r="AR294" s="4">
        <f>IFERROR(__xludf.DUMMYFUNCTION("""COMPUTED_VALUE"""),43.00635310793575)</f>
        <v>43.00635311</v>
      </c>
      <c r="AS294" s="4"/>
      <c r="AT294" s="4"/>
      <c r="AU294" s="4">
        <f>IFERROR(__xludf.DUMMYFUNCTION("""COMPUTED_VALUE"""),32.38923816148673)</f>
        <v>32.38923816</v>
      </c>
      <c r="AV294" s="4"/>
      <c r="AW294" s="4"/>
      <c r="AX294" s="4">
        <f>IFERROR(__xludf.DUMMYFUNCTION("""COMPUTED_VALUE"""),20.478120580560756)</f>
        <v>20.47812058</v>
      </c>
      <c r="AY294" s="4"/>
      <c r="AZ294" s="4"/>
      <c r="BA294" s="4">
        <f>IFERROR(__xludf.DUMMYFUNCTION("""COMPUTED_VALUE"""),8.441652175951674)</f>
        <v>8.441652176</v>
      </c>
      <c r="BB294" s="4"/>
      <c r="BC294" s="4"/>
      <c r="BD294" s="4">
        <f>IFERROR(__xludf.DUMMYFUNCTION("""COMPUTED_VALUE"""),9.074629810050794)</f>
        <v>9.07462981</v>
      </c>
      <c r="BE294" s="4"/>
      <c r="BF294" s="4"/>
      <c r="BG294" s="4">
        <f>IFERROR(__xludf.DUMMYFUNCTION("""COMPUTED_VALUE"""),5.068124604512377)</f>
        <v>5.068124605</v>
      </c>
      <c r="BH294" s="4"/>
      <c r="BI294" s="4"/>
      <c r="BJ294" s="4"/>
      <c r="BK294" s="4"/>
    </row>
    <row r="295">
      <c r="A295" s="4"/>
      <c r="B295" s="4"/>
      <c r="C295" s="4"/>
      <c r="D295" s="4">
        <f>IFERROR(__xludf.DUMMYFUNCTION("""COMPUTED_VALUE"""),-57.85265632284691)</f>
        <v>-57.85265632</v>
      </c>
      <c r="E295" s="23">
        <f>IFERROR(__xludf.DUMMYFUNCTION("""COMPUTED_VALUE"""),0.30087867866188844)</f>
        <v>0.3008786787</v>
      </c>
      <c r="F295" s="4"/>
      <c r="G295" s="4"/>
      <c r="H295" s="4">
        <f>IFERROR(__xludf.DUMMYFUNCTION("""COMPUTED_VALUE"""),0.133034591605508)</f>
        <v>0.1330345916</v>
      </c>
      <c r="I295" s="4"/>
      <c r="J295" s="4"/>
      <c r="K295" s="4">
        <f>IFERROR(__xludf.DUMMYFUNCTION("""COMPUTED_VALUE"""),5.495425262792992)</f>
        <v>5.495425263</v>
      </c>
      <c r="L295" s="4"/>
      <c r="M295" s="4"/>
      <c r="N295" s="4">
        <f>IFERROR(__xludf.DUMMYFUNCTION("""COMPUTED_VALUE"""),4.02394803031865)</f>
        <v>4.02394803</v>
      </c>
      <c r="O295" s="4"/>
      <c r="P295" s="4"/>
      <c r="Q295" s="4">
        <f>IFERROR(__xludf.DUMMYFUNCTION("""COMPUTED_VALUE"""),9.71284374546002)</f>
        <v>9.712843745</v>
      </c>
      <c r="R295" s="4"/>
      <c r="S295" s="4"/>
      <c r="T295" s="4">
        <f>IFERROR(__xludf.DUMMYFUNCTION("""COMPUTED_VALUE"""),16.360071624388866)</f>
        <v>16.36007162</v>
      </c>
      <c r="U295" s="4"/>
      <c r="V295" s="4"/>
      <c r="W295" s="4">
        <f>IFERROR(__xludf.DUMMYFUNCTION("""COMPUTED_VALUE"""),14.763177991223529)</f>
        <v>14.76317799</v>
      </c>
      <c r="X295" s="4"/>
      <c r="Y295" s="4"/>
      <c r="Z295" s="4">
        <f>IFERROR(__xludf.DUMMYFUNCTION("""COMPUTED_VALUE"""),29.151046819816656)</f>
        <v>29.15104682</v>
      </c>
      <c r="AA295" s="4"/>
      <c r="AB295" s="4"/>
      <c r="AC295" s="4">
        <f>IFERROR(__xludf.DUMMYFUNCTION("""COMPUTED_VALUE"""),52.862420856166864)</f>
        <v>52.86242086</v>
      </c>
      <c r="AD295" s="4"/>
      <c r="AE295" s="4"/>
      <c r="AF295" s="4">
        <f>IFERROR(__xludf.DUMMYFUNCTION("""COMPUTED_VALUE"""),59.53642330006642)</f>
        <v>59.5364233</v>
      </c>
      <c r="AG295" s="4"/>
      <c r="AH295" s="4"/>
      <c r="AI295" s="4">
        <f>IFERROR(__xludf.DUMMYFUNCTION("""COMPUTED_VALUE"""),55.45830768080896)</f>
        <v>55.45830768</v>
      </c>
      <c r="AJ295" s="4"/>
      <c r="AK295" s="4"/>
      <c r="AL295" s="4">
        <f>IFERROR(__xludf.DUMMYFUNCTION("""COMPUTED_VALUE"""),57.35773224945456)</f>
        <v>57.35773225</v>
      </c>
      <c r="AM295" s="4"/>
      <c r="AN295" s="4"/>
      <c r="AO295" s="4">
        <f>IFERROR(__xludf.DUMMYFUNCTION("""COMPUTED_VALUE"""),49.86358427961477)</f>
        <v>49.86358428</v>
      </c>
      <c r="AP295" s="4"/>
      <c r="AQ295" s="4"/>
      <c r="AR295" s="4">
        <f>IFERROR(__xludf.DUMMYFUNCTION("""COMPUTED_VALUE"""),44.35482462364973)</f>
        <v>44.35482462</v>
      </c>
      <c r="AS295" s="4"/>
      <c r="AT295" s="4"/>
      <c r="AU295" s="4">
        <f>IFERROR(__xludf.DUMMYFUNCTION("""COMPUTED_VALUE"""),29.984296702829738)</f>
        <v>29.9842967</v>
      </c>
      <c r="AV295" s="4"/>
      <c r="AW295" s="4"/>
      <c r="AX295" s="4">
        <f>IFERROR(__xludf.DUMMYFUNCTION("""COMPUTED_VALUE"""),13.920918493318197)</f>
        <v>13.92091849</v>
      </c>
      <c r="AY295" s="4"/>
      <c r="AZ295" s="4"/>
      <c r="BA295" s="4">
        <f>IFERROR(__xludf.DUMMYFUNCTION("""COMPUTED_VALUE"""),13.312632888687517)</f>
        <v>13.31263289</v>
      </c>
      <c r="BB295" s="4"/>
      <c r="BC295" s="4"/>
      <c r="BD295" s="4">
        <f>IFERROR(__xludf.DUMMYFUNCTION("""COMPUTED_VALUE"""),7.6910391967973055)</f>
        <v>7.691039197</v>
      </c>
      <c r="BE295" s="4"/>
      <c r="BF295" s="4"/>
      <c r="BG295" s="4">
        <f>IFERROR(__xludf.DUMMYFUNCTION("""COMPUTED_VALUE"""),2.8973779946877016)</f>
        <v>2.897377995</v>
      </c>
      <c r="BH295" s="4"/>
      <c r="BI295" s="4"/>
      <c r="BJ295" s="4"/>
      <c r="BK295" s="4"/>
    </row>
    <row r="296">
      <c r="A296" s="4"/>
      <c r="B296" s="4"/>
      <c r="C296" s="4"/>
      <c r="D296" s="4">
        <f>IFERROR(__xludf.DUMMYFUNCTION("""COMPUTED_VALUE"""),-58.77095245564699)</f>
        <v>-58.77095246</v>
      </c>
      <c r="E296" s="23">
        <f>IFERROR(__xludf.DUMMYFUNCTION("""COMPUTED_VALUE"""),6.081819576744692)</f>
        <v>6.081819577</v>
      </c>
      <c r="F296" s="4"/>
      <c r="G296" s="4"/>
      <c r="H296" s="4">
        <f>IFERROR(__xludf.DUMMYFUNCTION("""COMPUTED_VALUE"""),4.524813052624268)</f>
        <v>4.524813053</v>
      </c>
      <c r="I296" s="4"/>
      <c r="J296" s="4"/>
      <c r="K296" s="4">
        <f>IFERROR(__xludf.DUMMYFUNCTION("""COMPUTED_VALUE"""),4.317398335843507)</f>
        <v>4.317398336</v>
      </c>
      <c r="L296" s="4"/>
      <c r="M296" s="4"/>
      <c r="N296" s="4">
        <f>IFERROR(__xludf.DUMMYFUNCTION("""COMPUTED_VALUE"""),6.092065175207267)</f>
        <v>6.092065175</v>
      </c>
      <c r="O296" s="4"/>
      <c r="P296" s="4"/>
      <c r="Q296" s="4">
        <f>IFERROR(__xludf.DUMMYFUNCTION("""COMPUTED_VALUE"""),5.008082851340589)</f>
        <v>5.008082851</v>
      </c>
      <c r="R296" s="4"/>
      <c r="S296" s="4"/>
      <c r="T296" s="4">
        <f>IFERROR(__xludf.DUMMYFUNCTION("""COMPUTED_VALUE"""),16.07039168499034)</f>
        <v>16.07039168</v>
      </c>
      <c r="U296" s="4"/>
      <c r="V296" s="4"/>
      <c r="W296" s="4">
        <f>IFERROR(__xludf.DUMMYFUNCTION("""COMPUTED_VALUE"""),17.486313221565865)</f>
        <v>17.48631322</v>
      </c>
      <c r="X296" s="4"/>
      <c r="Y296" s="4"/>
      <c r="Z296" s="4">
        <f>IFERROR(__xludf.DUMMYFUNCTION("""COMPUTED_VALUE"""),39.200049535824576)</f>
        <v>39.20004954</v>
      </c>
      <c r="AA296" s="4"/>
      <c r="AB296" s="4"/>
      <c r="AC296" s="4">
        <f>IFERROR(__xludf.DUMMYFUNCTION("""COMPUTED_VALUE"""),52.25928312731111)</f>
        <v>52.25928313</v>
      </c>
      <c r="AD296" s="4"/>
      <c r="AE296" s="4"/>
      <c r="AF296" s="4">
        <f>IFERROR(__xludf.DUMMYFUNCTION("""COMPUTED_VALUE"""),58.712760869129966)</f>
        <v>58.71276087</v>
      </c>
      <c r="AG296" s="4"/>
      <c r="AH296" s="4"/>
      <c r="AI296" s="4">
        <f>IFERROR(__xludf.DUMMYFUNCTION("""COMPUTED_VALUE"""),61.24325352110344)</f>
        <v>61.24325352</v>
      </c>
      <c r="AJ296" s="4"/>
      <c r="AK296" s="4"/>
      <c r="AL296" s="4">
        <f>IFERROR(__xludf.DUMMYFUNCTION("""COMPUTED_VALUE"""),61.61043215166052)</f>
        <v>61.61043215</v>
      </c>
      <c r="AM296" s="4"/>
      <c r="AN296" s="4"/>
      <c r="AO296" s="4">
        <f>IFERROR(__xludf.DUMMYFUNCTION("""COMPUTED_VALUE"""),53.28260196400663)</f>
        <v>53.28260196</v>
      </c>
      <c r="AP296" s="4"/>
      <c r="AQ296" s="4"/>
      <c r="AR296" s="4">
        <f>IFERROR(__xludf.DUMMYFUNCTION("""COMPUTED_VALUE"""),43.70076972975335)</f>
        <v>43.70076973</v>
      </c>
      <c r="AS296" s="4"/>
      <c r="AT296" s="4"/>
      <c r="AU296" s="4">
        <f>IFERROR(__xludf.DUMMYFUNCTION("""COMPUTED_VALUE"""),28.64731078142222)</f>
        <v>28.64731078</v>
      </c>
      <c r="AV296" s="4"/>
      <c r="AW296" s="4"/>
      <c r="AX296" s="4">
        <f>IFERROR(__xludf.DUMMYFUNCTION("""COMPUTED_VALUE"""),16.93510741251771)</f>
        <v>16.93510741</v>
      </c>
      <c r="AY296" s="4"/>
      <c r="AZ296" s="4"/>
      <c r="BA296" s="4">
        <f>IFERROR(__xludf.DUMMYFUNCTION("""COMPUTED_VALUE"""),11.215888633600798)</f>
        <v>11.21588863</v>
      </c>
      <c r="BB296" s="4"/>
      <c r="BC296" s="4"/>
      <c r="BD296" s="4">
        <f>IFERROR(__xludf.DUMMYFUNCTION("""COMPUTED_VALUE"""),4.373155598707399)</f>
        <v>4.373155599</v>
      </c>
      <c r="BE296" s="4"/>
      <c r="BF296" s="4"/>
      <c r="BG296" s="4">
        <f>IFERROR(__xludf.DUMMYFUNCTION("""COMPUTED_VALUE"""),2.968377508966114)</f>
        <v>2.968377509</v>
      </c>
      <c r="BH296" s="4"/>
      <c r="BI296" s="4"/>
      <c r="BJ296" s="4"/>
      <c r="BK296" s="4"/>
    </row>
    <row r="297">
      <c r="A297" s="4"/>
      <c r="B297" s="4"/>
      <c r="C297" s="4"/>
      <c r="D297" s="4">
        <f>IFERROR(__xludf.DUMMYFUNCTION("""COMPUTED_VALUE"""),-59.689248588447064)</f>
        <v>-59.68924859</v>
      </c>
      <c r="E297" s="23">
        <f>IFERROR(__xludf.DUMMYFUNCTION("""COMPUTED_VALUE"""),2.5337694281601557)</f>
        <v>2.533769428</v>
      </c>
      <c r="F297" s="4"/>
      <c r="G297" s="4"/>
      <c r="H297" s="4">
        <f>IFERROR(__xludf.DUMMYFUNCTION("""COMPUTED_VALUE"""),-0.7583741115964813)</f>
        <v>-0.7583741116</v>
      </c>
      <c r="I297" s="4"/>
      <c r="J297" s="4"/>
      <c r="K297" s="4">
        <f>IFERROR(__xludf.DUMMYFUNCTION("""COMPUTED_VALUE"""),6.982169118262277)</f>
        <v>6.982169118</v>
      </c>
      <c r="L297" s="4"/>
      <c r="M297" s="4"/>
      <c r="N297" s="4">
        <f>IFERROR(__xludf.DUMMYFUNCTION("""COMPUTED_VALUE"""),8.191122132037378)</f>
        <v>8.191122132</v>
      </c>
      <c r="O297" s="4"/>
      <c r="P297" s="4"/>
      <c r="Q297" s="4">
        <f>IFERROR(__xludf.DUMMYFUNCTION("""COMPUTED_VALUE"""),15.130518637343016)</f>
        <v>15.13051864</v>
      </c>
      <c r="R297" s="4"/>
      <c r="S297" s="4"/>
      <c r="T297" s="4">
        <f>IFERROR(__xludf.DUMMYFUNCTION("""COMPUTED_VALUE"""),11.563917704557525)</f>
        <v>11.5639177</v>
      </c>
      <c r="U297" s="4"/>
      <c r="V297" s="4"/>
      <c r="W297" s="4">
        <f>IFERROR(__xludf.DUMMYFUNCTION("""COMPUTED_VALUE"""),21.359756514020262)</f>
        <v>21.35975651</v>
      </c>
      <c r="X297" s="4"/>
      <c r="Y297" s="4"/>
      <c r="Z297" s="4">
        <f>IFERROR(__xludf.DUMMYFUNCTION("""COMPUTED_VALUE"""),40.677426269259456)</f>
        <v>40.67742627</v>
      </c>
      <c r="AA297" s="4"/>
      <c r="AB297" s="4"/>
      <c r="AC297" s="4">
        <f>IFERROR(__xludf.DUMMYFUNCTION("""COMPUTED_VALUE"""),52.65793649750992)</f>
        <v>52.6579365</v>
      </c>
      <c r="AD297" s="4"/>
      <c r="AE297" s="4"/>
      <c r="AF297" s="4">
        <f>IFERROR(__xludf.DUMMYFUNCTION("""COMPUTED_VALUE"""),59.87754897093248)</f>
        <v>59.87754897</v>
      </c>
      <c r="AG297" s="4"/>
      <c r="AH297" s="4"/>
      <c r="AI297" s="4">
        <f>IFERROR(__xludf.DUMMYFUNCTION("""COMPUTED_VALUE"""),59.859011809185006)</f>
        <v>59.85901181</v>
      </c>
      <c r="AJ297" s="4"/>
      <c r="AK297" s="4"/>
      <c r="AL297" s="4">
        <f>IFERROR(__xludf.DUMMYFUNCTION("""COMPUTED_VALUE"""),64.50184505346328)</f>
        <v>64.50184505</v>
      </c>
      <c r="AM297" s="4"/>
      <c r="AN297" s="4"/>
      <c r="AO297" s="4">
        <f>IFERROR(__xludf.DUMMYFUNCTION("""COMPUTED_VALUE"""),44.7928988050283)</f>
        <v>44.79289881</v>
      </c>
      <c r="AP297" s="4"/>
      <c r="AQ297" s="4"/>
      <c r="AR297" s="4">
        <f>IFERROR(__xludf.DUMMYFUNCTION("""COMPUTED_VALUE"""),43.66241252019597)</f>
        <v>43.66241252</v>
      </c>
      <c r="AS297" s="4"/>
      <c r="AT297" s="4"/>
      <c r="AU297" s="4">
        <f>IFERROR(__xludf.DUMMYFUNCTION("""COMPUTED_VALUE"""),26.253381267669795)</f>
        <v>26.25338127</v>
      </c>
      <c r="AV297" s="4"/>
      <c r="AW297" s="4"/>
      <c r="AX297" s="4">
        <f>IFERROR(__xludf.DUMMYFUNCTION("""COMPUTED_VALUE"""),19.788141631385486)</f>
        <v>19.78814163</v>
      </c>
      <c r="AY297" s="4"/>
      <c r="AZ297" s="4"/>
      <c r="BA297" s="4">
        <f>IFERROR(__xludf.DUMMYFUNCTION("""COMPUTED_VALUE"""),16.94465269073038)</f>
        <v>16.94465269</v>
      </c>
      <c r="BB297" s="4"/>
      <c r="BC297" s="4"/>
      <c r="BD297" s="4">
        <f>IFERROR(__xludf.DUMMYFUNCTION("""COMPUTED_VALUE"""),6.420223559066699)</f>
        <v>6.420223559</v>
      </c>
      <c r="BE297" s="4"/>
      <c r="BF297" s="4"/>
      <c r="BG297" s="4">
        <f>IFERROR(__xludf.DUMMYFUNCTION("""COMPUTED_VALUE"""),7.37442878120379)</f>
        <v>7.374428781</v>
      </c>
      <c r="BH297" s="4"/>
      <c r="BI297" s="4"/>
      <c r="BJ297" s="4"/>
      <c r="BK297" s="4"/>
    </row>
    <row r="298">
      <c r="A298" s="4"/>
      <c r="B298" s="4"/>
      <c r="C298" s="4"/>
      <c r="D298" s="4">
        <f>IFERROR(__xludf.DUMMYFUNCTION("""COMPUTED_VALUE"""),-60.60754471908184)</f>
        <v>-60.60754472</v>
      </c>
      <c r="E298" s="23">
        <f>IFERROR(__xludf.DUMMYFUNCTION("""COMPUTED_VALUE"""),3.8681862337467123)</f>
        <v>3.868186234</v>
      </c>
      <c r="F298" s="4"/>
      <c r="G298" s="4"/>
      <c r="H298" s="4">
        <f>IFERROR(__xludf.DUMMYFUNCTION("""COMPUTED_VALUE"""),6.201991760232488)</f>
        <v>6.20199176</v>
      </c>
      <c r="I298" s="4"/>
      <c r="J298" s="4"/>
      <c r="K298" s="4">
        <f>IFERROR(__xludf.DUMMYFUNCTION("""COMPUTED_VALUE"""),0.6192236830660249)</f>
        <v>0.6192236831</v>
      </c>
      <c r="L298" s="4"/>
      <c r="M298" s="4"/>
      <c r="N298" s="4">
        <f>IFERROR(__xludf.DUMMYFUNCTION("""COMPUTED_VALUE"""),3.424274087532808)</f>
        <v>3.424274088</v>
      </c>
      <c r="O298" s="4"/>
      <c r="P298" s="4"/>
      <c r="Q298" s="4">
        <f>IFERROR(__xludf.DUMMYFUNCTION("""COMPUTED_VALUE"""),10.351986221630455)</f>
        <v>10.35198622</v>
      </c>
      <c r="R298" s="4"/>
      <c r="S298" s="4"/>
      <c r="T298" s="4">
        <f>IFERROR(__xludf.DUMMYFUNCTION("""COMPUTED_VALUE"""),7.655946536184729)</f>
        <v>7.655946536</v>
      </c>
      <c r="U298" s="4"/>
      <c r="V298" s="4"/>
      <c r="W298" s="4">
        <f>IFERROR(__xludf.DUMMYFUNCTION("""COMPUTED_VALUE"""),18.175777876513337)</f>
        <v>18.17577788</v>
      </c>
      <c r="X298" s="4"/>
      <c r="Y298" s="4"/>
      <c r="Z298" s="4">
        <f>IFERROR(__xludf.DUMMYFUNCTION("""COMPUTED_VALUE"""),37.60831704117436)</f>
        <v>37.60831704</v>
      </c>
      <c r="AA298" s="4"/>
      <c r="AB298" s="4"/>
      <c r="AC298" s="4">
        <f>IFERROR(__xludf.DUMMYFUNCTION("""COMPUTED_VALUE"""),57.99317206972495)</f>
        <v>57.99317207</v>
      </c>
      <c r="AD298" s="4"/>
      <c r="AE298" s="4"/>
      <c r="AF298" s="4">
        <f>IFERROR(__xludf.DUMMYFUNCTION("""COMPUTED_VALUE"""),58.9598274101578)</f>
        <v>58.95982741</v>
      </c>
      <c r="AG298" s="4"/>
      <c r="AH298" s="4"/>
      <c r="AI298" s="4">
        <f>IFERROR(__xludf.DUMMYFUNCTION("""COMPUTED_VALUE"""),64.21315257832293)</f>
        <v>64.21315258</v>
      </c>
      <c r="AJ298" s="4"/>
      <c r="AK298" s="4"/>
      <c r="AL298" s="4">
        <f>IFERROR(__xludf.DUMMYFUNCTION("""COMPUTED_VALUE"""),66.32020566610913)</f>
        <v>66.32020567</v>
      </c>
      <c r="AM298" s="4"/>
      <c r="AN298" s="4"/>
      <c r="AO298" s="4">
        <f>IFERROR(__xludf.DUMMYFUNCTION("""COMPUTED_VALUE"""),60.76681440139242)</f>
        <v>60.7668144</v>
      </c>
      <c r="AP298" s="4"/>
      <c r="AQ298" s="4"/>
      <c r="AR298" s="4">
        <f>IFERROR(__xludf.DUMMYFUNCTION("""COMPUTED_VALUE"""),36.59803771894411)</f>
        <v>36.59803772</v>
      </c>
      <c r="AS298" s="4"/>
      <c r="AT298" s="4"/>
      <c r="AU298" s="4">
        <f>IFERROR(__xludf.DUMMYFUNCTION("""COMPUTED_VALUE"""),28.524607649815266)</f>
        <v>28.52460765</v>
      </c>
      <c r="AV298" s="4"/>
      <c r="AW298" s="4"/>
      <c r="AX298" s="4">
        <f>IFERROR(__xludf.DUMMYFUNCTION("""COMPUTED_VALUE"""),17.71518403056905)</f>
        <v>17.71518403</v>
      </c>
      <c r="AY298" s="4"/>
      <c r="AZ298" s="4"/>
      <c r="BA298" s="4">
        <f>IFERROR(__xludf.DUMMYFUNCTION("""COMPUTED_VALUE"""),16.058829360486584)</f>
        <v>16.05882936</v>
      </c>
      <c r="BB298" s="4"/>
      <c r="BC298" s="4"/>
      <c r="BD298" s="4">
        <f>IFERROR(__xludf.DUMMYFUNCTION("""COMPUTED_VALUE"""),9.883352134460097)</f>
        <v>9.883352134</v>
      </c>
      <c r="BE298" s="4"/>
      <c r="BF298" s="4"/>
      <c r="BG298" s="4">
        <f>IFERROR(__xludf.DUMMYFUNCTION("""COMPUTED_VALUE"""),7.606207897566719)</f>
        <v>7.606207898</v>
      </c>
      <c r="BH298" s="4"/>
      <c r="BI298" s="4"/>
      <c r="BJ298" s="4"/>
      <c r="BK298" s="4"/>
    </row>
    <row r="299">
      <c r="A299" s="4"/>
      <c r="B299" s="4"/>
      <c r="C299" s="4"/>
      <c r="D299" s="4">
        <f>IFERROR(__xludf.DUMMYFUNCTION("""COMPUTED_VALUE"""),-61.52584085188191)</f>
        <v>-61.52584085</v>
      </c>
      <c r="E299" s="23">
        <f>IFERROR(__xludf.DUMMYFUNCTION("""COMPUTED_VALUE"""),1.7471747490432108)</f>
        <v>1.747174749</v>
      </c>
      <c r="F299" s="4"/>
      <c r="G299" s="4"/>
      <c r="H299" s="4">
        <f>IFERROR(__xludf.DUMMYFUNCTION("""COMPUTED_VALUE"""),0.8193645674390382)</f>
        <v>0.8193645674</v>
      </c>
      <c r="I299" s="4"/>
      <c r="J299" s="4"/>
      <c r="K299" s="4">
        <f>IFERROR(__xludf.DUMMYFUNCTION("""COMPUTED_VALUE"""),0.8621804714071573)</f>
        <v>0.8621804714</v>
      </c>
      <c r="L299" s="4"/>
      <c r="M299" s="4"/>
      <c r="N299" s="4">
        <f>IFERROR(__xludf.DUMMYFUNCTION("""COMPUTED_VALUE"""),7.2724165423441605)</f>
        <v>7.272416542</v>
      </c>
      <c r="O299" s="4"/>
      <c r="P299" s="4"/>
      <c r="Q299" s="4">
        <f>IFERROR(__xludf.DUMMYFUNCTION("""COMPUTED_VALUE"""),5.792642421101732)</f>
        <v>5.792642421</v>
      </c>
      <c r="R299" s="4"/>
      <c r="S299" s="4"/>
      <c r="T299" s="4">
        <f>IFERROR(__xludf.DUMMYFUNCTION("""COMPUTED_VALUE"""),17.80598255231115)</f>
        <v>17.80598255</v>
      </c>
      <c r="U299" s="4"/>
      <c r="V299" s="4"/>
      <c r="W299" s="4">
        <f>IFERROR(__xludf.DUMMYFUNCTION("""COMPUTED_VALUE"""),21.51414543071536)</f>
        <v>21.51414543</v>
      </c>
      <c r="X299" s="4"/>
      <c r="Y299" s="4"/>
      <c r="Z299" s="4">
        <f>IFERROR(__xludf.DUMMYFUNCTION("""COMPUTED_VALUE"""),38.96473649079178)</f>
        <v>38.96473649</v>
      </c>
      <c r="AA299" s="4"/>
      <c r="AB299" s="4"/>
      <c r="AC299" s="4">
        <f>IFERROR(__xludf.DUMMYFUNCTION("""COMPUTED_VALUE"""),57.418303703301945)</f>
        <v>57.4183037</v>
      </c>
      <c r="AD299" s="4"/>
      <c r="AE299" s="4"/>
      <c r="AF299" s="4">
        <f>IFERROR(__xludf.DUMMYFUNCTION("""COMPUTED_VALUE"""),66.33847179772755)</f>
        <v>66.3384718</v>
      </c>
      <c r="AG299" s="4"/>
      <c r="AH299" s="4"/>
      <c r="AI299" s="4">
        <f>IFERROR(__xludf.DUMMYFUNCTION("""COMPUTED_VALUE"""),62.11319007623831)</f>
        <v>62.11319008</v>
      </c>
      <c r="AJ299" s="4"/>
      <c r="AK299" s="4"/>
      <c r="AL299" s="4">
        <f>IFERROR(__xludf.DUMMYFUNCTION("""COMPUTED_VALUE"""),66.39789092947552)</f>
        <v>66.39789093</v>
      </c>
      <c r="AM299" s="4"/>
      <c r="AN299" s="4"/>
      <c r="AO299" s="4">
        <f>IFERROR(__xludf.DUMMYFUNCTION("""COMPUTED_VALUE"""),50.903255277691244)</f>
        <v>50.90325528</v>
      </c>
      <c r="AP299" s="4"/>
      <c r="AQ299" s="4"/>
      <c r="AR299" s="4">
        <f>IFERROR(__xludf.DUMMYFUNCTION("""COMPUTED_VALUE"""),42.07433214024445)</f>
        <v>42.07433214</v>
      </c>
      <c r="AS299" s="4"/>
      <c r="AT299" s="4"/>
      <c r="AU299" s="4">
        <f>IFERROR(__xludf.DUMMYFUNCTION("""COMPUTED_VALUE"""),23.22824949719245)</f>
        <v>23.2282495</v>
      </c>
      <c r="AV299" s="4"/>
      <c r="AW299" s="4"/>
      <c r="AX299" s="4">
        <f>IFERROR(__xludf.DUMMYFUNCTION("""COMPUTED_VALUE"""),22.707375520312553)</f>
        <v>22.70737552</v>
      </c>
      <c r="AY299" s="4"/>
      <c r="AZ299" s="4"/>
      <c r="BA299" s="4">
        <f>IFERROR(__xludf.DUMMYFUNCTION("""COMPUTED_VALUE"""),11.653355718874366)</f>
        <v>11.65335572</v>
      </c>
      <c r="BB299" s="4"/>
      <c r="BC299" s="4"/>
      <c r="BD299" s="4">
        <f>IFERROR(__xludf.DUMMYFUNCTION("""COMPUTED_VALUE"""),7.631682579271001)</f>
        <v>7.631682579</v>
      </c>
      <c r="BE299" s="4"/>
      <c r="BF299" s="4"/>
      <c r="BG299" s="4">
        <f>IFERROR(__xludf.DUMMYFUNCTION("""COMPUTED_VALUE"""),3.4821103642227627)</f>
        <v>3.482110364</v>
      </c>
      <c r="BH299" s="4"/>
      <c r="BI299" s="4"/>
      <c r="BJ299" s="4"/>
      <c r="BK299" s="4"/>
    </row>
    <row r="300">
      <c r="A300" s="4"/>
      <c r="B300" s="4"/>
      <c r="C300" s="4"/>
      <c r="D300" s="4">
        <f>IFERROR(__xludf.DUMMYFUNCTION("""COMPUTED_VALUE"""),-62.44413698463163)</f>
        <v>-62.44413698</v>
      </c>
      <c r="E300" s="23">
        <f>IFERROR(__xludf.DUMMYFUNCTION("""COMPUTED_VALUE"""),0.9226363692754376)</f>
        <v>0.9226363693</v>
      </c>
      <c r="F300" s="4"/>
      <c r="G300" s="4"/>
      <c r="H300" s="4">
        <f>IFERROR(__xludf.DUMMYFUNCTION("""COMPUTED_VALUE"""),-1.0352316580761567)</f>
        <v>-1.035231658</v>
      </c>
      <c r="I300" s="4"/>
      <c r="J300" s="4"/>
      <c r="K300" s="4">
        <f>IFERROR(__xludf.DUMMYFUNCTION("""COMPUTED_VALUE"""),11.330767425970862)</f>
        <v>11.33076743</v>
      </c>
      <c r="L300" s="4"/>
      <c r="M300" s="4"/>
      <c r="N300" s="4">
        <f>IFERROR(__xludf.DUMMYFUNCTION("""COMPUTED_VALUE"""),2.1533950240885815)</f>
        <v>2.153395024</v>
      </c>
      <c r="O300" s="4"/>
      <c r="P300" s="4"/>
      <c r="Q300" s="4">
        <f>IFERROR(__xludf.DUMMYFUNCTION("""COMPUTED_VALUE"""),13.788022281372605)</f>
        <v>13.78802228</v>
      </c>
      <c r="R300" s="4"/>
      <c r="S300" s="4"/>
      <c r="T300" s="4">
        <f>IFERROR(__xludf.DUMMYFUNCTION("""COMPUTED_VALUE"""),15.946010517210368)</f>
        <v>15.94601052</v>
      </c>
      <c r="U300" s="4"/>
      <c r="V300" s="4"/>
      <c r="W300" s="4">
        <f>IFERROR(__xludf.DUMMYFUNCTION("""COMPUTED_VALUE"""),20.995477460951463)</f>
        <v>20.99547746</v>
      </c>
      <c r="X300" s="4"/>
      <c r="Y300" s="4"/>
      <c r="Z300" s="4">
        <f>IFERROR(__xludf.DUMMYFUNCTION("""COMPUTED_VALUE"""),35.11270907614983)</f>
        <v>35.11270908</v>
      </c>
      <c r="AA300" s="4"/>
      <c r="AB300" s="4"/>
      <c r="AC300" s="4">
        <f>IFERROR(__xludf.DUMMYFUNCTION("""COMPUTED_VALUE"""),57.078991230258055)</f>
        <v>57.07899123</v>
      </c>
      <c r="AD300" s="4"/>
      <c r="AE300" s="4"/>
      <c r="AF300" s="4">
        <f>IFERROR(__xludf.DUMMYFUNCTION("""COMPUTED_VALUE"""),61.39093215655049)</f>
        <v>61.39093216</v>
      </c>
      <c r="AG300" s="4"/>
      <c r="AH300" s="4"/>
      <c r="AI300" s="4">
        <f>IFERROR(__xludf.DUMMYFUNCTION("""COMPUTED_VALUE"""),59.833640285411434)</f>
        <v>59.83364029</v>
      </c>
      <c r="AJ300" s="4"/>
      <c r="AK300" s="4"/>
      <c r="AL300" s="4">
        <f>IFERROR(__xludf.DUMMYFUNCTION("""COMPUTED_VALUE"""),61.85756309655909)</f>
        <v>61.8575631</v>
      </c>
      <c r="AM300" s="4"/>
      <c r="AN300" s="4"/>
      <c r="AO300" s="4">
        <f>IFERROR(__xludf.DUMMYFUNCTION("""COMPUTED_VALUE"""),55.28255285641336)</f>
        <v>55.28255286</v>
      </c>
      <c r="AP300" s="4"/>
      <c r="AQ300" s="4"/>
      <c r="AR300" s="4">
        <f>IFERROR(__xludf.DUMMYFUNCTION("""COMPUTED_VALUE"""),41.61973651449057)</f>
        <v>41.61973651</v>
      </c>
      <c r="AS300" s="4"/>
      <c r="AT300" s="4"/>
      <c r="AU300" s="4">
        <f>IFERROR(__xludf.DUMMYFUNCTION("""COMPUTED_VALUE"""),27.393706040340476)</f>
        <v>27.39370604</v>
      </c>
      <c r="AV300" s="4"/>
      <c r="AW300" s="4"/>
      <c r="AX300" s="4">
        <f>IFERROR(__xludf.DUMMYFUNCTION("""COMPUTED_VALUE"""),24.040774853174184)</f>
        <v>24.04077485</v>
      </c>
      <c r="AY300" s="4"/>
      <c r="AZ300" s="4"/>
      <c r="BA300" s="4">
        <f>IFERROR(__xludf.DUMMYFUNCTION("""COMPUTED_VALUE"""),12.558807234060794)</f>
        <v>12.55880723</v>
      </c>
      <c r="BB300" s="4"/>
      <c r="BC300" s="4"/>
      <c r="BD300" s="4">
        <f>IFERROR(__xludf.DUMMYFUNCTION("""COMPUTED_VALUE"""),11.230969323983743)</f>
        <v>11.23096932</v>
      </c>
      <c r="BE300" s="4"/>
      <c r="BF300" s="4"/>
      <c r="BG300" s="4">
        <f>IFERROR(__xludf.DUMMYFUNCTION("""COMPUTED_VALUE"""),4.2640919869065215)</f>
        <v>4.264091987</v>
      </c>
      <c r="BH300" s="4"/>
      <c r="BI300" s="4"/>
      <c r="BJ300" s="4"/>
      <c r="BK300" s="4"/>
    </row>
    <row r="301">
      <c r="A301" s="4"/>
      <c r="B301" s="4"/>
      <c r="C301" s="4"/>
      <c r="D301" s="4">
        <f>IFERROR(__xludf.DUMMYFUNCTION("""COMPUTED_VALUE"""),-63.362433117431706)</f>
        <v>-63.36243312</v>
      </c>
      <c r="E301" s="23">
        <f>IFERROR(__xludf.DUMMYFUNCTION("""COMPUTED_VALUE"""),3.8667013200681595)</f>
        <v>3.86670132</v>
      </c>
      <c r="F301" s="4"/>
      <c r="G301" s="4"/>
      <c r="H301" s="4">
        <f>IFERROR(__xludf.DUMMYFUNCTION("""COMPUTED_VALUE"""),2.1094022276276405)</f>
        <v>2.109402228</v>
      </c>
      <c r="I301" s="4"/>
      <c r="J301" s="4"/>
      <c r="K301" s="4">
        <f>IFERROR(__xludf.DUMMYFUNCTION("""COMPUTED_VALUE"""),7.253661893645585)</f>
        <v>7.253661894</v>
      </c>
      <c r="L301" s="4"/>
      <c r="M301" s="4"/>
      <c r="N301" s="4">
        <f>IFERROR(__xludf.DUMMYFUNCTION("""COMPUTED_VALUE"""),8.319357528440833)</f>
        <v>8.319357528</v>
      </c>
      <c r="O301" s="4"/>
      <c r="P301" s="4"/>
      <c r="Q301" s="4">
        <f>IFERROR(__xludf.DUMMYFUNCTION("""COMPUTED_VALUE"""),8.49346300069584)</f>
        <v>8.493463001</v>
      </c>
      <c r="R301" s="4"/>
      <c r="S301" s="4"/>
      <c r="T301" s="4">
        <f>IFERROR(__xludf.DUMMYFUNCTION("""COMPUTED_VALUE"""),16.208776820936976)</f>
        <v>16.20877682</v>
      </c>
      <c r="U301" s="4"/>
      <c r="V301" s="4"/>
      <c r="W301" s="4">
        <f>IFERROR(__xludf.DUMMYFUNCTION("""COMPUTED_VALUE"""),28.942408824610425)</f>
        <v>28.94240882</v>
      </c>
      <c r="X301" s="4"/>
      <c r="Y301" s="4"/>
      <c r="Z301" s="4">
        <f>IFERROR(__xludf.DUMMYFUNCTION("""COMPUTED_VALUE"""),46.41972215008451)</f>
        <v>46.41972215</v>
      </c>
      <c r="AA301" s="4"/>
      <c r="AB301" s="4"/>
      <c r="AC301" s="4">
        <f>IFERROR(__xludf.DUMMYFUNCTION("""COMPUTED_VALUE"""),54.87360167081289)</f>
        <v>54.87360167</v>
      </c>
      <c r="AD301" s="4"/>
      <c r="AE301" s="4"/>
      <c r="AF301" s="4">
        <f>IFERROR(__xludf.DUMMYFUNCTION("""COMPUTED_VALUE"""),60.97576876363104)</f>
        <v>60.97576876</v>
      </c>
      <c r="AG301" s="4"/>
      <c r="AH301" s="4"/>
      <c r="AI301" s="4">
        <f>IFERROR(__xludf.DUMMYFUNCTION("""COMPUTED_VALUE"""),64.18172888552999)</f>
        <v>64.18172889</v>
      </c>
      <c r="AJ301" s="4"/>
      <c r="AK301" s="4"/>
      <c r="AL301" s="4">
        <f>IFERROR(__xludf.DUMMYFUNCTION("""COMPUTED_VALUE"""),63.642581040634695)</f>
        <v>63.64258104</v>
      </c>
      <c r="AM301" s="4"/>
      <c r="AN301" s="4"/>
      <c r="AO301" s="4">
        <f>IFERROR(__xludf.DUMMYFUNCTION("""COMPUTED_VALUE"""),46.75684711860629)</f>
        <v>46.75684712</v>
      </c>
      <c r="AP301" s="4"/>
      <c r="AQ301" s="4"/>
      <c r="AR301" s="4">
        <f>IFERROR(__xludf.DUMMYFUNCTION("""COMPUTED_VALUE"""),39.031517145126315)</f>
        <v>39.03151715</v>
      </c>
      <c r="AS301" s="4"/>
      <c r="AT301" s="4"/>
      <c r="AU301" s="4">
        <f>IFERROR(__xludf.DUMMYFUNCTION("""COMPUTED_VALUE"""),33.176761485518284)</f>
        <v>33.17676149</v>
      </c>
      <c r="AV301" s="4"/>
      <c r="AW301" s="4"/>
      <c r="AX301" s="4">
        <f>IFERROR(__xludf.DUMMYFUNCTION("""COMPUTED_VALUE"""),24.571624812589505)</f>
        <v>24.57162481</v>
      </c>
      <c r="AY301" s="4"/>
      <c r="AZ301" s="4"/>
      <c r="BA301" s="4">
        <f>IFERROR(__xludf.DUMMYFUNCTION("""COMPUTED_VALUE"""),14.14663027123072)</f>
        <v>14.14663027</v>
      </c>
      <c r="BB301" s="4"/>
      <c r="BC301" s="4"/>
      <c r="BD301" s="4">
        <f>IFERROR(__xludf.DUMMYFUNCTION("""COMPUTED_VALUE"""),3.147417849494218)</f>
        <v>3.147417849</v>
      </c>
      <c r="BE301" s="4"/>
      <c r="BF301" s="4"/>
      <c r="BG301" s="4">
        <f>IFERROR(__xludf.DUMMYFUNCTION("""COMPUTED_VALUE"""),-0.9804667694863269)</f>
        <v>-0.9804667695</v>
      </c>
      <c r="BH301" s="4"/>
      <c r="BI301" s="4"/>
      <c r="BJ301" s="4"/>
      <c r="BK301" s="4"/>
    </row>
    <row r="302">
      <c r="A302" s="4"/>
      <c r="B302" s="4"/>
      <c r="C302" s="4"/>
      <c r="D302" s="4">
        <f>IFERROR(__xludf.DUMMYFUNCTION("""COMPUTED_VALUE"""),-64.28072924811684)</f>
        <v>-64.28072925</v>
      </c>
      <c r="E302" s="23">
        <f>IFERROR(__xludf.DUMMYFUNCTION("""COMPUTED_VALUE"""),-0.7741627331655536)</f>
        <v>-0.7741627332</v>
      </c>
      <c r="F302" s="4"/>
      <c r="G302" s="4"/>
      <c r="H302" s="4">
        <f>IFERROR(__xludf.DUMMYFUNCTION("""COMPUTED_VALUE"""),1.2397512900919878)</f>
        <v>1.23975129</v>
      </c>
      <c r="I302" s="4"/>
      <c r="J302" s="4"/>
      <c r="K302" s="4">
        <f>IFERROR(__xludf.DUMMYFUNCTION("""COMPUTED_VALUE"""),2.914725511381448)</f>
        <v>2.914725511</v>
      </c>
      <c r="L302" s="4"/>
      <c r="M302" s="4"/>
      <c r="N302" s="4">
        <f>IFERROR(__xludf.DUMMYFUNCTION("""COMPUTED_VALUE"""),5.531106093347319)</f>
        <v>5.531106093</v>
      </c>
      <c r="O302" s="4"/>
      <c r="P302" s="4"/>
      <c r="Q302" s="4">
        <f>IFERROR(__xludf.DUMMYFUNCTION("""COMPUTED_VALUE"""),16.153589245594333)</f>
        <v>16.15358925</v>
      </c>
      <c r="R302" s="4"/>
      <c r="S302" s="4"/>
      <c r="T302" s="4">
        <f>IFERROR(__xludf.DUMMYFUNCTION("""COMPUTED_VALUE"""),20.463641328174333)</f>
        <v>20.46364133</v>
      </c>
      <c r="U302" s="4"/>
      <c r="V302" s="4"/>
      <c r="W302" s="4">
        <f>IFERROR(__xludf.DUMMYFUNCTION("""COMPUTED_VALUE"""),26.255072143658026)</f>
        <v>26.25507214</v>
      </c>
      <c r="X302" s="4"/>
      <c r="Y302" s="4"/>
      <c r="Z302" s="4">
        <f>IFERROR(__xludf.DUMMYFUNCTION("""COMPUTED_VALUE"""),50.59915475977283)</f>
        <v>50.59915476</v>
      </c>
      <c r="AA302" s="4"/>
      <c r="AB302" s="4"/>
      <c r="AC302" s="4">
        <f>IFERROR(__xludf.DUMMYFUNCTION("""COMPUTED_VALUE"""),58.46117075202824)</f>
        <v>58.46117075</v>
      </c>
      <c r="AD302" s="4"/>
      <c r="AE302" s="4"/>
      <c r="AF302" s="4">
        <f>IFERROR(__xludf.DUMMYFUNCTION("""COMPUTED_VALUE"""),68.60423346246614)</f>
        <v>68.60423346</v>
      </c>
      <c r="AG302" s="4"/>
      <c r="AH302" s="4"/>
      <c r="AI302" s="4">
        <f>IFERROR(__xludf.DUMMYFUNCTION("""COMPUTED_VALUE"""),64.49225600076574)</f>
        <v>64.492256</v>
      </c>
      <c r="AJ302" s="4"/>
      <c r="AK302" s="4"/>
      <c r="AL302" s="4">
        <f>IFERROR(__xludf.DUMMYFUNCTION("""COMPUTED_VALUE"""),62.726607024390944)</f>
        <v>62.72660702</v>
      </c>
      <c r="AM302" s="4"/>
      <c r="AN302" s="4"/>
      <c r="AO302" s="4">
        <f>IFERROR(__xludf.DUMMYFUNCTION("""COMPUTED_VALUE"""),43.57140516791361)</f>
        <v>43.57140517</v>
      </c>
      <c r="AP302" s="4"/>
      <c r="AQ302" s="4"/>
      <c r="AR302" s="4">
        <f>IFERROR(__xludf.DUMMYFUNCTION("""COMPUTED_VALUE"""),37.166796871335805)</f>
        <v>37.16679687</v>
      </c>
      <c r="AS302" s="4"/>
      <c r="AT302" s="4"/>
      <c r="AU302" s="4">
        <f>IFERROR(__xludf.DUMMYFUNCTION("""COMPUTED_VALUE"""),35.039969594744775)</f>
        <v>35.03996959</v>
      </c>
      <c r="AV302" s="4"/>
      <c r="AW302" s="4"/>
      <c r="AX302" s="4">
        <f>IFERROR(__xludf.DUMMYFUNCTION("""COMPUTED_VALUE"""),12.99788426974277)</f>
        <v>12.99788427</v>
      </c>
      <c r="AY302" s="4"/>
      <c r="AZ302" s="4"/>
      <c r="BA302" s="4">
        <f>IFERROR(__xludf.DUMMYFUNCTION("""COMPUTED_VALUE"""),13.529499854321159)</f>
        <v>13.52949985</v>
      </c>
      <c r="BB302" s="4"/>
      <c r="BC302" s="4"/>
      <c r="BD302" s="4">
        <f>IFERROR(__xludf.DUMMYFUNCTION("""COMPUTED_VALUE"""),12.144969055069964)</f>
        <v>12.14496906</v>
      </c>
      <c r="BE302" s="4"/>
      <c r="BF302" s="4"/>
      <c r="BG302" s="4">
        <f>IFERROR(__xludf.DUMMYFUNCTION("""COMPUTED_VALUE"""),0.5943645539271074)</f>
        <v>0.5943645539</v>
      </c>
      <c r="BH302" s="4"/>
      <c r="BI302" s="4"/>
      <c r="BJ302" s="4"/>
      <c r="BK302" s="4"/>
    </row>
    <row r="303">
      <c r="A303" s="4"/>
      <c r="B303" s="4"/>
      <c r="C303" s="4"/>
      <c r="D303" s="4">
        <f>IFERROR(__xludf.DUMMYFUNCTION("""COMPUTED_VALUE"""),-65.19902538086656)</f>
        <v>-65.19902538</v>
      </c>
      <c r="E303" s="23">
        <f>IFERROR(__xludf.DUMMYFUNCTION("""COMPUTED_VALUE"""),4.8141351164944695)</f>
        <v>4.814135116</v>
      </c>
      <c r="F303" s="4"/>
      <c r="G303" s="4"/>
      <c r="H303" s="4">
        <f>IFERROR(__xludf.DUMMYFUNCTION("""COMPUTED_VALUE"""),-1.7998102221270642)</f>
        <v>-1.799810222</v>
      </c>
      <c r="I303" s="4"/>
      <c r="J303" s="4"/>
      <c r="K303" s="4">
        <f>IFERROR(__xludf.DUMMYFUNCTION("""COMPUTED_VALUE"""),9.782200960668376)</f>
        <v>9.782200961</v>
      </c>
      <c r="L303" s="4"/>
      <c r="M303" s="4"/>
      <c r="N303" s="4">
        <f>IFERROR(__xludf.DUMMYFUNCTION("""COMPUTED_VALUE"""),8.577060770922515)</f>
        <v>8.577060771</v>
      </c>
      <c r="O303" s="4"/>
      <c r="P303" s="4"/>
      <c r="Q303" s="4">
        <f>IFERROR(__xludf.DUMMYFUNCTION("""COMPUTED_VALUE"""),12.055536998100308)</f>
        <v>12.055537</v>
      </c>
      <c r="R303" s="4"/>
      <c r="S303" s="4"/>
      <c r="T303" s="4">
        <f>IFERROR(__xludf.DUMMYFUNCTION("""COMPUTED_VALUE"""),18.456504049928412)</f>
        <v>18.45650405</v>
      </c>
      <c r="U303" s="4"/>
      <c r="V303" s="4"/>
      <c r="W303" s="4">
        <f>IFERROR(__xludf.DUMMYFUNCTION("""COMPUTED_VALUE"""),15.812614638538548)</f>
        <v>15.81261464</v>
      </c>
      <c r="X303" s="4"/>
      <c r="Y303" s="4"/>
      <c r="Z303" s="4">
        <f>IFERROR(__xludf.DUMMYFUNCTION("""COMPUTED_VALUE"""),46.20690338372776)</f>
        <v>46.20690338</v>
      </c>
      <c r="AA303" s="4"/>
      <c r="AB303" s="4"/>
      <c r="AC303" s="4">
        <f>IFERROR(__xludf.DUMMYFUNCTION("""COMPUTED_VALUE"""),68.12485727472279)</f>
        <v>68.12485727</v>
      </c>
      <c r="AD303" s="4"/>
      <c r="AE303" s="4"/>
      <c r="AF303" s="4">
        <f>IFERROR(__xludf.DUMMYFUNCTION("""COMPUTED_VALUE"""),64.17308024826247)</f>
        <v>64.17308025</v>
      </c>
      <c r="AG303" s="4"/>
      <c r="AH303" s="4"/>
      <c r="AI303" s="4">
        <f>IFERROR(__xludf.DUMMYFUNCTION("""COMPUTED_VALUE"""),65.39784591882386)</f>
        <v>65.39784592</v>
      </c>
      <c r="AJ303" s="4"/>
      <c r="AK303" s="4"/>
      <c r="AL303" s="4">
        <f>IFERROR(__xludf.DUMMYFUNCTION("""COMPUTED_VALUE"""),59.82979998112546)</f>
        <v>59.82979998</v>
      </c>
      <c r="AM303" s="4"/>
      <c r="AN303" s="4"/>
      <c r="AO303" s="4">
        <f>IFERROR(__xludf.DUMMYFUNCTION("""COMPUTED_VALUE"""),48.689311500339784)</f>
        <v>48.6893115</v>
      </c>
      <c r="AP303" s="4"/>
      <c r="AQ303" s="4"/>
      <c r="AR303" s="4">
        <f>IFERROR(__xludf.DUMMYFUNCTION("""COMPUTED_VALUE"""),36.77356195800604)</f>
        <v>36.77356196</v>
      </c>
      <c r="AS303" s="4"/>
      <c r="AT303" s="4"/>
      <c r="AU303" s="4">
        <f>IFERROR(__xludf.DUMMYFUNCTION("""COMPUTED_VALUE"""),28.370485622650904)</f>
        <v>28.37048562</v>
      </c>
      <c r="AV303" s="4"/>
      <c r="AW303" s="4"/>
      <c r="AX303" s="4">
        <f>IFERROR(__xludf.DUMMYFUNCTION("""COMPUTED_VALUE"""),19.36581323628542)</f>
        <v>19.36581324</v>
      </c>
      <c r="AY303" s="4"/>
      <c r="AZ303" s="4"/>
      <c r="BA303" s="4">
        <f>IFERROR(__xludf.DUMMYFUNCTION("""COMPUTED_VALUE"""),13.522299003511876)</f>
        <v>13.522299</v>
      </c>
      <c r="BB303" s="4"/>
      <c r="BC303" s="4"/>
      <c r="BD303" s="4">
        <f>IFERROR(__xludf.DUMMYFUNCTION("""COMPUTED_VALUE"""),9.64409571550442)</f>
        <v>9.644095716</v>
      </c>
      <c r="BE303" s="4"/>
      <c r="BF303" s="4"/>
      <c r="BG303" s="4">
        <f>IFERROR(__xludf.DUMMYFUNCTION("""COMPUTED_VALUE"""),1.335738572972332)</f>
        <v>1.335738573</v>
      </c>
      <c r="BH303" s="4"/>
      <c r="BI303" s="4"/>
      <c r="BJ303" s="4"/>
      <c r="BK303" s="4"/>
    </row>
    <row r="304">
      <c r="A304" s="4"/>
      <c r="B304" s="4"/>
      <c r="C304" s="4"/>
      <c r="D304" s="4">
        <f>IFERROR(__xludf.DUMMYFUNCTION("""COMPUTED_VALUE"""),-66.11732151366664)</f>
        <v>-66.11732151</v>
      </c>
      <c r="E304" s="23">
        <f>IFERROR(__xludf.DUMMYFUNCTION("""COMPUTED_VALUE"""),6.350531668508381)</f>
        <v>6.350531669</v>
      </c>
      <c r="F304" s="4"/>
      <c r="G304" s="4"/>
      <c r="H304" s="4">
        <f>IFERROR(__xludf.DUMMYFUNCTION("""COMPUTED_VALUE"""),-0.18108677009416851)</f>
        <v>-0.1810867701</v>
      </c>
      <c r="I304" s="4"/>
      <c r="J304" s="4"/>
      <c r="K304" s="4">
        <f>IFERROR(__xludf.DUMMYFUNCTION("""COMPUTED_VALUE"""),5.368451338556383)</f>
        <v>5.368451339</v>
      </c>
      <c r="L304" s="4"/>
      <c r="M304" s="4"/>
      <c r="N304" s="4">
        <f>IFERROR(__xludf.DUMMYFUNCTION("""COMPUTED_VALUE"""),0.3452353542906508)</f>
        <v>0.3452353543</v>
      </c>
      <c r="O304" s="4"/>
      <c r="P304" s="4"/>
      <c r="Q304" s="4">
        <f>IFERROR(__xludf.DUMMYFUNCTION("""COMPUTED_VALUE"""),12.40156267100349)</f>
        <v>12.40156267</v>
      </c>
      <c r="R304" s="4"/>
      <c r="S304" s="4"/>
      <c r="T304" s="4">
        <f>IFERROR(__xludf.DUMMYFUNCTION("""COMPUTED_VALUE"""),14.951944804738162)</f>
        <v>14.9519448</v>
      </c>
      <c r="U304" s="4"/>
      <c r="V304" s="4"/>
      <c r="W304" s="4">
        <f>IFERROR(__xludf.DUMMYFUNCTION("""COMPUTED_VALUE"""),21.297467562588167)</f>
        <v>21.29746756</v>
      </c>
      <c r="X304" s="4"/>
      <c r="Y304" s="4"/>
      <c r="Z304" s="4">
        <f>IFERROR(__xludf.DUMMYFUNCTION("""COMPUTED_VALUE"""),44.4591587412454)</f>
        <v>44.45915874</v>
      </c>
      <c r="AA304" s="4"/>
      <c r="AB304" s="4"/>
      <c r="AC304" s="4">
        <f>IFERROR(__xludf.DUMMYFUNCTION("""COMPUTED_VALUE"""),57.34242317703479)</f>
        <v>57.34242318</v>
      </c>
      <c r="AD304" s="4"/>
      <c r="AE304" s="4"/>
      <c r="AF304" s="4">
        <f>IFERROR(__xludf.DUMMYFUNCTION("""COMPUTED_VALUE"""),68.81293972719357)</f>
        <v>68.81293973</v>
      </c>
      <c r="AG304" s="4"/>
      <c r="AH304" s="4"/>
      <c r="AI304" s="4">
        <f>IFERROR(__xludf.DUMMYFUNCTION("""COMPUTED_VALUE"""),65.2362160198885)</f>
        <v>65.23621602</v>
      </c>
      <c r="AJ304" s="4"/>
      <c r="AK304" s="4"/>
      <c r="AL304" s="4">
        <f>IFERROR(__xludf.DUMMYFUNCTION("""COMPUTED_VALUE"""),56.274145345828856)</f>
        <v>56.27414535</v>
      </c>
      <c r="AM304" s="4"/>
      <c r="AN304" s="4"/>
      <c r="AO304" s="4">
        <f>IFERROR(__xludf.DUMMYFUNCTION("""COMPUTED_VALUE"""),46.14246858034187)</f>
        <v>46.14246858</v>
      </c>
      <c r="AP304" s="4"/>
      <c r="AQ304" s="4"/>
      <c r="AR304" s="4">
        <f>IFERROR(__xludf.DUMMYFUNCTION("""COMPUTED_VALUE"""),45.932275989562584)</f>
        <v>45.93227599</v>
      </c>
      <c r="AS304" s="4"/>
      <c r="AT304" s="4"/>
      <c r="AU304" s="4">
        <f>IFERROR(__xludf.DUMMYFUNCTION("""COMPUTED_VALUE"""),29.203412506775635)</f>
        <v>29.20341251</v>
      </c>
      <c r="AV304" s="4"/>
      <c r="AW304" s="4"/>
      <c r="AX304" s="4">
        <f>IFERROR(__xludf.DUMMYFUNCTION("""COMPUTED_VALUE"""),22.37111658345708)</f>
        <v>22.37111658</v>
      </c>
      <c r="AY304" s="4"/>
      <c r="AZ304" s="4"/>
      <c r="BA304" s="4">
        <f>IFERROR(__xludf.DUMMYFUNCTION("""COMPUTED_VALUE"""),8.182540722303315)</f>
        <v>8.182540722</v>
      </c>
      <c r="BB304" s="4"/>
      <c r="BC304" s="4"/>
      <c r="BD304" s="4">
        <f>IFERROR(__xludf.DUMMYFUNCTION("""COMPUTED_VALUE"""),7.649613687655176)</f>
        <v>7.649613688</v>
      </c>
      <c r="BE304" s="4"/>
      <c r="BF304" s="4"/>
      <c r="BG304" s="4">
        <f>IFERROR(__xludf.DUMMYFUNCTION("""COMPUTED_VALUE"""),-2.136696274881615)</f>
        <v>-2.136696275</v>
      </c>
      <c r="BH304" s="4"/>
      <c r="BI304" s="4"/>
      <c r="BJ304" s="4"/>
      <c r="BK304" s="4"/>
    </row>
    <row r="305">
      <c r="A305" s="4"/>
      <c r="B305" s="4"/>
      <c r="C305" s="4"/>
      <c r="D305" s="4">
        <f>IFERROR(__xludf.DUMMYFUNCTION("""COMPUTED_VALUE"""),-67.03561764430141)</f>
        <v>-67.03561764</v>
      </c>
      <c r="E305" s="23">
        <f>IFERROR(__xludf.DUMMYFUNCTION("""COMPUTED_VALUE"""),5.9956859718388955)</f>
        <v>5.995685972</v>
      </c>
      <c r="F305" s="4"/>
      <c r="G305" s="4"/>
      <c r="H305" s="4">
        <f>IFERROR(__xludf.DUMMYFUNCTION("""COMPUTED_VALUE"""),-1.1128437698574771)</f>
        <v>-1.11284377</v>
      </c>
      <c r="I305" s="4"/>
      <c r="J305" s="4"/>
      <c r="K305" s="4">
        <f>IFERROR(__xludf.DUMMYFUNCTION("""COMPUTED_VALUE"""),8.50895621255296)</f>
        <v>8.508956213</v>
      </c>
      <c r="L305" s="4"/>
      <c r="M305" s="4"/>
      <c r="N305" s="4">
        <f>IFERROR(__xludf.DUMMYFUNCTION("""COMPUTED_VALUE"""),7.0504502946414505)</f>
        <v>7.050450295</v>
      </c>
      <c r="O305" s="4"/>
      <c r="P305" s="4"/>
      <c r="Q305" s="4">
        <f>IFERROR(__xludf.DUMMYFUNCTION("""COMPUTED_VALUE"""),7.627647662295033)</f>
        <v>7.627647662</v>
      </c>
      <c r="R305" s="4"/>
      <c r="S305" s="4"/>
      <c r="T305" s="4">
        <f>IFERROR(__xludf.DUMMYFUNCTION("""COMPUTED_VALUE"""),16.01882467463929)</f>
        <v>16.01882467</v>
      </c>
      <c r="U305" s="4"/>
      <c r="V305" s="4"/>
      <c r="W305" s="4">
        <f>IFERROR(__xludf.DUMMYFUNCTION("""COMPUTED_VALUE"""),27.29961738824278)</f>
        <v>27.29961739</v>
      </c>
      <c r="X305" s="4"/>
      <c r="Y305" s="4"/>
      <c r="Z305" s="4">
        <f>IFERROR(__xludf.DUMMYFUNCTION("""COMPUTED_VALUE"""),37.895804079500465)</f>
        <v>37.89580408</v>
      </c>
      <c r="AA305" s="4"/>
      <c r="AB305" s="4"/>
      <c r="AC305" s="4">
        <f>IFERROR(__xludf.DUMMYFUNCTION("""COMPUTED_VALUE"""),60.236273801764014)</f>
        <v>60.2362738</v>
      </c>
      <c r="AD305" s="4"/>
      <c r="AE305" s="4"/>
      <c r="AF305" s="4">
        <f>IFERROR(__xludf.DUMMYFUNCTION("""COMPUTED_VALUE"""),57.7838178558049)</f>
        <v>57.78381786</v>
      </c>
      <c r="AG305" s="4"/>
      <c r="AH305" s="4"/>
      <c r="AI305" s="4">
        <f>IFERROR(__xludf.DUMMYFUNCTION("""COMPUTED_VALUE"""),59.17195624032729)</f>
        <v>59.17195624</v>
      </c>
      <c r="AJ305" s="4"/>
      <c r="AK305" s="4"/>
      <c r="AL305" s="4">
        <f>IFERROR(__xludf.DUMMYFUNCTION("""COMPUTED_VALUE"""),63.7577166960848)</f>
        <v>63.7577167</v>
      </c>
      <c r="AM305" s="4"/>
      <c r="AN305" s="4"/>
      <c r="AO305" s="4">
        <f>IFERROR(__xludf.DUMMYFUNCTION("""COMPUTED_VALUE"""),43.59846582142717)</f>
        <v>43.59846582</v>
      </c>
      <c r="AP305" s="4"/>
      <c r="AQ305" s="4"/>
      <c r="AR305" s="4">
        <f>IFERROR(__xludf.DUMMYFUNCTION("""COMPUTED_VALUE"""),34.32086589981094)</f>
        <v>34.3208659</v>
      </c>
      <c r="AS305" s="4"/>
      <c r="AT305" s="4"/>
      <c r="AU305" s="4">
        <f>IFERROR(__xludf.DUMMYFUNCTION("""COMPUTED_VALUE"""),24.746365633782546)</f>
        <v>24.74636563</v>
      </c>
      <c r="AV305" s="4"/>
      <c r="AW305" s="4"/>
      <c r="AX305" s="4">
        <f>IFERROR(__xludf.DUMMYFUNCTION("""COMPUTED_VALUE"""),16.639232034711313)</f>
        <v>16.63923203</v>
      </c>
      <c r="AY305" s="4"/>
      <c r="AZ305" s="4"/>
      <c r="BA305" s="4">
        <f>IFERROR(__xludf.DUMMYFUNCTION("""COMPUTED_VALUE"""),7.26158856294137)</f>
        <v>7.261588563</v>
      </c>
      <c r="BB305" s="4"/>
      <c r="BC305" s="4"/>
      <c r="BD305" s="4">
        <f>IFERROR(__xludf.DUMMYFUNCTION("""COMPUTED_VALUE"""),7.655070398628368)</f>
        <v>7.655070399</v>
      </c>
      <c r="BE305" s="4"/>
      <c r="BF305" s="4"/>
      <c r="BG305" s="4">
        <f>IFERROR(__xludf.DUMMYFUNCTION("""COMPUTED_VALUE"""),-2.0289476401837874)</f>
        <v>-2.02894764</v>
      </c>
      <c r="BH305" s="4"/>
      <c r="BI305" s="4"/>
      <c r="BJ305" s="4"/>
      <c r="BK305" s="4"/>
    </row>
    <row r="306">
      <c r="A306" s="4"/>
      <c r="B306" s="4"/>
      <c r="C306" s="4"/>
      <c r="D306" s="4">
        <f>IFERROR(__xludf.DUMMYFUNCTION("""COMPUTED_VALUE"""),-67.95391377710148)</f>
        <v>-67.95391378</v>
      </c>
      <c r="E306" s="23">
        <f>IFERROR(__xludf.DUMMYFUNCTION("""COMPUTED_VALUE"""),5.63990711958246)</f>
        <v>5.63990712</v>
      </c>
      <c r="F306" s="4"/>
      <c r="G306" s="4"/>
      <c r="H306" s="4">
        <f>IFERROR(__xludf.DUMMYFUNCTION("""COMPUTED_VALUE"""),8.821197735323153)</f>
        <v>8.821197735</v>
      </c>
      <c r="I306" s="4"/>
      <c r="J306" s="4"/>
      <c r="K306" s="4">
        <f>IFERROR(__xludf.DUMMYFUNCTION("""COMPUTED_VALUE"""),8.112627525093387)</f>
        <v>8.112627525</v>
      </c>
      <c r="L306" s="4"/>
      <c r="M306" s="4"/>
      <c r="N306" s="4">
        <f>IFERROR(__xludf.DUMMYFUNCTION("""COMPUTED_VALUE"""),3.9088714162110136)</f>
        <v>3.908871416</v>
      </c>
      <c r="O306" s="4"/>
      <c r="P306" s="4"/>
      <c r="Q306" s="4">
        <f>IFERROR(__xludf.DUMMYFUNCTION("""COMPUTED_VALUE"""),8.721675718165898)</f>
        <v>8.721675718</v>
      </c>
      <c r="R306" s="4"/>
      <c r="S306" s="4"/>
      <c r="T306" s="4">
        <f>IFERROR(__xludf.DUMMYFUNCTION("""COMPUTED_VALUE"""),19.842997976417905)</f>
        <v>19.84299798</v>
      </c>
      <c r="U306" s="4"/>
      <c r="V306" s="4"/>
      <c r="W306" s="4">
        <f>IFERROR(__xludf.DUMMYFUNCTION("""COMPUTED_VALUE"""),23.128280581768138)</f>
        <v>23.12828058</v>
      </c>
      <c r="X306" s="4"/>
      <c r="Y306" s="4"/>
      <c r="Z306" s="4">
        <f>IFERROR(__xludf.DUMMYFUNCTION("""COMPUTED_VALUE"""),43.986748791868024)</f>
        <v>43.98674879</v>
      </c>
      <c r="AA306" s="4"/>
      <c r="AB306" s="4"/>
      <c r="AC306" s="4">
        <f>IFERROR(__xludf.DUMMYFUNCTION("""COMPUTED_VALUE"""),60.360767577484864)</f>
        <v>60.36076758</v>
      </c>
      <c r="AD306" s="4"/>
      <c r="AE306" s="4"/>
      <c r="AF306" s="4">
        <f>IFERROR(__xludf.DUMMYFUNCTION("""COMPUTED_VALUE"""),59.6396651647309)</f>
        <v>59.63966516</v>
      </c>
      <c r="AG306" s="4"/>
      <c r="AH306" s="4"/>
      <c r="AI306" s="4">
        <f>IFERROR(__xludf.DUMMYFUNCTION("""COMPUTED_VALUE"""),55.91570396650798)</f>
        <v>55.91570397</v>
      </c>
      <c r="AJ306" s="4"/>
      <c r="AK306" s="4"/>
      <c r="AL306" s="4">
        <f>IFERROR(__xludf.DUMMYFUNCTION("""COMPUTED_VALUE"""),56.063999875676984)</f>
        <v>56.06399988</v>
      </c>
      <c r="AM306" s="4"/>
      <c r="AN306" s="4"/>
      <c r="AO306" s="4">
        <f>IFERROR(__xludf.DUMMYFUNCTION("""COMPUTED_VALUE"""),43.998259544833616)</f>
        <v>43.99825954</v>
      </c>
      <c r="AP306" s="4"/>
      <c r="AQ306" s="4"/>
      <c r="AR306" s="4">
        <f>IFERROR(__xludf.DUMMYFUNCTION("""COMPUTED_VALUE"""),42.40345487389095)</f>
        <v>42.40345487</v>
      </c>
      <c r="AS306" s="4"/>
      <c r="AT306" s="4"/>
      <c r="AU306" s="4">
        <f>IFERROR(__xludf.DUMMYFUNCTION("""COMPUTED_VALUE"""),25.50630982810486)</f>
        <v>25.50630983</v>
      </c>
      <c r="AV306" s="4"/>
      <c r="AW306" s="4"/>
      <c r="AX306" s="4">
        <f>IFERROR(__xludf.DUMMYFUNCTION("""COMPUTED_VALUE"""),21.039348608872217)</f>
        <v>21.03934861</v>
      </c>
      <c r="AY306" s="4"/>
      <c r="AZ306" s="4"/>
      <c r="BA306" s="4">
        <f>IFERROR(__xludf.DUMMYFUNCTION("""COMPUTED_VALUE"""),11.908187482637345)</f>
        <v>11.90818748</v>
      </c>
      <c r="BB306" s="4"/>
      <c r="BC306" s="4"/>
      <c r="BD306" s="4">
        <f>IFERROR(__xludf.DUMMYFUNCTION("""COMPUTED_VALUE"""),10.445971143309691)</f>
        <v>10.44597114</v>
      </c>
      <c r="BE306" s="4"/>
      <c r="BF306" s="4"/>
      <c r="BG306" s="4">
        <f>IFERROR(__xludf.DUMMYFUNCTION("""COMPUTED_VALUE"""),5.102496804396708)</f>
        <v>5.102496804</v>
      </c>
      <c r="BH306" s="4"/>
      <c r="BI306" s="4"/>
      <c r="BJ306" s="4"/>
      <c r="BK306" s="4"/>
    </row>
    <row r="307">
      <c r="A307" s="4"/>
      <c r="B307" s="4"/>
      <c r="C307" s="4"/>
      <c r="D307" s="4">
        <f>IFERROR(__xludf.DUMMYFUNCTION("""COMPUTED_VALUE"""),-68.87220990990156)</f>
        <v>-68.87220991</v>
      </c>
      <c r="E307" s="23">
        <f>IFERROR(__xludf.DUMMYFUNCTION("""COMPUTED_VALUE"""),11.878995647593172)</f>
        <v>11.87899565</v>
      </c>
      <c r="F307" s="4"/>
      <c r="G307" s="4"/>
      <c r="H307" s="4">
        <f>IFERROR(__xludf.DUMMYFUNCTION("""COMPUTED_VALUE"""),0.41772768623673073)</f>
        <v>0.4177276862</v>
      </c>
      <c r="I307" s="4"/>
      <c r="J307" s="4"/>
      <c r="K307" s="4">
        <f>IFERROR(__xludf.DUMMYFUNCTION("""COMPUTED_VALUE"""),1.927566126614579)</f>
        <v>1.927566127</v>
      </c>
      <c r="L307" s="4"/>
      <c r="M307" s="4"/>
      <c r="N307" s="4">
        <f>IFERROR(__xludf.DUMMYFUNCTION("""COMPUTED_VALUE"""),9.62430180909621)</f>
        <v>9.624301809</v>
      </c>
      <c r="O307" s="4"/>
      <c r="P307" s="4"/>
      <c r="Q307" s="4">
        <f>IFERROR(__xludf.DUMMYFUNCTION("""COMPUTED_VALUE"""),9.70657619072864)</f>
        <v>9.706576191</v>
      </c>
      <c r="R307" s="4"/>
      <c r="S307" s="4"/>
      <c r="T307" s="4">
        <f>IFERROR(__xludf.DUMMYFUNCTION("""COMPUTED_VALUE"""),15.23480455110058)</f>
        <v>15.23480455</v>
      </c>
      <c r="U307" s="4"/>
      <c r="V307" s="4"/>
      <c r="W307" s="4">
        <f>IFERROR(__xludf.DUMMYFUNCTION("""COMPUTED_VALUE"""),18.43619061417843)</f>
        <v>18.43619061</v>
      </c>
      <c r="X307" s="4"/>
      <c r="Y307" s="4"/>
      <c r="Z307" s="4">
        <f>IFERROR(__xludf.DUMMYFUNCTION("""COMPUTED_VALUE"""),39.42891806067297)</f>
        <v>39.42891806</v>
      </c>
      <c r="AA307" s="4"/>
      <c r="AB307" s="4"/>
      <c r="AC307" s="4">
        <f>IFERROR(__xludf.DUMMYFUNCTION("""COMPUTED_VALUE"""),62.65721455947926)</f>
        <v>62.65721456</v>
      </c>
      <c r="AD307" s="4"/>
      <c r="AE307" s="4"/>
      <c r="AF307" s="4">
        <f>IFERROR(__xludf.DUMMYFUNCTION("""COMPUTED_VALUE"""),60.476368120104894)</f>
        <v>60.47636812</v>
      </c>
      <c r="AG307" s="4"/>
      <c r="AH307" s="4"/>
      <c r="AI307" s="4">
        <f>IFERROR(__xludf.DUMMYFUNCTION("""COMPUTED_VALUE"""),56.223945063753035)</f>
        <v>56.22394506</v>
      </c>
      <c r="AJ307" s="4"/>
      <c r="AK307" s="4"/>
      <c r="AL307" s="4">
        <f>IFERROR(__xludf.DUMMYFUNCTION("""COMPUTED_VALUE"""),53.750821515229404)</f>
        <v>53.75082152</v>
      </c>
      <c r="AM307" s="4"/>
      <c r="AN307" s="4"/>
      <c r="AO307" s="4">
        <f>IFERROR(__xludf.DUMMYFUNCTION("""COMPUTED_VALUE"""),44.57538363537475)</f>
        <v>44.57538364</v>
      </c>
      <c r="AP307" s="4"/>
      <c r="AQ307" s="4"/>
      <c r="AR307" s="4">
        <f>IFERROR(__xludf.DUMMYFUNCTION("""COMPUTED_VALUE"""),36.975802922496314)</f>
        <v>36.97580292</v>
      </c>
      <c r="AS307" s="4"/>
      <c r="AT307" s="4"/>
      <c r="AU307" s="4">
        <f>IFERROR(__xludf.DUMMYFUNCTION("""COMPUTED_VALUE"""),26.54501971109886)</f>
        <v>26.54501971</v>
      </c>
      <c r="AV307" s="4"/>
      <c r="AW307" s="4"/>
      <c r="AX307" s="4">
        <f>IFERROR(__xludf.DUMMYFUNCTION("""COMPUTED_VALUE"""),20.73688401529091)</f>
        <v>20.73688402</v>
      </c>
      <c r="AY307" s="4"/>
      <c r="AZ307" s="4"/>
      <c r="BA307" s="4">
        <f>IFERROR(__xludf.DUMMYFUNCTION("""COMPUTED_VALUE"""),8.604313779096742)</f>
        <v>8.604313779</v>
      </c>
      <c r="BB307" s="4"/>
      <c r="BC307" s="4"/>
      <c r="BD307" s="4">
        <f>IFERROR(__xludf.DUMMYFUNCTION("""COMPUTED_VALUE"""),10.30068833951242)</f>
        <v>10.30068834</v>
      </c>
      <c r="BE307" s="4"/>
      <c r="BF307" s="4"/>
      <c r="BG307" s="4">
        <f>IFERROR(__xludf.DUMMYFUNCTION("""COMPUTED_VALUE"""),7.508319705581414)</f>
        <v>7.508319706</v>
      </c>
      <c r="BH307" s="4"/>
      <c r="BI307" s="4"/>
      <c r="BJ307" s="4"/>
      <c r="BK307" s="4"/>
    </row>
    <row r="308">
      <c r="A308" s="4"/>
      <c r="B308" s="4"/>
      <c r="C308" s="4"/>
      <c r="D308" s="4">
        <f>IFERROR(__xludf.DUMMYFUNCTION("""COMPUTED_VALUE"""),-69.79050604053633)</f>
        <v>-69.79050604</v>
      </c>
      <c r="E308" s="23">
        <f>IFERROR(__xludf.DUMMYFUNCTION("""COMPUTED_VALUE"""),1.4851984174491122)</f>
        <v>1.485198417</v>
      </c>
      <c r="F308" s="4"/>
      <c r="G308" s="4"/>
      <c r="H308" s="4">
        <f>IFERROR(__xludf.DUMMYFUNCTION("""COMPUTED_VALUE"""),3.0052145252989817)</f>
        <v>3.005214525</v>
      </c>
      <c r="I308" s="4"/>
      <c r="J308" s="4"/>
      <c r="K308" s="4">
        <f>IFERROR(__xludf.DUMMYFUNCTION("""COMPUTED_VALUE"""),4.263983711815058)</f>
        <v>4.263983712</v>
      </c>
      <c r="L308" s="4"/>
      <c r="M308" s="4"/>
      <c r="N308" s="4">
        <f>IFERROR(__xludf.DUMMYFUNCTION("""COMPUTED_VALUE"""),8.464156256100523)</f>
        <v>8.464156256</v>
      </c>
      <c r="O308" s="4"/>
      <c r="P308" s="4"/>
      <c r="Q308" s="4">
        <f>IFERROR(__xludf.DUMMYFUNCTION("""COMPUTED_VALUE"""),7.170717822997688)</f>
        <v>7.170717823</v>
      </c>
      <c r="R308" s="4"/>
      <c r="S308" s="4"/>
      <c r="T308" s="4">
        <f>IFERROR(__xludf.DUMMYFUNCTION("""COMPUTED_VALUE"""),16.115206470945168)</f>
        <v>16.11520647</v>
      </c>
      <c r="U308" s="4"/>
      <c r="V308" s="4"/>
      <c r="W308" s="4">
        <f>IFERROR(__xludf.DUMMYFUNCTION("""COMPUTED_VALUE"""),25.553520545288904)</f>
        <v>25.55352055</v>
      </c>
      <c r="X308" s="4"/>
      <c r="Y308" s="4"/>
      <c r="Z308" s="4">
        <f>IFERROR(__xludf.DUMMYFUNCTION("""COMPUTED_VALUE"""),42.89684203177012)</f>
        <v>42.89684203</v>
      </c>
      <c r="AA308" s="4"/>
      <c r="AB308" s="4"/>
      <c r="AC308" s="4">
        <f>IFERROR(__xludf.DUMMYFUNCTION("""COMPUTED_VALUE"""),56.077857347768656)</f>
        <v>56.07785735</v>
      </c>
      <c r="AD308" s="4"/>
      <c r="AE308" s="4"/>
      <c r="AF308" s="4">
        <f>IFERROR(__xludf.DUMMYFUNCTION("""COMPUTED_VALUE"""),64.70600323749522)</f>
        <v>64.70600324</v>
      </c>
      <c r="AG308" s="4"/>
      <c r="AH308" s="4"/>
      <c r="AI308" s="4">
        <f>IFERROR(__xludf.DUMMYFUNCTION("""COMPUTED_VALUE"""),54.581234295868455)</f>
        <v>54.5812343</v>
      </c>
      <c r="AJ308" s="4"/>
      <c r="AK308" s="4"/>
      <c r="AL308" s="4">
        <f>IFERROR(__xludf.DUMMYFUNCTION("""COMPUTED_VALUE"""),47.01572796087976)</f>
        <v>47.01572796</v>
      </c>
      <c r="AM308" s="4"/>
      <c r="AN308" s="4"/>
      <c r="AO308" s="4">
        <f>IFERROR(__xludf.DUMMYFUNCTION("""COMPUTED_VALUE"""),40.11434284274236)</f>
        <v>40.11434284</v>
      </c>
      <c r="AP308" s="4"/>
      <c r="AQ308" s="4"/>
      <c r="AR308" s="4">
        <f>IFERROR(__xludf.DUMMYFUNCTION("""COMPUTED_VALUE"""),33.94771386493841)</f>
        <v>33.94771386</v>
      </c>
      <c r="AS308" s="4"/>
      <c r="AT308" s="4"/>
      <c r="AU308" s="4">
        <f>IFERROR(__xludf.DUMMYFUNCTION("""COMPUTED_VALUE"""),21.09048799228981)</f>
        <v>21.09048799</v>
      </c>
      <c r="AV308" s="4"/>
      <c r="AW308" s="4"/>
      <c r="AX308" s="4">
        <f>IFERROR(__xludf.DUMMYFUNCTION("""COMPUTED_VALUE"""),15.44009278864229)</f>
        <v>15.44009279</v>
      </c>
      <c r="AY308" s="4"/>
      <c r="AZ308" s="4"/>
      <c r="BA308" s="4">
        <f>IFERROR(__xludf.DUMMYFUNCTION("""COMPUTED_VALUE"""),15.300696538247166)</f>
        <v>15.30069654</v>
      </c>
      <c r="BB308" s="4"/>
      <c r="BC308" s="4"/>
      <c r="BD308" s="4">
        <f>IFERROR(__xludf.DUMMYFUNCTION("""COMPUTED_VALUE"""),4.276268029474011)</f>
        <v>4.276268029</v>
      </c>
      <c r="BE308" s="4"/>
      <c r="BF308" s="4"/>
      <c r="BG308" s="4">
        <f>IFERROR(__xludf.DUMMYFUNCTION("""COMPUTED_VALUE"""),3.4976672497912205)</f>
        <v>3.49766725</v>
      </c>
      <c r="BH308" s="4"/>
      <c r="BI308" s="4"/>
      <c r="BJ308" s="4"/>
      <c r="BK308" s="4"/>
    </row>
    <row r="309">
      <c r="A309" s="4"/>
      <c r="B309" s="4"/>
      <c r="C309" s="4"/>
      <c r="D309" s="4">
        <f>IFERROR(__xludf.DUMMYFUNCTION("""COMPUTED_VALUE"""),-70.70880217333641)</f>
        <v>-70.70880217</v>
      </c>
      <c r="E309" s="23">
        <f>IFERROR(__xludf.DUMMYFUNCTION("""COMPUTED_VALUE"""),-5.1754816177290195)</f>
        <v>-5.175481618</v>
      </c>
      <c r="F309" s="4"/>
      <c r="G309" s="4"/>
      <c r="H309" s="4">
        <f>IFERROR(__xludf.DUMMYFUNCTION("""COMPUTED_VALUE"""),5.934368524219735)</f>
        <v>5.934368524</v>
      </c>
      <c r="I309" s="4"/>
      <c r="J309" s="4"/>
      <c r="K309" s="4">
        <f>IFERROR(__xludf.DUMMYFUNCTION("""COMPUTED_VALUE"""),5.275632091835234)</f>
        <v>5.275632092</v>
      </c>
      <c r="L309" s="4"/>
      <c r="M309" s="4"/>
      <c r="N309" s="4">
        <f>IFERROR(__xludf.DUMMYFUNCTION("""COMPUTED_VALUE"""),5.099010108326922)</f>
        <v>5.099010108</v>
      </c>
      <c r="O309" s="4"/>
      <c r="P309" s="4"/>
      <c r="Q309" s="4">
        <f>IFERROR(__xludf.DUMMYFUNCTION("""COMPUTED_VALUE"""),5.6070991183823935)</f>
        <v>5.607099118</v>
      </c>
      <c r="R309" s="4"/>
      <c r="S309" s="4"/>
      <c r="T309" s="4">
        <f>IFERROR(__xludf.DUMMYFUNCTION("""COMPUTED_VALUE"""),15.317341299649172)</f>
        <v>15.3173413</v>
      </c>
      <c r="U309" s="4"/>
      <c r="V309" s="4"/>
      <c r="W309" s="4">
        <f>IFERROR(__xludf.DUMMYFUNCTION("""COMPUTED_VALUE"""),22.756492944998968)</f>
        <v>22.75649294</v>
      </c>
      <c r="X309" s="4"/>
      <c r="Y309" s="4"/>
      <c r="Z309" s="4">
        <f>IFERROR(__xludf.DUMMYFUNCTION("""COMPUTED_VALUE"""),40.82028343210118)</f>
        <v>40.82028343</v>
      </c>
      <c r="AA309" s="4"/>
      <c r="AB309" s="4"/>
      <c r="AC309" s="4">
        <f>IFERROR(__xludf.DUMMYFUNCTION("""COMPUTED_VALUE"""),55.08001190515944)</f>
        <v>55.08001191</v>
      </c>
      <c r="AD309" s="4"/>
      <c r="AE309" s="4"/>
      <c r="AF309" s="4">
        <f>IFERROR(__xludf.DUMMYFUNCTION("""COMPUTED_VALUE"""),64.77064275167953)</f>
        <v>64.77064275</v>
      </c>
      <c r="AG309" s="4"/>
      <c r="AH309" s="4"/>
      <c r="AI309" s="4">
        <f>IFERROR(__xludf.DUMMYFUNCTION("""COMPUTED_VALUE"""),59.297344347008334)</f>
        <v>59.29734435</v>
      </c>
      <c r="AJ309" s="4"/>
      <c r="AK309" s="4"/>
      <c r="AL309" s="4">
        <f>IFERROR(__xludf.DUMMYFUNCTION("""COMPUTED_VALUE"""),42.318164095812335)</f>
        <v>42.3181641</v>
      </c>
      <c r="AM309" s="4"/>
      <c r="AN309" s="4"/>
      <c r="AO309" s="4">
        <f>IFERROR(__xludf.DUMMYFUNCTION("""COMPUTED_VALUE"""),35.849673110167544)</f>
        <v>35.84967311</v>
      </c>
      <c r="AP309" s="4"/>
      <c r="AQ309" s="4"/>
      <c r="AR309" s="4">
        <f>IFERROR(__xludf.DUMMYFUNCTION("""COMPUTED_VALUE"""),28.146331693566992)</f>
        <v>28.14633169</v>
      </c>
      <c r="AS309" s="4"/>
      <c r="AT309" s="4"/>
      <c r="AU309" s="4">
        <f>IFERROR(__xludf.DUMMYFUNCTION("""COMPUTED_VALUE"""),30.875964752525533)</f>
        <v>30.87596475</v>
      </c>
      <c r="AV309" s="4"/>
      <c r="AW309" s="4"/>
      <c r="AX309" s="4">
        <f>IFERROR(__xludf.DUMMYFUNCTION("""COMPUTED_VALUE"""),15.35545206584942)</f>
        <v>15.35545207</v>
      </c>
      <c r="AY309" s="4"/>
      <c r="AZ309" s="4"/>
      <c r="BA309" s="4">
        <f>IFERROR(__xludf.DUMMYFUNCTION("""COMPUTED_VALUE"""),13.18054563333925)</f>
        <v>13.18054563</v>
      </c>
      <c r="BB309" s="4"/>
      <c r="BC309" s="4"/>
      <c r="BD309" s="4">
        <f>IFERROR(__xludf.DUMMYFUNCTION("""COMPUTED_VALUE"""),5.8627394540799855)</f>
        <v>5.862739454</v>
      </c>
      <c r="BE309" s="4"/>
      <c r="BF309" s="4"/>
      <c r="BG309" s="4">
        <f>IFERROR(__xludf.DUMMYFUNCTION("""COMPUTED_VALUE"""),3.9296170079840635)</f>
        <v>3.929617008</v>
      </c>
      <c r="BH309" s="4"/>
      <c r="BI309" s="4"/>
      <c r="BJ309" s="4"/>
      <c r="BK309" s="4"/>
    </row>
    <row r="310">
      <c r="A310" s="4"/>
      <c r="B310" s="4"/>
      <c r="C310" s="4"/>
      <c r="D310" s="4">
        <f>IFERROR(__xludf.DUMMYFUNCTION("""COMPUTED_VALUE"""),-71.62709830608613)</f>
        <v>-71.62709831</v>
      </c>
      <c r="E310" s="23">
        <f>IFERROR(__xludf.DUMMYFUNCTION("""COMPUTED_VALUE"""),2.3843217372377694)</f>
        <v>2.384321737</v>
      </c>
      <c r="F310" s="4"/>
      <c r="G310" s="4"/>
      <c r="H310" s="4">
        <f>IFERROR(__xludf.DUMMYFUNCTION("""COMPUTED_VALUE"""),1.790929655874777)</f>
        <v>1.790929656</v>
      </c>
      <c r="I310" s="4"/>
      <c r="J310" s="4"/>
      <c r="K310" s="4">
        <f>IFERROR(__xludf.DUMMYFUNCTION("""COMPUTED_VALUE"""),11.308564285122713)</f>
        <v>11.30856429</v>
      </c>
      <c r="L310" s="4"/>
      <c r="M310" s="4"/>
      <c r="N310" s="4">
        <f>IFERROR(__xludf.DUMMYFUNCTION("""COMPUTED_VALUE"""),11.819714535836795)</f>
        <v>11.81971454</v>
      </c>
      <c r="O310" s="4"/>
      <c r="P310" s="4"/>
      <c r="Q310" s="4">
        <f>IFERROR(__xludf.DUMMYFUNCTION("""COMPUTED_VALUE"""),12.50954497961294)</f>
        <v>12.50954498</v>
      </c>
      <c r="R310" s="4"/>
      <c r="S310" s="4"/>
      <c r="T310" s="4">
        <f>IFERROR(__xludf.DUMMYFUNCTION("""COMPUTED_VALUE"""),17.467970912169278)</f>
        <v>17.46797091</v>
      </c>
      <c r="U310" s="4"/>
      <c r="V310" s="4"/>
      <c r="W310" s="4">
        <f>IFERROR(__xludf.DUMMYFUNCTION("""COMPUTED_VALUE"""),19.1412351847041)</f>
        <v>19.14123518</v>
      </c>
      <c r="X310" s="4"/>
      <c r="Y310" s="4"/>
      <c r="Z310" s="4">
        <f>IFERROR(__xludf.DUMMYFUNCTION("""COMPUTED_VALUE"""),40.67570336809678)</f>
        <v>40.67570337</v>
      </c>
      <c r="AA310" s="4"/>
      <c r="AB310" s="4"/>
      <c r="AC310" s="4">
        <f>IFERROR(__xludf.DUMMYFUNCTION("""COMPUTED_VALUE"""),59.55357419107065)</f>
        <v>59.55357419</v>
      </c>
      <c r="AD310" s="4"/>
      <c r="AE310" s="4"/>
      <c r="AF310" s="4">
        <f>IFERROR(__xludf.DUMMYFUNCTION("""COMPUTED_VALUE"""),56.94447570161822)</f>
        <v>56.9444757</v>
      </c>
      <c r="AG310" s="4"/>
      <c r="AH310" s="4"/>
      <c r="AI310" s="4">
        <f>IFERROR(__xludf.DUMMYFUNCTION("""COMPUTED_VALUE"""),57.319047322831125)</f>
        <v>57.31904732</v>
      </c>
      <c r="AJ310" s="4"/>
      <c r="AK310" s="4"/>
      <c r="AL310" s="4">
        <f>IFERROR(__xludf.DUMMYFUNCTION("""COMPUTED_VALUE"""),53.95624832021275)</f>
        <v>53.95624832</v>
      </c>
      <c r="AM310" s="4"/>
      <c r="AN310" s="4"/>
      <c r="AO310" s="4">
        <f>IFERROR(__xludf.DUMMYFUNCTION("""COMPUTED_VALUE"""),28.578553759639874)</f>
        <v>28.57855376</v>
      </c>
      <c r="AP310" s="4"/>
      <c r="AQ310" s="4"/>
      <c r="AR310" s="4">
        <f>IFERROR(__xludf.DUMMYFUNCTION("""COMPUTED_VALUE"""),26.724470900508948)</f>
        <v>26.7244709</v>
      </c>
      <c r="AS310" s="4"/>
      <c r="AT310" s="4"/>
      <c r="AU310" s="4">
        <f>IFERROR(__xludf.DUMMYFUNCTION("""COMPUTED_VALUE"""),23.382812072018623)</f>
        <v>23.38281207</v>
      </c>
      <c r="AV310" s="4"/>
      <c r="AW310" s="4"/>
      <c r="AX310" s="4">
        <f>IFERROR(__xludf.DUMMYFUNCTION("""COMPUTED_VALUE"""),15.596332063598197)</f>
        <v>15.59633206</v>
      </c>
      <c r="AY310" s="4"/>
      <c r="AZ310" s="4"/>
      <c r="BA310" s="4">
        <f>IFERROR(__xludf.DUMMYFUNCTION("""COMPUTED_VALUE"""),13.653975342445278)</f>
        <v>13.65397534</v>
      </c>
      <c r="BB310" s="4"/>
      <c r="BC310" s="4"/>
      <c r="BD310" s="4">
        <f>IFERROR(__xludf.DUMMYFUNCTION("""COMPUTED_VALUE"""),10.344859376489467)</f>
        <v>10.34485938</v>
      </c>
      <c r="BE310" s="4"/>
      <c r="BF310" s="4"/>
      <c r="BG310" s="4">
        <f>IFERROR(__xludf.DUMMYFUNCTION("""COMPUTED_VALUE"""),2.708788439132263)</f>
        <v>2.708788439</v>
      </c>
      <c r="BH310" s="4"/>
      <c r="BI310" s="4"/>
      <c r="BJ310" s="4"/>
      <c r="BK310" s="4"/>
    </row>
    <row r="311">
      <c r="A311" s="4"/>
      <c r="B311" s="4"/>
      <c r="C311" s="4"/>
      <c r="D311" s="4">
        <f>IFERROR(__xludf.DUMMYFUNCTION("""COMPUTED_VALUE"""),-72.5453944388862)</f>
        <v>-72.54539444</v>
      </c>
      <c r="E311" s="23">
        <f>IFERROR(__xludf.DUMMYFUNCTION("""COMPUTED_VALUE"""),6.238916075834879)</f>
        <v>6.238916076</v>
      </c>
      <c r="F311" s="4"/>
      <c r="G311" s="4"/>
      <c r="H311" s="4">
        <f>IFERROR(__xludf.DUMMYFUNCTION("""COMPUTED_VALUE"""),0.9449334006205277)</f>
        <v>0.9449334006</v>
      </c>
      <c r="I311" s="4"/>
      <c r="J311" s="4"/>
      <c r="K311" s="4">
        <f>IFERROR(__xludf.DUMMYFUNCTION("""COMPUTED_VALUE"""),7.84042557579312)</f>
        <v>7.840425576</v>
      </c>
      <c r="L311" s="4"/>
      <c r="M311" s="4"/>
      <c r="N311" s="4">
        <f>IFERROR(__xludf.DUMMYFUNCTION("""COMPUTED_VALUE"""),6.282101145000411)</f>
        <v>6.282101145</v>
      </c>
      <c r="O311" s="4"/>
      <c r="P311" s="4"/>
      <c r="Q311" s="4">
        <f>IFERROR(__xludf.DUMMYFUNCTION("""COMPUTED_VALUE"""),13.83512046883152)</f>
        <v>13.83512047</v>
      </c>
      <c r="R311" s="4"/>
      <c r="S311" s="4"/>
      <c r="T311" s="4">
        <f>IFERROR(__xludf.DUMMYFUNCTION("""COMPUTED_VALUE"""),24.4888306972436)</f>
        <v>24.4888307</v>
      </c>
      <c r="U311" s="4"/>
      <c r="V311" s="4"/>
      <c r="W311" s="4">
        <f>IFERROR(__xludf.DUMMYFUNCTION("""COMPUTED_VALUE"""),27.604122888731695)</f>
        <v>27.60412289</v>
      </c>
      <c r="X311" s="4"/>
      <c r="Y311" s="4"/>
      <c r="Z311" s="4">
        <f>IFERROR(__xludf.DUMMYFUNCTION("""COMPUTED_VALUE"""),37.07797364329059)</f>
        <v>37.07797364</v>
      </c>
      <c r="AA311" s="4"/>
      <c r="AB311" s="4"/>
      <c r="AC311" s="4">
        <f>IFERROR(__xludf.DUMMYFUNCTION("""COMPUTED_VALUE"""),49.01480933659849)</f>
        <v>49.01480934</v>
      </c>
      <c r="AD311" s="4"/>
      <c r="AE311" s="4"/>
      <c r="AF311" s="4">
        <f>IFERROR(__xludf.DUMMYFUNCTION("""COMPUTED_VALUE"""),53.10464542168967)</f>
        <v>53.10464542</v>
      </c>
      <c r="AG311" s="4"/>
      <c r="AH311" s="4"/>
      <c r="AI311" s="4">
        <f>IFERROR(__xludf.DUMMYFUNCTION("""COMPUTED_VALUE"""),54.61740597319084)</f>
        <v>54.61740597</v>
      </c>
      <c r="AJ311" s="4"/>
      <c r="AK311" s="4"/>
      <c r="AL311" s="4">
        <f>IFERROR(__xludf.DUMMYFUNCTION("""COMPUTED_VALUE"""),41.80007596560358)</f>
        <v>41.80007597</v>
      </c>
      <c r="AM311" s="4"/>
      <c r="AN311" s="4"/>
      <c r="AO311" s="4">
        <f>IFERROR(__xludf.DUMMYFUNCTION("""COMPUTED_VALUE"""),33.04690009604144)</f>
        <v>33.0469001</v>
      </c>
      <c r="AP311" s="4"/>
      <c r="AQ311" s="4"/>
      <c r="AR311" s="4">
        <f>IFERROR(__xludf.DUMMYFUNCTION("""COMPUTED_VALUE"""),29.429794424151964)</f>
        <v>29.42979442</v>
      </c>
      <c r="AS311" s="4"/>
      <c r="AT311" s="4"/>
      <c r="AU311" s="4">
        <f>IFERROR(__xludf.DUMMYFUNCTION("""COMPUTED_VALUE"""),22.747526799568107)</f>
        <v>22.7475268</v>
      </c>
      <c r="AV311" s="4"/>
      <c r="AW311" s="4"/>
      <c r="AX311" s="4">
        <f>IFERROR(__xludf.DUMMYFUNCTION("""COMPUTED_VALUE"""),9.956446698282036)</f>
        <v>9.956446698</v>
      </c>
      <c r="AY311" s="4"/>
      <c r="AZ311" s="4"/>
      <c r="BA311" s="4">
        <f>IFERROR(__xludf.DUMMYFUNCTION("""COMPUTED_VALUE"""),6.079270330544432)</f>
        <v>6.079270331</v>
      </c>
      <c r="BB311" s="4"/>
      <c r="BC311" s="4"/>
      <c r="BD311" s="4">
        <f>IFERROR(__xludf.DUMMYFUNCTION("""COMPUTED_VALUE"""),4.920102823706259)</f>
        <v>4.920102824</v>
      </c>
      <c r="BE311" s="4"/>
      <c r="BF311" s="4"/>
      <c r="BG311" s="4">
        <f>IFERROR(__xludf.DUMMYFUNCTION("""COMPUTED_VALUE"""),0.7260559956690713)</f>
        <v>0.7260559957</v>
      </c>
      <c r="BH311" s="4"/>
      <c r="BI311" s="4"/>
      <c r="BJ311" s="4"/>
      <c r="BK311" s="4"/>
    </row>
    <row r="312">
      <c r="A312" s="4"/>
      <c r="B312" s="4"/>
      <c r="C312" s="4"/>
      <c r="D312" s="4">
        <f>IFERROR(__xludf.DUMMYFUNCTION("""COMPUTED_VALUE"""),-73.46369056957133)</f>
        <v>-73.46369057</v>
      </c>
      <c r="E312" s="23">
        <f>IFERROR(__xludf.DUMMYFUNCTION("""COMPUTED_VALUE"""),3.490157574340401)</f>
        <v>3.490157574</v>
      </c>
      <c r="F312" s="4"/>
      <c r="G312" s="4"/>
      <c r="H312" s="4">
        <f>IFERROR(__xludf.DUMMYFUNCTION("""COMPUTED_VALUE"""),-0.721590672550235)</f>
        <v>-0.7215906726</v>
      </c>
      <c r="I312" s="4"/>
      <c r="J312" s="4"/>
      <c r="K312" s="4">
        <f>IFERROR(__xludf.DUMMYFUNCTION("""COMPUTED_VALUE"""),0.7793889062319863)</f>
        <v>0.7793889062</v>
      </c>
      <c r="L312" s="4"/>
      <c r="M312" s="4"/>
      <c r="N312" s="4">
        <f>IFERROR(__xludf.DUMMYFUNCTION("""COMPUTED_VALUE"""),1.7241204697281205)</f>
        <v>1.72412047</v>
      </c>
      <c r="O312" s="4"/>
      <c r="P312" s="4"/>
      <c r="Q312" s="4">
        <f>IFERROR(__xludf.DUMMYFUNCTION("""COMPUTED_VALUE"""),13.727909525485188)</f>
        <v>13.72790953</v>
      </c>
      <c r="R312" s="4"/>
      <c r="S312" s="4"/>
      <c r="T312" s="4">
        <f>IFERROR(__xludf.DUMMYFUNCTION("""COMPUTED_VALUE"""),11.421464457405534)</f>
        <v>11.42146446</v>
      </c>
      <c r="U312" s="4"/>
      <c r="V312" s="4"/>
      <c r="W312" s="4">
        <f>IFERROR(__xludf.DUMMYFUNCTION("""COMPUTED_VALUE"""),21.169366998703254)</f>
        <v>21.169367</v>
      </c>
      <c r="X312" s="4"/>
      <c r="Y312" s="4"/>
      <c r="Z312" s="4">
        <f>IFERROR(__xludf.DUMMYFUNCTION("""COMPUTED_VALUE"""),36.046544580989405)</f>
        <v>36.04654458</v>
      </c>
      <c r="AA312" s="4"/>
      <c r="AB312" s="4"/>
      <c r="AC312" s="4">
        <f>IFERROR(__xludf.DUMMYFUNCTION("""COMPUTED_VALUE"""),49.08905252770768)</f>
        <v>49.08905253</v>
      </c>
      <c r="AD312" s="4"/>
      <c r="AE312" s="4"/>
      <c r="AF312" s="4">
        <f>IFERROR(__xludf.DUMMYFUNCTION("""COMPUTED_VALUE"""),47.94324812479647)</f>
        <v>47.94324812</v>
      </c>
      <c r="AG312" s="4"/>
      <c r="AH312" s="4"/>
      <c r="AI312" s="4">
        <f>IFERROR(__xludf.DUMMYFUNCTION("""COMPUTED_VALUE"""),52.55314284668623)</f>
        <v>52.55314285</v>
      </c>
      <c r="AJ312" s="4"/>
      <c r="AK312" s="4"/>
      <c r="AL312" s="4">
        <f>IFERROR(__xludf.DUMMYFUNCTION("""COMPUTED_VALUE"""),41.60709511958373)</f>
        <v>41.60709512</v>
      </c>
      <c r="AM312" s="4"/>
      <c r="AN312" s="4"/>
      <c r="AO312" s="4">
        <f>IFERROR(__xludf.DUMMYFUNCTION("""COMPUTED_VALUE"""),33.235830688556234)</f>
        <v>33.23583069</v>
      </c>
      <c r="AP312" s="4"/>
      <c r="AQ312" s="4"/>
      <c r="AR312" s="4">
        <f>IFERROR(__xludf.DUMMYFUNCTION("""COMPUTED_VALUE"""),25.651831512469982)</f>
        <v>25.65183151</v>
      </c>
      <c r="AS312" s="4"/>
      <c r="AT312" s="4"/>
      <c r="AU312" s="4">
        <f>IFERROR(__xludf.DUMMYFUNCTION("""COMPUTED_VALUE"""),20.218786648136756)</f>
        <v>20.21878665</v>
      </c>
      <c r="AV312" s="4"/>
      <c r="AW312" s="4"/>
      <c r="AX312" s="4">
        <f>IFERROR(__xludf.DUMMYFUNCTION("""COMPUTED_VALUE"""),13.616506702991217)</f>
        <v>13.6165067</v>
      </c>
      <c r="AY312" s="4"/>
      <c r="AZ312" s="4"/>
      <c r="BA312" s="4">
        <f>IFERROR(__xludf.DUMMYFUNCTION("""COMPUTED_VALUE"""),8.102632077373244)</f>
        <v>8.102632077</v>
      </c>
      <c r="BB312" s="4"/>
      <c r="BC312" s="4"/>
      <c r="BD312" s="4">
        <f>IFERROR(__xludf.DUMMYFUNCTION("""COMPUTED_VALUE"""),5.681224933294175)</f>
        <v>5.681224933</v>
      </c>
      <c r="BE312" s="4"/>
      <c r="BF312" s="4"/>
      <c r="BG312" s="4">
        <f>IFERROR(__xludf.DUMMYFUNCTION("""COMPUTED_VALUE"""),6.0630539566242305)</f>
        <v>6.063053957</v>
      </c>
      <c r="BH312" s="4"/>
      <c r="BI312" s="4"/>
      <c r="BJ312" s="4"/>
      <c r="BK312" s="4"/>
    </row>
    <row r="313">
      <c r="A313" s="4"/>
      <c r="B313" s="4"/>
      <c r="C313" s="4"/>
      <c r="D313" s="4">
        <f>IFERROR(__xludf.DUMMYFUNCTION("""COMPUTED_VALUE"""),-74.38198670232104)</f>
        <v>-74.3819867</v>
      </c>
      <c r="E313" s="23">
        <f>IFERROR(__xludf.DUMMYFUNCTION("""COMPUTED_VALUE"""),6.14298679135959)</f>
        <v>6.142986791</v>
      </c>
      <c r="F313" s="4"/>
      <c r="G313" s="4"/>
      <c r="H313" s="4">
        <f>IFERROR(__xludf.DUMMYFUNCTION("""COMPUTED_VALUE"""),-1.939737007497854)</f>
        <v>-1.939737007</v>
      </c>
      <c r="I313" s="4"/>
      <c r="J313" s="4"/>
      <c r="K313" s="4">
        <f>IFERROR(__xludf.DUMMYFUNCTION("""COMPUTED_VALUE"""),6.543442648471796)</f>
        <v>6.543442648</v>
      </c>
      <c r="L313" s="4"/>
      <c r="M313" s="4"/>
      <c r="N313" s="4">
        <f>IFERROR(__xludf.DUMMYFUNCTION("""COMPUTED_VALUE"""),3.0624598352442263)</f>
        <v>3.062459835</v>
      </c>
      <c r="O313" s="4"/>
      <c r="P313" s="4"/>
      <c r="Q313" s="4">
        <f>IFERROR(__xludf.DUMMYFUNCTION("""COMPUTED_VALUE"""),11.925894022512523)</f>
        <v>11.92589402</v>
      </c>
      <c r="R313" s="4"/>
      <c r="S313" s="4"/>
      <c r="T313" s="4">
        <f>IFERROR(__xludf.DUMMYFUNCTION("""COMPUTED_VALUE"""),9.709901324016073)</f>
        <v>9.709901324</v>
      </c>
      <c r="U313" s="4"/>
      <c r="V313" s="4"/>
      <c r="W313" s="4">
        <f>IFERROR(__xludf.DUMMYFUNCTION("""COMPUTED_VALUE"""),14.384105822710183)</f>
        <v>14.38410582</v>
      </c>
      <c r="X313" s="4"/>
      <c r="Y313" s="4"/>
      <c r="Z313" s="4">
        <f>IFERROR(__xludf.DUMMYFUNCTION("""COMPUTED_VALUE"""),29.779754585252647)</f>
        <v>29.77975459</v>
      </c>
      <c r="AA313" s="4"/>
      <c r="AB313" s="4"/>
      <c r="AC313" s="4">
        <f>IFERROR(__xludf.DUMMYFUNCTION("""COMPUTED_VALUE"""),50.965358096862246)</f>
        <v>50.9653581</v>
      </c>
      <c r="AD313" s="4"/>
      <c r="AE313" s="4"/>
      <c r="AF313" s="4">
        <f>IFERROR(__xludf.DUMMYFUNCTION("""COMPUTED_VALUE"""),41.421380196585915)</f>
        <v>41.4213802</v>
      </c>
      <c r="AG313" s="4"/>
      <c r="AH313" s="4"/>
      <c r="AI313" s="4">
        <f>IFERROR(__xludf.DUMMYFUNCTION("""COMPUTED_VALUE"""),40.49730184575208)</f>
        <v>40.49730185</v>
      </c>
      <c r="AJ313" s="4"/>
      <c r="AK313" s="4"/>
      <c r="AL313" s="4">
        <f>IFERROR(__xludf.DUMMYFUNCTION("""COMPUTED_VALUE"""),45.32602948051732)</f>
        <v>45.32602948</v>
      </c>
      <c r="AM313" s="4"/>
      <c r="AN313" s="4"/>
      <c r="AO313" s="4">
        <f>IFERROR(__xludf.DUMMYFUNCTION("""COMPUTED_VALUE"""),34.38401814860117)</f>
        <v>34.38401815</v>
      </c>
      <c r="AP313" s="4"/>
      <c r="AQ313" s="4"/>
      <c r="AR313" s="4">
        <f>IFERROR(__xludf.DUMMYFUNCTION("""COMPUTED_VALUE"""),21.122868556261608)</f>
        <v>21.12286856</v>
      </c>
      <c r="AS313" s="4"/>
      <c r="AT313" s="4"/>
      <c r="AU313" s="4">
        <f>IFERROR(__xludf.DUMMYFUNCTION("""COMPUTED_VALUE"""),16.64584303168789)</f>
        <v>16.64584303</v>
      </c>
      <c r="AV313" s="4"/>
      <c r="AW313" s="4"/>
      <c r="AX313" s="4">
        <f>IFERROR(__xludf.DUMMYFUNCTION("""COMPUTED_VALUE"""),11.157327197395887)</f>
        <v>11.1573272</v>
      </c>
      <c r="AY313" s="4"/>
      <c r="AZ313" s="4"/>
      <c r="BA313" s="4">
        <f>IFERROR(__xludf.DUMMYFUNCTION("""COMPUTED_VALUE"""),5.549601299913888)</f>
        <v>5.5496013</v>
      </c>
      <c r="BB313" s="4"/>
      <c r="BC313" s="4"/>
      <c r="BD313" s="4">
        <f>IFERROR(__xludf.DUMMYFUNCTION("""COMPUTED_VALUE"""),8.089728992803373)</f>
        <v>8.089728993</v>
      </c>
      <c r="BE313" s="4"/>
      <c r="BF313" s="4"/>
      <c r="BG313" s="4">
        <f>IFERROR(__xludf.DUMMYFUNCTION("""COMPUTED_VALUE"""),1.0546634193615319)</f>
        <v>1.054663419</v>
      </c>
      <c r="BH313" s="4"/>
      <c r="BI313" s="4"/>
      <c r="BJ313" s="4"/>
      <c r="BK313" s="4"/>
    </row>
    <row r="314">
      <c r="A314" s="4"/>
      <c r="B314" s="4"/>
      <c r="C314" s="4"/>
      <c r="D314" s="4">
        <f>IFERROR(__xludf.DUMMYFUNCTION("""COMPUTED_VALUE"""),-75.30028283512112)</f>
        <v>-75.30028284</v>
      </c>
      <c r="E314" s="23">
        <f>IFERROR(__xludf.DUMMYFUNCTION("""COMPUTED_VALUE"""),3.694097840416589)</f>
        <v>3.69409784</v>
      </c>
      <c r="F314" s="4"/>
      <c r="G314" s="4"/>
      <c r="H314" s="4">
        <f>IFERROR(__xludf.DUMMYFUNCTION("""COMPUTED_VALUE"""),0.04162322501883864)</f>
        <v>0.04162322502</v>
      </c>
      <c r="I314" s="4"/>
      <c r="J314" s="4"/>
      <c r="K314" s="4">
        <f>IFERROR(__xludf.DUMMYFUNCTION("""COMPUTED_VALUE"""),0.9322665624045499)</f>
        <v>0.9322665624</v>
      </c>
      <c r="L314" s="4"/>
      <c r="M314" s="4"/>
      <c r="N314" s="4">
        <f>IFERROR(__xludf.DUMMYFUNCTION("""COMPUTED_VALUE"""),1.258471669320329)</f>
        <v>1.258471669</v>
      </c>
      <c r="O314" s="4"/>
      <c r="P314" s="4"/>
      <c r="Q314" s="4">
        <f>IFERROR(__xludf.DUMMYFUNCTION("""COMPUTED_VALUE"""),6.024138851800387)</f>
        <v>6.024138852</v>
      </c>
      <c r="R314" s="4"/>
      <c r="S314" s="4"/>
      <c r="T314" s="4">
        <f>IFERROR(__xludf.DUMMYFUNCTION("""COMPUTED_VALUE"""),13.402795197288071)</f>
        <v>13.4027952</v>
      </c>
      <c r="U314" s="4"/>
      <c r="V314" s="4"/>
      <c r="W314" s="4">
        <f>IFERROR(__xludf.DUMMYFUNCTION("""COMPUTED_VALUE"""),14.112825246982197)</f>
        <v>14.11282525</v>
      </c>
      <c r="X314" s="4"/>
      <c r="Y314" s="4"/>
      <c r="Z314" s="4">
        <f>IFERROR(__xludf.DUMMYFUNCTION("""COMPUTED_VALUE"""),30.368763198236138)</f>
        <v>30.3687632</v>
      </c>
      <c r="AA314" s="4"/>
      <c r="AB314" s="4"/>
      <c r="AC314" s="4">
        <f>IFERROR(__xludf.DUMMYFUNCTION("""COMPUTED_VALUE"""),36.84958250359273)</f>
        <v>36.8495825</v>
      </c>
      <c r="AD314" s="4"/>
      <c r="AE314" s="4"/>
      <c r="AF314" s="4">
        <f>IFERROR(__xludf.DUMMYFUNCTION("""COMPUTED_VALUE"""),38.81698561436389)</f>
        <v>38.81698561</v>
      </c>
      <c r="AG314" s="4"/>
      <c r="AH314" s="4"/>
      <c r="AI314" s="4">
        <f>IFERROR(__xludf.DUMMYFUNCTION("""COMPUTED_VALUE"""),42.60082900778775)</f>
        <v>42.60082901</v>
      </c>
      <c r="AJ314" s="4"/>
      <c r="AK314" s="4"/>
      <c r="AL314" s="4">
        <f>IFERROR(__xludf.DUMMYFUNCTION("""COMPUTED_VALUE"""),38.84278175614128)</f>
        <v>38.84278176</v>
      </c>
      <c r="AM314" s="4"/>
      <c r="AN314" s="4"/>
      <c r="AO314" s="4">
        <f>IFERROR(__xludf.DUMMYFUNCTION("""COMPUTED_VALUE"""),28.888735916838755)</f>
        <v>28.88873592</v>
      </c>
      <c r="AP314" s="4"/>
      <c r="AQ314" s="4"/>
      <c r="AR314" s="4">
        <f>IFERROR(__xludf.DUMMYFUNCTION("""COMPUTED_VALUE"""),26.076933076433306)</f>
        <v>26.07693308</v>
      </c>
      <c r="AS314" s="4"/>
      <c r="AT314" s="4"/>
      <c r="AU314" s="4">
        <f>IFERROR(__xludf.DUMMYFUNCTION("""COMPUTED_VALUE"""),13.9536147260946)</f>
        <v>13.95361473</v>
      </c>
      <c r="AV314" s="4"/>
      <c r="AW314" s="4"/>
      <c r="AX314" s="4">
        <f>IFERROR(__xludf.DUMMYFUNCTION("""COMPUTED_VALUE"""),11.60649174350732)</f>
        <v>11.60649174</v>
      </c>
      <c r="AY314" s="4"/>
      <c r="AZ314" s="4"/>
      <c r="BA314" s="4">
        <f>IFERROR(__xludf.DUMMYFUNCTION("""COMPUTED_VALUE"""),4.822797848740947)</f>
        <v>4.822797849</v>
      </c>
      <c r="BB314" s="4"/>
      <c r="BC314" s="4"/>
      <c r="BD314" s="4">
        <f>IFERROR(__xludf.DUMMYFUNCTION("""COMPUTED_VALUE"""),3.6539241856169724)</f>
        <v>3.653924186</v>
      </c>
      <c r="BE314" s="4"/>
      <c r="BF314" s="4"/>
      <c r="BG314" s="4">
        <f>IFERROR(__xludf.DUMMYFUNCTION("""COMPUTED_VALUE"""),-1.1068608520027965)</f>
        <v>-1.106860852</v>
      </c>
      <c r="BH314" s="4"/>
      <c r="BI314" s="4"/>
      <c r="BJ314" s="4"/>
      <c r="BK314" s="4"/>
    </row>
    <row r="315">
      <c r="A315" s="4"/>
      <c r="B315" s="4"/>
      <c r="C315" s="4"/>
      <c r="D315" s="4">
        <f>IFERROR(__xludf.DUMMYFUNCTION("""COMPUTED_VALUE"""),-76.21857896580624)</f>
        <v>-76.21857897</v>
      </c>
      <c r="E315" s="23">
        <f>IFERROR(__xludf.DUMMYFUNCTION("""COMPUTED_VALUE"""),-1.2580610588667582)</f>
        <v>-1.258061059</v>
      </c>
      <c r="F315" s="4"/>
      <c r="G315" s="4"/>
      <c r="H315" s="4">
        <f>IFERROR(__xludf.DUMMYFUNCTION("""COMPUTED_VALUE"""),-5.610785688189026)</f>
        <v>-5.610785688</v>
      </c>
      <c r="I315" s="4"/>
      <c r="J315" s="4"/>
      <c r="K315" s="4">
        <f>IFERROR(__xludf.DUMMYFUNCTION("""COMPUTED_VALUE"""),6.297924169067528)</f>
        <v>6.297924169</v>
      </c>
      <c r="L315" s="4"/>
      <c r="M315" s="4"/>
      <c r="N315" s="4">
        <f>IFERROR(__xludf.DUMMYFUNCTION("""COMPUTED_VALUE"""),2.2372220835676444)</f>
        <v>2.237222084</v>
      </c>
      <c r="O315" s="4"/>
      <c r="P315" s="4"/>
      <c r="Q315" s="4">
        <f>IFERROR(__xludf.DUMMYFUNCTION("""COMPUTED_VALUE"""),8.1032241026125)</f>
        <v>8.103224103</v>
      </c>
      <c r="R315" s="4"/>
      <c r="S315" s="4"/>
      <c r="T315" s="4">
        <f>IFERROR(__xludf.DUMMYFUNCTION("""COMPUTED_VALUE"""),11.575721528034705)</f>
        <v>11.57572153</v>
      </c>
      <c r="U315" s="4"/>
      <c r="V315" s="4"/>
      <c r="W315" s="4">
        <f>IFERROR(__xludf.DUMMYFUNCTION("""COMPUTED_VALUE"""),18.986882263787948)</f>
        <v>18.98688226</v>
      </c>
      <c r="X315" s="4"/>
      <c r="Y315" s="4"/>
      <c r="Z315" s="4">
        <f>IFERROR(__xludf.DUMMYFUNCTION("""COMPUTED_VALUE"""),23.450816265786784)</f>
        <v>23.45081627</v>
      </c>
      <c r="AA315" s="4"/>
      <c r="AB315" s="4"/>
      <c r="AC315" s="4">
        <f>IFERROR(__xludf.DUMMYFUNCTION("""COMPUTED_VALUE"""),39.82786377212665)</f>
        <v>39.82786377</v>
      </c>
      <c r="AD315" s="4"/>
      <c r="AE315" s="4"/>
      <c r="AF315" s="4">
        <f>IFERROR(__xludf.DUMMYFUNCTION("""COMPUTED_VALUE"""),37.36691469997976)</f>
        <v>37.3669147</v>
      </c>
      <c r="AG315" s="4"/>
      <c r="AH315" s="4"/>
      <c r="AI315" s="4">
        <f>IFERROR(__xludf.DUMMYFUNCTION("""COMPUTED_VALUE"""),41.256827845690054)</f>
        <v>41.25682785</v>
      </c>
      <c r="AJ315" s="4"/>
      <c r="AK315" s="4"/>
      <c r="AL315" s="4">
        <f>IFERROR(__xludf.DUMMYFUNCTION("""COMPUTED_VALUE"""),33.475302719197316)</f>
        <v>33.47530272</v>
      </c>
      <c r="AM315" s="4"/>
      <c r="AN315" s="4"/>
      <c r="AO315" s="4">
        <f>IFERROR(__xludf.DUMMYFUNCTION("""COMPUTED_VALUE"""),20.301178819299025)</f>
        <v>20.30117882</v>
      </c>
      <c r="AP315" s="4"/>
      <c r="AQ315" s="4"/>
      <c r="AR315" s="4">
        <f>IFERROR(__xludf.DUMMYFUNCTION("""COMPUTED_VALUE"""),22.308383827428315)</f>
        <v>22.30838383</v>
      </c>
      <c r="AS315" s="4"/>
      <c r="AT315" s="4"/>
      <c r="AU315" s="4">
        <f>IFERROR(__xludf.DUMMYFUNCTION("""COMPUTED_VALUE"""),17.508080250036585)</f>
        <v>17.50808025</v>
      </c>
      <c r="AV315" s="4"/>
      <c r="AW315" s="4"/>
      <c r="AX315" s="4">
        <f>IFERROR(__xludf.DUMMYFUNCTION("""COMPUTED_VALUE"""),12.03253623290965)</f>
        <v>12.03253623</v>
      </c>
      <c r="AY315" s="4"/>
      <c r="AZ315" s="4"/>
      <c r="BA315" s="4">
        <f>IFERROR(__xludf.DUMMYFUNCTION("""COMPUTED_VALUE"""),-0.77093122708078)</f>
        <v>-0.7709312271</v>
      </c>
      <c r="BB315" s="4"/>
      <c r="BC315" s="4"/>
      <c r="BD315" s="4">
        <f>IFERROR(__xludf.DUMMYFUNCTION("""COMPUTED_VALUE"""),1.9399597996949183)</f>
        <v>1.9399598</v>
      </c>
      <c r="BE315" s="4"/>
      <c r="BF315" s="4"/>
      <c r="BG315" s="4">
        <f>IFERROR(__xludf.DUMMYFUNCTION("""COMPUTED_VALUE"""),5.148526110129751)</f>
        <v>5.14852611</v>
      </c>
      <c r="BH315" s="4"/>
      <c r="BI315" s="4"/>
      <c r="BJ315" s="4"/>
      <c r="BK315" s="4"/>
    </row>
    <row r="316">
      <c r="A316" s="4"/>
      <c r="B316" s="4"/>
      <c r="C316" s="4"/>
      <c r="D316" s="4">
        <f>IFERROR(__xludf.DUMMYFUNCTION("""COMPUTED_VALUE"""),-77.13687509855598)</f>
        <v>-77.1368751</v>
      </c>
      <c r="E316" s="23">
        <f>IFERROR(__xludf.DUMMYFUNCTION("""COMPUTED_VALUE"""),2.5054027905349017)</f>
        <v>2.505402791</v>
      </c>
      <c r="F316" s="4"/>
      <c r="G316" s="4"/>
      <c r="H316" s="4">
        <f>IFERROR(__xludf.DUMMYFUNCTION("""COMPUTED_VALUE"""),-0.4529584603620833)</f>
        <v>-0.4529584604</v>
      </c>
      <c r="I316" s="4"/>
      <c r="J316" s="4"/>
      <c r="K316" s="4">
        <f>IFERROR(__xludf.DUMMYFUNCTION("""COMPUTED_VALUE"""),1.4018787379471291)</f>
        <v>1.401878738</v>
      </c>
      <c r="L316" s="4"/>
      <c r="M316" s="4"/>
      <c r="N316" s="4">
        <f>IFERROR(__xludf.DUMMYFUNCTION("""COMPUTED_VALUE"""),7.261874982855375)</f>
        <v>7.261874983</v>
      </c>
      <c r="O316" s="4"/>
      <c r="P316" s="4"/>
      <c r="Q316" s="4">
        <f>IFERROR(__xludf.DUMMYFUNCTION("""COMPUTED_VALUE"""),7.131744659465539)</f>
        <v>7.131744659</v>
      </c>
      <c r="R316" s="4"/>
      <c r="S316" s="4"/>
      <c r="T316" s="4">
        <f>IFERROR(__xludf.DUMMYFUNCTION("""COMPUTED_VALUE"""),7.942465483532203)</f>
        <v>7.942465484</v>
      </c>
      <c r="U316" s="4"/>
      <c r="V316" s="4"/>
      <c r="W316" s="4">
        <f>IFERROR(__xludf.DUMMYFUNCTION("""COMPUTED_VALUE"""),18.428292425764937)</f>
        <v>18.42829243</v>
      </c>
      <c r="X316" s="4"/>
      <c r="Y316" s="4"/>
      <c r="Z316" s="4">
        <f>IFERROR(__xludf.DUMMYFUNCTION("""COMPUTED_VALUE"""),25.828076488232625)</f>
        <v>25.82807649</v>
      </c>
      <c r="AA316" s="4"/>
      <c r="AB316" s="4"/>
      <c r="AC316" s="4">
        <f>IFERROR(__xludf.DUMMYFUNCTION("""COMPUTED_VALUE"""),34.529945671361986)</f>
        <v>34.52994567</v>
      </c>
      <c r="AD316" s="4"/>
      <c r="AE316" s="4"/>
      <c r="AF316" s="4">
        <f>IFERROR(__xludf.DUMMYFUNCTION("""COMPUTED_VALUE"""),34.488481285263504)</f>
        <v>34.48848129</v>
      </c>
      <c r="AG316" s="4"/>
      <c r="AH316" s="4"/>
      <c r="AI316" s="4">
        <f>IFERROR(__xludf.DUMMYFUNCTION("""COMPUTED_VALUE"""),36.37799052773909)</f>
        <v>36.37799053</v>
      </c>
      <c r="AJ316" s="4"/>
      <c r="AK316" s="4"/>
      <c r="AL316" s="4">
        <f>IFERROR(__xludf.DUMMYFUNCTION("""COMPUTED_VALUE"""),31.229171222280513)</f>
        <v>31.22917122</v>
      </c>
      <c r="AM316" s="4"/>
      <c r="AN316" s="4"/>
      <c r="AO316" s="4">
        <f>IFERROR(__xludf.DUMMYFUNCTION("""COMPUTED_VALUE"""),20.04490589135196)</f>
        <v>20.04490589</v>
      </c>
      <c r="AP316" s="4"/>
      <c r="AQ316" s="4"/>
      <c r="AR316" s="4">
        <f>IFERROR(__xludf.DUMMYFUNCTION("""COMPUTED_VALUE"""),17.246452975038608)</f>
        <v>17.24645298</v>
      </c>
      <c r="AS316" s="4"/>
      <c r="AT316" s="4"/>
      <c r="AU316" s="4">
        <f>IFERROR(__xludf.DUMMYFUNCTION("""COMPUTED_VALUE"""),12.980358263199719)</f>
        <v>12.98035826</v>
      </c>
      <c r="AV316" s="4"/>
      <c r="AW316" s="4"/>
      <c r="AX316" s="4">
        <f>IFERROR(__xludf.DUMMYFUNCTION("""COMPUTED_VALUE"""),11.770544737204034)</f>
        <v>11.77054474</v>
      </c>
      <c r="AY316" s="4"/>
      <c r="AZ316" s="4"/>
      <c r="BA316" s="4">
        <f>IFERROR(__xludf.DUMMYFUNCTION("""COMPUTED_VALUE"""),5.226013008003747)</f>
        <v>5.226013008</v>
      </c>
      <c r="BB316" s="4"/>
      <c r="BC316" s="4"/>
      <c r="BD316" s="4">
        <f>IFERROR(__xludf.DUMMYFUNCTION("""COMPUTED_VALUE"""),4.137826309056663)</f>
        <v>4.137826309</v>
      </c>
      <c r="BE316" s="4"/>
      <c r="BF316" s="4"/>
      <c r="BG316" s="4">
        <f>IFERROR(__xludf.DUMMYFUNCTION("""COMPUTED_VALUE"""),7.331316249660574)</f>
        <v>7.33131625</v>
      </c>
      <c r="BH316" s="4"/>
      <c r="BI316" s="4"/>
      <c r="BJ316" s="4"/>
      <c r="BK316" s="4"/>
    </row>
    <row r="317">
      <c r="A317" s="4"/>
      <c r="B317" s="4"/>
      <c r="C317" s="4"/>
      <c r="D317" s="4">
        <f>IFERROR(__xludf.DUMMYFUNCTION("""COMPUTED_VALUE"""),-78.05517123135604)</f>
        <v>-78.05517123</v>
      </c>
      <c r="E317" s="23">
        <f>IFERROR(__xludf.DUMMYFUNCTION("""COMPUTED_VALUE"""),3.6477755105483425)</f>
        <v>3.647775511</v>
      </c>
      <c r="F317" s="4"/>
      <c r="G317" s="4"/>
      <c r="H317" s="4">
        <f>IFERROR(__xludf.DUMMYFUNCTION("""COMPUTED_VALUE"""),-0.34373122058678973)</f>
        <v>-0.3437312206</v>
      </c>
      <c r="I317" s="4"/>
      <c r="J317" s="4"/>
      <c r="K317" s="4">
        <f>IFERROR(__xludf.DUMMYFUNCTION("""COMPUTED_VALUE"""),0.10384551318747981)</f>
        <v>0.1038455132</v>
      </c>
      <c r="L317" s="4"/>
      <c r="M317" s="4"/>
      <c r="N317" s="4">
        <f>IFERROR(__xludf.DUMMYFUNCTION("""COMPUTED_VALUE"""),0.8639308672898096)</f>
        <v>0.8639308673</v>
      </c>
      <c r="O317" s="4"/>
      <c r="P317" s="4"/>
      <c r="Q317" s="4">
        <f>IFERROR(__xludf.DUMMYFUNCTION("""COMPUTED_VALUE"""),8.651062755033593)</f>
        <v>8.651062755</v>
      </c>
      <c r="R317" s="4"/>
      <c r="S317" s="4"/>
      <c r="T317" s="4">
        <f>IFERROR(__xludf.DUMMYFUNCTION("""COMPUTED_VALUE"""),10.75688788821543)</f>
        <v>10.75688789</v>
      </c>
      <c r="U317" s="4"/>
      <c r="V317" s="4"/>
      <c r="W317" s="4">
        <f>IFERROR(__xludf.DUMMYFUNCTION("""COMPUTED_VALUE"""),8.950924650560523)</f>
        <v>8.950924651</v>
      </c>
      <c r="X317" s="4"/>
      <c r="Y317" s="4"/>
      <c r="Z317" s="4">
        <f>IFERROR(__xludf.DUMMYFUNCTION("""COMPUTED_VALUE"""),22.90361789216786)</f>
        <v>22.90361789</v>
      </c>
      <c r="AA317" s="4"/>
      <c r="AB317" s="4"/>
      <c r="AC317" s="4">
        <f>IFERROR(__xludf.DUMMYFUNCTION("""COMPUTED_VALUE"""),35.98764602215442)</f>
        <v>35.98764602</v>
      </c>
      <c r="AD317" s="4"/>
      <c r="AE317" s="4"/>
      <c r="AF317" s="4">
        <f>IFERROR(__xludf.DUMMYFUNCTION("""COMPUTED_VALUE"""),39.613065308738214)</f>
        <v>39.61306531</v>
      </c>
      <c r="AG317" s="4"/>
      <c r="AH317" s="4"/>
      <c r="AI317" s="4">
        <f>IFERROR(__xludf.DUMMYFUNCTION("""COMPUTED_VALUE"""),29.679531050822163)</f>
        <v>29.67953105</v>
      </c>
      <c r="AJ317" s="4"/>
      <c r="AK317" s="4"/>
      <c r="AL317" s="4">
        <f>IFERROR(__xludf.DUMMYFUNCTION("""COMPUTED_VALUE"""),27.86242493558626)</f>
        <v>27.86242494</v>
      </c>
      <c r="AM317" s="4"/>
      <c r="AN317" s="4"/>
      <c r="AO317" s="4">
        <f>IFERROR(__xludf.DUMMYFUNCTION("""COMPUTED_VALUE"""),22.908587620685694)</f>
        <v>22.90858762</v>
      </c>
      <c r="AP317" s="4"/>
      <c r="AQ317" s="4"/>
      <c r="AR317" s="4">
        <f>IFERROR(__xludf.DUMMYFUNCTION("""COMPUTED_VALUE"""),17.67137881769048)</f>
        <v>17.67137882</v>
      </c>
      <c r="AS317" s="4"/>
      <c r="AT317" s="4"/>
      <c r="AU317" s="4">
        <f>IFERROR(__xludf.DUMMYFUNCTION("""COMPUTED_VALUE"""),16.097446361833704)</f>
        <v>16.09744636</v>
      </c>
      <c r="AV317" s="4"/>
      <c r="AW317" s="4"/>
      <c r="AX317" s="4">
        <f>IFERROR(__xludf.DUMMYFUNCTION("""COMPUTED_VALUE"""),5.041919879949262)</f>
        <v>5.04191988</v>
      </c>
      <c r="AY317" s="4"/>
      <c r="AZ317" s="4"/>
      <c r="BA317" s="4">
        <f>IFERROR(__xludf.DUMMYFUNCTION("""COMPUTED_VALUE"""),9.172981901824016)</f>
        <v>9.172981902</v>
      </c>
      <c r="BB317" s="4"/>
      <c r="BC317" s="4"/>
      <c r="BD317" s="4">
        <f>IFERROR(__xludf.DUMMYFUNCTION("""COMPUTED_VALUE"""),3.618427572863709)</f>
        <v>3.618427573</v>
      </c>
      <c r="BE317" s="4"/>
      <c r="BF317" s="4"/>
      <c r="BG317" s="4">
        <f>IFERROR(__xludf.DUMMYFUNCTION("""COMPUTED_VALUE"""),2.785920168685095)</f>
        <v>2.785920169</v>
      </c>
      <c r="BH317" s="4"/>
      <c r="BI317" s="4"/>
      <c r="BJ317" s="4"/>
      <c r="BK317" s="4"/>
    </row>
    <row r="318">
      <c r="A318" s="4"/>
      <c r="B318" s="4"/>
      <c r="C318" s="4"/>
      <c r="D318" s="4">
        <f>IFERROR(__xludf.DUMMYFUNCTION("""COMPUTED_VALUE"""),-78.97346736199081)</f>
        <v>-78.97346736</v>
      </c>
      <c r="E318" s="23">
        <f>IFERROR(__xludf.DUMMYFUNCTION("""COMPUTED_VALUE"""),2.076332525911994)</f>
        <v>2.076332526</v>
      </c>
      <c r="F318" s="4"/>
      <c r="G318" s="4"/>
      <c r="H318" s="4">
        <f>IFERROR(__xludf.DUMMYFUNCTION("""COMPUTED_VALUE"""),-1.0591396456333086)</f>
        <v>-1.059139646</v>
      </c>
      <c r="I318" s="4"/>
      <c r="J318" s="4"/>
      <c r="K318" s="4">
        <f>IFERROR(__xludf.DUMMYFUNCTION("""COMPUTED_VALUE"""),2.860560329351358)</f>
        <v>2.860560329</v>
      </c>
      <c r="L318" s="4"/>
      <c r="M318" s="4"/>
      <c r="N318" s="4">
        <f>IFERROR(__xludf.DUMMYFUNCTION("""COMPUTED_VALUE"""),-0.03702895423469954)</f>
        <v>-0.03702895423</v>
      </c>
      <c r="O318" s="4"/>
      <c r="P318" s="4"/>
      <c r="Q318" s="4">
        <f>IFERROR(__xludf.DUMMYFUNCTION("""COMPUTED_VALUE"""),5.536687007320438)</f>
        <v>5.536687007</v>
      </c>
      <c r="R318" s="4"/>
      <c r="S318" s="4"/>
      <c r="T318" s="4">
        <f>IFERROR(__xludf.DUMMYFUNCTION("""COMPUTED_VALUE"""),3.663542284795369)</f>
        <v>3.663542285</v>
      </c>
      <c r="U318" s="4"/>
      <c r="V318" s="4"/>
      <c r="W318" s="4">
        <f>IFERROR(__xludf.DUMMYFUNCTION("""COMPUTED_VALUE"""),4.068487522982025)</f>
        <v>4.068487523</v>
      </c>
      <c r="X318" s="4"/>
      <c r="Y318" s="4"/>
      <c r="Z318" s="4">
        <f>IFERROR(__xludf.DUMMYFUNCTION("""COMPUTED_VALUE"""),18.423414673133493)</f>
        <v>18.42341467</v>
      </c>
      <c r="AA318" s="4"/>
      <c r="AB318" s="4"/>
      <c r="AC318" s="4">
        <f>IFERROR(__xludf.DUMMYFUNCTION("""COMPUTED_VALUE"""),28.77252880796101)</f>
        <v>28.77252881</v>
      </c>
      <c r="AD318" s="4"/>
      <c r="AE318" s="4"/>
      <c r="AF318" s="4">
        <f>IFERROR(__xludf.DUMMYFUNCTION("""COMPUTED_VALUE"""),33.55943114131105)</f>
        <v>33.55943114</v>
      </c>
      <c r="AG318" s="4"/>
      <c r="AH318" s="4"/>
      <c r="AI318" s="4">
        <f>IFERROR(__xludf.DUMMYFUNCTION("""COMPUTED_VALUE"""),30.816416937930285)</f>
        <v>30.81641694</v>
      </c>
      <c r="AJ318" s="4"/>
      <c r="AK318" s="4"/>
      <c r="AL318" s="4">
        <f>IFERROR(__xludf.DUMMYFUNCTION("""COMPUTED_VALUE"""),27.54499873066044)</f>
        <v>27.54499873</v>
      </c>
      <c r="AM318" s="4"/>
      <c r="AN318" s="4"/>
      <c r="AO318" s="4">
        <f>IFERROR(__xludf.DUMMYFUNCTION("""COMPUTED_VALUE"""),27.28505004051408)</f>
        <v>27.28505004</v>
      </c>
      <c r="AP318" s="4"/>
      <c r="AQ318" s="4"/>
      <c r="AR318" s="4">
        <f>IFERROR(__xludf.DUMMYFUNCTION("""COMPUTED_VALUE"""),14.99084265627448)</f>
        <v>14.99084266</v>
      </c>
      <c r="AS318" s="4"/>
      <c r="AT318" s="4"/>
      <c r="AU318" s="4">
        <f>IFERROR(__xludf.DUMMYFUNCTION("""COMPUTED_VALUE"""),11.00949676833227)</f>
        <v>11.00949677</v>
      </c>
      <c r="AV318" s="4"/>
      <c r="AW318" s="4"/>
      <c r="AX318" s="4">
        <f>IFERROR(__xludf.DUMMYFUNCTION("""COMPUTED_VALUE"""),11.011614557752068)</f>
        <v>11.01161456</v>
      </c>
      <c r="AY318" s="4"/>
      <c r="AZ318" s="4"/>
      <c r="BA318" s="4">
        <f>IFERROR(__xludf.DUMMYFUNCTION("""COMPUTED_VALUE"""),5.724369064256734)</f>
        <v>5.724369064</v>
      </c>
      <c r="BB318" s="4"/>
      <c r="BC318" s="4"/>
      <c r="BD318" s="4">
        <f>IFERROR(__xludf.DUMMYFUNCTION("""COMPUTED_VALUE"""),3.8949558521097174)</f>
        <v>3.894955852</v>
      </c>
      <c r="BE318" s="4"/>
      <c r="BF318" s="4"/>
      <c r="BG318" s="4">
        <f>IFERROR(__xludf.DUMMYFUNCTION("""COMPUTED_VALUE"""),-1.0950097819689404)</f>
        <v>-1.095009782</v>
      </c>
      <c r="BH318" s="4"/>
      <c r="BI318" s="4"/>
      <c r="BJ318" s="4"/>
      <c r="BK318" s="4"/>
    </row>
    <row r="319">
      <c r="A319" s="4"/>
      <c r="B319" s="4"/>
      <c r="C319" s="4"/>
      <c r="D319" s="4">
        <f>IFERROR(__xludf.DUMMYFUNCTION("""COMPUTED_VALUE"""),-79.8917634947909)</f>
        <v>-79.89176349</v>
      </c>
      <c r="E319" s="23">
        <f>IFERROR(__xludf.DUMMYFUNCTION("""COMPUTED_VALUE"""),-1.8039026058942795)</f>
        <v>-1.803902606</v>
      </c>
      <c r="F319" s="4"/>
      <c r="G319" s="4"/>
      <c r="H319" s="4">
        <f>IFERROR(__xludf.DUMMYFUNCTION("""COMPUTED_VALUE"""),-1.9620247398428887)</f>
        <v>-1.96202474</v>
      </c>
      <c r="I319" s="4"/>
      <c r="J319" s="4"/>
      <c r="K319" s="4">
        <f>IFERROR(__xludf.DUMMYFUNCTION("""COMPUTED_VALUE"""),7.87047332360936)</f>
        <v>7.870473324</v>
      </c>
      <c r="L319" s="4"/>
      <c r="M319" s="4"/>
      <c r="N319" s="4">
        <f>IFERROR(__xludf.DUMMYFUNCTION("""COMPUTED_VALUE"""),-1.802992067008745)</f>
        <v>-1.802992067</v>
      </c>
      <c r="O319" s="4"/>
      <c r="P319" s="4"/>
      <c r="Q319" s="4">
        <f>IFERROR(__xludf.DUMMYFUNCTION("""COMPUTED_VALUE"""),4.377948609930115)</f>
        <v>4.37794861</v>
      </c>
      <c r="R319" s="4"/>
      <c r="S319" s="4"/>
      <c r="T319" s="4">
        <f>IFERROR(__xludf.DUMMYFUNCTION("""COMPUTED_VALUE"""),7.379926949353376)</f>
        <v>7.379926949</v>
      </c>
      <c r="U319" s="4"/>
      <c r="V319" s="4"/>
      <c r="W319" s="4">
        <f>IFERROR(__xludf.DUMMYFUNCTION("""COMPUTED_VALUE"""),6.327149648339514)</f>
        <v>6.327149648</v>
      </c>
      <c r="X319" s="4"/>
      <c r="Y319" s="4"/>
      <c r="Z319" s="4">
        <f>IFERROR(__xludf.DUMMYFUNCTION("""COMPUTED_VALUE"""),19.45218906272123)</f>
        <v>19.45218906</v>
      </c>
      <c r="AA319" s="4"/>
      <c r="AB319" s="4"/>
      <c r="AC319" s="4">
        <f>IFERROR(__xludf.DUMMYFUNCTION("""COMPUTED_VALUE"""),29.847376646317457)</f>
        <v>29.84737665</v>
      </c>
      <c r="AD319" s="4"/>
      <c r="AE319" s="4"/>
      <c r="AF319" s="4">
        <f>IFERROR(__xludf.DUMMYFUNCTION("""COMPUTED_VALUE"""),31.11560825308368)</f>
        <v>31.11560825</v>
      </c>
      <c r="AG319" s="4"/>
      <c r="AH319" s="4"/>
      <c r="AI319" s="4">
        <f>IFERROR(__xludf.DUMMYFUNCTION("""COMPUTED_VALUE"""),23.263794919584143)</f>
        <v>23.26379492</v>
      </c>
      <c r="AJ319" s="4"/>
      <c r="AK319" s="4"/>
      <c r="AL319" s="4">
        <f>IFERROR(__xludf.DUMMYFUNCTION("""COMPUTED_VALUE"""),24.924093076290546)</f>
        <v>24.92409308</v>
      </c>
      <c r="AM319" s="4"/>
      <c r="AN319" s="4"/>
      <c r="AO319" s="4">
        <f>IFERROR(__xludf.DUMMYFUNCTION("""COMPUTED_VALUE"""),13.251615099999299)</f>
        <v>13.2516151</v>
      </c>
      <c r="AP319" s="4"/>
      <c r="AQ319" s="4"/>
      <c r="AR319" s="4">
        <f>IFERROR(__xludf.DUMMYFUNCTION("""COMPUTED_VALUE"""),10.47408434214077)</f>
        <v>10.47408434</v>
      </c>
      <c r="AS319" s="4"/>
      <c r="AT319" s="4"/>
      <c r="AU319" s="4">
        <f>IFERROR(__xludf.DUMMYFUNCTION("""COMPUTED_VALUE"""),12.830641312994828)</f>
        <v>12.83064131</v>
      </c>
      <c r="AV319" s="4"/>
      <c r="AW319" s="4"/>
      <c r="AX319" s="4">
        <f>IFERROR(__xludf.DUMMYFUNCTION("""COMPUTED_VALUE"""),5.87598869171245)</f>
        <v>5.875988692</v>
      </c>
      <c r="AY319" s="4"/>
      <c r="AZ319" s="4"/>
      <c r="BA319" s="4">
        <f>IFERROR(__xludf.DUMMYFUNCTION("""COMPUTED_VALUE"""),11.56292750448921)</f>
        <v>11.5629275</v>
      </c>
      <c r="BB319" s="4"/>
      <c r="BC319" s="4"/>
      <c r="BD319" s="4">
        <f>IFERROR(__xludf.DUMMYFUNCTION("""COMPUTED_VALUE"""),0.7346658068981355)</f>
        <v>0.7346658069</v>
      </c>
      <c r="BE319" s="4"/>
      <c r="BF319" s="4"/>
      <c r="BG319" s="4">
        <f>IFERROR(__xludf.DUMMYFUNCTION("""COMPUTED_VALUE"""),-0.3171552157903079)</f>
        <v>-0.3171552158</v>
      </c>
      <c r="BH319" s="4"/>
      <c r="BI319" s="4"/>
      <c r="BJ319" s="4"/>
      <c r="BK319" s="4"/>
    </row>
    <row r="320">
      <c r="A320" s="4"/>
      <c r="B320" s="4"/>
      <c r="C320" s="4"/>
      <c r="D320" s="4">
        <f>IFERROR(__xludf.DUMMYFUNCTION("""COMPUTED_VALUE"""),-80.81005962759097)</f>
        <v>-80.81005963</v>
      </c>
      <c r="E320" s="23">
        <f>IFERROR(__xludf.DUMMYFUNCTION("""COMPUTED_VALUE"""),6.646316119783194)</f>
        <v>6.64631612</v>
      </c>
      <c r="F320" s="4"/>
      <c r="G320" s="4"/>
      <c r="H320" s="4">
        <f>IFERROR(__xludf.DUMMYFUNCTION("""COMPUTED_VALUE"""),6.5150407050814465)</f>
        <v>6.515040705</v>
      </c>
      <c r="I320" s="4"/>
      <c r="J320" s="4"/>
      <c r="K320" s="4">
        <f>IFERROR(__xludf.DUMMYFUNCTION("""COMPUTED_VALUE"""),9.919386733347267)</f>
        <v>9.919386733</v>
      </c>
      <c r="L320" s="4"/>
      <c r="M320" s="4"/>
      <c r="N320" s="4">
        <f>IFERROR(__xludf.DUMMYFUNCTION("""COMPUTED_VALUE"""),8.553447876903022)</f>
        <v>8.553447877</v>
      </c>
      <c r="O320" s="4"/>
      <c r="P320" s="4"/>
      <c r="Q320" s="4">
        <f>IFERROR(__xludf.DUMMYFUNCTION("""COMPUTED_VALUE"""),5.7712207257638966)</f>
        <v>5.771220726</v>
      </c>
      <c r="R320" s="4"/>
      <c r="S320" s="4"/>
      <c r="T320" s="4">
        <f>IFERROR(__xludf.DUMMYFUNCTION("""COMPUTED_VALUE"""),7.358708720538061)</f>
        <v>7.358708721</v>
      </c>
      <c r="U320" s="4"/>
      <c r="V320" s="4"/>
      <c r="W320" s="4">
        <f>IFERROR(__xludf.DUMMYFUNCTION("""COMPUTED_VALUE"""),15.31146199375786)</f>
        <v>15.31146199</v>
      </c>
      <c r="X320" s="4"/>
      <c r="Y320" s="4"/>
      <c r="Z320" s="4">
        <f>IFERROR(__xludf.DUMMYFUNCTION("""COMPUTED_VALUE"""),23.31707839689267)</f>
        <v>23.3170784</v>
      </c>
      <c r="AA320" s="4"/>
      <c r="AB320" s="4"/>
      <c r="AC320" s="4">
        <f>IFERROR(__xludf.DUMMYFUNCTION("""COMPUTED_VALUE"""),30.725639663088828)</f>
        <v>30.72563966</v>
      </c>
      <c r="AD320" s="4"/>
      <c r="AE320" s="4"/>
      <c r="AF320" s="4">
        <f>IFERROR(__xludf.DUMMYFUNCTION("""COMPUTED_VALUE"""),25.207852875960782)</f>
        <v>25.20785288</v>
      </c>
      <c r="AG320" s="4"/>
      <c r="AH320" s="4"/>
      <c r="AI320" s="4">
        <f>IFERROR(__xludf.DUMMYFUNCTION("""COMPUTED_VALUE"""),23.393648635392708)</f>
        <v>23.39364864</v>
      </c>
      <c r="AJ320" s="4"/>
      <c r="AK320" s="4"/>
      <c r="AL320" s="4">
        <f>IFERROR(__xludf.DUMMYFUNCTION("""COMPUTED_VALUE"""),24.78419687651069)</f>
        <v>24.78419688</v>
      </c>
      <c r="AM320" s="4"/>
      <c r="AN320" s="4"/>
      <c r="AO320" s="4">
        <f>IFERROR(__xludf.DUMMYFUNCTION("""COMPUTED_VALUE"""),7.004120201836315)</f>
        <v>7.004120202</v>
      </c>
      <c r="AP320" s="4"/>
      <c r="AQ320" s="4"/>
      <c r="AR320" s="4">
        <f>IFERROR(__xludf.DUMMYFUNCTION("""COMPUTED_VALUE"""),16.456714794951722)</f>
        <v>16.45671479</v>
      </c>
      <c r="AS320" s="4"/>
      <c r="AT320" s="4"/>
      <c r="AU320" s="4">
        <f>IFERROR(__xludf.DUMMYFUNCTION("""COMPUTED_VALUE"""),11.734218176798038)</f>
        <v>11.73421818</v>
      </c>
      <c r="AV320" s="4"/>
      <c r="AW320" s="4"/>
      <c r="AX320" s="4">
        <f>IFERROR(__xludf.DUMMYFUNCTION("""COMPUTED_VALUE"""),7.520940819015038)</f>
        <v>7.520940819</v>
      </c>
      <c r="AY320" s="4"/>
      <c r="AZ320" s="4"/>
      <c r="BA320" s="4">
        <f>IFERROR(__xludf.DUMMYFUNCTION("""COMPUTED_VALUE"""),11.667995969097774)</f>
        <v>11.66799597</v>
      </c>
      <c r="BB320" s="4"/>
      <c r="BC320" s="4"/>
      <c r="BD320" s="4">
        <f>IFERROR(__xludf.DUMMYFUNCTION("""COMPUTED_VALUE"""),6.024272073881889)</f>
        <v>6.024272074</v>
      </c>
      <c r="BE320" s="4"/>
      <c r="BF320" s="4"/>
      <c r="BG320" s="4">
        <f>IFERROR(__xludf.DUMMYFUNCTION("""COMPUTED_VALUE"""),-0.09985435655448782)</f>
        <v>-0.09985435655</v>
      </c>
      <c r="BH320" s="4"/>
      <c r="BI320" s="4"/>
      <c r="BJ320" s="4"/>
      <c r="BK320" s="4"/>
    </row>
    <row r="321">
      <c r="A321" s="4"/>
      <c r="B321" s="4"/>
      <c r="C321" s="4"/>
      <c r="D321" s="4">
        <f>IFERROR(__xludf.DUMMYFUNCTION("""COMPUTED_VALUE"""),-81.72835575822575)</f>
        <v>-81.72835576</v>
      </c>
      <c r="E321" s="23">
        <f>IFERROR(__xludf.DUMMYFUNCTION("""COMPUTED_VALUE"""),5.307669146183741)</f>
        <v>5.307669146</v>
      </c>
      <c r="F321" s="4"/>
      <c r="G321" s="4"/>
      <c r="H321" s="4">
        <f>IFERROR(__xludf.DUMMYFUNCTION("""COMPUTED_VALUE"""),0.6185636234246203)</f>
        <v>0.6185636234</v>
      </c>
      <c r="I321" s="4"/>
      <c r="J321" s="4"/>
      <c r="K321" s="4">
        <f>IFERROR(__xludf.DUMMYFUNCTION("""COMPUTED_VALUE"""),10.016051440347042)</f>
        <v>10.01605144</v>
      </c>
      <c r="L321" s="4"/>
      <c r="M321" s="4"/>
      <c r="N321" s="4">
        <f>IFERROR(__xludf.DUMMYFUNCTION("""COMPUTED_VALUE"""),4.828213620795395)</f>
        <v>4.828213621</v>
      </c>
      <c r="O321" s="4"/>
      <c r="P321" s="4"/>
      <c r="Q321" s="4">
        <f>IFERROR(__xludf.DUMMYFUNCTION("""COMPUTED_VALUE"""),9.964592187170581)</f>
        <v>9.964592187</v>
      </c>
      <c r="R321" s="4"/>
      <c r="S321" s="4"/>
      <c r="T321" s="4">
        <f>IFERROR(__xludf.DUMMYFUNCTION("""COMPUTED_VALUE"""),7.481822382088353)</f>
        <v>7.481822382</v>
      </c>
      <c r="U321" s="4"/>
      <c r="V321" s="4"/>
      <c r="W321" s="4">
        <f>IFERROR(__xludf.DUMMYFUNCTION("""COMPUTED_VALUE"""),5.739846739325571)</f>
        <v>5.739846739</v>
      </c>
      <c r="X321" s="4"/>
      <c r="Y321" s="4"/>
      <c r="Z321" s="4">
        <f>IFERROR(__xludf.DUMMYFUNCTION("""COMPUTED_VALUE"""),15.903415370641312)</f>
        <v>15.90341537</v>
      </c>
      <c r="AA321" s="4"/>
      <c r="AB321" s="4"/>
      <c r="AC321" s="4">
        <f>IFERROR(__xludf.DUMMYFUNCTION("""COMPUTED_VALUE"""),18.21690310335771)</f>
        <v>18.2169031</v>
      </c>
      <c r="AD321" s="4"/>
      <c r="AE321" s="4"/>
      <c r="AF321" s="4">
        <f>IFERROR(__xludf.DUMMYFUNCTION("""COMPUTED_VALUE"""),18.420232820757633)</f>
        <v>18.42023282</v>
      </c>
      <c r="AG321" s="4"/>
      <c r="AH321" s="4"/>
      <c r="AI321" s="4">
        <f>IFERROR(__xludf.DUMMYFUNCTION("""COMPUTED_VALUE"""),25.023132937979483)</f>
        <v>25.02313294</v>
      </c>
      <c r="AJ321" s="4"/>
      <c r="AK321" s="4"/>
      <c r="AL321" s="4">
        <f>IFERROR(__xludf.DUMMYFUNCTION("""COMPUTED_VALUE"""),16.340398375804057)</f>
        <v>16.34039838</v>
      </c>
      <c r="AM321" s="4"/>
      <c r="AN321" s="4"/>
      <c r="AO321" s="4">
        <f>IFERROR(__xludf.DUMMYFUNCTION("""COMPUTED_VALUE"""),13.132442781994143)</f>
        <v>13.13244278</v>
      </c>
      <c r="AP321" s="4"/>
      <c r="AQ321" s="4"/>
      <c r="AR321" s="4">
        <f>IFERROR(__xludf.DUMMYFUNCTION("""COMPUTED_VALUE"""),12.284195631142552)</f>
        <v>12.28419563</v>
      </c>
      <c r="AS321" s="4"/>
      <c r="AT321" s="4"/>
      <c r="AU321" s="4">
        <f>IFERROR(__xludf.DUMMYFUNCTION("""COMPUTED_VALUE"""),3.91887510731317)</f>
        <v>3.918875107</v>
      </c>
      <c r="AV321" s="4"/>
      <c r="AW321" s="4"/>
      <c r="AX321" s="4">
        <f>IFERROR(__xludf.DUMMYFUNCTION("""COMPUTED_VALUE"""),10.320717077548181)</f>
        <v>10.32071708</v>
      </c>
      <c r="AY321" s="4"/>
      <c r="AZ321" s="4"/>
      <c r="BA321" s="4">
        <f>IFERROR(__xludf.DUMMYFUNCTION("""COMPUTED_VALUE"""),4.584904051917761)</f>
        <v>4.584904052</v>
      </c>
      <c r="BB321" s="4"/>
      <c r="BC321" s="4"/>
      <c r="BD321" s="4">
        <f>IFERROR(__xludf.DUMMYFUNCTION("""COMPUTED_VALUE"""),4.0038132731717155)</f>
        <v>4.003813273</v>
      </c>
      <c r="BE321" s="4"/>
      <c r="BF321" s="4"/>
      <c r="BG321" s="4">
        <f>IFERROR(__xludf.DUMMYFUNCTION("""COMPUTED_VALUE"""),4.437637106783939)</f>
        <v>4.437637107</v>
      </c>
      <c r="BH321" s="4"/>
      <c r="BI321" s="4"/>
      <c r="BJ321" s="4"/>
      <c r="BK321" s="4"/>
    </row>
    <row r="322">
      <c r="A322" s="4"/>
      <c r="B322" s="4"/>
      <c r="C322" s="4"/>
      <c r="D322" s="4">
        <f>IFERROR(__xludf.DUMMYFUNCTION("""COMPUTED_VALUE"""),-82.64665189102581)</f>
        <v>-82.64665189</v>
      </c>
      <c r="E322" s="23">
        <f>IFERROR(__xludf.DUMMYFUNCTION("""COMPUTED_VALUE"""),3.32691223266346)</f>
        <v>3.326912233</v>
      </c>
      <c r="F322" s="4"/>
      <c r="G322" s="4"/>
      <c r="H322" s="4">
        <f>IFERROR(__xludf.DUMMYFUNCTION("""COMPUTED_VALUE"""),-1.272026395458795)</f>
        <v>-1.272026395</v>
      </c>
      <c r="I322" s="4"/>
      <c r="J322" s="4"/>
      <c r="K322" s="4">
        <f>IFERROR(__xludf.DUMMYFUNCTION("""COMPUTED_VALUE"""),-0.5336916923261015)</f>
        <v>-0.5336916923</v>
      </c>
      <c r="L322" s="4"/>
      <c r="M322" s="4"/>
      <c r="N322" s="4">
        <f>IFERROR(__xludf.DUMMYFUNCTION("""COMPUTED_VALUE"""),7.546560981529581)</f>
        <v>7.546560982</v>
      </c>
      <c r="O322" s="4"/>
      <c r="P322" s="4"/>
      <c r="Q322" s="4">
        <f>IFERROR(__xludf.DUMMYFUNCTION("""COMPUTED_VALUE"""),4.236904364879365)</f>
        <v>4.236904365</v>
      </c>
      <c r="R322" s="4"/>
      <c r="S322" s="4"/>
      <c r="T322" s="4">
        <f>IFERROR(__xludf.DUMMYFUNCTION("""COMPUTED_VALUE"""),9.689826314217726)</f>
        <v>9.689826314</v>
      </c>
      <c r="U322" s="4"/>
      <c r="V322" s="4"/>
      <c r="W322" s="4">
        <f>IFERROR(__xludf.DUMMYFUNCTION("""COMPUTED_VALUE"""),9.441858764281221)</f>
        <v>9.441858764</v>
      </c>
      <c r="X322" s="4"/>
      <c r="Y322" s="4"/>
      <c r="Z322" s="4">
        <f>IFERROR(__xludf.DUMMYFUNCTION("""COMPUTED_VALUE"""),10.3204240991019)</f>
        <v>10.3204241</v>
      </c>
      <c r="AA322" s="4"/>
      <c r="AB322" s="4"/>
      <c r="AC322" s="4">
        <f>IFERROR(__xludf.DUMMYFUNCTION("""COMPUTED_VALUE"""),26.43450652487894)</f>
        <v>26.43450652</v>
      </c>
      <c r="AD322" s="4"/>
      <c r="AE322" s="4"/>
      <c r="AF322" s="4">
        <f>IFERROR(__xludf.DUMMYFUNCTION("""COMPUTED_VALUE"""),21.908580038551804)</f>
        <v>21.90858004</v>
      </c>
      <c r="AG322" s="4"/>
      <c r="AH322" s="4"/>
      <c r="AI322" s="4">
        <f>IFERROR(__xludf.DUMMYFUNCTION("""COMPUTED_VALUE"""),23.32316136060939)</f>
        <v>23.32316136</v>
      </c>
      <c r="AJ322" s="4"/>
      <c r="AK322" s="4"/>
      <c r="AL322" s="4">
        <f>IFERROR(__xludf.DUMMYFUNCTION("""COMPUTED_VALUE"""),20.12127617302201)</f>
        <v>20.12127617</v>
      </c>
      <c r="AM322" s="4"/>
      <c r="AN322" s="4"/>
      <c r="AO322" s="4">
        <f>IFERROR(__xludf.DUMMYFUNCTION("""COMPUTED_VALUE"""),17.056358606827928)</f>
        <v>17.05635861</v>
      </c>
      <c r="AP322" s="4"/>
      <c r="AQ322" s="4"/>
      <c r="AR322" s="4">
        <f>IFERROR(__xludf.DUMMYFUNCTION("""COMPUTED_VALUE"""),18.477160796957094)</f>
        <v>18.4771608</v>
      </c>
      <c r="AS322" s="4"/>
      <c r="AT322" s="4"/>
      <c r="AU322" s="4">
        <f>IFERROR(__xludf.DUMMYFUNCTION("""COMPUTED_VALUE"""),9.792584511157372)</f>
        <v>9.792584511</v>
      </c>
      <c r="AV322" s="4"/>
      <c r="AW322" s="4"/>
      <c r="AX322" s="4">
        <f>IFERROR(__xludf.DUMMYFUNCTION("""COMPUTED_VALUE"""),7.583828888374001)</f>
        <v>7.583828888</v>
      </c>
      <c r="AY322" s="4"/>
      <c r="AZ322" s="4"/>
      <c r="BA322" s="4">
        <f>IFERROR(__xludf.DUMMYFUNCTION("""COMPUTED_VALUE"""),12.12399203579588)</f>
        <v>12.12399204</v>
      </c>
      <c r="BB322" s="4"/>
      <c r="BC322" s="4"/>
      <c r="BD322" s="4">
        <f>IFERROR(__xludf.DUMMYFUNCTION("""COMPUTED_VALUE"""),5.2701772990357085)</f>
        <v>5.270177299</v>
      </c>
      <c r="BE322" s="4"/>
      <c r="BF322" s="4"/>
      <c r="BG322" s="4">
        <f>IFERROR(__xludf.DUMMYFUNCTION("""COMPUTED_VALUE"""),6.721762874150386)</f>
        <v>6.721762874</v>
      </c>
      <c r="BH322" s="4"/>
      <c r="BI322" s="4"/>
      <c r="BJ322" s="4"/>
      <c r="BK322" s="4"/>
    </row>
    <row r="323">
      <c r="A323" s="4"/>
      <c r="B323" s="4"/>
      <c r="C323" s="4"/>
      <c r="D323" s="4">
        <f>IFERROR(__xludf.DUMMYFUNCTION("""COMPUTED_VALUE"""),-83.56494802377554)</f>
        <v>-83.56494802</v>
      </c>
      <c r="E323" s="23">
        <f>IFERROR(__xludf.DUMMYFUNCTION("""COMPUTED_VALUE"""),3.358905759946026)</f>
        <v>3.35890576</v>
      </c>
      <c r="F323" s="4"/>
      <c r="G323" s="4"/>
      <c r="H323" s="4">
        <f>IFERROR(__xludf.DUMMYFUNCTION("""COMPUTED_VALUE"""),-0.4022287353303682)</f>
        <v>-0.4022287353</v>
      </c>
      <c r="I323" s="4"/>
      <c r="J323" s="4"/>
      <c r="K323" s="4">
        <f>IFERROR(__xludf.DUMMYFUNCTION("""COMPUTED_VALUE"""),6.557168546128992)</f>
        <v>6.557168546</v>
      </c>
      <c r="L323" s="4"/>
      <c r="M323" s="4"/>
      <c r="N323" s="4">
        <f>IFERROR(__xludf.DUMMYFUNCTION("""COMPUTED_VALUE"""),0.25870472581885906)</f>
        <v>0.2587047258</v>
      </c>
      <c r="O323" s="4"/>
      <c r="P323" s="4"/>
      <c r="Q323" s="4">
        <f>IFERROR(__xludf.DUMMYFUNCTION("""COMPUTED_VALUE"""),1.6660957442514928)</f>
        <v>1.666095744</v>
      </c>
      <c r="R323" s="4"/>
      <c r="S323" s="4"/>
      <c r="T323" s="4">
        <f>IFERROR(__xludf.DUMMYFUNCTION("""COMPUTED_VALUE"""),7.3244647911096195)</f>
        <v>7.324464791</v>
      </c>
      <c r="U323" s="4"/>
      <c r="V323" s="4"/>
      <c r="W323" s="4">
        <f>IFERROR(__xludf.DUMMYFUNCTION("""COMPUTED_VALUE"""),7.339267291008639)</f>
        <v>7.339267291</v>
      </c>
      <c r="X323" s="4"/>
      <c r="Y323" s="4"/>
      <c r="Z323" s="4">
        <f>IFERROR(__xludf.DUMMYFUNCTION("""COMPUTED_VALUE"""),14.513727702669485)</f>
        <v>14.5137277</v>
      </c>
      <c r="AA323" s="4"/>
      <c r="AB323" s="4"/>
      <c r="AC323" s="4">
        <f>IFERROR(__xludf.DUMMYFUNCTION("""COMPUTED_VALUE"""),25.254184105102297)</f>
        <v>25.25418411</v>
      </c>
      <c r="AD323" s="4"/>
      <c r="AE323" s="4"/>
      <c r="AF323" s="4">
        <f>IFERROR(__xludf.DUMMYFUNCTION("""COMPUTED_VALUE"""),13.665192676359993)</f>
        <v>13.66519268</v>
      </c>
      <c r="AG323" s="4"/>
      <c r="AH323" s="4"/>
      <c r="AI323" s="4">
        <f>IFERROR(__xludf.DUMMYFUNCTION("""COMPUTED_VALUE"""),15.34810008516314)</f>
        <v>15.34810009</v>
      </c>
      <c r="AJ323" s="4"/>
      <c r="AK323" s="4"/>
      <c r="AL323" s="4">
        <f>IFERROR(__xludf.DUMMYFUNCTION("""COMPUTED_VALUE"""),17.962806599235705)</f>
        <v>17.9628066</v>
      </c>
      <c r="AM323" s="4"/>
      <c r="AN323" s="4"/>
      <c r="AO323" s="4">
        <f>IFERROR(__xludf.DUMMYFUNCTION("""COMPUTED_VALUE"""),11.142252581167952)</f>
        <v>11.14225258</v>
      </c>
      <c r="AP323" s="4"/>
      <c r="AQ323" s="4"/>
      <c r="AR323" s="4">
        <f>IFERROR(__xludf.DUMMYFUNCTION("""COMPUTED_VALUE"""),14.1435618217443)</f>
        <v>14.14356182</v>
      </c>
      <c r="AS323" s="4"/>
      <c r="AT323" s="4"/>
      <c r="AU323" s="4">
        <f>IFERROR(__xludf.DUMMYFUNCTION("""COMPUTED_VALUE"""),3.7411418863010795)</f>
        <v>3.741141886</v>
      </c>
      <c r="AV323" s="4"/>
      <c r="AW323" s="4"/>
      <c r="AX323" s="4">
        <f>IFERROR(__xludf.DUMMYFUNCTION("""COMPUTED_VALUE"""),8.487661725056057)</f>
        <v>8.487661725</v>
      </c>
      <c r="AY323" s="4"/>
      <c r="AZ323" s="4"/>
      <c r="BA323" s="4">
        <f>IFERROR(__xludf.DUMMYFUNCTION("""COMPUTED_VALUE"""),4.549275491366188)</f>
        <v>4.549275491</v>
      </c>
      <c r="BB323" s="4"/>
      <c r="BC323" s="4"/>
      <c r="BD323" s="4">
        <f>IFERROR(__xludf.DUMMYFUNCTION("""COMPUTED_VALUE"""),7.4252156623250585)</f>
        <v>7.425215662</v>
      </c>
      <c r="BE323" s="4"/>
      <c r="BF323" s="4"/>
      <c r="BG323" s="4">
        <f>IFERROR(__xludf.DUMMYFUNCTION("""COMPUTED_VALUE"""),-0.357264318784587)</f>
        <v>-0.3572643188</v>
      </c>
      <c r="BH323" s="4"/>
      <c r="BI323" s="4"/>
      <c r="BJ323" s="4"/>
      <c r="BK323" s="4"/>
    </row>
    <row r="324">
      <c r="A324" s="4"/>
      <c r="B324" s="4"/>
      <c r="C324" s="4"/>
      <c r="D324" s="4">
        <f>IFERROR(__xludf.DUMMYFUNCTION("""COMPUTED_VALUE"""),-84.48324415657561)</f>
        <v>-84.48324416</v>
      </c>
      <c r="E324" s="23">
        <f>IFERROR(__xludf.DUMMYFUNCTION("""COMPUTED_VALUE"""),2.976483774819428)</f>
        <v>2.976483775</v>
      </c>
      <c r="F324" s="4"/>
      <c r="G324" s="4"/>
      <c r="H324" s="4">
        <f>IFERROR(__xludf.DUMMYFUNCTION("""COMPUTED_VALUE"""),0.5399087890941701)</f>
        <v>0.5399087891</v>
      </c>
      <c r="I324" s="4"/>
      <c r="J324" s="4"/>
      <c r="K324" s="4">
        <f>IFERROR(__xludf.DUMMYFUNCTION("""COMPUTED_VALUE"""),7.425599346559238)</f>
        <v>7.425599347</v>
      </c>
      <c r="L324" s="4"/>
      <c r="M324" s="4"/>
      <c r="N324" s="4">
        <f>IFERROR(__xludf.DUMMYFUNCTION("""COMPUTED_VALUE"""),9.658985563972294)</f>
        <v>9.658985564</v>
      </c>
      <c r="O324" s="4"/>
      <c r="P324" s="4"/>
      <c r="Q324" s="4">
        <f>IFERROR(__xludf.DUMMYFUNCTION("""COMPUTED_VALUE"""),4.926237948361461)</f>
        <v>4.926237948</v>
      </c>
      <c r="R324" s="4"/>
      <c r="S324" s="4"/>
      <c r="T324" s="4">
        <f>IFERROR(__xludf.DUMMYFUNCTION("""COMPUTED_VALUE"""),1.383133672259703)</f>
        <v>1.383133672</v>
      </c>
      <c r="U324" s="4"/>
      <c r="V324" s="4"/>
      <c r="W324" s="4">
        <f>IFERROR(__xludf.DUMMYFUNCTION("""COMPUTED_VALUE"""),1.0912751080446128)</f>
        <v>1.091275108</v>
      </c>
      <c r="X324" s="4"/>
      <c r="Y324" s="4"/>
      <c r="Z324" s="4">
        <f>IFERROR(__xludf.DUMMYFUNCTION("""COMPUTED_VALUE"""),14.661573263880314)</f>
        <v>14.66157326</v>
      </c>
      <c r="AA324" s="4"/>
      <c r="AB324" s="4"/>
      <c r="AC324" s="4">
        <f>IFERROR(__xludf.DUMMYFUNCTION("""COMPUTED_VALUE"""),16.973301462772895)</f>
        <v>16.97330146</v>
      </c>
      <c r="AD324" s="4"/>
      <c r="AE324" s="4"/>
      <c r="AF324" s="4">
        <f>IFERROR(__xludf.DUMMYFUNCTION("""COMPUTED_VALUE"""),18.296902569599638)</f>
        <v>18.29690257</v>
      </c>
      <c r="AG324" s="4"/>
      <c r="AH324" s="4"/>
      <c r="AI324" s="4">
        <f>IFERROR(__xludf.DUMMYFUNCTION("""COMPUTED_VALUE"""),9.139567355001532)</f>
        <v>9.139567355</v>
      </c>
      <c r="AJ324" s="4"/>
      <c r="AK324" s="4"/>
      <c r="AL324" s="4">
        <f>IFERROR(__xludf.DUMMYFUNCTION("""COMPUTED_VALUE"""),12.773598155857428)</f>
        <v>12.77359816</v>
      </c>
      <c r="AM324" s="4"/>
      <c r="AN324" s="4"/>
      <c r="AO324" s="4">
        <f>IFERROR(__xludf.DUMMYFUNCTION("""COMPUTED_VALUE"""),1.462628797945058)</f>
        <v>1.462628798</v>
      </c>
      <c r="AP324" s="4"/>
      <c r="AQ324" s="4"/>
      <c r="AR324" s="4">
        <f>IFERROR(__xludf.DUMMYFUNCTION("""COMPUTED_VALUE"""),10.387166142159344)</f>
        <v>10.38716614</v>
      </c>
      <c r="AS324" s="4"/>
      <c r="AT324" s="4"/>
      <c r="AU324" s="4">
        <f>IFERROR(__xludf.DUMMYFUNCTION("""COMPUTED_VALUE"""),7.2580123121259135)</f>
        <v>7.258012312</v>
      </c>
      <c r="AV324" s="4"/>
      <c r="AW324" s="4"/>
      <c r="AX324" s="4">
        <f>IFERROR(__xludf.DUMMYFUNCTION("""COMPUTED_VALUE"""),12.69329435954046)</f>
        <v>12.69329436</v>
      </c>
      <c r="AY324" s="4"/>
      <c r="AZ324" s="4"/>
      <c r="BA324" s="4">
        <f>IFERROR(__xludf.DUMMYFUNCTION("""COMPUTED_VALUE"""),3.2738338313923805)</f>
        <v>3.273833831</v>
      </c>
      <c r="BB324" s="4"/>
      <c r="BC324" s="4"/>
      <c r="BD324" s="4">
        <f>IFERROR(__xludf.DUMMYFUNCTION("""COMPUTED_VALUE"""),7.132672229409309)</f>
        <v>7.132672229</v>
      </c>
      <c r="BE324" s="4"/>
      <c r="BF324" s="4"/>
      <c r="BG324" s="4">
        <f>IFERROR(__xludf.DUMMYFUNCTION("""COMPUTED_VALUE"""),3.3944891197997435)</f>
        <v>3.39448912</v>
      </c>
      <c r="BH324" s="4"/>
      <c r="BI324" s="4"/>
      <c r="BJ324" s="4"/>
      <c r="BK324" s="4"/>
    </row>
    <row r="325">
      <c r="A325" s="4"/>
      <c r="B325" s="4"/>
      <c r="C325" s="4"/>
      <c r="D325" s="4">
        <f>IFERROR(__xludf.DUMMYFUNCTION("""COMPUTED_VALUE"""),-85.40154028726074)</f>
        <v>-85.40154029</v>
      </c>
      <c r="E325" s="23">
        <f>IFERROR(__xludf.DUMMYFUNCTION("""COMPUTED_VALUE"""),1.0848092937197862)</f>
        <v>1.084809294</v>
      </c>
      <c r="F325" s="4"/>
      <c r="G325" s="4"/>
      <c r="H325" s="4">
        <f>IFERROR(__xludf.DUMMYFUNCTION("""COMPUTED_VALUE"""),1.943422338834182)</f>
        <v>1.943422339</v>
      </c>
      <c r="I325" s="4"/>
      <c r="J325" s="4"/>
      <c r="K325" s="4">
        <f>IFERROR(__xludf.DUMMYFUNCTION("""COMPUTED_VALUE"""),3.0451304273888127)</f>
        <v>3.045130427</v>
      </c>
      <c r="L325" s="4"/>
      <c r="M325" s="4"/>
      <c r="N325" s="4">
        <f>IFERROR(__xludf.DUMMYFUNCTION("""COMPUTED_VALUE"""),7.9357701465423816)</f>
        <v>7.935770147</v>
      </c>
      <c r="O325" s="4"/>
      <c r="P325" s="4"/>
      <c r="Q325" s="4">
        <f>IFERROR(__xludf.DUMMYFUNCTION("""COMPUTED_VALUE"""),10.987452877823443)</f>
        <v>10.98745288</v>
      </c>
      <c r="R325" s="4"/>
      <c r="S325" s="4"/>
      <c r="T325" s="4">
        <f>IFERROR(__xludf.DUMMYFUNCTION("""COMPUTED_VALUE"""),6.175488910440606)</f>
        <v>6.17548891</v>
      </c>
      <c r="U325" s="4"/>
      <c r="V325" s="4"/>
      <c r="W325" s="4">
        <f>IFERROR(__xludf.DUMMYFUNCTION("""COMPUTED_VALUE"""),-2.5000854018552445)</f>
        <v>-2.500085402</v>
      </c>
      <c r="X325" s="4"/>
      <c r="Y325" s="4"/>
      <c r="Z325" s="4">
        <f>IFERROR(__xludf.DUMMYFUNCTION("""COMPUTED_VALUE"""),10.502142534555219)</f>
        <v>10.50214253</v>
      </c>
      <c r="AA325" s="4"/>
      <c r="AB325" s="4"/>
      <c r="AC325" s="4">
        <f>IFERROR(__xludf.DUMMYFUNCTION("""COMPUTED_VALUE"""),18.081576897171942)</f>
        <v>18.0815769</v>
      </c>
      <c r="AD325" s="4"/>
      <c r="AE325" s="4"/>
      <c r="AF325" s="4">
        <f>IFERROR(__xludf.DUMMYFUNCTION("""COMPUTED_VALUE"""),11.931597996614869)</f>
        <v>11.931598</v>
      </c>
      <c r="AG325" s="4"/>
      <c r="AH325" s="4"/>
      <c r="AI325" s="4">
        <f>IFERROR(__xludf.DUMMYFUNCTION("""COMPUTED_VALUE"""),12.357104571065008)</f>
        <v>12.35710457</v>
      </c>
      <c r="AJ325" s="4"/>
      <c r="AK325" s="4"/>
      <c r="AL325" s="4">
        <f>IFERROR(__xludf.DUMMYFUNCTION("""COMPUTED_VALUE"""),20.91989318784954)</f>
        <v>20.91989319</v>
      </c>
      <c r="AM325" s="4"/>
      <c r="AN325" s="4"/>
      <c r="AO325" s="4">
        <f>IFERROR(__xludf.DUMMYFUNCTION("""COMPUTED_VALUE"""),5.434865488260471)</f>
        <v>5.434865488</v>
      </c>
      <c r="AP325" s="4"/>
      <c r="AQ325" s="4"/>
      <c r="AR325" s="4">
        <f>IFERROR(__xludf.DUMMYFUNCTION("""COMPUTED_VALUE"""),14.061213757480743)</f>
        <v>14.06121376</v>
      </c>
      <c r="AS325" s="4"/>
      <c r="AT325" s="4"/>
      <c r="AU325" s="4">
        <f>IFERROR(__xludf.DUMMYFUNCTION("""COMPUTED_VALUE"""),3.4287090040484713)</f>
        <v>3.428709004</v>
      </c>
      <c r="AV325" s="4"/>
      <c r="AW325" s="4"/>
      <c r="AX325" s="4">
        <f>IFERROR(__xludf.DUMMYFUNCTION("""COMPUTED_VALUE"""),8.158956384090118)</f>
        <v>8.158956384</v>
      </c>
      <c r="AY325" s="4"/>
      <c r="AZ325" s="4"/>
      <c r="BA325" s="4">
        <f>IFERROR(__xludf.DUMMYFUNCTION("""COMPUTED_VALUE"""),9.581451064508542)</f>
        <v>9.581451065</v>
      </c>
      <c r="BB325" s="4"/>
      <c r="BC325" s="4"/>
      <c r="BD325" s="4">
        <f>IFERROR(__xludf.DUMMYFUNCTION("""COMPUTED_VALUE"""),8.923579692005092)</f>
        <v>8.923579692</v>
      </c>
      <c r="BE325" s="4"/>
      <c r="BF325" s="4"/>
      <c r="BG325" s="4">
        <f>IFERROR(__xludf.DUMMYFUNCTION("""COMPUTED_VALUE"""),1.6979404184989448)</f>
        <v>1.697940418</v>
      </c>
      <c r="BH325" s="4"/>
      <c r="BI325" s="4"/>
      <c r="BJ325" s="4"/>
      <c r="BK325" s="4"/>
    </row>
    <row r="326">
      <c r="A326" s="4"/>
      <c r="B326" s="4"/>
      <c r="C326" s="4"/>
      <c r="D326" s="4">
        <f>IFERROR(__xludf.DUMMYFUNCTION("""COMPUTED_VALUE"""),-86.31983642001046)</f>
        <v>-86.31983642</v>
      </c>
      <c r="E326" s="23">
        <f>IFERROR(__xludf.DUMMYFUNCTION("""COMPUTED_VALUE"""),1.7989937354835774)</f>
        <v>1.798993735</v>
      </c>
      <c r="F326" s="4"/>
      <c r="G326" s="4"/>
      <c r="H326" s="4">
        <f>IFERROR(__xludf.DUMMYFUNCTION("""COMPUTED_VALUE"""),2.2298819091922155)</f>
        <v>2.229881909</v>
      </c>
      <c r="I326" s="4"/>
      <c r="J326" s="4"/>
      <c r="K326" s="4">
        <f>IFERROR(__xludf.DUMMYFUNCTION("""COMPUTED_VALUE"""),-1.1384590149694418)</f>
        <v>-1.138459015</v>
      </c>
      <c r="L326" s="4"/>
      <c r="M326" s="4"/>
      <c r="N326" s="4">
        <f>IFERROR(__xludf.DUMMYFUNCTION("""COMPUTED_VALUE"""),5.497513785752346)</f>
        <v>5.497513786</v>
      </c>
      <c r="O326" s="4"/>
      <c r="P326" s="4"/>
      <c r="Q326" s="4">
        <f>IFERROR(__xludf.DUMMYFUNCTION("""COMPUTED_VALUE"""),5.478127711463003)</f>
        <v>5.478127711</v>
      </c>
      <c r="R326" s="4"/>
      <c r="S326" s="4"/>
      <c r="T326" s="4">
        <f>IFERROR(__xludf.DUMMYFUNCTION("""COMPUTED_VALUE"""),5.56814213196634)</f>
        <v>5.568142132</v>
      </c>
      <c r="U326" s="4"/>
      <c r="V326" s="4"/>
      <c r="W326" s="4">
        <f>IFERROR(__xludf.DUMMYFUNCTION("""COMPUTED_VALUE"""),2.0230839489024675)</f>
        <v>2.023083949</v>
      </c>
      <c r="X326" s="4"/>
      <c r="Y326" s="4"/>
      <c r="Z326" s="4">
        <f>IFERROR(__xludf.DUMMYFUNCTION("""COMPUTED_VALUE"""),13.297387435054247)</f>
        <v>13.29738744</v>
      </c>
      <c r="AA326" s="4"/>
      <c r="AB326" s="4"/>
      <c r="AC326" s="4">
        <f>IFERROR(__xludf.DUMMYFUNCTION("""COMPUTED_VALUE"""),16.009234211317164)</f>
        <v>16.00923421</v>
      </c>
      <c r="AD326" s="4"/>
      <c r="AE326" s="4"/>
      <c r="AF326" s="4">
        <f>IFERROR(__xludf.DUMMYFUNCTION("""COMPUTED_VALUE"""),13.03734145157091)</f>
        <v>13.03734145</v>
      </c>
      <c r="AG326" s="4"/>
      <c r="AH326" s="4"/>
      <c r="AI326" s="4">
        <f>IFERROR(__xludf.DUMMYFUNCTION("""COMPUTED_VALUE"""),12.593261324264006)</f>
        <v>12.59326132</v>
      </c>
      <c r="AJ326" s="4"/>
      <c r="AK326" s="4"/>
      <c r="AL326" s="4">
        <f>IFERROR(__xludf.DUMMYFUNCTION("""COMPUTED_VALUE"""),15.027042550791123)</f>
        <v>15.02704255</v>
      </c>
      <c r="AM326" s="4"/>
      <c r="AN326" s="4"/>
      <c r="AO326" s="4">
        <f>IFERROR(__xludf.DUMMYFUNCTION("""COMPUTED_VALUE"""),4.885183637517798)</f>
        <v>4.885183638</v>
      </c>
      <c r="AP326" s="4"/>
      <c r="AQ326" s="4"/>
      <c r="AR326" s="4">
        <f>IFERROR(__xludf.DUMMYFUNCTION("""COMPUTED_VALUE"""),8.478099336137348)</f>
        <v>8.478099336</v>
      </c>
      <c r="AS326" s="4"/>
      <c r="AT326" s="4"/>
      <c r="AU326" s="4">
        <f>IFERROR(__xludf.DUMMYFUNCTION("""COMPUTED_VALUE"""),7.159640901157331)</f>
        <v>7.159640901</v>
      </c>
      <c r="AV326" s="4"/>
      <c r="AW326" s="4"/>
      <c r="AX326" s="4">
        <f>IFERROR(__xludf.DUMMYFUNCTION("""COMPUTED_VALUE"""),3.4176192822483245)</f>
        <v>3.417619282</v>
      </c>
      <c r="AY326" s="4"/>
      <c r="AZ326" s="4"/>
      <c r="BA326" s="4">
        <f>IFERROR(__xludf.DUMMYFUNCTION("""COMPUTED_VALUE"""),5.968332487818657)</f>
        <v>5.968332488</v>
      </c>
      <c r="BB326" s="4"/>
      <c r="BC326" s="4"/>
      <c r="BD326" s="4">
        <f>IFERROR(__xludf.DUMMYFUNCTION("""COMPUTED_VALUE"""),10.725093850360793)</f>
        <v>10.72509385</v>
      </c>
      <c r="BE326" s="4"/>
      <c r="BF326" s="4"/>
      <c r="BG326" s="4">
        <f>IFERROR(__xludf.DUMMYFUNCTION("""COMPUTED_VALUE"""),0.7847360482873)</f>
        <v>0.7847360483</v>
      </c>
      <c r="BH326" s="4"/>
      <c r="BI326" s="4"/>
      <c r="BJ326" s="4"/>
      <c r="BK326" s="4"/>
    </row>
    <row r="327">
      <c r="A327" s="4"/>
      <c r="B327" s="4"/>
      <c r="C327" s="4"/>
      <c r="D327" s="4">
        <f>IFERROR(__xludf.DUMMYFUNCTION("""COMPUTED_VALUE"""),-87.23813255281054)</f>
        <v>-87.23813255</v>
      </c>
      <c r="E327" s="23">
        <f>IFERROR(__xludf.DUMMYFUNCTION("""COMPUTED_VALUE"""),-1.727297536886283)</f>
        <v>-1.727297537</v>
      </c>
      <c r="F327" s="4"/>
      <c r="G327" s="4"/>
      <c r="H327" s="4">
        <f>IFERROR(__xludf.DUMMYFUNCTION("""COMPUTED_VALUE"""),-5.882796819040209)</f>
        <v>-5.882796819</v>
      </c>
      <c r="I327" s="4"/>
      <c r="J327" s="4"/>
      <c r="K327" s="4">
        <f>IFERROR(__xludf.DUMMYFUNCTION("""COMPUTED_VALUE"""),2.319121364707769)</f>
        <v>2.319121365</v>
      </c>
      <c r="L327" s="4"/>
      <c r="M327" s="4"/>
      <c r="N327" s="4">
        <f>IFERROR(__xludf.DUMMYFUNCTION("""COMPUTED_VALUE"""),3.0365353442953733)</f>
        <v>3.036535344</v>
      </c>
      <c r="O327" s="4"/>
      <c r="P327" s="4"/>
      <c r="Q327" s="4">
        <f>IFERROR(__xludf.DUMMYFUNCTION("""COMPUTED_VALUE"""),-1.5057218821352762)</f>
        <v>-1.505721882</v>
      </c>
      <c r="R327" s="4"/>
      <c r="S327" s="4"/>
      <c r="T327" s="4">
        <f>IFERROR(__xludf.DUMMYFUNCTION("""COMPUTED_VALUE"""),-0.49766298898725836)</f>
        <v>-0.497662989</v>
      </c>
      <c r="U327" s="4"/>
      <c r="V327" s="4"/>
      <c r="W327" s="4">
        <f>IFERROR(__xludf.DUMMYFUNCTION("""COMPUTED_VALUE"""),-2.1100114106623664)</f>
        <v>-2.110011411</v>
      </c>
      <c r="X327" s="4"/>
      <c r="Y327" s="4"/>
      <c r="Z327" s="4">
        <f>IFERROR(__xludf.DUMMYFUNCTION("""COMPUTED_VALUE"""),5.520441509334546)</f>
        <v>5.520441509</v>
      </c>
      <c r="AA327" s="4"/>
      <c r="AB327" s="4"/>
      <c r="AC327" s="4">
        <f>IFERROR(__xludf.DUMMYFUNCTION("""COMPUTED_VALUE"""),14.595712372947105)</f>
        <v>14.59571237</v>
      </c>
      <c r="AD327" s="4"/>
      <c r="AE327" s="4"/>
      <c r="AF327" s="4">
        <f>IFERROR(__xludf.DUMMYFUNCTION("""COMPUTED_VALUE"""),11.47386916436318)</f>
        <v>11.47386916</v>
      </c>
      <c r="AG327" s="4"/>
      <c r="AH327" s="4"/>
      <c r="AI327" s="4">
        <f>IFERROR(__xludf.DUMMYFUNCTION("""COMPUTED_VALUE"""),5.943932521762463)</f>
        <v>5.943932522</v>
      </c>
      <c r="AJ327" s="4"/>
      <c r="AK327" s="4"/>
      <c r="AL327" s="4">
        <f>IFERROR(__xludf.DUMMYFUNCTION("""COMPUTED_VALUE"""),8.07565982619002)</f>
        <v>8.075659826</v>
      </c>
      <c r="AM327" s="4"/>
      <c r="AN327" s="4"/>
      <c r="AO327" s="4">
        <f>IFERROR(__xludf.DUMMYFUNCTION("""COMPUTED_VALUE"""),1.2308459998639023)</f>
        <v>1.230846</v>
      </c>
      <c r="AP327" s="4"/>
      <c r="AQ327" s="4"/>
      <c r="AR327" s="4">
        <f>IFERROR(__xludf.DUMMYFUNCTION("""COMPUTED_VALUE"""),12.91786546709784)</f>
        <v>12.91786547</v>
      </c>
      <c r="AS327" s="4"/>
      <c r="AT327" s="4"/>
      <c r="AU327" s="4">
        <f>IFERROR(__xludf.DUMMYFUNCTION("""COMPUTED_VALUE"""),8.018184599040467)</f>
        <v>8.018184599</v>
      </c>
      <c r="AV327" s="4"/>
      <c r="AW327" s="4"/>
      <c r="AX327" s="4">
        <f>IFERROR(__xludf.DUMMYFUNCTION("""COMPUTED_VALUE"""),6.581858002699391)</f>
        <v>6.581858003</v>
      </c>
      <c r="AY327" s="4"/>
      <c r="AZ327" s="4"/>
      <c r="BA327" s="4">
        <f>IFERROR(__xludf.DUMMYFUNCTION("""COMPUTED_VALUE"""),8.719887053145499)</f>
        <v>8.719887053</v>
      </c>
      <c r="BB327" s="4"/>
      <c r="BC327" s="4"/>
      <c r="BD327" s="4">
        <f>IFERROR(__xludf.DUMMYFUNCTION("""COMPUTED_VALUE"""),8.841872606857919)</f>
        <v>8.841872607</v>
      </c>
      <c r="BE327" s="4"/>
      <c r="BF327" s="4"/>
      <c r="BG327" s="4">
        <f>IFERROR(__xludf.DUMMYFUNCTION("""COMPUTED_VALUE"""),-0.5261931221997997)</f>
        <v>-0.5261931222</v>
      </c>
      <c r="BH327" s="4"/>
      <c r="BI327" s="4"/>
      <c r="BJ327" s="4"/>
      <c r="BK327" s="4"/>
    </row>
    <row r="328">
      <c r="A328" s="4"/>
      <c r="B328" s="4"/>
      <c r="C328" s="4"/>
      <c r="D328" s="4">
        <f>IFERROR(__xludf.DUMMYFUNCTION("""COMPUTED_VALUE"""),-88.1564286834453)</f>
        <v>-88.15642868</v>
      </c>
      <c r="E328" s="23">
        <f>IFERROR(__xludf.DUMMYFUNCTION("""COMPUTED_VALUE"""),-4.103002633385813)</f>
        <v>-4.103002633</v>
      </c>
      <c r="F328" s="4"/>
      <c r="G328" s="4"/>
      <c r="H328" s="4">
        <f>IFERROR(__xludf.DUMMYFUNCTION("""COMPUTED_VALUE"""),-0.7891713027359515)</f>
        <v>-0.7891713027</v>
      </c>
      <c r="I328" s="4"/>
      <c r="J328" s="4"/>
      <c r="K328" s="4">
        <f>IFERROR(__xludf.DUMMYFUNCTION("""COMPUTED_VALUE"""),6.911613410395319)</f>
        <v>6.91161341</v>
      </c>
      <c r="L328" s="4"/>
      <c r="M328" s="4"/>
      <c r="N328" s="4">
        <f>IFERROR(__xludf.DUMMYFUNCTION("""COMPUTED_VALUE"""),1.4273986109454313)</f>
        <v>1.427398611</v>
      </c>
      <c r="O328" s="4"/>
      <c r="P328" s="4"/>
      <c r="Q328" s="4">
        <f>IFERROR(__xludf.DUMMYFUNCTION("""COMPUTED_VALUE"""),2.265202305872947)</f>
        <v>2.265202306</v>
      </c>
      <c r="R328" s="4"/>
      <c r="S328" s="4"/>
      <c r="T328" s="4">
        <f>IFERROR(__xludf.DUMMYFUNCTION("""COMPUTED_VALUE"""),2.439045540893403)</f>
        <v>2.439045541</v>
      </c>
      <c r="U328" s="4"/>
      <c r="V328" s="4"/>
      <c r="W328" s="4">
        <f>IFERROR(__xludf.DUMMYFUNCTION("""COMPUTED_VALUE"""),3.56887482655668)</f>
        <v>3.568874827</v>
      </c>
      <c r="X328" s="4"/>
      <c r="Y328" s="4"/>
      <c r="Z328" s="4">
        <f>IFERROR(__xludf.DUMMYFUNCTION("""COMPUTED_VALUE"""),-0.25689329676930583)</f>
        <v>-0.2568932968</v>
      </c>
      <c r="AA328" s="4"/>
      <c r="AB328" s="4"/>
      <c r="AC328" s="4">
        <f>IFERROR(__xludf.DUMMYFUNCTION("""COMPUTED_VALUE"""),9.899181882940866)</f>
        <v>9.899181883</v>
      </c>
      <c r="AD328" s="4"/>
      <c r="AE328" s="4"/>
      <c r="AF328" s="4">
        <f>IFERROR(__xludf.DUMMYFUNCTION("""COMPUTED_VALUE"""),12.948642050502542)</f>
        <v>12.94864205</v>
      </c>
      <c r="AG328" s="4"/>
      <c r="AH328" s="4"/>
      <c r="AI328" s="4">
        <f>IFERROR(__xludf.DUMMYFUNCTION("""COMPUTED_VALUE"""),4.439921950745486)</f>
        <v>4.439921951</v>
      </c>
      <c r="AJ328" s="4"/>
      <c r="AK328" s="4"/>
      <c r="AL328" s="4">
        <f>IFERROR(__xludf.DUMMYFUNCTION("""COMPUTED_VALUE"""),7.214971179414988)</f>
        <v>7.214971179</v>
      </c>
      <c r="AM328" s="4"/>
      <c r="AN328" s="4"/>
      <c r="AO328" s="4">
        <f>IFERROR(__xludf.DUMMYFUNCTION("""COMPUTED_VALUE"""),2.270036990769711)</f>
        <v>2.270036991</v>
      </c>
      <c r="AP328" s="4"/>
      <c r="AQ328" s="4"/>
      <c r="AR328" s="4">
        <f>IFERROR(__xludf.DUMMYFUNCTION("""COMPUTED_VALUE"""),9.325762036275592)</f>
        <v>9.325762036</v>
      </c>
      <c r="AS328" s="4"/>
      <c r="AT328" s="4"/>
      <c r="AU328" s="4">
        <f>IFERROR(__xludf.DUMMYFUNCTION("""COMPUTED_VALUE"""),4.932438759500428)</f>
        <v>4.93243876</v>
      </c>
      <c r="AV328" s="4"/>
      <c r="AW328" s="4"/>
      <c r="AX328" s="4">
        <f>IFERROR(__xludf.DUMMYFUNCTION("""COMPUTED_VALUE"""),7.765336914232023)</f>
        <v>7.765336914</v>
      </c>
      <c r="AY328" s="4"/>
      <c r="AZ328" s="4"/>
      <c r="BA328" s="4">
        <f>IFERROR(__xludf.DUMMYFUNCTION("""COMPUTED_VALUE"""),8.56660466749861)</f>
        <v>8.566604667</v>
      </c>
      <c r="BB328" s="4"/>
      <c r="BC328" s="4"/>
      <c r="BD328" s="4">
        <f>IFERROR(__xludf.DUMMYFUNCTION("""COMPUTED_VALUE"""),-0.4797968484818398)</f>
        <v>-0.4797968485</v>
      </c>
      <c r="BE328" s="4"/>
      <c r="BF328" s="4"/>
      <c r="BG328" s="4">
        <f>IFERROR(__xludf.DUMMYFUNCTION("""COMPUTED_VALUE"""),-0.5584811129106697)</f>
        <v>-0.5584811129</v>
      </c>
      <c r="BH328" s="4"/>
      <c r="BI328" s="4"/>
      <c r="BJ328" s="4"/>
      <c r="BK328" s="4"/>
    </row>
    <row r="329">
      <c r="A329" s="4"/>
      <c r="B329" s="4"/>
      <c r="C329" s="4"/>
      <c r="D329" s="4">
        <f>IFERROR(__xludf.DUMMYFUNCTION("""COMPUTED_VALUE"""),-89.07472481624538)</f>
        <v>-89.07472482</v>
      </c>
      <c r="E329" s="23">
        <f>IFERROR(__xludf.DUMMYFUNCTION("""COMPUTED_VALUE"""),4.119542740160853)</f>
        <v>4.11954274</v>
      </c>
      <c r="F329" s="4"/>
      <c r="G329" s="4"/>
      <c r="H329" s="4">
        <f>IFERROR(__xludf.DUMMYFUNCTION("""COMPUTED_VALUE"""),4.816092842981675)</f>
        <v>4.816092843</v>
      </c>
      <c r="I329" s="4"/>
      <c r="J329" s="4"/>
      <c r="K329" s="4">
        <f>IFERROR(__xludf.DUMMYFUNCTION("""COMPUTED_VALUE"""),1.7081107821675232)</f>
        <v>1.708110782</v>
      </c>
      <c r="L329" s="4"/>
      <c r="M329" s="4"/>
      <c r="N329" s="4">
        <f>IFERROR(__xludf.DUMMYFUNCTION("""COMPUTED_VALUE"""),-2.4097415901436534)</f>
        <v>-2.40974159</v>
      </c>
      <c r="O329" s="4"/>
      <c r="P329" s="4"/>
      <c r="Q329" s="4">
        <f>IFERROR(__xludf.DUMMYFUNCTION("""COMPUTED_VALUE"""),4.058181937918221)</f>
        <v>4.058181938</v>
      </c>
      <c r="R329" s="4"/>
      <c r="S329" s="4"/>
      <c r="T329" s="4">
        <f>IFERROR(__xludf.DUMMYFUNCTION("""COMPUTED_VALUE"""),-2.130019315656284)</f>
        <v>-2.130019316</v>
      </c>
      <c r="U329" s="4"/>
      <c r="V329" s="4"/>
      <c r="W329" s="4">
        <f>IFERROR(__xludf.DUMMYFUNCTION("""COMPUTED_VALUE"""),3.338644059163073)</f>
        <v>3.338644059</v>
      </c>
      <c r="X329" s="4"/>
      <c r="Y329" s="4"/>
      <c r="Z329" s="4">
        <f>IFERROR(__xludf.DUMMYFUNCTION("""COMPUTED_VALUE"""),5.603752929634197)</f>
        <v>5.60375293</v>
      </c>
      <c r="AA329" s="4"/>
      <c r="AB329" s="4"/>
      <c r="AC329" s="4">
        <f>IFERROR(__xludf.DUMMYFUNCTION("""COMPUTED_VALUE"""),11.604274286847215)</f>
        <v>11.60427429</v>
      </c>
      <c r="AD329" s="4"/>
      <c r="AE329" s="4"/>
      <c r="AF329" s="4">
        <f>IFERROR(__xludf.DUMMYFUNCTION("""COMPUTED_VALUE"""),2.40251749100878)</f>
        <v>2.402517491</v>
      </c>
      <c r="AG329" s="4"/>
      <c r="AH329" s="4"/>
      <c r="AI329" s="4">
        <f>IFERROR(__xludf.DUMMYFUNCTION("""COMPUTED_VALUE"""),2.8958040936049656)</f>
        <v>2.895804094</v>
      </c>
      <c r="AJ329" s="4"/>
      <c r="AK329" s="4"/>
      <c r="AL329" s="4">
        <f>IFERROR(__xludf.DUMMYFUNCTION("""COMPUTED_VALUE"""),6.713363979611017)</f>
        <v>6.71336398</v>
      </c>
      <c r="AM329" s="4"/>
      <c r="AN329" s="4"/>
      <c r="AO329" s="4">
        <f>IFERROR(__xludf.DUMMYFUNCTION("""COMPUTED_VALUE"""),1.195267748506069)</f>
        <v>1.195267749</v>
      </c>
      <c r="AP329" s="4"/>
      <c r="AQ329" s="4"/>
      <c r="AR329" s="4">
        <f>IFERROR(__xludf.DUMMYFUNCTION("""COMPUTED_VALUE"""),4.250741996033128)</f>
        <v>4.250741996</v>
      </c>
      <c r="AS329" s="4"/>
      <c r="AT329" s="4"/>
      <c r="AU329" s="4">
        <f>IFERROR(__xludf.DUMMYFUNCTION("""COMPUTED_VALUE"""),6.558957802457087)</f>
        <v>6.558957802</v>
      </c>
      <c r="AV329" s="4"/>
      <c r="AW329" s="4"/>
      <c r="AX329" s="4">
        <f>IFERROR(__xludf.DUMMYFUNCTION("""COMPUTED_VALUE"""),7.526443344933341)</f>
        <v>7.526443345</v>
      </c>
      <c r="AY329" s="4"/>
      <c r="AZ329" s="4"/>
      <c r="BA329" s="4">
        <f>IFERROR(__xludf.DUMMYFUNCTION("""COMPUTED_VALUE"""),11.721796271498306)</f>
        <v>11.72179627</v>
      </c>
      <c r="BB329" s="4"/>
      <c r="BC329" s="4"/>
      <c r="BD329" s="4">
        <f>IFERROR(__xludf.DUMMYFUNCTION("""COMPUTED_VALUE"""),7.648590222647556)</f>
        <v>7.648590223</v>
      </c>
      <c r="BE329" s="4"/>
      <c r="BF329" s="4"/>
      <c r="BG329" s="4">
        <f>IFERROR(__xludf.DUMMYFUNCTION("""COMPUTED_VALUE"""),5.75559964743951)</f>
        <v>5.755599647</v>
      </c>
      <c r="BH329" s="4"/>
      <c r="BI329" s="4"/>
      <c r="BJ329" s="4"/>
      <c r="BK329" s="4"/>
    </row>
    <row r="330">
      <c r="A330" s="4"/>
      <c r="B330" s="4"/>
      <c r="C330" s="4"/>
      <c r="D330" s="4">
        <f>IFERROR(__xludf.DUMMYFUNCTION("""COMPUTED_VALUE"""),-89.99302094904546)</f>
        <v>-89.99302095</v>
      </c>
      <c r="E330" s="23">
        <f>IFERROR(__xludf.DUMMYFUNCTION("""COMPUTED_VALUE"""),-0.24460379259369347)</f>
        <v>-0.2446037926</v>
      </c>
      <c r="F330" s="4"/>
      <c r="G330" s="4"/>
      <c r="H330" s="4">
        <f>IFERROR(__xludf.DUMMYFUNCTION("""COMPUTED_VALUE"""),5.10403211851883)</f>
        <v>5.104032119</v>
      </c>
      <c r="I330" s="4"/>
      <c r="J330" s="4"/>
      <c r="K330" s="4">
        <f>IFERROR(__xludf.DUMMYFUNCTION("""COMPUTED_VALUE"""),2.7561769883740226)</f>
        <v>2.756176988</v>
      </c>
      <c r="L330" s="4"/>
      <c r="M330" s="4"/>
      <c r="N330" s="4">
        <f>IFERROR(__xludf.DUMMYFUNCTION("""COMPUTED_VALUE"""),-2.286534655403841)</f>
        <v>-2.286534655</v>
      </c>
      <c r="O330" s="4"/>
      <c r="P330" s="4"/>
      <c r="Q330" s="4">
        <f>IFERROR(__xludf.DUMMYFUNCTION("""COMPUTED_VALUE"""),-0.5587511529805056)</f>
        <v>-0.558751153</v>
      </c>
      <c r="R330" s="4"/>
      <c r="S330" s="4"/>
      <c r="T330" s="4">
        <f>IFERROR(__xludf.DUMMYFUNCTION("""COMPUTED_VALUE"""),2.1640089494228505)</f>
        <v>2.164008949</v>
      </c>
      <c r="U330" s="4"/>
      <c r="V330" s="4"/>
      <c r="W330" s="4">
        <f>IFERROR(__xludf.DUMMYFUNCTION("""COMPUTED_VALUE"""),-2.016770089377758)</f>
        <v>-2.016770089</v>
      </c>
      <c r="X330" s="4"/>
      <c r="Y330" s="4"/>
      <c r="Z330" s="4">
        <f>IFERROR(__xludf.DUMMYFUNCTION("""COMPUTED_VALUE"""),4.3294309987886095)</f>
        <v>4.329430999</v>
      </c>
      <c r="AA330" s="4"/>
      <c r="AB330" s="4"/>
      <c r="AC330" s="4">
        <f>IFERROR(__xludf.DUMMYFUNCTION("""COMPUTED_VALUE"""),13.72863868427936)</f>
        <v>13.72863868</v>
      </c>
      <c r="AD330" s="4"/>
      <c r="AE330" s="4"/>
      <c r="AF330" s="4">
        <f>IFERROR(__xludf.DUMMYFUNCTION("""COMPUTED_VALUE"""),9.324849234112435)</f>
        <v>9.324849234</v>
      </c>
      <c r="AG330" s="4"/>
      <c r="AH330" s="4"/>
      <c r="AI330" s="4">
        <f>IFERROR(__xludf.DUMMYFUNCTION("""COMPUTED_VALUE"""),6.08004956579299)</f>
        <v>6.080049566</v>
      </c>
      <c r="AJ330" s="4"/>
      <c r="AK330" s="4"/>
      <c r="AL330" s="4">
        <f>IFERROR(__xludf.DUMMYFUNCTION("""COMPUTED_VALUE"""),3.8887727455980894)</f>
        <v>3.888772746</v>
      </c>
      <c r="AM330" s="4"/>
      <c r="AN330" s="4"/>
      <c r="AO330" s="4">
        <f>IFERROR(__xludf.DUMMYFUNCTION("""COMPUTED_VALUE"""),2.2607894341802535)</f>
        <v>2.260789434</v>
      </c>
      <c r="AP330" s="4"/>
      <c r="AQ330" s="4"/>
      <c r="AR330" s="4">
        <f>IFERROR(__xludf.DUMMYFUNCTION("""COMPUTED_VALUE"""),5.313310754970985)</f>
        <v>5.313310755</v>
      </c>
      <c r="AS330" s="4"/>
      <c r="AT330" s="4"/>
      <c r="AU330" s="4">
        <f>IFERROR(__xludf.DUMMYFUNCTION("""COMPUTED_VALUE"""),3.3700555913513313)</f>
        <v>3.370055591</v>
      </c>
      <c r="AV330" s="4"/>
      <c r="AW330" s="4"/>
      <c r="AX330" s="4">
        <f>IFERROR(__xludf.DUMMYFUNCTION("""COMPUTED_VALUE"""),5.229355705235037)</f>
        <v>5.229355705</v>
      </c>
      <c r="AY330" s="4"/>
      <c r="AZ330" s="4"/>
      <c r="BA330" s="4">
        <f>IFERROR(__xludf.DUMMYFUNCTION("""COMPUTED_VALUE"""),1.929076804047213)</f>
        <v>1.929076804</v>
      </c>
      <c r="BB330" s="4"/>
      <c r="BC330" s="4"/>
      <c r="BD330" s="4">
        <f>IFERROR(__xludf.DUMMYFUNCTION("""COMPUTED_VALUE"""),-2.5966756708995717)</f>
        <v>-2.596675671</v>
      </c>
      <c r="BE330" s="4"/>
      <c r="BF330" s="4"/>
      <c r="BG330" s="4">
        <f>IFERROR(__xludf.DUMMYFUNCTION("""COMPUTED_VALUE"""),4.810669339950152)</f>
        <v>4.81066934</v>
      </c>
      <c r="BH330" s="4"/>
      <c r="BI330" s="4"/>
      <c r="BJ330" s="4"/>
      <c r="BK330" s="4"/>
    </row>
    <row r="331">
      <c r="A331" s="4"/>
      <c r="B331" s="4"/>
      <c r="C331" s="4"/>
      <c r="D331" s="4">
        <f>IFERROR(__xludf.DUMMYFUNCTION("""COMPUTED_VALUE"""),-90.91131707968023)</f>
        <v>-90.91131708</v>
      </c>
      <c r="E331" s="23">
        <f>IFERROR(__xludf.DUMMYFUNCTION("""COMPUTED_VALUE"""),-3.9689951060385056)</f>
        <v>-3.968995106</v>
      </c>
      <c r="F331" s="4"/>
      <c r="G331" s="4"/>
      <c r="H331" s="4">
        <f>IFERROR(__xludf.DUMMYFUNCTION("""COMPUTED_VALUE"""),5.995311370330455)</f>
        <v>5.99531137</v>
      </c>
      <c r="I331" s="4"/>
      <c r="J331" s="4"/>
      <c r="K331" s="4">
        <f>IFERROR(__xludf.DUMMYFUNCTION("""COMPUTED_VALUE"""),5.714330369493325)</f>
        <v>5.714330369</v>
      </c>
      <c r="L331" s="4"/>
      <c r="M331" s="4"/>
      <c r="N331" s="4">
        <f>IFERROR(__xludf.DUMMYFUNCTION("""COMPUTED_VALUE"""),0.022297187508797833)</f>
        <v>0.02229718751</v>
      </c>
      <c r="O331" s="4"/>
      <c r="P331" s="4"/>
      <c r="Q331" s="4">
        <f>IFERROR(__xludf.DUMMYFUNCTION("""COMPUTED_VALUE"""),5.2817739093448495)</f>
        <v>5.281773909</v>
      </c>
      <c r="R331" s="4"/>
      <c r="S331" s="4"/>
      <c r="T331" s="4">
        <f>IFERROR(__xludf.DUMMYFUNCTION("""COMPUTED_VALUE"""),2.5022175376770406)</f>
        <v>2.502217538</v>
      </c>
      <c r="U331" s="4"/>
      <c r="V331" s="4"/>
      <c r="W331" s="4">
        <f>IFERROR(__xludf.DUMMYFUNCTION("""COMPUTED_VALUE"""),-5.498063761836875)</f>
        <v>-5.498063762</v>
      </c>
      <c r="X331" s="4"/>
      <c r="Y331" s="4"/>
      <c r="Z331" s="4">
        <f>IFERROR(__xludf.DUMMYFUNCTION("""COMPUTED_VALUE"""),2.6816630621581794)</f>
        <v>2.681663062</v>
      </c>
      <c r="AA331" s="4"/>
      <c r="AB331" s="4"/>
      <c r="AC331" s="4">
        <f>IFERROR(__xludf.DUMMYFUNCTION("""COMPUTED_VALUE"""),9.819357905584297)</f>
        <v>9.819357906</v>
      </c>
      <c r="AD331" s="4"/>
      <c r="AE331" s="4"/>
      <c r="AF331" s="4">
        <f>IFERROR(__xludf.DUMMYFUNCTION("""COMPUTED_VALUE"""),8.906563363104397)</f>
        <v>8.906563363</v>
      </c>
      <c r="AG331" s="4"/>
      <c r="AH331" s="4"/>
      <c r="AI331" s="4">
        <f>IFERROR(__xludf.DUMMYFUNCTION("""COMPUTED_VALUE"""),5.444763042442958)</f>
        <v>5.444763042</v>
      </c>
      <c r="AJ331" s="4"/>
      <c r="AK331" s="4"/>
      <c r="AL331" s="4">
        <f>IFERROR(__xludf.DUMMYFUNCTION("""COMPUTED_VALUE"""),1.329722186556694)</f>
        <v>1.329722187</v>
      </c>
      <c r="AM331" s="4"/>
      <c r="AN331" s="4"/>
      <c r="AO331" s="4">
        <f>IFERROR(__xludf.DUMMYFUNCTION("""COMPUTED_VALUE"""),4.688536660573789)</f>
        <v>4.688536661</v>
      </c>
      <c r="AP331" s="4"/>
      <c r="AQ331" s="4"/>
      <c r="AR331" s="4">
        <f>IFERROR(__xludf.DUMMYFUNCTION("""COMPUTED_VALUE"""),4.347961806579804)</f>
        <v>4.347961807</v>
      </c>
      <c r="AS331" s="4"/>
      <c r="AT331" s="4"/>
      <c r="AU331" s="4">
        <f>IFERROR(__xludf.DUMMYFUNCTION("""COMPUTED_VALUE"""),3.38766220479647)</f>
        <v>3.387662205</v>
      </c>
      <c r="AV331" s="4"/>
      <c r="AW331" s="4"/>
      <c r="AX331" s="4">
        <f>IFERROR(__xludf.DUMMYFUNCTION("""COMPUTED_VALUE"""),3.1889710038562384)</f>
        <v>3.188971004</v>
      </c>
      <c r="AY331" s="4"/>
      <c r="AZ331" s="4"/>
      <c r="BA331" s="4">
        <f>IFERROR(__xludf.DUMMYFUNCTION("""COMPUTED_VALUE"""),4.2514890493775965)</f>
        <v>4.251489049</v>
      </c>
      <c r="BB331" s="4"/>
      <c r="BC331" s="4"/>
      <c r="BD331" s="4">
        <f>IFERROR(__xludf.DUMMYFUNCTION("""COMPUTED_VALUE"""),4.392432455783705)</f>
        <v>4.392432456</v>
      </c>
      <c r="BE331" s="4"/>
      <c r="BF331" s="4"/>
      <c r="BG331" s="4">
        <f>IFERROR(__xludf.DUMMYFUNCTION("""COMPUTED_VALUE"""),-2.2197425892133538)</f>
        <v>-2.219742589</v>
      </c>
      <c r="BH331" s="4"/>
      <c r="BI331" s="4"/>
      <c r="BJ331" s="4"/>
      <c r="BK331" s="4"/>
    </row>
    <row r="332">
      <c r="A332" s="4"/>
      <c r="B332" s="4"/>
      <c r="C332" s="4"/>
      <c r="D332" s="4">
        <f>IFERROR(__xludf.DUMMYFUNCTION("""COMPUTED_VALUE"""),-91.8296132124803)</f>
        <v>-91.82961321</v>
      </c>
      <c r="E332" s="23">
        <f>IFERROR(__xludf.DUMMYFUNCTION("""COMPUTED_VALUE"""),0.08333194574555591)</f>
        <v>0.08333194575</v>
      </c>
      <c r="F332" s="4"/>
      <c r="G332" s="4"/>
      <c r="H332" s="4">
        <f>IFERROR(__xludf.DUMMYFUNCTION("""COMPUTED_VALUE"""),-2.1182450513177855)</f>
        <v>-2.118245051</v>
      </c>
      <c r="I332" s="4"/>
      <c r="J332" s="4"/>
      <c r="K332" s="4">
        <f>IFERROR(__xludf.DUMMYFUNCTION("""COMPUTED_VALUE"""),4.637430253177854)</f>
        <v>4.637430253</v>
      </c>
      <c r="L332" s="4"/>
      <c r="M332" s="4"/>
      <c r="N332" s="4">
        <f>IFERROR(__xludf.DUMMYFUNCTION("""COMPUTED_VALUE"""),-3.1253286326835905)</f>
        <v>-3.125328633</v>
      </c>
      <c r="O332" s="4"/>
      <c r="P332" s="4"/>
      <c r="Q332" s="4">
        <f>IFERROR(__xludf.DUMMYFUNCTION("""COMPUTED_VALUE"""),-3.023240356800727)</f>
        <v>-3.023240357</v>
      </c>
      <c r="R332" s="4"/>
      <c r="S332" s="4"/>
      <c r="T332" s="4">
        <f>IFERROR(__xludf.DUMMYFUNCTION("""COMPUTED_VALUE"""),5.599202758861907)</f>
        <v>5.599202759</v>
      </c>
      <c r="U332" s="4"/>
      <c r="V332" s="4"/>
      <c r="W332" s="4">
        <f>IFERROR(__xludf.DUMMYFUNCTION("""COMPUTED_VALUE"""),1.3757290344906323)</f>
        <v>1.375729034</v>
      </c>
      <c r="X332" s="4"/>
      <c r="Y332" s="4"/>
      <c r="Z332" s="4">
        <f>IFERROR(__xludf.DUMMYFUNCTION("""COMPUTED_VALUE"""),5.098902051071946)</f>
        <v>5.098902051</v>
      </c>
      <c r="AA332" s="4"/>
      <c r="AB332" s="4"/>
      <c r="AC332" s="4">
        <f>IFERROR(__xludf.DUMMYFUNCTION("""COMPUTED_VALUE"""),12.11970172723278)</f>
        <v>12.11970173</v>
      </c>
      <c r="AD332" s="4"/>
      <c r="AE332" s="4"/>
      <c r="AF332" s="4">
        <f>IFERROR(__xludf.DUMMYFUNCTION("""COMPUTED_VALUE"""),3.153452011111824)</f>
        <v>3.153452011</v>
      </c>
      <c r="AG332" s="4"/>
      <c r="AH332" s="4"/>
      <c r="AI332" s="4">
        <f>IFERROR(__xludf.DUMMYFUNCTION("""COMPUTED_VALUE"""),5.130859448380363)</f>
        <v>5.130859448</v>
      </c>
      <c r="AJ332" s="4"/>
      <c r="AK332" s="4"/>
      <c r="AL332" s="4">
        <f>IFERROR(__xludf.DUMMYFUNCTION("""COMPUTED_VALUE"""),1.566085836910645)</f>
        <v>1.566085837</v>
      </c>
      <c r="AM332" s="4"/>
      <c r="AN332" s="4"/>
      <c r="AO332" s="4">
        <f>IFERROR(__xludf.DUMMYFUNCTION("""COMPUTED_VALUE"""),0.27687624567670355)</f>
        <v>0.2768762457</v>
      </c>
      <c r="AP332" s="4"/>
      <c r="AQ332" s="4"/>
      <c r="AR332" s="4">
        <f>IFERROR(__xludf.DUMMYFUNCTION("""COMPUTED_VALUE"""),7.192054937081934)</f>
        <v>7.192054937</v>
      </c>
      <c r="AS332" s="4"/>
      <c r="AT332" s="4"/>
      <c r="AU332" s="4">
        <f>IFERROR(__xludf.DUMMYFUNCTION("""COMPUTED_VALUE"""),6.705711932029317)</f>
        <v>6.705711932</v>
      </c>
      <c r="AV332" s="4"/>
      <c r="AW332" s="4"/>
      <c r="AX332" s="4">
        <f>IFERROR(__xludf.DUMMYFUNCTION("""COMPUTED_VALUE"""),11.98827762609767)</f>
        <v>11.98827763</v>
      </c>
      <c r="AY332" s="4"/>
      <c r="AZ332" s="4"/>
      <c r="BA332" s="4">
        <f>IFERROR(__xludf.DUMMYFUNCTION("""COMPUTED_VALUE"""),3.089435811559042)</f>
        <v>3.089435812</v>
      </c>
      <c r="BB332" s="4"/>
      <c r="BC332" s="4"/>
      <c r="BD332" s="4">
        <f>IFERROR(__xludf.DUMMYFUNCTION("""COMPUTED_VALUE"""),3.3153120430498006)</f>
        <v>3.315312043</v>
      </c>
      <c r="BE332" s="4"/>
      <c r="BF332" s="4"/>
      <c r="BG332" s="4">
        <f>IFERROR(__xludf.DUMMYFUNCTION("""COMPUTED_VALUE"""),1.0097662244110666)</f>
        <v>1.009766224</v>
      </c>
      <c r="BH332" s="4"/>
      <c r="BI332" s="4"/>
      <c r="BJ332" s="4"/>
      <c r="BK332" s="4"/>
    </row>
    <row r="333">
      <c r="A333" s="4"/>
      <c r="B333" s="4"/>
      <c r="C333" s="4"/>
      <c r="D333" s="4">
        <f>IFERROR(__xludf.DUMMYFUNCTION("""COMPUTED_VALUE"""),-92.74790934523003)</f>
        <v>-92.74790935</v>
      </c>
      <c r="E333" s="23">
        <f>IFERROR(__xludf.DUMMYFUNCTION("""COMPUTED_VALUE"""),8.934318219557326)</f>
        <v>8.93431822</v>
      </c>
      <c r="F333" s="4"/>
      <c r="G333" s="4"/>
      <c r="H333" s="4">
        <f>IFERROR(__xludf.DUMMYFUNCTION("""COMPUTED_VALUE"""),0.49645182875116234)</f>
        <v>0.4964518288</v>
      </c>
      <c r="I333" s="4"/>
      <c r="J333" s="4"/>
      <c r="K333" s="4">
        <f>IFERROR(__xludf.DUMMYFUNCTION("""COMPUTED_VALUE"""),5.664006836660974)</f>
        <v>5.664006837</v>
      </c>
      <c r="L333" s="4"/>
      <c r="M333" s="4"/>
      <c r="N333" s="4">
        <f>IFERROR(__xludf.DUMMYFUNCTION("""COMPUTED_VALUE"""),3.0922692773718268)</f>
        <v>3.092269277</v>
      </c>
      <c r="O333" s="4"/>
      <c r="P333" s="4"/>
      <c r="Q333" s="4">
        <f>IFERROR(__xludf.DUMMYFUNCTION("""COMPUTED_VALUE"""),9.655537641562717)</f>
        <v>9.655537642</v>
      </c>
      <c r="R333" s="4"/>
      <c r="S333" s="4"/>
      <c r="T333" s="4">
        <f>IFERROR(__xludf.DUMMYFUNCTION("""COMPUTED_VALUE"""),4.185610648116267)</f>
        <v>4.185610648</v>
      </c>
      <c r="U333" s="4"/>
      <c r="V333" s="4"/>
      <c r="W333" s="4">
        <f>IFERROR(__xludf.DUMMYFUNCTION("""COMPUTED_VALUE"""),4.906316080193108)</f>
        <v>4.90631608</v>
      </c>
      <c r="X333" s="4"/>
      <c r="Y333" s="4"/>
      <c r="Z333" s="4">
        <f>IFERROR(__xludf.DUMMYFUNCTION("""COMPUTED_VALUE"""),7.9299142341857305)</f>
        <v>7.929914234</v>
      </c>
      <c r="AA333" s="4"/>
      <c r="AB333" s="4"/>
      <c r="AC333" s="4">
        <f>IFERROR(__xludf.DUMMYFUNCTION("""COMPUTED_VALUE"""),9.351827747288894)</f>
        <v>9.351827747</v>
      </c>
      <c r="AD333" s="4"/>
      <c r="AE333" s="4"/>
      <c r="AF333" s="4">
        <f>IFERROR(__xludf.DUMMYFUNCTION("""COMPUTED_VALUE"""),7.791938240346781)</f>
        <v>7.79193824</v>
      </c>
      <c r="AG333" s="4"/>
      <c r="AH333" s="4"/>
      <c r="AI333" s="4">
        <f>IFERROR(__xludf.DUMMYFUNCTION("""COMPUTED_VALUE"""),1.72047227087063)</f>
        <v>1.720472271</v>
      </c>
      <c r="AJ333" s="4"/>
      <c r="AK333" s="4"/>
      <c r="AL333" s="4">
        <f>IFERROR(__xludf.DUMMYFUNCTION("""COMPUTED_VALUE"""),1.544035010463972)</f>
        <v>1.54403501</v>
      </c>
      <c r="AM333" s="4"/>
      <c r="AN333" s="4"/>
      <c r="AO333" s="4">
        <f>IFERROR(__xludf.DUMMYFUNCTION("""COMPUTED_VALUE"""),-2.759317218617241)</f>
        <v>-2.759317219</v>
      </c>
      <c r="AP333" s="4"/>
      <c r="AQ333" s="4"/>
      <c r="AR333" s="4">
        <f>IFERROR(__xludf.DUMMYFUNCTION("""COMPUTED_VALUE"""),8.569311294221961)</f>
        <v>8.569311294</v>
      </c>
      <c r="AS333" s="4"/>
      <c r="AT333" s="4"/>
      <c r="AU333" s="4">
        <f>IFERROR(__xludf.DUMMYFUNCTION("""COMPUTED_VALUE"""),4.173843590076558)</f>
        <v>4.17384359</v>
      </c>
      <c r="AV333" s="4"/>
      <c r="AW333" s="4"/>
      <c r="AX333" s="4">
        <f>IFERROR(__xludf.DUMMYFUNCTION("""COMPUTED_VALUE"""),9.971512520861893)</f>
        <v>9.971512521</v>
      </c>
      <c r="AY333" s="4"/>
      <c r="AZ333" s="4"/>
      <c r="BA333" s="4">
        <f>IFERROR(__xludf.DUMMYFUNCTION("""COMPUTED_VALUE"""),5.9490927847913895)</f>
        <v>5.949092785</v>
      </c>
      <c r="BB333" s="4"/>
      <c r="BC333" s="4"/>
      <c r="BD333" s="4">
        <f>IFERROR(__xludf.DUMMYFUNCTION("""COMPUTED_VALUE"""),0.45675303162374803)</f>
        <v>0.4567530316</v>
      </c>
      <c r="BE333" s="4"/>
      <c r="BF333" s="4"/>
      <c r="BG333" s="4">
        <f>IFERROR(__xludf.DUMMYFUNCTION("""COMPUTED_VALUE"""),0.15797333717057427)</f>
        <v>0.1579733372</v>
      </c>
      <c r="BH333" s="4"/>
      <c r="BI333" s="4"/>
      <c r="BJ333" s="4"/>
      <c r="BK333" s="4"/>
    </row>
    <row r="334">
      <c r="A334" s="4"/>
      <c r="B334" s="4"/>
      <c r="C334" s="4"/>
      <c r="D334" s="4">
        <f>IFERROR(__xludf.DUMMYFUNCTION("""COMPUTED_VALUE"""),-93.6662054780301)</f>
        <v>-93.66620548</v>
      </c>
      <c r="E334" s="23">
        <f>IFERROR(__xludf.DUMMYFUNCTION("""COMPUTED_VALUE"""),2.2381117755832634)</f>
        <v>2.238111776</v>
      </c>
      <c r="F334" s="4"/>
      <c r="G334" s="4"/>
      <c r="H334" s="4">
        <f>IFERROR(__xludf.DUMMYFUNCTION("""COMPUTED_VALUE"""),-0.3522700159101646)</f>
        <v>-0.3522700159</v>
      </c>
      <c r="I334" s="4"/>
      <c r="J334" s="4"/>
      <c r="K334" s="4">
        <f>IFERROR(__xludf.DUMMYFUNCTION("""COMPUTED_VALUE"""),10.295547844318037)</f>
        <v>10.29554784</v>
      </c>
      <c r="L334" s="4"/>
      <c r="M334" s="4"/>
      <c r="N334" s="4">
        <f>IFERROR(__xludf.DUMMYFUNCTION("""COMPUTED_VALUE"""),4.02165021934195)</f>
        <v>4.021650219</v>
      </c>
      <c r="O334" s="4"/>
      <c r="P334" s="4"/>
      <c r="Q334" s="4">
        <f>IFERROR(__xludf.DUMMYFUNCTION("""COMPUTED_VALUE"""),-0.36920752672307344)</f>
        <v>-0.3692075267</v>
      </c>
      <c r="R334" s="4"/>
      <c r="S334" s="4"/>
      <c r="T334" s="4">
        <f>IFERROR(__xludf.DUMMYFUNCTION("""COMPUTED_VALUE"""),5.6376563558282555)</f>
        <v>5.637656356</v>
      </c>
      <c r="U334" s="4"/>
      <c r="V334" s="4"/>
      <c r="W334" s="4">
        <f>IFERROR(__xludf.DUMMYFUNCTION("""COMPUTED_VALUE"""),-0.7035179771272624)</f>
        <v>-0.7035179771</v>
      </c>
      <c r="X334" s="4"/>
      <c r="Y334" s="4"/>
      <c r="Z334" s="4">
        <f>IFERROR(__xludf.DUMMYFUNCTION("""COMPUTED_VALUE"""),0.35822071491350016)</f>
        <v>0.3582207149</v>
      </c>
      <c r="AA334" s="4"/>
      <c r="AB334" s="4"/>
      <c r="AC334" s="4">
        <f>IFERROR(__xludf.DUMMYFUNCTION("""COMPUTED_VALUE"""),10.680514939122872)</f>
        <v>10.68051494</v>
      </c>
      <c r="AD334" s="4"/>
      <c r="AE334" s="4"/>
      <c r="AF334" s="4">
        <f>IFERROR(__xludf.DUMMYFUNCTION("""COMPUTED_VALUE"""),2.843983980999326)</f>
        <v>2.843983981</v>
      </c>
      <c r="AG334" s="4"/>
      <c r="AH334" s="4"/>
      <c r="AI334" s="4">
        <f>IFERROR(__xludf.DUMMYFUNCTION("""COMPUTED_VALUE"""),7.288521111023044)</f>
        <v>7.288521111</v>
      </c>
      <c r="AJ334" s="4"/>
      <c r="AK334" s="4"/>
      <c r="AL334" s="4">
        <f>IFERROR(__xludf.DUMMYFUNCTION("""COMPUTED_VALUE"""),2.0415572486193696)</f>
        <v>2.041557249</v>
      </c>
      <c r="AM334" s="4"/>
      <c r="AN334" s="4"/>
      <c r="AO334" s="4">
        <f>IFERROR(__xludf.DUMMYFUNCTION("""COMPUTED_VALUE"""),-2.089787496397662)</f>
        <v>-2.089787496</v>
      </c>
      <c r="AP334" s="4"/>
      <c r="AQ334" s="4"/>
      <c r="AR334" s="4">
        <f>IFERROR(__xludf.DUMMYFUNCTION("""COMPUTED_VALUE"""),-3.5438431482625674)</f>
        <v>-3.543843148</v>
      </c>
      <c r="AS334" s="4"/>
      <c r="AT334" s="4"/>
      <c r="AU334" s="4">
        <f>IFERROR(__xludf.DUMMYFUNCTION("""COMPUTED_VALUE"""),4.657071969582773)</f>
        <v>4.65707197</v>
      </c>
      <c r="AV334" s="4"/>
      <c r="AW334" s="4"/>
      <c r="AX334" s="4">
        <f>IFERROR(__xludf.DUMMYFUNCTION("""COMPUTED_VALUE"""),2.942146917840489)</f>
        <v>2.942146918</v>
      </c>
      <c r="AY334" s="4"/>
      <c r="AZ334" s="4"/>
      <c r="BA334" s="4">
        <f>IFERROR(__xludf.DUMMYFUNCTION("""COMPUTED_VALUE"""),3.633682346437979)</f>
        <v>3.633682346</v>
      </c>
      <c r="BB334" s="4"/>
      <c r="BC334" s="4"/>
      <c r="BD334" s="4">
        <f>IFERROR(__xludf.DUMMYFUNCTION("""COMPUTED_VALUE"""),7.367403680609129)</f>
        <v>7.367403681</v>
      </c>
      <c r="BE334" s="4"/>
      <c r="BF334" s="4"/>
      <c r="BG334" s="4">
        <f>IFERROR(__xludf.DUMMYFUNCTION("""COMPUTED_VALUE"""),5.977190990846509)</f>
        <v>5.977190991</v>
      </c>
      <c r="BH334" s="4"/>
      <c r="BI334" s="4"/>
      <c r="BJ334" s="4"/>
      <c r="BK334" s="4"/>
    </row>
    <row r="335">
      <c r="A335" s="4"/>
      <c r="B335" s="4"/>
      <c r="C335" s="4"/>
      <c r="D335" s="4">
        <f>IFERROR(__xludf.DUMMYFUNCTION("""COMPUTED_VALUE"""),-94.58450160871523)</f>
        <v>-94.58450161</v>
      </c>
      <c r="E335" s="23">
        <f>IFERROR(__xludf.DUMMYFUNCTION("""COMPUTED_VALUE"""),2.880810476024749)</f>
        <v>2.880810476</v>
      </c>
      <c r="F335" s="4"/>
      <c r="G335" s="4"/>
      <c r="H335" s="4">
        <f>IFERROR(__xludf.DUMMYFUNCTION("""COMPUTED_VALUE"""),8.775818641796661)</f>
        <v>8.775818642</v>
      </c>
      <c r="I335" s="4"/>
      <c r="J335" s="4"/>
      <c r="K335" s="4">
        <f>IFERROR(__xludf.DUMMYFUNCTION("""COMPUTED_VALUE"""),7.956337811801575)</f>
        <v>7.956337812</v>
      </c>
      <c r="L335" s="4"/>
      <c r="M335" s="4"/>
      <c r="N335" s="4">
        <f>IFERROR(__xludf.DUMMYFUNCTION("""COMPUTED_VALUE"""),2.7231977364004933)</f>
        <v>2.723197736</v>
      </c>
      <c r="O335" s="4"/>
      <c r="P335" s="4"/>
      <c r="Q335" s="4">
        <f>IFERROR(__xludf.DUMMYFUNCTION("""COMPUTED_VALUE"""),6.036638177689383)</f>
        <v>6.036638178</v>
      </c>
      <c r="R335" s="4"/>
      <c r="S335" s="4"/>
      <c r="T335" s="4">
        <f>IFERROR(__xludf.DUMMYFUNCTION("""COMPUTED_VALUE"""),8.233542641120039)</f>
        <v>8.233542641</v>
      </c>
      <c r="U335" s="4"/>
      <c r="V335" s="4"/>
      <c r="W335" s="4">
        <f>IFERROR(__xludf.DUMMYFUNCTION("""COMPUTED_VALUE"""),-0.7325833750331299)</f>
        <v>-0.732583375</v>
      </c>
      <c r="X335" s="4"/>
      <c r="Y335" s="4"/>
      <c r="Z335" s="4">
        <f>IFERROR(__xludf.DUMMYFUNCTION("""COMPUTED_VALUE"""),4.522820451425787)</f>
        <v>4.522820451</v>
      </c>
      <c r="AA335" s="4"/>
      <c r="AB335" s="4"/>
      <c r="AC335" s="4">
        <f>IFERROR(__xludf.DUMMYFUNCTION("""COMPUTED_VALUE"""),9.190760716407453)</f>
        <v>9.190760716</v>
      </c>
      <c r="AD335" s="4"/>
      <c r="AE335" s="4"/>
      <c r="AF335" s="4">
        <f>IFERROR(__xludf.DUMMYFUNCTION("""COMPUTED_VALUE"""),4.9898247443119885)</f>
        <v>4.989824744</v>
      </c>
      <c r="AG335" s="4"/>
      <c r="AH335" s="4"/>
      <c r="AI335" s="4">
        <f>IFERROR(__xludf.DUMMYFUNCTION("""COMPUTED_VALUE"""),5.27723193789069)</f>
        <v>5.277231938</v>
      </c>
      <c r="AJ335" s="4"/>
      <c r="AK335" s="4"/>
      <c r="AL335" s="4">
        <f>IFERROR(__xludf.DUMMYFUNCTION("""COMPUTED_VALUE"""),1.935609961035027)</f>
        <v>1.935609961</v>
      </c>
      <c r="AM335" s="4"/>
      <c r="AN335" s="4"/>
      <c r="AO335" s="4">
        <f>IFERROR(__xludf.DUMMYFUNCTION("""COMPUTED_VALUE"""),1.9492223770383816)</f>
        <v>1.949222377</v>
      </c>
      <c r="AP335" s="4"/>
      <c r="AQ335" s="4"/>
      <c r="AR335" s="4">
        <f>IFERROR(__xludf.DUMMYFUNCTION("""COMPUTED_VALUE"""),9.235364563044357)</f>
        <v>9.235364563</v>
      </c>
      <c r="AS335" s="4"/>
      <c r="AT335" s="4"/>
      <c r="AU335" s="4">
        <f>IFERROR(__xludf.DUMMYFUNCTION("""COMPUTED_VALUE"""),4.204229041885924)</f>
        <v>4.204229042</v>
      </c>
      <c r="AV335" s="4"/>
      <c r="AW335" s="4"/>
      <c r="AX335" s="4">
        <f>IFERROR(__xludf.DUMMYFUNCTION("""COMPUTED_VALUE"""),7.616207484071424)</f>
        <v>7.616207484</v>
      </c>
      <c r="AY335" s="4"/>
      <c r="AZ335" s="4"/>
      <c r="BA335" s="4">
        <f>IFERROR(__xludf.DUMMYFUNCTION("""COMPUTED_VALUE"""),8.361250467129821)</f>
        <v>8.361250467</v>
      </c>
      <c r="BB335" s="4"/>
      <c r="BC335" s="4"/>
      <c r="BD335" s="4">
        <f>IFERROR(__xludf.DUMMYFUNCTION("""COMPUTED_VALUE"""),6.231909072143935)</f>
        <v>6.231909072</v>
      </c>
      <c r="BE335" s="4"/>
      <c r="BF335" s="4"/>
      <c r="BG335" s="4">
        <f>IFERROR(__xludf.DUMMYFUNCTION("""COMPUTED_VALUE"""),2.8419243141451034)</f>
        <v>2.841924314</v>
      </c>
      <c r="BH335" s="4"/>
      <c r="BI335" s="4"/>
      <c r="BJ335" s="4"/>
      <c r="BK335" s="4"/>
    </row>
    <row r="336">
      <c r="A336" s="4"/>
      <c r="B336" s="4"/>
      <c r="C336" s="4"/>
      <c r="D336" s="4">
        <f>IFERROR(__xludf.DUMMYFUNCTION("""COMPUTED_VALUE"""),-95.50279774146495)</f>
        <v>-95.50279774</v>
      </c>
      <c r="E336" s="23">
        <f>IFERROR(__xludf.DUMMYFUNCTION("""COMPUTED_VALUE"""),-1.2065562246434638)</f>
        <v>-1.206556225</v>
      </c>
      <c r="F336" s="4"/>
      <c r="G336" s="4"/>
      <c r="H336" s="4">
        <f>IFERROR(__xludf.DUMMYFUNCTION("""COMPUTED_VALUE"""),-0.4658645905729486)</f>
        <v>-0.4658645906</v>
      </c>
      <c r="I336" s="4"/>
      <c r="J336" s="4"/>
      <c r="K336" s="4">
        <f>IFERROR(__xludf.DUMMYFUNCTION("""COMPUTED_VALUE"""),4.396057755681966)</f>
        <v>4.396057756</v>
      </c>
      <c r="L336" s="4"/>
      <c r="M336" s="4"/>
      <c r="N336" s="4">
        <f>IFERROR(__xludf.DUMMYFUNCTION("""COMPUTED_VALUE"""),-2.046913145003657)</f>
        <v>-2.046913145</v>
      </c>
      <c r="O336" s="4"/>
      <c r="P336" s="4"/>
      <c r="Q336" s="4">
        <f>IFERROR(__xludf.DUMMYFUNCTION("""COMPUTED_VALUE"""),5.220038680761945)</f>
        <v>5.220038681</v>
      </c>
      <c r="R336" s="4"/>
      <c r="S336" s="4"/>
      <c r="T336" s="4">
        <f>IFERROR(__xludf.DUMMYFUNCTION("""COMPUTED_VALUE"""),-1.2594743558953496)</f>
        <v>-1.259474356</v>
      </c>
      <c r="U336" s="4"/>
      <c r="V336" s="4"/>
      <c r="W336" s="4">
        <f>IFERROR(__xludf.DUMMYFUNCTION("""COMPUTED_VALUE"""),0.6389468101008333)</f>
        <v>0.6389468101</v>
      </c>
      <c r="X336" s="4"/>
      <c r="Y336" s="4"/>
      <c r="Z336" s="4">
        <f>IFERROR(__xludf.DUMMYFUNCTION("""COMPUTED_VALUE"""),-5.220744311208023)</f>
        <v>-5.220744311</v>
      </c>
      <c r="AA336" s="4"/>
      <c r="AB336" s="4"/>
      <c r="AC336" s="4">
        <f>IFERROR(__xludf.DUMMYFUNCTION("""COMPUTED_VALUE"""),4.559882865444024)</f>
        <v>4.559882865</v>
      </c>
      <c r="AD336" s="4"/>
      <c r="AE336" s="4"/>
      <c r="AF336" s="4">
        <f>IFERROR(__xludf.DUMMYFUNCTION("""COMPUTED_VALUE"""),3.6762184454379394)</f>
        <v>3.676218445</v>
      </c>
      <c r="AG336" s="4"/>
      <c r="AH336" s="4"/>
      <c r="AI336" s="4">
        <f>IFERROR(__xludf.DUMMYFUNCTION("""COMPUTED_VALUE"""),3.0431655246899254)</f>
        <v>3.043165525</v>
      </c>
      <c r="AJ336" s="4"/>
      <c r="AK336" s="4"/>
      <c r="AL336" s="4">
        <f>IFERROR(__xludf.DUMMYFUNCTION("""COMPUTED_VALUE"""),3.2389772997041177)</f>
        <v>3.2389773</v>
      </c>
      <c r="AM336" s="4"/>
      <c r="AN336" s="4"/>
      <c r="AO336" s="4">
        <f>IFERROR(__xludf.DUMMYFUNCTION("""COMPUTED_VALUE"""),0.6146940264378031)</f>
        <v>0.6146940264</v>
      </c>
      <c r="AP336" s="4"/>
      <c r="AQ336" s="4"/>
      <c r="AR336" s="4">
        <f>IFERROR(__xludf.DUMMYFUNCTION("""COMPUTED_VALUE"""),5.323154597007601)</f>
        <v>5.323154597</v>
      </c>
      <c r="AS336" s="4"/>
      <c r="AT336" s="4"/>
      <c r="AU336" s="4">
        <f>IFERROR(__xludf.DUMMYFUNCTION("""COMPUTED_VALUE"""),5.923602345022914)</f>
        <v>5.923602345</v>
      </c>
      <c r="AV336" s="4"/>
      <c r="AW336" s="4"/>
      <c r="AX336" s="4">
        <f>IFERROR(__xludf.DUMMYFUNCTION("""COMPUTED_VALUE"""),5.45342752197007)</f>
        <v>5.453427522</v>
      </c>
      <c r="AY336" s="4"/>
      <c r="AZ336" s="4"/>
      <c r="BA336" s="4">
        <f>IFERROR(__xludf.DUMMYFUNCTION("""COMPUTED_VALUE"""),4.900302734847514)</f>
        <v>4.900302735</v>
      </c>
      <c r="BB336" s="4"/>
      <c r="BC336" s="4"/>
      <c r="BD336" s="4">
        <f>IFERROR(__xludf.DUMMYFUNCTION("""COMPUTED_VALUE"""),5.905337281201753)</f>
        <v>5.905337281</v>
      </c>
      <c r="BE336" s="4"/>
      <c r="BF336" s="4"/>
      <c r="BG336" s="4">
        <f>IFERROR(__xludf.DUMMYFUNCTION("""COMPUTED_VALUE"""),0.08877669560820323)</f>
        <v>0.08877669561</v>
      </c>
      <c r="BH336" s="4"/>
      <c r="BI336" s="4"/>
      <c r="BJ336" s="4"/>
      <c r="BK336" s="4"/>
    </row>
    <row r="337">
      <c r="A337" s="4"/>
      <c r="B337" s="4"/>
      <c r="C337" s="4"/>
      <c r="D337" s="4">
        <f>IFERROR(__xludf.DUMMYFUNCTION("""COMPUTED_VALUE"""),-96.42109387426503)</f>
        <v>-96.42109387</v>
      </c>
      <c r="E337" s="23">
        <f>IFERROR(__xludf.DUMMYFUNCTION("""COMPUTED_VALUE"""),1.6303452729263768)</f>
        <v>1.630345273</v>
      </c>
      <c r="F337" s="4"/>
      <c r="G337" s="4"/>
      <c r="H337" s="4">
        <f>IFERROR(__xludf.DUMMYFUNCTION("""COMPUTED_VALUE"""),-1.461115667103968)</f>
        <v>-1.461115667</v>
      </c>
      <c r="I337" s="4"/>
      <c r="J337" s="4"/>
      <c r="K337" s="4">
        <f>IFERROR(__xludf.DUMMYFUNCTION("""COMPUTED_VALUE"""),4.766549454669075)</f>
        <v>4.766549455</v>
      </c>
      <c r="L337" s="4"/>
      <c r="M337" s="4"/>
      <c r="N337" s="4">
        <f>IFERROR(__xludf.DUMMYFUNCTION("""COMPUTED_VALUE"""),0.7122462398689322)</f>
        <v>0.7122462399</v>
      </c>
      <c r="O337" s="4"/>
      <c r="P337" s="4"/>
      <c r="Q337" s="4">
        <f>IFERROR(__xludf.DUMMYFUNCTION("""COMPUTED_VALUE"""),-1.7772775058932666)</f>
        <v>-1.777277506</v>
      </c>
      <c r="R337" s="4"/>
      <c r="S337" s="4"/>
      <c r="T337" s="4">
        <f>IFERROR(__xludf.DUMMYFUNCTION("""COMPUTED_VALUE"""),-4.474373655316072)</f>
        <v>-4.474373655</v>
      </c>
      <c r="U337" s="4"/>
      <c r="V337" s="4"/>
      <c r="W337" s="4">
        <f>IFERROR(__xludf.DUMMYFUNCTION("""COMPUTED_VALUE"""),0.24476359444571472)</f>
        <v>0.2447635944</v>
      </c>
      <c r="X337" s="4"/>
      <c r="Y337" s="4"/>
      <c r="Z337" s="4">
        <f>IFERROR(__xludf.DUMMYFUNCTION("""COMPUTED_VALUE"""),3.0283460620044593)</f>
        <v>3.028346062</v>
      </c>
      <c r="AA337" s="4"/>
      <c r="AB337" s="4"/>
      <c r="AC337" s="4">
        <f>IFERROR(__xludf.DUMMYFUNCTION("""COMPUTED_VALUE"""),4.892998371819488)</f>
        <v>4.892998372</v>
      </c>
      <c r="AD337" s="4"/>
      <c r="AE337" s="4"/>
      <c r="AF337" s="4">
        <f>IFERROR(__xludf.DUMMYFUNCTION("""COMPUTED_VALUE"""),1.4867033414943194)</f>
        <v>1.486703341</v>
      </c>
      <c r="AG337" s="4"/>
      <c r="AH337" s="4"/>
      <c r="AI337" s="4">
        <f>IFERROR(__xludf.DUMMYFUNCTION("""COMPUTED_VALUE"""),3.6460803134191906)</f>
        <v>3.646080313</v>
      </c>
      <c r="AJ337" s="4"/>
      <c r="AK337" s="4"/>
      <c r="AL337" s="4">
        <f>IFERROR(__xludf.DUMMYFUNCTION("""COMPUTED_VALUE"""),2.69112665312241)</f>
        <v>2.691126653</v>
      </c>
      <c r="AM337" s="4"/>
      <c r="AN337" s="4"/>
      <c r="AO337" s="4">
        <f>IFERROR(__xludf.DUMMYFUNCTION("""COMPUTED_VALUE"""),-3.9983983703294257)</f>
        <v>-3.99839837</v>
      </c>
      <c r="AP337" s="4"/>
      <c r="AQ337" s="4"/>
      <c r="AR337" s="4">
        <f>IFERROR(__xludf.DUMMYFUNCTION("""COMPUTED_VALUE"""),-0.2967917962561728)</f>
        <v>-0.2967917963</v>
      </c>
      <c r="AS337" s="4"/>
      <c r="AT337" s="4"/>
      <c r="AU337" s="4">
        <f>IFERROR(__xludf.DUMMYFUNCTION("""COMPUTED_VALUE"""),4.755893366145074)</f>
        <v>4.755893366</v>
      </c>
      <c r="AV337" s="4"/>
      <c r="AW337" s="4"/>
      <c r="AX337" s="4">
        <f>IFERROR(__xludf.DUMMYFUNCTION("""COMPUTED_VALUE"""),9.166196042080344)</f>
        <v>9.166196042</v>
      </c>
      <c r="AY337" s="4"/>
      <c r="AZ337" s="4"/>
      <c r="BA337" s="4">
        <f>IFERROR(__xludf.DUMMYFUNCTION("""COMPUTED_VALUE"""),6.5466170936553)</f>
        <v>6.546617094</v>
      </c>
      <c r="BB337" s="4"/>
      <c r="BC337" s="4"/>
      <c r="BD337" s="4">
        <f>IFERROR(__xludf.DUMMYFUNCTION("""COMPUTED_VALUE"""),3.3775488002108887)</f>
        <v>3.3775488</v>
      </c>
      <c r="BE337" s="4"/>
      <c r="BF337" s="4"/>
      <c r="BG337" s="4">
        <f>IFERROR(__xludf.DUMMYFUNCTION("""COMPUTED_VALUE"""),-2.3585977767010604)</f>
        <v>-2.358597777</v>
      </c>
      <c r="BH337" s="4"/>
      <c r="BI337" s="4"/>
      <c r="BJ337" s="4"/>
      <c r="BK337" s="4"/>
    </row>
    <row r="338">
      <c r="A338" s="4"/>
      <c r="B338" s="4"/>
      <c r="C338" s="4"/>
      <c r="D338" s="4">
        <f>IFERROR(__xludf.DUMMYFUNCTION("""COMPUTED_VALUE"""),-97.33939000495015)</f>
        <v>-97.33939</v>
      </c>
      <c r="E338" s="23">
        <f>IFERROR(__xludf.DUMMYFUNCTION("""COMPUTED_VALUE"""),-5.178020520238022)</f>
        <v>-5.17802052</v>
      </c>
      <c r="F338" s="4"/>
      <c r="G338" s="4"/>
      <c r="H338" s="4">
        <f>IFERROR(__xludf.DUMMYFUNCTION("""COMPUTED_VALUE"""),-0.14571462904854116)</f>
        <v>-0.145714629</v>
      </c>
      <c r="I338" s="4"/>
      <c r="J338" s="4"/>
      <c r="K338" s="4">
        <f>IFERROR(__xludf.DUMMYFUNCTION("""COMPUTED_VALUE"""),-0.3742970958778642)</f>
        <v>-0.3742970959</v>
      </c>
      <c r="L338" s="4"/>
      <c r="M338" s="4"/>
      <c r="N338" s="4">
        <f>IFERROR(__xludf.DUMMYFUNCTION("""COMPUTED_VALUE"""),2.396117729160437)</f>
        <v>2.396117729</v>
      </c>
      <c r="O338" s="4"/>
      <c r="P338" s="4"/>
      <c r="Q338" s="4">
        <f>IFERROR(__xludf.DUMMYFUNCTION("""COMPUTED_VALUE"""),2.104228673429418)</f>
        <v>2.104228673</v>
      </c>
      <c r="R338" s="4"/>
      <c r="S338" s="4"/>
      <c r="T338" s="4">
        <f>IFERROR(__xludf.DUMMYFUNCTION("""COMPUTED_VALUE"""),3.590506646091967)</f>
        <v>3.590506646</v>
      </c>
      <c r="U338" s="4"/>
      <c r="V338" s="4"/>
      <c r="W338" s="4">
        <f>IFERROR(__xludf.DUMMYFUNCTION("""COMPUTED_VALUE"""),-0.9365790079075964)</f>
        <v>-0.9365790079</v>
      </c>
      <c r="X338" s="4"/>
      <c r="Y338" s="4"/>
      <c r="Z338" s="4">
        <f>IFERROR(__xludf.DUMMYFUNCTION("""COMPUTED_VALUE"""),0.23738739513515839)</f>
        <v>0.2373873951</v>
      </c>
      <c r="AA338" s="4"/>
      <c r="AB338" s="4"/>
      <c r="AC338" s="4">
        <f>IFERROR(__xludf.DUMMYFUNCTION("""COMPUTED_VALUE"""),3.5899562034375094)</f>
        <v>3.589956203</v>
      </c>
      <c r="AD338" s="4"/>
      <c r="AE338" s="4"/>
      <c r="AF338" s="4">
        <f>IFERROR(__xludf.DUMMYFUNCTION("""COMPUTED_VALUE"""),6.42639222832662)</f>
        <v>6.426392228</v>
      </c>
      <c r="AG338" s="4"/>
      <c r="AH338" s="4"/>
      <c r="AI338" s="4">
        <f>IFERROR(__xludf.DUMMYFUNCTION("""COMPUTED_VALUE"""),7.469055480422412)</f>
        <v>7.46905548</v>
      </c>
      <c r="AJ338" s="4"/>
      <c r="AK338" s="4"/>
      <c r="AL338" s="4">
        <f>IFERROR(__xludf.DUMMYFUNCTION("""COMPUTED_VALUE"""),2.363464921874538)</f>
        <v>2.363464922</v>
      </c>
      <c r="AM338" s="4"/>
      <c r="AN338" s="4"/>
      <c r="AO338" s="4">
        <f>IFERROR(__xludf.DUMMYFUNCTION("""COMPUTED_VALUE"""),-1.3920484372401916)</f>
        <v>-1.392048437</v>
      </c>
      <c r="AP338" s="4"/>
      <c r="AQ338" s="4"/>
      <c r="AR338" s="4">
        <f>IFERROR(__xludf.DUMMYFUNCTION("""COMPUTED_VALUE"""),2.1398214225786205)</f>
        <v>2.139821423</v>
      </c>
      <c r="AS338" s="4"/>
      <c r="AT338" s="4"/>
      <c r="AU338" s="4">
        <f>IFERROR(__xludf.DUMMYFUNCTION("""COMPUTED_VALUE"""),3.452155382108458)</f>
        <v>3.452155382</v>
      </c>
      <c r="AV338" s="4"/>
      <c r="AW338" s="4"/>
      <c r="AX338" s="4">
        <f>IFERROR(__xludf.DUMMYFUNCTION("""COMPUTED_VALUE"""),4.705417195668531)</f>
        <v>4.705417196</v>
      </c>
      <c r="AY338" s="4"/>
      <c r="AZ338" s="4"/>
      <c r="BA338" s="4">
        <f>IFERROR(__xludf.DUMMYFUNCTION("""COMPUTED_VALUE"""),-0.5228383615375947)</f>
        <v>-0.5228383615</v>
      </c>
      <c r="BB338" s="4"/>
      <c r="BC338" s="4"/>
      <c r="BD338" s="4">
        <f>IFERROR(__xludf.DUMMYFUNCTION("""COMPUTED_VALUE"""),2.1038681648406055)</f>
        <v>2.103868165</v>
      </c>
      <c r="BE338" s="4"/>
      <c r="BF338" s="4"/>
      <c r="BG338" s="4">
        <f>IFERROR(__xludf.DUMMYFUNCTION("""COMPUTED_VALUE"""),-0.9193999425681341)</f>
        <v>-0.9193999426</v>
      </c>
      <c r="BH338" s="4"/>
      <c r="BI338" s="4"/>
      <c r="BJ338" s="4"/>
      <c r="BK338" s="4"/>
    </row>
    <row r="339">
      <c r="A339" s="4"/>
      <c r="B339" s="4"/>
      <c r="C339" s="4"/>
      <c r="D339" s="4">
        <f>IFERROR(__xludf.DUMMYFUNCTION("""COMPUTED_VALUE"""),-98.25768613769986)</f>
        <v>-98.25768614</v>
      </c>
      <c r="E339" s="23">
        <f>IFERROR(__xludf.DUMMYFUNCTION("""COMPUTED_VALUE"""),2.7309061775939085)</f>
        <v>2.730906178</v>
      </c>
      <c r="F339" s="4"/>
      <c r="G339" s="4"/>
      <c r="H339" s="4">
        <f>IFERROR(__xludf.DUMMYFUNCTION("""COMPUTED_VALUE"""),3.4487648819365404)</f>
        <v>3.448764882</v>
      </c>
      <c r="I339" s="4"/>
      <c r="J339" s="4"/>
      <c r="K339" s="4">
        <f>IFERROR(__xludf.DUMMYFUNCTION("""COMPUTED_VALUE"""),1.9325106963699454)</f>
        <v>1.932510696</v>
      </c>
      <c r="L339" s="4"/>
      <c r="M339" s="4"/>
      <c r="N339" s="4">
        <f>IFERROR(__xludf.DUMMYFUNCTION("""COMPUTED_VALUE"""),11.441513809450385)</f>
        <v>11.44151381</v>
      </c>
      <c r="O339" s="4"/>
      <c r="P339" s="4"/>
      <c r="Q339" s="4">
        <f>IFERROR(__xludf.DUMMYFUNCTION("""COMPUTED_VALUE"""),3.5398219772794164)</f>
        <v>3.539821977</v>
      </c>
      <c r="R339" s="4"/>
      <c r="S339" s="4"/>
      <c r="T339" s="4">
        <f>IFERROR(__xludf.DUMMYFUNCTION("""COMPUTED_VALUE"""),5.025075595466262)</f>
        <v>5.025075595</v>
      </c>
      <c r="U339" s="4"/>
      <c r="V339" s="4"/>
      <c r="W339" s="4">
        <f>IFERROR(__xludf.DUMMYFUNCTION("""COMPUTED_VALUE"""),-5.237561763124063)</f>
        <v>-5.237561763</v>
      </c>
      <c r="X339" s="4"/>
      <c r="Y339" s="4"/>
      <c r="Z339" s="4">
        <f>IFERROR(__xludf.DUMMYFUNCTION("""COMPUTED_VALUE"""),6.501407500599726)</f>
        <v>6.501407501</v>
      </c>
      <c r="AA339" s="4"/>
      <c r="AB339" s="4"/>
      <c r="AC339" s="4">
        <f>IFERROR(__xludf.DUMMYFUNCTION("""COMPUTED_VALUE"""),2.4120164641231554)</f>
        <v>2.412016464</v>
      </c>
      <c r="AD339" s="4"/>
      <c r="AE339" s="4"/>
      <c r="AF339" s="4">
        <f>IFERROR(__xludf.DUMMYFUNCTION("""COMPUTED_VALUE"""),-0.5200390766929672)</f>
        <v>-0.5200390767</v>
      </c>
      <c r="AG339" s="4"/>
      <c r="AH339" s="4"/>
      <c r="AI339" s="4">
        <f>IFERROR(__xludf.DUMMYFUNCTION("""COMPUTED_VALUE"""),2.1921405358284005)</f>
        <v>2.192140536</v>
      </c>
      <c r="AJ339" s="4"/>
      <c r="AK339" s="4"/>
      <c r="AL339" s="4">
        <f>IFERROR(__xludf.DUMMYFUNCTION("""COMPUTED_VALUE"""),3.3076394157899927)</f>
        <v>3.307639416</v>
      </c>
      <c r="AM339" s="4"/>
      <c r="AN339" s="4"/>
      <c r="AO339" s="4">
        <f>IFERROR(__xludf.DUMMYFUNCTION("""COMPUTED_VALUE"""),1.9654234978222576)</f>
        <v>1.965423498</v>
      </c>
      <c r="AP339" s="4"/>
      <c r="AQ339" s="4"/>
      <c r="AR339" s="4">
        <f>IFERROR(__xludf.DUMMYFUNCTION("""COMPUTED_VALUE"""),2.246602444588575)</f>
        <v>2.246602445</v>
      </c>
      <c r="AS339" s="4"/>
      <c r="AT339" s="4"/>
      <c r="AU339" s="4">
        <f>IFERROR(__xludf.DUMMYFUNCTION("""COMPUTED_VALUE"""),7.856528674734932)</f>
        <v>7.856528675</v>
      </c>
      <c r="AV339" s="4"/>
      <c r="AW339" s="4"/>
      <c r="AX339" s="4">
        <f>IFERROR(__xludf.DUMMYFUNCTION("""COMPUTED_VALUE"""),3.167972818687133)</f>
        <v>3.167972819</v>
      </c>
      <c r="AY339" s="4"/>
      <c r="AZ339" s="4"/>
      <c r="BA339" s="4">
        <f>IFERROR(__xludf.DUMMYFUNCTION("""COMPUTED_VALUE"""),8.29660481343808)</f>
        <v>8.296604813</v>
      </c>
      <c r="BB339" s="4"/>
      <c r="BC339" s="4"/>
      <c r="BD339" s="4">
        <f>IFERROR(__xludf.DUMMYFUNCTION("""COMPUTED_VALUE"""),7.797837718376513)</f>
        <v>7.797837718</v>
      </c>
      <c r="BE339" s="4"/>
      <c r="BF339" s="4"/>
      <c r="BG339" s="4">
        <f>IFERROR(__xludf.DUMMYFUNCTION("""COMPUTED_VALUE"""),2.3786525013677533)</f>
        <v>2.378652501</v>
      </c>
      <c r="BH339" s="4"/>
      <c r="BI339" s="4"/>
      <c r="BJ339" s="4"/>
      <c r="BK339" s="4"/>
    </row>
    <row r="340">
      <c r="A340" s="4"/>
      <c r="B340" s="4"/>
      <c r="C340" s="4"/>
      <c r="D340" s="4">
        <f>IFERROR(__xludf.DUMMYFUNCTION("""COMPUTED_VALUE"""),-99.17598227049994)</f>
        <v>-99.17598227</v>
      </c>
      <c r="E340" s="23">
        <f>IFERROR(__xludf.DUMMYFUNCTION("""COMPUTED_VALUE"""),5.229620678784784)</f>
        <v>5.229620679</v>
      </c>
      <c r="F340" s="4"/>
      <c r="G340" s="4"/>
      <c r="H340" s="4">
        <f>IFERROR(__xludf.DUMMYFUNCTION("""COMPUTED_VALUE"""),-2.871965106715834)</f>
        <v>-2.871965107</v>
      </c>
      <c r="I340" s="4"/>
      <c r="J340" s="4"/>
      <c r="K340" s="4">
        <f>IFERROR(__xludf.DUMMYFUNCTION("""COMPUTED_VALUE"""),6.392400786011649)</f>
        <v>6.392400786</v>
      </c>
      <c r="L340" s="4"/>
      <c r="M340" s="4"/>
      <c r="N340" s="4">
        <f>IFERROR(__xludf.DUMMYFUNCTION("""COMPUTED_VALUE"""),2.767052460668026)</f>
        <v>2.767052461</v>
      </c>
      <c r="O340" s="4"/>
      <c r="P340" s="4"/>
      <c r="Q340" s="4">
        <f>IFERROR(__xludf.DUMMYFUNCTION("""COMPUTED_VALUE"""),3.645941886835942)</f>
        <v>3.645941887</v>
      </c>
      <c r="R340" s="4"/>
      <c r="S340" s="4"/>
      <c r="T340" s="4">
        <f>IFERROR(__xludf.DUMMYFUNCTION("""COMPUTED_VALUE"""),3.8979096585080697)</f>
        <v>3.897909659</v>
      </c>
      <c r="U340" s="4"/>
      <c r="V340" s="4"/>
      <c r="W340" s="4">
        <f>IFERROR(__xludf.DUMMYFUNCTION("""COMPUTED_VALUE"""),-3.9983135571755497)</f>
        <v>-3.998313557</v>
      </c>
      <c r="X340" s="4"/>
      <c r="Y340" s="4"/>
      <c r="Z340" s="4">
        <f>IFERROR(__xludf.DUMMYFUNCTION("""COMPUTED_VALUE"""),-2.4674293989091325)</f>
        <v>-2.467429399</v>
      </c>
      <c r="AA340" s="4"/>
      <c r="AB340" s="4"/>
      <c r="AC340" s="4">
        <f>IFERROR(__xludf.DUMMYFUNCTION("""COMPUTED_VALUE"""),2.714350850857045)</f>
        <v>2.714350851</v>
      </c>
      <c r="AD340" s="4"/>
      <c r="AE340" s="4"/>
      <c r="AF340" s="4">
        <f>IFERROR(__xludf.DUMMYFUNCTION("""COMPUTED_VALUE"""),3.171301927262789)</f>
        <v>3.171301927</v>
      </c>
      <c r="AG340" s="4"/>
      <c r="AH340" s="4"/>
      <c r="AI340" s="4">
        <f>IFERROR(__xludf.DUMMYFUNCTION("""COMPUTED_VALUE"""),3.610604104547008)</f>
        <v>3.610604105</v>
      </c>
      <c r="AJ340" s="4"/>
      <c r="AK340" s="4"/>
      <c r="AL340" s="4">
        <f>IFERROR(__xludf.DUMMYFUNCTION("""COMPUTED_VALUE"""),-1.2067598254741938)</f>
        <v>-1.206759825</v>
      </c>
      <c r="AM340" s="4"/>
      <c r="AN340" s="4"/>
      <c r="AO340" s="4">
        <f>IFERROR(__xludf.DUMMYFUNCTION("""COMPUTED_VALUE"""),-2.638093726059708)</f>
        <v>-2.638093726</v>
      </c>
      <c r="AP340" s="4"/>
      <c r="AQ340" s="4"/>
      <c r="AR340" s="4">
        <f>IFERROR(__xludf.DUMMYFUNCTION("""COMPUTED_VALUE"""),6.73499331757364)</f>
        <v>6.734993318</v>
      </c>
      <c r="AS340" s="4"/>
      <c r="AT340" s="4"/>
      <c r="AU340" s="4">
        <f>IFERROR(__xludf.DUMMYFUNCTION("""COMPUTED_VALUE"""),2.7981978346614937)</f>
        <v>2.798197835</v>
      </c>
      <c r="AV340" s="4"/>
      <c r="AW340" s="4"/>
      <c r="AX340" s="4">
        <f>IFERROR(__xludf.DUMMYFUNCTION("""COMPUTED_VALUE"""),2.921843413921522)</f>
        <v>2.921843414</v>
      </c>
      <c r="AY340" s="4"/>
      <c r="AZ340" s="4"/>
      <c r="BA340" s="4">
        <f>IFERROR(__xludf.DUMMYFUNCTION("""COMPUTED_VALUE"""),2.5078715975073465)</f>
        <v>2.507871598</v>
      </c>
      <c r="BB340" s="4"/>
      <c r="BC340" s="4"/>
      <c r="BD340" s="4">
        <f>IFERROR(__xludf.DUMMYFUNCTION("""COMPUTED_VALUE"""),2.569295034576328)</f>
        <v>2.569295035</v>
      </c>
      <c r="BE340" s="4"/>
      <c r="BF340" s="4"/>
      <c r="BG340" s="4">
        <f>IFERROR(__xludf.DUMMYFUNCTION("""COMPUTED_VALUE"""),0.27084604689110847)</f>
        <v>0.2708460469</v>
      </c>
      <c r="BH340" s="4"/>
      <c r="BI340" s="4"/>
      <c r="BJ340" s="4"/>
      <c r="BK340" s="4"/>
    </row>
    <row r="341">
      <c r="A341" s="4"/>
      <c r="B341" s="4"/>
      <c r="C341" s="4"/>
      <c r="D341" s="4">
        <f>IFERROR(__xludf.DUMMYFUNCTION("""COMPUTED_VALUE"""),-100.09427840113472)</f>
        <v>-100.0942784</v>
      </c>
      <c r="E341" s="23">
        <f>IFERROR(__xludf.DUMMYFUNCTION("""COMPUTED_VALUE"""),2.1469202946906307)</f>
        <v>2.146920295</v>
      </c>
      <c r="F341" s="4"/>
      <c r="G341" s="4"/>
      <c r="H341" s="4">
        <f>IFERROR(__xludf.DUMMYFUNCTION("""COMPUTED_VALUE"""),0.6904258185222147)</f>
        <v>0.6904258185</v>
      </c>
      <c r="I341" s="4"/>
      <c r="J341" s="4"/>
      <c r="K341" s="4">
        <f>IFERROR(__xludf.DUMMYFUNCTION("""COMPUTED_VALUE"""),4.676335120864849)</f>
        <v>4.676335121</v>
      </c>
      <c r="L341" s="4"/>
      <c r="M341" s="4"/>
      <c r="N341" s="4">
        <f>IFERROR(__xludf.DUMMYFUNCTION("""COMPUTED_VALUE"""),2.5003564408148122)</f>
        <v>2.500356441</v>
      </c>
      <c r="O341" s="4"/>
      <c r="P341" s="4"/>
      <c r="Q341" s="4">
        <f>IFERROR(__xludf.DUMMYFUNCTION("""COMPUTED_VALUE"""),6.449402391809883)</f>
        <v>6.449402392</v>
      </c>
      <c r="R341" s="4"/>
      <c r="S341" s="4"/>
      <c r="T341" s="4">
        <f>IFERROR(__xludf.DUMMYFUNCTION("""COMPUTED_VALUE"""),-5.258583027284885)</f>
        <v>-5.258583027</v>
      </c>
      <c r="U341" s="4"/>
      <c r="V341" s="4"/>
      <c r="W341" s="4">
        <f>IFERROR(__xludf.DUMMYFUNCTION("""COMPUTED_VALUE"""),-2.29880905837058)</f>
        <v>-2.298809058</v>
      </c>
      <c r="X341" s="4"/>
      <c r="Y341" s="4"/>
      <c r="Z341" s="4">
        <f>IFERROR(__xludf.DUMMYFUNCTION("""COMPUTED_VALUE"""),3.318113163364785)</f>
        <v>3.318113163</v>
      </c>
      <c r="AA341" s="4"/>
      <c r="AB341" s="4"/>
      <c r="AC341" s="4">
        <f>IFERROR(__xludf.DUMMYFUNCTION("""COMPUTED_VALUE"""),8.21446591458647)</f>
        <v>8.214465915</v>
      </c>
      <c r="AD341" s="4"/>
      <c r="AE341" s="4"/>
      <c r="AF341" s="4">
        <f>IFERROR(__xludf.DUMMYFUNCTION("""COMPUTED_VALUE"""),5.468804861282592)</f>
        <v>5.468804861</v>
      </c>
      <c r="AG341" s="4"/>
      <c r="AH341" s="4"/>
      <c r="AI341" s="4">
        <f>IFERROR(__xludf.DUMMYFUNCTION("""COMPUTED_VALUE"""),-3.5982546563168967)</f>
        <v>-3.598254656</v>
      </c>
      <c r="AJ341" s="4"/>
      <c r="AK341" s="4"/>
      <c r="AL341" s="4">
        <f>IFERROR(__xludf.DUMMYFUNCTION("""COMPUTED_VALUE"""),-3.6543559117063182)</f>
        <v>-3.654355912</v>
      </c>
      <c r="AM341" s="4"/>
      <c r="AN341" s="4"/>
      <c r="AO341" s="4">
        <f>IFERROR(__xludf.DUMMYFUNCTION("""COMPUTED_VALUE"""),-4.951466443095228)</f>
        <v>-4.951466443</v>
      </c>
      <c r="AP341" s="4"/>
      <c r="AQ341" s="4"/>
      <c r="AR341" s="4">
        <f>IFERROR(__xludf.DUMMYFUNCTION("""COMPUTED_VALUE"""),1.2855433330742017)</f>
        <v>1.285543333</v>
      </c>
      <c r="AS341" s="4"/>
      <c r="AT341" s="4"/>
      <c r="AU341" s="4">
        <f>IFERROR(__xludf.DUMMYFUNCTION("""COMPUTED_VALUE"""),4.678365861483428)</f>
        <v>4.678365861</v>
      </c>
      <c r="AV341" s="4"/>
      <c r="AW341" s="4"/>
      <c r="AX341" s="4">
        <f>IFERROR(__xludf.DUMMYFUNCTION("""COMPUTED_VALUE"""),4.295372160932061)</f>
        <v>4.295372161</v>
      </c>
      <c r="AY341" s="4"/>
      <c r="AZ341" s="4"/>
      <c r="BA341" s="4">
        <f>IFERROR(__xludf.DUMMYFUNCTION("""COMPUTED_VALUE"""),-6.028695901266531)</f>
        <v>-6.028695901</v>
      </c>
      <c r="BB341" s="4"/>
      <c r="BC341" s="4"/>
      <c r="BD341" s="4">
        <f>IFERROR(__xludf.DUMMYFUNCTION("""COMPUTED_VALUE"""),5.255127321642249)</f>
        <v>5.255127322</v>
      </c>
      <c r="BE341" s="4"/>
      <c r="BF341" s="4"/>
      <c r="BG341" s="4">
        <f>IFERROR(__xludf.DUMMYFUNCTION("""COMPUTED_VALUE"""),-6.567870366341026)</f>
        <v>-6.567870366</v>
      </c>
      <c r="BH341" s="4"/>
      <c r="BI341" s="4"/>
      <c r="BJ341" s="4"/>
      <c r="BK341" s="4"/>
    </row>
    <row r="342">
      <c r="A342" s="4"/>
      <c r="B342" s="4"/>
      <c r="C342" s="4"/>
      <c r="D342" s="4">
        <f>IFERROR(__xludf.DUMMYFUNCTION("""COMPUTED_VALUE"""),-101.01257453393481)</f>
        <v>-101.0125745</v>
      </c>
      <c r="E342" s="23">
        <f>IFERROR(__xludf.DUMMYFUNCTION("""COMPUTED_VALUE"""),1.3333277077823027)</f>
        <v>1.333327708</v>
      </c>
      <c r="F342" s="4"/>
      <c r="G342" s="4"/>
      <c r="H342" s="4">
        <f>IFERROR(__xludf.DUMMYFUNCTION("""COMPUTED_VALUE"""),-2.89941838114828)</f>
        <v>-2.899418381</v>
      </c>
      <c r="I342" s="4"/>
      <c r="J342" s="4"/>
      <c r="K342" s="4">
        <f>IFERROR(__xludf.DUMMYFUNCTION("""COMPUTED_VALUE"""),4.208663815905709)</f>
        <v>4.208663816</v>
      </c>
      <c r="L342" s="4"/>
      <c r="M342" s="4"/>
      <c r="N342" s="4">
        <f>IFERROR(__xludf.DUMMYFUNCTION("""COMPUTED_VALUE"""),1.772141108624396)</f>
        <v>1.772141109</v>
      </c>
      <c r="O342" s="4"/>
      <c r="P342" s="4"/>
      <c r="Q342" s="4">
        <f>IFERROR(__xludf.DUMMYFUNCTION("""COMPUTED_VALUE"""),6.80626747117293)</f>
        <v>6.806267471</v>
      </c>
      <c r="R342" s="4"/>
      <c r="S342" s="4"/>
      <c r="T342" s="4">
        <f>IFERROR(__xludf.DUMMYFUNCTION("""COMPUTED_VALUE"""),3.834364150693432)</f>
        <v>3.834364151</v>
      </c>
      <c r="U342" s="4"/>
      <c r="V342" s="4"/>
      <c r="W342" s="4">
        <f>IFERROR(__xludf.DUMMYFUNCTION("""COMPUTED_VALUE"""),-3.100178550421788)</f>
        <v>-3.10017855</v>
      </c>
      <c r="X342" s="4"/>
      <c r="Y342" s="4"/>
      <c r="Z342" s="4">
        <f>IFERROR(__xludf.DUMMYFUNCTION("""COMPUTED_VALUE"""),-1.369821981426071)</f>
        <v>-1.369821981</v>
      </c>
      <c r="AA342" s="4"/>
      <c r="AB342" s="4"/>
      <c r="AC342" s="4">
        <f>IFERROR(__xludf.DUMMYFUNCTION("""COMPUTED_VALUE"""),4.930945619742374)</f>
        <v>4.93094562</v>
      </c>
      <c r="AD342" s="4"/>
      <c r="AE342" s="4"/>
      <c r="AF342" s="4">
        <f>IFERROR(__xludf.DUMMYFUNCTION("""COMPUTED_VALUE"""),5.768354659747274)</f>
        <v>5.76835466</v>
      </c>
      <c r="AG342" s="4"/>
      <c r="AH342" s="4"/>
      <c r="AI342" s="4">
        <f>IFERROR(__xludf.DUMMYFUNCTION("""COMPUTED_VALUE"""),-0.5132425834458445)</f>
        <v>-0.5132425834</v>
      </c>
      <c r="AJ342" s="4"/>
      <c r="AK342" s="4"/>
      <c r="AL342" s="4">
        <f>IFERROR(__xludf.DUMMYFUNCTION("""COMPUTED_VALUE"""),1.130365515297342)</f>
        <v>1.130365515</v>
      </c>
      <c r="AM342" s="4"/>
      <c r="AN342" s="4"/>
      <c r="AO342" s="4">
        <f>IFERROR(__xludf.DUMMYFUNCTION("""COMPUTED_VALUE"""),-3.3113613123320533)</f>
        <v>-3.311361312</v>
      </c>
      <c r="AP342" s="4"/>
      <c r="AQ342" s="4"/>
      <c r="AR342" s="4">
        <f>IFERROR(__xludf.DUMMYFUNCTION("""COMPUTED_VALUE"""),2.5996034438501283)</f>
        <v>2.599603444</v>
      </c>
      <c r="AS342" s="4"/>
      <c r="AT342" s="4"/>
      <c r="AU342" s="4">
        <f>IFERROR(__xludf.DUMMYFUNCTION("""COMPUTED_VALUE"""),-1.577450698062762)</f>
        <v>-1.577450698</v>
      </c>
      <c r="AV342" s="4"/>
      <c r="AW342" s="4"/>
      <c r="AX342" s="4">
        <f>IFERROR(__xludf.DUMMYFUNCTION("""COMPUTED_VALUE"""),5.263694408599463)</f>
        <v>5.263694409</v>
      </c>
      <c r="AY342" s="4"/>
      <c r="AZ342" s="4"/>
      <c r="BA342" s="4">
        <f>IFERROR(__xludf.DUMMYFUNCTION("""COMPUTED_VALUE"""),3.6642422905307512)</f>
        <v>3.664242291</v>
      </c>
      <c r="BB342" s="4"/>
      <c r="BC342" s="4"/>
      <c r="BD342" s="4">
        <f>IFERROR(__xludf.DUMMYFUNCTION("""COMPUTED_VALUE"""),2.0839076496050097)</f>
        <v>2.08390765</v>
      </c>
      <c r="BE342" s="4"/>
      <c r="BF342" s="4"/>
      <c r="BG342" s="4">
        <f>IFERROR(__xludf.DUMMYFUNCTION("""COMPUTED_VALUE"""),3.5609075402334156)</f>
        <v>3.56090754</v>
      </c>
      <c r="BH342" s="4"/>
      <c r="BI342" s="4"/>
      <c r="BJ342" s="4"/>
      <c r="BK342" s="4"/>
    </row>
    <row r="343">
      <c r="A343" s="4"/>
      <c r="B343" s="4"/>
      <c r="C343" s="4"/>
      <c r="D343" s="4">
        <f>IFERROR(__xludf.DUMMYFUNCTION("""COMPUTED_VALUE"""),-101.93087066673486)</f>
        <v>-101.9308707</v>
      </c>
      <c r="E343" s="23">
        <f>IFERROR(__xludf.DUMMYFUNCTION("""COMPUTED_VALUE"""),0.41533914490338475)</f>
        <v>0.4153391449</v>
      </c>
      <c r="F343" s="4"/>
      <c r="G343" s="4"/>
      <c r="H343" s="4">
        <f>IFERROR(__xludf.DUMMYFUNCTION("""COMPUTED_VALUE"""),-1.3949982111378176)</f>
        <v>-1.394998211</v>
      </c>
      <c r="I343" s="4"/>
      <c r="J343" s="4"/>
      <c r="K343" s="4">
        <f>IFERROR(__xludf.DUMMYFUNCTION("""COMPUTED_VALUE"""),4.810638385295988)</f>
        <v>4.810638385</v>
      </c>
      <c r="L343" s="4"/>
      <c r="M343" s="4"/>
      <c r="N343" s="4">
        <f>IFERROR(__xludf.DUMMYFUNCTION("""COMPUTED_VALUE"""),4.558104485269212)</f>
        <v>4.558104485</v>
      </c>
      <c r="O343" s="4"/>
      <c r="P343" s="4"/>
      <c r="Q343" s="4">
        <f>IFERROR(__xludf.DUMMYFUNCTION("""COMPUTED_VALUE"""),-3.0977798483691004)</f>
        <v>-3.097779848</v>
      </c>
      <c r="R343" s="4"/>
      <c r="S343" s="4"/>
      <c r="T343" s="4">
        <f>IFERROR(__xludf.DUMMYFUNCTION("""COMPUTED_VALUE"""),3.888257210372899)</f>
        <v>3.88825721</v>
      </c>
      <c r="U343" s="4"/>
      <c r="V343" s="4"/>
      <c r="W343" s="4">
        <f>IFERROR(__xludf.DUMMYFUNCTION("""COMPUTED_VALUE"""),1.481141473977459)</f>
        <v>1.481141474</v>
      </c>
      <c r="X343" s="4"/>
      <c r="Y343" s="4"/>
      <c r="Z343" s="4">
        <f>IFERROR(__xludf.DUMMYFUNCTION("""COMPUTED_VALUE"""),5.405450472668349)</f>
        <v>5.405450473</v>
      </c>
      <c r="AA343" s="4"/>
      <c r="AB343" s="4"/>
      <c r="AC343" s="4">
        <f>IFERROR(__xludf.DUMMYFUNCTION("""COMPUTED_VALUE"""),2.5129363221084304)</f>
        <v>2.512936322</v>
      </c>
      <c r="AD343" s="4"/>
      <c r="AE343" s="4"/>
      <c r="AF343" s="4">
        <f>IFERROR(__xludf.DUMMYFUNCTION("""COMPUTED_VALUE"""),0.5182884332087951)</f>
        <v>0.5182884332</v>
      </c>
      <c r="AG343" s="4"/>
      <c r="AH343" s="4"/>
      <c r="AI343" s="4">
        <f>IFERROR(__xludf.DUMMYFUNCTION("""COMPUTED_VALUE"""),-2.102987279630213)</f>
        <v>-2.10298728</v>
      </c>
      <c r="AJ343" s="4"/>
      <c r="AK343" s="4"/>
      <c r="AL343" s="4">
        <f>IFERROR(__xludf.DUMMYFUNCTION("""COMPUTED_VALUE"""),0.41472386252854676)</f>
        <v>0.4147238625</v>
      </c>
      <c r="AM343" s="4"/>
      <c r="AN343" s="4"/>
      <c r="AO343" s="4">
        <f>IFERROR(__xludf.DUMMYFUNCTION("""COMPUTED_VALUE"""),-2.7045273037326183)</f>
        <v>-2.704527304</v>
      </c>
      <c r="AP343" s="4"/>
      <c r="AQ343" s="4"/>
      <c r="AR343" s="4">
        <f>IFERROR(__xludf.DUMMYFUNCTION("""COMPUTED_VALUE"""),-2.4869623788424633)</f>
        <v>-2.486962379</v>
      </c>
      <c r="AS343" s="4"/>
      <c r="AT343" s="4"/>
      <c r="AU343" s="4">
        <f>IFERROR(__xludf.DUMMYFUNCTION("""COMPUTED_VALUE"""),-4.004477997449044)</f>
        <v>-4.004477997</v>
      </c>
      <c r="AV343" s="4"/>
      <c r="AW343" s="4"/>
      <c r="AX343" s="4">
        <f>IFERROR(__xludf.DUMMYFUNCTION("""COMPUTED_VALUE"""),5.89614810704137)</f>
        <v>5.896148107</v>
      </c>
      <c r="AY343" s="4"/>
      <c r="AZ343" s="4"/>
      <c r="BA343" s="4">
        <f>IFERROR(__xludf.DUMMYFUNCTION("""COMPUTED_VALUE"""),-1.7247140870666158)</f>
        <v>-1.724714087</v>
      </c>
      <c r="BB343" s="4"/>
      <c r="BC343" s="4"/>
      <c r="BD343" s="4">
        <f>IFERROR(__xludf.DUMMYFUNCTION("""COMPUTED_VALUE"""),6.085076408722784)</f>
        <v>6.085076409</v>
      </c>
      <c r="BE343" s="4"/>
      <c r="BF343" s="4"/>
      <c r="BG343" s="4">
        <f>IFERROR(__xludf.DUMMYFUNCTION("""COMPUTED_VALUE"""),-3.5995554755027115)</f>
        <v>-3.599555476</v>
      </c>
      <c r="BH343" s="4"/>
      <c r="BI343" s="4"/>
      <c r="BJ343" s="4"/>
      <c r="BK343" s="4"/>
    </row>
    <row r="344">
      <c r="A344" s="4"/>
      <c r="B344" s="4"/>
      <c r="C344" s="4"/>
      <c r="D344" s="4">
        <f>IFERROR(__xludf.DUMMYFUNCTION("""COMPUTED_VALUE"""),-102.84916679736963)</f>
        <v>-102.8491668</v>
      </c>
      <c r="E344" s="23">
        <f>IFERROR(__xludf.DUMMYFUNCTION("""COMPUTED_VALUE"""),7.303474271358937)</f>
        <v>7.303474271</v>
      </c>
      <c r="F344" s="4"/>
      <c r="G344" s="4"/>
      <c r="H344" s="4">
        <f>IFERROR(__xludf.DUMMYFUNCTION("""COMPUTED_VALUE"""),0.7316066993892605)</f>
        <v>0.7316066994</v>
      </c>
      <c r="I344" s="4"/>
      <c r="J344" s="4"/>
      <c r="K344" s="4">
        <f>IFERROR(__xludf.DUMMYFUNCTION("""COMPUTED_VALUE"""),0.9887125627711839)</f>
        <v>0.9887125628</v>
      </c>
      <c r="L344" s="4"/>
      <c r="M344" s="4"/>
      <c r="N344" s="4">
        <f>IFERROR(__xludf.DUMMYFUNCTION("""COMPUTED_VALUE"""),4.054286994636755)</f>
        <v>4.054286995</v>
      </c>
      <c r="O344" s="4"/>
      <c r="P344" s="4"/>
      <c r="Q344" s="4">
        <f>IFERROR(__xludf.DUMMYFUNCTION("""COMPUTED_VALUE"""),0.5773777909907949)</f>
        <v>0.577377791</v>
      </c>
      <c r="R344" s="4"/>
      <c r="S344" s="4"/>
      <c r="T344" s="4">
        <f>IFERROR(__xludf.DUMMYFUNCTION("""COMPUTED_VALUE"""),2.624506021626985)</f>
        <v>2.624506022</v>
      </c>
      <c r="U344" s="4"/>
      <c r="V344" s="4"/>
      <c r="W344" s="4">
        <f>IFERROR(__xludf.DUMMYFUNCTION("""COMPUTED_VALUE"""),-2.409812574087482)</f>
        <v>-2.409812574</v>
      </c>
      <c r="X344" s="4"/>
      <c r="Y344" s="4"/>
      <c r="Z344" s="4">
        <f>IFERROR(__xludf.DUMMYFUNCTION("""COMPUTED_VALUE"""),-0.5376623787697099)</f>
        <v>-0.5376623788</v>
      </c>
      <c r="AA344" s="4"/>
      <c r="AB344" s="4"/>
      <c r="AC344" s="4">
        <f>IFERROR(__xludf.DUMMYFUNCTION("""COMPUTED_VALUE"""),3.9812760776028426)</f>
        <v>3.981276078</v>
      </c>
      <c r="AD344" s="4"/>
      <c r="AE344" s="4"/>
      <c r="AF344" s="4">
        <f>IFERROR(__xludf.DUMMYFUNCTION("""COMPUTED_VALUE"""),0.7047445470319076)</f>
        <v>0.704744547</v>
      </c>
      <c r="AG344" s="4"/>
      <c r="AH344" s="4"/>
      <c r="AI344" s="4">
        <f>IFERROR(__xludf.DUMMYFUNCTION("""COMPUTED_VALUE"""),1.6426140230615829)</f>
        <v>1.642614023</v>
      </c>
      <c r="AJ344" s="4"/>
      <c r="AK344" s="4"/>
      <c r="AL344" s="4">
        <f>IFERROR(__xludf.DUMMYFUNCTION("""COMPUTED_VALUE"""),-0.8302956332431108)</f>
        <v>-0.8302956332</v>
      </c>
      <c r="AM344" s="4"/>
      <c r="AN344" s="4"/>
      <c r="AO344" s="4">
        <f>IFERROR(__xludf.DUMMYFUNCTION("""COMPUTED_VALUE"""),0.18982749979932123)</f>
        <v>0.1898274998</v>
      </c>
      <c r="AP344" s="4"/>
      <c r="AQ344" s="4"/>
      <c r="AR344" s="4">
        <f>IFERROR(__xludf.DUMMYFUNCTION("""COMPUTED_VALUE"""),2.9691979091151097)</f>
        <v>2.969197909</v>
      </c>
      <c r="AS344" s="4"/>
      <c r="AT344" s="4"/>
      <c r="AU344" s="4">
        <f>IFERROR(__xludf.DUMMYFUNCTION("""COMPUTED_VALUE"""),-1.910047284062955)</f>
        <v>-1.910047284</v>
      </c>
      <c r="AV344" s="4"/>
      <c r="AW344" s="4"/>
      <c r="AX344" s="4">
        <f>IFERROR(__xludf.DUMMYFUNCTION("""COMPUTED_VALUE"""),3.0710520300824555)</f>
        <v>3.07105203</v>
      </c>
      <c r="AY344" s="4"/>
      <c r="AZ344" s="4"/>
      <c r="BA344" s="4">
        <f>IFERROR(__xludf.DUMMYFUNCTION("""COMPUTED_VALUE"""),1.5878548896780558)</f>
        <v>1.58785489</v>
      </c>
      <c r="BB344" s="4"/>
      <c r="BC344" s="4"/>
      <c r="BD344" s="4">
        <f>IFERROR(__xludf.DUMMYFUNCTION("""COMPUTED_VALUE"""),-0.9386754224636888)</f>
        <v>-0.9386754225</v>
      </c>
      <c r="BE344" s="4"/>
      <c r="BF344" s="4"/>
      <c r="BG344" s="4">
        <f>IFERROR(__xludf.DUMMYFUNCTION("""COMPUTED_VALUE"""),1.4335063253263343)</f>
        <v>1.433506325</v>
      </c>
      <c r="BH344" s="4"/>
      <c r="BI344" s="4"/>
      <c r="BJ344" s="4"/>
      <c r="BK344" s="4"/>
    </row>
    <row r="345">
      <c r="A345" s="4"/>
      <c r="B345" s="4"/>
      <c r="C345" s="4"/>
      <c r="D345" s="4">
        <f>IFERROR(__xludf.DUMMYFUNCTION("""COMPUTED_VALUE"""),-103.76746293016973)</f>
        <v>-103.7674629</v>
      </c>
      <c r="E345" s="23">
        <f>IFERROR(__xludf.DUMMYFUNCTION("""COMPUTED_VALUE"""),5.7393589825798585)</f>
        <v>5.739358983</v>
      </c>
      <c r="F345" s="4"/>
      <c r="G345" s="4"/>
      <c r="H345" s="4">
        <f>IFERROR(__xludf.DUMMYFUNCTION("""COMPUTED_VALUE"""),0.8980261958152482)</f>
        <v>0.8980261958</v>
      </c>
      <c r="I345" s="4"/>
      <c r="J345" s="4"/>
      <c r="K345" s="4">
        <f>IFERROR(__xludf.DUMMYFUNCTION("""COMPUTED_VALUE"""),-2.315235303372276)</f>
        <v>-2.315235303</v>
      </c>
      <c r="L345" s="4"/>
      <c r="M345" s="4"/>
      <c r="N345" s="4">
        <f>IFERROR(__xludf.DUMMYFUNCTION("""COMPUTED_VALUE"""),-0.010455113740931665)</f>
        <v>-0.01045511374</v>
      </c>
      <c r="O345" s="4"/>
      <c r="P345" s="4"/>
      <c r="Q345" s="4">
        <f>IFERROR(__xludf.DUMMYFUNCTION("""COMPUTED_VALUE"""),0.6872691574798182)</f>
        <v>0.6872691575</v>
      </c>
      <c r="R345" s="4"/>
      <c r="S345" s="4"/>
      <c r="T345" s="4">
        <f>IFERROR(__xludf.DUMMYFUNCTION("""COMPUTED_VALUE"""),-3.6958938856185455)</f>
        <v>-3.695893886</v>
      </c>
      <c r="U345" s="4"/>
      <c r="V345" s="4"/>
      <c r="W345" s="4">
        <f>IFERROR(__xludf.DUMMYFUNCTION("""COMPUTED_VALUE"""),-5.447757972075237)</f>
        <v>-5.447757972</v>
      </c>
      <c r="X345" s="4"/>
      <c r="Y345" s="4"/>
      <c r="Z345" s="4">
        <f>IFERROR(__xludf.DUMMYFUNCTION("""COMPUTED_VALUE"""),-1.3123755586051402)</f>
        <v>-1.312375559</v>
      </c>
      <c r="AA345" s="4"/>
      <c r="AB345" s="4"/>
      <c r="AC345" s="4">
        <f>IFERROR(__xludf.DUMMYFUNCTION("""COMPUTED_VALUE"""),6.600862080396951)</f>
        <v>6.60086208</v>
      </c>
      <c r="AD345" s="4"/>
      <c r="AE345" s="4"/>
      <c r="AF345" s="4">
        <f>IFERROR(__xludf.DUMMYFUNCTION("""COMPUTED_VALUE"""),3.7362144341296357)</f>
        <v>3.736214434</v>
      </c>
      <c r="AG345" s="4"/>
      <c r="AH345" s="4"/>
      <c r="AI345" s="4">
        <f>IFERROR(__xludf.DUMMYFUNCTION("""COMPUTED_VALUE"""),-0.07503178308473935)</f>
        <v>-0.07503178308</v>
      </c>
      <c r="AJ345" s="4"/>
      <c r="AK345" s="4"/>
      <c r="AL345" s="4">
        <f>IFERROR(__xludf.DUMMYFUNCTION("""COMPUTED_VALUE"""),-3.968690075201039)</f>
        <v>-3.968690075</v>
      </c>
      <c r="AM345" s="4"/>
      <c r="AN345" s="4"/>
      <c r="AO345" s="4">
        <f>IFERROR(__xludf.DUMMYFUNCTION("""COMPUTED_VALUE"""),-3.7024549530796094)</f>
        <v>-3.702454953</v>
      </c>
      <c r="AP345" s="4"/>
      <c r="AQ345" s="4"/>
      <c r="AR345" s="4">
        <f>IFERROR(__xludf.DUMMYFUNCTION("""COMPUTED_VALUE"""),4.09692583782487)</f>
        <v>4.096925838</v>
      </c>
      <c r="AS345" s="4"/>
      <c r="AT345" s="4"/>
      <c r="AU345" s="4">
        <f>IFERROR(__xludf.DUMMYFUNCTION("""COMPUTED_VALUE"""),2.3056715113361292)</f>
        <v>2.305671511</v>
      </c>
      <c r="AV345" s="4"/>
      <c r="AW345" s="4"/>
      <c r="AX345" s="4">
        <f>IFERROR(__xludf.DUMMYFUNCTION("""COMPUTED_VALUE"""),-1.4338702840963151)</f>
        <v>-1.433870284</v>
      </c>
      <c r="AY345" s="4"/>
      <c r="AZ345" s="4"/>
      <c r="BA345" s="4">
        <f>IFERROR(__xludf.DUMMYFUNCTION("""COMPUTED_VALUE"""),-0.32725037004473734)</f>
        <v>-0.32725037</v>
      </c>
      <c r="BB345" s="4"/>
      <c r="BC345" s="4"/>
      <c r="BD345" s="4">
        <f>IFERROR(__xludf.DUMMYFUNCTION("""COMPUTED_VALUE"""),-0.08783935108192509)</f>
        <v>-0.08783935108</v>
      </c>
      <c r="BE345" s="4"/>
      <c r="BF345" s="4"/>
      <c r="BG345" s="4">
        <f>IFERROR(__xludf.DUMMYFUNCTION("""COMPUTED_VALUE"""),4.0408018623256226)</f>
        <v>4.040801862</v>
      </c>
      <c r="BH345" s="4"/>
      <c r="BI345" s="4"/>
      <c r="BJ345" s="4"/>
      <c r="BK345" s="4"/>
    </row>
    <row r="346">
      <c r="A346" s="4"/>
      <c r="B346" s="4"/>
      <c r="C346" s="4"/>
      <c r="D346" s="4">
        <f>IFERROR(__xludf.DUMMYFUNCTION("""COMPUTED_VALUE"""),-104.68575906291943)</f>
        <v>-104.6857591</v>
      </c>
      <c r="E346" s="23">
        <f>IFERROR(__xludf.DUMMYFUNCTION("""COMPUTED_VALUE"""),-3.8829410271040388)</f>
        <v>-3.882941027</v>
      </c>
      <c r="F346" s="4"/>
      <c r="G346" s="4"/>
      <c r="H346" s="4">
        <f>IFERROR(__xludf.DUMMYFUNCTION("""COMPUTED_VALUE"""),0.24751874570114296)</f>
        <v>0.2475187457</v>
      </c>
      <c r="I346" s="4"/>
      <c r="J346" s="4"/>
      <c r="K346" s="4">
        <f>IFERROR(__xludf.DUMMYFUNCTION("""COMPUTED_VALUE"""),6.48178246421719)</f>
        <v>6.481782464</v>
      </c>
      <c r="L346" s="4"/>
      <c r="M346" s="4"/>
      <c r="N346" s="4">
        <f>IFERROR(__xludf.DUMMYFUNCTION("""COMPUTED_VALUE"""),3.7848115482380535)</f>
        <v>3.784811548</v>
      </c>
      <c r="O346" s="4"/>
      <c r="P346" s="4"/>
      <c r="Q346" s="4">
        <f>IFERROR(__xludf.DUMMYFUNCTION("""COMPUTED_VALUE"""),0.4256033716405909)</f>
        <v>0.4256033716</v>
      </c>
      <c r="R346" s="4"/>
      <c r="S346" s="4"/>
      <c r="T346" s="4">
        <f>IFERROR(__xludf.DUMMYFUNCTION("""COMPUTED_VALUE"""),-4.592325673534219)</f>
        <v>-4.592325674</v>
      </c>
      <c r="U346" s="4"/>
      <c r="V346" s="4"/>
      <c r="W346" s="4">
        <f>IFERROR(__xludf.DUMMYFUNCTION("""COMPUTED_VALUE"""),-3.704490228595489)</f>
        <v>-3.704490229</v>
      </c>
      <c r="X346" s="4"/>
      <c r="Y346" s="4"/>
      <c r="Z346" s="4">
        <f>IFERROR(__xludf.DUMMYFUNCTION("""COMPUTED_VALUE"""),3.1723702058941967)</f>
        <v>3.172370206</v>
      </c>
      <c r="AA346" s="4"/>
      <c r="AB346" s="4"/>
      <c r="AC346" s="4">
        <f>IFERROR(__xludf.DUMMYFUNCTION("""COMPUTED_VALUE"""),3.5109854333433077)</f>
        <v>3.510985433</v>
      </c>
      <c r="AD346" s="4"/>
      <c r="AE346" s="4"/>
      <c r="AF346" s="4">
        <f>IFERROR(__xludf.DUMMYFUNCTION("""COMPUTED_VALUE"""),3.9762893966325805)</f>
        <v>3.976289397</v>
      </c>
      <c r="AG346" s="4"/>
      <c r="AH346" s="4"/>
      <c r="AI346" s="4">
        <f>IFERROR(__xludf.DUMMYFUNCTION("""COMPUTED_VALUE"""),3.7834172969019733)</f>
        <v>3.783417297</v>
      </c>
      <c r="AJ346" s="4"/>
      <c r="AK346" s="4"/>
      <c r="AL346" s="4">
        <f>IFERROR(__xludf.DUMMYFUNCTION("""COMPUTED_VALUE"""),1.74071128412686)</f>
        <v>1.740711284</v>
      </c>
      <c r="AM346" s="4"/>
      <c r="AN346" s="4"/>
      <c r="AO346" s="4">
        <f>IFERROR(__xludf.DUMMYFUNCTION("""COMPUTED_VALUE"""),-3.9039388103399233)</f>
        <v>-3.90393881</v>
      </c>
      <c r="AP346" s="4"/>
      <c r="AQ346" s="4"/>
      <c r="AR346" s="4">
        <f>IFERROR(__xludf.DUMMYFUNCTION("""COMPUTED_VALUE"""),4.972046083489772)</f>
        <v>4.972046083</v>
      </c>
      <c r="AS346" s="4"/>
      <c r="AT346" s="4"/>
      <c r="AU346" s="4">
        <f>IFERROR(__xludf.DUMMYFUNCTION("""COMPUTED_VALUE"""),-0.36549045217645926)</f>
        <v>-0.3654904522</v>
      </c>
      <c r="AV346" s="4"/>
      <c r="AW346" s="4"/>
      <c r="AX346" s="4">
        <f>IFERROR(__xludf.DUMMYFUNCTION("""COMPUTED_VALUE"""),4.252612492200285)</f>
        <v>4.252612492</v>
      </c>
      <c r="AY346" s="4"/>
      <c r="AZ346" s="4"/>
      <c r="BA346" s="4">
        <f>IFERROR(__xludf.DUMMYFUNCTION("""COMPUTED_VALUE"""),4.170765742291337)</f>
        <v>4.170765742</v>
      </c>
      <c r="BB346" s="4"/>
      <c r="BC346" s="4"/>
      <c r="BD346" s="4">
        <f>IFERROR(__xludf.DUMMYFUNCTION("""COMPUTED_VALUE"""),-1.6548321855321433)</f>
        <v>-1.654832186</v>
      </c>
      <c r="BE346" s="4"/>
      <c r="BF346" s="4"/>
      <c r="BG346" s="4">
        <f>IFERROR(__xludf.DUMMYFUNCTION("""COMPUTED_VALUE"""),3.7757493683230337)</f>
        <v>3.775749368</v>
      </c>
      <c r="BH346" s="4"/>
      <c r="BI346" s="4"/>
      <c r="BJ346" s="4"/>
      <c r="BK346" s="4"/>
    </row>
    <row r="347">
      <c r="A347" s="4"/>
      <c r="B347" s="4"/>
      <c r="C347" s="4"/>
      <c r="D347" s="4">
        <f>IFERROR(__xludf.DUMMYFUNCTION("""COMPUTED_VALUE"""),-105.60405519571952)</f>
        <v>-105.6040552</v>
      </c>
      <c r="E347" s="23">
        <f>IFERROR(__xludf.DUMMYFUNCTION("""COMPUTED_VALUE"""),-3.1625031462863262)</f>
        <v>-3.162503146</v>
      </c>
      <c r="F347" s="4"/>
      <c r="G347" s="4"/>
      <c r="H347" s="4">
        <f>IFERROR(__xludf.DUMMYFUNCTION("""COMPUTED_VALUE"""),6.006997774833337)</f>
        <v>6.006997775</v>
      </c>
      <c r="I347" s="4"/>
      <c r="J347" s="4"/>
      <c r="K347" s="4">
        <f>IFERROR(__xludf.DUMMYFUNCTION("""COMPUTED_VALUE"""),1.7761997668089293)</f>
        <v>1.776199767</v>
      </c>
      <c r="L347" s="4"/>
      <c r="M347" s="4"/>
      <c r="N347" s="4">
        <f>IFERROR(__xludf.DUMMYFUNCTION("""COMPUTED_VALUE"""),5.427353653194302)</f>
        <v>5.427353653</v>
      </c>
      <c r="O347" s="4"/>
      <c r="P347" s="4"/>
      <c r="Q347" s="4">
        <f>IFERROR(__xludf.DUMMYFUNCTION("""COMPUTED_VALUE"""),-1.207624013790337)</f>
        <v>-1.207624014</v>
      </c>
      <c r="R347" s="4"/>
      <c r="S347" s="4"/>
      <c r="T347" s="4">
        <f>IFERROR(__xludf.DUMMYFUNCTION("""COMPUTED_VALUE"""),-0.5427393133556393)</f>
        <v>-0.5427393134</v>
      </c>
      <c r="U347" s="4"/>
      <c r="V347" s="4"/>
      <c r="W347" s="4">
        <f>IFERROR(__xludf.DUMMYFUNCTION("""COMPUTED_VALUE"""),-5.733026625032778)</f>
        <v>-5.733026625</v>
      </c>
      <c r="X347" s="4"/>
      <c r="Y347" s="4"/>
      <c r="Z347" s="4">
        <f>IFERROR(__xludf.DUMMYFUNCTION("""COMPUTED_VALUE"""),-0.5514093265206839)</f>
        <v>-0.5514093265</v>
      </c>
      <c r="AA347" s="4"/>
      <c r="AB347" s="4"/>
      <c r="AC347" s="4">
        <f>IFERROR(__xludf.DUMMYFUNCTION("""COMPUTED_VALUE"""),10.888060723540718)</f>
        <v>10.88806072</v>
      </c>
      <c r="AD347" s="4"/>
      <c r="AE347" s="4"/>
      <c r="AF347" s="4">
        <f>IFERROR(__xludf.DUMMYFUNCTION("""COMPUTED_VALUE"""),1.203587979577776)</f>
        <v>1.20358798</v>
      </c>
      <c r="AG347" s="4"/>
      <c r="AH347" s="4"/>
      <c r="AI347" s="4">
        <f>IFERROR(__xludf.DUMMYFUNCTION("""COMPUTED_VALUE"""),2.412718891458553)</f>
        <v>2.412718891</v>
      </c>
      <c r="AJ347" s="4"/>
      <c r="AK347" s="4"/>
      <c r="AL347" s="4">
        <f>IFERROR(__xludf.DUMMYFUNCTION("""COMPUTED_VALUE"""),2.2164100382761376)</f>
        <v>2.216410038</v>
      </c>
      <c r="AM347" s="4"/>
      <c r="AN347" s="4"/>
      <c r="AO347" s="4">
        <f>IFERROR(__xludf.DUMMYFUNCTION("""COMPUTED_VALUE"""),-5.208212709969132)</f>
        <v>-5.20821271</v>
      </c>
      <c r="AP347" s="4"/>
      <c r="AQ347" s="4"/>
      <c r="AR347" s="4">
        <f>IFERROR(__xludf.DUMMYFUNCTION("""COMPUTED_VALUE"""),4.722725379516078)</f>
        <v>4.72272538</v>
      </c>
      <c r="AS347" s="4"/>
      <c r="AT347" s="4"/>
      <c r="AU347" s="4">
        <f>IFERROR(__xludf.DUMMYFUNCTION("""COMPUTED_VALUE"""),-1.3662751451692543)</f>
        <v>-1.366275145</v>
      </c>
      <c r="AV347" s="4"/>
      <c r="AW347" s="4"/>
      <c r="AX347" s="4">
        <f>IFERROR(__xludf.DUMMYFUNCTION("""COMPUTED_VALUE"""),0.5380430013449882)</f>
        <v>0.5380430013</v>
      </c>
      <c r="AY347" s="4"/>
      <c r="AZ347" s="4"/>
      <c r="BA347" s="4">
        <f>IFERROR(__xludf.DUMMYFUNCTION("""COMPUTED_VALUE"""),-0.45475399201467326)</f>
        <v>-0.454753992</v>
      </c>
      <c r="BB347" s="4"/>
      <c r="BC347" s="4"/>
      <c r="BD347" s="4">
        <f>IFERROR(__xludf.DUMMYFUNCTION("""COMPUTED_VALUE"""),-7.991576795895128)</f>
        <v>-7.991576796</v>
      </c>
      <c r="BE347" s="4"/>
      <c r="BF347" s="4"/>
      <c r="BG347" s="4">
        <f>IFERROR(__xludf.DUMMYFUNCTION("""COMPUTED_VALUE"""),0.5037146627764173)</f>
        <v>0.5037146628</v>
      </c>
      <c r="BH347" s="4"/>
      <c r="BI347" s="4"/>
      <c r="BJ347" s="4"/>
      <c r="BK347" s="4"/>
    </row>
    <row r="348">
      <c r="A348" s="4"/>
      <c r="B348" s="4"/>
      <c r="C348" s="4"/>
      <c r="D348" s="4">
        <f>IFERROR(__xludf.DUMMYFUNCTION("""COMPUTED_VALUE"""),-106.52235132640465)</f>
        <v>-106.5223513</v>
      </c>
      <c r="E348" s="23">
        <f>IFERROR(__xludf.DUMMYFUNCTION("""COMPUTED_VALUE"""),-0.6224690985459915)</f>
        <v>-0.6224690985</v>
      </c>
      <c r="F348" s="4"/>
      <c r="G348" s="4"/>
      <c r="H348" s="4">
        <f>IFERROR(__xludf.DUMMYFUNCTION("""COMPUTED_VALUE"""),-1.6297298456864837)</f>
        <v>-1.629729846</v>
      </c>
      <c r="I348" s="4"/>
      <c r="J348" s="4"/>
      <c r="K348" s="4">
        <f>IFERROR(__xludf.DUMMYFUNCTION("""COMPUTED_VALUE"""),-1.2454288366690207)</f>
        <v>-1.245428837</v>
      </c>
      <c r="L348" s="4"/>
      <c r="M348" s="4"/>
      <c r="N348" s="4">
        <f>IFERROR(__xludf.DUMMYFUNCTION("""COMPUTED_VALUE"""),-0.005493187013883016)</f>
        <v>-0.005493187014</v>
      </c>
      <c r="O348" s="4"/>
      <c r="P348" s="4"/>
      <c r="Q348" s="4">
        <f>IFERROR(__xludf.DUMMYFUNCTION("""COMPUTED_VALUE"""),-0.4763380381327238)</f>
        <v>-0.4763380381</v>
      </c>
      <c r="R348" s="4"/>
      <c r="S348" s="4"/>
      <c r="T348" s="4">
        <f>IFERROR(__xludf.DUMMYFUNCTION("""COMPUTED_VALUE"""),3.8024291524238834)</f>
        <v>3.802429152</v>
      </c>
      <c r="U348" s="4"/>
      <c r="V348" s="4"/>
      <c r="W348" s="4">
        <f>IFERROR(__xludf.DUMMYFUNCTION("""COMPUTED_VALUE"""),-8.518400833103215)</f>
        <v>-8.518400833</v>
      </c>
      <c r="X348" s="4"/>
      <c r="Y348" s="4"/>
      <c r="Z348" s="4">
        <f>IFERROR(__xludf.DUMMYFUNCTION("""COMPUTED_VALUE"""),2.901763392617511)</f>
        <v>2.901763393</v>
      </c>
      <c r="AA348" s="4"/>
      <c r="AB348" s="4"/>
      <c r="AC348" s="4">
        <f>IFERROR(__xludf.DUMMYFUNCTION("""COMPUTED_VALUE"""),1.5082023913627154)</f>
        <v>1.508202391</v>
      </c>
      <c r="AD348" s="4"/>
      <c r="AE348" s="4"/>
      <c r="AF348" s="4">
        <f>IFERROR(__xludf.DUMMYFUNCTION("""COMPUTED_VALUE"""),0.8369813245185469)</f>
        <v>0.8369813245</v>
      </c>
      <c r="AG348" s="4"/>
      <c r="AH348" s="4"/>
      <c r="AI348" s="4">
        <f>IFERROR(__xludf.DUMMYFUNCTION("""COMPUTED_VALUE"""),-1.943702214338316)</f>
        <v>-1.943702214</v>
      </c>
      <c r="AJ348" s="4"/>
      <c r="AK348" s="4"/>
      <c r="AL348" s="4">
        <f>IFERROR(__xludf.DUMMYFUNCTION("""COMPUTED_VALUE"""),2.5809813808481863)</f>
        <v>2.580981381</v>
      </c>
      <c r="AM348" s="4"/>
      <c r="AN348" s="4"/>
      <c r="AO348" s="4">
        <f>IFERROR(__xludf.DUMMYFUNCTION("""COMPUTED_VALUE"""),2.7083961159504497)</f>
        <v>2.708396116</v>
      </c>
      <c r="AP348" s="4"/>
      <c r="AQ348" s="4"/>
      <c r="AR348" s="4">
        <f>IFERROR(__xludf.DUMMYFUNCTION("""COMPUTED_VALUE"""),2.8836443298993117)</f>
        <v>2.88364433</v>
      </c>
      <c r="AS348" s="4"/>
      <c r="AT348" s="4"/>
      <c r="AU348" s="4">
        <f>IFERROR(__xludf.DUMMYFUNCTION("""COMPUTED_VALUE"""),4.240167200900601)</f>
        <v>4.240167201</v>
      </c>
      <c r="AV348" s="4"/>
      <c r="AW348" s="4"/>
      <c r="AX348" s="4">
        <f>IFERROR(__xludf.DUMMYFUNCTION("""COMPUTED_VALUE"""),1.1739409865865014)</f>
        <v>1.173940987</v>
      </c>
      <c r="AY348" s="4"/>
      <c r="AZ348" s="4"/>
      <c r="BA348" s="4">
        <f>IFERROR(__xludf.DUMMYFUNCTION("""COMPUTED_VALUE"""),-5.127308326448656)</f>
        <v>-5.127308326</v>
      </c>
      <c r="BB348" s="4"/>
      <c r="BC348" s="4"/>
      <c r="BD348" s="4">
        <f>IFERROR(__xludf.DUMMYFUNCTION("""COMPUTED_VALUE"""),-1.3228167374577424)</f>
        <v>-1.322816737</v>
      </c>
      <c r="BE348" s="4"/>
      <c r="BF348" s="4"/>
      <c r="BG348" s="4">
        <f>IFERROR(__xludf.DUMMYFUNCTION("""COMPUTED_VALUE"""),0.6178997902247829)</f>
        <v>0.6178997902</v>
      </c>
      <c r="BH348" s="4"/>
      <c r="BI348" s="4"/>
      <c r="BJ348" s="4"/>
      <c r="BK348" s="4"/>
    </row>
    <row r="349">
      <c r="A349" s="4"/>
      <c r="B349" s="4"/>
      <c r="C349" s="4"/>
      <c r="D349" s="4">
        <f>IFERROR(__xludf.DUMMYFUNCTION("""COMPUTED_VALUE"""),-107.44064745915435)</f>
        <v>-107.4406475</v>
      </c>
      <c r="E349" s="23">
        <f>IFERROR(__xludf.DUMMYFUNCTION("""COMPUTED_VALUE"""),-0.8138946387037436)</f>
        <v>-0.8138946387</v>
      </c>
      <c r="F349" s="4"/>
      <c r="G349" s="4"/>
      <c r="H349" s="4">
        <f>IFERROR(__xludf.DUMMYFUNCTION("""COMPUTED_VALUE"""),-5.056032493572843)</f>
        <v>-5.056032494</v>
      </c>
      <c r="I349" s="4"/>
      <c r="J349" s="4"/>
      <c r="K349" s="4">
        <f>IFERROR(__xludf.DUMMYFUNCTION("""COMPUTED_VALUE"""),2.0771234895771045)</f>
        <v>2.07712349</v>
      </c>
      <c r="L349" s="4"/>
      <c r="M349" s="4"/>
      <c r="N349" s="4">
        <f>IFERROR(__xludf.DUMMYFUNCTION("""COMPUTED_VALUE"""),3.6322401315937327)</f>
        <v>3.632240132</v>
      </c>
      <c r="O349" s="4"/>
      <c r="P349" s="4"/>
      <c r="Q349" s="4">
        <f>IFERROR(__xludf.DUMMYFUNCTION("""COMPUTED_VALUE"""),5.548815791113839)</f>
        <v>5.548815791</v>
      </c>
      <c r="R349" s="4"/>
      <c r="S349" s="4"/>
      <c r="T349" s="4">
        <f>IFERROR(__xludf.DUMMYFUNCTION("""COMPUTED_VALUE"""),0.3261162835684672)</f>
        <v>0.3261162836</v>
      </c>
      <c r="U349" s="4"/>
      <c r="V349" s="4"/>
      <c r="W349" s="4">
        <f>IFERROR(__xludf.DUMMYFUNCTION("""COMPUTED_VALUE"""),-6.753724948000809)</f>
        <v>-6.753724948</v>
      </c>
      <c r="X349" s="4"/>
      <c r="Y349" s="4"/>
      <c r="Z349" s="4">
        <f>IFERROR(__xludf.DUMMYFUNCTION("""COMPUTED_VALUE"""),2.7556489833194178)</f>
        <v>2.755648983</v>
      </c>
      <c r="AA349" s="4"/>
      <c r="AB349" s="4"/>
      <c r="AC349" s="4">
        <f>IFERROR(__xludf.DUMMYFUNCTION("""COMPUTED_VALUE"""),6.887553668818896)</f>
        <v>6.887553669</v>
      </c>
      <c r="AD349" s="4"/>
      <c r="AE349" s="4"/>
      <c r="AF349" s="4">
        <f>IFERROR(__xludf.DUMMYFUNCTION("""COMPUTED_VALUE"""),0.9514560002368171)</f>
        <v>0.9514560002</v>
      </c>
      <c r="AG349" s="4"/>
      <c r="AH349" s="4"/>
      <c r="AI349" s="4">
        <f>IFERROR(__xludf.DUMMYFUNCTION("""COMPUTED_VALUE"""),1.6598561687732172)</f>
        <v>1.659856169</v>
      </c>
      <c r="AJ349" s="4"/>
      <c r="AK349" s="4"/>
      <c r="AL349" s="4">
        <f>IFERROR(__xludf.DUMMYFUNCTION("""COMPUTED_VALUE"""),3.5024283424355076)</f>
        <v>3.502428342</v>
      </c>
      <c r="AM349" s="4"/>
      <c r="AN349" s="4"/>
      <c r="AO349" s="4">
        <f>IFERROR(__xludf.DUMMYFUNCTION("""COMPUTED_VALUE"""),-9.843259377938182)</f>
        <v>-9.843259378</v>
      </c>
      <c r="AP349" s="4"/>
      <c r="AQ349" s="4"/>
      <c r="AR349" s="4">
        <f>IFERROR(__xludf.DUMMYFUNCTION("""COMPUTED_VALUE"""),3.1721475009539404)</f>
        <v>3.172147501</v>
      </c>
      <c r="AS349" s="4"/>
      <c r="AT349" s="4"/>
      <c r="AU349" s="4">
        <f>IFERROR(__xludf.DUMMYFUNCTION("""COMPUTED_VALUE"""),4.040807780376895)</f>
        <v>4.04080778</v>
      </c>
      <c r="AV349" s="4"/>
      <c r="AW349" s="4"/>
      <c r="AX349" s="4">
        <f>IFERROR(__xludf.DUMMYFUNCTION("""COMPUTED_VALUE"""),0.1220788194598299)</f>
        <v>0.1220788195</v>
      </c>
      <c r="AY349" s="4"/>
      <c r="AZ349" s="4"/>
      <c r="BA349" s="4">
        <f>IFERROR(__xludf.DUMMYFUNCTION("""COMPUTED_VALUE"""),5.043463104084424)</f>
        <v>5.043463104</v>
      </c>
      <c r="BB349" s="4"/>
      <c r="BC349" s="4"/>
      <c r="BD349" s="4">
        <f>IFERROR(__xludf.DUMMYFUNCTION("""COMPUTED_VALUE"""),-1.2927829389417411)</f>
        <v>-1.292782939</v>
      </c>
      <c r="BE349" s="4"/>
      <c r="BF349" s="4"/>
      <c r="BG349" s="4">
        <f>IFERROR(__xludf.DUMMYFUNCTION("""COMPUTED_VALUE"""),8.573053600652997)</f>
        <v>8.573053601</v>
      </c>
      <c r="BH349" s="4"/>
      <c r="BI349" s="4"/>
      <c r="BJ349" s="4"/>
      <c r="BK349" s="4"/>
    </row>
    <row r="350">
      <c r="A350" s="4"/>
      <c r="B350" s="4"/>
      <c r="C350" s="4"/>
      <c r="D350" s="4">
        <f>IFERROR(__xludf.DUMMYFUNCTION("""COMPUTED_VALUE"""),-108.35894359195444)</f>
        <v>-108.3589436</v>
      </c>
      <c r="E350" s="23">
        <f>IFERROR(__xludf.DUMMYFUNCTION("""COMPUTED_VALUE"""),2.329903161429968)</f>
        <v>2.329903161</v>
      </c>
      <c r="F350" s="4"/>
      <c r="G350" s="4"/>
      <c r="H350" s="4">
        <f>IFERROR(__xludf.DUMMYFUNCTION("""COMPUTED_VALUE"""),-1.036327063218721)</f>
        <v>-1.036327063</v>
      </c>
      <c r="I350" s="4"/>
      <c r="J350" s="4"/>
      <c r="K350" s="4">
        <f>IFERROR(__xludf.DUMMYFUNCTION("""COMPUTED_VALUE"""),6.395291192997433)</f>
        <v>6.395291193</v>
      </c>
      <c r="L350" s="4"/>
      <c r="M350" s="4"/>
      <c r="N350" s="4">
        <f>IFERROR(__xludf.DUMMYFUNCTION("""COMPUTED_VALUE"""),-4.599230582654002)</f>
        <v>-4.599230583</v>
      </c>
      <c r="O350" s="4"/>
      <c r="P350" s="4"/>
      <c r="Q350" s="4">
        <f>IFERROR(__xludf.DUMMYFUNCTION("""COMPUTED_VALUE"""),-1.060306932336573)</f>
        <v>-1.060306932</v>
      </c>
      <c r="R350" s="4"/>
      <c r="S350" s="4"/>
      <c r="T350" s="4">
        <f>IFERROR(__xludf.DUMMYFUNCTION("""COMPUTED_VALUE"""),-2.8519623835424)</f>
        <v>-2.851962384</v>
      </c>
      <c r="U350" s="4"/>
      <c r="V350" s="4"/>
      <c r="W350" s="4">
        <f>IFERROR(__xludf.DUMMYFUNCTION("""COMPUTED_VALUE"""),0.5688372728769764)</f>
        <v>0.5688372729</v>
      </c>
      <c r="X350" s="4"/>
      <c r="Y350" s="4"/>
      <c r="Z350" s="4">
        <f>IFERROR(__xludf.DUMMYFUNCTION("""COMPUTED_VALUE"""),4.311668895918274)</f>
        <v>4.311668896</v>
      </c>
      <c r="AA350" s="4"/>
      <c r="AB350" s="4"/>
      <c r="AC350" s="4">
        <f>IFERROR(__xludf.DUMMYFUNCTION("""COMPUTED_VALUE"""),4.988295161087024)</f>
        <v>4.988295161</v>
      </c>
      <c r="AD350" s="4"/>
      <c r="AE350" s="4"/>
      <c r="AF350" s="4">
        <f>IFERROR(__xludf.DUMMYFUNCTION("""COMPUTED_VALUE"""),3.258135924282442)</f>
        <v>3.258135924</v>
      </c>
      <c r="AG350" s="4"/>
      <c r="AH350" s="4"/>
      <c r="AI350" s="4">
        <f>IFERROR(__xludf.DUMMYFUNCTION("""COMPUTED_VALUE"""),-0.2386748370107057)</f>
        <v>-0.238674837</v>
      </c>
      <c r="AJ350" s="4"/>
      <c r="AK350" s="4"/>
      <c r="AL350" s="4">
        <f>IFERROR(__xludf.DUMMYFUNCTION("""COMPUTED_VALUE"""),-2.7996141579897085)</f>
        <v>-2.799614158</v>
      </c>
      <c r="AM350" s="4"/>
      <c r="AN350" s="4"/>
      <c r="AO350" s="4">
        <f>IFERROR(__xludf.DUMMYFUNCTION("""COMPUTED_VALUE"""),-6.684251213534765)</f>
        <v>-6.684251214</v>
      </c>
      <c r="AP350" s="4"/>
      <c r="AQ350" s="4"/>
      <c r="AR350" s="4">
        <f>IFERROR(__xludf.DUMMYFUNCTION("""COMPUTED_VALUE"""),0.22240367820751317)</f>
        <v>0.2224036782</v>
      </c>
      <c r="AS350" s="4"/>
      <c r="AT350" s="4"/>
      <c r="AU350" s="4">
        <f>IFERROR(__xludf.DUMMYFUNCTION("""COMPUTED_VALUE"""),7.210284636273798)</f>
        <v>7.210284636</v>
      </c>
      <c r="AV350" s="4"/>
      <c r="AW350" s="4"/>
      <c r="AX350" s="4">
        <f>IFERROR(__xludf.DUMMYFUNCTION("""COMPUTED_VALUE"""),3.15499183885089)</f>
        <v>3.154991839</v>
      </c>
      <c r="AY350" s="4"/>
      <c r="AZ350" s="4"/>
      <c r="BA350" s="4">
        <f>IFERROR(__xludf.DUMMYFUNCTION("""COMPUTED_VALUE"""),2.9775162088033085)</f>
        <v>2.977516209</v>
      </c>
      <c r="BB350" s="4"/>
      <c r="BC350" s="4"/>
      <c r="BD350" s="4">
        <f>IFERROR(__xludf.DUMMYFUNCTION("""COMPUTED_VALUE"""),2.955325589811764)</f>
        <v>2.95532559</v>
      </c>
      <c r="BE350" s="4"/>
      <c r="BF350" s="4"/>
      <c r="BG350" s="4">
        <f>IFERROR(__xludf.DUMMYFUNCTION("""COMPUTED_VALUE"""),-2.6750807614253063)</f>
        <v>-2.675080761</v>
      </c>
      <c r="BH350" s="4"/>
      <c r="BI350" s="4"/>
      <c r="BJ350" s="4"/>
      <c r="BK350" s="4"/>
    </row>
    <row r="351">
      <c r="A351" s="4"/>
      <c r="B351" s="4"/>
      <c r="C351" s="4"/>
      <c r="D351" s="4">
        <f>IFERROR(__xludf.DUMMYFUNCTION("""COMPUTED_VALUE"""),-109.27723972258921)</f>
        <v>-109.2772397</v>
      </c>
      <c r="E351" s="23">
        <f>IFERROR(__xludf.DUMMYFUNCTION("""COMPUTED_VALUE"""),3.1443641717935975)</f>
        <v>3.144364172</v>
      </c>
      <c r="F351" s="4"/>
      <c r="G351" s="4"/>
      <c r="H351" s="4">
        <f>IFERROR(__xludf.DUMMYFUNCTION("""COMPUTED_VALUE"""),2.3483744159075286)</f>
        <v>2.348374416</v>
      </c>
      <c r="I351" s="4"/>
      <c r="J351" s="4"/>
      <c r="K351" s="4">
        <f>IFERROR(__xludf.DUMMYFUNCTION("""COMPUTED_VALUE"""),6.81025748463577)</f>
        <v>6.810257485</v>
      </c>
      <c r="L351" s="4"/>
      <c r="M351" s="4"/>
      <c r="N351" s="4">
        <f>IFERROR(__xludf.DUMMYFUNCTION("""COMPUTED_VALUE"""),5.476661504424385)</f>
        <v>5.476661504</v>
      </c>
      <c r="O351" s="4"/>
      <c r="P351" s="4"/>
      <c r="Q351" s="4">
        <f>IFERROR(__xludf.DUMMYFUNCTION("""COMPUTED_VALUE"""),7.222796235453927)</f>
        <v>7.222796235</v>
      </c>
      <c r="R351" s="4"/>
      <c r="S351" s="4"/>
      <c r="T351" s="4">
        <f>IFERROR(__xludf.DUMMYFUNCTION("""COMPUTED_VALUE"""),-6.870920803771185)</f>
        <v>-6.870920804</v>
      </c>
      <c r="U351" s="4"/>
      <c r="V351" s="4"/>
      <c r="W351" s="4">
        <f>IFERROR(__xludf.DUMMYFUNCTION("""COMPUTED_VALUE"""),-3.1325062830364914)</f>
        <v>-3.132506283</v>
      </c>
      <c r="X351" s="4"/>
      <c r="Y351" s="4"/>
      <c r="Z351" s="4">
        <f>IFERROR(__xludf.DUMMYFUNCTION("""COMPUTED_VALUE"""),-6.384704999033374)</f>
        <v>-6.384704999</v>
      </c>
      <c r="AA351" s="4"/>
      <c r="AB351" s="4"/>
      <c r="AC351" s="4">
        <f>IFERROR(__xludf.DUMMYFUNCTION("""COMPUTED_VALUE"""),3.798768302862925)</f>
        <v>3.798768303</v>
      </c>
      <c r="AD351" s="4"/>
      <c r="AE351" s="4"/>
      <c r="AF351" s="4">
        <f>IFERROR(__xludf.DUMMYFUNCTION("""COMPUTED_VALUE"""),-1.1939088626187981)</f>
        <v>-1.193908863</v>
      </c>
      <c r="AG351" s="4"/>
      <c r="AH351" s="4"/>
      <c r="AI351" s="4">
        <f>IFERROR(__xludf.DUMMYFUNCTION("""COMPUTED_VALUE"""),-1.6432630647819906)</f>
        <v>-1.643263065</v>
      </c>
      <c r="AJ351" s="4"/>
      <c r="AK351" s="4"/>
      <c r="AL351" s="4">
        <f>IFERROR(__xludf.DUMMYFUNCTION("""COMPUTED_VALUE"""),-4.290156611159659)</f>
        <v>-4.290156611</v>
      </c>
      <c r="AM351" s="4"/>
      <c r="AN351" s="4"/>
      <c r="AO351" s="4">
        <f>IFERROR(__xludf.DUMMYFUNCTION("""COMPUTED_VALUE"""),-3.3788176695098286)</f>
        <v>-3.37881767</v>
      </c>
      <c r="AP351" s="4"/>
      <c r="AQ351" s="4"/>
      <c r="AR351" s="4">
        <f>IFERROR(__xludf.DUMMYFUNCTION("""COMPUTED_VALUE"""),5.020737804711189)</f>
        <v>5.020737805</v>
      </c>
      <c r="AS351" s="4"/>
      <c r="AT351" s="4"/>
      <c r="AU351" s="4">
        <f>IFERROR(__xludf.DUMMYFUNCTION("""COMPUTED_VALUE"""),2.1223139075361246)</f>
        <v>2.122313908</v>
      </c>
      <c r="AV351" s="4"/>
      <c r="AW351" s="4"/>
      <c r="AX351" s="4">
        <f>IFERROR(__xludf.DUMMYFUNCTION("""COMPUTED_VALUE"""),6.324792236002622)</f>
        <v>6.324792236</v>
      </c>
      <c r="AY351" s="4"/>
      <c r="AZ351" s="4"/>
      <c r="BA351" s="4">
        <f>IFERROR(__xludf.DUMMYFUNCTION("""COMPUTED_VALUE"""),-0.7473585242312311)</f>
        <v>-0.7473585242</v>
      </c>
      <c r="BB351" s="4"/>
      <c r="BC351" s="4"/>
      <c r="BD351" s="4">
        <f>IFERROR(__xludf.DUMMYFUNCTION("""COMPUTED_VALUE"""),1.2602355545977844)</f>
        <v>1.260235555</v>
      </c>
      <c r="BE351" s="4"/>
      <c r="BF351" s="4"/>
      <c r="BG351" s="4">
        <f>IFERROR(__xludf.DUMMYFUNCTION("""COMPUTED_VALUE"""),0.15524274989292053)</f>
        <v>0.1552427499</v>
      </c>
      <c r="BH351" s="4"/>
      <c r="BI351" s="4"/>
      <c r="BJ351" s="4"/>
      <c r="BK351" s="4"/>
    </row>
    <row r="352">
      <c r="A352" s="4"/>
      <c r="B352" s="4"/>
      <c r="C352" s="4"/>
      <c r="D352" s="4">
        <f>IFERROR(__xludf.DUMMYFUNCTION("""COMPUTED_VALUE"""),-110.1955358553893)</f>
        <v>-110.1955359</v>
      </c>
      <c r="E352" s="23">
        <f>IFERROR(__xludf.DUMMYFUNCTION("""COMPUTED_VALUE"""),-7.181008038769335)</f>
        <v>-7.181008039</v>
      </c>
      <c r="F352" s="4"/>
      <c r="G352" s="4"/>
      <c r="H352" s="4">
        <f>IFERROR(__xludf.DUMMYFUNCTION("""COMPUTED_VALUE"""),0.5099467090880125)</f>
        <v>0.5099467091</v>
      </c>
      <c r="I352" s="4"/>
      <c r="J352" s="4"/>
      <c r="K352" s="4">
        <f>IFERROR(__xludf.DUMMYFUNCTION("""COMPUTED_VALUE"""),4.692640216816869)</f>
        <v>4.692640217</v>
      </c>
      <c r="L352" s="4"/>
      <c r="M352" s="4"/>
      <c r="N352" s="4">
        <f>IFERROR(__xludf.DUMMYFUNCTION("""COMPUTED_VALUE"""),1.7640381012549824)</f>
        <v>1.764038101</v>
      </c>
      <c r="O352" s="4"/>
      <c r="P352" s="4"/>
      <c r="Q352" s="4">
        <f>IFERROR(__xludf.DUMMYFUNCTION("""COMPUTED_VALUE"""),-2.222456440164706)</f>
        <v>-2.22245644</v>
      </c>
      <c r="R352" s="4"/>
      <c r="S352" s="4"/>
      <c r="T352" s="4">
        <f>IFERROR(__xludf.DUMMYFUNCTION("""COMPUTED_VALUE"""),-3.0776559182950223)</f>
        <v>-3.077655918</v>
      </c>
      <c r="U352" s="4"/>
      <c r="V352" s="4"/>
      <c r="W352" s="4">
        <f>IFERROR(__xludf.DUMMYFUNCTION("""COMPUTED_VALUE"""),-8.44044478824577)</f>
        <v>-8.440444788</v>
      </c>
      <c r="X352" s="4"/>
      <c r="Y352" s="4"/>
      <c r="Z352" s="4">
        <f>IFERROR(__xludf.DUMMYFUNCTION("""COMPUTED_VALUE"""),-0.9422846360465087)</f>
        <v>-0.942284636</v>
      </c>
      <c r="AA352" s="4"/>
      <c r="AB352" s="4"/>
      <c r="AC352" s="4">
        <f>IFERROR(__xludf.DUMMYFUNCTION("""COMPUTED_VALUE"""),5.405067901615894)</f>
        <v>5.405067902</v>
      </c>
      <c r="AD352" s="4"/>
      <c r="AE352" s="4"/>
      <c r="AF352" s="4">
        <f>IFERROR(__xludf.DUMMYFUNCTION("""COMPUTED_VALUE"""),3.3243222785263242)</f>
        <v>3.324322279</v>
      </c>
      <c r="AG352" s="4"/>
      <c r="AH352" s="4"/>
      <c r="AI352" s="4">
        <f>IFERROR(__xludf.DUMMYFUNCTION("""COMPUTED_VALUE"""),-6.857983828991166)</f>
        <v>-6.857983829</v>
      </c>
      <c r="AJ352" s="4"/>
      <c r="AK352" s="4"/>
      <c r="AL352" s="4">
        <f>IFERROR(__xludf.DUMMYFUNCTION("""COMPUTED_VALUE"""),2.7822573725213147)</f>
        <v>2.782257373</v>
      </c>
      <c r="AM352" s="4"/>
      <c r="AN352" s="4"/>
      <c r="AO352" s="4">
        <f>IFERROR(__xludf.DUMMYFUNCTION("""COMPUTED_VALUE"""),-4.001636448248178)</f>
        <v>-4.001636448</v>
      </c>
      <c r="AP352" s="4"/>
      <c r="AQ352" s="4"/>
      <c r="AR352" s="4">
        <f>IFERROR(__xludf.DUMMYFUNCTION("""COMPUTED_VALUE"""),2.6184664385652354)</f>
        <v>2.618466439</v>
      </c>
      <c r="AS352" s="4"/>
      <c r="AT352" s="4"/>
      <c r="AU352" s="4">
        <f>IFERROR(__xludf.DUMMYFUNCTION("""COMPUTED_VALUE"""),-1.3397588182001527)</f>
        <v>-1.339758818</v>
      </c>
      <c r="AV352" s="4"/>
      <c r="AW352" s="4"/>
      <c r="AX352" s="4">
        <f>IFERROR(__xludf.DUMMYFUNCTION("""COMPUTED_VALUE"""),4.9157958088541704)</f>
        <v>4.915795809</v>
      </c>
      <c r="AY352" s="4"/>
      <c r="AZ352" s="4"/>
      <c r="BA352" s="4">
        <f>IFERROR(__xludf.DUMMYFUNCTION("""COMPUTED_VALUE"""),5.7960655176602245)</f>
        <v>5.796065518</v>
      </c>
      <c r="BB352" s="4"/>
      <c r="BC352" s="4"/>
      <c r="BD352" s="4">
        <f>IFERROR(__xludf.DUMMYFUNCTION("""COMPUTED_VALUE"""),0.2303152087338276)</f>
        <v>0.2303152087</v>
      </c>
      <c r="BE352" s="4"/>
      <c r="BF352" s="4"/>
      <c r="BG352" s="4">
        <f>IFERROR(__xludf.DUMMYFUNCTION("""COMPUTED_VALUE"""),-0.45891522376763305)</f>
        <v>-0.4589152238</v>
      </c>
      <c r="BH352" s="4"/>
      <c r="BI352" s="4"/>
      <c r="BJ352" s="4"/>
      <c r="BK352" s="4"/>
    </row>
    <row r="353">
      <c r="A353" s="4"/>
      <c r="B353" s="4"/>
      <c r="C353" s="4"/>
      <c r="D353" s="4">
        <f>IFERROR(__xludf.DUMMYFUNCTION("""COMPUTED_VALUE"""),-111.11383198818936)</f>
        <v>-111.113832</v>
      </c>
      <c r="E353" s="23">
        <f>IFERROR(__xludf.DUMMYFUNCTION("""COMPUTED_VALUE"""),1.4008621235881833)</f>
        <v>1.400862124</v>
      </c>
      <c r="F353" s="4"/>
      <c r="G353" s="4"/>
      <c r="H353" s="4">
        <f>IFERROR(__xludf.DUMMYFUNCTION("""COMPUTED_VALUE"""),2.481819115276778)</f>
        <v>2.481819115</v>
      </c>
      <c r="I353" s="4"/>
      <c r="J353" s="4"/>
      <c r="K353" s="4">
        <f>IFERROR(__xludf.DUMMYFUNCTION("""COMPUTED_VALUE"""),-0.9329977281030892)</f>
        <v>-0.9329977281</v>
      </c>
      <c r="L353" s="4"/>
      <c r="M353" s="4"/>
      <c r="N353" s="4">
        <f>IFERROR(__xludf.DUMMYFUNCTION("""COMPUTED_VALUE"""),4.827693488396619)</f>
        <v>4.827693488</v>
      </c>
      <c r="O353" s="4"/>
      <c r="P353" s="4"/>
      <c r="Q353" s="4">
        <f>IFERROR(__xludf.DUMMYFUNCTION("""COMPUTED_VALUE"""),-1.9770605139975146)</f>
        <v>-1.977060514</v>
      </c>
      <c r="R353" s="4"/>
      <c r="S353" s="4"/>
      <c r="T353" s="4">
        <f>IFERROR(__xludf.DUMMYFUNCTION("""COMPUTED_VALUE"""),-0.5030298704631377)</f>
        <v>-0.5030298705</v>
      </c>
      <c r="U353" s="4"/>
      <c r="V353" s="4"/>
      <c r="W353" s="4">
        <f>IFERROR(__xludf.DUMMYFUNCTION("""COMPUTED_VALUE"""),-2.9815011008392958)</f>
        <v>-2.981501101</v>
      </c>
      <c r="X353" s="4"/>
      <c r="Y353" s="4"/>
      <c r="Z353" s="4">
        <f>IFERROR(__xludf.DUMMYFUNCTION("""COMPUTED_VALUE"""),-3.7496971839693742)</f>
        <v>-3.749697184</v>
      </c>
      <c r="AA353" s="4"/>
      <c r="AB353" s="4"/>
      <c r="AC353" s="4">
        <f>IFERROR(__xludf.DUMMYFUNCTION("""COMPUTED_VALUE"""),5.626667957460768)</f>
        <v>5.626667957</v>
      </c>
      <c r="AD353" s="4"/>
      <c r="AE353" s="4"/>
      <c r="AF353" s="4">
        <f>IFERROR(__xludf.DUMMYFUNCTION("""COMPUTED_VALUE"""),2.674403111814854)</f>
        <v>2.674403112</v>
      </c>
      <c r="AG353" s="4"/>
      <c r="AH353" s="4"/>
      <c r="AI353" s="4">
        <f>IFERROR(__xludf.DUMMYFUNCTION("""COMPUTED_VALUE"""),-1.3954095979659087)</f>
        <v>-1.395409598</v>
      </c>
      <c r="AJ353" s="4"/>
      <c r="AK353" s="4"/>
      <c r="AL353" s="4">
        <f>IFERROR(__xludf.DUMMYFUNCTION("""COMPUTED_VALUE"""),2.968211614797042)</f>
        <v>2.968211615</v>
      </c>
      <c r="AM353" s="4"/>
      <c r="AN353" s="4"/>
      <c r="AO353" s="4">
        <f>IFERROR(__xludf.DUMMYFUNCTION("""COMPUTED_VALUE"""),-4.446676719278514)</f>
        <v>-4.446676719</v>
      </c>
      <c r="AP353" s="4"/>
      <c r="AQ353" s="4"/>
      <c r="AR353" s="4">
        <f>IFERROR(__xludf.DUMMYFUNCTION("""COMPUTED_VALUE"""),-1.2804297283009873)</f>
        <v>-1.280429728</v>
      </c>
      <c r="AS353" s="4"/>
      <c r="AT353" s="4"/>
      <c r="AU353" s="4">
        <f>IFERROR(__xludf.DUMMYFUNCTION("""COMPUTED_VALUE"""),1.206910488921892)</f>
        <v>1.206910489</v>
      </c>
      <c r="AV353" s="4"/>
      <c r="AW353" s="4"/>
      <c r="AX353" s="4">
        <f>IFERROR(__xludf.DUMMYFUNCTION("""COMPUTED_VALUE"""),2.3611994694203418)</f>
        <v>2.361199469</v>
      </c>
      <c r="AY353" s="4"/>
      <c r="AZ353" s="4"/>
      <c r="BA353" s="4">
        <f>IFERROR(__xludf.DUMMYFUNCTION("""COMPUTED_VALUE"""),6.902472313612577)</f>
        <v>6.902472314</v>
      </c>
      <c r="BB353" s="4"/>
      <c r="BC353" s="4"/>
      <c r="BD353" s="4">
        <f>IFERROR(__xludf.DUMMYFUNCTION("""COMPUTED_VALUE"""),2.6742057949603577)</f>
        <v>2.674205795</v>
      </c>
      <c r="BE353" s="4"/>
      <c r="BF353" s="4"/>
      <c r="BG353" s="4">
        <f>IFERROR(__xludf.DUMMYFUNCTION("""COMPUTED_VALUE"""),0.9573882981429733)</f>
        <v>0.9573882981</v>
      </c>
      <c r="BH353" s="4"/>
      <c r="BI353" s="4"/>
      <c r="BJ353" s="4"/>
      <c r="BK353" s="4"/>
    </row>
    <row r="354">
      <c r="A354" s="4"/>
      <c r="B354" s="4"/>
      <c r="C354" s="4"/>
      <c r="D354" s="4">
        <f>IFERROR(__xludf.DUMMYFUNCTION("""COMPUTED_VALUE"""),-112.03212811882413)</f>
        <v>-112.0321281</v>
      </c>
      <c r="E354" s="23">
        <f>IFERROR(__xludf.DUMMYFUNCTION("""COMPUTED_VALUE"""),-5.2116360054701545)</f>
        <v>-5.211636005</v>
      </c>
      <c r="F354" s="4"/>
      <c r="G354" s="4"/>
      <c r="H354" s="4">
        <f>IFERROR(__xludf.DUMMYFUNCTION("""COMPUTED_VALUE"""),-3.430865720356678)</f>
        <v>-3.43086572</v>
      </c>
      <c r="I354" s="4"/>
      <c r="J354" s="4"/>
      <c r="K354" s="4">
        <f>IFERROR(__xludf.DUMMYFUNCTION("""COMPUTED_VALUE"""),-1.7759850026868662)</f>
        <v>-1.775985003</v>
      </c>
      <c r="L354" s="4"/>
      <c r="M354" s="4"/>
      <c r="N354" s="4">
        <f>IFERROR(__xludf.DUMMYFUNCTION("""COMPUTED_VALUE"""),-1.6727118960070015)</f>
        <v>-1.672711896</v>
      </c>
      <c r="O354" s="4"/>
      <c r="P354" s="4"/>
      <c r="Q354" s="4">
        <f>IFERROR(__xludf.DUMMYFUNCTION("""COMPUTED_VALUE"""),1.4437483881939102)</f>
        <v>1.443748388</v>
      </c>
      <c r="R354" s="4"/>
      <c r="S354" s="4"/>
      <c r="T354" s="4">
        <f>IFERROR(__xludf.DUMMYFUNCTION("""COMPUTED_VALUE"""),-1.7209611042950996)</f>
        <v>-1.720961104</v>
      </c>
      <c r="U354" s="4"/>
      <c r="V354" s="4"/>
      <c r="W354" s="4">
        <f>IFERROR(__xludf.DUMMYFUNCTION("""COMPUTED_VALUE"""),3.7977963281268785)</f>
        <v>3.797796328</v>
      </c>
      <c r="X354" s="4"/>
      <c r="Y354" s="4"/>
      <c r="Z354" s="4">
        <f>IFERROR(__xludf.DUMMYFUNCTION("""COMPUTED_VALUE"""),-0.469530751577679)</f>
        <v>-0.4695307516</v>
      </c>
      <c r="AA354" s="4"/>
      <c r="AB354" s="4"/>
      <c r="AC354" s="4">
        <f>IFERROR(__xludf.DUMMYFUNCTION("""COMPUTED_VALUE"""),-0.7435923712143904)</f>
        <v>-0.7435923712</v>
      </c>
      <c r="AD354" s="4"/>
      <c r="AE354" s="4"/>
      <c r="AF354" s="4">
        <f>IFERROR(__xludf.DUMMYFUNCTION("""COMPUTED_VALUE"""),-1.217727686995488)</f>
        <v>-1.217727687</v>
      </c>
      <c r="AG354" s="4"/>
      <c r="AH354" s="4"/>
      <c r="AI354" s="4">
        <f>IFERROR(__xludf.DUMMYFUNCTION("""COMPUTED_VALUE"""),6.673412184545384)</f>
        <v>6.673412185</v>
      </c>
      <c r="AJ354" s="4"/>
      <c r="AK354" s="4"/>
      <c r="AL354" s="4">
        <f>IFERROR(__xludf.DUMMYFUNCTION("""COMPUTED_VALUE"""),0.29987802649480955)</f>
        <v>0.2998780265</v>
      </c>
      <c r="AM354" s="4"/>
      <c r="AN354" s="4"/>
      <c r="AO354" s="4">
        <f>IFERROR(__xludf.DUMMYFUNCTION("""COMPUTED_VALUE"""),0.8434871229575833)</f>
        <v>0.843487123</v>
      </c>
      <c r="AP354" s="4"/>
      <c r="AQ354" s="4"/>
      <c r="AR354" s="4">
        <f>IFERROR(__xludf.DUMMYFUNCTION("""COMPUTED_VALUE"""),4.75274560868354)</f>
        <v>4.752745609</v>
      </c>
      <c r="AS354" s="4"/>
      <c r="AT354" s="4"/>
      <c r="AU354" s="4">
        <f>IFERROR(__xludf.DUMMYFUNCTION("""COMPUTED_VALUE"""),-0.3096271227498164)</f>
        <v>-0.3096271227</v>
      </c>
      <c r="AV354" s="4"/>
      <c r="AW354" s="4"/>
      <c r="AX354" s="4">
        <f>IFERROR(__xludf.DUMMYFUNCTION("""COMPUTED_VALUE"""),4.998952862385806)</f>
        <v>4.998952862</v>
      </c>
      <c r="AY354" s="4"/>
      <c r="AZ354" s="4"/>
      <c r="BA354" s="4">
        <f>IFERROR(__xludf.DUMMYFUNCTION("""COMPUTED_VALUE"""),1.7880459042742132)</f>
        <v>1.788045904</v>
      </c>
      <c r="BB354" s="4"/>
      <c r="BC354" s="4"/>
      <c r="BD354" s="4">
        <f>IFERROR(__xludf.DUMMYFUNCTION("""COMPUTED_VALUE"""),5.622144678045572)</f>
        <v>5.622144678</v>
      </c>
      <c r="BE354" s="4"/>
      <c r="BF354" s="4"/>
      <c r="BG354" s="4">
        <f>IFERROR(__xludf.DUMMYFUNCTION("""COMPUTED_VALUE"""),4.932777322655284)</f>
        <v>4.932777323</v>
      </c>
      <c r="BH354" s="4"/>
      <c r="BI354" s="4"/>
      <c r="BJ354" s="4"/>
      <c r="BK354" s="4"/>
    </row>
    <row r="355">
      <c r="A355" s="4"/>
      <c r="B355" s="4"/>
      <c r="C355" s="4"/>
      <c r="D355" s="4">
        <f>IFERROR(__xludf.DUMMYFUNCTION("""COMPUTED_VALUE"""),-112.95042425162421)</f>
        <v>-112.9504243</v>
      </c>
      <c r="E355" s="23">
        <f>IFERROR(__xludf.DUMMYFUNCTION("""COMPUTED_VALUE"""),-4.5651458881641815)</f>
        <v>-4.565145888</v>
      </c>
      <c r="F355" s="4"/>
      <c r="G355" s="4"/>
      <c r="H355" s="4">
        <f>IFERROR(__xludf.DUMMYFUNCTION("""COMPUTED_VALUE"""),-3.7371758142050453)</f>
        <v>-3.737175814</v>
      </c>
      <c r="I355" s="4"/>
      <c r="J355" s="4"/>
      <c r="K355" s="4">
        <f>IFERROR(__xludf.DUMMYFUNCTION("""COMPUTED_VALUE"""),3.1072064699754947)</f>
        <v>3.10720647</v>
      </c>
      <c r="L355" s="4"/>
      <c r="M355" s="4"/>
      <c r="N355" s="4">
        <f>IFERROR(__xludf.DUMMYFUNCTION("""COMPUTED_VALUE"""),6.090147438176871)</f>
        <v>6.090147438</v>
      </c>
      <c r="O355" s="4"/>
      <c r="P355" s="4"/>
      <c r="Q355" s="4">
        <f>IFERROR(__xludf.DUMMYFUNCTION("""COMPUTED_VALUE"""),-6.53515831208739)</f>
        <v>-6.535158312</v>
      </c>
      <c r="R355" s="4"/>
      <c r="S355" s="4"/>
      <c r="T355" s="4">
        <f>IFERROR(__xludf.DUMMYFUNCTION("""COMPUTED_VALUE"""),-2.746183971442747)</f>
        <v>-2.746183971</v>
      </c>
      <c r="U355" s="4"/>
      <c r="V355" s="4"/>
      <c r="W355" s="4">
        <f>IFERROR(__xludf.DUMMYFUNCTION("""COMPUTED_VALUE"""),-8.438386782162013)</f>
        <v>-8.438386782</v>
      </c>
      <c r="X355" s="4"/>
      <c r="Y355" s="4"/>
      <c r="Z355" s="4">
        <f>IFERROR(__xludf.DUMMYFUNCTION("""COMPUTED_VALUE"""),3.0261031966348355)</f>
        <v>3.026103197</v>
      </c>
      <c r="AA355" s="4"/>
      <c r="AB355" s="4"/>
      <c r="AC355" s="4">
        <f>IFERROR(__xludf.DUMMYFUNCTION("""COMPUTED_VALUE"""),0.0816074217930236)</f>
        <v>0.08160742179</v>
      </c>
      <c r="AD355" s="4"/>
      <c r="AE355" s="4"/>
      <c r="AF355" s="4">
        <f>IFERROR(__xludf.DUMMYFUNCTION("""COMPUTED_VALUE"""),-1.6119026002643295)</f>
        <v>-1.6119026</v>
      </c>
      <c r="AG355" s="4"/>
      <c r="AH355" s="4"/>
      <c r="AI355" s="4">
        <f>IFERROR(__xludf.DUMMYFUNCTION("""COMPUTED_VALUE"""),-1.7950925458401343)</f>
        <v>-1.795092546</v>
      </c>
      <c r="AJ355" s="4"/>
      <c r="AK355" s="4"/>
      <c r="AL355" s="4">
        <f>IFERROR(__xludf.DUMMYFUNCTION("""COMPUTED_VALUE"""),-8.700596939470586)</f>
        <v>-8.700596939</v>
      </c>
      <c r="AM355" s="4"/>
      <c r="AN355" s="4"/>
      <c r="AO355" s="4">
        <f>IFERROR(__xludf.DUMMYFUNCTION("""COMPUTED_VALUE"""),-1.0792202504683246)</f>
        <v>-1.07922025</v>
      </c>
      <c r="AP355" s="4"/>
      <c r="AQ355" s="4"/>
      <c r="AR355" s="4">
        <f>IFERROR(__xludf.DUMMYFUNCTION("""COMPUTED_VALUE"""),3.05942046912827)</f>
        <v>3.059420469</v>
      </c>
      <c r="AS355" s="4"/>
      <c r="AT355" s="4"/>
      <c r="AU355" s="4">
        <f>IFERROR(__xludf.DUMMYFUNCTION("""COMPUTED_VALUE"""),-0.6352410025195923)</f>
        <v>-0.6352410025</v>
      </c>
      <c r="AV355" s="4"/>
      <c r="AW355" s="4"/>
      <c r="AX355" s="4">
        <f>IFERROR(__xludf.DUMMYFUNCTION("""COMPUTED_VALUE"""),2.670926128706242)</f>
        <v>2.670926129</v>
      </c>
      <c r="AY355" s="4"/>
      <c r="AZ355" s="4"/>
      <c r="BA355" s="4">
        <f>IFERROR(__xludf.DUMMYFUNCTION("""COMPUTED_VALUE"""),2.1513983187024905)</f>
        <v>2.151398319</v>
      </c>
      <c r="BB355" s="4"/>
      <c r="BC355" s="4"/>
      <c r="BD355" s="4">
        <f>IFERROR(__xludf.DUMMYFUNCTION("""COMPUTED_VALUE"""),1.7243571301708016)</f>
        <v>1.72435713</v>
      </c>
      <c r="BE355" s="4"/>
      <c r="BF355" s="4"/>
      <c r="BG355" s="4">
        <f>IFERROR(__xludf.DUMMYFUNCTION("""COMPUTED_VALUE"""),-1.9200507617495077)</f>
        <v>-1.920050762</v>
      </c>
      <c r="BH355" s="4"/>
      <c r="BI355" s="4"/>
      <c r="BJ355" s="4"/>
      <c r="BK355" s="4"/>
    </row>
    <row r="356">
      <c r="A356" s="4"/>
      <c r="B356" s="4"/>
      <c r="C356" s="4"/>
      <c r="D356" s="4">
        <f>IFERROR(__xludf.DUMMYFUNCTION("""COMPUTED_VALUE"""),-113.86872038437393)</f>
        <v>-113.8687204</v>
      </c>
      <c r="E356" s="23">
        <f>IFERROR(__xludf.DUMMYFUNCTION("""COMPUTED_VALUE"""),-0.057424293625899736)</f>
        <v>-0.05742429363</v>
      </c>
      <c r="F356" s="4"/>
      <c r="G356" s="4"/>
      <c r="H356" s="4">
        <f>IFERROR(__xludf.DUMMYFUNCTION("""COMPUTED_VALUE"""),-1.9364949345219316)</f>
        <v>-1.936494935</v>
      </c>
      <c r="I356" s="4"/>
      <c r="J356" s="4"/>
      <c r="K356" s="4">
        <f>IFERROR(__xludf.DUMMYFUNCTION("""COMPUTED_VALUE"""),3.371968695310102)</f>
        <v>3.371968695</v>
      </c>
      <c r="L356" s="4"/>
      <c r="M356" s="4"/>
      <c r="N356" s="4">
        <f>IFERROR(__xludf.DUMMYFUNCTION("""COMPUTED_VALUE"""),3.033913159688609)</f>
        <v>3.03391316</v>
      </c>
      <c r="O356" s="4"/>
      <c r="P356" s="4"/>
      <c r="Q356" s="4">
        <f>IFERROR(__xludf.DUMMYFUNCTION("""COMPUTED_VALUE"""),1.6666103823527578)</f>
        <v>1.666610382</v>
      </c>
      <c r="R356" s="4"/>
      <c r="S356" s="4"/>
      <c r="T356" s="4">
        <f>IFERROR(__xludf.DUMMYFUNCTION("""COMPUTED_VALUE"""),-3.7238176213592737)</f>
        <v>-3.723817621</v>
      </c>
      <c r="U356" s="4"/>
      <c r="V356" s="4"/>
      <c r="W356" s="4">
        <f>IFERROR(__xludf.DUMMYFUNCTION("""COMPUTED_VALUE"""),-10.76564517728309)</f>
        <v>-10.76564518</v>
      </c>
      <c r="X356" s="4"/>
      <c r="Y356" s="4"/>
      <c r="Z356" s="4">
        <f>IFERROR(__xludf.DUMMYFUNCTION("""COMPUTED_VALUE"""),-11.335329664817323)</f>
        <v>-11.33532966</v>
      </c>
      <c r="AA356" s="4"/>
      <c r="AB356" s="4"/>
      <c r="AC356" s="4">
        <f>IFERROR(__xludf.DUMMYFUNCTION("""COMPUTED_VALUE"""),3.089674361064681)</f>
        <v>3.089674361</v>
      </c>
      <c r="AD356" s="4"/>
      <c r="AE356" s="4"/>
      <c r="AF356" s="4">
        <f>IFERROR(__xludf.DUMMYFUNCTION("""COMPUTED_VALUE"""),-2.020782506773287)</f>
        <v>-2.020782507</v>
      </c>
      <c r="AG356" s="4"/>
      <c r="AH356" s="4"/>
      <c r="AI356" s="4">
        <f>IFERROR(__xludf.DUMMYFUNCTION("""COMPUTED_VALUE"""),0.30913630236705103)</f>
        <v>0.3091363024</v>
      </c>
      <c r="AJ356" s="4"/>
      <c r="AK356" s="4"/>
      <c r="AL356" s="4">
        <f>IFERROR(__xludf.DUMMYFUNCTION("""COMPUTED_VALUE"""),-2.070191623965229)</f>
        <v>-2.070191624</v>
      </c>
      <c r="AM356" s="4"/>
      <c r="AN356" s="4"/>
      <c r="AO356" s="4">
        <f>IFERROR(__xludf.DUMMYFUNCTION("""COMPUTED_VALUE"""),-5.3780847608963995)</f>
        <v>-5.378084761</v>
      </c>
      <c r="AP356" s="4"/>
      <c r="AQ356" s="4"/>
      <c r="AR356" s="4">
        <f>IFERROR(__xludf.DUMMYFUNCTION("""COMPUTED_VALUE"""),2.0953523101239284)</f>
        <v>2.09535231</v>
      </c>
      <c r="AS356" s="4"/>
      <c r="AT356" s="4"/>
      <c r="AU356" s="4">
        <f>IFERROR(__xludf.DUMMYFUNCTION("""COMPUTED_VALUE"""),5.716981472829957)</f>
        <v>5.716981473</v>
      </c>
      <c r="AV356" s="4"/>
      <c r="AW356" s="4"/>
      <c r="AX356" s="4">
        <f>IFERROR(__xludf.DUMMYFUNCTION("""COMPUTED_VALUE"""),-1.250458957763101)</f>
        <v>-1.250458958</v>
      </c>
      <c r="AY356" s="4"/>
      <c r="AZ356" s="4"/>
      <c r="BA356" s="4">
        <f>IFERROR(__xludf.DUMMYFUNCTION("""COMPUTED_VALUE"""),6.883710295635865)</f>
        <v>6.883710296</v>
      </c>
      <c r="BB356" s="4"/>
      <c r="BC356" s="4"/>
      <c r="BD356" s="4">
        <f>IFERROR(__xludf.DUMMYFUNCTION("""COMPUTED_VALUE"""),-0.8125660033693975)</f>
        <v>-0.8125660034</v>
      </c>
      <c r="BE356" s="4"/>
      <c r="BF356" s="4"/>
      <c r="BG356" s="4">
        <f>IFERROR(__xludf.DUMMYFUNCTION("""COMPUTED_VALUE"""),1.865402149846659)</f>
        <v>1.86540215</v>
      </c>
      <c r="BH356" s="4"/>
      <c r="BI356" s="4"/>
      <c r="BJ356" s="4"/>
      <c r="BK356" s="4"/>
    </row>
    <row r="357">
      <c r="A357" s="4"/>
      <c r="B357" s="4"/>
      <c r="C357" s="4"/>
      <c r="D357" s="4">
        <f>IFERROR(__xludf.DUMMYFUNCTION("""COMPUTED_VALUE"""),-114.78701651717401)</f>
        <v>-114.7870165</v>
      </c>
      <c r="E357" s="23">
        <f>IFERROR(__xludf.DUMMYFUNCTION("""COMPUTED_VALUE"""),2.7040905806516093)</f>
        <v>2.704090581</v>
      </c>
      <c r="F357" s="4"/>
      <c r="G357" s="4"/>
      <c r="H357" s="4">
        <f>IFERROR(__xludf.DUMMYFUNCTION("""COMPUTED_VALUE"""),-2.254482307049784)</f>
        <v>-2.254482307</v>
      </c>
      <c r="I357" s="4"/>
      <c r="J357" s="4"/>
      <c r="K357" s="4">
        <f>IFERROR(__xludf.DUMMYFUNCTION("""COMPUTED_VALUE"""),6.0654164408026645)</f>
        <v>6.065416441</v>
      </c>
      <c r="L357" s="4"/>
      <c r="M357" s="4"/>
      <c r="N357" s="4">
        <f>IFERROR(__xludf.DUMMYFUNCTION("""COMPUTED_VALUE"""),1.5077577986427286)</f>
        <v>1.507757799</v>
      </c>
      <c r="O357" s="4"/>
      <c r="P357" s="4"/>
      <c r="Q357" s="4">
        <f>IFERROR(__xludf.DUMMYFUNCTION("""COMPUTED_VALUE"""),-0.6487774846355023)</f>
        <v>-0.6487774846</v>
      </c>
      <c r="R357" s="4"/>
      <c r="S357" s="4"/>
      <c r="T357" s="4">
        <f>IFERROR(__xludf.DUMMYFUNCTION("""COMPUTED_VALUE"""),4.039592614725223)</f>
        <v>4.039592615</v>
      </c>
      <c r="U357" s="4"/>
      <c r="V357" s="4"/>
      <c r="W357" s="4">
        <f>IFERROR(__xludf.DUMMYFUNCTION("""COMPUTED_VALUE"""),-6.292047826040459)</f>
        <v>-6.292047826</v>
      </c>
      <c r="X357" s="4"/>
      <c r="Y357" s="4"/>
      <c r="Z357" s="4">
        <f>IFERROR(__xludf.DUMMYFUNCTION("""COMPUTED_VALUE"""),-2.361294150392496)</f>
        <v>-2.36129415</v>
      </c>
      <c r="AA357" s="4"/>
      <c r="AB357" s="4"/>
      <c r="AC357" s="4">
        <f>IFERROR(__xludf.DUMMYFUNCTION("""COMPUTED_VALUE"""),1.576249823739488)</f>
        <v>1.576249824</v>
      </c>
      <c r="AD357" s="4"/>
      <c r="AE357" s="4"/>
      <c r="AF357" s="4">
        <f>IFERROR(__xludf.DUMMYFUNCTION("""COMPUTED_VALUE"""),-3.8143208867521707)</f>
        <v>-3.814320887</v>
      </c>
      <c r="AG357" s="4"/>
      <c r="AH357" s="4"/>
      <c r="AI357" s="4">
        <f>IFERROR(__xludf.DUMMYFUNCTION("""COMPUTED_VALUE"""),1.3218164981278164)</f>
        <v>1.321816498</v>
      </c>
      <c r="AJ357" s="4"/>
      <c r="AK357" s="4"/>
      <c r="AL357" s="4">
        <f>IFERROR(__xludf.DUMMYFUNCTION("""COMPUTED_VALUE"""),4.846037645728131)</f>
        <v>4.846037646</v>
      </c>
      <c r="AM357" s="4"/>
      <c r="AN357" s="4"/>
      <c r="AO357" s="4">
        <f>IFERROR(__xludf.DUMMYFUNCTION("""COMPUTED_VALUE"""),-3.0792158971081562)</f>
        <v>-3.079215897</v>
      </c>
      <c r="AP357" s="4"/>
      <c r="AQ357" s="4"/>
      <c r="AR357" s="4">
        <f>IFERROR(__xludf.DUMMYFUNCTION("""COMPUTED_VALUE"""),5.421537777168567)</f>
        <v>5.421537777</v>
      </c>
      <c r="AS357" s="4"/>
      <c r="AT357" s="4"/>
      <c r="AU357" s="4">
        <f>IFERROR(__xludf.DUMMYFUNCTION("""COMPUTED_VALUE"""),3.559997926645508)</f>
        <v>3.559997927</v>
      </c>
      <c r="AV357" s="4"/>
      <c r="AW357" s="4"/>
      <c r="AX357" s="4">
        <f>IFERROR(__xludf.DUMMYFUNCTION("""COMPUTED_VALUE"""),2.4679500646361703)</f>
        <v>2.467950065</v>
      </c>
      <c r="AY357" s="4"/>
      <c r="AZ357" s="4"/>
      <c r="BA357" s="4">
        <f>IFERROR(__xludf.DUMMYFUNCTION("""COMPUTED_VALUE"""),2.616760928557028)</f>
        <v>2.616760929</v>
      </c>
      <c r="BB357" s="4"/>
      <c r="BC357" s="4"/>
      <c r="BD357" s="4">
        <f>IFERROR(__xludf.DUMMYFUNCTION("""COMPUTED_VALUE"""),1.0234075956523725)</f>
        <v>1.023407596</v>
      </c>
      <c r="BE357" s="4"/>
      <c r="BF357" s="4"/>
      <c r="BG357" s="4">
        <f>IFERROR(__xludf.DUMMYFUNCTION("""COMPUTED_VALUE"""),1.3224145555655014)</f>
        <v>1.322414556</v>
      </c>
      <c r="BH357" s="4"/>
      <c r="BI357" s="4"/>
      <c r="BJ357" s="4"/>
      <c r="BK357" s="4"/>
    </row>
    <row r="358">
      <c r="A358" s="4"/>
      <c r="B358" s="4"/>
      <c r="C358" s="4"/>
      <c r="D358" s="4">
        <f>IFERROR(__xludf.DUMMYFUNCTION("""COMPUTED_VALUE"""),-115.70531264785913)</f>
        <v>-115.7053126</v>
      </c>
      <c r="E358" s="23">
        <f>IFERROR(__xludf.DUMMYFUNCTION("""COMPUTED_VALUE"""),1.4959496773372507)</f>
        <v>1.495949677</v>
      </c>
      <c r="F358" s="4"/>
      <c r="G358" s="4"/>
      <c r="H358" s="4">
        <f>IFERROR(__xludf.DUMMYFUNCTION("""COMPUTED_VALUE"""),-2.7834682866288176)</f>
        <v>-2.783468287</v>
      </c>
      <c r="I358" s="4"/>
      <c r="J358" s="4"/>
      <c r="K358" s="4">
        <f>IFERROR(__xludf.DUMMYFUNCTION("""COMPUTED_VALUE"""),1.2426819844974375)</f>
        <v>1.242681984</v>
      </c>
      <c r="L358" s="4"/>
      <c r="M358" s="4"/>
      <c r="N358" s="4">
        <f>IFERROR(__xludf.DUMMYFUNCTION("""COMPUTED_VALUE"""),6.4057210280558365)</f>
        <v>6.405721028</v>
      </c>
      <c r="O358" s="4"/>
      <c r="P358" s="4"/>
      <c r="Q358" s="4">
        <f>IFERROR(__xludf.DUMMYFUNCTION("""COMPUTED_VALUE"""),2.67544666101702)</f>
        <v>2.675446661</v>
      </c>
      <c r="R358" s="4"/>
      <c r="S358" s="4"/>
      <c r="T358" s="4">
        <f>IFERROR(__xludf.DUMMYFUNCTION("""COMPUTED_VALUE"""),3.9334532969788825)</f>
        <v>3.933453297</v>
      </c>
      <c r="U358" s="4"/>
      <c r="V358" s="4"/>
      <c r="W358" s="4">
        <f>IFERROR(__xludf.DUMMYFUNCTION("""COMPUTED_VALUE"""),-5.047550981922996)</f>
        <v>-5.047550982</v>
      </c>
      <c r="X358" s="4"/>
      <c r="Y358" s="4"/>
      <c r="Z358" s="4">
        <f>IFERROR(__xludf.DUMMYFUNCTION("""COMPUTED_VALUE"""),-1.6166162389367287)</f>
        <v>-1.616616239</v>
      </c>
      <c r="AA358" s="4"/>
      <c r="AB358" s="4"/>
      <c r="AC358" s="4">
        <f>IFERROR(__xludf.DUMMYFUNCTION("""COMPUTED_VALUE"""),4.726792794733228)</f>
        <v>4.726792795</v>
      </c>
      <c r="AD358" s="4"/>
      <c r="AE358" s="4"/>
      <c r="AF358" s="4">
        <f>IFERROR(__xludf.DUMMYFUNCTION("""COMPUTED_VALUE"""),-3.291163761910184)</f>
        <v>-3.291163762</v>
      </c>
      <c r="AG358" s="4"/>
      <c r="AH358" s="4"/>
      <c r="AI358" s="4">
        <f>IFERROR(__xludf.DUMMYFUNCTION("""COMPUTED_VALUE"""),-0.6630287124987717)</f>
        <v>-0.6630287125</v>
      </c>
      <c r="AJ358" s="4"/>
      <c r="AK358" s="4"/>
      <c r="AL358" s="4">
        <f>IFERROR(__xludf.DUMMYFUNCTION("""COMPUTED_VALUE"""),-2.687373030921151)</f>
        <v>-2.687373031</v>
      </c>
      <c r="AM358" s="4"/>
      <c r="AN358" s="4"/>
      <c r="AO358" s="4">
        <f>IFERROR(__xludf.DUMMYFUNCTION("""COMPUTED_VALUE"""),-1.4589788916261455)</f>
        <v>-1.458978892</v>
      </c>
      <c r="AP358" s="4"/>
      <c r="AQ358" s="4"/>
      <c r="AR358" s="4">
        <f>IFERROR(__xludf.DUMMYFUNCTION("""COMPUTED_VALUE"""),-0.7157579405725301)</f>
        <v>-0.7157579406</v>
      </c>
      <c r="AS358" s="4"/>
      <c r="AT358" s="4"/>
      <c r="AU358" s="4">
        <f>IFERROR(__xludf.DUMMYFUNCTION("""COMPUTED_VALUE"""),-0.5667252546746795)</f>
        <v>-0.5667252547</v>
      </c>
      <c r="AV358" s="4"/>
      <c r="AW358" s="4"/>
      <c r="AX358" s="4">
        <f>IFERROR(__xludf.DUMMYFUNCTION("""COMPUTED_VALUE"""),-0.9479730676528106)</f>
        <v>-0.9479730677</v>
      </c>
      <c r="AY358" s="4"/>
      <c r="AZ358" s="4"/>
      <c r="BA358" s="4">
        <f>IFERROR(__xludf.DUMMYFUNCTION("""COMPUTED_VALUE"""),3.4331137185670286)</f>
        <v>3.433113719</v>
      </c>
      <c r="BB358" s="4"/>
      <c r="BC358" s="4"/>
      <c r="BD358" s="4">
        <f>IFERROR(__xludf.DUMMYFUNCTION("""COMPUTED_VALUE"""),5.123416132226225)</f>
        <v>5.123416132</v>
      </c>
      <c r="BE358" s="4"/>
      <c r="BF358" s="4"/>
      <c r="BG358" s="4">
        <f>IFERROR(__xludf.DUMMYFUNCTION("""COMPUTED_VALUE"""),-1.6918731929922615)</f>
        <v>-1.691873193</v>
      </c>
      <c r="BH358" s="4"/>
      <c r="BI358" s="4"/>
      <c r="BJ358" s="4"/>
      <c r="BK358" s="4"/>
    </row>
    <row r="359">
      <c r="A359" s="4"/>
      <c r="B359" s="4"/>
      <c r="C359" s="4"/>
      <c r="D359" s="4">
        <f>IFERROR(__xludf.DUMMYFUNCTION("""COMPUTED_VALUE"""),-116.62360878060886)</f>
        <v>-116.6236088</v>
      </c>
      <c r="E359" s="23">
        <f>IFERROR(__xludf.DUMMYFUNCTION("""COMPUTED_VALUE"""),2.886577734805428)</f>
        <v>2.886577735</v>
      </c>
      <c r="F359" s="4"/>
      <c r="G359" s="4"/>
      <c r="H359" s="4">
        <f>IFERROR(__xludf.DUMMYFUNCTION("""COMPUTED_VALUE"""),2.7418627561908693)</f>
        <v>2.741862756</v>
      </c>
      <c r="I359" s="4"/>
      <c r="J359" s="4"/>
      <c r="K359" s="4">
        <f>IFERROR(__xludf.DUMMYFUNCTION("""COMPUTED_VALUE"""),-2.367118440645754)</f>
        <v>-2.367118441</v>
      </c>
      <c r="L359" s="4"/>
      <c r="M359" s="4"/>
      <c r="N359" s="4">
        <f>IFERROR(__xludf.DUMMYFUNCTION("""COMPUTED_VALUE"""),1.8920403770682128)</f>
        <v>1.892040377</v>
      </c>
      <c r="O359" s="4"/>
      <c r="P359" s="4"/>
      <c r="Q359" s="4">
        <f>IFERROR(__xludf.DUMMYFUNCTION("""COMPUTED_VALUE"""),6.090803887128459)</f>
        <v>6.090803887</v>
      </c>
      <c r="R359" s="4"/>
      <c r="S359" s="4"/>
      <c r="T359" s="4">
        <f>IFERROR(__xludf.DUMMYFUNCTION("""COMPUTED_VALUE"""),-1.9888804595507281)</f>
        <v>-1.98888046</v>
      </c>
      <c r="U359" s="4"/>
      <c r="V359" s="4"/>
      <c r="W359" s="4">
        <f>IFERROR(__xludf.DUMMYFUNCTION("""COMPUTED_VALUE"""),-8.2259190355756)</f>
        <v>-8.225919036</v>
      </c>
      <c r="X359" s="4"/>
      <c r="Y359" s="4"/>
      <c r="Z359" s="4">
        <f>IFERROR(__xludf.DUMMYFUNCTION("""COMPUTED_VALUE"""),-5.056376506566494)</f>
        <v>-5.056376507</v>
      </c>
      <c r="AA359" s="4"/>
      <c r="AB359" s="4"/>
      <c r="AC359" s="4">
        <f>IFERROR(__xludf.DUMMYFUNCTION("""COMPUTED_VALUE"""),1.3855402960636525)</f>
        <v>1.385540296</v>
      </c>
      <c r="AD359" s="4"/>
      <c r="AE359" s="4"/>
      <c r="AF359" s="4">
        <f>IFERROR(__xludf.DUMMYFUNCTION("""COMPUTED_VALUE"""),0.9509176588987316)</f>
        <v>0.9509176589</v>
      </c>
      <c r="AG359" s="4"/>
      <c r="AH359" s="4"/>
      <c r="AI359" s="4">
        <f>IFERROR(__xludf.DUMMYFUNCTION("""COMPUTED_VALUE"""),-0.025971416561844762)</f>
        <v>-0.02597141656</v>
      </c>
      <c r="AJ359" s="4"/>
      <c r="AK359" s="4"/>
      <c r="AL359" s="4">
        <f>IFERROR(__xludf.DUMMYFUNCTION("""COMPUTED_VALUE"""),4.5776926471512525)</f>
        <v>4.577692647</v>
      </c>
      <c r="AM359" s="4"/>
      <c r="AN359" s="4"/>
      <c r="AO359" s="4">
        <f>IFERROR(__xludf.DUMMYFUNCTION("""COMPUTED_VALUE"""),-2.298285535648688)</f>
        <v>-2.298285536</v>
      </c>
      <c r="AP359" s="4"/>
      <c r="AQ359" s="4"/>
      <c r="AR359" s="4">
        <f>IFERROR(__xludf.DUMMYFUNCTION("""COMPUTED_VALUE"""),-1.616966763332357)</f>
        <v>-1.616966763</v>
      </c>
      <c r="AS359" s="4"/>
      <c r="AT359" s="4"/>
      <c r="AU359" s="4">
        <f>IFERROR(__xludf.DUMMYFUNCTION("""COMPUTED_VALUE"""),3.6561573293458878)</f>
        <v>3.656157329</v>
      </c>
      <c r="AV359" s="4"/>
      <c r="AW359" s="4"/>
      <c r="AX359" s="4">
        <f>IFERROR(__xludf.DUMMYFUNCTION("""COMPUTED_VALUE"""),5.083535618218889)</f>
        <v>5.083535618</v>
      </c>
      <c r="AY359" s="4"/>
      <c r="AZ359" s="4"/>
      <c r="BA359" s="4">
        <f>IFERROR(__xludf.DUMMYFUNCTION("""COMPUTED_VALUE"""),5.271769461252973)</f>
        <v>5.271769461</v>
      </c>
      <c r="BB359" s="4"/>
      <c r="BC359" s="4"/>
      <c r="BD359" s="4">
        <f>IFERROR(__xludf.DUMMYFUNCTION("""COMPUTED_VALUE"""),2.7789742518302774)</f>
        <v>2.778974252</v>
      </c>
      <c r="BE359" s="4"/>
      <c r="BF359" s="4"/>
      <c r="BG359" s="4">
        <f>IFERROR(__xludf.DUMMYFUNCTION("""COMPUTED_VALUE"""),1.847031016868982)</f>
        <v>1.847031017</v>
      </c>
      <c r="BH359" s="4"/>
      <c r="BI359" s="4"/>
      <c r="BJ359" s="4"/>
      <c r="BK359" s="4"/>
    </row>
    <row r="360">
      <c r="A360" s="4"/>
      <c r="B360" s="4"/>
      <c r="C360" s="4"/>
      <c r="D360" s="4">
        <f>IFERROR(__xludf.DUMMYFUNCTION("""COMPUTED_VALUE"""),-117.54190491340893)</f>
        <v>-117.5419049</v>
      </c>
      <c r="E360" s="23">
        <f>IFERROR(__xludf.DUMMYFUNCTION("""COMPUTED_VALUE"""),-4.364914286819726)</f>
        <v>-4.364914287</v>
      </c>
      <c r="F360" s="4"/>
      <c r="G360" s="4"/>
      <c r="H360" s="4">
        <f>IFERROR(__xludf.DUMMYFUNCTION("""COMPUTED_VALUE"""),-5.845890604629744)</f>
        <v>-5.845890605</v>
      </c>
      <c r="I360" s="4"/>
      <c r="J360" s="4"/>
      <c r="K360" s="4">
        <f>IFERROR(__xludf.DUMMYFUNCTION("""COMPUTED_VALUE"""),-3.7631466197029795)</f>
        <v>-3.76314662</v>
      </c>
      <c r="L360" s="4"/>
      <c r="M360" s="4"/>
      <c r="N360" s="4">
        <f>IFERROR(__xludf.DUMMYFUNCTION("""COMPUTED_VALUE"""),4.886136283904136)</f>
        <v>4.886136284</v>
      </c>
      <c r="O360" s="4"/>
      <c r="P360" s="4"/>
      <c r="Q360" s="4">
        <f>IFERROR(__xludf.DUMMYFUNCTION("""COMPUTED_VALUE"""),2.017025232928347)</f>
        <v>2.017025233</v>
      </c>
      <c r="R360" s="4"/>
      <c r="S360" s="4"/>
      <c r="T360" s="4">
        <f>IFERROR(__xludf.DUMMYFUNCTION("""COMPUTED_VALUE"""),0.6782504324416436)</f>
        <v>0.6782504324</v>
      </c>
      <c r="U360" s="4"/>
      <c r="V360" s="4"/>
      <c r="W360" s="4">
        <f>IFERROR(__xludf.DUMMYFUNCTION("""COMPUTED_VALUE"""),-7.602612127114639)</f>
        <v>-7.602612127</v>
      </c>
      <c r="X360" s="4"/>
      <c r="Y360" s="4"/>
      <c r="Z360" s="4">
        <f>IFERROR(__xludf.DUMMYFUNCTION("""COMPUTED_VALUE"""),-0.9980457434821801)</f>
        <v>-0.9980457435</v>
      </c>
      <c r="AA360" s="4"/>
      <c r="AB360" s="4"/>
      <c r="AC360" s="4">
        <f>IFERROR(__xludf.DUMMYFUNCTION("""COMPUTED_VALUE"""),-4.470039403926364)</f>
        <v>-4.470039404</v>
      </c>
      <c r="AD360" s="4"/>
      <c r="AE360" s="4"/>
      <c r="AF360" s="4">
        <f>IFERROR(__xludf.DUMMYFUNCTION("""COMPUTED_VALUE"""),0.7987977923034464)</f>
        <v>0.7987977923</v>
      </c>
      <c r="AG360" s="4"/>
      <c r="AH360" s="4"/>
      <c r="AI360" s="4">
        <f>IFERROR(__xludf.DUMMYFUNCTION("""COMPUTED_VALUE"""),0.8842976712816153)</f>
        <v>0.8842976713</v>
      </c>
      <c r="AJ360" s="4"/>
      <c r="AK360" s="4"/>
      <c r="AL360" s="4">
        <f>IFERROR(__xludf.DUMMYFUNCTION("""COMPUTED_VALUE"""),-0.1531131857208834)</f>
        <v>-0.1531131857</v>
      </c>
      <c r="AM360" s="4"/>
      <c r="AN360" s="4"/>
      <c r="AO360" s="4">
        <f>IFERROR(__xludf.DUMMYFUNCTION("""COMPUTED_VALUE"""),-1.8042206153170355)</f>
        <v>-1.804220615</v>
      </c>
      <c r="AP360" s="4"/>
      <c r="AQ360" s="4"/>
      <c r="AR360" s="4">
        <f>IFERROR(__xludf.DUMMYFUNCTION("""COMPUTED_VALUE"""),2.307011274379306)</f>
        <v>2.307011274</v>
      </c>
      <c r="AS360" s="4"/>
      <c r="AT360" s="4"/>
      <c r="AU360" s="4">
        <f>IFERROR(__xludf.DUMMYFUNCTION("""COMPUTED_VALUE"""),-1.3843137032357617)</f>
        <v>-1.384313703</v>
      </c>
      <c r="AV360" s="4"/>
      <c r="AW360" s="4"/>
      <c r="AX360" s="4">
        <f>IFERROR(__xludf.DUMMYFUNCTION("""COMPUTED_VALUE"""),0.7510867120528246)</f>
        <v>0.7510867121</v>
      </c>
      <c r="AY360" s="4"/>
      <c r="AZ360" s="4"/>
      <c r="BA360" s="4">
        <f>IFERROR(__xludf.DUMMYFUNCTION("""COMPUTED_VALUE"""),2.7748518121804295)</f>
        <v>2.774851812</v>
      </c>
      <c r="BB360" s="4"/>
      <c r="BC360" s="4"/>
      <c r="BD360" s="4">
        <f>IFERROR(__xludf.DUMMYFUNCTION("""COMPUTED_VALUE"""),0.6739076137076836)</f>
        <v>0.6739076137</v>
      </c>
      <c r="BE360" s="4"/>
      <c r="BF360" s="4"/>
      <c r="BG360" s="4">
        <f>IFERROR(__xludf.DUMMYFUNCTION("""COMPUTED_VALUE"""),4.192692648698994)</f>
        <v>4.192692649</v>
      </c>
      <c r="BH360" s="4"/>
      <c r="BI360" s="4"/>
      <c r="BJ360" s="4"/>
      <c r="BK360" s="4"/>
    </row>
    <row r="361">
      <c r="A361" s="4"/>
      <c r="B361" s="4"/>
      <c r="C361" s="4"/>
      <c r="D361" s="4">
        <f>IFERROR(__xludf.DUMMYFUNCTION("""COMPUTED_VALUE"""),-118.46020104409406)</f>
        <v>-118.460201</v>
      </c>
      <c r="E361" s="23">
        <f>IFERROR(__xludf.DUMMYFUNCTION("""COMPUTED_VALUE"""),-1.0592069844828984)</f>
        <v>-1.059206984</v>
      </c>
      <c r="F361" s="4"/>
      <c r="G361" s="4"/>
      <c r="H361" s="4">
        <f>IFERROR(__xludf.DUMMYFUNCTION("""COMPUTED_VALUE"""),-4.183719684640664)</f>
        <v>-4.183719685</v>
      </c>
      <c r="I361" s="4"/>
      <c r="J361" s="4"/>
      <c r="K361" s="4">
        <f>IFERROR(__xludf.DUMMYFUNCTION("""COMPUTED_VALUE"""),1.5348366184055635)</f>
        <v>1.534836618</v>
      </c>
      <c r="L361" s="4"/>
      <c r="M361" s="4"/>
      <c r="N361" s="4">
        <f>IFERROR(__xludf.DUMMYFUNCTION("""COMPUTED_VALUE"""),2.199871073767099)</f>
        <v>2.199871074</v>
      </c>
      <c r="O361" s="4"/>
      <c r="P361" s="4"/>
      <c r="Q361" s="4">
        <f>IFERROR(__xludf.DUMMYFUNCTION("""COMPUTED_VALUE"""),2.08492901756739)</f>
        <v>2.084929018</v>
      </c>
      <c r="R361" s="4"/>
      <c r="S361" s="4"/>
      <c r="T361" s="4">
        <f>IFERROR(__xludf.DUMMYFUNCTION("""COMPUTED_VALUE"""),-8.35516534224854)</f>
        <v>-8.355165342</v>
      </c>
      <c r="U361" s="4"/>
      <c r="V361" s="4"/>
      <c r="W361" s="4">
        <f>IFERROR(__xludf.DUMMYFUNCTION("""COMPUTED_VALUE"""),-4.472848973572866)</f>
        <v>-4.472848974</v>
      </c>
      <c r="X361" s="4"/>
      <c r="Y361" s="4"/>
      <c r="Z361" s="4">
        <f>IFERROR(__xludf.DUMMYFUNCTION("""COMPUTED_VALUE"""),-3.5477148249555057)</f>
        <v>-3.547714825</v>
      </c>
      <c r="AA361" s="4"/>
      <c r="AB361" s="4"/>
      <c r="AC361" s="4">
        <f>IFERROR(__xludf.DUMMYFUNCTION("""COMPUTED_VALUE"""),-0.39556012694521314)</f>
        <v>-0.3955601269</v>
      </c>
      <c r="AD361" s="4"/>
      <c r="AE361" s="4"/>
      <c r="AF361" s="4">
        <f>IFERROR(__xludf.DUMMYFUNCTION("""COMPUTED_VALUE"""),6.865343417611598)</f>
        <v>6.865343418</v>
      </c>
      <c r="AG361" s="4"/>
      <c r="AH361" s="4"/>
      <c r="AI361" s="4">
        <f>IFERROR(__xludf.DUMMYFUNCTION("""COMPUTED_VALUE"""),-4.3279827638256165)</f>
        <v>-4.327982764</v>
      </c>
      <c r="AJ361" s="4"/>
      <c r="AK361" s="4"/>
      <c r="AL361" s="4">
        <f>IFERROR(__xludf.DUMMYFUNCTION("""COMPUTED_VALUE"""),4.152202224001201)</f>
        <v>4.152202224</v>
      </c>
      <c r="AM361" s="4"/>
      <c r="AN361" s="4"/>
      <c r="AO361" s="4">
        <f>IFERROR(__xludf.DUMMYFUNCTION("""COMPUTED_VALUE"""),0.8251613622031755)</f>
        <v>0.8251613622</v>
      </c>
      <c r="AP361" s="4"/>
      <c r="AQ361" s="4"/>
      <c r="AR361" s="4">
        <f>IFERROR(__xludf.DUMMYFUNCTION("""COMPUTED_VALUE"""),-2.999933725615449)</f>
        <v>-2.999933726</v>
      </c>
      <c r="AS361" s="4"/>
      <c r="AT361" s="4"/>
      <c r="AU361" s="4">
        <f>IFERROR(__xludf.DUMMYFUNCTION("""COMPUTED_VALUE"""),5.876053634966183)</f>
        <v>5.876053635</v>
      </c>
      <c r="AV361" s="4"/>
      <c r="AW361" s="4"/>
      <c r="AX361" s="4">
        <f>IFERROR(__xludf.DUMMYFUNCTION("""COMPUTED_VALUE"""),-0.05756923102450173)</f>
        <v>-0.05756923102</v>
      </c>
      <c r="AY361" s="4"/>
      <c r="AZ361" s="4"/>
      <c r="BA361" s="4">
        <f>IFERROR(__xludf.DUMMYFUNCTION("""COMPUTED_VALUE"""),4.685543713557536)</f>
        <v>4.685543714</v>
      </c>
      <c r="BB361" s="4"/>
      <c r="BC361" s="4"/>
      <c r="BD361" s="4">
        <f>IFERROR(__xludf.DUMMYFUNCTION("""COMPUTED_VALUE"""),6.538510710613139)</f>
        <v>6.538510711</v>
      </c>
      <c r="BE361" s="4"/>
      <c r="BF361" s="4"/>
      <c r="BG361" s="4">
        <f>IFERROR(__xludf.DUMMYFUNCTION("""COMPUTED_VALUE"""),5.02736150520883)</f>
        <v>5.027361505</v>
      </c>
      <c r="BH361" s="4"/>
      <c r="BI361" s="4"/>
      <c r="BJ361" s="4"/>
      <c r="BK361" s="4"/>
    </row>
    <row r="362">
      <c r="A362" s="4"/>
      <c r="B362" s="4"/>
      <c r="C362" s="4"/>
      <c r="D362" s="4">
        <f>IFERROR(__xludf.DUMMYFUNCTION("""COMPUTED_VALUE"""),-119.37849717684378)</f>
        <v>-119.3784972</v>
      </c>
      <c r="E362" s="23">
        <f>IFERROR(__xludf.DUMMYFUNCTION("""COMPUTED_VALUE"""),-4.056752782573994)</f>
        <v>-4.056752783</v>
      </c>
      <c r="F362" s="4"/>
      <c r="G362" s="4"/>
      <c r="H362" s="4">
        <f>IFERROR(__xludf.DUMMYFUNCTION("""COMPUTED_VALUE"""),0.9524234912965426)</f>
        <v>0.9524234913</v>
      </c>
      <c r="I362" s="4"/>
      <c r="J362" s="4"/>
      <c r="K362" s="4">
        <f>IFERROR(__xludf.DUMMYFUNCTION("""COMPUTED_VALUE"""),-0.4665972700563543)</f>
        <v>-0.4665972701</v>
      </c>
      <c r="L362" s="4"/>
      <c r="M362" s="4"/>
      <c r="N362" s="4">
        <f>IFERROR(__xludf.DUMMYFUNCTION("""COMPUTED_VALUE"""),-0.09859852776679645)</f>
        <v>-0.09859852777</v>
      </c>
      <c r="O362" s="4"/>
      <c r="P362" s="4"/>
      <c r="Q362" s="4">
        <f>IFERROR(__xludf.DUMMYFUNCTION("""COMPUTED_VALUE"""),-1.3352335063983674)</f>
        <v>-1.335233506</v>
      </c>
      <c r="R362" s="4"/>
      <c r="S362" s="4"/>
      <c r="T362" s="4">
        <f>IFERROR(__xludf.DUMMYFUNCTION("""COMPUTED_VALUE"""),-3.2096848372071918)</f>
        <v>-3.209684837</v>
      </c>
      <c r="U362" s="4"/>
      <c r="V362" s="4"/>
      <c r="W362" s="4">
        <f>IFERROR(__xludf.DUMMYFUNCTION("""COMPUTED_VALUE"""),0.016761572032635286)</f>
        <v>0.01676157203</v>
      </c>
      <c r="X362" s="4"/>
      <c r="Y362" s="4"/>
      <c r="Z362" s="4">
        <f>IFERROR(__xludf.DUMMYFUNCTION("""COMPUTED_VALUE"""),6.3922246680241415)</f>
        <v>6.392224668</v>
      </c>
      <c r="AA362" s="4"/>
      <c r="AB362" s="4"/>
      <c r="AC362" s="4">
        <f>IFERROR(__xludf.DUMMYFUNCTION("""COMPUTED_VALUE"""),0.902996116187353)</f>
        <v>0.9029961162</v>
      </c>
      <c r="AD362" s="4"/>
      <c r="AE362" s="4"/>
      <c r="AF362" s="4">
        <f>IFERROR(__xludf.DUMMYFUNCTION("""COMPUTED_VALUE"""),1.3692219657078795)</f>
        <v>1.369221966</v>
      </c>
      <c r="AG362" s="4"/>
      <c r="AH362" s="4"/>
      <c r="AI362" s="4">
        <f>IFERROR(__xludf.DUMMYFUNCTION("""COMPUTED_VALUE"""),-6.806119711437589)</f>
        <v>-6.806119711</v>
      </c>
      <c r="AJ362" s="4"/>
      <c r="AK362" s="4"/>
      <c r="AL362" s="4">
        <f>IFERROR(__xludf.DUMMYFUNCTION("""COMPUTED_VALUE"""),2.5369686701103547)</f>
        <v>2.53696867</v>
      </c>
      <c r="AM362" s="4"/>
      <c r="AN362" s="4"/>
      <c r="AO362" s="4">
        <f>IFERROR(__xludf.DUMMYFUNCTION("""COMPUTED_VALUE"""),-0.862055898310075)</f>
        <v>-0.8620558983</v>
      </c>
      <c r="AP362" s="4"/>
      <c r="AQ362" s="4"/>
      <c r="AR362" s="4">
        <f>IFERROR(__xludf.DUMMYFUNCTION("""COMPUTED_VALUE"""),0.807079250006268)</f>
        <v>0.80707925</v>
      </c>
      <c r="AS362" s="4"/>
      <c r="AT362" s="4"/>
      <c r="AU362" s="4">
        <f>IFERROR(__xludf.DUMMYFUNCTION("""COMPUTED_VALUE"""),-0.790760350821472)</f>
        <v>-0.7907603508</v>
      </c>
      <c r="AV362" s="4"/>
      <c r="AW362" s="4"/>
      <c r="AX362" s="4">
        <f>IFERROR(__xludf.DUMMYFUNCTION("""COMPUTED_VALUE"""),3.384697859594098)</f>
        <v>3.38469786</v>
      </c>
      <c r="AY362" s="4"/>
      <c r="AZ362" s="4"/>
      <c r="BA362" s="4">
        <f>IFERROR(__xludf.DUMMYFUNCTION("""COMPUTED_VALUE"""),3.624814256577224)</f>
        <v>3.624814257</v>
      </c>
      <c r="BB362" s="4"/>
      <c r="BC362" s="4"/>
      <c r="BD362" s="4">
        <f>IFERROR(__xludf.DUMMYFUNCTION("""COMPUTED_VALUE"""),-1.8758785354956444)</f>
        <v>-1.875878535</v>
      </c>
      <c r="BE362" s="4"/>
      <c r="BF362" s="4"/>
      <c r="BG362" s="4">
        <f>IFERROR(__xludf.DUMMYFUNCTION("""COMPUTED_VALUE"""),1.8554496955842978)</f>
        <v>1.855449696</v>
      </c>
      <c r="BH362" s="4"/>
      <c r="BI362" s="4"/>
      <c r="BJ362" s="4"/>
      <c r="BK362" s="4"/>
    </row>
    <row r="363">
      <c r="A363" s="4"/>
      <c r="B363" s="4"/>
      <c r="C363" s="4"/>
      <c r="D363" s="4">
        <f>IFERROR(__xludf.DUMMYFUNCTION("""COMPUTED_VALUE"""),-120.29679330964386)</f>
        <v>-120.2967933</v>
      </c>
      <c r="E363" s="23">
        <f>IFERROR(__xludf.DUMMYFUNCTION("""COMPUTED_VALUE"""),2.409256977087125)</f>
        <v>2.409256977</v>
      </c>
      <c r="F363" s="4"/>
      <c r="G363" s="4"/>
      <c r="H363" s="4">
        <f>IFERROR(__xludf.DUMMYFUNCTION("""COMPUTED_VALUE"""),4.905555744664355)</f>
        <v>4.905555745</v>
      </c>
      <c r="I363" s="4"/>
      <c r="J363" s="4"/>
      <c r="K363" s="4">
        <f>IFERROR(__xludf.DUMMYFUNCTION("""COMPUTED_VALUE"""),3.3488424128967154)</f>
        <v>3.348842413</v>
      </c>
      <c r="L363" s="4"/>
      <c r="M363" s="4"/>
      <c r="N363" s="4">
        <f>IFERROR(__xludf.DUMMYFUNCTION("""COMPUTED_VALUE"""),4.071964066327553)</f>
        <v>4.071964066</v>
      </c>
      <c r="O363" s="4"/>
      <c r="P363" s="4"/>
      <c r="Q363" s="4">
        <f>IFERROR(__xludf.DUMMYFUNCTION("""COMPUTED_VALUE"""),2.2905276944924253)</f>
        <v>2.290527694</v>
      </c>
      <c r="R363" s="4"/>
      <c r="S363" s="4"/>
      <c r="T363" s="4">
        <f>IFERROR(__xludf.DUMMYFUNCTION("""COMPUTED_VALUE"""),-2.9429170473390514)</f>
        <v>-2.942917047</v>
      </c>
      <c r="U363" s="4"/>
      <c r="V363" s="4"/>
      <c r="W363" s="4">
        <f>IFERROR(__xludf.DUMMYFUNCTION("""COMPUTED_VALUE"""),-7.39765942070585)</f>
        <v>-7.397659421</v>
      </c>
      <c r="X363" s="4"/>
      <c r="Y363" s="4"/>
      <c r="Z363" s="4">
        <f>IFERROR(__xludf.DUMMYFUNCTION("""COMPUTED_VALUE"""),4.961139945476873)</f>
        <v>4.961139945</v>
      </c>
      <c r="AA363" s="4"/>
      <c r="AB363" s="4"/>
      <c r="AC363" s="4">
        <f>IFERROR(__xludf.DUMMYFUNCTION("""COMPUTED_VALUE"""),1.9967894009765814)</f>
        <v>1.996789401</v>
      </c>
      <c r="AD363" s="4"/>
      <c r="AE363" s="4"/>
      <c r="AF363" s="4">
        <f>IFERROR(__xludf.DUMMYFUNCTION("""COMPUTED_VALUE"""),0.6837480679747614)</f>
        <v>0.683748068</v>
      </c>
      <c r="AG363" s="4"/>
      <c r="AH363" s="4"/>
      <c r="AI363" s="4">
        <f>IFERROR(__xludf.DUMMYFUNCTION("""COMPUTED_VALUE"""),0.3202146135024009)</f>
        <v>0.3202146135</v>
      </c>
      <c r="AJ363" s="4"/>
      <c r="AK363" s="4"/>
      <c r="AL363" s="4">
        <f>IFERROR(__xludf.DUMMYFUNCTION("""COMPUTED_VALUE"""),-3.2698442556927603)</f>
        <v>-3.269844256</v>
      </c>
      <c r="AM363" s="4"/>
      <c r="AN363" s="4"/>
      <c r="AO363" s="4">
        <f>IFERROR(__xludf.DUMMYFUNCTION("""COMPUTED_VALUE"""),-1.4164114167638786)</f>
        <v>-1.416411417</v>
      </c>
      <c r="AP363" s="4"/>
      <c r="AQ363" s="4"/>
      <c r="AR363" s="4">
        <f>IFERROR(__xludf.DUMMYFUNCTION("""COMPUTED_VALUE"""),-4.68452483874529)</f>
        <v>-4.684524839</v>
      </c>
      <c r="AS363" s="4"/>
      <c r="AT363" s="4"/>
      <c r="AU363" s="4">
        <f>IFERROR(__xludf.DUMMYFUNCTION("""COMPUTED_VALUE"""),6.787098287660626)</f>
        <v>6.787098288</v>
      </c>
      <c r="AV363" s="4"/>
      <c r="AW363" s="4"/>
      <c r="AX363" s="4">
        <f>IFERROR(__xludf.DUMMYFUNCTION("""COMPUTED_VALUE"""),2.6256107102072974)</f>
        <v>2.62561071</v>
      </c>
      <c r="AY363" s="4"/>
      <c r="AZ363" s="4"/>
      <c r="BA363" s="4">
        <f>IFERROR(__xludf.DUMMYFUNCTION("""COMPUTED_VALUE"""),1.6040203185312407)</f>
        <v>1.604020319</v>
      </c>
      <c r="BB363" s="4"/>
      <c r="BC363" s="4"/>
      <c r="BD363" s="4">
        <f>IFERROR(__xludf.DUMMYFUNCTION("""COMPUTED_VALUE"""),6.308010876999788)</f>
        <v>6.308010877</v>
      </c>
      <c r="BE363" s="4"/>
      <c r="BF363" s="4"/>
      <c r="BG363" s="4">
        <f>IFERROR(__xludf.DUMMYFUNCTION("""COMPUTED_VALUE"""),5.138418469156818)</f>
        <v>5.138418469</v>
      </c>
      <c r="BH363" s="4"/>
      <c r="BI363" s="4"/>
      <c r="BJ363" s="4"/>
      <c r="BK363" s="4"/>
    </row>
    <row r="364">
      <c r="A364" s="4"/>
      <c r="B364" s="4"/>
      <c r="C364" s="4"/>
      <c r="D364" s="4">
        <f>IFERROR(__xludf.DUMMYFUNCTION("""COMPUTED_VALUE"""),-121.21508944027862)</f>
        <v>-121.2150894</v>
      </c>
      <c r="E364" s="23">
        <f>IFERROR(__xludf.DUMMYFUNCTION("""COMPUTED_VALUE"""),-2.9150809922564918)</f>
        <v>-2.915080992</v>
      </c>
      <c r="F364" s="4"/>
      <c r="G364" s="4"/>
      <c r="H364" s="4">
        <f>IFERROR(__xludf.DUMMYFUNCTION("""COMPUTED_VALUE"""),-7.679075267130827)</f>
        <v>-7.679075267</v>
      </c>
      <c r="I364" s="4"/>
      <c r="J364" s="4"/>
      <c r="K364" s="4">
        <f>IFERROR(__xludf.DUMMYFUNCTION("""COMPUTED_VALUE"""),-5.10846341828011)</f>
        <v>-5.108463418</v>
      </c>
      <c r="L364" s="4"/>
      <c r="M364" s="4"/>
      <c r="N364" s="4">
        <f>IFERROR(__xludf.DUMMYFUNCTION("""COMPUTED_VALUE"""),3.8898521777585415)</f>
        <v>3.889852178</v>
      </c>
      <c r="O364" s="4"/>
      <c r="P364" s="4"/>
      <c r="Q364" s="4">
        <f>IFERROR(__xludf.DUMMYFUNCTION("""COMPUTED_VALUE"""),2.274382310654005)</f>
        <v>2.274382311</v>
      </c>
      <c r="R364" s="4"/>
      <c r="S364" s="4"/>
      <c r="T364" s="4">
        <f>IFERROR(__xludf.DUMMYFUNCTION("""COMPUTED_VALUE"""),-1.7158102920706142)</f>
        <v>-1.715810292</v>
      </c>
      <c r="U364" s="4"/>
      <c r="V364" s="4"/>
      <c r="W364" s="4">
        <f>IFERROR(__xludf.DUMMYFUNCTION("""COMPUTED_VALUE"""),-6.301987720580087)</f>
        <v>-6.301987721</v>
      </c>
      <c r="X364" s="4"/>
      <c r="Y364" s="4"/>
      <c r="Z364" s="4">
        <f>IFERROR(__xludf.DUMMYFUNCTION("""COMPUTED_VALUE"""),-5.248316878940386)</f>
        <v>-5.248316879</v>
      </c>
      <c r="AA364" s="4"/>
      <c r="AB364" s="4"/>
      <c r="AC364" s="4">
        <f>IFERROR(__xludf.DUMMYFUNCTION("""COMPUTED_VALUE"""),4.129521693004108)</f>
        <v>4.129521693</v>
      </c>
      <c r="AD364" s="4"/>
      <c r="AE364" s="4"/>
      <c r="AF364" s="4">
        <f>IFERROR(__xludf.DUMMYFUNCTION("""COMPUTED_VALUE"""),3.2333189008529644)</f>
        <v>3.233318901</v>
      </c>
      <c r="AG364" s="4"/>
      <c r="AH364" s="4"/>
      <c r="AI364" s="4">
        <f>IFERROR(__xludf.DUMMYFUNCTION("""COMPUTED_VALUE"""),-0.3008957117782529)</f>
        <v>-0.3008957118</v>
      </c>
      <c r="AJ364" s="4"/>
      <c r="AK364" s="4"/>
      <c r="AL364" s="4">
        <f>IFERROR(__xludf.DUMMYFUNCTION("""COMPUTED_VALUE"""),-1.1798219387722497)</f>
        <v>-1.179821939</v>
      </c>
      <c r="AM364" s="4"/>
      <c r="AN364" s="4"/>
      <c r="AO364" s="4">
        <f>IFERROR(__xludf.DUMMYFUNCTION("""COMPUTED_VALUE"""),-2.979226451824786)</f>
        <v>-2.979226452</v>
      </c>
      <c r="AP364" s="4"/>
      <c r="AQ364" s="4"/>
      <c r="AR364" s="4">
        <f>IFERROR(__xludf.DUMMYFUNCTION("""COMPUTED_VALUE"""),1.9105706774330429)</f>
        <v>1.910570677</v>
      </c>
      <c r="AS364" s="4"/>
      <c r="AT364" s="4"/>
      <c r="AU364" s="4">
        <f>IFERROR(__xludf.DUMMYFUNCTION("""COMPUTED_VALUE"""),-2.4453309113080763)</f>
        <v>-2.445330911</v>
      </c>
      <c r="AV364" s="4"/>
      <c r="AW364" s="4"/>
      <c r="AX364" s="4">
        <f>IFERROR(__xludf.DUMMYFUNCTION("""COMPUTED_VALUE"""),0.980096009777526)</f>
        <v>0.9800960098</v>
      </c>
      <c r="AY364" s="4"/>
      <c r="AZ364" s="4"/>
      <c r="BA364" s="4">
        <f>IFERROR(__xludf.DUMMYFUNCTION("""COMPUTED_VALUE"""),4.498535921808298)</f>
        <v>4.498535922</v>
      </c>
      <c r="BB364" s="4"/>
      <c r="BC364" s="4"/>
      <c r="BD364" s="4">
        <f>IFERROR(__xludf.DUMMYFUNCTION("""COMPUTED_VALUE"""),1.2514030049158578)</f>
        <v>1.251403005</v>
      </c>
      <c r="BE364" s="4"/>
      <c r="BF364" s="4"/>
      <c r="BG364" s="4">
        <f>IFERROR(__xludf.DUMMYFUNCTION("""COMPUTED_VALUE"""),-1.9247937630540832)</f>
        <v>-1.924793763</v>
      </c>
      <c r="BH364" s="4"/>
      <c r="BI364" s="4"/>
      <c r="BJ364" s="4"/>
      <c r="BK364" s="4"/>
    </row>
    <row r="365">
      <c r="A365" s="4"/>
      <c r="B365" s="4"/>
      <c r="C365" s="4"/>
      <c r="D365" s="4">
        <f>IFERROR(__xludf.DUMMYFUNCTION("""COMPUTED_VALUE"""),-122.1333855730787)</f>
        <v>-122.1333856</v>
      </c>
      <c r="E365" s="23">
        <f>IFERROR(__xludf.DUMMYFUNCTION("""COMPUTED_VALUE"""),2.132508771089647)</f>
        <v>2.132508771</v>
      </c>
      <c r="F365" s="4"/>
      <c r="G365" s="4"/>
      <c r="H365" s="4">
        <f>IFERROR(__xludf.DUMMYFUNCTION("""COMPUTED_VALUE"""),-4.691548358869568)</f>
        <v>-4.691548359</v>
      </c>
      <c r="I365" s="4"/>
      <c r="J365" s="4"/>
      <c r="K365" s="4">
        <f>IFERROR(__xludf.DUMMYFUNCTION("""COMPUTED_VALUE"""),1.2273800183447179)</f>
        <v>1.227380018</v>
      </c>
      <c r="L365" s="4"/>
      <c r="M365" s="4"/>
      <c r="N365" s="4">
        <f>IFERROR(__xludf.DUMMYFUNCTION("""COMPUTED_VALUE"""),-6.791612228218526)</f>
        <v>-6.791612228</v>
      </c>
      <c r="O365" s="4"/>
      <c r="P365" s="4"/>
      <c r="Q365" s="4">
        <f>IFERROR(__xludf.DUMMYFUNCTION("""COMPUTED_VALUE"""),3.4804324903858515)</f>
        <v>3.48043249</v>
      </c>
      <c r="R365" s="4"/>
      <c r="S365" s="4"/>
      <c r="T365" s="4">
        <f>IFERROR(__xludf.DUMMYFUNCTION("""COMPUTED_VALUE"""),-8.568736615404248)</f>
        <v>-8.568736615</v>
      </c>
      <c r="U365" s="4"/>
      <c r="V365" s="4"/>
      <c r="W365" s="4">
        <f>IFERROR(__xludf.DUMMYFUNCTION("""COMPUTED_VALUE"""),-2.5827768413438434)</f>
        <v>-2.582776841</v>
      </c>
      <c r="X365" s="4"/>
      <c r="Y365" s="4"/>
      <c r="Z365" s="4">
        <f>IFERROR(__xludf.DUMMYFUNCTION("""COMPUTED_VALUE"""),6.4760536260613435)</f>
        <v>6.476053626</v>
      </c>
      <c r="AA365" s="4"/>
      <c r="AB365" s="4"/>
      <c r="AC365" s="4">
        <f>IFERROR(__xludf.DUMMYFUNCTION("""COMPUTED_VALUE"""),1.688797471112082)</f>
        <v>1.688797471</v>
      </c>
      <c r="AD365" s="4"/>
      <c r="AE365" s="4"/>
      <c r="AF365" s="4">
        <f>IFERROR(__xludf.DUMMYFUNCTION("""COMPUTED_VALUE"""),-1.2001224833881565)</f>
        <v>-1.200122483</v>
      </c>
      <c r="AG365" s="4"/>
      <c r="AH365" s="4"/>
      <c r="AI365" s="4">
        <f>IFERROR(__xludf.DUMMYFUNCTION("""COMPUTED_VALUE"""),-2.2937343370234657)</f>
        <v>-2.293734337</v>
      </c>
      <c r="AJ365" s="4"/>
      <c r="AK365" s="4"/>
      <c r="AL365" s="4">
        <f>IFERROR(__xludf.DUMMYFUNCTION("""COMPUTED_VALUE"""),-0.4510132114219232)</f>
        <v>-0.4510132114</v>
      </c>
      <c r="AM365" s="4"/>
      <c r="AN365" s="4"/>
      <c r="AO365" s="4">
        <f>IFERROR(__xludf.DUMMYFUNCTION("""COMPUTED_VALUE"""),-3.455471248370202)</f>
        <v>-3.455471248</v>
      </c>
      <c r="AP365" s="4"/>
      <c r="AQ365" s="4"/>
      <c r="AR365" s="4">
        <f>IFERROR(__xludf.DUMMYFUNCTION("""COMPUTED_VALUE"""),0.9833929758462432)</f>
        <v>0.9833929758</v>
      </c>
      <c r="AS365" s="4"/>
      <c r="AT365" s="4"/>
      <c r="AU365" s="4">
        <f>IFERROR(__xludf.DUMMYFUNCTION("""COMPUTED_VALUE"""),-0.4874259795148532)</f>
        <v>-0.4874259795</v>
      </c>
      <c r="AV365" s="4"/>
      <c r="AW365" s="4"/>
      <c r="AX365" s="4">
        <f>IFERROR(__xludf.DUMMYFUNCTION("""COMPUTED_VALUE"""),3.083881900348331)</f>
        <v>3.0838819</v>
      </c>
      <c r="AY365" s="4"/>
      <c r="AZ365" s="4"/>
      <c r="BA365" s="4">
        <f>IFERROR(__xludf.DUMMYFUNCTION("""COMPUTED_VALUE"""),1.9037056871263758)</f>
        <v>1.903705687</v>
      </c>
      <c r="BB365" s="4"/>
      <c r="BC365" s="4"/>
      <c r="BD365" s="4">
        <f>IFERROR(__xludf.DUMMYFUNCTION("""COMPUTED_VALUE"""),-4.391831581431177)</f>
        <v>-4.391831581</v>
      </c>
      <c r="BE365" s="4"/>
      <c r="BF365" s="4"/>
      <c r="BG365" s="4">
        <f>IFERROR(__xludf.DUMMYFUNCTION("""COMPUTED_VALUE"""),-5.111791020886301)</f>
        <v>-5.111791021</v>
      </c>
      <c r="BH365" s="4"/>
      <c r="BI365" s="4"/>
      <c r="BJ365" s="4"/>
      <c r="BK365" s="4"/>
    </row>
    <row r="366">
      <c r="A366" s="4"/>
      <c r="B366" s="4"/>
      <c r="C366" s="4"/>
      <c r="D366" s="4">
        <f>IFERROR(__xludf.DUMMYFUNCTION("""COMPUTED_VALUE"""),-123.05168170587878)</f>
        <v>-123.0516817</v>
      </c>
      <c r="E366" s="23">
        <f>IFERROR(__xludf.DUMMYFUNCTION("""COMPUTED_VALUE"""),0.5780088270236092)</f>
        <v>0.578008827</v>
      </c>
      <c r="F366" s="4"/>
      <c r="G366" s="4"/>
      <c r="H366" s="4">
        <f>IFERROR(__xludf.DUMMYFUNCTION("""COMPUTED_VALUE"""),1.139242048790038)</f>
        <v>1.139242049</v>
      </c>
      <c r="I366" s="4"/>
      <c r="J366" s="4"/>
      <c r="K366" s="4">
        <f>IFERROR(__xludf.DUMMYFUNCTION("""COMPUTED_VALUE"""),3.72103983442787)</f>
        <v>3.721039834</v>
      </c>
      <c r="L366" s="4"/>
      <c r="M366" s="4"/>
      <c r="N366" s="4">
        <f>IFERROR(__xludf.DUMMYFUNCTION("""COMPUTED_VALUE"""),3.478798031082704)</f>
        <v>3.478798031</v>
      </c>
      <c r="O366" s="4"/>
      <c r="P366" s="4"/>
      <c r="Q366" s="4">
        <f>IFERROR(__xludf.DUMMYFUNCTION("""COMPUTED_VALUE"""),3.097918615471258)</f>
        <v>3.097918615</v>
      </c>
      <c r="R366" s="4"/>
      <c r="S366" s="4"/>
      <c r="T366" s="4">
        <f>IFERROR(__xludf.DUMMYFUNCTION("""COMPUTED_VALUE"""),6.295147447735701)</f>
        <v>6.295147448</v>
      </c>
      <c r="U366" s="4"/>
      <c r="V366" s="4"/>
      <c r="W366" s="4">
        <f>IFERROR(__xludf.DUMMYFUNCTION("""COMPUTED_VALUE"""),-3.2809893170575037)</f>
        <v>-3.280989317</v>
      </c>
      <c r="X366" s="4"/>
      <c r="Y366" s="4"/>
      <c r="Z366" s="4">
        <f>IFERROR(__xludf.DUMMYFUNCTION("""COMPUTED_VALUE"""),-0.6986938364007074)</f>
        <v>-0.6986938364</v>
      </c>
      <c r="AA366" s="4"/>
      <c r="AB366" s="4"/>
      <c r="AC366" s="4">
        <f>IFERROR(__xludf.DUMMYFUNCTION("""COMPUTED_VALUE"""),4.183480627828715)</f>
        <v>4.183480628</v>
      </c>
      <c r="AD366" s="4"/>
      <c r="AE366" s="4"/>
      <c r="AF366" s="4">
        <f>IFERROR(__xludf.DUMMYFUNCTION("""COMPUTED_VALUE"""),-2.323055470506631)</f>
        <v>-2.323055471</v>
      </c>
      <c r="AG366" s="4"/>
      <c r="AH366" s="4"/>
      <c r="AI366" s="4">
        <f>IFERROR(__xludf.DUMMYFUNCTION("""COMPUTED_VALUE"""),1.9654877175786396)</f>
        <v>1.965487718</v>
      </c>
      <c r="AJ366" s="4"/>
      <c r="AK366" s="4"/>
      <c r="AL366" s="4">
        <f>IFERROR(__xludf.DUMMYFUNCTION("""COMPUTED_VALUE"""),-3.504045114872781)</f>
        <v>-3.504045115</v>
      </c>
      <c r="AM366" s="4"/>
      <c r="AN366" s="4"/>
      <c r="AO366" s="4">
        <f>IFERROR(__xludf.DUMMYFUNCTION("""COMPUTED_VALUE"""),-3.6857609718674667)</f>
        <v>-3.685760972</v>
      </c>
      <c r="AP366" s="4"/>
      <c r="AQ366" s="4"/>
      <c r="AR366" s="4">
        <f>IFERROR(__xludf.DUMMYFUNCTION("""COMPUTED_VALUE"""),-1.1772279508071506)</f>
        <v>-1.177227951</v>
      </c>
      <c r="AS366" s="4"/>
      <c r="AT366" s="4"/>
      <c r="AU366" s="4">
        <f>IFERROR(__xludf.DUMMYFUNCTION("""COMPUTED_VALUE"""),0.8427753091976911)</f>
        <v>0.8427753092</v>
      </c>
      <c r="AV366" s="4"/>
      <c r="AW366" s="4"/>
      <c r="AX366" s="4">
        <f>IFERROR(__xludf.DUMMYFUNCTION("""COMPUTED_VALUE"""),-0.5676082266443814)</f>
        <v>-0.5676082266</v>
      </c>
      <c r="AY366" s="4"/>
      <c r="AZ366" s="4"/>
      <c r="BA366" s="4">
        <f>IFERROR(__xludf.DUMMYFUNCTION("""COMPUTED_VALUE"""),3.527286877959625)</f>
        <v>3.527286878</v>
      </c>
      <c r="BB366" s="4"/>
      <c r="BC366" s="4"/>
      <c r="BD366" s="4">
        <f>IFERROR(__xludf.DUMMYFUNCTION("""COMPUTED_VALUE"""),2.606397348165615)</f>
        <v>2.606397348</v>
      </c>
      <c r="BE366" s="4"/>
      <c r="BF366" s="4"/>
      <c r="BG366" s="4">
        <f>IFERROR(__xludf.DUMMYFUNCTION("""COMPUTED_VALUE"""),-0.9377994400538228)</f>
        <v>-0.9377994401</v>
      </c>
      <c r="BH366" s="4"/>
      <c r="BI366" s="4"/>
      <c r="BJ366" s="4"/>
      <c r="BK366" s="4"/>
    </row>
    <row r="367">
      <c r="A367" s="4"/>
      <c r="B367" s="4"/>
      <c r="C367" s="4"/>
      <c r="D367" s="4">
        <f>IFERROR(__xludf.DUMMYFUNCTION("""COMPUTED_VALUE"""),-123.96997783651355)</f>
        <v>-123.9699778</v>
      </c>
      <c r="E367" s="23">
        <f>IFERROR(__xludf.DUMMYFUNCTION("""COMPUTED_VALUE"""),2.777354838501253)</f>
        <v>2.777354839</v>
      </c>
      <c r="F367" s="4"/>
      <c r="G367" s="4"/>
      <c r="H367" s="4">
        <f>IFERROR(__xludf.DUMMYFUNCTION("""COMPUTED_VALUE"""),-2.5315021030389175)</f>
        <v>-2.531502103</v>
      </c>
      <c r="I367" s="4"/>
      <c r="J367" s="4"/>
      <c r="K367" s="4">
        <f>IFERROR(__xludf.DUMMYFUNCTION("""COMPUTED_VALUE"""),3.188666839569464)</f>
        <v>3.18866684</v>
      </c>
      <c r="L367" s="4"/>
      <c r="M367" s="4"/>
      <c r="N367" s="4">
        <f>IFERROR(__xludf.DUMMYFUNCTION("""COMPUTED_VALUE"""),0.5568648925976731)</f>
        <v>0.5568648926</v>
      </c>
      <c r="O367" s="4"/>
      <c r="P367" s="4"/>
      <c r="Q367" s="4">
        <f>IFERROR(__xludf.DUMMYFUNCTION("""COMPUTED_VALUE"""),2.778243827259928)</f>
        <v>2.778243827</v>
      </c>
      <c r="R367" s="4"/>
      <c r="S367" s="4"/>
      <c r="T367" s="4">
        <f>IFERROR(__xludf.DUMMYFUNCTION("""COMPUTED_VALUE"""),-3.0521173844411464)</f>
        <v>-3.052117384</v>
      </c>
      <c r="U367" s="4"/>
      <c r="V367" s="4"/>
      <c r="W367" s="4">
        <f>IFERROR(__xludf.DUMMYFUNCTION("""COMPUTED_VALUE"""),-3.7087685998528173)</f>
        <v>-3.7087686</v>
      </c>
      <c r="X367" s="4"/>
      <c r="Y367" s="4"/>
      <c r="Z367" s="4">
        <f>IFERROR(__xludf.DUMMYFUNCTION("""COMPUTED_VALUE"""),-2.132186401164631)</f>
        <v>-2.132186401</v>
      </c>
      <c r="AA367" s="4"/>
      <c r="AB367" s="4"/>
      <c r="AC367" s="4">
        <f>IFERROR(__xludf.DUMMYFUNCTION("""COMPUTED_VALUE"""),-3.9619505627835565)</f>
        <v>-3.961950563</v>
      </c>
      <c r="AD367" s="4"/>
      <c r="AE367" s="4"/>
      <c r="AF367" s="4">
        <f>IFERROR(__xludf.DUMMYFUNCTION("""COMPUTED_VALUE"""),3.388327734002587)</f>
        <v>3.388327734</v>
      </c>
      <c r="AG367" s="4"/>
      <c r="AH367" s="4"/>
      <c r="AI367" s="4">
        <f>IFERROR(__xludf.DUMMYFUNCTION("""COMPUTED_VALUE"""),2.050552053848662)</f>
        <v>2.050552054</v>
      </c>
      <c r="AJ367" s="4"/>
      <c r="AK367" s="4"/>
      <c r="AL367" s="4">
        <f>IFERROR(__xludf.DUMMYFUNCTION("""COMPUTED_VALUE"""),-0.9636783653857606)</f>
        <v>-0.9636783654</v>
      </c>
      <c r="AM367" s="4"/>
      <c r="AN367" s="4"/>
      <c r="AO367" s="4">
        <f>IFERROR(__xludf.DUMMYFUNCTION("""COMPUTED_VALUE"""),0.4346287100099744)</f>
        <v>0.43462871</v>
      </c>
      <c r="AP367" s="4"/>
      <c r="AQ367" s="4"/>
      <c r="AR367" s="4">
        <f>IFERROR(__xludf.DUMMYFUNCTION("""COMPUTED_VALUE"""),-1.0570637375372485)</f>
        <v>-1.057063738</v>
      </c>
      <c r="AS367" s="4"/>
      <c r="AT367" s="4"/>
      <c r="AU367" s="4">
        <f>IFERROR(__xludf.DUMMYFUNCTION("""COMPUTED_VALUE"""),1.2241664386363595)</f>
        <v>1.224166439</v>
      </c>
      <c r="AV367" s="4"/>
      <c r="AW367" s="4"/>
      <c r="AX367" s="4">
        <f>IFERROR(__xludf.DUMMYFUNCTION("""COMPUTED_VALUE"""),2.389055733371606)</f>
        <v>2.389055733</v>
      </c>
      <c r="AY367" s="4"/>
      <c r="AZ367" s="4"/>
      <c r="BA367" s="4">
        <f>IFERROR(__xludf.DUMMYFUNCTION("""COMPUTED_VALUE"""),-0.7457944081425012)</f>
        <v>-0.7457944081</v>
      </c>
      <c r="BB367" s="4"/>
      <c r="BC367" s="4"/>
      <c r="BD367" s="4">
        <f>IFERROR(__xludf.DUMMYFUNCTION("""COMPUTED_VALUE"""),0.22046255189025032)</f>
        <v>0.2204625519</v>
      </c>
      <c r="BE367" s="4"/>
      <c r="BF367" s="4"/>
      <c r="BG367" s="4">
        <f>IFERROR(__xludf.DUMMYFUNCTION("""COMPUTED_VALUE"""),5.09458447955808)</f>
        <v>5.09458448</v>
      </c>
      <c r="BH367" s="4"/>
      <c r="BI367" s="4"/>
      <c r="BJ367" s="4"/>
      <c r="BK367" s="4"/>
    </row>
    <row r="368">
      <c r="A368" s="4"/>
      <c r="B368" s="4"/>
      <c r="C368" s="4"/>
      <c r="D368" s="4">
        <f>IFERROR(__xludf.DUMMYFUNCTION("""COMPUTED_VALUE"""),-124.88827396931362)</f>
        <v>-124.888274</v>
      </c>
      <c r="E368" s="23">
        <f>IFERROR(__xludf.DUMMYFUNCTION("""COMPUTED_VALUE"""),1.5401026133390587)</f>
        <v>1.540102613</v>
      </c>
      <c r="F368" s="4"/>
      <c r="G368" s="4"/>
      <c r="H368" s="4">
        <f>IFERROR(__xludf.DUMMYFUNCTION("""COMPUTED_VALUE"""),0.20545281764719903)</f>
        <v>0.2054528176</v>
      </c>
      <c r="I368" s="4"/>
      <c r="J368" s="4"/>
      <c r="K368" s="4">
        <f>IFERROR(__xludf.DUMMYFUNCTION("""COMPUTED_VALUE"""),-0.8575529434766054)</f>
        <v>-0.8575529435</v>
      </c>
      <c r="L368" s="4"/>
      <c r="M368" s="4"/>
      <c r="N368" s="4">
        <f>IFERROR(__xludf.DUMMYFUNCTION("""COMPUTED_VALUE"""),-2.0264867891595486)</f>
        <v>-2.026486789</v>
      </c>
      <c r="O368" s="4"/>
      <c r="P368" s="4"/>
      <c r="Q368" s="4">
        <f>IFERROR(__xludf.DUMMYFUNCTION("""COMPUTED_VALUE"""),-0.3529333770017047)</f>
        <v>-0.352933377</v>
      </c>
      <c r="R368" s="4"/>
      <c r="S368" s="4"/>
      <c r="T368" s="4">
        <f>IFERROR(__xludf.DUMMYFUNCTION("""COMPUTED_VALUE"""),-3.3433390955178197)</f>
        <v>-3.343339096</v>
      </c>
      <c r="U368" s="4"/>
      <c r="V368" s="4"/>
      <c r="W368" s="4">
        <f>IFERROR(__xludf.DUMMYFUNCTION("""COMPUTED_VALUE"""),-5.405701547531976)</f>
        <v>-5.405701548</v>
      </c>
      <c r="X368" s="4"/>
      <c r="Y368" s="4"/>
      <c r="Z368" s="4">
        <f>IFERROR(__xludf.DUMMYFUNCTION("""COMPUTED_VALUE"""),-2.176945374749039)</f>
        <v>-2.176945375</v>
      </c>
      <c r="AA368" s="4"/>
      <c r="AB368" s="4"/>
      <c r="AC368" s="4">
        <f>IFERROR(__xludf.DUMMYFUNCTION("""COMPUTED_VALUE"""),8.979605560060122)</f>
        <v>8.97960556</v>
      </c>
      <c r="AD368" s="4"/>
      <c r="AE368" s="4"/>
      <c r="AF368" s="4">
        <f>IFERROR(__xludf.DUMMYFUNCTION("""COMPUTED_VALUE"""),-3.945055677997061)</f>
        <v>-3.945055678</v>
      </c>
      <c r="AG368" s="4"/>
      <c r="AH368" s="4"/>
      <c r="AI368" s="4">
        <f>IFERROR(__xludf.DUMMYFUNCTION("""COMPUTED_VALUE"""),2.1752558629784744)</f>
        <v>2.175255863</v>
      </c>
      <c r="AJ368" s="4"/>
      <c r="AK368" s="4"/>
      <c r="AL368" s="4">
        <f>IFERROR(__xludf.DUMMYFUNCTION("""COMPUTED_VALUE"""),0.8904171719019587)</f>
        <v>0.8904171719</v>
      </c>
      <c r="AM368" s="4"/>
      <c r="AN368" s="4"/>
      <c r="AO368" s="4">
        <f>IFERROR(__xludf.DUMMYFUNCTION("""COMPUTED_VALUE"""),0.6573292545142522)</f>
        <v>0.6573292545</v>
      </c>
      <c r="AP368" s="4"/>
      <c r="AQ368" s="4"/>
      <c r="AR368" s="4">
        <f>IFERROR(__xludf.DUMMYFUNCTION("""COMPUTED_VALUE"""),2.4286353930039013)</f>
        <v>2.428635393</v>
      </c>
      <c r="AS368" s="4"/>
      <c r="AT368" s="4"/>
      <c r="AU368" s="4">
        <f>IFERROR(__xludf.DUMMYFUNCTION("""COMPUTED_VALUE"""),2.665306088546174)</f>
        <v>2.665306089</v>
      </c>
      <c r="AV368" s="4"/>
      <c r="AW368" s="4"/>
      <c r="AX368" s="4">
        <f>IFERROR(__xludf.DUMMYFUNCTION("""COMPUTED_VALUE"""),3.6349491785536543)</f>
        <v>3.634949179</v>
      </c>
      <c r="AY368" s="4"/>
      <c r="AZ368" s="4"/>
      <c r="BA368" s="4">
        <f>IFERROR(__xludf.DUMMYFUNCTION("""COMPUTED_VALUE"""),-3.1831500162475663)</f>
        <v>-3.183150016</v>
      </c>
      <c r="BB368" s="4"/>
      <c r="BC368" s="4"/>
      <c r="BD368" s="4">
        <f>IFERROR(__xludf.DUMMYFUNCTION("""COMPUTED_VALUE"""),-2.209834681595737)</f>
        <v>-2.209834682</v>
      </c>
      <c r="BE368" s="4"/>
      <c r="BF368" s="4"/>
      <c r="BG368" s="4">
        <f>IFERROR(__xludf.DUMMYFUNCTION("""COMPUTED_VALUE"""),3.768914837103466)</f>
        <v>3.768914837</v>
      </c>
      <c r="BH368" s="4"/>
      <c r="BI368" s="4"/>
      <c r="BJ368" s="4"/>
      <c r="BK368" s="4"/>
    </row>
    <row r="369">
      <c r="A369" s="4"/>
      <c r="B369" s="4"/>
      <c r="C369" s="4"/>
      <c r="D369" s="4">
        <f>IFERROR(__xludf.DUMMYFUNCTION("""COMPUTED_VALUE"""),-125.80657010206335)</f>
        <v>-125.8065701</v>
      </c>
      <c r="E369" s="23">
        <f>IFERROR(__xludf.DUMMYFUNCTION("""COMPUTED_VALUE"""),0.45171950569903174)</f>
        <v>0.4517195057</v>
      </c>
      <c r="F369" s="4"/>
      <c r="G369" s="4"/>
      <c r="H369" s="4">
        <f>IFERROR(__xludf.DUMMYFUNCTION("""COMPUTED_VALUE"""),3.0488354036217515)</f>
        <v>3.048835404</v>
      </c>
      <c r="I369" s="4"/>
      <c r="J369" s="4"/>
      <c r="K369" s="4">
        <f>IFERROR(__xludf.DUMMYFUNCTION("""COMPUTED_VALUE"""),0.9165607898780763)</f>
        <v>0.9165607899</v>
      </c>
      <c r="L369" s="4"/>
      <c r="M369" s="4"/>
      <c r="N369" s="4">
        <f>IFERROR(__xludf.DUMMYFUNCTION("""COMPUTED_VALUE"""),2.982792855427249)</f>
        <v>2.982792855</v>
      </c>
      <c r="O369" s="4"/>
      <c r="P369" s="4"/>
      <c r="Q369" s="4">
        <f>IFERROR(__xludf.DUMMYFUNCTION("""COMPUTED_VALUE"""),1.9079388548958605)</f>
        <v>1.907938855</v>
      </c>
      <c r="R369" s="4"/>
      <c r="S369" s="4"/>
      <c r="T369" s="4">
        <f>IFERROR(__xludf.DUMMYFUNCTION("""COMPUTED_VALUE"""),-2.9064598845550336)</f>
        <v>-2.906459885</v>
      </c>
      <c r="U369" s="4"/>
      <c r="V369" s="4"/>
      <c r="W369" s="4">
        <f>IFERROR(__xludf.DUMMYFUNCTION("""COMPUTED_VALUE"""),-0.29805756160521923)</f>
        <v>-0.2980575616</v>
      </c>
      <c r="X369" s="4"/>
      <c r="Y369" s="4"/>
      <c r="Z369" s="4">
        <f>IFERROR(__xludf.DUMMYFUNCTION("""COMPUTED_VALUE"""),-4.451566929104388)</f>
        <v>-4.451566929</v>
      </c>
      <c r="AA369" s="4"/>
      <c r="AB369" s="4"/>
      <c r="AC369" s="4">
        <f>IFERROR(__xludf.DUMMYFUNCTION("""COMPUTED_VALUE"""),0.42298927470267245)</f>
        <v>0.4229892747</v>
      </c>
      <c r="AD369" s="4"/>
      <c r="AE369" s="4"/>
      <c r="AF369" s="4">
        <f>IFERROR(__xludf.DUMMYFUNCTION("""COMPUTED_VALUE"""),5.409751780687486)</f>
        <v>5.409751781</v>
      </c>
      <c r="AG369" s="4"/>
      <c r="AH369" s="4"/>
      <c r="AI369" s="4">
        <f>IFERROR(__xludf.DUMMYFUNCTION("""COMPUTED_VALUE"""),-3.4031943448438255)</f>
        <v>-3.403194345</v>
      </c>
      <c r="AJ369" s="4"/>
      <c r="AK369" s="4"/>
      <c r="AL369" s="4">
        <f>IFERROR(__xludf.DUMMYFUNCTION("""COMPUTED_VALUE"""),-3.6557868881511126)</f>
        <v>-3.655786888</v>
      </c>
      <c r="AM369" s="4"/>
      <c r="AN369" s="4"/>
      <c r="AO369" s="4">
        <f>IFERROR(__xludf.DUMMYFUNCTION("""COMPUTED_VALUE"""),-4.634964561991751)</f>
        <v>-4.634964562</v>
      </c>
      <c r="AP369" s="4"/>
      <c r="AQ369" s="4"/>
      <c r="AR369" s="4">
        <f>IFERROR(__xludf.DUMMYFUNCTION("""COMPUTED_VALUE"""),-2.052256748898401)</f>
        <v>-2.052256749</v>
      </c>
      <c r="AS369" s="4"/>
      <c r="AT369" s="4"/>
      <c r="AU369" s="4">
        <f>IFERROR(__xludf.DUMMYFUNCTION("""COMPUTED_VALUE"""),6.631507273868465)</f>
        <v>6.631507274</v>
      </c>
      <c r="AV369" s="4"/>
      <c r="AW369" s="4"/>
      <c r="AX369" s="4">
        <f>IFERROR(__xludf.DUMMYFUNCTION("""COMPUTED_VALUE"""),2.510810969830459)</f>
        <v>2.51081097</v>
      </c>
      <c r="AY369" s="4"/>
      <c r="AZ369" s="4"/>
      <c r="BA369" s="4">
        <f>IFERROR(__xludf.DUMMYFUNCTION("""COMPUTED_VALUE"""),1.7365349813874786)</f>
        <v>1.736534981</v>
      </c>
      <c r="BB369" s="4"/>
      <c r="BC369" s="4"/>
      <c r="BD369" s="4">
        <f>IFERROR(__xludf.DUMMYFUNCTION("""COMPUTED_VALUE"""),-4.03095961834282)</f>
        <v>-4.030959618</v>
      </c>
      <c r="BE369" s="4"/>
      <c r="BF369" s="4"/>
      <c r="BG369" s="4">
        <f>IFERROR(__xludf.DUMMYFUNCTION("""COMPUTED_VALUE"""),-0.28787158440479743)</f>
        <v>-0.2878715844</v>
      </c>
      <c r="BH369" s="4"/>
      <c r="BI369" s="4"/>
      <c r="BJ369" s="4"/>
      <c r="BK369" s="4"/>
    </row>
    <row r="370">
      <c r="A370" s="4"/>
      <c r="B370" s="4"/>
      <c r="C370" s="4"/>
      <c r="D370" s="4">
        <f>IFERROR(__xludf.DUMMYFUNCTION("""COMPUTED_VALUE"""),-126.72486623486341)</f>
        <v>-126.7248662</v>
      </c>
      <c r="E370" s="23">
        <f>IFERROR(__xludf.DUMMYFUNCTION("""COMPUTED_VALUE"""),-2.552778527895441)</f>
        <v>-2.552778528</v>
      </c>
      <c r="F370" s="4"/>
      <c r="G370" s="4"/>
      <c r="H370" s="4">
        <f>IFERROR(__xludf.DUMMYFUNCTION("""COMPUTED_VALUE"""),2.581166663466888)</f>
        <v>2.581166663</v>
      </c>
      <c r="I370" s="4"/>
      <c r="J370" s="4"/>
      <c r="K370" s="4">
        <f>IFERROR(__xludf.DUMMYFUNCTION("""COMPUTED_VALUE"""),0.9128450618156307)</f>
        <v>0.9128450618</v>
      </c>
      <c r="L370" s="4"/>
      <c r="M370" s="4"/>
      <c r="N370" s="4">
        <f>IFERROR(__xludf.DUMMYFUNCTION("""COMPUTED_VALUE"""),-2.2042803729666502)</f>
        <v>-2.204280373</v>
      </c>
      <c r="O370" s="4"/>
      <c r="P370" s="4"/>
      <c r="Q370" s="4">
        <f>IFERROR(__xludf.DUMMYFUNCTION("""COMPUTED_VALUE"""),-6.064905273289753)</f>
        <v>-6.064905273</v>
      </c>
      <c r="R370" s="4"/>
      <c r="S370" s="4"/>
      <c r="T370" s="4">
        <f>IFERROR(__xludf.DUMMYFUNCTION("""COMPUTED_VALUE"""),1.4500480872300159)</f>
        <v>1.450048087</v>
      </c>
      <c r="U370" s="4"/>
      <c r="V370" s="4"/>
      <c r="W370" s="4">
        <f>IFERROR(__xludf.DUMMYFUNCTION("""COMPUTED_VALUE"""),-7.1305221709019975)</f>
        <v>-7.130522171</v>
      </c>
      <c r="X370" s="4"/>
      <c r="Y370" s="4"/>
      <c r="Z370" s="4">
        <f>IFERROR(__xludf.DUMMYFUNCTION("""COMPUTED_VALUE"""),-2.7299144064123766)</f>
        <v>-2.729914406</v>
      </c>
      <c r="AA370" s="4"/>
      <c r="AB370" s="4"/>
      <c r="AC370" s="4">
        <f>IFERROR(__xludf.DUMMYFUNCTION("""COMPUTED_VALUE"""),3.203451627018751)</f>
        <v>3.203451627</v>
      </c>
      <c r="AD370" s="4"/>
      <c r="AE370" s="4"/>
      <c r="AF370" s="4">
        <f>IFERROR(__xludf.DUMMYFUNCTION("""COMPUTED_VALUE"""),4.270429584134433)</f>
        <v>4.270429584</v>
      </c>
      <c r="AG370" s="4"/>
      <c r="AH370" s="4"/>
      <c r="AI370" s="4">
        <f>IFERROR(__xludf.DUMMYFUNCTION("""COMPUTED_VALUE"""),0.42016649931412076)</f>
        <v>0.4201664993</v>
      </c>
      <c r="AJ370" s="4"/>
      <c r="AK370" s="4"/>
      <c r="AL370" s="4">
        <f>IFERROR(__xludf.DUMMYFUNCTION("""COMPUTED_VALUE"""),-2.003961091896713)</f>
        <v>-2.003961092</v>
      </c>
      <c r="AM370" s="4"/>
      <c r="AN370" s="4"/>
      <c r="AO370" s="4">
        <f>IFERROR(__xludf.DUMMYFUNCTION("""COMPUTED_VALUE"""),-4.99002091840714)</f>
        <v>-4.990020918</v>
      </c>
      <c r="AP370" s="4"/>
      <c r="AQ370" s="4"/>
      <c r="AR370" s="4">
        <f>IFERROR(__xludf.DUMMYFUNCTION("""COMPUTED_VALUE"""),-0.30389000962946966)</f>
        <v>-0.3038900096</v>
      </c>
      <c r="AS370" s="4"/>
      <c r="AT370" s="4"/>
      <c r="AU370" s="4">
        <f>IFERROR(__xludf.DUMMYFUNCTION("""COMPUTED_VALUE"""),-4.1162128609701085)</f>
        <v>-4.116212861</v>
      </c>
      <c r="AV370" s="4"/>
      <c r="AW370" s="4"/>
      <c r="AX370" s="4">
        <f>IFERROR(__xludf.DUMMYFUNCTION("""COMPUTED_VALUE"""),4.277455684497454)</f>
        <v>4.277455684</v>
      </c>
      <c r="AY370" s="4"/>
      <c r="AZ370" s="4"/>
      <c r="BA370" s="4">
        <f>IFERROR(__xludf.DUMMYFUNCTION("""COMPUTED_VALUE"""),0.3578570028945478)</f>
        <v>0.3578570029</v>
      </c>
      <c r="BB370" s="4"/>
      <c r="BC370" s="4"/>
      <c r="BD370" s="4">
        <f>IFERROR(__xludf.DUMMYFUNCTION("""COMPUTED_VALUE"""),-2.2157478680545637)</f>
        <v>-2.215747868</v>
      </c>
      <c r="BE370" s="4"/>
      <c r="BF370" s="4"/>
      <c r="BG370" s="4">
        <f>IFERROR(__xludf.DUMMYFUNCTION("""COMPUTED_VALUE"""),4.006728078418632)</f>
        <v>4.006728078</v>
      </c>
      <c r="BH370" s="4"/>
      <c r="BI370" s="4"/>
      <c r="BJ370" s="4"/>
      <c r="BK370" s="4"/>
    </row>
    <row r="371">
      <c r="A371" s="4"/>
      <c r="B371" s="4"/>
      <c r="C371" s="4"/>
      <c r="D371" s="4">
        <f>IFERROR(__xludf.DUMMYFUNCTION("""COMPUTED_VALUE"""),-127.64316236554855)</f>
        <v>-127.6431624</v>
      </c>
      <c r="E371" s="23">
        <f>IFERROR(__xludf.DUMMYFUNCTION("""COMPUTED_VALUE"""),2.936462435787689)</f>
        <v>2.936462436</v>
      </c>
      <c r="F371" s="4"/>
      <c r="G371" s="4"/>
      <c r="H371" s="4">
        <f>IFERROR(__xludf.DUMMYFUNCTION("""COMPUTED_VALUE"""),-4.918732142723911)</f>
        <v>-4.918732143</v>
      </c>
      <c r="I371" s="4"/>
      <c r="J371" s="4"/>
      <c r="K371" s="4">
        <f>IFERROR(__xludf.DUMMYFUNCTION("""COMPUTED_VALUE"""),5.042191742317925)</f>
        <v>5.042191742</v>
      </c>
      <c r="L371" s="4"/>
      <c r="M371" s="4"/>
      <c r="N371" s="4">
        <f>IFERROR(__xludf.DUMMYFUNCTION("""COMPUTED_VALUE"""),-1.0329622414720347)</f>
        <v>-1.032962241</v>
      </c>
      <c r="O371" s="4"/>
      <c r="P371" s="4"/>
      <c r="Q371" s="4">
        <f>IFERROR(__xludf.DUMMYFUNCTION("""COMPUTED_VALUE"""),-0.819868982467824)</f>
        <v>-0.8198689825</v>
      </c>
      <c r="R371" s="4"/>
      <c r="S371" s="4"/>
      <c r="T371" s="4">
        <f>IFERROR(__xludf.DUMMYFUNCTION("""COMPUTED_VALUE"""),0.3270933573451771)</f>
        <v>0.3270933573</v>
      </c>
      <c r="U371" s="4"/>
      <c r="V371" s="4"/>
      <c r="W371" s="4">
        <f>IFERROR(__xludf.DUMMYFUNCTION("""COMPUTED_VALUE"""),-10.425042353038293)</f>
        <v>-10.42504235</v>
      </c>
      <c r="X371" s="4"/>
      <c r="Y371" s="4"/>
      <c r="Z371" s="4">
        <f>IFERROR(__xludf.DUMMYFUNCTION("""COMPUTED_VALUE"""),-2.74917318747589)</f>
        <v>-2.749173187</v>
      </c>
      <c r="AA371" s="4"/>
      <c r="AB371" s="4"/>
      <c r="AC371" s="4">
        <f>IFERROR(__xludf.DUMMYFUNCTION("""COMPUTED_VALUE"""),-1.5801446634291096)</f>
        <v>-1.580144663</v>
      </c>
      <c r="AD371" s="4"/>
      <c r="AE371" s="4"/>
      <c r="AF371" s="4">
        <f>IFERROR(__xludf.DUMMYFUNCTION("""COMPUTED_VALUE"""),5.8630699308952785)</f>
        <v>5.863069931</v>
      </c>
      <c r="AG371" s="4"/>
      <c r="AH371" s="4"/>
      <c r="AI371" s="4">
        <f>IFERROR(__xludf.DUMMYFUNCTION("""COMPUTED_VALUE"""),-0.6550360875831416)</f>
        <v>-0.6550360876</v>
      </c>
      <c r="AJ371" s="4"/>
      <c r="AK371" s="4"/>
      <c r="AL371" s="4">
        <f>IFERROR(__xludf.DUMMYFUNCTION("""COMPUTED_VALUE"""),-4.259990672259789)</f>
        <v>-4.259990672</v>
      </c>
      <c r="AM371" s="4"/>
      <c r="AN371" s="4"/>
      <c r="AO371" s="4">
        <f>IFERROR(__xludf.DUMMYFUNCTION("""COMPUTED_VALUE"""),-2.3644356744085258)</f>
        <v>-2.364435674</v>
      </c>
      <c r="AP371" s="4"/>
      <c r="AQ371" s="4"/>
      <c r="AR371" s="4">
        <f>IFERROR(__xludf.DUMMYFUNCTION("""COMPUTED_VALUE"""),2.715924708366856)</f>
        <v>2.715924708</v>
      </c>
      <c r="AS371" s="4"/>
      <c r="AT371" s="4"/>
      <c r="AU371" s="4">
        <f>IFERROR(__xludf.DUMMYFUNCTION("""COMPUTED_VALUE"""),1.8833835668301617)</f>
        <v>1.883383567</v>
      </c>
      <c r="AV371" s="4"/>
      <c r="AW371" s="4"/>
      <c r="AX371" s="4">
        <f>IFERROR(__xludf.DUMMYFUNCTION("""COMPUTED_VALUE"""),4.113104696102653)</f>
        <v>4.113104696</v>
      </c>
      <c r="AY371" s="4"/>
      <c r="AZ371" s="4"/>
      <c r="BA371" s="4">
        <f>IFERROR(__xludf.DUMMYFUNCTION("""COMPUTED_VALUE"""),1.204142202794685)</f>
        <v>1.204142203</v>
      </c>
      <c r="BB371" s="4"/>
      <c r="BC371" s="4"/>
      <c r="BD371" s="4">
        <f>IFERROR(__xludf.DUMMYFUNCTION("""COMPUTED_VALUE"""),-2.8783531710981265)</f>
        <v>-2.878353171</v>
      </c>
      <c r="BE371" s="4"/>
      <c r="BF371" s="4"/>
      <c r="BG371" s="4">
        <f>IFERROR(__xludf.DUMMYFUNCTION("""COMPUTED_VALUE"""),3.7669710702010093)</f>
        <v>3.76697107</v>
      </c>
      <c r="BH371" s="4"/>
      <c r="BI371" s="4"/>
      <c r="BJ371" s="4"/>
      <c r="BK371" s="4"/>
    </row>
    <row r="372">
      <c r="A372" s="4"/>
      <c r="B372" s="4"/>
      <c r="C372" s="4"/>
      <c r="D372" s="4">
        <f>IFERROR(__xludf.DUMMYFUNCTION("""COMPUTED_VALUE"""),-128.56145849829826)</f>
        <v>-128.5614585</v>
      </c>
      <c r="E372" s="23">
        <f>IFERROR(__xludf.DUMMYFUNCTION("""COMPUTED_VALUE"""),-1.3722891417193637)</f>
        <v>-1.372289142</v>
      </c>
      <c r="F372" s="4"/>
      <c r="G372" s="4"/>
      <c r="H372" s="4">
        <f>IFERROR(__xludf.DUMMYFUNCTION("""COMPUTED_VALUE"""),-7.704902868255317)</f>
        <v>-7.704902868</v>
      </c>
      <c r="I372" s="4"/>
      <c r="J372" s="4"/>
      <c r="K372" s="4">
        <f>IFERROR(__xludf.DUMMYFUNCTION("""COMPUTED_VALUE"""),-4.306577813795798)</f>
        <v>-4.306577814</v>
      </c>
      <c r="L372" s="4"/>
      <c r="M372" s="4"/>
      <c r="N372" s="4">
        <f>IFERROR(__xludf.DUMMYFUNCTION("""COMPUTED_VALUE"""),0.7116918917374164)</f>
        <v>0.7116918917</v>
      </c>
      <c r="O372" s="4"/>
      <c r="P372" s="4"/>
      <c r="Q372" s="4">
        <f>IFERROR(__xludf.DUMMYFUNCTION("""COMPUTED_VALUE"""),3.387771546537124)</f>
        <v>3.387771547</v>
      </c>
      <c r="R372" s="4"/>
      <c r="S372" s="4"/>
      <c r="T372" s="4">
        <f>IFERROR(__xludf.DUMMYFUNCTION("""COMPUTED_VALUE"""),-1.8491294003127905)</f>
        <v>-1.8491294</v>
      </c>
      <c r="U372" s="4"/>
      <c r="V372" s="4"/>
      <c r="W372" s="4">
        <f>IFERROR(__xludf.DUMMYFUNCTION("""COMPUTED_VALUE"""),-3.5071065501868475)</f>
        <v>-3.50710655</v>
      </c>
      <c r="X372" s="4"/>
      <c r="Y372" s="4"/>
      <c r="Z372" s="4">
        <f>IFERROR(__xludf.DUMMYFUNCTION("""COMPUTED_VALUE"""),1.390935437876749)</f>
        <v>1.390935438</v>
      </c>
      <c r="AA372" s="4"/>
      <c r="AB372" s="4"/>
      <c r="AC372" s="4">
        <f>IFERROR(__xludf.DUMMYFUNCTION("""COMPUTED_VALUE"""),1.0411321102395164)</f>
        <v>1.04113211</v>
      </c>
      <c r="AD372" s="4"/>
      <c r="AE372" s="4"/>
      <c r="AF372" s="4">
        <f>IFERROR(__xludf.DUMMYFUNCTION("""COMPUTED_VALUE"""),-1.062416552351408)</f>
        <v>-1.062416552</v>
      </c>
      <c r="AG372" s="4"/>
      <c r="AH372" s="4"/>
      <c r="AI372" s="4">
        <f>IFERROR(__xludf.DUMMYFUNCTION("""COMPUTED_VALUE"""),-1.7520917935841567)</f>
        <v>-1.752091794</v>
      </c>
      <c r="AJ372" s="4"/>
      <c r="AK372" s="4"/>
      <c r="AL372" s="4">
        <f>IFERROR(__xludf.DUMMYFUNCTION("""COMPUTED_VALUE"""),-3.591776877732002)</f>
        <v>-3.591776878</v>
      </c>
      <c r="AM372" s="4"/>
      <c r="AN372" s="4"/>
      <c r="AO372" s="4">
        <f>IFERROR(__xludf.DUMMYFUNCTION("""COMPUTED_VALUE"""),-1.1923060774502119)</f>
        <v>-1.192306077</v>
      </c>
      <c r="AP372" s="4"/>
      <c r="AQ372" s="4"/>
      <c r="AR372" s="4">
        <f>IFERROR(__xludf.DUMMYFUNCTION("""COMPUTED_VALUE"""),1.3567438175250572)</f>
        <v>1.356743818</v>
      </c>
      <c r="AS372" s="4"/>
      <c r="AT372" s="4"/>
      <c r="AU372" s="4">
        <f>IFERROR(__xludf.DUMMYFUNCTION("""COMPUTED_VALUE"""),3.9258845182289406)</f>
        <v>3.925884518</v>
      </c>
      <c r="AV372" s="4"/>
      <c r="AW372" s="4"/>
      <c r="AX372" s="4">
        <f>IFERROR(__xludf.DUMMYFUNCTION("""COMPUTED_VALUE"""),1.9722736945894326)</f>
        <v>1.972273695</v>
      </c>
      <c r="AY372" s="4"/>
      <c r="AZ372" s="4"/>
      <c r="BA372" s="4">
        <f>IFERROR(__xludf.DUMMYFUNCTION("""COMPUTED_VALUE"""),-2.913666369423254)</f>
        <v>-2.913666369</v>
      </c>
      <c r="BB372" s="4"/>
      <c r="BC372" s="4"/>
      <c r="BD372" s="4">
        <f>IFERROR(__xludf.DUMMYFUNCTION("""COMPUTED_VALUE"""),4.4007525999574)</f>
        <v>4.4007526</v>
      </c>
      <c r="BE372" s="4"/>
      <c r="BF372" s="4"/>
      <c r="BG372" s="4">
        <f>IFERROR(__xludf.DUMMYFUNCTION("""COMPUTED_VALUE"""),5.315842228580664)</f>
        <v>5.315842229</v>
      </c>
      <c r="BH372" s="4"/>
      <c r="BI372" s="4"/>
      <c r="BJ372" s="4"/>
      <c r="BK372" s="4"/>
    </row>
    <row r="373">
      <c r="A373" s="4"/>
      <c r="B373" s="4"/>
      <c r="C373" s="4"/>
      <c r="D373" s="4">
        <f>IFERROR(__xludf.DUMMYFUNCTION("""COMPUTED_VALUE"""),-129.47975463109836)</f>
        <v>-129.4797546</v>
      </c>
      <c r="E373" s="23">
        <f>IFERROR(__xludf.DUMMYFUNCTION("""COMPUTED_VALUE"""),0.11701738519121818)</f>
        <v>0.1170173852</v>
      </c>
      <c r="F373" s="4"/>
      <c r="G373" s="4"/>
      <c r="H373" s="4">
        <f>IFERROR(__xludf.DUMMYFUNCTION("""COMPUTED_VALUE"""),-1.677610615027163)</f>
        <v>-1.677610615</v>
      </c>
      <c r="I373" s="4"/>
      <c r="J373" s="4"/>
      <c r="K373" s="4">
        <f>IFERROR(__xludf.DUMMYFUNCTION("""COMPUTED_VALUE"""),11.731058218002374)</f>
        <v>11.73105822</v>
      </c>
      <c r="L373" s="4"/>
      <c r="M373" s="4"/>
      <c r="N373" s="4">
        <f>IFERROR(__xludf.DUMMYFUNCTION("""COMPUTED_VALUE"""),5.9104368669127325)</f>
        <v>5.910436867</v>
      </c>
      <c r="O373" s="4"/>
      <c r="P373" s="4"/>
      <c r="Q373" s="4">
        <f>IFERROR(__xludf.DUMMYFUNCTION("""COMPUTED_VALUE"""),-0.6263026422491293)</f>
        <v>-0.6263026422</v>
      </c>
      <c r="R373" s="4"/>
      <c r="S373" s="4"/>
      <c r="T373" s="4">
        <f>IFERROR(__xludf.DUMMYFUNCTION("""COMPUTED_VALUE"""),-3.125979748059592)</f>
        <v>-3.125979748</v>
      </c>
      <c r="U373" s="4"/>
      <c r="V373" s="4"/>
      <c r="W373" s="4">
        <f>IFERROR(__xludf.DUMMYFUNCTION("""COMPUTED_VALUE"""),-10.131632787327248)</f>
        <v>-10.13163279</v>
      </c>
      <c r="X373" s="4"/>
      <c r="Y373" s="4"/>
      <c r="Z373" s="4">
        <f>IFERROR(__xludf.DUMMYFUNCTION("""COMPUTED_VALUE"""),-2.417953593412392)</f>
        <v>-2.417953593</v>
      </c>
      <c r="AA373" s="4"/>
      <c r="AB373" s="4"/>
      <c r="AC373" s="4">
        <f>IFERROR(__xludf.DUMMYFUNCTION("""COMPUTED_VALUE"""),4.7957259691906415)</f>
        <v>4.795725969</v>
      </c>
      <c r="AD373" s="4"/>
      <c r="AE373" s="4"/>
      <c r="AF373" s="4">
        <f>IFERROR(__xludf.DUMMYFUNCTION("""COMPUTED_VALUE"""),1.2927910338254947)</f>
        <v>1.292791034</v>
      </c>
      <c r="AG373" s="4"/>
      <c r="AH373" s="4"/>
      <c r="AI373" s="4">
        <f>IFERROR(__xludf.DUMMYFUNCTION("""COMPUTED_VALUE"""),-1.7090293808252568)</f>
        <v>-1.709029381</v>
      </c>
      <c r="AJ373" s="4"/>
      <c r="AK373" s="4"/>
      <c r="AL373" s="4">
        <f>IFERROR(__xludf.DUMMYFUNCTION("""COMPUTED_VALUE"""),-0.303353312292586)</f>
        <v>-0.3033533123</v>
      </c>
      <c r="AM373" s="4"/>
      <c r="AN373" s="4"/>
      <c r="AO373" s="4">
        <f>IFERROR(__xludf.DUMMYFUNCTION("""COMPUTED_VALUE"""),5.375124500014522)</f>
        <v>5.3751245</v>
      </c>
      <c r="AP373" s="4"/>
      <c r="AQ373" s="4"/>
      <c r="AR373" s="4">
        <f>IFERROR(__xludf.DUMMYFUNCTION("""COMPUTED_VALUE"""),0.026000762129683608)</f>
        <v>0.02600076213</v>
      </c>
      <c r="AS373" s="4"/>
      <c r="AT373" s="4"/>
      <c r="AU373" s="4">
        <f>IFERROR(__xludf.DUMMYFUNCTION("""COMPUTED_VALUE"""),0.10157764971341976)</f>
        <v>0.1015776497</v>
      </c>
      <c r="AV373" s="4"/>
      <c r="AW373" s="4"/>
      <c r="AX373" s="4">
        <f>IFERROR(__xludf.DUMMYFUNCTION("""COMPUTED_VALUE"""),3.31458165147626)</f>
        <v>3.314581651</v>
      </c>
      <c r="AY373" s="4"/>
      <c r="AZ373" s="4"/>
      <c r="BA373" s="4">
        <f>IFERROR(__xludf.DUMMYFUNCTION("""COMPUTED_VALUE"""),-1.1222048884222318)</f>
        <v>-1.122204888</v>
      </c>
      <c r="BB373" s="4"/>
      <c r="BC373" s="4"/>
      <c r="BD373" s="4">
        <f>IFERROR(__xludf.DUMMYFUNCTION("""COMPUTED_VALUE"""),0.7115325795215881)</f>
        <v>0.7115325795</v>
      </c>
      <c r="BE373" s="4"/>
      <c r="BF373" s="4"/>
      <c r="BG373" s="4">
        <f>IFERROR(__xludf.DUMMYFUNCTION("""COMPUTED_VALUE"""),-0.6111424318066838)</f>
        <v>-0.6111424318</v>
      </c>
      <c r="BH373" s="4"/>
      <c r="BI373" s="4"/>
      <c r="BJ373" s="4"/>
      <c r="BK373" s="4"/>
    </row>
    <row r="374">
      <c r="A374" s="4"/>
      <c r="B374" s="4"/>
      <c r="C374" s="4"/>
      <c r="D374" s="4">
        <f>IFERROR(__xludf.DUMMYFUNCTION("""COMPUTED_VALUE"""),-130.39805076173312)</f>
        <v>-130.3980508</v>
      </c>
      <c r="E374" s="23">
        <f>IFERROR(__xludf.DUMMYFUNCTION("""COMPUTED_VALUE"""),0.7522810150932173)</f>
        <v>0.7522810151</v>
      </c>
      <c r="F374" s="4"/>
      <c r="G374" s="4"/>
      <c r="H374" s="4">
        <f>IFERROR(__xludf.DUMMYFUNCTION("""COMPUTED_VALUE"""),-4.912281303855025)</f>
        <v>-4.912281304</v>
      </c>
      <c r="I374" s="4"/>
      <c r="J374" s="4"/>
      <c r="K374" s="4">
        <f>IFERROR(__xludf.DUMMYFUNCTION("""COMPUTED_VALUE"""),4.518622159566462)</f>
        <v>4.51862216</v>
      </c>
      <c r="L374" s="4"/>
      <c r="M374" s="4"/>
      <c r="N374" s="4">
        <f>IFERROR(__xludf.DUMMYFUNCTION("""COMPUTED_VALUE"""),-4.671825506556843)</f>
        <v>-4.671825507</v>
      </c>
      <c r="O374" s="4"/>
      <c r="P374" s="4"/>
      <c r="Q374" s="4">
        <f>IFERROR(__xludf.DUMMYFUNCTION("""COMPUTED_VALUE"""),-2.759272401728765)</f>
        <v>-2.759272402</v>
      </c>
      <c r="R374" s="4"/>
      <c r="S374" s="4"/>
      <c r="T374" s="4">
        <f>IFERROR(__xludf.DUMMYFUNCTION("""COMPUTED_VALUE"""),-7.990153196355664)</f>
        <v>-7.990153196</v>
      </c>
      <c r="U374" s="4"/>
      <c r="V374" s="4"/>
      <c r="W374" s="4">
        <f>IFERROR(__xludf.DUMMYFUNCTION("""COMPUTED_VALUE"""),-7.214447658420511)</f>
        <v>-7.214447658</v>
      </c>
      <c r="X374" s="4"/>
      <c r="Y374" s="4"/>
      <c r="Z374" s="4">
        <f>IFERROR(__xludf.DUMMYFUNCTION("""COMPUTED_VALUE"""),-5.955267883070007)</f>
        <v>-5.955267883</v>
      </c>
      <c r="AA374" s="4"/>
      <c r="AB374" s="4"/>
      <c r="AC374" s="4">
        <f>IFERROR(__xludf.DUMMYFUNCTION("""COMPUTED_VALUE"""),3.0685145967415224)</f>
        <v>3.068514597</v>
      </c>
      <c r="AD374" s="4"/>
      <c r="AE374" s="4"/>
      <c r="AF374" s="4">
        <f>IFERROR(__xludf.DUMMYFUNCTION("""COMPUTED_VALUE"""),-2.338369122990457)</f>
        <v>-2.338369123</v>
      </c>
      <c r="AG374" s="4"/>
      <c r="AH374" s="4"/>
      <c r="AI374" s="4">
        <f>IFERROR(__xludf.DUMMYFUNCTION("""COMPUTED_VALUE"""),-2.4317466472496108)</f>
        <v>-2.431746647</v>
      </c>
      <c r="AJ374" s="4"/>
      <c r="AK374" s="4"/>
      <c r="AL374" s="4">
        <f>IFERROR(__xludf.DUMMYFUNCTION("""COMPUTED_VALUE"""),-3.9311742856262413)</f>
        <v>-3.931174286</v>
      </c>
      <c r="AM374" s="4"/>
      <c r="AN374" s="4"/>
      <c r="AO374" s="4">
        <f>IFERROR(__xludf.DUMMYFUNCTION("""COMPUTED_VALUE"""),-2.897000451388351)</f>
        <v>-2.897000451</v>
      </c>
      <c r="AP374" s="4"/>
      <c r="AQ374" s="4"/>
      <c r="AR374" s="4">
        <f>IFERROR(__xludf.DUMMYFUNCTION("""COMPUTED_VALUE"""),2.6450128761801466)</f>
        <v>2.645012876</v>
      </c>
      <c r="AS374" s="4"/>
      <c r="AT374" s="4"/>
      <c r="AU374" s="4">
        <f>IFERROR(__xludf.DUMMYFUNCTION("""COMPUTED_VALUE"""),-0.4674465674874)</f>
        <v>-0.4674465675</v>
      </c>
      <c r="AV374" s="4"/>
      <c r="AW374" s="4"/>
      <c r="AX374" s="4">
        <f>IFERROR(__xludf.DUMMYFUNCTION("""COMPUTED_VALUE"""),7.286095089110233)</f>
        <v>7.286095089</v>
      </c>
      <c r="AY374" s="4"/>
      <c r="AZ374" s="4"/>
      <c r="BA374" s="4">
        <f>IFERROR(__xludf.DUMMYFUNCTION("""COMPUTED_VALUE"""),-3.213312343568589)</f>
        <v>-3.213312344</v>
      </c>
      <c r="BB374" s="4"/>
      <c r="BC374" s="4"/>
      <c r="BD374" s="4">
        <f>IFERROR(__xludf.DUMMYFUNCTION("""COMPUTED_VALUE"""),-1.4507212436416808)</f>
        <v>-1.450721244</v>
      </c>
      <c r="BE374" s="4"/>
      <c r="BF374" s="4"/>
      <c r="BG374" s="4">
        <f>IFERROR(__xludf.DUMMYFUNCTION("""COMPUTED_VALUE"""),-3.365331251015391)</f>
        <v>-3.365331251</v>
      </c>
      <c r="BH374" s="4"/>
      <c r="BI374" s="4"/>
      <c r="BJ374" s="4"/>
      <c r="BK374" s="4"/>
    </row>
    <row r="375">
      <c r="A375" s="4"/>
      <c r="B375" s="4"/>
      <c r="C375" s="4"/>
      <c r="D375" s="4">
        <f>IFERROR(__xludf.DUMMYFUNCTION("""COMPUTED_VALUE"""),-131.31634689453318)</f>
        <v>-131.3163469</v>
      </c>
      <c r="E375" s="23">
        <f>IFERROR(__xludf.DUMMYFUNCTION("""COMPUTED_VALUE"""),0.3969570011255996)</f>
        <v>0.3969570011</v>
      </c>
      <c r="F375" s="4"/>
      <c r="G375" s="4"/>
      <c r="H375" s="4">
        <f>IFERROR(__xludf.DUMMYFUNCTION("""COMPUTED_VALUE"""),-4.314323412198121)</f>
        <v>-4.314323412</v>
      </c>
      <c r="I375" s="4"/>
      <c r="J375" s="4"/>
      <c r="K375" s="4">
        <f>IFERROR(__xludf.DUMMYFUNCTION("""COMPUTED_VALUE"""),3.8944082301002823)</f>
        <v>3.89440823</v>
      </c>
      <c r="L375" s="4"/>
      <c r="M375" s="4"/>
      <c r="N375" s="4">
        <f>IFERROR(__xludf.DUMMYFUNCTION("""COMPUTED_VALUE"""),-3.9515089244928276)</f>
        <v>-3.951508924</v>
      </c>
      <c r="O375" s="4"/>
      <c r="P375" s="4"/>
      <c r="Q375" s="4">
        <f>IFERROR(__xludf.DUMMYFUNCTION("""COMPUTED_VALUE"""),-3.3516698500932876)</f>
        <v>-3.35166985</v>
      </c>
      <c r="R375" s="4"/>
      <c r="S375" s="4"/>
      <c r="T375" s="4">
        <f>IFERROR(__xludf.DUMMYFUNCTION("""COMPUTED_VALUE"""),-3.7869255108719813)</f>
        <v>-3.786925511</v>
      </c>
      <c r="U375" s="4"/>
      <c r="V375" s="4"/>
      <c r="W375" s="4">
        <f>IFERROR(__xludf.DUMMYFUNCTION("""COMPUTED_VALUE"""),-3.3329930237972007)</f>
        <v>-3.332993024</v>
      </c>
      <c r="X375" s="4"/>
      <c r="Y375" s="4"/>
      <c r="Z375" s="4">
        <f>IFERROR(__xludf.DUMMYFUNCTION("""COMPUTED_VALUE"""),-2.634038244745909)</f>
        <v>-2.634038245</v>
      </c>
      <c r="AA375" s="4"/>
      <c r="AB375" s="4"/>
      <c r="AC375" s="4">
        <f>IFERROR(__xludf.DUMMYFUNCTION("""COMPUTED_VALUE"""),4.5815968261661055)</f>
        <v>4.581596826</v>
      </c>
      <c r="AD375" s="4"/>
      <c r="AE375" s="4"/>
      <c r="AF375" s="4">
        <f>IFERROR(__xludf.DUMMYFUNCTION("""COMPUTED_VALUE"""),-2.757932130800782)</f>
        <v>-2.757932131</v>
      </c>
      <c r="AG375" s="4"/>
      <c r="AH375" s="4"/>
      <c r="AI375" s="4">
        <f>IFERROR(__xludf.DUMMYFUNCTION("""COMPUTED_VALUE"""),-5.993364603360192)</f>
        <v>-5.993364603</v>
      </c>
      <c r="AJ375" s="4"/>
      <c r="AK375" s="4"/>
      <c r="AL375" s="4">
        <f>IFERROR(__xludf.DUMMYFUNCTION("""COMPUTED_VALUE"""),-6.463626843313932)</f>
        <v>-6.463626843</v>
      </c>
      <c r="AM375" s="4"/>
      <c r="AN375" s="4"/>
      <c r="AO375" s="4">
        <f>IFERROR(__xludf.DUMMYFUNCTION("""COMPUTED_VALUE"""),-1.3158990345933148)</f>
        <v>-1.315899035</v>
      </c>
      <c r="AP375" s="4"/>
      <c r="AQ375" s="4"/>
      <c r="AR375" s="4">
        <f>IFERROR(__xludf.DUMMYFUNCTION("""COMPUTED_VALUE"""),0.8343607333515024)</f>
        <v>0.8343607334</v>
      </c>
      <c r="AS375" s="4"/>
      <c r="AT375" s="4"/>
      <c r="AU375" s="4">
        <f>IFERROR(__xludf.DUMMYFUNCTION("""COMPUTED_VALUE"""),-1.8088991662137914)</f>
        <v>-1.808899166</v>
      </c>
      <c r="AV375" s="4"/>
      <c r="AW375" s="4"/>
      <c r="AX375" s="4">
        <f>IFERROR(__xludf.DUMMYFUNCTION("""COMPUTED_VALUE"""),-0.45519964956986314)</f>
        <v>-0.4551996496</v>
      </c>
      <c r="AY375" s="4"/>
      <c r="AZ375" s="4"/>
      <c r="BA375" s="4">
        <f>IFERROR(__xludf.DUMMYFUNCTION("""COMPUTED_VALUE"""),2.6138159137866523)</f>
        <v>2.613815914</v>
      </c>
      <c r="BB375" s="4"/>
      <c r="BC375" s="4"/>
      <c r="BD375" s="4">
        <f>IFERROR(__xludf.DUMMYFUNCTION("""COMPUTED_VALUE"""),-0.387861758655788)</f>
        <v>-0.3878617587</v>
      </c>
      <c r="BE375" s="4"/>
      <c r="BF375" s="4"/>
      <c r="BG375" s="4">
        <f>IFERROR(__xludf.DUMMYFUNCTION("""COMPUTED_VALUE"""),1.4866367494035444)</f>
        <v>1.486636749</v>
      </c>
      <c r="BH375" s="4"/>
      <c r="BI375" s="4"/>
      <c r="BJ375" s="4"/>
      <c r="BK375" s="4"/>
    </row>
    <row r="376">
      <c r="A376" s="4"/>
      <c r="B376" s="4"/>
      <c r="C376" s="4"/>
      <c r="D376" s="4">
        <f>IFERROR(__xludf.DUMMYFUNCTION("""COMPUTED_VALUE"""),-132.23464302733328)</f>
        <v>-132.234643</v>
      </c>
      <c r="E376" s="23">
        <f>IFERROR(__xludf.DUMMYFUNCTION("""COMPUTED_VALUE"""),2.2977351371374652)</f>
        <v>2.297735137</v>
      </c>
      <c r="F376" s="4"/>
      <c r="G376" s="4"/>
      <c r="H376" s="4">
        <f>IFERROR(__xludf.DUMMYFUNCTION("""COMPUTED_VALUE"""),-2.163103475908258)</f>
        <v>-2.163103476</v>
      </c>
      <c r="I376" s="4"/>
      <c r="J376" s="4"/>
      <c r="K376" s="4">
        <f>IFERROR(__xludf.DUMMYFUNCTION("""COMPUTED_VALUE"""),1.758157951625435)</f>
        <v>1.758157952</v>
      </c>
      <c r="L376" s="4"/>
      <c r="M376" s="4"/>
      <c r="N376" s="4">
        <f>IFERROR(__xludf.DUMMYFUNCTION("""COMPUTED_VALUE"""),1.4823745342880557)</f>
        <v>1.482374534</v>
      </c>
      <c r="O376" s="4"/>
      <c r="P376" s="4"/>
      <c r="Q376" s="4">
        <f>IFERROR(__xludf.DUMMYFUNCTION("""COMPUTED_VALUE"""),-1.0882280658615855)</f>
        <v>-1.088228066</v>
      </c>
      <c r="R376" s="4"/>
      <c r="S376" s="4"/>
      <c r="T376" s="4">
        <f>IFERROR(__xludf.DUMMYFUNCTION("""COMPUTED_VALUE"""),1.8429967646289356)</f>
        <v>1.842996765</v>
      </c>
      <c r="U376" s="4"/>
      <c r="V376" s="4"/>
      <c r="W376" s="4">
        <f>IFERROR(__xludf.DUMMYFUNCTION("""COMPUTED_VALUE"""),-5.1380154209559805)</f>
        <v>-5.138015421</v>
      </c>
      <c r="X376" s="4"/>
      <c r="Y376" s="4"/>
      <c r="Z376" s="4">
        <f>IFERROR(__xludf.DUMMYFUNCTION("""COMPUTED_VALUE"""),-1.1958872244929921)</f>
        <v>-1.195887224</v>
      </c>
      <c r="AA376" s="4"/>
      <c r="AB376" s="4"/>
      <c r="AC376" s="4">
        <f>IFERROR(__xludf.DUMMYFUNCTION("""COMPUTED_VALUE"""),1.9849586034552544)</f>
        <v>1.984958603</v>
      </c>
      <c r="AD376" s="4"/>
      <c r="AE376" s="4"/>
      <c r="AF376" s="4">
        <f>IFERROR(__xludf.DUMMYFUNCTION("""COMPUTED_VALUE"""),4.17735498059659)</f>
        <v>4.177354981</v>
      </c>
      <c r="AG376" s="4"/>
      <c r="AH376" s="4"/>
      <c r="AI376" s="4">
        <f>IFERROR(__xludf.DUMMYFUNCTION("""COMPUTED_VALUE"""),3.648695338652942)</f>
        <v>3.648695339</v>
      </c>
      <c r="AJ376" s="4"/>
      <c r="AK376" s="4"/>
      <c r="AL376" s="4">
        <f>IFERROR(__xludf.DUMMYFUNCTION("""COMPUTED_VALUE"""),-0.5554922535753803)</f>
        <v>-0.5554922536</v>
      </c>
      <c r="AM376" s="4"/>
      <c r="AN376" s="4"/>
      <c r="AO376" s="4">
        <f>IFERROR(__xludf.DUMMYFUNCTION("""COMPUTED_VALUE"""),5.716653571185645)</f>
        <v>5.716653571</v>
      </c>
      <c r="AP376" s="4"/>
      <c r="AQ376" s="4"/>
      <c r="AR376" s="4">
        <f>IFERROR(__xludf.DUMMYFUNCTION("""COMPUTED_VALUE"""),5.71876120220827)</f>
        <v>5.718761202</v>
      </c>
      <c r="AS376" s="4"/>
      <c r="AT376" s="4"/>
      <c r="AU376" s="4">
        <f>IFERROR(__xludf.DUMMYFUNCTION("""COMPUTED_VALUE"""),-4.084635076205188)</f>
        <v>-4.084635076</v>
      </c>
      <c r="AV376" s="4"/>
      <c r="AW376" s="4"/>
      <c r="AX376" s="4">
        <f>IFERROR(__xludf.DUMMYFUNCTION("""COMPUTED_VALUE"""),-0.836944568114518)</f>
        <v>-0.8369445681</v>
      </c>
      <c r="AY376" s="4"/>
      <c r="AZ376" s="4"/>
      <c r="BA376" s="4">
        <f>IFERROR(__xludf.DUMMYFUNCTION("""COMPUTED_VALUE"""),8.76063954246132)</f>
        <v>8.760639542</v>
      </c>
      <c r="BB376" s="4"/>
      <c r="BC376" s="4"/>
      <c r="BD376" s="4">
        <f>IFERROR(__xludf.DUMMYFUNCTION("""COMPUTED_VALUE"""),0.6520158351725058)</f>
        <v>0.6520158352</v>
      </c>
      <c r="BE376" s="4"/>
      <c r="BF376" s="4"/>
      <c r="BG376" s="4">
        <f>IFERROR(__xludf.DUMMYFUNCTION("""COMPUTED_VALUE"""),-0.3710417987877008)</f>
        <v>-0.3710417988</v>
      </c>
      <c r="BH376" s="4"/>
      <c r="BI376" s="4"/>
      <c r="BJ376" s="4"/>
      <c r="BK376" s="4"/>
    </row>
    <row r="377">
      <c r="A377" s="4"/>
      <c r="B377" s="4"/>
      <c r="C377" s="4"/>
      <c r="D377" s="4">
        <f>IFERROR(__xludf.DUMMYFUNCTION("""COMPUTED_VALUE"""),-133.15293915796804)</f>
        <v>-133.1529392</v>
      </c>
      <c r="E377" s="23">
        <f>IFERROR(__xludf.DUMMYFUNCTION("""COMPUTED_VALUE"""),2.772975827834955)</f>
        <v>2.772975828</v>
      </c>
      <c r="F377" s="4"/>
      <c r="G377" s="4"/>
      <c r="H377" s="4">
        <f>IFERROR(__xludf.DUMMYFUNCTION("""COMPUTED_VALUE"""),-0.192277128797798)</f>
        <v>-0.1922771288</v>
      </c>
      <c r="I377" s="4"/>
      <c r="J377" s="4"/>
      <c r="K377" s="4">
        <f>IFERROR(__xludf.DUMMYFUNCTION("""COMPUTED_VALUE"""),0.8615096600289007)</f>
        <v>0.86150966</v>
      </c>
      <c r="L377" s="4"/>
      <c r="M377" s="4"/>
      <c r="N377" s="4">
        <f>IFERROR(__xludf.DUMMYFUNCTION("""COMPUTED_VALUE"""),0.17033301316092775)</f>
        <v>0.1703330132</v>
      </c>
      <c r="O377" s="4"/>
      <c r="P377" s="4"/>
      <c r="Q377" s="4">
        <f>IFERROR(__xludf.DUMMYFUNCTION("""COMPUTED_VALUE"""),-0.382022825067736)</f>
        <v>-0.3820228251</v>
      </c>
      <c r="R377" s="4"/>
      <c r="S377" s="4"/>
      <c r="T377" s="4">
        <f>IFERROR(__xludf.DUMMYFUNCTION("""COMPUTED_VALUE"""),-1.1598288222632505)</f>
        <v>-1.159828822</v>
      </c>
      <c r="U377" s="4"/>
      <c r="V377" s="4"/>
      <c r="W377" s="4">
        <f>IFERROR(__xludf.DUMMYFUNCTION("""COMPUTED_VALUE"""),-3.6130133999100735)</f>
        <v>-3.6130134</v>
      </c>
      <c r="X377" s="4"/>
      <c r="Y377" s="4"/>
      <c r="Z377" s="4">
        <f>IFERROR(__xludf.DUMMYFUNCTION("""COMPUTED_VALUE"""),3.6484182791928106)</f>
        <v>3.648418279</v>
      </c>
      <c r="AA377" s="4"/>
      <c r="AB377" s="4"/>
      <c r="AC377" s="4">
        <f>IFERROR(__xludf.DUMMYFUNCTION("""COMPUTED_VALUE"""),6.367386641074916)</f>
        <v>6.367386641</v>
      </c>
      <c r="AD377" s="4"/>
      <c r="AE377" s="4"/>
      <c r="AF377" s="4">
        <f>IFERROR(__xludf.DUMMYFUNCTION("""COMPUTED_VALUE"""),-1.3002306397968937)</f>
        <v>-1.30023064</v>
      </c>
      <c r="AG377" s="4"/>
      <c r="AH377" s="4"/>
      <c r="AI377" s="4">
        <f>IFERROR(__xludf.DUMMYFUNCTION("""COMPUTED_VALUE"""),-3.4586559841210374)</f>
        <v>-3.458655984</v>
      </c>
      <c r="AJ377" s="4"/>
      <c r="AK377" s="4"/>
      <c r="AL377" s="4">
        <f>IFERROR(__xludf.DUMMYFUNCTION("""COMPUTED_VALUE"""),2.1908691150482014)</f>
        <v>2.190869115</v>
      </c>
      <c r="AM377" s="4"/>
      <c r="AN377" s="4"/>
      <c r="AO377" s="4">
        <f>IFERROR(__xludf.DUMMYFUNCTION("""COMPUTED_VALUE"""),-3.2698762530654335)</f>
        <v>-3.269876253</v>
      </c>
      <c r="AP377" s="4"/>
      <c r="AQ377" s="4"/>
      <c r="AR377" s="4">
        <f>IFERROR(__xludf.DUMMYFUNCTION("""COMPUTED_VALUE"""),-3.7340371434707436)</f>
        <v>-3.734037143</v>
      </c>
      <c r="AS377" s="4"/>
      <c r="AT377" s="4"/>
      <c r="AU377" s="4">
        <f>IFERROR(__xludf.DUMMYFUNCTION("""COMPUTED_VALUE"""),-2.4996079578918966)</f>
        <v>-2.499607958</v>
      </c>
      <c r="AV377" s="4"/>
      <c r="AW377" s="4"/>
      <c r="AX377" s="4">
        <f>IFERROR(__xludf.DUMMYFUNCTION("""COMPUTED_VALUE"""),-0.03662684090346602)</f>
        <v>-0.0366268409</v>
      </c>
      <c r="AY377" s="4"/>
      <c r="AZ377" s="4"/>
      <c r="BA377" s="4">
        <f>IFERROR(__xludf.DUMMYFUNCTION("""COMPUTED_VALUE"""),3.7073548874292896)</f>
        <v>3.707354887</v>
      </c>
      <c r="BB377" s="4"/>
      <c r="BC377" s="4"/>
      <c r="BD377" s="4">
        <f>IFERROR(__xludf.DUMMYFUNCTION("""COMPUTED_VALUE"""),2.04289137831546)</f>
        <v>2.042891378</v>
      </c>
      <c r="BE377" s="4"/>
      <c r="BF377" s="4"/>
      <c r="BG377" s="4">
        <f>IFERROR(__xludf.DUMMYFUNCTION("""COMPUTED_VALUE"""),-0.5189477625432346)</f>
        <v>-0.5189477625</v>
      </c>
      <c r="BH377" s="4"/>
      <c r="BI377" s="4"/>
      <c r="BJ377" s="4"/>
      <c r="BK377" s="4"/>
    </row>
    <row r="378">
      <c r="A378" s="4"/>
      <c r="B378" s="4"/>
      <c r="C378" s="4"/>
      <c r="D378" s="4">
        <f>IFERROR(__xludf.DUMMYFUNCTION("""COMPUTED_VALUE"""),-134.07123529076813)</f>
        <v>-134.0712353</v>
      </c>
      <c r="E378" s="23">
        <f>IFERROR(__xludf.DUMMYFUNCTION("""COMPUTED_VALUE"""),0.24756115555146607)</f>
        <v>0.2475611556</v>
      </c>
      <c r="F378" s="4"/>
      <c r="G378" s="4"/>
      <c r="H378" s="4">
        <f>IFERROR(__xludf.DUMMYFUNCTION("""COMPUTED_VALUE"""),-5.168839026506419)</f>
        <v>-5.168839027</v>
      </c>
      <c r="I378" s="4"/>
      <c r="J378" s="4"/>
      <c r="K378" s="4">
        <f>IFERROR(__xludf.DUMMYFUNCTION("""COMPUTED_VALUE"""),-1.156727216358263)</f>
        <v>-1.156727216</v>
      </c>
      <c r="L378" s="4"/>
      <c r="M378" s="4"/>
      <c r="N378" s="4">
        <f>IFERROR(__xludf.DUMMYFUNCTION("""COMPUTED_VALUE"""),-0.44387465004479054)</f>
        <v>-0.44387465</v>
      </c>
      <c r="O378" s="4"/>
      <c r="P378" s="4"/>
      <c r="Q378" s="4">
        <f>IFERROR(__xludf.DUMMYFUNCTION("""COMPUTED_VALUE"""),0.6556787759062672)</f>
        <v>0.6556787759</v>
      </c>
      <c r="R378" s="4"/>
      <c r="S378" s="4"/>
      <c r="T378" s="4">
        <f>IFERROR(__xludf.DUMMYFUNCTION("""COMPUTED_VALUE"""),1.3080443618436561)</f>
        <v>1.308044362</v>
      </c>
      <c r="U378" s="4"/>
      <c r="V378" s="4"/>
      <c r="W378" s="4">
        <f>IFERROR(__xludf.DUMMYFUNCTION("""COMPUTED_VALUE"""),-2.449690106684727)</f>
        <v>-2.449690107</v>
      </c>
      <c r="X378" s="4"/>
      <c r="Y378" s="4"/>
      <c r="Z378" s="4">
        <f>IFERROR(__xludf.DUMMYFUNCTION("""COMPUTED_VALUE"""),-4.22420327146699)</f>
        <v>-4.224203271</v>
      </c>
      <c r="AA378" s="4"/>
      <c r="AB378" s="4"/>
      <c r="AC378" s="4">
        <f>IFERROR(__xludf.DUMMYFUNCTION("""COMPUTED_VALUE"""),3.9500970204851455)</f>
        <v>3.95009702</v>
      </c>
      <c r="AD378" s="4"/>
      <c r="AE378" s="4"/>
      <c r="AF378" s="4">
        <f>IFERROR(__xludf.DUMMYFUNCTION("""COMPUTED_VALUE"""),-2.37819849266981)</f>
        <v>-2.378198493</v>
      </c>
      <c r="AG378" s="4"/>
      <c r="AH378" s="4"/>
      <c r="AI378" s="4">
        <f>IFERROR(__xludf.DUMMYFUNCTION("""COMPUTED_VALUE"""),-0.7248542689864621)</f>
        <v>-0.724854269</v>
      </c>
      <c r="AJ378" s="4"/>
      <c r="AK378" s="4"/>
      <c r="AL378" s="4">
        <f>IFERROR(__xludf.DUMMYFUNCTION("""COMPUTED_VALUE"""),-1.7054288426541007)</f>
        <v>-1.705428843</v>
      </c>
      <c r="AM378" s="4"/>
      <c r="AN378" s="4"/>
      <c r="AO378" s="4">
        <f>IFERROR(__xludf.DUMMYFUNCTION("""COMPUTED_VALUE"""),-3.5333887353987734)</f>
        <v>-3.533388735</v>
      </c>
      <c r="AP378" s="4"/>
      <c r="AQ378" s="4"/>
      <c r="AR378" s="4">
        <f>IFERROR(__xludf.DUMMYFUNCTION("""COMPUTED_VALUE"""),3.4208771072717354)</f>
        <v>3.420877107</v>
      </c>
      <c r="AS378" s="4"/>
      <c r="AT378" s="4"/>
      <c r="AU378" s="4">
        <f>IFERROR(__xludf.DUMMYFUNCTION("""COMPUTED_VALUE"""),0.862075496686316)</f>
        <v>0.8620754967</v>
      </c>
      <c r="AV378" s="4"/>
      <c r="AW378" s="4"/>
      <c r="AX378" s="4">
        <f>IFERROR(__xludf.DUMMYFUNCTION("""COMPUTED_VALUE"""),2.7272180014487617)</f>
        <v>2.727218001</v>
      </c>
      <c r="AY378" s="4"/>
      <c r="AZ378" s="4"/>
      <c r="BA378" s="4">
        <f>IFERROR(__xludf.DUMMYFUNCTION("""COMPUTED_VALUE"""),1.9214679048926087)</f>
        <v>1.921467905</v>
      </c>
      <c r="BB378" s="4"/>
      <c r="BC378" s="4"/>
      <c r="BD378" s="4">
        <f>IFERROR(__xludf.DUMMYFUNCTION("""COMPUTED_VALUE"""),0.802271946003998)</f>
        <v>0.802271946</v>
      </c>
      <c r="BE378" s="4"/>
      <c r="BF378" s="4"/>
      <c r="BG378" s="4">
        <f>IFERROR(__xludf.DUMMYFUNCTION("""COMPUTED_VALUE"""),-1.3105517421552122)</f>
        <v>-1.310551742</v>
      </c>
      <c r="BH378" s="4"/>
      <c r="BI378" s="4"/>
      <c r="BJ378" s="4"/>
      <c r="BK378" s="4"/>
    </row>
    <row r="379">
      <c r="A379" s="4"/>
      <c r="B379" s="4"/>
      <c r="C379" s="4"/>
      <c r="D379" s="4">
        <f>IFERROR(__xludf.DUMMYFUNCTION("""COMPUTED_VALUE"""),-134.98953142351783)</f>
        <v>-134.9895314</v>
      </c>
      <c r="E379" s="23">
        <f>IFERROR(__xludf.DUMMYFUNCTION("""COMPUTED_VALUE"""),-2.989651072567824)</f>
        <v>-2.989651073</v>
      </c>
      <c r="F379" s="4"/>
      <c r="G379" s="4"/>
      <c r="H379" s="4">
        <f>IFERROR(__xludf.DUMMYFUNCTION("""COMPUTED_VALUE"""),-2.580807551071871)</f>
        <v>-2.580807551</v>
      </c>
      <c r="I379" s="4"/>
      <c r="J379" s="4"/>
      <c r="K379" s="4">
        <f>IFERROR(__xludf.DUMMYFUNCTION("""COMPUTED_VALUE"""),-0.008576836212057515)</f>
        <v>-0.008576836212</v>
      </c>
      <c r="L379" s="4"/>
      <c r="M379" s="4"/>
      <c r="N379" s="4">
        <f>IFERROR(__xludf.DUMMYFUNCTION("""COMPUTED_VALUE"""),2.7728786549146207)</f>
        <v>2.772878655</v>
      </c>
      <c r="O379" s="4"/>
      <c r="P379" s="4"/>
      <c r="Q379" s="4">
        <f>IFERROR(__xludf.DUMMYFUNCTION("""COMPUTED_VALUE"""),-3.6964968255966255)</f>
        <v>-3.696496826</v>
      </c>
      <c r="R379" s="4"/>
      <c r="S379" s="4"/>
      <c r="T379" s="4">
        <f>IFERROR(__xludf.DUMMYFUNCTION("""COMPUTED_VALUE"""),-1.2617521215225338)</f>
        <v>-1.261752122</v>
      </c>
      <c r="U379" s="4"/>
      <c r="V379" s="4"/>
      <c r="W379" s="4">
        <f>IFERROR(__xludf.DUMMYFUNCTION("""COMPUTED_VALUE"""),-3.9059192988473797)</f>
        <v>-3.905919299</v>
      </c>
      <c r="X379" s="4"/>
      <c r="Y379" s="4"/>
      <c r="Z379" s="4">
        <f>IFERROR(__xludf.DUMMYFUNCTION("""COMPUTED_VALUE"""),0.8143111663056857)</f>
        <v>0.8143111663</v>
      </c>
      <c r="AA379" s="4"/>
      <c r="AB379" s="4"/>
      <c r="AC379" s="4">
        <f>IFERROR(__xludf.DUMMYFUNCTION("""COMPUTED_VALUE"""),2.9081741219322907)</f>
        <v>2.908174122</v>
      </c>
      <c r="AD379" s="4"/>
      <c r="AE379" s="4"/>
      <c r="AF379" s="4">
        <f>IFERROR(__xludf.DUMMYFUNCTION("""COMPUTED_VALUE"""),1.4406482862473808)</f>
        <v>1.440648286</v>
      </c>
      <c r="AG379" s="4"/>
      <c r="AH379" s="4"/>
      <c r="AI379" s="4">
        <f>IFERROR(__xludf.DUMMYFUNCTION("""COMPUTED_VALUE"""),-3.1253667981442277)</f>
        <v>-3.125366798</v>
      </c>
      <c r="AJ379" s="4"/>
      <c r="AK379" s="4"/>
      <c r="AL379" s="4">
        <f>IFERROR(__xludf.DUMMYFUNCTION("""COMPUTED_VALUE"""),-8.022137957038979)</f>
        <v>-8.022137957</v>
      </c>
      <c r="AM379" s="4"/>
      <c r="AN379" s="4"/>
      <c r="AO379" s="4">
        <f>IFERROR(__xludf.DUMMYFUNCTION("""COMPUTED_VALUE"""),-7.331450819839063)</f>
        <v>-7.33145082</v>
      </c>
      <c r="AP379" s="4"/>
      <c r="AQ379" s="4"/>
      <c r="AR379" s="4">
        <f>IFERROR(__xludf.DUMMYFUNCTION("""COMPUTED_VALUE"""),3.0815967766497465)</f>
        <v>3.081596777</v>
      </c>
      <c r="AS379" s="4"/>
      <c r="AT379" s="4"/>
      <c r="AU379" s="4">
        <f>IFERROR(__xludf.DUMMYFUNCTION("""COMPUTED_VALUE"""),0.41172855099347316)</f>
        <v>0.411728551</v>
      </c>
      <c r="AV379" s="4"/>
      <c r="AW379" s="4"/>
      <c r="AX379" s="4">
        <f>IFERROR(__xludf.DUMMYFUNCTION("""COMPUTED_VALUE"""),2.3296918392478574)</f>
        <v>2.329691839</v>
      </c>
      <c r="AY379" s="4"/>
      <c r="AZ379" s="4"/>
      <c r="BA379" s="4">
        <f>IFERROR(__xludf.DUMMYFUNCTION("""COMPUTED_VALUE"""),2.560167831675301)</f>
        <v>2.560167832</v>
      </c>
      <c r="BB379" s="4"/>
      <c r="BC379" s="4"/>
      <c r="BD379" s="4">
        <f>IFERROR(__xludf.DUMMYFUNCTION("""COMPUTED_VALUE"""),3.1769144164583167)</f>
        <v>3.176914416</v>
      </c>
      <c r="BE379" s="4"/>
      <c r="BF379" s="4"/>
      <c r="BG379" s="4">
        <f>IFERROR(__xludf.DUMMYFUNCTION("""COMPUTED_VALUE"""),-3.3482564108979886)</f>
        <v>-3.348256411</v>
      </c>
      <c r="BH379" s="4"/>
      <c r="BI379" s="4"/>
      <c r="BJ379" s="4"/>
      <c r="BK379" s="4"/>
    </row>
    <row r="380">
      <c r="A380" s="4"/>
      <c r="B380" s="4"/>
      <c r="C380" s="4"/>
      <c r="D380" s="4">
        <f>IFERROR(__xludf.DUMMYFUNCTION("""COMPUTED_VALUE"""),-135.90782755631793)</f>
        <v>-135.9078276</v>
      </c>
      <c r="E380" s="23">
        <f>IFERROR(__xludf.DUMMYFUNCTION("""COMPUTED_VALUE"""),1.6462189003145227)</f>
        <v>1.6462189</v>
      </c>
      <c r="F380" s="4"/>
      <c r="G380" s="4"/>
      <c r="H380" s="4">
        <f>IFERROR(__xludf.DUMMYFUNCTION("""COMPUTED_VALUE"""),4.711149074528066)</f>
        <v>4.711149075</v>
      </c>
      <c r="I380" s="4"/>
      <c r="J380" s="4"/>
      <c r="K380" s="4">
        <f>IFERROR(__xludf.DUMMYFUNCTION("""COMPUTED_VALUE"""),2.218508498727374)</f>
        <v>2.218508499</v>
      </c>
      <c r="L380" s="4"/>
      <c r="M380" s="4"/>
      <c r="N380" s="4">
        <f>IFERROR(__xludf.DUMMYFUNCTION("""COMPUTED_VALUE"""),0.8067919121376121)</f>
        <v>0.8067919121</v>
      </c>
      <c r="O380" s="4"/>
      <c r="P380" s="4"/>
      <c r="Q380" s="4">
        <f>IFERROR(__xludf.DUMMYFUNCTION("""COMPUTED_VALUE"""),-0.5498681964347156)</f>
        <v>-0.5498681964</v>
      </c>
      <c r="R380" s="4"/>
      <c r="S380" s="4"/>
      <c r="T380" s="4">
        <f>IFERROR(__xludf.DUMMYFUNCTION("""COMPUTED_VALUE"""),4.271705284047698)</f>
        <v>4.271705284</v>
      </c>
      <c r="U380" s="4"/>
      <c r="V380" s="4"/>
      <c r="W380" s="4">
        <f>IFERROR(__xludf.DUMMYFUNCTION("""COMPUTED_VALUE"""),-4.8417843599165735)</f>
        <v>-4.84178436</v>
      </c>
      <c r="X380" s="4"/>
      <c r="Y380" s="4"/>
      <c r="Z380" s="4">
        <f>IFERROR(__xludf.DUMMYFUNCTION("""COMPUTED_VALUE"""),-2.9826842344958777)</f>
        <v>-2.982684234</v>
      </c>
      <c r="AA380" s="4"/>
      <c r="AB380" s="4"/>
      <c r="AC380" s="4">
        <f>IFERROR(__xludf.DUMMYFUNCTION("""COMPUTED_VALUE"""),-3.233424344534569)</f>
        <v>-3.233424345</v>
      </c>
      <c r="AD380" s="4"/>
      <c r="AE380" s="4"/>
      <c r="AF380" s="4">
        <f>IFERROR(__xludf.DUMMYFUNCTION("""COMPUTED_VALUE"""),-5.071892282184706)</f>
        <v>-5.071892282</v>
      </c>
      <c r="AG380" s="4"/>
      <c r="AH380" s="4"/>
      <c r="AI380" s="4">
        <f>IFERROR(__xludf.DUMMYFUNCTION("""COMPUTED_VALUE"""),-2.75031014374008)</f>
        <v>-2.750310144</v>
      </c>
      <c r="AJ380" s="4"/>
      <c r="AK380" s="4"/>
      <c r="AL380" s="4">
        <f>IFERROR(__xludf.DUMMYFUNCTION("""COMPUTED_VALUE"""),0.4136519158065539)</f>
        <v>0.4136519158</v>
      </c>
      <c r="AM380" s="4"/>
      <c r="AN380" s="4"/>
      <c r="AO380" s="4">
        <f>IFERROR(__xludf.DUMMYFUNCTION("""COMPUTED_VALUE"""),1.3239318280816406)</f>
        <v>1.323931828</v>
      </c>
      <c r="AP380" s="4"/>
      <c r="AQ380" s="4"/>
      <c r="AR380" s="4">
        <f>IFERROR(__xludf.DUMMYFUNCTION("""COMPUTED_VALUE"""),-0.4638288479128505)</f>
        <v>-0.4638288479</v>
      </c>
      <c r="AS380" s="4"/>
      <c r="AT380" s="4"/>
      <c r="AU380" s="4">
        <f>IFERROR(__xludf.DUMMYFUNCTION("""COMPUTED_VALUE"""),1.2715316734411317)</f>
        <v>1.271531673</v>
      </c>
      <c r="AV380" s="4"/>
      <c r="AW380" s="4"/>
      <c r="AX380" s="4">
        <f>IFERROR(__xludf.DUMMYFUNCTION("""COMPUTED_VALUE"""),-3.7086688068163767)</f>
        <v>-3.708668807</v>
      </c>
      <c r="AY380" s="4"/>
      <c r="AZ380" s="4"/>
      <c r="BA380" s="4">
        <f>IFERROR(__xludf.DUMMYFUNCTION("""COMPUTED_VALUE"""),-0.17712571296374335)</f>
        <v>-0.177125713</v>
      </c>
      <c r="BB380" s="4"/>
      <c r="BC380" s="4"/>
      <c r="BD380" s="4">
        <f>IFERROR(__xludf.DUMMYFUNCTION("""COMPUTED_VALUE"""),-7.864007732979871)</f>
        <v>-7.864007733</v>
      </c>
      <c r="BE380" s="4"/>
      <c r="BF380" s="4"/>
      <c r="BG380" s="4">
        <f>IFERROR(__xludf.DUMMYFUNCTION("""COMPUTED_VALUE"""),1.3432592318267211)</f>
        <v>1.343259232</v>
      </c>
      <c r="BH380" s="4"/>
      <c r="BI380" s="4"/>
      <c r="BJ380" s="4"/>
      <c r="BK380" s="4"/>
    </row>
    <row r="381">
      <c r="A381" s="4"/>
      <c r="B381" s="4"/>
      <c r="C381" s="4"/>
      <c r="D381" s="4">
        <f>IFERROR(__xludf.DUMMYFUNCTION("""COMPUTED_VALUE"""),-136.82612368700305)</f>
        <v>-136.8261237</v>
      </c>
      <c r="E381" s="23">
        <f>IFERROR(__xludf.DUMMYFUNCTION("""COMPUTED_VALUE"""),0.47285951566101403)</f>
        <v>0.4728595157</v>
      </c>
      <c r="F381" s="4"/>
      <c r="G381" s="4"/>
      <c r="H381" s="4">
        <f>IFERROR(__xludf.DUMMYFUNCTION("""COMPUTED_VALUE"""),-3.902547770963565)</f>
        <v>-3.902547771</v>
      </c>
      <c r="I381" s="4"/>
      <c r="J381" s="4"/>
      <c r="K381" s="4">
        <f>IFERROR(__xludf.DUMMYFUNCTION("""COMPUTED_VALUE"""),1.9677931274771936)</f>
        <v>1.967793127</v>
      </c>
      <c r="L381" s="4"/>
      <c r="M381" s="4"/>
      <c r="N381" s="4">
        <f>IFERROR(__xludf.DUMMYFUNCTION("""COMPUTED_VALUE"""),5.016198715589837)</f>
        <v>5.016198716</v>
      </c>
      <c r="O381" s="4"/>
      <c r="P381" s="4"/>
      <c r="Q381" s="4">
        <f>IFERROR(__xludf.DUMMYFUNCTION("""COMPUTED_VALUE"""),1.5813029643837808)</f>
        <v>1.581302964</v>
      </c>
      <c r="R381" s="4"/>
      <c r="S381" s="4"/>
      <c r="T381" s="4">
        <f>IFERROR(__xludf.DUMMYFUNCTION("""COMPUTED_VALUE"""),0.9406410047506029)</f>
        <v>0.9406410048</v>
      </c>
      <c r="U381" s="4"/>
      <c r="V381" s="4"/>
      <c r="W381" s="4">
        <f>IFERROR(__xludf.DUMMYFUNCTION("""COMPUTED_VALUE"""),-6.126194464522143)</f>
        <v>-6.126194465</v>
      </c>
      <c r="X381" s="4"/>
      <c r="Y381" s="4"/>
      <c r="Z381" s="4">
        <f>IFERROR(__xludf.DUMMYFUNCTION("""COMPUTED_VALUE"""),-6.005602764584637)</f>
        <v>-6.005602765</v>
      </c>
      <c r="AA381" s="4"/>
      <c r="AB381" s="4"/>
      <c r="AC381" s="4">
        <f>IFERROR(__xludf.DUMMYFUNCTION("""COMPUTED_VALUE"""),-1.6126864643541694)</f>
        <v>-1.612686464</v>
      </c>
      <c r="AD381" s="4"/>
      <c r="AE381" s="4"/>
      <c r="AF381" s="4">
        <f>IFERROR(__xludf.DUMMYFUNCTION("""COMPUTED_VALUE"""),0.23711436611858971)</f>
        <v>0.2371143661</v>
      </c>
      <c r="AG381" s="4"/>
      <c r="AH381" s="4"/>
      <c r="AI381" s="4">
        <f>IFERROR(__xludf.DUMMYFUNCTION("""COMPUTED_VALUE"""),-0.25158350035866306)</f>
        <v>-0.2515835004</v>
      </c>
      <c r="AJ381" s="4"/>
      <c r="AK381" s="4"/>
      <c r="AL381" s="4">
        <f>IFERROR(__xludf.DUMMYFUNCTION("""COMPUTED_VALUE"""),0.4159796188829432)</f>
        <v>0.4159796189</v>
      </c>
      <c r="AM381" s="4"/>
      <c r="AN381" s="4"/>
      <c r="AO381" s="4">
        <f>IFERROR(__xludf.DUMMYFUNCTION("""COMPUTED_VALUE"""),-4.2951191949601935)</f>
        <v>-4.295119195</v>
      </c>
      <c r="AP381" s="4"/>
      <c r="AQ381" s="4"/>
      <c r="AR381" s="4">
        <f>IFERROR(__xludf.DUMMYFUNCTION("""COMPUTED_VALUE"""),2.5557667953907526)</f>
        <v>2.555766795</v>
      </c>
      <c r="AS381" s="4"/>
      <c r="AT381" s="4"/>
      <c r="AU381" s="4">
        <f>IFERROR(__xludf.DUMMYFUNCTION("""COMPUTED_VALUE"""),2.7855179078491688)</f>
        <v>2.785517908</v>
      </c>
      <c r="AV381" s="4"/>
      <c r="AW381" s="4"/>
      <c r="AX381" s="4">
        <f>IFERROR(__xludf.DUMMYFUNCTION("""COMPUTED_VALUE"""),-2.1707537737863163)</f>
        <v>-2.170753774</v>
      </c>
      <c r="AY381" s="4"/>
      <c r="AZ381" s="4"/>
      <c r="BA381" s="4">
        <f>IFERROR(__xludf.DUMMYFUNCTION("""COMPUTED_VALUE"""),0.2105665613547103)</f>
        <v>0.2105665614</v>
      </c>
      <c r="BB381" s="4"/>
      <c r="BC381" s="4"/>
      <c r="BD381" s="4">
        <f>IFERROR(__xludf.DUMMYFUNCTION("""COMPUTED_VALUE"""),4.850351853013194)</f>
        <v>4.850351853</v>
      </c>
      <c r="BE381" s="4"/>
      <c r="BF381" s="4"/>
      <c r="BG381" s="4">
        <f>IFERROR(__xludf.DUMMYFUNCTION("""COMPUTED_VALUE"""),3.9499581691772505)</f>
        <v>3.949958169</v>
      </c>
      <c r="BH381" s="4"/>
      <c r="BI381" s="4"/>
      <c r="BJ381" s="4"/>
      <c r="BK381" s="4"/>
    </row>
    <row r="382">
      <c r="A382" s="4"/>
      <c r="B382" s="4"/>
      <c r="C382" s="4"/>
      <c r="D382" s="4">
        <f>IFERROR(__xludf.DUMMYFUNCTION("""COMPUTED_VALUE"""),-137.74441981975275)</f>
        <v>-137.7444198</v>
      </c>
      <c r="E382" s="23">
        <f>IFERROR(__xludf.DUMMYFUNCTION("""COMPUTED_VALUE"""),-2.971962663611748)</f>
        <v>-2.971962664</v>
      </c>
      <c r="F382" s="4"/>
      <c r="G382" s="4"/>
      <c r="H382" s="4">
        <f>IFERROR(__xludf.DUMMYFUNCTION("""COMPUTED_VALUE"""),-2.0701896724039557)</f>
        <v>-2.070189672</v>
      </c>
      <c r="I382" s="4"/>
      <c r="J382" s="4"/>
      <c r="K382" s="4">
        <f>IFERROR(__xludf.DUMMYFUNCTION("""COMPUTED_VALUE"""),1.637892005353308)</f>
        <v>1.637892005</v>
      </c>
      <c r="L382" s="4"/>
      <c r="M382" s="4"/>
      <c r="N382" s="4">
        <f>IFERROR(__xludf.DUMMYFUNCTION("""COMPUTED_VALUE"""),-3.2381579572149235)</f>
        <v>-3.238157957</v>
      </c>
      <c r="O382" s="4"/>
      <c r="P382" s="4"/>
      <c r="Q382" s="4">
        <f>IFERROR(__xludf.DUMMYFUNCTION("""COMPUTED_VALUE"""),1.8193649238796183)</f>
        <v>1.819364924</v>
      </c>
      <c r="R382" s="4"/>
      <c r="S382" s="4"/>
      <c r="T382" s="4">
        <f>IFERROR(__xludf.DUMMYFUNCTION("""COMPUTED_VALUE"""),-1.4101446750478885)</f>
        <v>-1.410144675</v>
      </c>
      <c r="U382" s="4"/>
      <c r="V382" s="4"/>
      <c r="W382" s="4">
        <f>IFERROR(__xludf.DUMMYFUNCTION("""COMPUTED_VALUE"""),-3.1202950596849632)</f>
        <v>-3.12029506</v>
      </c>
      <c r="X382" s="4"/>
      <c r="Y382" s="4"/>
      <c r="Z382" s="4">
        <f>IFERROR(__xludf.DUMMYFUNCTION("""COMPUTED_VALUE"""),-1.25484355230833)</f>
        <v>-1.254843552</v>
      </c>
      <c r="AA382" s="4"/>
      <c r="AB382" s="4"/>
      <c r="AC382" s="4">
        <f>IFERROR(__xludf.DUMMYFUNCTION("""COMPUTED_VALUE"""),-0.6781294203356083)</f>
        <v>-0.6781294203</v>
      </c>
      <c r="AD382" s="4"/>
      <c r="AE382" s="4"/>
      <c r="AF382" s="4">
        <f>IFERROR(__xludf.DUMMYFUNCTION("""COMPUTED_VALUE"""),2.2959317572278906)</f>
        <v>2.295931757</v>
      </c>
      <c r="AG382" s="4"/>
      <c r="AH382" s="4"/>
      <c r="AI382" s="4">
        <f>IFERROR(__xludf.DUMMYFUNCTION("""COMPUTED_VALUE"""),1.1936394151595096)</f>
        <v>1.193639415</v>
      </c>
      <c r="AJ382" s="4"/>
      <c r="AK382" s="4"/>
      <c r="AL382" s="4">
        <f>IFERROR(__xludf.DUMMYFUNCTION("""COMPUTED_VALUE"""),0.35743232516898615)</f>
        <v>0.3574323252</v>
      </c>
      <c r="AM382" s="4"/>
      <c r="AN382" s="4"/>
      <c r="AO382" s="4">
        <f>IFERROR(__xludf.DUMMYFUNCTION("""COMPUTED_VALUE"""),-3.7280628123860993)</f>
        <v>-3.728062812</v>
      </c>
      <c r="AP382" s="4"/>
      <c r="AQ382" s="4"/>
      <c r="AR382" s="4">
        <f>IFERROR(__xludf.DUMMYFUNCTION("""COMPUTED_VALUE"""),5.7875448550159945)</f>
        <v>5.787544855</v>
      </c>
      <c r="AS382" s="4"/>
      <c r="AT382" s="4"/>
      <c r="AU382" s="4">
        <f>IFERROR(__xludf.DUMMYFUNCTION("""COMPUTED_VALUE"""),2.5259300223175387)</f>
        <v>2.525930022</v>
      </c>
      <c r="AV382" s="4"/>
      <c r="AW382" s="4"/>
      <c r="AX382" s="4">
        <f>IFERROR(__xludf.DUMMYFUNCTION("""COMPUTED_VALUE"""),0.7550157405761979)</f>
        <v>0.7550157406</v>
      </c>
      <c r="AY382" s="4"/>
      <c r="AZ382" s="4"/>
      <c r="BA382" s="4">
        <f>IFERROR(__xludf.DUMMYFUNCTION("""COMPUTED_VALUE"""),4.8426404816542)</f>
        <v>4.842640482</v>
      </c>
      <c r="BB382" s="4"/>
      <c r="BC382" s="4"/>
      <c r="BD382" s="4">
        <f>IFERROR(__xludf.DUMMYFUNCTION("""COMPUTED_VALUE"""),1.9873395523316049)</f>
        <v>1.987339552</v>
      </c>
      <c r="BE382" s="4"/>
      <c r="BF382" s="4"/>
      <c r="BG382" s="4">
        <f>IFERROR(__xludf.DUMMYFUNCTION("""COMPUTED_VALUE"""),0.6624426811236503)</f>
        <v>0.6624426811</v>
      </c>
      <c r="BH382" s="4"/>
      <c r="BI382" s="4"/>
      <c r="BJ382" s="4"/>
      <c r="BK382" s="4"/>
    </row>
    <row r="383">
      <c r="A383" s="4"/>
      <c r="B383" s="4"/>
      <c r="C383" s="4"/>
      <c r="D383" s="4">
        <f>IFERROR(__xludf.DUMMYFUNCTION("""COMPUTED_VALUE"""),-138.66271595255284)</f>
        <v>-138.662716</v>
      </c>
      <c r="E383" s="23">
        <f>IFERROR(__xludf.DUMMYFUNCTION("""COMPUTED_VALUE"""),-3.8934758346156286)</f>
        <v>-3.893475835</v>
      </c>
      <c r="F383" s="4"/>
      <c r="G383" s="4"/>
      <c r="H383" s="4">
        <f>IFERROR(__xludf.DUMMYFUNCTION("""COMPUTED_VALUE"""),1.9541875508240878)</f>
        <v>1.954187551</v>
      </c>
      <c r="I383" s="4"/>
      <c r="J383" s="4"/>
      <c r="K383" s="4">
        <f>IFERROR(__xludf.DUMMYFUNCTION("""COMPUTED_VALUE"""),-4.416971830663385)</f>
        <v>-4.416971831</v>
      </c>
      <c r="L383" s="4"/>
      <c r="M383" s="4"/>
      <c r="N383" s="4">
        <f>IFERROR(__xludf.DUMMYFUNCTION("""COMPUTED_VALUE"""),-1.660087880263859)</f>
        <v>-1.66008788</v>
      </c>
      <c r="O383" s="4"/>
      <c r="P383" s="4"/>
      <c r="Q383" s="4">
        <f>IFERROR(__xludf.DUMMYFUNCTION("""COMPUTED_VALUE"""),-2.6670777119985587)</f>
        <v>-2.667077712</v>
      </c>
      <c r="R383" s="4"/>
      <c r="S383" s="4"/>
      <c r="T383" s="4">
        <f>IFERROR(__xludf.DUMMYFUNCTION("""COMPUTED_VALUE"""),0.12916658029917016)</f>
        <v>0.1291665803</v>
      </c>
      <c r="U383" s="4"/>
      <c r="V383" s="4"/>
      <c r="W383" s="4">
        <f>IFERROR(__xludf.DUMMYFUNCTION("""COMPUTED_VALUE"""),-4.213696607880877)</f>
        <v>-4.213696608</v>
      </c>
      <c r="X383" s="4"/>
      <c r="Y383" s="4"/>
      <c r="Z383" s="4">
        <f>IFERROR(__xludf.DUMMYFUNCTION("""COMPUTED_VALUE"""),-4.003546530716335)</f>
        <v>-4.003546531</v>
      </c>
      <c r="AA383" s="4"/>
      <c r="AB383" s="4"/>
      <c r="AC383" s="4">
        <f>IFERROR(__xludf.DUMMYFUNCTION("""COMPUTED_VALUE"""),3.0537709705026828)</f>
        <v>3.053770971</v>
      </c>
      <c r="AD383" s="4"/>
      <c r="AE383" s="4"/>
      <c r="AF383" s="4">
        <f>IFERROR(__xludf.DUMMYFUNCTION("""COMPUTED_VALUE"""),-2.147728965271426)</f>
        <v>-2.147728965</v>
      </c>
      <c r="AG383" s="4"/>
      <c r="AH383" s="4"/>
      <c r="AI383" s="4">
        <f>IFERROR(__xludf.DUMMYFUNCTION("""COMPUTED_VALUE"""),-0.3148237246494432)</f>
        <v>-0.3148237246</v>
      </c>
      <c r="AJ383" s="4"/>
      <c r="AK383" s="4"/>
      <c r="AL383" s="4">
        <f>IFERROR(__xludf.DUMMYFUNCTION("""COMPUTED_VALUE"""),-2.027439122676526)</f>
        <v>-2.027439123</v>
      </c>
      <c r="AM383" s="4"/>
      <c r="AN383" s="4"/>
      <c r="AO383" s="4">
        <f>IFERROR(__xludf.DUMMYFUNCTION("""COMPUTED_VALUE"""),-2.53895606241025)</f>
        <v>-2.538956062</v>
      </c>
      <c r="AP383" s="4"/>
      <c r="AQ383" s="4"/>
      <c r="AR383" s="4">
        <f>IFERROR(__xludf.DUMMYFUNCTION("""COMPUTED_VALUE"""),1.7000813213517176)</f>
        <v>1.700081321</v>
      </c>
      <c r="AS383" s="4"/>
      <c r="AT383" s="4"/>
      <c r="AU383" s="4">
        <f>IFERROR(__xludf.DUMMYFUNCTION("""COMPUTED_VALUE"""),-0.7161668796755407)</f>
        <v>-0.7161668797</v>
      </c>
      <c r="AV383" s="4"/>
      <c r="AW383" s="4"/>
      <c r="AX383" s="4">
        <f>IFERROR(__xludf.DUMMYFUNCTION("""COMPUTED_VALUE"""),-3.117865069558775)</f>
        <v>-3.11786507</v>
      </c>
      <c r="AY383" s="4"/>
      <c r="AZ383" s="4"/>
      <c r="BA383" s="4">
        <f>IFERROR(__xludf.DUMMYFUNCTION("""COMPUTED_VALUE"""),2.239920829806408)</f>
        <v>2.23992083</v>
      </c>
      <c r="BB383" s="4"/>
      <c r="BC383" s="4"/>
      <c r="BD383" s="4">
        <f>IFERROR(__xludf.DUMMYFUNCTION("""COMPUTED_VALUE"""),1.7748241512409209)</f>
        <v>1.774824151</v>
      </c>
      <c r="BE383" s="4"/>
      <c r="BF383" s="4"/>
      <c r="BG383" s="4">
        <f>IFERROR(__xludf.DUMMYFUNCTION("""COMPUTED_VALUE"""),0.4236441474846515)</f>
        <v>0.4236441475</v>
      </c>
      <c r="BH383" s="4"/>
      <c r="BI383" s="4"/>
      <c r="BJ383" s="4"/>
      <c r="BK383" s="4"/>
    </row>
    <row r="384">
      <c r="A384" s="4"/>
      <c r="B384" s="4"/>
      <c r="C384" s="4"/>
      <c r="D384" s="4">
        <f>IFERROR(__xludf.DUMMYFUNCTION("""COMPUTED_VALUE"""),-139.58101208323797)</f>
        <v>-139.5810121</v>
      </c>
      <c r="E384" s="23">
        <f>IFERROR(__xludf.DUMMYFUNCTION("""COMPUTED_VALUE"""),-4.154785558482331)</f>
        <v>-4.154785558</v>
      </c>
      <c r="F384" s="4"/>
      <c r="G384" s="4"/>
      <c r="H384" s="4">
        <f>IFERROR(__xludf.DUMMYFUNCTION("""COMPUTED_VALUE"""),0.39652628607007046)</f>
        <v>0.3965262861</v>
      </c>
      <c r="I384" s="4"/>
      <c r="J384" s="4"/>
      <c r="K384" s="4">
        <f>IFERROR(__xludf.DUMMYFUNCTION("""COMPUTED_VALUE"""),-0.17875537289114618)</f>
        <v>-0.1787553729</v>
      </c>
      <c r="L384" s="4"/>
      <c r="M384" s="4"/>
      <c r="N384" s="4">
        <f>IFERROR(__xludf.DUMMYFUNCTION("""COMPUTED_VALUE"""),-4.633549097036735)</f>
        <v>-4.633549097</v>
      </c>
      <c r="O384" s="4"/>
      <c r="P384" s="4"/>
      <c r="Q384" s="4">
        <f>IFERROR(__xludf.DUMMYFUNCTION("""COMPUTED_VALUE"""),0.17033508907553596)</f>
        <v>0.1703350891</v>
      </c>
      <c r="R384" s="4"/>
      <c r="S384" s="4"/>
      <c r="T384" s="4">
        <f>IFERROR(__xludf.DUMMYFUNCTION("""COMPUTED_VALUE"""),-4.772904644847813)</f>
        <v>-4.772904645</v>
      </c>
      <c r="U384" s="4"/>
      <c r="V384" s="4"/>
      <c r="W384" s="4">
        <f>IFERROR(__xludf.DUMMYFUNCTION("""COMPUTED_VALUE"""),-0.9743327105754815)</f>
        <v>-0.9743327106</v>
      </c>
      <c r="X384" s="4"/>
      <c r="Y384" s="4"/>
      <c r="Z384" s="4">
        <f>IFERROR(__xludf.DUMMYFUNCTION("""COMPUTED_VALUE"""),-1.5490247965907997)</f>
        <v>-1.549024797</v>
      </c>
      <c r="AA384" s="4"/>
      <c r="AB384" s="4"/>
      <c r="AC384" s="4">
        <f>IFERROR(__xludf.DUMMYFUNCTION("""COMPUTED_VALUE"""),2.2841381332003152)</f>
        <v>2.284138133</v>
      </c>
      <c r="AD384" s="4"/>
      <c r="AE384" s="4"/>
      <c r="AF384" s="4">
        <f>IFERROR(__xludf.DUMMYFUNCTION("""COMPUTED_VALUE"""),-5.307418815437188)</f>
        <v>-5.307418815</v>
      </c>
      <c r="AG384" s="4"/>
      <c r="AH384" s="4"/>
      <c r="AI384" s="4">
        <f>IFERROR(__xludf.DUMMYFUNCTION("""COMPUTED_VALUE"""),1.5804403027764238)</f>
        <v>1.580440303</v>
      </c>
      <c r="AJ384" s="4"/>
      <c r="AK384" s="4"/>
      <c r="AL384" s="4">
        <f>IFERROR(__xludf.DUMMYFUNCTION("""COMPUTED_VALUE"""),-0.3102404219362711)</f>
        <v>-0.3102404219</v>
      </c>
      <c r="AM384" s="4"/>
      <c r="AN384" s="4"/>
      <c r="AO384" s="4">
        <f>IFERROR(__xludf.DUMMYFUNCTION("""COMPUTED_VALUE"""),0.3783258241781482)</f>
        <v>0.3783258242</v>
      </c>
      <c r="AP384" s="4"/>
      <c r="AQ384" s="4"/>
      <c r="AR384" s="4">
        <f>IFERROR(__xludf.DUMMYFUNCTION("""COMPUTED_VALUE"""),0.8016738631736189)</f>
        <v>0.8016738632</v>
      </c>
      <c r="AS384" s="4"/>
      <c r="AT384" s="4"/>
      <c r="AU384" s="4">
        <f>IFERROR(__xludf.DUMMYFUNCTION("""COMPUTED_VALUE"""),1.5569977334636178)</f>
        <v>1.556997733</v>
      </c>
      <c r="AV384" s="4"/>
      <c r="AW384" s="4"/>
      <c r="AX384" s="4">
        <f>IFERROR(__xludf.DUMMYFUNCTION("""COMPUTED_VALUE"""),1.44000006854219)</f>
        <v>1.440000069</v>
      </c>
      <c r="AY384" s="4"/>
      <c r="AZ384" s="4"/>
      <c r="BA384" s="4">
        <f>IFERROR(__xludf.DUMMYFUNCTION("""COMPUTED_VALUE"""),-0.334629287766802)</f>
        <v>-0.3346292878</v>
      </c>
      <c r="BB384" s="4"/>
      <c r="BC384" s="4"/>
      <c r="BD384" s="4">
        <f>IFERROR(__xludf.DUMMYFUNCTION("""COMPUTED_VALUE"""),-2.2568866828381147)</f>
        <v>-2.256886683</v>
      </c>
      <c r="BE384" s="4"/>
      <c r="BF384" s="4"/>
      <c r="BG384" s="4">
        <f>IFERROR(__xludf.DUMMYFUNCTION("""COMPUTED_VALUE"""),0.23708061452606444)</f>
        <v>0.2370806145</v>
      </c>
      <c r="BH384" s="4"/>
      <c r="BI384" s="4"/>
      <c r="BJ384" s="4"/>
      <c r="BK384" s="4"/>
    </row>
    <row r="385">
      <c r="A385" s="4"/>
      <c r="B385" s="4"/>
      <c r="C385" s="4"/>
      <c r="D385" s="4">
        <f>IFERROR(__xludf.DUMMYFUNCTION("""COMPUTED_VALUE"""),-140.49930821598767)</f>
        <v>-140.4993082</v>
      </c>
      <c r="E385" s="23">
        <f>IFERROR(__xludf.DUMMYFUNCTION("""COMPUTED_VALUE"""),-4.6172977401339494)</f>
        <v>-4.61729774</v>
      </c>
      <c r="F385" s="4"/>
      <c r="G385" s="4"/>
      <c r="H385" s="4">
        <f>IFERROR(__xludf.DUMMYFUNCTION("""COMPUTED_VALUE"""),0.22355381791720674)</f>
        <v>0.2235538179</v>
      </c>
      <c r="I385" s="4"/>
      <c r="J385" s="4"/>
      <c r="K385" s="4">
        <f>IFERROR(__xludf.DUMMYFUNCTION("""COMPUTED_VALUE"""),0.09291757130364431)</f>
        <v>0.0929175713</v>
      </c>
      <c r="L385" s="4"/>
      <c r="M385" s="4"/>
      <c r="N385" s="4">
        <f>IFERROR(__xludf.DUMMYFUNCTION("""COMPUTED_VALUE"""),10.354593357963836)</f>
        <v>10.35459336</v>
      </c>
      <c r="O385" s="4"/>
      <c r="P385" s="4"/>
      <c r="Q385" s="4">
        <f>IFERROR(__xludf.DUMMYFUNCTION("""COMPUTED_VALUE"""),-0.762745964899807)</f>
        <v>-0.7627459649</v>
      </c>
      <c r="R385" s="4"/>
      <c r="S385" s="4"/>
      <c r="T385" s="4">
        <f>IFERROR(__xludf.DUMMYFUNCTION("""COMPUTED_VALUE"""),2.7243997589712308)</f>
        <v>2.724399759</v>
      </c>
      <c r="U385" s="4"/>
      <c r="V385" s="4"/>
      <c r="W385" s="4">
        <f>IFERROR(__xludf.DUMMYFUNCTION("""COMPUTED_VALUE"""),-0.9417265921355238)</f>
        <v>-0.9417265921</v>
      </c>
      <c r="X385" s="4"/>
      <c r="Y385" s="4"/>
      <c r="Z385" s="4">
        <f>IFERROR(__xludf.DUMMYFUNCTION("""COMPUTED_VALUE"""),-4.793998005208607)</f>
        <v>-4.793998005</v>
      </c>
      <c r="AA385" s="4"/>
      <c r="AB385" s="4"/>
      <c r="AC385" s="4">
        <f>IFERROR(__xludf.DUMMYFUNCTION("""COMPUTED_VALUE"""),-3.7834794692308833)</f>
        <v>-3.783479469</v>
      </c>
      <c r="AD385" s="4"/>
      <c r="AE385" s="4"/>
      <c r="AF385" s="4">
        <f>IFERROR(__xludf.DUMMYFUNCTION("""COMPUTED_VALUE"""),-2.4268376787933335)</f>
        <v>-2.426837679</v>
      </c>
      <c r="AG385" s="4"/>
      <c r="AH385" s="4"/>
      <c r="AI385" s="4">
        <f>IFERROR(__xludf.DUMMYFUNCTION("""COMPUTED_VALUE"""),1.1786126659880551)</f>
        <v>1.178612666</v>
      </c>
      <c r="AJ385" s="4"/>
      <c r="AK385" s="4"/>
      <c r="AL385" s="4">
        <f>IFERROR(__xludf.DUMMYFUNCTION("""COMPUTED_VALUE"""),1.0420440862861824)</f>
        <v>1.042044086</v>
      </c>
      <c r="AM385" s="4"/>
      <c r="AN385" s="4"/>
      <c r="AO385" s="4">
        <f>IFERROR(__xludf.DUMMYFUNCTION("""COMPUTED_VALUE"""),-6.79096057815201)</f>
        <v>-6.790960578</v>
      </c>
      <c r="AP385" s="4"/>
      <c r="AQ385" s="4"/>
      <c r="AR385" s="4">
        <f>IFERROR(__xludf.DUMMYFUNCTION("""COMPUTED_VALUE"""),1.9340869573940154)</f>
        <v>1.934086957</v>
      </c>
      <c r="AS385" s="4"/>
      <c r="AT385" s="4"/>
      <c r="AU385" s="4">
        <f>IFERROR(__xludf.DUMMYFUNCTION("""COMPUTED_VALUE"""),1.0327664774582672)</f>
        <v>1.032766477</v>
      </c>
      <c r="AV385" s="4"/>
      <c r="AW385" s="4"/>
      <c r="AX385" s="4">
        <f>IFERROR(__xludf.DUMMYFUNCTION("""COMPUTED_VALUE"""),5.79119203063857)</f>
        <v>5.791192031</v>
      </c>
      <c r="AY385" s="4"/>
      <c r="AZ385" s="4"/>
      <c r="BA385" s="4">
        <f>IFERROR(__xludf.DUMMYFUNCTION("""COMPUTED_VALUE"""),-0.09862951600979386)</f>
        <v>-0.09862951601</v>
      </c>
      <c r="BB385" s="4"/>
      <c r="BC385" s="4"/>
      <c r="BD385" s="4">
        <f>IFERROR(__xludf.DUMMYFUNCTION("""COMPUTED_VALUE"""),1.3393448017329774)</f>
        <v>1.339344802</v>
      </c>
      <c r="BE385" s="4"/>
      <c r="BF385" s="4"/>
      <c r="BG385" s="4">
        <f>IFERROR(__xludf.DUMMYFUNCTION("""COMPUTED_VALUE"""),2.731037932887432)</f>
        <v>2.731037933</v>
      </c>
      <c r="BH385" s="4"/>
      <c r="BI385" s="4"/>
      <c r="BJ385" s="4"/>
      <c r="BK385" s="4"/>
    </row>
    <row r="386">
      <c r="A386" s="4"/>
      <c r="B386" s="4"/>
      <c r="C386" s="4"/>
      <c r="D386" s="4">
        <f>IFERROR(__xludf.DUMMYFUNCTION("""COMPUTED_VALUE"""),-141.41760434878776)</f>
        <v>-141.4176043</v>
      </c>
      <c r="E386" s="23">
        <f>IFERROR(__xludf.DUMMYFUNCTION("""COMPUTED_VALUE"""),-6.842161168254108)</f>
        <v>-6.842161168</v>
      </c>
      <c r="F386" s="4"/>
      <c r="G386" s="4"/>
      <c r="H386" s="4">
        <f>IFERROR(__xludf.DUMMYFUNCTION("""COMPUTED_VALUE"""),0.8141833612020264)</f>
        <v>0.8141833612</v>
      </c>
      <c r="I386" s="4"/>
      <c r="J386" s="4"/>
      <c r="K386" s="4">
        <f>IFERROR(__xludf.DUMMYFUNCTION("""COMPUTED_VALUE"""),4.771971105091154)</f>
        <v>4.771971105</v>
      </c>
      <c r="L386" s="4"/>
      <c r="M386" s="4"/>
      <c r="N386" s="4">
        <f>IFERROR(__xludf.DUMMYFUNCTION("""COMPUTED_VALUE"""),0.15889150433088162)</f>
        <v>0.1588915043</v>
      </c>
      <c r="O386" s="4"/>
      <c r="P386" s="4"/>
      <c r="Q386" s="4">
        <f>IFERROR(__xludf.DUMMYFUNCTION("""COMPUTED_VALUE"""),3.112032052032191)</f>
        <v>3.112032052</v>
      </c>
      <c r="R386" s="4"/>
      <c r="S386" s="4"/>
      <c r="T386" s="4">
        <f>IFERROR(__xludf.DUMMYFUNCTION("""COMPUTED_VALUE"""),-4.285859578985253)</f>
        <v>-4.285859579</v>
      </c>
      <c r="U386" s="4"/>
      <c r="V386" s="4"/>
      <c r="W386" s="4">
        <f>IFERROR(__xludf.DUMMYFUNCTION("""COMPUTED_VALUE"""),-9.828847239183517)</f>
        <v>-9.828847239</v>
      </c>
      <c r="X386" s="4"/>
      <c r="Y386" s="4"/>
      <c r="Z386" s="4">
        <f>IFERROR(__xludf.DUMMYFUNCTION("""COMPUTED_VALUE"""),4.713921989163225)</f>
        <v>4.713921989</v>
      </c>
      <c r="AA386" s="4"/>
      <c r="AB386" s="4"/>
      <c r="AC386" s="4">
        <f>IFERROR(__xludf.DUMMYFUNCTION("""COMPUTED_VALUE"""),5.765850436211849)</f>
        <v>5.765850436</v>
      </c>
      <c r="AD386" s="4"/>
      <c r="AE386" s="4"/>
      <c r="AF386" s="4">
        <f>IFERROR(__xludf.DUMMYFUNCTION("""COMPUTED_VALUE"""),2.6472888976419995)</f>
        <v>2.647288898</v>
      </c>
      <c r="AG386" s="4"/>
      <c r="AH386" s="4"/>
      <c r="AI386" s="4">
        <f>IFERROR(__xludf.DUMMYFUNCTION("""COMPUTED_VALUE"""),3.9571877234968724)</f>
        <v>3.957187723</v>
      </c>
      <c r="AJ386" s="4"/>
      <c r="AK386" s="4"/>
      <c r="AL386" s="4">
        <f>IFERROR(__xludf.DUMMYFUNCTION("""COMPUTED_VALUE"""),2.324451863576485)</f>
        <v>2.324451864</v>
      </c>
      <c r="AM386" s="4"/>
      <c r="AN386" s="4"/>
      <c r="AO386" s="4">
        <f>IFERROR(__xludf.DUMMYFUNCTION("""COMPUTED_VALUE"""),-8.663217680810874)</f>
        <v>-8.663217681</v>
      </c>
      <c r="AP386" s="4"/>
      <c r="AQ386" s="4"/>
      <c r="AR386" s="4">
        <f>IFERROR(__xludf.DUMMYFUNCTION("""COMPUTED_VALUE"""),-1.1289375666633532)</f>
        <v>-1.128937567</v>
      </c>
      <c r="AS386" s="4"/>
      <c r="AT386" s="4"/>
      <c r="AU386" s="4">
        <f>IFERROR(__xludf.DUMMYFUNCTION("""COMPUTED_VALUE"""),3.0515746670499766)</f>
        <v>3.051574667</v>
      </c>
      <c r="AV386" s="4"/>
      <c r="AW386" s="4"/>
      <c r="AX386" s="4">
        <f>IFERROR(__xludf.DUMMYFUNCTION("""COMPUTED_VALUE"""),3.2536110786324457)</f>
        <v>3.253611079</v>
      </c>
      <c r="AY386" s="4"/>
      <c r="AZ386" s="4"/>
      <c r="BA386" s="4">
        <f>IFERROR(__xludf.DUMMYFUNCTION("""COMPUTED_VALUE"""),0.9365349154268756)</f>
        <v>0.9365349154</v>
      </c>
      <c r="BB386" s="4"/>
      <c r="BC386" s="4"/>
      <c r="BD386" s="4">
        <f>IFERROR(__xludf.DUMMYFUNCTION("""COMPUTED_VALUE"""),-2.2207280445421134)</f>
        <v>-2.220728045</v>
      </c>
      <c r="BE386" s="4"/>
      <c r="BF386" s="4"/>
      <c r="BG386" s="4">
        <f>IFERROR(__xludf.DUMMYFUNCTION("""COMPUTED_VALUE"""),-2.924777412686012)</f>
        <v>-2.924777413</v>
      </c>
      <c r="BH386" s="4"/>
      <c r="BI386" s="4"/>
      <c r="BJ386" s="4"/>
      <c r="BK386" s="4"/>
    </row>
    <row r="387">
      <c r="A387" s="4"/>
      <c r="B387" s="4"/>
      <c r="C387" s="4"/>
      <c r="D387" s="4">
        <f>IFERROR(__xludf.DUMMYFUNCTION("""COMPUTED_VALUE"""),-142.33590047942252)</f>
        <v>-142.3359005</v>
      </c>
      <c r="E387" s="23">
        <f>IFERROR(__xludf.DUMMYFUNCTION("""COMPUTED_VALUE"""),-1.1736678501405322)</f>
        <v>-1.17366785</v>
      </c>
      <c r="F387" s="4"/>
      <c r="G387" s="4"/>
      <c r="H387" s="4">
        <f>IFERROR(__xludf.DUMMYFUNCTION("""COMPUTED_VALUE"""),-4.55453366018196)</f>
        <v>-4.55453366</v>
      </c>
      <c r="I387" s="4"/>
      <c r="J387" s="4"/>
      <c r="K387" s="4">
        <f>IFERROR(__xludf.DUMMYFUNCTION("""COMPUTED_VALUE"""),3.5646976257295933)</f>
        <v>3.564697626</v>
      </c>
      <c r="L387" s="4"/>
      <c r="M387" s="4"/>
      <c r="N387" s="4">
        <f>IFERROR(__xludf.DUMMYFUNCTION("""COMPUTED_VALUE"""),3.9459360375477104)</f>
        <v>3.945936038</v>
      </c>
      <c r="O387" s="4"/>
      <c r="P387" s="4"/>
      <c r="Q387" s="4">
        <f>IFERROR(__xludf.DUMMYFUNCTION("""COMPUTED_VALUE"""),-2.073711412631951)</f>
        <v>-2.073711413</v>
      </c>
      <c r="R387" s="4"/>
      <c r="S387" s="4"/>
      <c r="T387" s="4">
        <f>IFERROR(__xludf.DUMMYFUNCTION("""COMPUTED_VALUE"""),0.4458709814344388)</f>
        <v>0.4458709814</v>
      </c>
      <c r="U387" s="4"/>
      <c r="V387" s="4"/>
      <c r="W387" s="4">
        <f>IFERROR(__xludf.DUMMYFUNCTION("""COMPUTED_VALUE"""),0.7167100423773718)</f>
        <v>0.7167100424</v>
      </c>
      <c r="X387" s="4"/>
      <c r="Y387" s="4"/>
      <c r="Z387" s="4">
        <f>IFERROR(__xludf.DUMMYFUNCTION("""COMPUTED_VALUE"""),-3.2757378924507634)</f>
        <v>-3.275737892</v>
      </c>
      <c r="AA387" s="4"/>
      <c r="AB387" s="4"/>
      <c r="AC387" s="4">
        <f>IFERROR(__xludf.DUMMYFUNCTION("""COMPUTED_VALUE"""),3.8576635773125076)</f>
        <v>3.857663577</v>
      </c>
      <c r="AD387" s="4"/>
      <c r="AE387" s="4"/>
      <c r="AF387" s="4">
        <f>IFERROR(__xludf.DUMMYFUNCTION("""COMPUTED_VALUE"""),1.2290942009203718)</f>
        <v>1.229094201</v>
      </c>
      <c r="AG387" s="4"/>
      <c r="AH387" s="4"/>
      <c r="AI387" s="4">
        <f>IFERROR(__xludf.DUMMYFUNCTION("""COMPUTED_VALUE"""),-2.364008142749583)</f>
        <v>-2.364008143</v>
      </c>
      <c r="AJ387" s="4"/>
      <c r="AK387" s="4"/>
      <c r="AL387" s="4">
        <f>IFERROR(__xludf.DUMMYFUNCTION("""COMPUTED_VALUE"""),-0.5082940865469254)</f>
        <v>-0.5082940865</v>
      </c>
      <c r="AM387" s="4"/>
      <c r="AN387" s="4"/>
      <c r="AO387" s="4">
        <f>IFERROR(__xludf.DUMMYFUNCTION("""COMPUTED_VALUE"""),-4.564964090814101)</f>
        <v>-4.564964091</v>
      </c>
      <c r="AP387" s="4"/>
      <c r="AQ387" s="4"/>
      <c r="AR387" s="4">
        <f>IFERROR(__xludf.DUMMYFUNCTION("""COMPUTED_VALUE"""),7.061953699874493)</f>
        <v>7.0619537</v>
      </c>
      <c r="AS387" s="4"/>
      <c r="AT387" s="4"/>
      <c r="AU387" s="4">
        <f>IFERROR(__xludf.DUMMYFUNCTION("""COMPUTED_VALUE"""),-0.4143997868317797)</f>
        <v>-0.4143997868</v>
      </c>
      <c r="AV387" s="4"/>
      <c r="AW387" s="4"/>
      <c r="AX387" s="4">
        <f>IFERROR(__xludf.DUMMYFUNCTION("""COMPUTED_VALUE"""),0.4814081836853461)</f>
        <v>0.4814081837</v>
      </c>
      <c r="AY387" s="4"/>
      <c r="AZ387" s="4"/>
      <c r="BA387" s="4">
        <f>IFERROR(__xludf.DUMMYFUNCTION("""COMPUTED_VALUE"""),-0.9784323186485722)</f>
        <v>-0.9784323186</v>
      </c>
      <c r="BB387" s="4"/>
      <c r="BC387" s="4"/>
      <c r="BD387" s="4">
        <f>IFERROR(__xludf.DUMMYFUNCTION("""COMPUTED_VALUE"""),2.0161661221343365)</f>
        <v>2.016166122</v>
      </c>
      <c r="BE387" s="4"/>
      <c r="BF387" s="4"/>
      <c r="BG387" s="4">
        <f>IFERROR(__xludf.DUMMYFUNCTION("""COMPUTED_VALUE"""),0.9529224841695054)</f>
        <v>0.9529224842</v>
      </c>
      <c r="BH387" s="4"/>
      <c r="BI387" s="4"/>
      <c r="BJ387" s="4"/>
      <c r="BK387" s="4"/>
    </row>
    <row r="388">
      <c r="A388" s="4"/>
      <c r="B388" s="4"/>
      <c r="C388" s="4"/>
      <c r="D388" s="4">
        <f>IFERROR(__xludf.DUMMYFUNCTION("""COMPUTED_VALUE"""),-143.25419661222261)</f>
        <v>-143.2541966</v>
      </c>
      <c r="E388" s="23">
        <f>IFERROR(__xludf.DUMMYFUNCTION("""COMPUTED_VALUE"""),1.0447407758387044)</f>
        <v>1.044740776</v>
      </c>
      <c r="F388" s="4"/>
      <c r="G388" s="4"/>
      <c r="H388" s="4">
        <f>IFERROR(__xludf.DUMMYFUNCTION("""COMPUTED_VALUE"""),-4.462280643329109)</f>
        <v>-4.462280643</v>
      </c>
      <c r="I388" s="4"/>
      <c r="J388" s="4"/>
      <c r="K388" s="4">
        <f>IFERROR(__xludf.DUMMYFUNCTION("""COMPUTED_VALUE"""),-0.4037194614102191)</f>
        <v>-0.4037194614</v>
      </c>
      <c r="L388" s="4"/>
      <c r="M388" s="4"/>
      <c r="N388" s="4">
        <f>IFERROR(__xludf.DUMMYFUNCTION("""COMPUTED_VALUE"""),6.797084297428341)</f>
        <v>6.797084297</v>
      </c>
      <c r="O388" s="4"/>
      <c r="P388" s="4"/>
      <c r="Q388" s="4">
        <f>IFERROR(__xludf.DUMMYFUNCTION("""COMPUTED_VALUE"""),0.29752670219841093)</f>
        <v>0.2975267022</v>
      </c>
      <c r="R388" s="4"/>
      <c r="S388" s="4"/>
      <c r="T388" s="4">
        <f>IFERROR(__xludf.DUMMYFUNCTION("""COMPUTED_VALUE"""),1.3163138621939083)</f>
        <v>1.316313862</v>
      </c>
      <c r="U388" s="4"/>
      <c r="V388" s="4"/>
      <c r="W388" s="4">
        <f>IFERROR(__xludf.DUMMYFUNCTION("""COMPUTED_VALUE"""),-2.843038118629977)</f>
        <v>-2.843038119</v>
      </c>
      <c r="X388" s="4"/>
      <c r="Y388" s="4"/>
      <c r="Z388" s="4">
        <f>IFERROR(__xludf.DUMMYFUNCTION("""COMPUTED_VALUE"""),3.056396189387783)</f>
        <v>3.056396189</v>
      </c>
      <c r="AA388" s="4"/>
      <c r="AB388" s="4"/>
      <c r="AC388" s="4">
        <f>IFERROR(__xludf.DUMMYFUNCTION("""COMPUTED_VALUE"""),-2.591865064161709)</f>
        <v>-2.591865064</v>
      </c>
      <c r="AD388" s="4"/>
      <c r="AE388" s="4"/>
      <c r="AF388" s="4">
        <f>IFERROR(__xludf.DUMMYFUNCTION("""COMPUTED_VALUE"""),-0.375386615658158)</f>
        <v>-0.3753866157</v>
      </c>
      <c r="AG388" s="4"/>
      <c r="AH388" s="4"/>
      <c r="AI388" s="4">
        <f>IFERROR(__xludf.DUMMYFUNCTION("""COMPUTED_VALUE"""),0.657534959675445)</f>
        <v>0.6575349597</v>
      </c>
      <c r="AJ388" s="4"/>
      <c r="AK388" s="4"/>
      <c r="AL388" s="4">
        <f>IFERROR(__xludf.DUMMYFUNCTION("""COMPUTED_VALUE"""),-1.4037164320624242)</f>
        <v>-1.403716432</v>
      </c>
      <c r="AM388" s="4"/>
      <c r="AN388" s="4"/>
      <c r="AO388" s="4">
        <f>IFERROR(__xludf.DUMMYFUNCTION("""COMPUTED_VALUE"""),-6.160669434115675)</f>
        <v>-6.160669434</v>
      </c>
      <c r="AP388" s="4"/>
      <c r="AQ388" s="4"/>
      <c r="AR388" s="4">
        <f>IFERROR(__xludf.DUMMYFUNCTION("""COMPUTED_VALUE"""),1.0211911608718651)</f>
        <v>1.021191161</v>
      </c>
      <c r="AS388" s="4"/>
      <c r="AT388" s="4"/>
      <c r="AU388" s="4">
        <f>IFERROR(__xludf.DUMMYFUNCTION("""COMPUTED_VALUE"""),-2.850363805401173)</f>
        <v>-2.850363805</v>
      </c>
      <c r="AV388" s="4"/>
      <c r="AW388" s="4"/>
      <c r="AX388" s="4">
        <f>IFERROR(__xludf.DUMMYFUNCTION("""COMPUTED_VALUE"""),0.6999028642016469)</f>
        <v>0.6999028642</v>
      </c>
      <c r="AY388" s="4"/>
      <c r="AZ388" s="4"/>
      <c r="BA388" s="4">
        <f>IFERROR(__xludf.DUMMYFUNCTION("""COMPUTED_VALUE"""),-1.3705499563219519)</f>
        <v>-1.370549956</v>
      </c>
      <c r="BB388" s="4"/>
      <c r="BC388" s="4"/>
      <c r="BD388" s="4">
        <f>IFERROR(__xludf.DUMMYFUNCTION("""COMPUTED_VALUE"""),1.3590229650602623)</f>
        <v>1.359022965</v>
      </c>
      <c r="BE388" s="4"/>
      <c r="BF388" s="4"/>
      <c r="BG388" s="4">
        <f>IFERROR(__xludf.DUMMYFUNCTION("""COMPUTED_VALUE"""),3.0481949565915443)</f>
        <v>3.048194957</v>
      </c>
      <c r="BH388" s="4"/>
      <c r="BI388" s="4"/>
      <c r="BJ388" s="4"/>
      <c r="BK388" s="4"/>
    </row>
    <row r="389">
      <c r="A389" s="4"/>
      <c r="B389" s="4"/>
      <c r="C389" s="4"/>
      <c r="D389" s="4">
        <f>IFERROR(__xludf.DUMMYFUNCTION("""COMPUTED_VALUE"""),-144.17249274502268)</f>
        <v>-144.1724927</v>
      </c>
      <c r="E389" s="23">
        <f>IFERROR(__xludf.DUMMYFUNCTION("""COMPUTED_VALUE"""),-5.9187495376498305)</f>
        <v>-5.918749538</v>
      </c>
      <c r="F389" s="4"/>
      <c r="G389" s="4"/>
      <c r="H389" s="4">
        <f>IFERROR(__xludf.DUMMYFUNCTION("""COMPUTED_VALUE"""),3.346701184347637)</f>
        <v>3.346701184</v>
      </c>
      <c r="I389" s="4"/>
      <c r="J389" s="4"/>
      <c r="K389" s="4">
        <f>IFERROR(__xludf.DUMMYFUNCTION("""COMPUTED_VALUE"""),1.4591907594843292)</f>
        <v>1.459190759</v>
      </c>
      <c r="L389" s="4"/>
      <c r="M389" s="4"/>
      <c r="N389" s="4">
        <f>IFERROR(__xludf.DUMMYFUNCTION("""COMPUTED_VALUE"""),-1.7138248558395048)</f>
        <v>-1.713824856</v>
      </c>
      <c r="O389" s="4"/>
      <c r="P389" s="4"/>
      <c r="Q389" s="4">
        <f>IFERROR(__xludf.DUMMYFUNCTION("""COMPUTED_VALUE"""),0.19551320700225006)</f>
        <v>0.195513207</v>
      </c>
      <c r="R389" s="4"/>
      <c r="S389" s="4"/>
      <c r="T389" s="4">
        <f>IFERROR(__xludf.DUMMYFUNCTION("""COMPUTED_VALUE"""),0.7406153486386415)</f>
        <v>0.7406153486</v>
      </c>
      <c r="U389" s="4"/>
      <c r="V389" s="4"/>
      <c r="W389" s="4">
        <f>IFERROR(__xludf.DUMMYFUNCTION("""COMPUTED_VALUE"""),1.0327915318766259)</f>
        <v>1.032791532</v>
      </c>
      <c r="X389" s="4"/>
      <c r="Y389" s="4"/>
      <c r="Z389" s="4">
        <f>IFERROR(__xludf.DUMMYFUNCTION("""COMPUTED_VALUE"""),-1.8147476060609051)</f>
        <v>-1.814747606</v>
      </c>
      <c r="AA389" s="4"/>
      <c r="AB389" s="4"/>
      <c r="AC389" s="4">
        <f>IFERROR(__xludf.DUMMYFUNCTION("""COMPUTED_VALUE"""),2.8107593236462094)</f>
        <v>2.810759324</v>
      </c>
      <c r="AD389" s="4"/>
      <c r="AE389" s="4"/>
      <c r="AF389" s="4">
        <f>IFERROR(__xludf.DUMMYFUNCTION("""COMPUTED_VALUE"""),0.30413391094862163)</f>
        <v>0.3041339109</v>
      </c>
      <c r="AG389" s="4"/>
      <c r="AH389" s="4"/>
      <c r="AI389" s="4">
        <f>IFERROR(__xludf.DUMMYFUNCTION("""COMPUTED_VALUE"""),0.49877887016469913)</f>
        <v>0.4987788702</v>
      </c>
      <c r="AJ389" s="4"/>
      <c r="AK389" s="4"/>
      <c r="AL389" s="4">
        <f>IFERROR(__xludf.DUMMYFUNCTION("""COMPUTED_VALUE"""),-0.6379177571536161)</f>
        <v>-0.6379177572</v>
      </c>
      <c r="AM389" s="4"/>
      <c r="AN389" s="4"/>
      <c r="AO389" s="4">
        <f>IFERROR(__xludf.DUMMYFUNCTION("""COMPUTED_VALUE"""),-1.6709006947403395)</f>
        <v>-1.670900695</v>
      </c>
      <c r="AP389" s="4"/>
      <c r="AQ389" s="4"/>
      <c r="AR389" s="4">
        <f>IFERROR(__xludf.DUMMYFUNCTION("""COMPUTED_VALUE"""),1.2697532564336598)</f>
        <v>1.269753256</v>
      </c>
      <c r="AS389" s="4"/>
      <c r="AT389" s="4"/>
      <c r="AU389" s="4">
        <f>IFERROR(__xludf.DUMMYFUNCTION("""COMPUTED_VALUE"""),-1.4083200341635234)</f>
        <v>-1.408320034</v>
      </c>
      <c r="AV389" s="4"/>
      <c r="AW389" s="4"/>
      <c r="AX389" s="4">
        <f>IFERROR(__xludf.DUMMYFUNCTION("""COMPUTED_VALUE"""),2.974905527592057)</f>
        <v>2.974905528</v>
      </c>
      <c r="AY389" s="4"/>
      <c r="AZ389" s="4"/>
      <c r="BA389" s="4">
        <f>IFERROR(__xludf.DUMMYFUNCTION("""COMPUTED_VALUE"""),5.7392235222091585)</f>
        <v>5.739223522</v>
      </c>
      <c r="BB389" s="4"/>
      <c r="BC389" s="4"/>
      <c r="BD389" s="4">
        <f>IFERROR(__xludf.DUMMYFUNCTION("""COMPUTED_VALUE"""),-2.016368769797225)</f>
        <v>-2.01636877</v>
      </c>
      <c r="BE389" s="4"/>
      <c r="BF389" s="4"/>
      <c r="BG389" s="4">
        <f>IFERROR(__xludf.DUMMYFUNCTION("""COMPUTED_VALUE"""),-3.2532836865793797)</f>
        <v>-3.253283687</v>
      </c>
      <c r="BH389" s="4"/>
      <c r="BI389" s="4"/>
      <c r="BJ389" s="4"/>
      <c r="BK389" s="4"/>
    </row>
    <row r="390">
      <c r="A390" s="4"/>
      <c r="B390" s="4"/>
      <c r="C390" s="4"/>
      <c r="D390" s="4">
        <f>IFERROR(__xludf.DUMMYFUNCTION("""COMPUTED_VALUE"""),-145.09078887565744)</f>
        <v>-145.0907889</v>
      </c>
      <c r="E390" s="23">
        <f>IFERROR(__xludf.DUMMYFUNCTION("""COMPUTED_VALUE"""),-1.6787513856838814)</f>
        <v>-1.678751386</v>
      </c>
      <c r="F390" s="4"/>
      <c r="G390" s="4"/>
      <c r="H390" s="4">
        <f>IFERROR(__xludf.DUMMYFUNCTION("""COMPUTED_VALUE"""),1.6863349013084417)</f>
        <v>1.686334901</v>
      </c>
      <c r="I390" s="4"/>
      <c r="J390" s="4"/>
      <c r="K390" s="4">
        <f>IFERROR(__xludf.DUMMYFUNCTION("""COMPUTED_VALUE"""),8.798469085428621)</f>
        <v>8.798469085</v>
      </c>
      <c r="L390" s="4"/>
      <c r="M390" s="4"/>
      <c r="N390" s="4">
        <f>IFERROR(__xludf.DUMMYFUNCTION("""COMPUTED_VALUE"""),1.5209817292222283)</f>
        <v>1.520981729</v>
      </c>
      <c r="O390" s="4"/>
      <c r="P390" s="4"/>
      <c r="Q390" s="4">
        <f>IFERROR(__xludf.DUMMYFUNCTION("""COMPUTED_VALUE"""),-0.39427841670766384)</f>
        <v>-0.3942784167</v>
      </c>
      <c r="R390" s="4"/>
      <c r="S390" s="4"/>
      <c r="T390" s="4">
        <f>IFERROR(__xludf.DUMMYFUNCTION("""COMPUTED_VALUE"""),1.9601784008859795)</f>
        <v>1.960178401</v>
      </c>
      <c r="U390" s="4"/>
      <c r="V390" s="4"/>
      <c r="W390" s="4">
        <f>IFERROR(__xludf.DUMMYFUNCTION("""COMPUTED_VALUE"""),1.1407137450725031)</f>
        <v>1.140713745</v>
      </c>
      <c r="X390" s="4"/>
      <c r="Y390" s="4"/>
      <c r="Z390" s="4">
        <f>IFERROR(__xludf.DUMMYFUNCTION("""COMPUTED_VALUE"""),3.6827242819028356)</f>
        <v>3.682724282</v>
      </c>
      <c r="AA390" s="4"/>
      <c r="AB390" s="4"/>
      <c r="AC390" s="4">
        <f>IFERROR(__xludf.DUMMYFUNCTION("""COMPUTED_VALUE"""),-1.9808849621082913)</f>
        <v>-1.980884962</v>
      </c>
      <c r="AD390" s="4"/>
      <c r="AE390" s="4"/>
      <c r="AF390" s="4">
        <f>IFERROR(__xludf.DUMMYFUNCTION("""COMPUTED_VALUE"""),1.555298239435274)</f>
        <v>1.555298239</v>
      </c>
      <c r="AG390" s="4"/>
      <c r="AH390" s="4"/>
      <c r="AI390" s="4">
        <f>IFERROR(__xludf.DUMMYFUNCTION("""COMPUTED_VALUE"""),0.8053188326122154)</f>
        <v>0.8053188326</v>
      </c>
      <c r="AJ390" s="4"/>
      <c r="AK390" s="4"/>
      <c r="AL390" s="4">
        <f>IFERROR(__xludf.DUMMYFUNCTION("""COMPUTED_VALUE"""),5.191277741295551)</f>
        <v>5.191277741</v>
      </c>
      <c r="AM390" s="4"/>
      <c r="AN390" s="4"/>
      <c r="AO390" s="4">
        <f>IFERROR(__xludf.DUMMYFUNCTION("""COMPUTED_VALUE"""),-0.4915097454421584)</f>
        <v>-0.4915097454</v>
      </c>
      <c r="AP390" s="4"/>
      <c r="AQ390" s="4"/>
      <c r="AR390" s="4">
        <f>IFERROR(__xludf.DUMMYFUNCTION("""COMPUTED_VALUE"""),-1.1553481452390315)</f>
        <v>-1.155348145</v>
      </c>
      <c r="AS390" s="4"/>
      <c r="AT390" s="4"/>
      <c r="AU390" s="4">
        <f>IFERROR(__xludf.DUMMYFUNCTION("""COMPUTED_VALUE"""),-0.36744300467569246)</f>
        <v>-0.3674430047</v>
      </c>
      <c r="AV390" s="4"/>
      <c r="AW390" s="4"/>
      <c r="AX390" s="4">
        <f>IFERROR(__xludf.DUMMYFUNCTION("""COMPUTED_VALUE"""),3.8436805384358195)</f>
        <v>3.843680538</v>
      </c>
      <c r="AY390" s="4"/>
      <c r="AZ390" s="4"/>
      <c r="BA390" s="4">
        <f>IFERROR(__xludf.DUMMYFUNCTION("""COMPUTED_VALUE"""),3.572491603641936)</f>
        <v>3.572491604</v>
      </c>
      <c r="BB390" s="4"/>
      <c r="BC390" s="4"/>
      <c r="BD390" s="4">
        <f>IFERROR(__xludf.DUMMYFUNCTION("""COMPUTED_VALUE"""),8.169238955541232)</f>
        <v>8.169238956</v>
      </c>
      <c r="BE390" s="4"/>
      <c r="BF390" s="4"/>
      <c r="BG390" s="4">
        <f>IFERROR(__xludf.DUMMYFUNCTION("""COMPUTED_VALUE"""),-3.222545685222258)</f>
        <v>-3.222545685</v>
      </c>
      <c r="BH390" s="4"/>
      <c r="BI390" s="4"/>
      <c r="BJ390" s="4"/>
      <c r="BK390" s="4"/>
    </row>
    <row r="391">
      <c r="A391" s="4"/>
      <c r="B391" s="4"/>
      <c r="C391" s="4"/>
      <c r="D391" s="4">
        <f>IFERROR(__xludf.DUMMYFUNCTION("""COMPUTED_VALUE"""),-146.00908500845753)</f>
        <v>-146.009085</v>
      </c>
      <c r="E391" s="23">
        <f>IFERROR(__xludf.DUMMYFUNCTION("""COMPUTED_VALUE"""),-5.531792880153489)</f>
        <v>-5.53179288</v>
      </c>
      <c r="F391" s="4"/>
      <c r="G391" s="4"/>
      <c r="H391" s="4">
        <f>IFERROR(__xludf.DUMMYFUNCTION("""COMPUTED_VALUE"""),-1.0279333401491613)</f>
        <v>-1.02793334</v>
      </c>
      <c r="I391" s="4"/>
      <c r="J391" s="4"/>
      <c r="K391" s="4">
        <f>IFERROR(__xludf.DUMMYFUNCTION("""COMPUTED_VALUE"""),5.218794956859142)</f>
        <v>5.218794957</v>
      </c>
      <c r="L391" s="4"/>
      <c r="M391" s="4"/>
      <c r="N391" s="4">
        <f>IFERROR(__xludf.DUMMYFUNCTION("""COMPUTED_VALUE"""),4.736138083831804)</f>
        <v>4.736138084</v>
      </c>
      <c r="O391" s="4"/>
      <c r="P391" s="4"/>
      <c r="Q391" s="4">
        <f>IFERROR(__xludf.DUMMYFUNCTION("""COMPUTED_VALUE"""),-0.19139867792813448)</f>
        <v>-0.1913986779</v>
      </c>
      <c r="R391" s="4"/>
      <c r="S391" s="4"/>
      <c r="T391" s="4">
        <f>IFERROR(__xludf.DUMMYFUNCTION("""COMPUTED_VALUE"""),-4.367375347675647)</f>
        <v>-4.367375348</v>
      </c>
      <c r="U391" s="4"/>
      <c r="V391" s="4"/>
      <c r="W391" s="4">
        <f>IFERROR(__xludf.DUMMYFUNCTION("""COMPUTED_VALUE"""),-4.024260126387901)</f>
        <v>-4.024260126</v>
      </c>
      <c r="X391" s="4"/>
      <c r="Y391" s="4"/>
      <c r="Z391" s="4">
        <f>IFERROR(__xludf.DUMMYFUNCTION("""COMPUTED_VALUE"""),-2.8586063217498463)</f>
        <v>-2.858606322</v>
      </c>
      <c r="AA391" s="4"/>
      <c r="AB391" s="4"/>
      <c r="AC391" s="4">
        <f>IFERROR(__xludf.DUMMYFUNCTION("""COMPUTED_VALUE"""),-1.1865969998906394)</f>
        <v>-1.186597</v>
      </c>
      <c r="AD391" s="4"/>
      <c r="AE391" s="4"/>
      <c r="AF391" s="4">
        <f>IFERROR(__xludf.DUMMYFUNCTION("""COMPUTED_VALUE"""),-2.2957586162381745)</f>
        <v>-2.295758616</v>
      </c>
      <c r="AG391" s="4"/>
      <c r="AH391" s="4"/>
      <c r="AI391" s="4">
        <f>IFERROR(__xludf.DUMMYFUNCTION("""COMPUTED_VALUE"""),-2.486855945862146)</f>
        <v>-2.486855946</v>
      </c>
      <c r="AJ391" s="4"/>
      <c r="AK391" s="4"/>
      <c r="AL391" s="4">
        <f>IFERROR(__xludf.DUMMYFUNCTION("""COMPUTED_VALUE"""),0.3345368623681111)</f>
        <v>0.3345368624</v>
      </c>
      <c r="AM391" s="4"/>
      <c r="AN391" s="4"/>
      <c r="AO391" s="4">
        <f>IFERROR(__xludf.DUMMYFUNCTION("""COMPUTED_VALUE"""),0.11387237935792882)</f>
        <v>0.1138723794</v>
      </c>
      <c r="AP391" s="4"/>
      <c r="AQ391" s="4"/>
      <c r="AR391" s="4">
        <f>IFERROR(__xludf.DUMMYFUNCTION("""COMPUTED_VALUE"""),-0.9686330500971962)</f>
        <v>-0.9686330501</v>
      </c>
      <c r="AS391" s="4"/>
      <c r="AT391" s="4"/>
      <c r="AU391" s="4">
        <f>IFERROR(__xludf.DUMMYFUNCTION("""COMPUTED_VALUE"""),-1.1452898650013026)</f>
        <v>-1.145289865</v>
      </c>
      <c r="AV391" s="4"/>
      <c r="AW391" s="4"/>
      <c r="AX391" s="4">
        <f>IFERROR(__xludf.DUMMYFUNCTION("""COMPUTED_VALUE"""),3.14200622107262)</f>
        <v>3.142006221</v>
      </c>
      <c r="AY391" s="4"/>
      <c r="AZ391" s="4"/>
      <c r="BA391" s="4">
        <f>IFERROR(__xludf.DUMMYFUNCTION("""COMPUTED_VALUE"""),0.3186684042868819)</f>
        <v>0.3186684043</v>
      </c>
      <c r="BB391" s="4"/>
      <c r="BC391" s="4"/>
      <c r="BD391" s="4">
        <f>IFERROR(__xludf.DUMMYFUNCTION("""COMPUTED_VALUE"""),3.0353963644497526)</f>
        <v>3.035396364</v>
      </c>
      <c r="BE391" s="4"/>
      <c r="BF391" s="4"/>
      <c r="BG391" s="4">
        <f>IFERROR(__xludf.DUMMYFUNCTION("""COMPUTED_VALUE"""),0.6832725952057785)</f>
        <v>0.6832725952</v>
      </c>
      <c r="BH391" s="4"/>
      <c r="BI391" s="4"/>
      <c r="BJ391" s="4"/>
      <c r="BK391" s="4"/>
    </row>
    <row r="392">
      <c r="A392" s="4"/>
      <c r="B392" s="4"/>
      <c r="C392" s="4"/>
      <c r="D392" s="4">
        <f>IFERROR(__xludf.DUMMYFUNCTION("""COMPUTED_VALUE"""),-146.92738114120723)</f>
        <v>-146.9273811</v>
      </c>
      <c r="E392" s="23">
        <f>IFERROR(__xludf.DUMMYFUNCTION("""COMPUTED_VALUE"""),-2.107324913099717)</f>
        <v>-2.107324913</v>
      </c>
      <c r="F392" s="4"/>
      <c r="G392" s="4"/>
      <c r="H392" s="4">
        <f>IFERROR(__xludf.DUMMYFUNCTION("""COMPUTED_VALUE"""),0.6645246536813829)</f>
        <v>0.6645246537</v>
      </c>
      <c r="I392" s="4"/>
      <c r="J392" s="4"/>
      <c r="K392" s="4">
        <f>IFERROR(__xludf.DUMMYFUNCTION("""COMPUTED_VALUE"""),-3.2695443876442596)</f>
        <v>-3.269544388</v>
      </c>
      <c r="L392" s="4"/>
      <c r="M392" s="4"/>
      <c r="N392" s="4">
        <f>IFERROR(__xludf.DUMMYFUNCTION("""COMPUTED_VALUE"""),-2.1061547345119607)</f>
        <v>-2.106154735</v>
      </c>
      <c r="O392" s="4"/>
      <c r="P392" s="4"/>
      <c r="Q392" s="4">
        <f>IFERROR(__xludf.DUMMYFUNCTION("""COMPUTED_VALUE"""),1.2967064623269948)</f>
        <v>1.296706462</v>
      </c>
      <c r="R392" s="4"/>
      <c r="S392" s="4"/>
      <c r="T392" s="4">
        <f>IFERROR(__xludf.DUMMYFUNCTION("""COMPUTED_VALUE"""),-4.740775939944456)</f>
        <v>-4.74077594</v>
      </c>
      <c r="U392" s="4"/>
      <c r="V392" s="4"/>
      <c r="W392" s="4">
        <f>IFERROR(__xludf.DUMMYFUNCTION("""COMPUTED_VALUE"""),0.8843894621763297)</f>
        <v>0.8843894622</v>
      </c>
      <c r="X392" s="4"/>
      <c r="Y392" s="4"/>
      <c r="Z392" s="4">
        <f>IFERROR(__xludf.DUMMYFUNCTION("""COMPUTED_VALUE"""),-2.48539395164039)</f>
        <v>-2.485393952</v>
      </c>
      <c r="AA392" s="4"/>
      <c r="AB392" s="4"/>
      <c r="AC392" s="4">
        <f>IFERROR(__xludf.DUMMYFUNCTION("""COMPUTED_VALUE"""),4.84976720146301)</f>
        <v>4.849767201</v>
      </c>
      <c r="AD392" s="4"/>
      <c r="AE392" s="4"/>
      <c r="AF392" s="4">
        <f>IFERROR(__xludf.DUMMYFUNCTION("""COMPUTED_VALUE"""),-1.4829717135758642)</f>
        <v>-1.482971714</v>
      </c>
      <c r="AG392" s="4"/>
      <c r="AH392" s="4"/>
      <c r="AI392" s="4">
        <f>IFERROR(__xludf.DUMMYFUNCTION("""COMPUTED_VALUE"""),1.997210734004625)</f>
        <v>1.997210734</v>
      </c>
      <c r="AJ392" s="4"/>
      <c r="AK392" s="4"/>
      <c r="AL392" s="4">
        <f>IFERROR(__xludf.DUMMYFUNCTION("""COMPUTED_VALUE"""),0.7465345518779145)</f>
        <v>0.7465345519</v>
      </c>
      <c r="AM392" s="4"/>
      <c r="AN392" s="4"/>
      <c r="AO392" s="4">
        <f>IFERROR(__xludf.DUMMYFUNCTION("""COMPUTED_VALUE"""),-1.8369475578015226)</f>
        <v>-1.836947558</v>
      </c>
      <c r="AP392" s="4"/>
      <c r="AQ392" s="4"/>
      <c r="AR392" s="4">
        <f>IFERROR(__xludf.DUMMYFUNCTION("""COMPUTED_VALUE"""),-0.9541373205271952)</f>
        <v>-0.9541373205</v>
      </c>
      <c r="AS392" s="4"/>
      <c r="AT392" s="4"/>
      <c r="AU392" s="4">
        <f>IFERROR(__xludf.DUMMYFUNCTION("""COMPUTED_VALUE"""),-2.0590643213857334)</f>
        <v>-2.059064321</v>
      </c>
      <c r="AV392" s="4"/>
      <c r="AW392" s="4"/>
      <c r="AX392" s="4">
        <f>IFERROR(__xludf.DUMMYFUNCTION("""COMPUTED_VALUE"""),-4.525011321516899)</f>
        <v>-4.525011322</v>
      </c>
      <c r="AY392" s="4"/>
      <c r="AZ392" s="4"/>
      <c r="BA392" s="4">
        <f>IFERROR(__xludf.DUMMYFUNCTION("""COMPUTED_VALUE"""),1.7055727586538296)</f>
        <v>1.705572759</v>
      </c>
      <c r="BB392" s="4"/>
      <c r="BC392" s="4"/>
      <c r="BD392" s="4">
        <f>IFERROR(__xludf.DUMMYFUNCTION("""COMPUTED_VALUE"""),-2.8234348806631147)</f>
        <v>-2.823434881</v>
      </c>
      <c r="BE392" s="4"/>
      <c r="BF392" s="4"/>
      <c r="BG392" s="4">
        <f>IFERROR(__xludf.DUMMYFUNCTION("""COMPUTED_VALUE"""),2.022172722730602)</f>
        <v>2.022172723</v>
      </c>
      <c r="BH392" s="4"/>
      <c r="BI392" s="4"/>
      <c r="BJ392" s="4"/>
      <c r="BK392" s="4"/>
    </row>
    <row r="393">
      <c r="A393" s="4"/>
      <c r="B393" s="4"/>
      <c r="C393" s="4"/>
      <c r="D393" s="4">
        <f>IFERROR(__xludf.DUMMYFUNCTION("""COMPUTED_VALUE"""),-147.84567727400733)</f>
        <v>-147.8456773</v>
      </c>
      <c r="E393" s="23">
        <f>IFERROR(__xludf.DUMMYFUNCTION("""COMPUTED_VALUE"""),-1.1919909951089949)</f>
        <v>-1.191990995</v>
      </c>
      <c r="F393" s="4"/>
      <c r="G393" s="4"/>
      <c r="H393" s="4">
        <f>IFERROR(__xludf.DUMMYFUNCTION("""COMPUTED_VALUE"""),-1.1548661762581105)</f>
        <v>-1.154866176</v>
      </c>
      <c r="I393" s="4"/>
      <c r="J393" s="4"/>
      <c r="K393" s="4">
        <f>IFERROR(__xludf.DUMMYFUNCTION("""COMPUTED_VALUE"""),2.098118368233088)</f>
        <v>2.098118368</v>
      </c>
      <c r="L393" s="4"/>
      <c r="M393" s="4"/>
      <c r="N393" s="4">
        <f>IFERROR(__xludf.DUMMYFUNCTION("""COMPUTED_VALUE"""),0.8829426088502714)</f>
        <v>0.8829426089</v>
      </c>
      <c r="O393" s="4"/>
      <c r="P393" s="4"/>
      <c r="Q393" s="4">
        <f>IFERROR(__xludf.DUMMYFUNCTION("""COMPUTED_VALUE"""),0.8681701274743432)</f>
        <v>0.8681701275</v>
      </c>
      <c r="R393" s="4"/>
      <c r="S393" s="4"/>
      <c r="T393" s="4">
        <f>IFERROR(__xludf.DUMMYFUNCTION("""COMPUTED_VALUE"""),-2.273262145107651)</f>
        <v>-2.273262145</v>
      </c>
      <c r="U393" s="4"/>
      <c r="V393" s="4"/>
      <c r="W393" s="4">
        <f>IFERROR(__xludf.DUMMYFUNCTION("""COMPUTED_VALUE"""),-4.919331165572828)</f>
        <v>-4.919331166</v>
      </c>
      <c r="X393" s="4"/>
      <c r="Y393" s="4"/>
      <c r="Z393" s="4">
        <f>IFERROR(__xludf.DUMMYFUNCTION("""COMPUTED_VALUE"""),-6.101659728757056)</f>
        <v>-6.101659729</v>
      </c>
      <c r="AA393" s="4"/>
      <c r="AB393" s="4"/>
      <c r="AC393" s="4">
        <f>IFERROR(__xludf.DUMMYFUNCTION("""COMPUTED_VALUE"""),4.813244975653731)</f>
        <v>4.813244976</v>
      </c>
      <c r="AD393" s="4"/>
      <c r="AE393" s="4"/>
      <c r="AF393" s="4">
        <f>IFERROR(__xludf.DUMMYFUNCTION("""COMPUTED_VALUE"""),0.8530899965766139)</f>
        <v>0.8530899966</v>
      </c>
      <c r="AG393" s="4"/>
      <c r="AH393" s="4"/>
      <c r="AI393" s="4">
        <f>IFERROR(__xludf.DUMMYFUNCTION("""COMPUTED_VALUE"""),-2.5886603296785324)</f>
        <v>-2.58866033</v>
      </c>
      <c r="AJ393" s="4"/>
      <c r="AK393" s="4"/>
      <c r="AL393" s="4">
        <f>IFERROR(__xludf.DUMMYFUNCTION("""COMPUTED_VALUE"""),-2.012811957681947)</f>
        <v>-2.012811958</v>
      </c>
      <c r="AM393" s="4"/>
      <c r="AN393" s="4"/>
      <c r="AO393" s="4">
        <f>IFERROR(__xludf.DUMMYFUNCTION("""COMPUTED_VALUE"""),-6.600160254239256)</f>
        <v>-6.600160254</v>
      </c>
      <c r="AP393" s="4"/>
      <c r="AQ393" s="4"/>
      <c r="AR393" s="4">
        <f>IFERROR(__xludf.DUMMYFUNCTION("""COMPUTED_VALUE"""),6.141071379820119)</f>
        <v>6.14107138</v>
      </c>
      <c r="AS393" s="4"/>
      <c r="AT393" s="4"/>
      <c r="AU393" s="4">
        <f>IFERROR(__xludf.DUMMYFUNCTION("""COMPUTED_VALUE"""),1.807929920156198)</f>
        <v>1.80792992</v>
      </c>
      <c r="AV393" s="4"/>
      <c r="AW393" s="4"/>
      <c r="AX393" s="4">
        <f>IFERROR(__xludf.DUMMYFUNCTION("""COMPUTED_VALUE"""),2.1490649036655327)</f>
        <v>2.149064904</v>
      </c>
      <c r="AY393" s="4"/>
      <c r="AZ393" s="4"/>
      <c r="BA393" s="4">
        <f>IFERROR(__xludf.DUMMYFUNCTION("""COMPUTED_VALUE"""),0.32544207306170847)</f>
        <v>0.3254420731</v>
      </c>
      <c r="BB393" s="4"/>
      <c r="BC393" s="4"/>
      <c r="BD393" s="4">
        <f>IFERROR(__xludf.DUMMYFUNCTION("""COMPUTED_VALUE"""),3.2385296078236365)</f>
        <v>3.238529608</v>
      </c>
      <c r="BE393" s="4"/>
      <c r="BF393" s="4"/>
      <c r="BG393" s="4">
        <f>IFERROR(__xludf.DUMMYFUNCTION("""COMPUTED_VALUE"""),0.16358165526264656)</f>
        <v>0.1635816553</v>
      </c>
      <c r="BH393" s="4"/>
      <c r="BI393" s="4"/>
      <c r="BJ393" s="4"/>
      <c r="BK393" s="4"/>
    </row>
    <row r="394">
      <c r="A394" s="4"/>
      <c r="B394" s="4"/>
      <c r="C394" s="4"/>
      <c r="D394" s="4">
        <f>IFERROR(__xludf.DUMMYFUNCTION("""COMPUTED_VALUE"""),-148.76397340469245)</f>
        <v>-148.7639734</v>
      </c>
      <c r="E394" s="23">
        <f>IFERROR(__xludf.DUMMYFUNCTION("""COMPUTED_VALUE"""),-2.92421666418403)</f>
        <v>-2.924216664</v>
      </c>
      <c r="F394" s="4"/>
      <c r="G394" s="4"/>
      <c r="H394" s="4">
        <f>IFERROR(__xludf.DUMMYFUNCTION("""COMPUTED_VALUE"""),0.4901954830308455)</f>
        <v>0.490195483</v>
      </c>
      <c r="I394" s="4"/>
      <c r="J394" s="4"/>
      <c r="K394" s="4">
        <f>IFERROR(__xludf.DUMMYFUNCTION("""COMPUTED_VALUE"""),7.770010543250294)</f>
        <v>7.770010543</v>
      </c>
      <c r="L394" s="4"/>
      <c r="M394" s="4"/>
      <c r="N394" s="4">
        <f>IFERROR(__xludf.DUMMYFUNCTION("""COMPUTED_VALUE"""),4.5263304951783425)</f>
        <v>4.526330495</v>
      </c>
      <c r="O394" s="4"/>
      <c r="P394" s="4"/>
      <c r="Q394" s="4">
        <f>IFERROR(__xludf.DUMMYFUNCTION("""COMPUTED_VALUE"""),1.0333346379766226)</f>
        <v>1.033334638</v>
      </c>
      <c r="R394" s="4"/>
      <c r="S394" s="4"/>
      <c r="T394" s="4">
        <f>IFERROR(__xludf.DUMMYFUNCTION("""COMPUTED_VALUE"""),-4.765766147626437)</f>
        <v>-4.765766148</v>
      </c>
      <c r="U394" s="4"/>
      <c r="V394" s="4"/>
      <c r="W394" s="4">
        <f>IFERROR(__xludf.DUMMYFUNCTION("""COMPUTED_VALUE"""),-2.185610636578758)</f>
        <v>-2.185610637</v>
      </c>
      <c r="X394" s="4"/>
      <c r="Y394" s="4"/>
      <c r="Z394" s="4">
        <f>IFERROR(__xludf.DUMMYFUNCTION("""COMPUTED_VALUE"""),-1.1331214623641586)</f>
        <v>-1.133121462</v>
      </c>
      <c r="AA394" s="4"/>
      <c r="AB394" s="4"/>
      <c r="AC394" s="4">
        <f>IFERROR(__xludf.DUMMYFUNCTION("""COMPUTED_VALUE"""),3.0350139834651486)</f>
        <v>3.035013983</v>
      </c>
      <c r="AD394" s="4"/>
      <c r="AE394" s="4"/>
      <c r="AF394" s="4">
        <f>IFERROR(__xludf.DUMMYFUNCTION("""COMPUTED_VALUE"""),3.110903349683838)</f>
        <v>3.11090335</v>
      </c>
      <c r="AG394" s="4"/>
      <c r="AH394" s="4"/>
      <c r="AI394" s="4">
        <f>IFERROR(__xludf.DUMMYFUNCTION("""COMPUTED_VALUE"""),-9.498186928767609)</f>
        <v>-9.498186929</v>
      </c>
      <c r="AJ394" s="4"/>
      <c r="AK394" s="4"/>
      <c r="AL394" s="4">
        <f>IFERROR(__xludf.DUMMYFUNCTION("""COMPUTED_VALUE"""),2.9832045019966813)</f>
        <v>2.983204502</v>
      </c>
      <c r="AM394" s="4"/>
      <c r="AN394" s="4"/>
      <c r="AO394" s="4">
        <f>IFERROR(__xludf.DUMMYFUNCTION("""COMPUTED_VALUE"""),-1.9997822119359512)</f>
        <v>-1.999782212</v>
      </c>
      <c r="AP394" s="4"/>
      <c r="AQ394" s="4"/>
      <c r="AR394" s="4">
        <f>IFERROR(__xludf.DUMMYFUNCTION("""COMPUTED_VALUE"""),2.6461911140965526)</f>
        <v>2.646191114</v>
      </c>
      <c r="AS394" s="4"/>
      <c r="AT394" s="4"/>
      <c r="AU394" s="4">
        <f>IFERROR(__xludf.DUMMYFUNCTION("""COMPUTED_VALUE"""),1.0803800626331963)</f>
        <v>1.080380063</v>
      </c>
      <c r="AV394" s="4"/>
      <c r="AW394" s="4"/>
      <c r="AX394" s="4">
        <f>IFERROR(__xludf.DUMMYFUNCTION("""COMPUTED_VALUE"""),2.8412939839412843)</f>
        <v>2.841293984</v>
      </c>
      <c r="AY394" s="4"/>
      <c r="AZ394" s="4"/>
      <c r="BA394" s="4">
        <f>IFERROR(__xludf.DUMMYFUNCTION("""COMPUTED_VALUE"""),1.9964672250274589)</f>
        <v>1.996467225</v>
      </c>
      <c r="BB394" s="4"/>
      <c r="BC394" s="4"/>
      <c r="BD394" s="4">
        <f>IFERROR(__xludf.DUMMYFUNCTION("""COMPUTED_VALUE"""),0.18962718811263812)</f>
        <v>0.1896271881</v>
      </c>
      <c r="BE394" s="4"/>
      <c r="BF394" s="4"/>
      <c r="BG394" s="4">
        <f>IFERROR(__xludf.DUMMYFUNCTION("""COMPUTED_VALUE"""),4.826211083097121)</f>
        <v>4.826211083</v>
      </c>
      <c r="BH394" s="4"/>
      <c r="BI394" s="4"/>
      <c r="BJ394" s="4"/>
      <c r="BK394" s="4"/>
    </row>
    <row r="395">
      <c r="A395" s="4"/>
      <c r="B395" s="4"/>
      <c r="C395" s="4"/>
      <c r="D395" s="4">
        <f>IFERROR(__xludf.DUMMYFUNCTION("""COMPUTED_VALUE"""),-149.68226953744218)</f>
        <v>-149.6822695</v>
      </c>
      <c r="E395" s="23">
        <f>IFERROR(__xludf.DUMMYFUNCTION("""COMPUTED_VALUE"""),-1.9560410302477749)</f>
        <v>-1.95604103</v>
      </c>
      <c r="F395" s="4"/>
      <c r="G395" s="4"/>
      <c r="H395" s="4">
        <f>IFERROR(__xludf.DUMMYFUNCTION("""COMPUTED_VALUE"""),2.537582666309845)</f>
        <v>2.537582666</v>
      </c>
      <c r="I395" s="4"/>
      <c r="J395" s="4"/>
      <c r="K395" s="4">
        <f>IFERROR(__xludf.DUMMYFUNCTION("""COMPUTED_VALUE"""),4.565945971100348)</f>
        <v>4.565945971</v>
      </c>
      <c r="L395" s="4"/>
      <c r="M395" s="4"/>
      <c r="N395" s="4">
        <f>IFERROR(__xludf.DUMMYFUNCTION("""COMPUTED_VALUE"""),3.2986275400839986)</f>
        <v>3.29862754</v>
      </c>
      <c r="O395" s="4"/>
      <c r="P395" s="4"/>
      <c r="Q395" s="4">
        <f>IFERROR(__xludf.DUMMYFUNCTION("""COMPUTED_VALUE"""),-4.599807702567944)</f>
        <v>-4.599807703</v>
      </c>
      <c r="R395" s="4"/>
      <c r="S395" s="4"/>
      <c r="T395" s="4">
        <f>IFERROR(__xludf.DUMMYFUNCTION("""COMPUTED_VALUE"""),-0.6064617396521044)</f>
        <v>-0.6064617397</v>
      </c>
      <c r="U395" s="4"/>
      <c r="V395" s="4"/>
      <c r="W395" s="4">
        <f>IFERROR(__xludf.DUMMYFUNCTION("""COMPUTED_VALUE"""),-2.9994854963588864)</f>
        <v>-2.999485496</v>
      </c>
      <c r="X395" s="4"/>
      <c r="Y395" s="4"/>
      <c r="Z395" s="4">
        <f>IFERROR(__xludf.DUMMYFUNCTION("""COMPUTED_VALUE"""),1.8616010406657892)</f>
        <v>1.861601041</v>
      </c>
      <c r="AA395" s="4"/>
      <c r="AB395" s="4"/>
      <c r="AC395" s="4">
        <f>IFERROR(__xludf.DUMMYFUNCTION("""COMPUTED_VALUE"""),2.363815273163482)</f>
        <v>2.363815273</v>
      </c>
      <c r="AD395" s="4"/>
      <c r="AE395" s="4"/>
      <c r="AF395" s="4">
        <f>IFERROR(__xludf.DUMMYFUNCTION("""COMPUTED_VALUE"""),6.604858402692457)</f>
        <v>6.604858403</v>
      </c>
      <c r="AG395" s="4"/>
      <c r="AH395" s="4"/>
      <c r="AI395" s="4">
        <f>IFERROR(__xludf.DUMMYFUNCTION("""COMPUTED_VALUE"""),-1.554210019599168)</f>
        <v>-1.55421002</v>
      </c>
      <c r="AJ395" s="4"/>
      <c r="AK395" s="4"/>
      <c r="AL395" s="4">
        <f>IFERROR(__xludf.DUMMYFUNCTION("""COMPUTED_VALUE"""),1.2048523921698688)</f>
        <v>1.204852392</v>
      </c>
      <c r="AM395" s="4"/>
      <c r="AN395" s="4"/>
      <c r="AO395" s="4">
        <f>IFERROR(__xludf.DUMMYFUNCTION("""COMPUTED_VALUE"""),0.14880861809240287)</f>
        <v>0.1488086181</v>
      </c>
      <c r="AP395" s="4"/>
      <c r="AQ395" s="4"/>
      <c r="AR395" s="4">
        <f>IFERROR(__xludf.DUMMYFUNCTION("""COMPUTED_VALUE"""),-2.7499077384249517)</f>
        <v>-2.749907738</v>
      </c>
      <c r="AS395" s="4"/>
      <c r="AT395" s="4"/>
      <c r="AU395" s="4">
        <f>IFERROR(__xludf.DUMMYFUNCTION("""COMPUTED_VALUE"""),3.707004124552327)</f>
        <v>3.707004125</v>
      </c>
      <c r="AV395" s="4"/>
      <c r="AW395" s="4"/>
      <c r="AX395" s="4">
        <f>IFERROR(__xludf.DUMMYFUNCTION("""COMPUTED_VALUE"""),4.34204371810813)</f>
        <v>4.342043718</v>
      </c>
      <c r="AY395" s="4"/>
      <c r="AZ395" s="4"/>
      <c r="BA395" s="4">
        <f>IFERROR(__xludf.DUMMYFUNCTION("""COMPUTED_VALUE"""),1.3475996162961223)</f>
        <v>1.347599616</v>
      </c>
      <c r="BB395" s="4"/>
      <c r="BC395" s="4"/>
      <c r="BD395" s="4">
        <f>IFERROR(__xludf.DUMMYFUNCTION("""COMPUTED_VALUE"""),3.7013708302467876)</f>
        <v>3.70137083</v>
      </c>
      <c r="BE395" s="4"/>
      <c r="BF395" s="4"/>
      <c r="BG395" s="4">
        <f>IFERROR(__xludf.DUMMYFUNCTION("""COMPUTED_VALUE"""),-1.7303402936443604)</f>
        <v>-1.730340294</v>
      </c>
      <c r="BH395" s="4"/>
      <c r="BI395" s="4"/>
      <c r="BJ395" s="4"/>
      <c r="BK395" s="4"/>
    </row>
    <row r="396">
      <c r="A396" s="4"/>
      <c r="B396" s="4"/>
      <c r="C396" s="4"/>
      <c r="D396" s="4">
        <f>IFERROR(__xludf.DUMMYFUNCTION("""COMPUTED_VALUE"""),-150.60056567024225)</f>
        <v>-150.6005657</v>
      </c>
      <c r="E396" s="23">
        <f>IFERROR(__xludf.DUMMYFUNCTION("""COMPUTED_VALUE"""),-1.6184798500176498)</f>
        <v>-1.61847985</v>
      </c>
      <c r="F396" s="4"/>
      <c r="G396" s="4"/>
      <c r="H396" s="4">
        <f>IFERROR(__xludf.DUMMYFUNCTION("""COMPUTED_VALUE"""),-3.2992828405042474)</f>
        <v>-3.299282841</v>
      </c>
      <c r="I396" s="4"/>
      <c r="J396" s="4"/>
      <c r="K396" s="4">
        <f>IFERROR(__xludf.DUMMYFUNCTION("""COMPUTED_VALUE"""),2.061512990377139)</f>
        <v>2.06151299</v>
      </c>
      <c r="L396" s="4"/>
      <c r="M396" s="4"/>
      <c r="N396" s="4">
        <f>IFERROR(__xludf.DUMMYFUNCTION("""COMPUTED_VALUE"""),4.5322128298512325)</f>
        <v>4.53221283</v>
      </c>
      <c r="O396" s="4"/>
      <c r="P396" s="4"/>
      <c r="Q396" s="4">
        <f>IFERROR(__xludf.DUMMYFUNCTION("""COMPUTED_VALUE"""),2.0090569699938783)</f>
        <v>2.00905697</v>
      </c>
      <c r="R396" s="4"/>
      <c r="S396" s="4"/>
      <c r="T396" s="4">
        <f>IFERROR(__xludf.DUMMYFUNCTION("""COMPUTED_VALUE"""),-2.5895704817661453)</f>
        <v>-2.589570482</v>
      </c>
      <c r="U396" s="4"/>
      <c r="V396" s="4"/>
      <c r="W396" s="4">
        <f>IFERROR(__xludf.DUMMYFUNCTION("""COMPUTED_VALUE"""),-3.3606028600817126)</f>
        <v>-3.36060286</v>
      </c>
      <c r="X396" s="4"/>
      <c r="Y396" s="4"/>
      <c r="Z396" s="4">
        <f>IFERROR(__xludf.DUMMYFUNCTION("""COMPUTED_VALUE"""),-2.8694684189105715)</f>
        <v>-2.869468419</v>
      </c>
      <c r="AA396" s="4"/>
      <c r="AB396" s="4"/>
      <c r="AC396" s="4">
        <f>IFERROR(__xludf.DUMMYFUNCTION("""COMPUTED_VALUE"""),7.696091501796047)</f>
        <v>7.696091502</v>
      </c>
      <c r="AD396" s="4"/>
      <c r="AE396" s="4"/>
      <c r="AF396" s="4">
        <f>IFERROR(__xludf.DUMMYFUNCTION("""COMPUTED_VALUE"""),-1.5571703016028664)</f>
        <v>-1.557170302</v>
      </c>
      <c r="AG396" s="4"/>
      <c r="AH396" s="4"/>
      <c r="AI396" s="4">
        <f>IFERROR(__xludf.DUMMYFUNCTION("""COMPUTED_VALUE"""),0.6781802608510361)</f>
        <v>0.6781802609</v>
      </c>
      <c r="AJ396" s="4"/>
      <c r="AK396" s="4"/>
      <c r="AL396" s="4">
        <f>IFERROR(__xludf.DUMMYFUNCTION("""COMPUTED_VALUE"""),-3.2396105884270128)</f>
        <v>-3.239610588</v>
      </c>
      <c r="AM396" s="4"/>
      <c r="AN396" s="4"/>
      <c r="AO396" s="4">
        <f>IFERROR(__xludf.DUMMYFUNCTION("""COMPUTED_VALUE"""),-3.0085744222456583)</f>
        <v>-3.008574422</v>
      </c>
      <c r="AP396" s="4"/>
      <c r="AQ396" s="4"/>
      <c r="AR396" s="4">
        <f>IFERROR(__xludf.DUMMYFUNCTION("""COMPUTED_VALUE"""),3.694289719907715)</f>
        <v>3.69428972</v>
      </c>
      <c r="AS396" s="4"/>
      <c r="AT396" s="4"/>
      <c r="AU396" s="4">
        <f>IFERROR(__xludf.DUMMYFUNCTION("""COMPUTED_VALUE"""),3.968563149367185)</f>
        <v>3.968563149</v>
      </c>
      <c r="AV396" s="4"/>
      <c r="AW396" s="4"/>
      <c r="AX396" s="4">
        <f>IFERROR(__xludf.DUMMYFUNCTION("""COMPUTED_VALUE"""),1.3091574030060542)</f>
        <v>1.309157403</v>
      </c>
      <c r="AY396" s="4"/>
      <c r="AZ396" s="4"/>
      <c r="BA396" s="4">
        <f>IFERROR(__xludf.DUMMYFUNCTION("""COMPUTED_VALUE"""),2.0890319205755077)</f>
        <v>2.089031921</v>
      </c>
      <c r="BB396" s="4"/>
      <c r="BC396" s="4"/>
      <c r="BD396" s="4">
        <f>IFERROR(__xludf.DUMMYFUNCTION("""COMPUTED_VALUE"""),3.167232759093622)</f>
        <v>3.167232759</v>
      </c>
      <c r="BE396" s="4"/>
      <c r="BF396" s="4"/>
      <c r="BG396" s="4">
        <f>IFERROR(__xludf.DUMMYFUNCTION("""COMPUTED_VALUE"""),4.363839361253099)</f>
        <v>4.363839361</v>
      </c>
      <c r="BH396" s="4"/>
      <c r="BI396" s="4"/>
      <c r="BJ396" s="4"/>
      <c r="BK396" s="4"/>
    </row>
    <row r="397">
      <c r="A397" s="4"/>
      <c r="B397" s="4"/>
      <c r="C397" s="4"/>
      <c r="D397" s="4">
        <f>IFERROR(__xludf.DUMMYFUNCTION("""COMPUTED_VALUE"""),-151.518861800877)</f>
        <v>-151.5188618</v>
      </c>
      <c r="E397" s="23">
        <f>IFERROR(__xludf.DUMMYFUNCTION("""COMPUTED_VALUE"""),1.3860308571464657)</f>
        <v>1.386030857</v>
      </c>
      <c r="F397" s="4"/>
      <c r="G397" s="4"/>
      <c r="H397" s="4">
        <f>IFERROR(__xludf.DUMMYFUNCTION("""COMPUTED_VALUE"""),3.079174233113804)</f>
        <v>3.079174233</v>
      </c>
      <c r="I397" s="4"/>
      <c r="J397" s="4"/>
      <c r="K397" s="4">
        <f>IFERROR(__xludf.DUMMYFUNCTION("""COMPUTED_VALUE"""),-2.4895351924166675)</f>
        <v>-2.489535192</v>
      </c>
      <c r="L397" s="4"/>
      <c r="M397" s="4"/>
      <c r="N397" s="4">
        <f>IFERROR(__xludf.DUMMYFUNCTION("""COMPUTED_VALUE"""),0.288395658212778)</f>
        <v>0.2883956582</v>
      </c>
      <c r="O397" s="4"/>
      <c r="P397" s="4"/>
      <c r="Q397" s="4">
        <f>IFERROR(__xludf.DUMMYFUNCTION("""COMPUTED_VALUE"""),-5.582634112876292)</f>
        <v>-5.582634113</v>
      </c>
      <c r="R397" s="4"/>
      <c r="S397" s="4"/>
      <c r="T397" s="4">
        <f>IFERROR(__xludf.DUMMYFUNCTION("""COMPUTED_VALUE"""),0.9005622270920526)</f>
        <v>0.9005622271</v>
      </c>
      <c r="U397" s="4"/>
      <c r="V397" s="4"/>
      <c r="W397" s="4">
        <f>IFERROR(__xludf.DUMMYFUNCTION("""COMPUTED_VALUE"""),-3.3785178773617304)</f>
        <v>-3.378517877</v>
      </c>
      <c r="X397" s="4"/>
      <c r="Y397" s="4"/>
      <c r="Z397" s="4">
        <f>IFERROR(__xludf.DUMMYFUNCTION("""COMPUTED_VALUE"""),3.135478098639453)</f>
        <v>3.135478099</v>
      </c>
      <c r="AA397" s="4"/>
      <c r="AB397" s="4"/>
      <c r="AC397" s="4">
        <f>IFERROR(__xludf.DUMMYFUNCTION("""COMPUTED_VALUE"""),-1.2603259654062526)</f>
        <v>-1.260325965</v>
      </c>
      <c r="AD397" s="4"/>
      <c r="AE397" s="4"/>
      <c r="AF397" s="4">
        <f>IFERROR(__xludf.DUMMYFUNCTION("""COMPUTED_VALUE"""),0.3564041906352031)</f>
        <v>0.3564041906</v>
      </c>
      <c r="AG397" s="4"/>
      <c r="AH397" s="4"/>
      <c r="AI397" s="4">
        <f>IFERROR(__xludf.DUMMYFUNCTION("""COMPUTED_VALUE"""),2.6856273962370665)</f>
        <v>2.685627396</v>
      </c>
      <c r="AJ397" s="4"/>
      <c r="AK397" s="4"/>
      <c r="AL397" s="4">
        <f>IFERROR(__xludf.DUMMYFUNCTION("""COMPUTED_VALUE"""),-0.40436023406749655)</f>
        <v>-0.4043602341</v>
      </c>
      <c r="AM397" s="4"/>
      <c r="AN397" s="4"/>
      <c r="AO397" s="4">
        <f>IFERROR(__xludf.DUMMYFUNCTION("""COMPUTED_VALUE"""),-3.0168905133375006)</f>
        <v>-3.016890513</v>
      </c>
      <c r="AP397" s="4"/>
      <c r="AQ397" s="4"/>
      <c r="AR397" s="4">
        <f>IFERROR(__xludf.DUMMYFUNCTION("""COMPUTED_VALUE"""),-1.5647994492371708)</f>
        <v>-1.564799449</v>
      </c>
      <c r="AS397" s="4"/>
      <c r="AT397" s="4"/>
      <c r="AU397" s="4">
        <f>IFERROR(__xludf.DUMMYFUNCTION("""COMPUTED_VALUE"""),-0.8341624165271355)</f>
        <v>-0.8341624165</v>
      </c>
      <c r="AV397" s="4"/>
      <c r="AW397" s="4"/>
      <c r="AX397" s="4">
        <f>IFERROR(__xludf.DUMMYFUNCTION("""COMPUTED_VALUE"""),-2.345221518004223)</f>
        <v>-2.345221518</v>
      </c>
      <c r="AY397" s="4"/>
      <c r="AZ397" s="4"/>
      <c r="BA397" s="4">
        <f>IFERROR(__xludf.DUMMYFUNCTION("""COMPUTED_VALUE"""),-6.832306693045098)</f>
        <v>-6.832306693</v>
      </c>
      <c r="BB397" s="4"/>
      <c r="BC397" s="4"/>
      <c r="BD397" s="4">
        <f>IFERROR(__xludf.DUMMYFUNCTION("""COMPUTED_VALUE"""),0.8538805188590004)</f>
        <v>0.8538805189</v>
      </c>
      <c r="BE397" s="4"/>
      <c r="BF397" s="4"/>
      <c r="BG397" s="4">
        <f>IFERROR(__xludf.DUMMYFUNCTION("""COMPUTED_VALUE"""),0.9709065029750832)</f>
        <v>0.970906503</v>
      </c>
      <c r="BH397" s="4"/>
      <c r="BI397" s="4"/>
      <c r="BJ397" s="4"/>
      <c r="BK397" s="4"/>
    </row>
    <row r="398">
      <c r="A398" s="4"/>
      <c r="B398" s="4"/>
      <c r="C398" s="4"/>
      <c r="D398" s="4">
        <f>IFERROR(__xludf.DUMMYFUNCTION("""COMPUTED_VALUE"""),-152.43715793367707)</f>
        <v>-152.4371579</v>
      </c>
      <c r="E398" s="23">
        <f>IFERROR(__xludf.DUMMYFUNCTION("""COMPUTED_VALUE"""),-3.1755392363443775)</f>
        <v>-3.175539236</v>
      </c>
      <c r="F398" s="4"/>
      <c r="G398" s="4"/>
      <c r="H398" s="4">
        <f>IFERROR(__xludf.DUMMYFUNCTION("""COMPUTED_VALUE"""),1.6827084205256142)</f>
        <v>1.682708421</v>
      </c>
      <c r="I398" s="4"/>
      <c r="J398" s="4"/>
      <c r="K398" s="4">
        <f>IFERROR(__xludf.DUMMYFUNCTION("""COMPUTED_VALUE"""),0.8794591978092399)</f>
        <v>0.8794591978</v>
      </c>
      <c r="L398" s="4"/>
      <c r="M398" s="4"/>
      <c r="N398" s="4">
        <f>IFERROR(__xludf.DUMMYFUNCTION("""COMPUTED_VALUE"""),-0.7626701412269199)</f>
        <v>-0.7626701412</v>
      </c>
      <c r="O398" s="4"/>
      <c r="P398" s="4"/>
      <c r="Q398" s="4">
        <f>IFERROR(__xludf.DUMMYFUNCTION("""COMPUTED_VALUE"""),-2.061267303326872)</f>
        <v>-2.061267303</v>
      </c>
      <c r="R398" s="4"/>
      <c r="S398" s="4"/>
      <c r="T398" s="4">
        <f>IFERROR(__xludf.DUMMYFUNCTION("""COMPUTED_VALUE"""),-1.4078130829539646)</f>
        <v>-1.407813083</v>
      </c>
      <c r="U398" s="4"/>
      <c r="V398" s="4"/>
      <c r="W398" s="4">
        <f>IFERROR(__xludf.DUMMYFUNCTION("""COMPUTED_VALUE"""),-8.399587260819658)</f>
        <v>-8.399587261</v>
      </c>
      <c r="X398" s="4"/>
      <c r="Y398" s="4"/>
      <c r="Z398" s="4">
        <f>IFERROR(__xludf.DUMMYFUNCTION("""COMPUTED_VALUE"""),0.04833862892979823)</f>
        <v>0.04833862893</v>
      </c>
      <c r="AA398" s="4"/>
      <c r="AB398" s="4"/>
      <c r="AC398" s="4">
        <f>IFERROR(__xludf.DUMMYFUNCTION("""COMPUTED_VALUE"""),0.38374889350910735)</f>
        <v>0.3837488935</v>
      </c>
      <c r="AD398" s="4"/>
      <c r="AE398" s="4"/>
      <c r="AF398" s="4">
        <f>IFERROR(__xludf.DUMMYFUNCTION("""COMPUTED_VALUE"""),0.32800368267720614)</f>
        <v>0.3280036827</v>
      </c>
      <c r="AG398" s="4"/>
      <c r="AH398" s="4"/>
      <c r="AI398" s="4">
        <f>IFERROR(__xludf.DUMMYFUNCTION("""COMPUTED_VALUE"""),0.6654478900209142)</f>
        <v>0.66544789</v>
      </c>
      <c r="AJ398" s="4"/>
      <c r="AK398" s="4"/>
      <c r="AL398" s="4">
        <f>IFERROR(__xludf.DUMMYFUNCTION("""COMPUTED_VALUE"""),-2.2154394614745456)</f>
        <v>-2.215439461</v>
      </c>
      <c r="AM398" s="4"/>
      <c r="AN398" s="4"/>
      <c r="AO398" s="4">
        <f>IFERROR(__xludf.DUMMYFUNCTION("""COMPUTED_VALUE"""),0.01029351692761793)</f>
        <v>0.01029351693</v>
      </c>
      <c r="AP398" s="4"/>
      <c r="AQ398" s="4"/>
      <c r="AR398" s="4">
        <f>IFERROR(__xludf.DUMMYFUNCTION("""COMPUTED_VALUE"""),5.397302403288904)</f>
        <v>5.397302403</v>
      </c>
      <c r="AS398" s="4"/>
      <c r="AT398" s="4"/>
      <c r="AU398" s="4">
        <f>IFERROR(__xludf.DUMMYFUNCTION("""COMPUTED_VALUE"""),-0.12824019504517992)</f>
        <v>-0.128240195</v>
      </c>
      <c r="AV398" s="4"/>
      <c r="AW398" s="4"/>
      <c r="AX398" s="4">
        <f>IFERROR(__xludf.DUMMYFUNCTION("""COMPUTED_VALUE"""),6.096898326149585)</f>
        <v>6.096898326</v>
      </c>
      <c r="AY398" s="4"/>
      <c r="AZ398" s="4"/>
      <c r="BA398" s="4">
        <f>IFERROR(__xludf.DUMMYFUNCTION("""COMPUTED_VALUE"""),2.5698659913613255)</f>
        <v>2.569865991</v>
      </c>
      <c r="BB398" s="4"/>
      <c r="BC398" s="4"/>
      <c r="BD398" s="4">
        <f>IFERROR(__xludf.DUMMYFUNCTION("""COMPUTED_VALUE"""),-0.8850822518393784)</f>
        <v>-0.8850822518</v>
      </c>
      <c r="BE398" s="4"/>
      <c r="BF398" s="4"/>
      <c r="BG398" s="4">
        <f>IFERROR(__xludf.DUMMYFUNCTION("""COMPUTED_VALUE"""),1.557242901041036)</f>
        <v>1.557242901</v>
      </c>
      <c r="BH398" s="4"/>
      <c r="BI398" s="4"/>
      <c r="BJ398" s="4"/>
      <c r="BK398" s="4"/>
    </row>
    <row r="399">
      <c r="A399" s="4"/>
      <c r="B399" s="4"/>
      <c r="C399" s="4"/>
      <c r="D399" s="4">
        <f>IFERROR(__xludf.DUMMYFUNCTION("""COMPUTED_VALUE"""),-153.35545406647717)</f>
        <v>-153.3554541</v>
      </c>
      <c r="E399" s="23">
        <f>IFERROR(__xludf.DUMMYFUNCTION("""COMPUTED_VALUE"""),-6.641555519792973)</f>
        <v>-6.64155552</v>
      </c>
      <c r="F399" s="4"/>
      <c r="G399" s="4"/>
      <c r="H399" s="4">
        <f>IFERROR(__xludf.DUMMYFUNCTION("""COMPUTED_VALUE"""),2.9347257786043315)</f>
        <v>2.934725779</v>
      </c>
      <c r="I399" s="4"/>
      <c r="J399" s="4"/>
      <c r="K399" s="4">
        <f>IFERROR(__xludf.DUMMYFUNCTION("""COMPUTED_VALUE"""),0.2989140623060962)</f>
        <v>0.2989140623</v>
      </c>
      <c r="L399" s="4"/>
      <c r="M399" s="4"/>
      <c r="N399" s="4">
        <f>IFERROR(__xludf.DUMMYFUNCTION("""COMPUTED_VALUE"""),2.9699621327831665)</f>
        <v>2.969962133</v>
      </c>
      <c r="O399" s="4"/>
      <c r="P399" s="4"/>
      <c r="Q399" s="4">
        <f>IFERROR(__xludf.DUMMYFUNCTION("""COMPUTED_VALUE"""),0.6898208007679045)</f>
        <v>0.6898208008</v>
      </c>
      <c r="R399" s="4"/>
      <c r="S399" s="4"/>
      <c r="T399" s="4">
        <f>IFERROR(__xludf.DUMMYFUNCTION("""COMPUTED_VALUE"""),0.9468879722434735)</f>
        <v>0.9468879722</v>
      </c>
      <c r="U399" s="4"/>
      <c r="V399" s="4"/>
      <c r="W399" s="4">
        <f>IFERROR(__xludf.DUMMYFUNCTION("""COMPUTED_VALUE"""),2.1191956248759425)</f>
        <v>2.119195625</v>
      </c>
      <c r="X399" s="4"/>
      <c r="Y399" s="4"/>
      <c r="Z399" s="4">
        <f>IFERROR(__xludf.DUMMYFUNCTION("""COMPUTED_VALUE"""),0.5540450420675711)</f>
        <v>0.5540450421</v>
      </c>
      <c r="AA399" s="4"/>
      <c r="AB399" s="4"/>
      <c r="AC399" s="4">
        <f>IFERROR(__xludf.DUMMYFUNCTION("""COMPUTED_VALUE"""),-0.3936627122082541)</f>
        <v>-0.3936627122</v>
      </c>
      <c r="AD399" s="4"/>
      <c r="AE399" s="4"/>
      <c r="AF399" s="4">
        <f>IFERROR(__xludf.DUMMYFUNCTION("""COMPUTED_VALUE"""),-0.13555927259369582)</f>
        <v>-0.1355592726</v>
      </c>
      <c r="AG399" s="4"/>
      <c r="AH399" s="4"/>
      <c r="AI399" s="4">
        <f>IFERROR(__xludf.DUMMYFUNCTION("""COMPUTED_VALUE"""),4.42972073803503)</f>
        <v>4.429720738</v>
      </c>
      <c r="AJ399" s="4"/>
      <c r="AK399" s="4"/>
      <c r="AL399" s="4">
        <f>IFERROR(__xludf.DUMMYFUNCTION("""COMPUTED_VALUE"""),0.5227407268921525)</f>
        <v>0.5227407269</v>
      </c>
      <c r="AM399" s="4"/>
      <c r="AN399" s="4"/>
      <c r="AO399" s="4">
        <f>IFERROR(__xludf.DUMMYFUNCTION("""COMPUTED_VALUE"""),0.8048383348824473)</f>
        <v>0.8048383349</v>
      </c>
      <c r="AP399" s="4"/>
      <c r="AQ399" s="4"/>
      <c r="AR399" s="4">
        <f>IFERROR(__xludf.DUMMYFUNCTION("""COMPUTED_VALUE"""),3.235039659435415)</f>
        <v>3.235039659</v>
      </c>
      <c r="AS399" s="4"/>
      <c r="AT399" s="4"/>
      <c r="AU399" s="4">
        <f>IFERROR(__xludf.DUMMYFUNCTION("""COMPUTED_VALUE"""),4.842077445292716)</f>
        <v>4.842077445</v>
      </c>
      <c r="AV399" s="4"/>
      <c r="AW399" s="4"/>
      <c r="AX399" s="4">
        <f>IFERROR(__xludf.DUMMYFUNCTION("""COMPUTED_VALUE"""),3.942296434272521)</f>
        <v>3.942296434</v>
      </c>
      <c r="AY399" s="4"/>
      <c r="AZ399" s="4"/>
      <c r="BA399" s="4">
        <f>IFERROR(__xludf.DUMMYFUNCTION("""COMPUTED_VALUE"""),4.194924582089413)</f>
        <v>4.194924582</v>
      </c>
      <c r="BB399" s="4"/>
      <c r="BC399" s="4"/>
      <c r="BD399" s="4">
        <f>IFERROR(__xludf.DUMMYFUNCTION("""COMPUTED_VALUE"""),-2.4324263954403023)</f>
        <v>-2.432426395</v>
      </c>
      <c r="BE399" s="4"/>
      <c r="BF399" s="4"/>
      <c r="BG399" s="4">
        <f>IFERROR(__xludf.DUMMYFUNCTION("""COMPUTED_VALUE"""),4.206807710722785)</f>
        <v>4.206807711</v>
      </c>
      <c r="BH399" s="4"/>
      <c r="BI399" s="4"/>
      <c r="BJ399" s="4"/>
      <c r="BK399" s="4"/>
    </row>
    <row r="400">
      <c r="A400" s="4"/>
      <c r="B400" s="4"/>
      <c r="C400" s="4"/>
      <c r="D400" s="4">
        <f>IFERROR(__xludf.DUMMYFUNCTION("""COMPUTED_VALUE"""),-154.27375019711195)</f>
        <v>-154.2737502</v>
      </c>
      <c r="E400" s="23">
        <f>IFERROR(__xludf.DUMMYFUNCTION("""COMPUTED_VALUE"""),-0.5981719882707353)</f>
        <v>-0.5981719883</v>
      </c>
      <c r="F400" s="4"/>
      <c r="G400" s="4"/>
      <c r="H400" s="4">
        <f>IFERROR(__xludf.DUMMYFUNCTION("""COMPUTED_VALUE"""),4.315935146637003)</f>
        <v>4.315935147</v>
      </c>
      <c r="I400" s="4"/>
      <c r="J400" s="4"/>
      <c r="K400" s="4">
        <f>IFERROR(__xludf.DUMMYFUNCTION("""COMPUTED_VALUE"""),1.787843015517069)</f>
        <v>1.787843016</v>
      </c>
      <c r="L400" s="4"/>
      <c r="M400" s="4"/>
      <c r="N400" s="4">
        <f>IFERROR(__xludf.DUMMYFUNCTION("""COMPUTED_VALUE"""),2.2935198329017226)</f>
        <v>2.293519833</v>
      </c>
      <c r="O400" s="4"/>
      <c r="P400" s="4"/>
      <c r="Q400" s="4">
        <f>IFERROR(__xludf.DUMMYFUNCTION("""COMPUTED_VALUE"""),-3.808686426086581)</f>
        <v>-3.808686426</v>
      </c>
      <c r="R400" s="4"/>
      <c r="S400" s="4"/>
      <c r="T400" s="4">
        <f>IFERROR(__xludf.DUMMYFUNCTION("""COMPUTED_VALUE"""),1.2306550150875637)</f>
        <v>1.230655015</v>
      </c>
      <c r="U400" s="4"/>
      <c r="V400" s="4"/>
      <c r="W400" s="4">
        <f>IFERROR(__xludf.DUMMYFUNCTION("""COMPUTED_VALUE"""),-6.554135296147706)</f>
        <v>-6.554135296</v>
      </c>
      <c r="X400" s="4"/>
      <c r="Y400" s="4"/>
      <c r="Z400" s="4">
        <f>IFERROR(__xludf.DUMMYFUNCTION("""COMPUTED_VALUE"""),-1.7481515995090149)</f>
        <v>-1.7481516</v>
      </c>
      <c r="AA400" s="4"/>
      <c r="AB400" s="4"/>
      <c r="AC400" s="4">
        <f>IFERROR(__xludf.DUMMYFUNCTION("""COMPUTED_VALUE"""),6.145535824583817)</f>
        <v>6.145535825</v>
      </c>
      <c r="AD400" s="4"/>
      <c r="AE400" s="4"/>
      <c r="AF400" s="4">
        <f>IFERROR(__xludf.DUMMYFUNCTION("""COMPUTED_VALUE"""),0.3720212930358002)</f>
        <v>0.372021293</v>
      </c>
      <c r="AG400" s="4"/>
      <c r="AH400" s="4"/>
      <c r="AI400" s="4">
        <f>IFERROR(__xludf.DUMMYFUNCTION("""COMPUTED_VALUE"""),-2.245433907747554)</f>
        <v>-2.245433908</v>
      </c>
      <c r="AJ400" s="4"/>
      <c r="AK400" s="4"/>
      <c r="AL400" s="4">
        <f>IFERROR(__xludf.DUMMYFUNCTION("""COMPUTED_VALUE"""),0.4581859699077313)</f>
        <v>0.4581859699</v>
      </c>
      <c r="AM400" s="4"/>
      <c r="AN400" s="4"/>
      <c r="AO400" s="4">
        <f>IFERROR(__xludf.DUMMYFUNCTION("""COMPUTED_VALUE"""),-4.940460887809536)</f>
        <v>-4.940460888</v>
      </c>
      <c r="AP400" s="4"/>
      <c r="AQ400" s="4"/>
      <c r="AR400" s="4">
        <f>IFERROR(__xludf.DUMMYFUNCTION("""COMPUTED_VALUE"""),1.6918068423321984)</f>
        <v>1.691806842</v>
      </c>
      <c r="AS400" s="4"/>
      <c r="AT400" s="4"/>
      <c r="AU400" s="4">
        <f>IFERROR(__xludf.DUMMYFUNCTION("""COMPUTED_VALUE"""),-3.1202267470588936)</f>
        <v>-3.120226747</v>
      </c>
      <c r="AV400" s="4"/>
      <c r="AW400" s="4"/>
      <c r="AX400" s="4">
        <f>IFERROR(__xludf.DUMMYFUNCTION("""COMPUTED_VALUE"""),1.466140874683333)</f>
        <v>1.466140875</v>
      </c>
      <c r="AY400" s="4"/>
      <c r="AZ400" s="4"/>
      <c r="BA400" s="4">
        <f>IFERROR(__xludf.DUMMYFUNCTION("""COMPUTED_VALUE"""),-1.3233679249967736)</f>
        <v>-1.323367925</v>
      </c>
      <c r="BB400" s="4"/>
      <c r="BC400" s="4"/>
      <c r="BD400" s="4">
        <f>IFERROR(__xludf.DUMMYFUNCTION("""COMPUTED_VALUE"""),3.7615757084305415)</f>
        <v>3.761575708</v>
      </c>
      <c r="BE400" s="4"/>
      <c r="BF400" s="4"/>
      <c r="BG400" s="4">
        <f>IFERROR(__xludf.DUMMYFUNCTION("""COMPUTED_VALUE"""),2.5623215788060065)</f>
        <v>2.562321579</v>
      </c>
      <c r="BH400" s="4"/>
      <c r="BI400" s="4"/>
      <c r="BJ400" s="4"/>
      <c r="BK400" s="4"/>
    </row>
    <row r="401">
      <c r="A401" s="4"/>
      <c r="B401" s="4"/>
      <c r="C401" s="4"/>
      <c r="D401" s="4">
        <f>IFERROR(__xludf.DUMMYFUNCTION("""COMPUTED_VALUE"""),-155.19204632991202)</f>
        <v>-155.1920463</v>
      </c>
      <c r="E401" s="23">
        <f>IFERROR(__xludf.DUMMYFUNCTION("""COMPUTED_VALUE"""),-3.7311980500444406)</f>
        <v>-3.73119805</v>
      </c>
      <c r="F401" s="4"/>
      <c r="G401" s="4"/>
      <c r="H401" s="4">
        <f>IFERROR(__xludf.DUMMYFUNCTION("""COMPUTED_VALUE"""),2.3248457039309187)</f>
        <v>2.324845704</v>
      </c>
      <c r="I401" s="4"/>
      <c r="J401" s="4"/>
      <c r="K401" s="4">
        <f>IFERROR(__xludf.DUMMYFUNCTION("""COMPUTED_VALUE"""),-0.330681787708329)</f>
        <v>-0.3306817877</v>
      </c>
      <c r="L401" s="4"/>
      <c r="M401" s="4"/>
      <c r="N401" s="4">
        <f>IFERROR(__xludf.DUMMYFUNCTION("""COMPUTED_VALUE"""),-0.05211836346131804)</f>
        <v>-0.05211836346</v>
      </c>
      <c r="O401" s="4"/>
      <c r="P401" s="4"/>
      <c r="Q401" s="4">
        <f>IFERROR(__xludf.DUMMYFUNCTION("""COMPUTED_VALUE"""),0.21140400469937504)</f>
        <v>0.2114040047</v>
      </c>
      <c r="R401" s="4"/>
      <c r="S401" s="4"/>
      <c r="T401" s="4">
        <f>IFERROR(__xludf.DUMMYFUNCTION("""COMPUTED_VALUE"""),3.793722713214038)</f>
        <v>3.793722713</v>
      </c>
      <c r="U401" s="4"/>
      <c r="V401" s="4"/>
      <c r="W401" s="4">
        <f>IFERROR(__xludf.DUMMYFUNCTION("""COMPUTED_VALUE"""),-4.371275792835036)</f>
        <v>-4.371275793</v>
      </c>
      <c r="X401" s="4"/>
      <c r="Y401" s="4"/>
      <c r="Z401" s="4">
        <f>IFERROR(__xludf.DUMMYFUNCTION("""COMPUTED_VALUE"""),-0.768105177248458)</f>
        <v>-0.7681051772</v>
      </c>
      <c r="AA401" s="4"/>
      <c r="AB401" s="4"/>
      <c r="AC401" s="4">
        <f>IFERROR(__xludf.DUMMYFUNCTION("""COMPUTED_VALUE"""),5.108922310649348)</f>
        <v>5.108922311</v>
      </c>
      <c r="AD401" s="4"/>
      <c r="AE401" s="4"/>
      <c r="AF401" s="4">
        <f>IFERROR(__xludf.DUMMYFUNCTION("""COMPUTED_VALUE"""),-1.795242799829225)</f>
        <v>-1.7952428</v>
      </c>
      <c r="AG401" s="4"/>
      <c r="AH401" s="4"/>
      <c r="AI401" s="4">
        <f>IFERROR(__xludf.DUMMYFUNCTION("""COMPUTED_VALUE"""),0.43404513053064875)</f>
        <v>0.4340451305</v>
      </c>
      <c r="AJ401" s="4"/>
      <c r="AK401" s="4"/>
      <c r="AL401" s="4">
        <f>IFERROR(__xludf.DUMMYFUNCTION("""COMPUTED_VALUE"""),-2.166325447830957)</f>
        <v>-2.166325448</v>
      </c>
      <c r="AM401" s="4"/>
      <c r="AN401" s="4"/>
      <c r="AO401" s="4">
        <f>IFERROR(__xludf.DUMMYFUNCTION("""COMPUTED_VALUE"""),2.712076283162844)</f>
        <v>2.712076283</v>
      </c>
      <c r="AP401" s="4"/>
      <c r="AQ401" s="4"/>
      <c r="AR401" s="4">
        <f>IFERROR(__xludf.DUMMYFUNCTION("""COMPUTED_VALUE"""),5.874140219760363)</f>
        <v>5.87414022</v>
      </c>
      <c r="AS401" s="4"/>
      <c r="AT401" s="4"/>
      <c r="AU401" s="4">
        <f>IFERROR(__xludf.DUMMYFUNCTION("""COMPUTED_VALUE"""),-1.1025638558044761)</f>
        <v>-1.102563856</v>
      </c>
      <c r="AV401" s="4"/>
      <c r="AW401" s="4"/>
      <c r="AX401" s="4">
        <f>IFERROR(__xludf.DUMMYFUNCTION("""COMPUTED_VALUE"""),0.5261283075051892)</f>
        <v>0.5261283075</v>
      </c>
      <c r="AY401" s="4"/>
      <c r="AZ401" s="4"/>
      <c r="BA401" s="4">
        <f>IFERROR(__xludf.DUMMYFUNCTION("""COMPUTED_VALUE"""),-4.190367549631048)</f>
        <v>-4.19036755</v>
      </c>
      <c r="BB401" s="4"/>
      <c r="BC401" s="4"/>
      <c r="BD401" s="4">
        <f>IFERROR(__xludf.DUMMYFUNCTION("""COMPUTED_VALUE"""),4.113164072179302)</f>
        <v>4.113164072</v>
      </c>
      <c r="BE401" s="4"/>
      <c r="BF401" s="4"/>
      <c r="BG401" s="4">
        <f>IFERROR(__xludf.DUMMYFUNCTION("""COMPUTED_VALUE"""),-0.19559531015733)</f>
        <v>-0.1955953102</v>
      </c>
      <c r="BH401" s="4"/>
      <c r="BI401" s="4"/>
      <c r="BJ401" s="4"/>
      <c r="BK401" s="4"/>
    </row>
    <row r="402">
      <c r="A402" s="4"/>
      <c r="B402" s="4"/>
      <c r="C402" s="4"/>
      <c r="D402" s="4">
        <f>IFERROR(__xludf.DUMMYFUNCTION("""COMPUTED_VALUE"""),-156.11034246266172)</f>
        <v>-156.1103425</v>
      </c>
      <c r="E402" s="23">
        <f>IFERROR(__xludf.DUMMYFUNCTION("""COMPUTED_VALUE"""),1.575154230420253)</f>
        <v>1.57515423</v>
      </c>
      <c r="F402" s="4"/>
      <c r="G402" s="4"/>
      <c r="H402" s="4">
        <f>IFERROR(__xludf.DUMMYFUNCTION("""COMPUTED_VALUE"""),-1.6240483750188446)</f>
        <v>-1.624048375</v>
      </c>
      <c r="I402" s="4"/>
      <c r="J402" s="4"/>
      <c r="K402" s="4">
        <f>IFERROR(__xludf.DUMMYFUNCTION("""COMPUTED_VALUE"""),-2.0403423042761233)</f>
        <v>-2.040342304</v>
      </c>
      <c r="L402" s="4"/>
      <c r="M402" s="4"/>
      <c r="N402" s="4">
        <f>IFERROR(__xludf.DUMMYFUNCTION("""COMPUTED_VALUE"""),-2.303704007116437)</f>
        <v>-2.303704007</v>
      </c>
      <c r="O402" s="4"/>
      <c r="P402" s="4"/>
      <c r="Q402" s="4">
        <f>IFERROR(__xludf.DUMMYFUNCTION("""COMPUTED_VALUE"""),4.4318962867679375)</f>
        <v>4.431896287</v>
      </c>
      <c r="R402" s="4"/>
      <c r="S402" s="4"/>
      <c r="T402" s="4">
        <f>IFERROR(__xludf.DUMMYFUNCTION("""COMPUTED_VALUE"""),0.9391871596035344)</f>
        <v>0.9391871596</v>
      </c>
      <c r="U402" s="4"/>
      <c r="V402" s="4"/>
      <c r="W402" s="4">
        <f>IFERROR(__xludf.DUMMYFUNCTION("""COMPUTED_VALUE"""),-3.3276126072981924)</f>
        <v>-3.327612607</v>
      </c>
      <c r="X402" s="4"/>
      <c r="Y402" s="4"/>
      <c r="Z402" s="4">
        <f>IFERROR(__xludf.DUMMYFUNCTION("""COMPUTED_VALUE"""),-1.4980315384202072)</f>
        <v>-1.498031538</v>
      </c>
      <c r="AA402" s="4"/>
      <c r="AB402" s="4"/>
      <c r="AC402" s="4">
        <f>IFERROR(__xludf.DUMMYFUNCTION("""COMPUTED_VALUE"""),2.5469282884923246)</f>
        <v>2.546928288</v>
      </c>
      <c r="AD402" s="4"/>
      <c r="AE402" s="4"/>
      <c r="AF402" s="4">
        <f>IFERROR(__xludf.DUMMYFUNCTION("""COMPUTED_VALUE"""),-0.22490451195773176)</f>
        <v>-0.224904512</v>
      </c>
      <c r="AG402" s="4"/>
      <c r="AH402" s="4"/>
      <c r="AI402" s="4">
        <f>IFERROR(__xludf.DUMMYFUNCTION("""COMPUTED_VALUE"""),1.8803210790157436)</f>
        <v>1.880321079</v>
      </c>
      <c r="AJ402" s="4"/>
      <c r="AK402" s="4"/>
      <c r="AL402" s="4">
        <f>IFERROR(__xludf.DUMMYFUNCTION("""COMPUTED_VALUE"""),-0.9623594950168126)</f>
        <v>-0.962359495</v>
      </c>
      <c r="AM402" s="4"/>
      <c r="AN402" s="4"/>
      <c r="AO402" s="4">
        <f>IFERROR(__xludf.DUMMYFUNCTION("""COMPUTED_VALUE"""),1.7429685789562086)</f>
        <v>1.742968579</v>
      </c>
      <c r="AP402" s="4"/>
      <c r="AQ402" s="4"/>
      <c r="AR402" s="4">
        <f>IFERROR(__xludf.DUMMYFUNCTION("""COMPUTED_VALUE"""),1.4248438713124756)</f>
        <v>1.424843871</v>
      </c>
      <c r="AS402" s="4"/>
      <c r="AT402" s="4"/>
      <c r="AU402" s="4">
        <f>IFERROR(__xludf.DUMMYFUNCTION("""COMPUTED_VALUE"""),-2.076381309646308)</f>
        <v>-2.07638131</v>
      </c>
      <c r="AV402" s="4"/>
      <c r="AW402" s="4"/>
      <c r="AX402" s="4">
        <f>IFERROR(__xludf.DUMMYFUNCTION("""COMPUTED_VALUE"""),4.6295329685854085)</f>
        <v>4.629532969</v>
      </c>
      <c r="AY402" s="4"/>
      <c r="AZ402" s="4"/>
      <c r="BA402" s="4">
        <f>IFERROR(__xludf.DUMMYFUNCTION("""COMPUTED_VALUE"""),0.18897888869213375)</f>
        <v>0.1889788887</v>
      </c>
      <c r="BB402" s="4"/>
      <c r="BC402" s="4"/>
      <c r="BD402" s="4">
        <f>IFERROR(__xludf.DUMMYFUNCTION("""COMPUTED_VALUE"""),3.579986234785963)</f>
        <v>3.579986235</v>
      </c>
      <c r="BE402" s="4"/>
      <c r="BF402" s="4"/>
      <c r="BG402" s="4">
        <f>IFERROR(__xludf.DUMMYFUNCTION("""COMPUTED_VALUE"""),-2.1132661018490353)</f>
        <v>-2.113266102</v>
      </c>
      <c r="BH402" s="4"/>
      <c r="BI402" s="4"/>
      <c r="BJ402" s="4"/>
      <c r="BK402" s="4"/>
    </row>
    <row r="403">
      <c r="A403" s="4"/>
      <c r="B403" s="4"/>
      <c r="C403" s="4"/>
      <c r="D403" s="4">
        <f>IFERROR(__xludf.DUMMYFUNCTION("""COMPUTED_VALUE"""),-157.0286385954618)</f>
        <v>-157.0286386</v>
      </c>
      <c r="E403" s="23">
        <f>IFERROR(__xludf.DUMMYFUNCTION("""COMPUTED_VALUE"""),6.283430986443079)</f>
        <v>6.283430986</v>
      </c>
      <c r="F403" s="4"/>
      <c r="G403" s="4"/>
      <c r="H403" s="4">
        <f>IFERROR(__xludf.DUMMYFUNCTION("""COMPUTED_VALUE"""),-1.1832025806214688)</f>
        <v>-1.183202581</v>
      </c>
      <c r="I403" s="4"/>
      <c r="J403" s="4"/>
      <c r="K403" s="4">
        <f>IFERROR(__xludf.DUMMYFUNCTION("""COMPUTED_VALUE"""),-0.059738557298089745)</f>
        <v>-0.0597385573</v>
      </c>
      <c r="L403" s="4"/>
      <c r="M403" s="4"/>
      <c r="N403" s="4">
        <f>IFERROR(__xludf.DUMMYFUNCTION("""COMPUTED_VALUE"""),-0.42240258471622383)</f>
        <v>-0.4224025847</v>
      </c>
      <c r="O403" s="4"/>
      <c r="P403" s="4"/>
      <c r="Q403" s="4">
        <f>IFERROR(__xludf.DUMMYFUNCTION("""COMPUTED_VALUE"""),0.07993240666030488)</f>
        <v>0.07993240666</v>
      </c>
      <c r="R403" s="4"/>
      <c r="S403" s="4"/>
      <c r="T403" s="4">
        <f>IFERROR(__xludf.DUMMYFUNCTION("""COMPUTED_VALUE"""),-1.746954674579115)</f>
        <v>-1.746954675</v>
      </c>
      <c r="U403" s="4"/>
      <c r="V403" s="4"/>
      <c r="W403" s="4">
        <f>IFERROR(__xludf.DUMMYFUNCTION("""COMPUTED_VALUE"""),-3.217241153959492)</f>
        <v>-3.217241154</v>
      </c>
      <c r="X403" s="4"/>
      <c r="Y403" s="4"/>
      <c r="Z403" s="4">
        <f>IFERROR(__xludf.DUMMYFUNCTION("""COMPUTED_VALUE"""),-0.028736783358908724)</f>
        <v>-0.02873678336</v>
      </c>
      <c r="AA403" s="4"/>
      <c r="AB403" s="4"/>
      <c r="AC403" s="4">
        <f>IFERROR(__xludf.DUMMYFUNCTION("""COMPUTED_VALUE"""),-1.248375929328688)</f>
        <v>-1.248375929</v>
      </c>
      <c r="AD403" s="4"/>
      <c r="AE403" s="4"/>
      <c r="AF403" s="4">
        <f>IFERROR(__xludf.DUMMYFUNCTION("""COMPUTED_VALUE"""),0.058546506847221735)</f>
        <v>0.05854650685</v>
      </c>
      <c r="AG403" s="4"/>
      <c r="AH403" s="4"/>
      <c r="AI403" s="4">
        <f>IFERROR(__xludf.DUMMYFUNCTION("""COMPUTED_VALUE"""),-3.5304819186296754)</f>
        <v>-3.530481919</v>
      </c>
      <c r="AJ403" s="4"/>
      <c r="AK403" s="4"/>
      <c r="AL403" s="4">
        <f>IFERROR(__xludf.DUMMYFUNCTION("""COMPUTED_VALUE"""),-5.588428665118158)</f>
        <v>-5.588428665</v>
      </c>
      <c r="AM403" s="4"/>
      <c r="AN403" s="4"/>
      <c r="AO403" s="4">
        <f>IFERROR(__xludf.DUMMYFUNCTION("""COMPUTED_VALUE"""),-0.9785303841435393)</f>
        <v>-0.9785303841</v>
      </c>
      <c r="AP403" s="4"/>
      <c r="AQ403" s="4"/>
      <c r="AR403" s="4">
        <f>IFERROR(__xludf.DUMMYFUNCTION("""COMPUTED_VALUE"""),5.239161863260222)</f>
        <v>5.239161863</v>
      </c>
      <c r="AS403" s="4"/>
      <c r="AT403" s="4"/>
      <c r="AU403" s="4">
        <f>IFERROR(__xludf.DUMMYFUNCTION("""COMPUTED_VALUE"""),-1.9236990647322614)</f>
        <v>-1.923699065</v>
      </c>
      <c r="AV403" s="4"/>
      <c r="AW403" s="4"/>
      <c r="AX403" s="4">
        <f>IFERROR(__xludf.DUMMYFUNCTION("""COMPUTED_VALUE"""),4.486454324122747)</f>
        <v>4.486454324</v>
      </c>
      <c r="AY403" s="4"/>
      <c r="AZ403" s="4"/>
      <c r="BA403" s="4">
        <f>IFERROR(__xludf.DUMMYFUNCTION("""COMPUTED_VALUE"""),1.9469738209881484)</f>
        <v>1.946973821</v>
      </c>
      <c r="BB403" s="4"/>
      <c r="BC403" s="4"/>
      <c r="BD403" s="4">
        <f>IFERROR(__xludf.DUMMYFUNCTION("""COMPUTED_VALUE"""),1.3088671438089818)</f>
        <v>1.308867144</v>
      </c>
      <c r="BE403" s="4"/>
      <c r="BF403" s="4"/>
      <c r="BG403" s="4">
        <f>IFERROR(__xludf.DUMMYFUNCTION("""COMPUTED_VALUE"""),-0.5637634595108238)</f>
        <v>-0.5637634595</v>
      </c>
      <c r="BH403" s="4"/>
      <c r="BI403" s="4"/>
      <c r="BJ403" s="4"/>
      <c r="BK403" s="4"/>
    </row>
    <row r="404">
      <c r="A404" s="4"/>
      <c r="B404" s="4"/>
      <c r="C404" s="4"/>
      <c r="D404" s="4">
        <f>IFERROR(__xludf.DUMMYFUNCTION("""COMPUTED_VALUE"""),-157.94693472614694)</f>
        <v>-157.9469347</v>
      </c>
      <c r="E404" s="23">
        <f>IFERROR(__xludf.DUMMYFUNCTION("""COMPUTED_VALUE"""),0.29533797368304704)</f>
        <v>0.2953379737</v>
      </c>
      <c r="F404" s="4"/>
      <c r="G404" s="4"/>
      <c r="H404" s="4">
        <f>IFERROR(__xludf.DUMMYFUNCTION("""COMPUTED_VALUE"""),-3.3622190654025985)</f>
        <v>-3.362219065</v>
      </c>
      <c r="I404" s="4"/>
      <c r="J404" s="4"/>
      <c r="K404" s="4">
        <f>IFERROR(__xludf.DUMMYFUNCTION("""COMPUTED_VALUE"""),4.824116839073156)</f>
        <v>4.824116839</v>
      </c>
      <c r="L404" s="4"/>
      <c r="M404" s="4"/>
      <c r="N404" s="4">
        <f>IFERROR(__xludf.DUMMYFUNCTION("""COMPUTED_VALUE"""),1.868464985989874)</f>
        <v>1.868464986</v>
      </c>
      <c r="O404" s="4"/>
      <c r="P404" s="4"/>
      <c r="Q404" s="4">
        <f>IFERROR(__xludf.DUMMYFUNCTION("""COMPUTED_VALUE"""),3.8015638864641232)</f>
        <v>3.801563886</v>
      </c>
      <c r="R404" s="4"/>
      <c r="S404" s="4"/>
      <c r="T404" s="4">
        <f>IFERROR(__xludf.DUMMYFUNCTION("""COMPUTED_VALUE"""),4.729916021462714)</f>
        <v>4.729916021</v>
      </c>
      <c r="U404" s="4"/>
      <c r="V404" s="4"/>
      <c r="W404" s="4">
        <f>IFERROR(__xludf.DUMMYFUNCTION("""COMPUTED_VALUE"""),1.973408632941812)</f>
        <v>1.973408633</v>
      </c>
      <c r="X404" s="4"/>
      <c r="Y404" s="4"/>
      <c r="Z404" s="4">
        <f>IFERROR(__xludf.DUMMYFUNCTION("""COMPUTED_VALUE"""),0.7564180093683035)</f>
        <v>0.7564180094</v>
      </c>
      <c r="AA404" s="4"/>
      <c r="AB404" s="4"/>
      <c r="AC404" s="4">
        <f>IFERROR(__xludf.DUMMYFUNCTION("""COMPUTED_VALUE"""),-1.3467631007910654)</f>
        <v>-1.346763101</v>
      </c>
      <c r="AD404" s="4"/>
      <c r="AE404" s="4"/>
      <c r="AF404" s="4">
        <f>IFERROR(__xludf.DUMMYFUNCTION("""COMPUTED_VALUE"""),3.7870630422007707)</f>
        <v>3.787063042</v>
      </c>
      <c r="AG404" s="4"/>
      <c r="AH404" s="4"/>
      <c r="AI404" s="4">
        <f>IFERROR(__xludf.DUMMYFUNCTION("""COMPUTED_VALUE"""),1.344992777029745)</f>
        <v>1.344992777</v>
      </c>
      <c r="AJ404" s="4"/>
      <c r="AK404" s="4"/>
      <c r="AL404" s="4">
        <f>IFERROR(__xludf.DUMMYFUNCTION("""COMPUTED_VALUE"""),7.348356703490936)</f>
        <v>7.348356703</v>
      </c>
      <c r="AM404" s="4"/>
      <c r="AN404" s="4"/>
      <c r="AO404" s="4">
        <f>IFERROR(__xludf.DUMMYFUNCTION("""COMPUTED_VALUE"""),-1.3606696236803941)</f>
        <v>-1.360669624</v>
      </c>
      <c r="AP404" s="4"/>
      <c r="AQ404" s="4"/>
      <c r="AR404" s="4">
        <f>IFERROR(__xludf.DUMMYFUNCTION("""COMPUTED_VALUE"""),-2.0573869993721132)</f>
        <v>-2.057386999</v>
      </c>
      <c r="AS404" s="4"/>
      <c r="AT404" s="4"/>
      <c r="AU404" s="4">
        <f>IFERROR(__xludf.DUMMYFUNCTION("""COMPUTED_VALUE"""),-4.234997391438924)</f>
        <v>-4.234997391</v>
      </c>
      <c r="AV404" s="4"/>
      <c r="AW404" s="4"/>
      <c r="AX404" s="4">
        <f>IFERROR(__xludf.DUMMYFUNCTION("""COMPUTED_VALUE"""),-1.4236634929667957)</f>
        <v>-1.423663493</v>
      </c>
      <c r="AY404" s="4"/>
      <c r="AZ404" s="4"/>
      <c r="BA404" s="4">
        <f>IFERROR(__xludf.DUMMYFUNCTION("""COMPUTED_VALUE"""),8.259008721041823)</f>
        <v>8.259008721</v>
      </c>
      <c r="BB404" s="4"/>
      <c r="BC404" s="4"/>
      <c r="BD404" s="4">
        <f>IFERROR(__xludf.DUMMYFUNCTION("""COMPUTED_VALUE"""),-1.5660231233079003)</f>
        <v>-1.566023123</v>
      </c>
      <c r="BE404" s="4"/>
      <c r="BF404" s="4"/>
      <c r="BG404" s="4">
        <f>IFERROR(__xludf.DUMMYFUNCTION("""COMPUTED_VALUE"""),0.9578669892832181)</f>
        <v>0.9578669893</v>
      </c>
      <c r="BH404" s="4"/>
      <c r="BI404" s="4"/>
      <c r="BJ404" s="4"/>
      <c r="BK404" s="4"/>
    </row>
    <row r="405">
      <c r="A405" s="4"/>
      <c r="B405" s="4"/>
      <c r="C405" s="4"/>
      <c r="D405" s="4">
        <f>IFERROR(__xludf.DUMMYFUNCTION("""COMPUTED_VALUE"""),-158.86523085889667)</f>
        <v>-158.8652309</v>
      </c>
      <c r="E405" s="23">
        <f>IFERROR(__xludf.DUMMYFUNCTION("""COMPUTED_VALUE"""),7.5858647971451205)</f>
        <v>7.585864797</v>
      </c>
      <c r="F405" s="4"/>
      <c r="G405" s="4"/>
      <c r="H405" s="4">
        <f>IFERROR(__xludf.DUMMYFUNCTION("""COMPUTED_VALUE"""),-2.8267625024165)</f>
        <v>-2.826762502</v>
      </c>
      <c r="I405" s="4"/>
      <c r="J405" s="4"/>
      <c r="K405" s="4">
        <f>IFERROR(__xludf.DUMMYFUNCTION("""COMPUTED_VALUE"""),-0.2167757724228636)</f>
        <v>-0.2167757724</v>
      </c>
      <c r="L405" s="4"/>
      <c r="M405" s="4"/>
      <c r="N405" s="4">
        <f>IFERROR(__xludf.DUMMYFUNCTION("""COMPUTED_VALUE"""),2.985418669052706)</f>
        <v>2.985418669</v>
      </c>
      <c r="O405" s="4"/>
      <c r="P405" s="4"/>
      <c r="Q405" s="4">
        <f>IFERROR(__xludf.DUMMYFUNCTION("""COMPUTED_VALUE"""),2.25369302886088)</f>
        <v>2.253693029</v>
      </c>
      <c r="R405" s="4"/>
      <c r="S405" s="4"/>
      <c r="T405" s="4">
        <f>IFERROR(__xludf.DUMMYFUNCTION("""COMPUTED_VALUE"""),-2.0476522995222695)</f>
        <v>-2.0476523</v>
      </c>
      <c r="U405" s="4"/>
      <c r="V405" s="4"/>
      <c r="W405" s="4">
        <f>IFERROR(__xludf.DUMMYFUNCTION("""COMPUTED_VALUE"""),-1.367976045295677)</f>
        <v>-1.367976045</v>
      </c>
      <c r="X405" s="4"/>
      <c r="Y405" s="4"/>
      <c r="Z405" s="4">
        <f>IFERROR(__xludf.DUMMYFUNCTION("""COMPUTED_VALUE"""),0.8889902544966048)</f>
        <v>0.8889902545</v>
      </c>
      <c r="AA405" s="4"/>
      <c r="AB405" s="4"/>
      <c r="AC405" s="4">
        <f>IFERROR(__xludf.DUMMYFUNCTION("""COMPUTED_VALUE"""),3.608835761174305)</f>
        <v>3.608835761</v>
      </c>
      <c r="AD405" s="4"/>
      <c r="AE405" s="4"/>
      <c r="AF405" s="4">
        <f>IFERROR(__xludf.DUMMYFUNCTION("""COMPUTED_VALUE"""),1.3391415671777054)</f>
        <v>1.339141567</v>
      </c>
      <c r="AG405" s="4"/>
      <c r="AH405" s="4"/>
      <c r="AI405" s="4">
        <f>IFERROR(__xludf.DUMMYFUNCTION("""COMPUTED_VALUE"""),1.3795913093294416)</f>
        <v>1.379591309</v>
      </c>
      <c r="AJ405" s="4"/>
      <c r="AK405" s="4"/>
      <c r="AL405" s="4">
        <f>IFERROR(__xludf.DUMMYFUNCTION("""COMPUTED_VALUE"""),1.2831228535904415)</f>
        <v>1.283122854</v>
      </c>
      <c r="AM405" s="4"/>
      <c r="AN405" s="4"/>
      <c r="AO405" s="4">
        <f>IFERROR(__xludf.DUMMYFUNCTION("""COMPUTED_VALUE"""),-2.750813823135104)</f>
        <v>-2.750813823</v>
      </c>
      <c r="AP405" s="4"/>
      <c r="AQ405" s="4"/>
      <c r="AR405" s="4">
        <f>IFERROR(__xludf.DUMMYFUNCTION("""COMPUTED_VALUE"""),0.18456840741612268)</f>
        <v>0.1845684074</v>
      </c>
      <c r="AS405" s="4"/>
      <c r="AT405" s="4"/>
      <c r="AU405" s="4">
        <f>IFERROR(__xludf.DUMMYFUNCTION("""COMPUTED_VALUE"""),1.9388316958985001)</f>
        <v>1.938831696</v>
      </c>
      <c r="AV405" s="4"/>
      <c r="AW405" s="4"/>
      <c r="AX405" s="4">
        <f>IFERROR(__xludf.DUMMYFUNCTION("""COMPUTED_VALUE"""),-2.9733004725887895)</f>
        <v>-2.973300473</v>
      </c>
      <c r="AY405" s="4"/>
      <c r="AZ405" s="4"/>
      <c r="BA405" s="4">
        <f>IFERROR(__xludf.DUMMYFUNCTION("""COMPUTED_VALUE"""),0.33577151523235216)</f>
        <v>0.3357715152</v>
      </c>
      <c r="BB405" s="4"/>
      <c r="BC405" s="4"/>
      <c r="BD405" s="4">
        <f>IFERROR(__xludf.DUMMYFUNCTION("""COMPUTED_VALUE"""),1.6558748598785087)</f>
        <v>1.65587486</v>
      </c>
      <c r="BE405" s="4"/>
      <c r="BF405" s="4"/>
      <c r="BG405" s="4">
        <f>IFERROR(__xludf.DUMMYFUNCTION("""COMPUTED_VALUE"""),4.37685731178874)</f>
        <v>4.376857312</v>
      </c>
      <c r="BH405" s="4"/>
      <c r="BI405" s="4"/>
      <c r="BJ405" s="4"/>
      <c r="BK405" s="4"/>
    </row>
    <row r="406">
      <c r="A406" s="4"/>
      <c r="B406" s="4"/>
      <c r="C406" s="4"/>
      <c r="D406" s="4">
        <f>IFERROR(__xludf.DUMMYFUNCTION("""COMPUTED_VALUE"""),-159.78352699169673)</f>
        <v>-159.783527</v>
      </c>
      <c r="E406" s="23">
        <f>IFERROR(__xludf.DUMMYFUNCTION("""COMPUTED_VALUE"""),2.3735665838855198)</f>
        <v>2.373566584</v>
      </c>
      <c r="F406" s="4"/>
      <c r="G406" s="4"/>
      <c r="H406" s="4">
        <f>IFERROR(__xludf.DUMMYFUNCTION("""COMPUTED_VALUE"""),-2.2848475919644784)</f>
        <v>-2.284847592</v>
      </c>
      <c r="I406" s="4"/>
      <c r="J406" s="4"/>
      <c r="K406" s="4">
        <f>IFERROR(__xludf.DUMMYFUNCTION("""COMPUTED_VALUE"""),0.4276090227992313)</f>
        <v>0.4276090228</v>
      </c>
      <c r="L406" s="4"/>
      <c r="M406" s="4"/>
      <c r="N406" s="4">
        <f>IFERROR(__xludf.DUMMYFUNCTION("""COMPUTED_VALUE"""),1.40253702120458)</f>
        <v>1.402537021</v>
      </c>
      <c r="O406" s="4"/>
      <c r="P406" s="4"/>
      <c r="Q406" s="4">
        <f>IFERROR(__xludf.DUMMYFUNCTION("""COMPUTED_VALUE"""),-1.0079477186592953)</f>
        <v>-1.007947719</v>
      </c>
      <c r="R406" s="4"/>
      <c r="S406" s="4"/>
      <c r="T406" s="4">
        <f>IFERROR(__xludf.DUMMYFUNCTION("""COMPUTED_VALUE"""),4.977446188473209)</f>
        <v>4.977446188</v>
      </c>
      <c r="U406" s="4"/>
      <c r="V406" s="4"/>
      <c r="W406" s="4">
        <f>IFERROR(__xludf.DUMMYFUNCTION("""COMPUTED_VALUE"""),-4.150617190033245)</f>
        <v>-4.15061719</v>
      </c>
      <c r="X406" s="4"/>
      <c r="Y406" s="4"/>
      <c r="Z406" s="4">
        <f>IFERROR(__xludf.DUMMYFUNCTION("""COMPUTED_VALUE"""),3.9285832754176226)</f>
        <v>3.928583275</v>
      </c>
      <c r="AA406" s="4"/>
      <c r="AB406" s="4"/>
      <c r="AC406" s="4">
        <f>IFERROR(__xludf.DUMMYFUNCTION("""COMPUTED_VALUE"""),1.2805885470169187)</f>
        <v>1.280588547</v>
      </c>
      <c r="AD406" s="4"/>
      <c r="AE406" s="4"/>
      <c r="AF406" s="4">
        <f>IFERROR(__xludf.DUMMYFUNCTION("""COMPUTED_VALUE"""),-0.7704958426998587)</f>
        <v>-0.7704958427</v>
      </c>
      <c r="AG406" s="4"/>
      <c r="AH406" s="4"/>
      <c r="AI406" s="4">
        <f>IFERROR(__xludf.DUMMYFUNCTION("""COMPUTED_VALUE"""),-0.5886875031588374)</f>
        <v>-0.5886875032</v>
      </c>
      <c r="AJ406" s="4"/>
      <c r="AK406" s="4"/>
      <c r="AL406" s="4">
        <f>IFERROR(__xludf.DUMMYFUNCTION("""COMPUTED_VALUE"""),-1.2736091193294783)</f>
        <v>-1.273609119</v>
      </c>
      <c r="AM406" s="4"/>
      <c r="AN406" s="4"/>
      <c r="AO406" s="4">
        <f>IFERROR(__xludf.DUMMYFUNCTION("""COMPUTED_VALUE"""),-0.07804084691349544)</f>
        <v>-0.07804084691</v>
      </c>
      <c r="AP406" s="4"/>
      <c r="AQ406" s="4"/>
      <c r="AR406" s="4">
        <f>IFERROR(__xludf.DUMMYFUNCTION("""COMPUTED_VALUE"""),5.832767956015118)</f>
        <v>5.832767956</v>
      </c>
      <c r="AS406" s="4"/>
      <c r="AT406" s="4"/>
      <c r="AU406" s="4">
        <f>IFERROR(__xludf.DUMMYFUNCTION("""COMPUTED_VALUE"""),-1.3617470835799281)</f>
        <v>-1.361747084</v>
      </c>
      <c r="AV406" s="4"/>
      <c r="AW406" s="4"/>
      <c r="AX406" s="4">
        <f>IFERROR(__xludf.DUMMYFUNCTION("""COMPUTED_VALUE"""),-5.314382068473378)</f>
        <v>-5.314382068</v>
      </c>
      <c r="AY406" s="4"/>
      <c r="AZ406" s="4"/>
      <c r="BA406" s="4">
        <f>IFERROR(__xludf.DUMMYFUNCTION("""COMPUTED_VALUE"""),-0.7245575339881043)</f>
        <v>-0.724557534</v>
      </c>
      <c r="BB406" s="4"/>
      <c r="BC406" s="4"/>
      <c r="BD406" s="4">
        <f>IFERROR(__xludf.DUMMYFUNCTION("""COMPUTED_VALUE"""),2.602139658919782)</f>
        <v>2.602139659</v>
      </c>
      <c r="BE406" s="4"/>
      <c r="BF406" s="4"/>
      <c r="BG406" s="4">
        <f>IFERROR(__xludf.DUMMYFUNCTION("""COMPUTED_VALUE"""),0.2735654646076)</f>
        <v>0.2735654646</v>
      </c>
      <c r="BH406" s="4"/>
      <c r="BI406" s="4"/>
      <c r="BJ406" s="4"/>
      <c r="BK406" s="4"/>
    </row>
    <row r="407">
      <c r="A407" s="4"/>
      <c r="B407" s="4"/>
      <c r="C407" s="4"/>
      <c r="D407" s="4">
        <f>IFERROR(__xludf.DUMMYFUNCTION("""COMPUTED_VALUE"""),-160.70182312238185)</f>
        <v>-160.7018231</v>
      </c>
      <c r="E407" s="23">
        <f>IFERROR(__xludf.DUMMYFUNCTION("""COMPUTED_VALUE"""),-2.5202404725407064)</f>
        <v>-2.520240473</v>
      </c>
      <c r="F407" s="4"/>
      <c r="G407" s="4"/>
      <c r="H407" s="4">
        <f>IFERROR(__xludf.DUMMYFUNCTION("""COMPUTED_VALUE"""),-1.5535033411072163)</f>
        <v>-1.553503341</v>
      </c>
      <c r="I407" s="4"/>
      <c r="J407" s="4"/>
      <c r="K407" s="4">
        <f>IFERROR(__xludf.DUMMYFUNCTION("""COMPUTED_VALUE"""),0.7760843281217831)</f>
        <v>0.7760843281</v>
      </c>
      <c r="L407" s="4"/>
      <c r="M407" s="4"/>
      <c r="N407" s="4">
        <f>IFERROR(__xludf.DUMMYFUNCTION("""COMPUTED_VALUE"""),-3.164804055044101)</f>
        <v>-3.164804055</v>
      </c>
      <c r="O407" s="4"/>
      <c r="P407" s="4"/>
      <c r="Q407" s="4">
        <f>IFERROR(__xludf.DUMMYFUNCTION("""COMPUTED_VALUE"""),-3.62381979686711)</f>
        <v>-3.623819797</v>
      </c>
      <c r="R407" s="4"/>
      <c r="S407" s="4"/>
      <c r="T407" s="4">
        <f>IFERROR(__xludf.DUMMYFUNCTION("""COMPUTED_VALUE"""),-5.684885028446331)</f>
        <v>-5.684885028</v>
      </c>
      <c r="U407" s="4"/>
      <c r="V407" s="4"/>
      <c r="W407" s="4">
        <f>IFERROR(__xludf.DUMMYFUNCTION("""COMPUTED_VALUE"""),-4.210225254488421)</f>
        <v>-4.210225254</v>
      </c>
      <c r="X407" s="4"/>
      <c r="Y407" s="4"/>
      <c r="Z407" s="4">
        <f>IFERROR(__xludf.DUMMYFUNCTION("""COMPUTED_VALUE"""),2.3767953709668745)</f>
        <v>2.376795371</v>
      </c>
      <c r="AA407" s="4"/>
      <c r="AB407" s="4"/>
      <c r="AC407" s="4">
        <f>IFERROR(__xludf.DUMMYFUNCTION("""COMPUTED_VALUE"""),1.0267499290756632)</f>
        <v>1.026749929</v>
      </c>
      <c r="AD407" s="4"/>
      <c r="AE407" s="4"/>
      <c r="AF407" s="4">
        <f>IFERROR(__xludf.DUMMYFUNCTION("""COMPUTED_VALUE"""),-0.34515057852132713)</f>
        <v>-0.3451505785</v>
      </c>
      <c r="AG407" s="4"/>
      <c r="AH407" s="4"/>
      <c r="AI407" s="4">
        <f>IFERROR(__xludf.DUMMYFUNCTION("""COMPUTED_VALUE"""),1.5773280683075086)</f>
        <v>1.577328068</v>
      </c>
      <c r="AJ407" s="4"/>
      <c r="AK407" s="4"/>
      <c r="AL407" s="4">
        <f>IFERROR(__xludf.DUMMYFUNCTION("""COMPUTED_VALUE"""),-4.602313644658352)</f>
        <v>-4.602313645</v>
      </c>
      <c r="AM407" s="4"/>
      <c r="AN407" s="4"/>
      <c r="AO407" s="4">
        <f>IFERROR(__xludf.DUMMYFUNCTION("""COMPUTED_VALUE"""),-2.0405903746171816)</f>
        <v>-2.040590375</v>
      </c>
      <c r="AP407" s="4"/>
      <c r="AQ407" s="4"/>
      <c r="AR407" s="4">
        <f>IFERROR(__xludf.DUMMYFUNCTION("""COMPUTED_VALUE"""),1.6423088038731066)</f>
        <v>1.642308804</v>
      </c>
      <c r="AS407" s="4"/>
      <c r="AT407" s="4"/>
      <c r="AU407" s="4">
        <f>IFERROR(__xludf.DUMMYFUNCTION("""COMPUTED_VALUE"""),-0.754498037876715)</f>
        <v>-0.7544980379</v>
      </c>
      <c r="AV407" s="4"/>
      <c r="AW407" s="4"/>
      <c r="AX407" s="4">
        <f>IFERROR(__xludf.DUMMYFUNCTION("""COMPUTED_VALUE"""),-3.485024869456822)</f>
        <v>-3.485024869</v>
      </c>
      <c r="AY407" s="4"/>
      <c r="AZ407" s="4"/>
      <c r="BA407" s="4">
        <f>IFERROR(__xludf.DUMMYFUNCTION("""COMPUTED_VALUE"""),-1.3837390852454519)</f>
        <v>-1.383739085</v>
      </c>
      <c r="BB407" s="4"/>
      <c r="BC407" s="4"/>
      <c r="BD407" s="4">
        <f>IFERROR(__xludf.DUMMYFUNCTION("""COMPUTED_VALUE"""),2.792229536002992)</f>
        <v>2.792229536</v>
      </c>
      <c r="BE407" s="4"/>
      <c r="BF407" s="4"/>
      <c r="BG407" s="4">
        <f>IFERROR(__xludf.DUMMYFUNCTION("""COMPUTED_VALUE"""),3.850432455805276)</f>
        <v>3.850432456</v>
      </c>
      <c r="BH407" s="4"/>
      <c r="BI407" s="4"/>
      <c r="BJ407" s="4"/>
      <c r="BK407" s="4"/>
    </row>
    <row r="408">
      <c r="A408" s="4"/>
      <c r="B408" s="4"/>
      <c r="C408" s="4"/>
      <c r="D408" s="4">
        <f>IFERROR(__xludf.DUMMYFUNCTION("""COMPUTED_VALUE"""),-161.62011925513158)</f>
        <v>-161.6201193</v>
      </c>
      <c r="E408" s="23">
        <f>IFERROR(__xludf.DUMMYFUNCTION("""COMPUTED_VALUE"""),0.03057785187178297)</f>
        <v>0.03057785187</v>
      </c>
      <c r="F408" s="4"/>
      <c r="G408" s="4"/>
      <c r="H408" s="4">
        <f>IFERROR(__xludf.DUMMYFUNCTION("""COMPUTED_VALUE"""),3.971829888800926)</f>
        <v>3.971829889</v>
      </c>
      <c r="I408" s="4"/>
      <c r="J408" s="4"/>
      <c r="K408" s="4">
        <f>IFERROR(__xludf.DUMMYFUNCTION("""COMPUTED_VALUE"""),-3.3095801207422255)</f>
        <v>-3.309580121</v>
      </c>
      <c r="L408" s="4"/>
      <c r="M408" s="4"/>
      <c r="N408" s="4">
        <f>IFERROR(__xludf.DUMMYFUNCTION("""COMPUTED_VALUE"""),2.6476503114041066)</f>
        <v>2.647650311</v>
      </c>
      <c r="O408" s="4"/>
      <c r="P408" s="4"/>
      <c r="Q408" s="4">
        <f>IFERROR(__xludf.DUMMYFUNCTION("""COMPUTED_VALUE"""),-1.4681536701933737)</f>
        <v>-1.46815367</v>
      </c>
      <c r="R408" s="4"/>
      <c r="S408" s="4"/>
      <c r="T408" s="4">
        <f>IFERROR(__xludf.DUMMYFUNCTION("""COMPUTED_VALUE"""),5.663186013945051)</f>
        <v>5.663186014</v>
      </c>
      <c r="U408" s="4"/>
      <c r="V408" s="4"/>
      <c r="W408" s="4">
        <f>IFERROR(__xludf.DUMMYFUNCTION("""COMPUTED_VALUE"""),5.204862599574767)</f>
        <v>5.2048626</v>
      </c>
      <c r="X408" s="4"/>
      <c r="Y408" s="4"/>
      <c r="Z408" s="4">
        <f>IFERROR(__xludf.DUMMYFUNCTION("""COMPUTED_VALUE"""),0.13846123947615752)</f>
        <v>0.1384612395</v>
      </c>
      <c r="AA408" s="4"/>
      <c r="AB408" s="4"/>
      <c r="AC408" s="4">
        <f>IFERROR(__xludf.DUMMYFUNCTION("""COMPUTED_VALUE"""),-0.8157678413484746)</f>
        <v>-0.8157678413</v>
      </c>
      <c r="AD408" s="4"/>
      <c r="AE408" s="4"/>
      <c r="AF408" s="4">
        <f>IFERROR(__xludf.DUMMYFUNCTION("""COMPUTED_VALUE"""),-2.4841514439171988)</f>
        <v>-2.484151444</v>
      </c>
      <c r="AG408" s="4"/>
      <c r="AH408" s="4"/>
      <c r="AI408" s="4">
        <f>IFERROR(__xludf.DUMMYFUNCTION("""COMPUTED_VALUE"""),1.2159862948241198)</f>
        <v>1.215986295</v>
      </c>
      <c r="AJ408" s="4"/>
      <c r="AK408" s="4"/>
      <c r="AL408" s="4">
        <f>IFERROR(__xludf.DUMMYFUNCTION("""COMPUTED_VALUE"""),1.4716972463413072)</f>
        <v>1.471697246</v>
      </c>
      <c r="AM408" s="4"/>
      <c r="AN408" s="4"/>
      <c r="AO408" s="4">
        <f>IFERROR(__xludf.DUMMYFUNCTION("""COMPUTED_VALUE"""),4.060599110558769)</f>
        <v>4.060599111</v>
      </c>
      <c r="AP408" s="4"/>
      <c r="AQ408" s="4"/>
      <c r="AR408" s="4">
        <f>IFERROR(__xludf.DUMMYFUNCTION("""COMPUTED_VALUE"""),-0.8823177121021786)</f>
        <v>-0.8823177121</v>
      </c>
      <c r="AS408" s="4"/>
      <c r="AT408" s="4"/>
      <c r="AU408" s="4">
        <f>IFERROR(__xludf.DUMMYFUNCTION("""COMPUTED_VALUE"""),-0.8883886473754501)</f>
        <v>-0.8883886474</v>
      </c>
      <c r="AV408" s="4"/>
      <c r="AW408" s="4"/>
      <c r="AX408" s="4">
        <f>IFERROR(__xludf.DUMMYFUNCTION("""COMPUTED_VALUE"""),1.1462793596678011)</f>
        <v>1.14627936</v>
      </c>
      <c r="AY408" s="4"/>
      <c r="AZ408" s="4"/>
      <c r="BA408" s="4">
        <f>IFERROR(__xludf.DUMMYFUNCTION("""COMPUTED_VALUE"""),1.1740067018779996)</f>
        <v>1.174006702</v>
      </c>
      <c r="BB408" s="4"/>
      <c r="BC408" s="4"/>
      <c r="BD408" s="4">
        <f>IFERROR(__xludf.DUMMYFUNCTION("""COMPUTED_VALUE"""),1.3039718602021821)</f>
        <v>1.30397186</v>
      </c>
      <c r="BE408" s="4"/>
      <c r="BF408" s="4"/>
      <c r="BG408" s="4">
        <f>IFERROR(__xludf.DUMMYFUNCTION("""COMPUTED_VALUE"""),4.387441291203459)</f>
        <v>4.387441291</v>
      </c>
      <c r="BH408" s="4"/>
      <c r="BI408" s="4"/>
      <c r="BJ408" s="4"/>
      <c r="BK408" s="4"/>
    </row>
    <row r="409">
      <c r="A409" s="4"/>
      <c r="B409" s="4"/>
      <c r="C409" s="4"/>
      <c r="D409" s="4">
        <f>IFERROR(__xludf.DUMMYFUNCTION("""COMPUTED_VALUE"""),-162.53841538793165)</f>
        <v>-162.5384154</v>
      </c>
      <c r="E409" s="23">
        <f>IFERROR(__xludf.DUMMYFUNCTION("""COMPUTED_VALUE"""),-2.418532040503635)</f>
        <v>-2.418532041</v>
      </c>
      <c r="F409" s="4"/>
      <c r="G409" s="4"/>
      <c r="H409" s="4">
        <f>IFERROR(__xludf.DUMMYFUNCTION("""COMPUTED_VALUE"""),2.0369122956180945)</f>
        <v>2.036912296</v>
      </c>
      <c r="I409" s="4"/>
      <c r="J409" s="4"/>
      <c r="K409" s="4">
        <f>IFERROR(__xludf.DUMMYFUNCTION("""COMPUTED_VALUE"""),1.1517453751689573)</f>
        <v>1.151745375</v>
      </c>
      <c r="L409" s="4"/>
      <c r="M409" s="4"/>
      <c r="N409" s="4">
        <f>IFERROR(__xludf.DUMMYFUNCTION("""COMPUTED_VALUE"""),3.1611573393225285)</f>
        <v>3.161157339</v>
      </c>
      <c r="O409" s="4"/>
      <c r="P409" s="4"/>
      <c r="Q409" s="4">
        <f>IFERROR(__xludf.DUMMYFUNCTION("""COMPUTED_VALUE"""),1.0275588810084173)</f>
        <v>1.027558881</v>
      </c>
      <c r="R409" s="4"/>
      <c r="S409" s="4"/>
      <c r="T409" s="4">
        <f>IFERROR(__xludf.DUMMYFUNCTION("""COMPUTED_VALUE"""),-0.26780408856870963)</f>
        <v>-0.2678040886</v>
      </c>
      <c r="U409" s="4"/>
      <c r="V409" s="4"/>
      <c r="W409" s="4">
        <f>IFERROR(__xludf.DUMMYFUNCTION("""COMPUTED_VALUE"""),3.766059749656222)</f>
        <v>3.76605975</v>
      </c>
      <c r="X409" s="4"/>
      <c r="Y409" s="4"/>
      <c r="Z409" s="4">
        <f>IFERROR(__xludf.DUMMYFUNCTION("""COMPUTED_VALUE"""),-3.80494573767686)</f>
        <v>-3.804945738</v>
      </c>
      <c r="AA409" s="4"/>
      <c r="AB409" s="4"/>
      <c r="AC409" s="4">
        <f>IFERROR(__xludf.DUMMYFUNCTION("""COMPUTED_VALUE"""),-1.8396463985663445)</f>
        <v>-1.839646399</v>
      </c>
      <c r="AD409" s="4"/>
      <c r="AE409" s="4"/>
      <c r="AF409" s="4">
        <f>IFERROR(__xludf.DUMMYFUNCTION("""COMPUTED_VALUE"""),4.087445704955314)</f>
        <v>4.087445705</v>
      </c>
      <c r="AG409" s="4"/>
      <c r="AH409" s="4"/>
      <c r="AI409" s="4">
        <f>IFERROR(__xludf.DUMMYFUNCTION("""COMPUTED_VALUE"""),4.526024801889207)</f>
        <v>4.526024802</v>
      </c>
      <c r="AJ409" s="4"/>
      <c r="AK409" s="4"/>
      <c r="AL409" s="4">
        <f>IFERROR(__xludf.DUMMYFUNCTION("""COMPUTED_VALUE"""),1.3226981979336188)</f>
        <v>1.322698198</v>
      </c>
      <c r="AM409" s="4"/>
      <c r="AN409" s="4"/>
      <c r="AO409" s="4">
        <f>IFERROR(__xludf.DUMMYFUNCTION("""COMPUTED_VALUE"""),0.3012741477140253)</f>
        <v>0.3012741477</v>
      </c>
      <c r="AP409" s="4"/>
      <c r="AQ409" s="4"/>
      <c r="AR409" s="4">
        <f>IFERROR(__xludf.DUMMYFUNCTION("""COMPUTED_VALUE"""),-0.7987802063285017)</f>
        <v>-0.7987802063</v>
      </c>
      <c r="AS409" s="4"/>
      <c r="AT409" s="4"/>
      <c r="AU409" s="4">
        <f>IFERROR(__xludf.DUMMYFUNCTION("""COMPUTED_VALUE"""),-1.4701968682534243)</f>
        <v>-1.470196868</v>
      </c>
      <c r="AV409" s="4"/>
      <c r="AW409" s="4"/>
      <c r="AX409" s="4">
        <f>IFERROR(__xludf.DUMMYFUNCTION("""COMPUTED_VALUE"""),-0.4412845080646548)</f>
        <v>-0.4412845081</v>
      </c>
      <c r="AY409" s="4"/>
      <c r="AZ409" s="4"/>
      <c r="BA409" s="4">
        <f>IFERROR(__xludf.DUMMYFUNCTION("""COMPUTED_VALUE"""),-2.3075720023718986)</f>
        <v>-2.307572002</v>
      </c>
      <c r="BB409" s="4"/>
      <c r="BC409" s="4"/>
      <c r="BD409" s="4">
        <f>IFERROR(__xludf.DUMMYFUNCTION("""COMPUTED_VALUE"""),0.6920787827815502)</f>
        <v>0.6920787828</v>
      </c>
      <c r="BE409" s="4"/>
      <c r="BF409" s="4"/>
      <c r="BG409" s="4">
        <f>IFERROR(__xludf.DUMMYFUNCTION("""COMPUTED_VALUE"""),-0.5169074260110165)</f>
        <v>-0.516907426</v>
      </c>
      <c r="BH409" s="4"/>
      <c r="BI409" s="4"/>
      <c r="BJ409" s="4"/>
      <c r="BK409" s="4"/>
    </row>
    <row r="410">
      <c r="A410" s="4"/>
      <c r="B410" s="4"/>
      <c r="C410" s="4"/>
      <c r="D410" s="4">
        <f>IFERROR(__xludf.DUMMYFUNCTION("""COMPUTED_VALUE"""),-163.45671151856644)</f>
        <v>-163.4567115</v>
      </c>
      <c r="E410" s="23">
        <f>IFERROR(__xludf.DUMMYFUNCTION("""COMPUTED_VALUE"""),-4.73507179115046)</f>
        <v>-4.735071791</v>
      </c>
      <c r="F410" s="4"/>
      <c r="G410" s="4"/>
      <c r="H410" s="4">
        <f>IFERROR(__xludf.DUMMYFUNCTION("""COMPUTED_VALUE"""),-8.333970619450724)</f>
        <v>-8.333970619</v>
      </c>
      <c r="I410" s="4"/>
      <c r="J410" s="4"/>
      <c r="K410" s="4">
        <f>IFERROR(__xludf.DUMMYFUNCTION("""COMPUTED_VALUE"""),1.2093608962615576)</f>
        <v>1.209360896</v>
      </c>
      <c r="L410" s="4"/>
      <c r="M410" s="4"/>
      <c r="N410" s="4">
        <f>IFERROR(__xludf.DUMMYFUNCTION("""COMPUTED_VALUE"""),1.0256127270607749)</f>
        <v>1.025612727</v>
      </c>
      <c r="O410" s="4"/>
      <c r="P410" s="4"/>
      <c r="Q410" s="4">
        <f>IFERROR(__xludf.DUMMYFUNCTION("""COMPUTED_VALUE"""),2.067934323464499)</f>
        <v>2.067934323</v>
      </c>
      <c r="R410" s="4"/>
      <c r="S410" s="4"/>
      <c r="T410" s="4">
        <f>IFERROR(__xludf.DUMMYFUNCTION("""COMPUTED_VALUE"""),0.05242287997958783)</f>
        <v>0.05242287998</v>
      </c>
      <c r="U410" s="4"/>
      <c r="V410" s="4"/>
      <c r="W410" s="4">
        <f>IFERROR(__xludf.DUMMYFUNCTION("""COMPUTED_VALUE"""),3.496384348160632)</f>
        <v>3.496384348</v>
      </c>
      <c r="X410" s="4"/>
      <c r="Y410" s="4"/>
      <c r="Z410" s="4">
        <f>IFERROR(__xludf.DUMMYFUNCTION("""COMPUTED_VALUE"""),-1.1644357894996347)</f>
        <v>-1.164435789</v>
      </c>
      <c r="AA410" s="4"/>
      <c r="AB410" s="4"/>
      <c r="AC410" s="4">
        <f>IFERROR(__xludf.DUMMYFUNCTION("""COMPUTED_VALUE"""),-5.044785816565934)</f>
        <v>-5.044785817</v>
      </c>
      <c r="AD410" s="4"/>
      <c r="AE410" s="4"/>
      <c r="AF410" s="4">
        <f>IFERROR(__xludf.DUMMYFUNCTION("""COMPUTED_VALUE"""),3.0315443855079707)</f>
        <v>3.031544386</v>
      </c>
      <c r="AG410" s="4"/>
      <c r="AH410" s="4"/>
      <c r="AI410" s="4">
        <f>IFERROR(__xludf.DUMMYFUNCTION("""COMPUTED_VALUE"""),-3.27600420708103)</f>
        <v>-3.276004207</v>
      </c>
      <c r="AJ410" s="4"/>
      <c r="AK410" s="4"/>
      <c r="AL410" s="4">
        <f>IFERROR(__xludf.DUMMYFUNCTION("""COMPUTED_VALUE"""),-1.1292028604837583)</f>
        <v>-1.12920286</v>
      </c>
      <c r="AM410" s="4"/>
      <c r="AN410" s="4"/>
      <c r="AO410" s="4">
        <f>IFERROR(__xludf.DUMMYFUNCTION("""COMPUTED_VALUE"""),-2.6219906044914296)</f>
        <v>-2.621990604</v>
      </c>
      <c r="AP410" s="4"/>
      <c r="AQ410" s="4"/>
      <c r="AR410" s="4">
        <f>IFERROR(__xludf.DUMMYFUNCTION("""COMPUTED_VALUE"""),0.8986215427740945)</f>
        <v>0.8986215428</v>
      </c>
      <c r="AS410" s="4"/>
      <c r="AT410" s="4"/>
      <c r="AU410" s="4">
        <f>IFERROR(__xludf.DUMMYFUNCTION("""COMPUTED_VALUE"""),7.943767576075402)</f>
        <v>7.943767576</v>
      </c>
      <c r="AV410" s="4"/>
      <c r="AW410" s="4"/>
      <c r="AX410" s="4">
        <f>IFERROR(__xludf.DUMMYFUNCTION("""COMPUTED_VALUE"""),-0.14482271813454872)</f>
        <v>-0.1448227181</v>
      </c>
      <c r="AY410" s="4"/>
      <c r="AZ410" s="4"/>
      <c r="BA410" s="4">
        <f>IFERROR(__xludf.DUMMYFUNCTION("""COMPUTED_VALUE"""),6.009311832469052)</f>
        <v>6.009311832</v>
      </c>
      <c r="BB410" s="4"/>
      <c r="BC410" s="4"/>
      <c r="BD410" s="4">
        <f>IFERROR(__xludf.DUMMYFUNCTION("""COMPUTED_VALUE"""),0.8049213796991808)</f>
        <v>0.8049213797</v>
      </c>
      <c r="BE410" s="4"/>
      <c r="BF410" s="4"/>
      <c r="BG410" s="4">
        <f>IFERROR(__xludf.DUMMYFUNCTION("""COMPUTED_VALUE"""),-0.9602538250336465)</f>
        <v>-0.960253825</v>
      </c>
      <c r="BH410" s="4"/>
      <c r="BI410" s="4"/>
      <c r="BJ410" s="4"/>
      <c r="BK410" s="4"/>
    </row>
    <row r="411">
      <c r="A411" s="4"/>
      <c r="B411" s="4"/>
      <c r="C411" s="4"/>
      <c r="D411" s="4">
        <f>IFERROR(__xludf.DUMMYFUNCTION("""COMPUTED_VALUE"""),-164.3750076513665)</f>
        <v>-164.3750077</v>
      </c>
      <c r="E411" s="23">
        <f>IFERROR(__xludf.DUMMYFUNCTION("""COMPUTED_VALUE"""),-1.1200903747388793)</f>
        <v>-1.120090375</v>
      </c>
      <c r="F411" s="4"/>
      <c r="G411" s="4"/>
      <c r="H411" s="4">
        <f>IFERROR(__xludf.DUMMYFUNCTION("""COMPUTED_VALUE"""),-3.430803292108692)</f>
        <v>-3.430803292</v>
      </c>
      <c r="I411" s="4"/>
      <c r="J411" s="4"/>
      <c r="K411" s="4">
        <f>IFERROR(__xludf.DUMMYFUNCTION("""COMPUTED_VALUE"""),1.7839968177563605)</f>
        <v>1.783996818</v>
      </c>
      <c r="L411" s="4"/>
      <c r="M411" s="4"/>
      <c r="N411" s="4">
        <f>IFERROR(__xludf.DUMMYFUNCTION("""COMPUTED_VALUE"""),2.2612522358577962)</f>
        <v>2.261252236</v>
      </c>
      <c r="O411" s="4"/>
      <c r="P411" s="4"/>
      <c r="Q411" s="4">
        <f>IFERROR(__xludf.DUMMYFUNCTION("""COMPUTED_VALUE"""),1.193004516932433)</f>
        <v>1.193004517</v>
      </c>
      <c r="R411" s="4"/>
      <c r="S411" s="4"/>
      <c r="T411" s="4">
        <f>IFERROR(__xludf.DUMMYFUNCTION("""COMPUTED_VALUE"""),7.269652157638461)</f>
        <v>7.269652158</v>
      </c>
      <c r="U411" s="4"/>
      <c r="V411" s="4"/>
      <c r="W411" s="4">
        <f>IFERROR(__xludf.DUMMYFUNCTION("""COMPUTED_VALUE"""),-4.980249446511152)</f>
        <v>-4.980249447</v>
      </c>
      <c r="X411" s="4"/>
      <c r="Y411" s="4"/>
      <c r="Z411" s="4">
        <f>IFERROR(__xludf.DUMMYFUNCTION("""COMPUTED_VALUE"""),6.085594423846715)</f>
        <v>6.085594424</v>
      </c>
      <c r="AA411" s="4"/>
      <c r="AB411" s="4"/>
      <c r="AC411" s="4">
        <f>IFERROR(__xludf.DUMMYFUNCTION("""COMPUTED_VALUE"""),-0.8690721800485903)</f>
        <v>-0.86907218</v>
      </c>
      <c r="AD411" s="4"/>
      <c r="AE411" s="4"/>
      <c r="AF411" s="4">
        <f>IFERROR(__xludf.DUMMYFUNCTION("""COMPUTED_VALUE"""),0.7816160384128352)</f>
        <v>0.7816160384</v>
      </c>
      <c r="AG411" s="4"/>
      <c r="AH411" s="4"/>
      <c r="AI411" s="4">
        <f>IFERROR(__xludf.DUMMYFUNCTION("""COMPUTED_VALUE"""),-0.31692192676496234)</f>
        <v>-0.3169219268</v>
      </c>
      <c r="AJ411" s="4"/>
      <c r="AK411" s="4"/>
      <c r="AL411" s="4">
        <f>IFERROR(__xludf.DUMMYFUNCTION("""COMPUTED_VALUE"""),1.5722865509810617)</f>
        <v>1.572286551</v>
      </c>
      <c r="AM411" s="4"/>
      <c r="AN411" s="4"/>
      <c r="AO411" s="4">
        <f>IFERROR(__xludf.DUMMYFUNCTION("""COMPUTED_VALUE"""),0.97173176758605)</f>
        <v>0.9717317676</v>
      </c>
      <c r="AP411" s="4"/>
      <c r="AQ411" s="4"/>
      <c r="AR411" s="4">
        <f>IFERROR(__xludf.DUMMYFUNCTION("""COMPUTED_VALUE"""),-2.701153737693687)</f>
        <v>-2.701153738</v>
      </c>
      <c r="AS411" s="4"/>
      <c r="AT411" s="4"/>
      <c r="AU411" s="4">
        <f>IFERROR(__xludf.DUMMYFUNCTION("""COMPUTED_VALUE"""),-3.2592254976589743)</f>
        <v>-3.259225498</v>
      </c>
      <c r="AV411" s="4"/>
      <c r="AW411" s="4"/>
      <c r="AX411" s="4">
        <f>IFERROR(__xludf.DUMMYFUNCTION("""COMPUTED_VALUE"""),-1.4288407636603324)</f>
        <v>-1.428840764</v>
      </c>
      <c r="AY411" s="4"/>
      <c r="AZ411" s="4"/>
      <c r="BA411" s="4">
        <f>IFERROR(__xludf.DUMMYFUNCTION("""COMPUTED_VALUE"""),-1.3111654035013771)</f>
        <v>-1.311165404</v>
      </c>
      <c r="BB411" s="4"/>
      <c r="BC411" s="4"/>
      <c r="BD411" s="4">
        <f>IFERROR(__xludf.DUMMYFUNCTION("""COMPUTED_VALUE"""),2.7774483041283133)</f>
        <v>2.777448304</v>
      </c>
      <c r="BE411" s="4"/>
      <c r="BF411" s="4"/>
      <c r="BG411" s="4">
        <f>IFERROR(__xludf.DUMMYFUNCTION("""COMPUTED_VALUE"""),-2.2705861656672823)</f>
        <v>-2.270586166</v>
      </c>
      <c r="BH411" s="4"/>
      <c r="BI411" s="4"/>
      <c r="BJ411" s="4"/>
      <c r="BK411" s="4"/>
    </row>
    <row r="412">
      <c r="A412" s="4"/>
      <c r="B412" s="4"/>
      <c r="C412" s="4"/>
      <c r="D412" s="4">
        <f>IFERROR(__xludf.DUMMYFUNCTION("""COMPUTED_VALUE"""),-165.29330378416657)</f>
        <v>-165.2933038</v>
      </c>
      <c r="E412" s="23">
        <f>IFERROR(__xludf.DUMMYFUNCTION("""COMPUTED_VALUE"""),0.6961061291225974)</f>
        <v>0.6961061291</v>
      </c>
      <c r="F412" s="4"/>
      <c r="G412" s="4"/>
      <c r="H412" s="4">
        <f>IFERROR(__xludf.DUMMYFUNCTION("""COMPUTED_VALUE"""),-2.725606832371625)</f>
        <v>-2.725606832</v>
      </c>
      <c r="I412" s="4"/>
      <c r="J412" s="4"/>
      <c r="K412" s="4">
        <f>IFERROR(__xludf.DUMMYFUNCTION("""COMPUTED_VALUE"""),-2.401586955826758)</f>
        <v>-2.401586956</v>
      </c>
      <c r="L412" s="4"/>
      <c r="M412" s="4"/>
      <c r="N412" s="4">
        <f>IFERROR(__xludf.DUMMYFUNCTION("""COMPUTED_VALUE"""),0.9650154376709565)</f>
        <v>0.9650154377</v>
      </c>
      <c r="O412" s="4"/>
      <c r="P412" s="4"/>
      <c r="Q412" s="4">
        <f>IFERROR(__xludf.DUMMYFUNCTION("""COMPUTED_VALUE"""),-3.393996870104843)</f>
        <v>-3.39399687</v>
      </c>
      <c r="R412" s="4"/>
      <c r="S412" s="4"/>
      <c r="T412" s="4">
        <f>IFERROR(__xludf.DUMMYFUNCTION("""COMPUTED_VALUE"""),3.849038901133383)</f>
        <v>3.849038901</v>
      </c>
      <c r="U412" s="4"/>
      <c r="V412" s="4"/>
      <c r="W412" s="4">
        <f>IFERROR(__xludf.DUMMYFUNCTION("""COMPUTED_VALUE"""),-3.7440424872453377)</f>
        <v>-3.744042487</v>
      </c>
      <c r="X412" s="4"/>
      <c r="Y412" s="4"/>
      <c r="Z412" s="4">
        <f>IFERROR(__xludf.DUMMYFUNCTION("""COMPUTED_VALUE"""),2.8783497567912377)</f>
        <v>2.878349757</v>
      </c>
      <c r="AA412" s="4"/>
      <c r="AB412" s="4"/>
      <c r="AC412" s="4">
        <f>IFERROR(__xludf.DUMMYFUNCTION("""COMPUTED_VALUE"""),-2.614312236748333)</f>
        <v>-2.614312237</v>
      </c>
      <c r="AD412" s="4"/>
      <c r="AE412" s="4"/>
      <c r="AF412" s="4">
        <f>IFERROR(__xludf.DUMMYFUNCTION("""COMPUTED_VALUE"""),-1.019984461364686)</f>
        <v>-1.019984461</v>
      </c>
      <c r="AG412" s="4"/>
      <c r="AH412" s="4"/>
      <c r="AI412" s="4">
        <f>IFERROR(__xludf.DUMMYFUNCTION("""COMPUTED_VALUE"""),-0.9180808463012227)</f>
        <v>-0.9180808463</v>
      </c>
      <c r="AJ412" s="4"/>
      <c r="AK412" s="4"/>
      <c r="AL412" s="4">
        <f>IFERROR(__xludf.DUMMYFUNCTION("""COMPUTED_VALUE"""),-2.8833403923335936)</f>
        <v>-2.883340392</v>
      </c>
      <c r="AM412" s="4"/>
      <c r="AN412" s="4"/>
      <c r="AO412" s="4">
        <f>IFERROR(__xludf.DUMMYFUNCTION("""COMPUTED_VALUE"""),-2.501339226291691)</f>
        <v>-2.501339226</v>
      </c>
      <c r="AP412" s="4"/>
      <c r="AQ412" s="4"/>
      <c r="AR412" s="4">
        <f>IFERROR(__xludf.DUMMYFUNCTION("""COMPUTED_VALUE"""),1.604206516024533)</f>
        <v>1.604206516</v>
      </c>
      <c r="AS412" s="4"/>
      <c r="AT412" s="4"/>
      <c r="AU412" s="4">
        <f>IFERROR(__xludf.DUMMYFUNCTION("""COMPUTED_VALUE"""),3.269142187116131)</f>
        <v>3.269142187</v>
      </c>
      <c r="AV412" s="4"/>
      <c r="AW412" s="4"/>
      <c r="AX412" s="4">
        <f>IFERROR(__xludf.DUMMYFUNCTION("""COMPUTED_VALUE"""),1.4025895211190118)</f>
        <v>1.402589521</v>
      </c>
      <c r="AY412" s="4"/>
      <c r="AZ412" s="4"/>
      <c r="BA412" s="4">
        <f>IFERROR(__xludf.DUMMYFUNCTION("""COMPUTED_VALUE"""),5.485119669674702)</f>
        <v>5.48511967</v>
      </c>
      <c r="BB412" s="4"/>
      <c r="BC412" s="4"/>
      <c r="BD412" s="4">
        <f>IFERROR(__xludf.DUMMYFUNCTION("""COMPUTED_VALUE"""),-1.2765232962987056)</f>
        <v>-1.276523296</v>
      </c>
      <c r="BE412" s="4"/>
      <c r="BF412" s="4"/>
      <c r="BG412" s="4">
        <f>IFERROR(__xludf.DUMMYFUNCTION("""COMPUTED_VALUE"""),-0.5421852852172151)</f>
        <v>-0.5421852852</v>
      </c>
      <c r="BH412" s="4"/>
      <c r="BI412" s="4"/>
      <c r="BJ412" s="4"/>
      <c r="BK412" s="4"/>
    </row>
    <row r="413">
      <c r="A413" s="4"/>
      <c r="B413" s="4"/>
      <c r="C413" s="4"/>
      <c r="D413" s="4">
        <f>IFERROR(__xludf.DUMMYFUNCTION("""COMPUTED_VALUE"""),-166.21159991480133)</f>
        <v>-166.2115999</v>
      </c>
      <c r="E413" s="23">
        <f>IFERROR(__xludf.DUMMYFUNCTION("""COMPUTED_VALUE"""),2.5539021281890086)</f>
        <v>2.553902128</v>
      </c>
      <c r="F413" s="4"/>
      <c r="G413" s="4"/>
      <c r="H413" s="4">
        <f>IFERROR(__xludf.DUMMYFUNCTION("""COMPUTED_VALUE"""),-2.62304133635638)</f>
        <v>-2.623041336</v>
      </c>
      <c r="I413" s="4"/>
      <c r="J413" s="4"/>
      <c r="K413" s="4">
        <f>IFERROR(__xludf.DUMMYFUNCTION("""COMPUTED_VALUE"""),3.5612267786706866)</f>
        <v>3.561226779</v>
      </c>
      <c r="L413" s="4"/>
      <c r="M413" s="4"/>
      <c r="N413" s="4">
        <f>IFERROR(__xludf.DUMMYFUNCTION("""COMPUTED_VALUE"""),5.018900357860673)</f>
        <v>5.018900358</v>
      </c>
      <c r="O413" s="4"/>
      <c r="P413" s="4"/>
      <c r="Q413" s="4">
        <f>IFERROR(__xludf.DUMMYFUNCTION("""COMPUTED_VALUE"""),-2.3723282176230214)</f>
        <v>-2.372328218</v>
      </c>
      <c r="R413" s="4"/>
      <c r="S413" s="4"/>
      <c r="T413" s="4">
        <f>IFERROR(__xludf.DUMMYFUNCTION("""COMPUTED_VALUE"""),4.3358295067907875)</f>
        <v>4.335829507</v>
      </c>
      <c r="U413" s="4"/>
      <c r="V413" s="4"/>
      <c r="W413" s="4">
        <f>IFERROR(__xludf.DUMMYFUNCTION("""COMPUTED_VALUE"""),3.9982877712897107)</f>
        <v>3.998287771</v>
      </c>
      <c r="X413" s="4"/>
      <c r="Y413" s="4"/>
      <c r="Z413" s="4">
        <f>IFERROR(__xludf.DUMMYFUNCTION("""COMPUTED_VALUE"""),6.226772288660584)</f>
        <v>6.226772289</v>
      </c>
      <c r="AA413" s="4"/>
      <c r="AB413" s="4"/>
      <c r="AC413" s="4">
        <f>IFERROR(__xludf.DUMMYFUNCTION("""COMPUTED_VALUE"""),-2.388761237752419)</f>
        <v>-2.388761238</v>
      </c>
      <c r="AD413" s="4"/>
      <c r="AE413" s="4"/>
      <c r="AF413" s="4">
        <f>IFERROR(__xludf.DUMMYFUNCTION("""COMPUTED_VALUE"""),-5.682965261884249)</f>
        <v>-5.682965262</v>
      </c>
      <c r="AG413" s="4"/>
      <c r="AH413" s="4"/>
      <c r="AI413" s="4">
        <f>IFERROR(__xludf.DUMMYFUNCTION("""COMPUTED_VALUE"""),4.174232084877588)</f>
        <v>4.174232085</v>
      </c>
      <c r="AJ413" s="4"/>
      <c r="AK413" s="4"/>
      <c r="AL413" s="4">
        <f>IFERROR(__xludf.DUMMYFUNCTION("""COMPUTED_VALUE"""),-1.6175827174433834)</f>
        <v>-1.617582717</v>
      </c>
      <c r="AM413" s="4"/>
      <c r="AN413" s="4"/>
      <c r="AO413" s="4">
        <f>IFERROR(__xludf.DUMMYFUNCTION("""COMPUTED_VALUE"""),-8.15119298693179)</f>
        <v>-8.151192987</v>
      </c>
      <c r="AP413" s="4"/>
      <c r="AQ413" s="4"/>
      <c r="AR413" s="4">
        <f>IFERROR(__xludf.DUMMYFUNCTION("""COMPUTED_VALUE"""),4.386184188854713)</f>
        <v>4.386184189</v>
      </c>
      <c r="AS413" s="4"/>
      <c r="AT413" s="4"/>
      <c r="AU413" s="4">
        <f>IFERROR(__xludf.DUMMYFUNCTION("""COMPUTED_VALUE"""),3.667030261314437)</f>
        <v>3.667030261</v>
      </c>
      <c r="AV413" s="4"/>
      <c r="AW413" s="4"/>
      <c r="AX413" s="4">
        <f>IFERROR(__xludf.DUMMYFUNCTION("""COMPUTED_VALUE"""),-0.004831539177587274)</f>
        <v>-0.004831539178</v>
      </c>
      <c r="AY413" s="4"/>
      <c r="AZ413" s="4"/>
      <c r="BA413" s="4">
        <f>IFERROR(__xludf.DUMMYFUNCTION("""COMPUTED_VALUE"""),-1.3504733566213076)</f>
        <v>-1.350473357</v>
      </c>
      <c r="BB413" s="4"/>
      <c r="BC413" s="4"/>
      <c r="BD413" s="4">
        <f>IFERROR(__xludf.DUMMYFUNCTION("""COMPUTED_VALUE"""),-2.698167358502076)</f>
        <v>-2.698167359</v>
      </c>
      <c r="BE413" s="4"/>
      <c r="BF413" s="4"/>
      <c r="BG413" s="4">
        <f>IFERROR(__xludf.DUMMYFUNCTION("""COMPUTED_VALUE"""),-3.685371857272628)</f>
        <v>-3.685371857</v>
      </c>
      <c r="BH413" s="4"/>
      <c r="BI413" s="4"/>
      <c r="BJ413" s="4"/>
      <c r="BK413" s="4"/>
    </row>
    <row r="414">
      <c r="A414" s="4"/>
      <c r="B414" s="4"/>
      <c r="C414" s="4"/>
      <c r="D414" s="4">
        <f>IFERROR(__xludf.DUMMYFUNCTION("""COMPUTED_VALUE"""),-167.12989604760145)</f>
        <v>-167.129896</v>
      </c>
      <c r="E414" s="23">
        <f>IFERROR(__xludf.DUMMYFUNCTION("""COMPUTED_VALUE"""),2.762924137998141)</f>
        <v>2.762924138</v>
      </c>
      <c r="F414" s="4"/>
      <c r="G414" s="4"/>
      <c r="H414" s="4">
        <f>IFERROR(__xludf.DUMMYFUNCTION("""COMPUTED_VALUE"""),4.836667760349371)</f>
        <v>4.83666776</v>
      </c>
      <c r="I414" s="4"/>
      <c r="J414" s="4"/>
      <c r="K414" s="4">
        <f>IFERROR(__xludf.DUMMYFUNCTION("""COMPUTED_VALUE"""),-1.232608572823267)</f>
        <v>-1.232608573</v>
      </c>
      <c r="L414" s="4"/>
      <c r="M414" s="4"/>
      <c r="N414" s="4">
        <f>IFERROR(__xludf.DUMMYFUNCTION("""COMPUTED_VALUE"""),-1.5047523618931677)</f>
        <v>-1.504752362</v>
      </c>
      <c r="O414" s="4"/>
      <c r="P414" s="4"/>
      <c r="Q414" s="4">
        <f>IFERROR(__xludf.DUMMYFUNCTION("""COMPUTED_VALUE"""),2.668438132020981)</f>
        <v>2.668438132</v>
      </c>
      <c r="R414" s="4"/>
      <c r="S414" s="4"/>
      <c r="T414" s="4">
        <f>IFERROR(__xludf.DUMMYFUNCTION("""COMPUTED_VALUE"""),-0.16077905124120662)</f>
        <v>-0.1607790512</v>
      </c>
      <c r="U414" s="4"/>
      <c r="V414" s="4"/>
      <c r="W414" s="4">
        <f>IFERROR(__xludf.DUMMYFUNCTION("""COMPUTED_VALUE"""),-4.306784988258983)</f>
        <v>-4.306784988</v>
      </c>
      <c r="X414" s="4"/>
      <c r="Y414" s="4"/>
      <c r="Z414" s="4">
        <f>IFERROR(__xludf.DUMMYFUNCTION("""COMPUTED_VALUE"""),0.7556106445606474)</f>
        <v>0.7556106446</v>
      </c>
      <c r="AA414" s="4"/>
      <c r="AB414" s="4"/>
      <c r="AC414" s="4">
        <f>IFERROR(__xludf.DUMMYFUNCTION("""COMPUTED_VALUE"""),-2.287900490167658)</f>
        <v>-2.28790049</v>
      </c>
      <c r="AD414" s="4"/>
      <c r="AE414" s="4"/>
      <c r="AF414" s="4">
        <f>IFERROR(__xludf.DUMMYFUNCTION("""COMPUTED_VALUE"""),-5.075877349703035)</f>
        <v>-5.07587735</v>
      </c>
      <c r="AG414" s="4"/>
      <c r="AH414" s="4"/>
      <c r="AI414" s="4">
        <f>IFERROR(__xludf.DUMMYFUNCTION("""COMPUTED_VALUE"""),-3.2734031245383903)</f>
        <v>-3.273403125</v>
      </c>
      <c r="AJ414" s="4"/>
      <c r="AK414" s="4"/>
      <c r="AL414" s="4">
        <f>IFERROR(__xludf.DUMMYFUNCTION("""COMPUTED_VALUE"""),2.6581734371029597)</f>
        <v>2.658173437</v>
      </c>
      <c r="AM414" s="4"/>
      <c r="AN414" s="4"/>
      <c r="AO414" s="4">
        <f>IFERROR(__xludf.DUMMYFUNCTION("""COMPUTED_VALUE"""),1.2440630315956014)</f>
        <v>1.244063032</v>
      </c>
      <c r="AP414" s="4"/>
      <c r="AQ414" s="4"/>
      <c r="AR414" s="4">
        <f>IFERROR(__xludf.DUMMYFUNCTION("""COMPUTED_VALUE"""),0.3464026849495099)</f>
        <v>0.3464026849</v>
      </c>
      <c r="AS414" s="4"/>
      <c r="AT414" s="4"/>
      <c r="AU414" s="4">
        <f>IFERROR(__xludf.DUMMYFUNCTION("""COMPUTED_VALUE"""),-1.2693073645314712)</f>
        <v>-1.269307365</v>
      </c>
      <c r="AV414" s="4"/>
      <c r="AW414" s="4"/>
      <c r="AX414" s="4">
        <f>IFERROR(__xludf.DUMMYFUNCTION("""COMPUTED_VALUE"""),-2.3746455451081943)</f>
        <v>-2.374645545</v>
      </c>
      <c r="AY414" s="4"/>
      <c r="AZ414" s="4"/>
      <c r="BA414" s="4">
        <f>IFERROR(__xludf.DUMMYFUNCTION("""COMPUTED_VALUE"""),-0.6308747944682409)</f>
        <v>-0.6308747945</v>
      </c>
      <c r="BB414" s="4"/>
      <c r="BC414" s="4"/>
      <c r="BD414" s="4">
        <f>IFERROR(__xludf.DUMMYFUNCTION("""COMPUTED_VALUE"""),0.8108698299578805)</f>
        <v>0.81086983</v>
      </c>
      <c r="BE414" s="4"/>
      <c r="BF414" s="4"/>
      <c r="BG414" s="4">
        <f>IFERROR(__xludf.DUMMYFUNCTION("""COMPUTED_VALUE"""),6.045506704301829)</f>
        <v>6.045506704</v>
      </c>
      <c r="BH414" s="4"/>
      <c r="BI414" s="4"/>
      <c r="BJ414" s="4"/>
      <c r="BK414" s="4"/>
    </row>
    <row r="415">
      <c r="A415" s="4"/>
      <c r="B415" s="4"/>
      <c r="C415" s="4"/>
      <c r="D415" s="4">
        <f>IFERROR(__xludf.DUMMYFUNCTION("""COMPUTED_VALUE"""),-168.04819218035115)</f>
        <v>-168.0481922</v>
      </c>
      <c r="E415" s="23">
        <f>IFERROR(__xludf.DUMMYFUNCTION("""COMPUTED_VALUE"""),0.40293647169932)</f>
        <v>0.4029364717</v>
      </c>
      <c r="F415" s="4"/>
      <c r="G415" s="4"/>
      <c r="H415" s="4">
        <f>IFERROR(__xludf.DUMMYFUNCTION("""COMPUTED_VALUE"""),2.0828131151703246)</f>
        <v>2.082813115</v>
      </c>
      <c r="I415" s="4"/>
      <c r="J415" s="4"/>
      <c r="K415" s="4">
        <f>IFERROR(__xludf.DUMMYFUNCTION("""COMPUTED_VALUE"""),-4.138919132085107)</f>
        <v>-4.138919132</v>
      </c>
      <c r="L415" s="4"/>
      <c r="M415" s="4"/>
      <c r="N415" s="4">
        <f>IFERROR(__xludf.DUMMYFUNCTION("""COMPUTED_VALUE"""),-6.008031380706768)</f>
        <v>-6.008031381</v>
      </c>
      <c r="O415" s="4"/>
      <c r="P415" s="4"/>
      <c r="Q415" s="4">
        <f>IFERROR(__xludf.DUMMYFUNCTION("""COMPUTED_VALUE"""),0.8913514463509387)</f>
        <v>0.8913514464</v>
      </c>
      <c r="R415" s="4"/>
      <c r="S415" s="4"/>
      <c r="T415" s="4">
        <f>IFERROR(__xludf.DUMMYFUNCTION("""COMPUTED_VALUE"""),-5.559834191806374)</f>
        <v>-5.559834192</v>
      </c>
      <c r="U415" s="4"/>
      <c r="V415" s="4"/>
      <c r="W415" s="4">
        <f>IFERROR(__xludf.DUMMYFUNCTION("""COMPUTED_VALUE"""),1.2586604949015054)</f>
        <v>1.258660495</v>
      </c>
      <c r="X415" s="4"/>
      <c r="Y415" s="4"/>
      <c r="Z415" s="4">
        <f>IFERROR(__xludf.DUMMYFUNCTION("""COMPUTED_VALUE"""),-1.7042811149340764)</f>
        <v>-1.704281115</v>
      </c>
      <c r="AA415" s="4"/>
      <c r="AB415" s="4"/>
      <c r="AC415" s="4">
        <f>IFERROR(__xludf.DUMMYFUNCTION("""COMPUTED_VALUE"""),-1.3698958018678127)</f>
        <v>-1.369895802</v>
      </c>
      <c r="AD415" s="4"/>
      <c r="AE415" s="4"/>
      <c r="AF415" s="4">
        <f>IFERROR(__xludf.DUMMYFUNCTION("""COMPUTED_VALUE"""),-0.4230757455231924)</f>
        <v>-0.4230757455</v>
      </c>
      <c r="AG415" s="4"/>
      <c r="AH415" s="4"/>
      <c r="AI415" s="4">
        <f>IFERROR(__xludf.DUMMYFUNCTION("""COMPUTED_VALUE"""),-0.12393083808234451)</f>
        <v>-0.1239308381</v>
      </c>
      <c r="AJ415" s="4"/>
      <c r="AK415" s="4"/>
      <c r="AL415" s="4">
        <f>IFERROR(__xludf.DUMMYFUNCTION("""COMPUTED_VALUE"""),0.6042241948098308)</f>
        <v>0.6042241948</v>
      </c>
      <c r="AM415" s="4"/>
      <c r="AN415" s="4"/>
      <c r="AO415" s="4">
        <f>IFERROR(__xludf.DUMMYFUNCTION("""COMPUTED_VALUE"""),-1.4255210133673586)</f>
        <v>-1.425521013</v>
      </c>
      <c r="AP415" s="4"/>
      <c r="AQ415" s="4"/>
      <c r="AR415" s="4">
        <f>IFERROR(__xludf.DUMMYFUNCTION("""COMPUTED_VALUE"""),3.5709439997792174)</f>
        <v>3.570944</v>
      </c>
      <c r="AS415" s="4"/>
      <c r="AT415" s="4"/>
      <c r="AU415" s="4">
        <f>IFERROR(__xludf.DUMMYFUNCTION("""COMPUTED_VALUE"""),-0.780475510112808)</f>
        <v>-0.7804755101</v>
      </c>
      <c r="AV415" s="4"/>
      <c r="AW415" s="4"/>
      <c r="AX415" s="4">
        <f>IFERROR(__xludf.DUMMYFUNCTION("""COMPUTED_VALUE"""),-2.8761307347914453)</f>
        <v>-2.876130735</v>
      </c>
      <c r="AY415" s="4"/>
      <c r="AZ415" s="4"/>
      <c r="BA415" s="4">
        <f>IFERROR(__xludf.DUMMYFUNCTION("""COMPUTED_VALUE"""),4.43256618077578)</f>
        <v>4.432566181</v>
      </c>
      <c r="BB415" s="4"/>
      <c r="BC415" s="4"/>
      <c r="BD415" s="4">
        <f>IFERROR(__xludf.DUMMYFUNCTION("""COMPUTED_VALUE"""),-0.6636711367114003)</f>
        <v>-0.6636711367</v>
      </c>
      <c r="BE415" s="4"/>
      <c r="BF415" s="4"/>
      <c r="BG415" s="4">
        <f>IFERROR(__xludf.DUMMYFUNCTION("""COMPUTED_VALUE"""),2.2050633761247695)</f>
        <v>2.205063376</v>
      </c>
      <c r="BH415" s="4"/>
      <c r="BI415" s="4"/>
      <c r="BJ415" s="4"/>
      <c r="BK415" s="4"/>
    </row>
    <row r="416">
      <c r="A416" s="4"/>
      <c r="B416" s="4"/>
      <c r="C416" s="4"/>
      <c r="D416" s="4">
        <f>IFERROR(__xludf.DUMMYFUNCTION("""COMPUTED_VALUE"""),-168.96648831315122)</f>
        <v>-168.9664883</v>
      </c>
      <c r="E416" s="23">
        <f>IFERROR(__xludf.DUMMYFUNCTION("""COMPUTED_VALUE"""),2.189303738950173)</f>
        <v>2.189303739</v>
      </c>
      <c r="F416" s="4"/>
      <c r="G416" s="4"/>
      <c r="H416" s="4">
        <f>IFERROR(__xludf.DUMMYFUNCTION("""COMPUTED_VALUE"""),-3.1340242195320798)</f>
        <v>-3.13402422</v>
      </c>
      <c r="I416" s="4"/>
      <c r="J416" s="4"/>
      <c r="K416" s="4">
        <f>IFERROR(__xludf.DUMMYFUNCTION("""COMPUTED_VALUE"""),-1.8185899469126525)</f>
        <v>-1.818589947</v>
      </c>
      <c r="L416" s="4"/>
      <c r="M416" s="4"/>
      <c r="N416" s="4">
        <f>IFERROR(__xludf.DUMMYFUNCTION("""COMPUTED_VALUE"""),-4.9079112432143575)</f>
        <v>-4.907911243</v>
      </c>
      <c r="O416" s="4"/>
      <c r="P416" s="4"/>
      <c r="Q416" s="4">
        <f>IFERROR(__xludf.DUMMYFUNCTION("""COMPUTED_VALUE"""),0.5489735645953715)</f>
        <v>0.5489735646</v>
      </c>
      <c r="R416" s="4"/>
      <c r="S416" s="4"/>
      <c r="T416" s="4">
        <f>IFERROR(__xludf.DUMMYFUNCTION("""COMPUTED_VALUE"""),-3.473959365382086)</f>
        <v>-3.473959365</v>
      </c>
      <c r="U416" s="4"/>
      <c r="V416" s="4"/>
      <c r="W416" s="4">
        <f>IFERROR(__xludf.DUMMYFUNCTION("""COMPUTED_VALUE"""),3.714748430812733)</f>
        <v>3.714748431</v>
      </c>
      <c r="X416" s="4"/>
      <c r="Y416" s="4"/>
      <c r="Z416" s="4">
        <f>IFERROR(__xludf.DUMMYFUNCTION("""COMPUTED_VALUE"""),-1.9360326880359935)</f>
        <v>-1.936032688</v>
      </c>
      <c r="AA416" s="4"/>
      <c r="AB416" s="4"/>
      <c r="AC416" s="4">
        <f>IFERROR(__xludf.DUMMYFUNCTION("""COMPUTED_VALUE"""),1.1864367374263338)</f>
        <v>1.186436737</v>
      </c>
      <c r="AD416" s="4"/>
      <c r="AE416" s="4"/>
      <c r="AF416" s="4">
        <f>IFERROR(__xludf.DUMMYFUNCTION("""COMPUTED_VALUE"""),-0.24203549620477816)</f>
        <v>-0.2420354962</v>
      </c>
      <c r="AG416" s="4"/>
      <c r="AH416" s="4"/>
      <c r="AI416" s="4">
        <f>IFERROR(__xludf.DUMMYFUNCTION("""COMPUTED_VALUE"""),3.460025328332506)</f>
        <v>3.460025328</v>
      </c>
      <c r="AJ416" s="4"/>
      <c r="AK416" s="4"/>
      <c r="AL416" s="4">
        <f>IFERROR(__xludf.DUMMYFUNCTION("""COMPUTED_VALUE"""),-3.6257385159122464)</f>
        <v>-3.625738516</v>
      </c>
      <c r="AM416" s="4"/>
      <c r="AN416" s="4"/>
      <c r="AO416" s="4">
        <f>IFERROR(__xludf.DUMMYFUNCTION("""COMPUTED_VALUE"""),-0.8014461144875327)</f>
        <v>-0.8014461145</v>
      </c>
      <c r="AP416" s="4"/>
      <c r="AQ416" s="4"/>
      <c r="AR416" s="4">
        <f>IFERROR(__xludf.DUMMYFUNCTION("""COMPUTED_VALUE"""),1.5076142393693885)</f>
        <v>1.507614239</v>
      </c>
      <c r="AS416" s="4"/>
      <c r="AT416" s="4"/>
      <c r="AU416" s="4">
        <f>IFERROR(__xludf.DUMMYFUNCTION("""COMPUTED_VALUE"""),2.4270352449715915)</f>
        <v>2.427035245</v>
      </c>
      <c r="AV416" s="4"/>
      <c r="AW416" s="4"/>
      <c r="AX416" s="4">
        <f>IFERROR(__xludf.DUMMYFUNCTION("""COMPUTED_VALUE"""),3.077371950603606)</f>
        <v>3.077371951</v>
      </c>
      <c r="AY416" s="4"/>
      <c r="AZ416" s="4"/>
      <c r="BA416" s="4">
        <f>IFERROR(__xludf.DUMMYFUNCTION("""COMPUTED_VALUE"""),5.4465220260550495)</f>
        <v>5.446522026</v>
      </c>
      <c r="BB416" s="4"/>
      <c r="BC416" s="4"/>
      <c r="BD416" s="4">
        <f>IFERROR(__xludf.DUMMYFUNCTION("""COMPUTED_VALUE"""),-4.057285191220046)</f>
        <v>-4.057285191</v>
      </c>
      <c r="BE416" s="4"/>
      <c r="BF416" s="4"/>
      <c r="BG416" s="4">
        <f>IFERROR(__xludf.DUMMYFUNCTION("""COMPUTED_VALUE"""),-1.9803373163297238)</f>
        <v>-1.980337316</v>
      </c>
      <c r="BH416" s="4"/>
      <c r="BI416" s="4"/>
      <c r="BJ416" s="4"/>
      <c r="BK416" s="4"/>
    </row>
    <row r="417">
      <c r="A417" s="4"/>
      <c r="B417" s="4"/>
      <c r="C417" s="4"/>
      <c r="D417" s="4">
        <f>IFERROR(__xludf.DUMMYFUNCTION("""COMPUTED_VALUE"""),-169.88478444383634)</f>
        <v>-169.8847844</v>
      </c>
      <c r="E417" s="23">
        <f>IFERROR(__xludf.DUMMYFUNCTION("""COMPUTED_VALUE"""),0.36140321719045687)</f>
        <v>0.3614032172</v>
      </c>
      <c r="F417" s="4"/>
      <c r="G417" s="4"/>
      <c r="H417" s="4">
        <f>IFERROR(__xludf.DUMMYFUNCTION("""COMPUTED_VALUE"""),-5.189268952668328)</f>
        <v>-5.189268953</v>
      </c>
      <c r="I417" s="4"/>
      <c r="J417" s="4"/>
      <c r="K417" s="4">
        <f>IFERROR(__xludf.DUMMYFUNCTION("""COMPUTED_VALUE"""),2.212331599134984)</f>
        <v>2.212331599</v>
      </c>
      <c r="L417" s="4"/>
      <c r="M417" s="4"/>
      <c r="N417" s="4">
        <f>IFERROR(__xludf.DUMMYFUNCTION("""COMPUTED_VALUE"""),4.0461589493666)</f>
        <v>4.046158949</v>
      </c>
      <c r="O417" s="4"/>
      <c r="P417" s="4"/>
      <c r="Q417" s="4">
        <f>IFERROR(__xludf.DUMMYFUNCTION("""COMPUTED_VALUE"""),-0.6730714519345042)</f>
        <v>-0.6730714519</v>
      </c>
      <c r="R417" s="4"/>
      <c r="S417" s="4"/>
      <c r="T417" s="4">
        <f>IFERROR(__xludf.DUMMYFUNCTION("""COMPUTED_VALUE"""),-1.408672400557407)</f>
        <v>-1.408672401</v>
      </c>
      <c r="U417" s="4"/>
      <c r="V417" s="4"/>
      <c r="W417" s="4">
        <f>IFERROR(__xludf.DUMMYFUNCTION("""COMPUTED_VALUE"""),3.831249058732226)</f>
        <v>3.831249059</v>
      </c>
      <c r="X417" s="4"/>
      <c r="Y417" s="4"/>
      <c r="Z417" s="4">
        <f>IFERROR(__xludf.DUMMYFUNCTION("""COMPUTED_VALUE"""),2.2725664504522456)</f>
        <v>2.27256645</v>
      </c>
      <c r="AA417" s="4"/>
      <c r="AB417" s="4"/>
      <c r="AC417" s="4">
        <f>IFERROR(__xludf.DUMMYFUNCTION("""COMPUTED_VALUE"""),1.5807476886048448)</f>
        <v>1.580747689</v>
      </c>
      <c r="AD417" s="4"/>
      <c r="AE417" s="4"/>
      <c r="AF417" s="4">
        <f>IFERROR(__xludf.DUMMYFUNCTION("""COMPUTED_VALUE"""),-5.384516643451548)</f>
        <v>-5.384516643</v>
      </c>
      <c r="AG417" s="4"/>
      <c r="AH417" s="4"/>
      <c r="AI417" s="4">
        <f>IFERROR(__xludf.DUMMYFUNCTION("""COMPUTED_VALUE"""),-4.209415844377531)</f>
        <v>-4.209415844</v>
      </c>
      <c r="AJ417" s="4"/>
      <c r="AK417" s="4"/>
      <c r="AL417" s="4">
        <f>IFERROR(__xludf.DUMMYFUNCTION("""COMPUTED_VALUE"""),6.61776445526084)</f>
        <v>6.617764455</v>
      </c>
      <c r="AM417" s="4"/>
      <c r="AN417" s="4"/>
      <c r="AO417" s="4">
        <f>IFERROR(__xludf.DUMMYFUNCTION("""COMPUTED_VALUE"""),-3.726283800157944)</f>
        <v>-3.7262838</v>
      </c>
      <c r="AP417" s="4"/>
      <c r="AQ417" s="4"/>
      <c r="AR417" s="4">
        <f>IFERROR(__xludf.DUMMYFUNCTION("""COMPUTED_VALUE"""),-0.9117319719185275)</f>
        <v>-0.9117319719</v>
      </c>
      <c r="AS417" s="4"/>
      <c r="AT417" s="4"/>
      <c r="AU417" s="4">
        <f>IFERROR(__xludf.DUMMYFUNCTION("""COMPUTED_VALUE"""),3.786179578075064)</f>
        <v>3.786179578</v>
      </c>
      <c r="AV417" s="4"/>
      <c r="AW417" s="4"/>
      <c r="AX417" s="4">
        <f>IFERROR(__xludf.DUMMYFUNCTION("""COMPUTED_VALUE"""),-0.3148142518633108)</f>
        <v>-0.3148142519</v>
      </c>
      <c r="AY417" s="4"/>
      <c r="AZ417" s="4"/>
      <c r="BA417" s="4">
        <f>IFERROR(__xludf.DUMMYFUNCTION("""COMPUTED_VALUE"""),0.783559733377615)</f>
        <v>0.7835597334</v>
      </c>
      <c r="BB417" s="4"/>
      <c r="BC417" s="4"/>
      <c r="BD417" s="4">
        <f>IFERROR(__xludf.DUMMYFUNCTION("""COMPUTED_VALUE"""),-4.524014012917291)</f>
        <v>-4.524014013</v>
      </c>
      <c r="BE417" s="4"/>
      <c r="BF417" s="4"/>
      <c r="BG417" s="4">
        <f>IFERROR(__xludf.DUMMYFUNCTION("""COMPUTED_VALUE"""),2.3100532789687804)</f>
        <v>2.310053279</v>
      </c>
      <c r="BH417" s="4"/>
      <c r="BI417" s="4"/>
      <c r="BJ417" s="4"/>
      <c r="BK417" s="4"/>
    </row>
    <row r="418">
      <c r="A418" s="4"/>
      <c r="B418" s="4"/>
      <c r="C418" s="4"/>
      <c r="D418" s="4">
        <f>IFERROR(__xludf.DUMMYFUNCTION("""COMPUTED_VALUE"""),-170.8030805765861)</f>
        <v>-170.8030806</v>
      </c>
      <c r="E418" s="23">
        <f>IFERROR(__xludf.DUMMYFUNCTION("""COMPUTED_VALUE"""),-0.11028332230023352)</f>
        <v>-0.1102833223</v>
      </c>
      <c r="F418" s="4"/>
      <c r="G418" s="4"/>
      <c r="H418" s="4">
        <f>IFERROR(__xludf.DUMMYFUNCTION("""COMPUTED_VALUE"""),0.6553202539713538)</f>
        <v>0.655320254</v>
      </c>
      <c r="I418" s="4"/>
      <c r="J418" s="4"/>
      <c r="K418" s="4">
        <f>IFERROR(__xludf.DUMMYFUNCTION("""COMPUTED_VALUE"""),-0.06355506861666527)</f>
        <v>-0.06355506862</v>
      </c>
      <c r="L418" s="4"/>
      <c r="M418" s="4"/>
      <c r="N418" s="4">
        <f>IFERROR(__xludf.DUMMYFUNCTION("""COMPUTED_VALUE"""),1.9212347149809261)</f>
        <v>1.921234715</v>
      </c>
      <c r="O418" s="4"/>
      <c r="P418" s="4"/>
      <c r="Q418" s="4">
        <f>IFERROR(__xludf.DUMMYFUNCTION("""COMPUTED_VALUE"""),2.593400825064691)</f>
        <v>2.593400825</v>
      </c>
      <c r="R418" s="4"/>
      <c r="S418" s="4"/>
      <c r="T418" s="4">
        <f>IFERROR(__xludf.DUMMYFUNCTION("""COMPUTED_VALUE"""),1.5992480491113383)</f>
        <v>1.599248049</v>
      </c>
      <c r="U418" s="4"/>
      <c r="V418" s="4"/>
      <c r="W418" s="4">
        <f>IFERROR(__xludf.DUMMYFUNCTION("""COMPUTED_VALUE"""),-4.199770997685562)</f>
        <v>-4.199770998</v>
      </c>
      <c r="X418" s="4"/>
      <c r="Y418" s="4"/>
      <c r="Z418" s="4">
        <f>IFERROR(__xludf.DUMMYFUNCTION("""COMPUTED_VALUE"""),-2.954558626779658)</f>
        <v>-2.954558627</v>
      </c>
      <c r="AA418" s="4"/>
      <c r="AB418" s="4"/>
      <c r="AC418" s="4">
        <f>IFERROR(__xludf.DUMMYFUNCTION("""COMPUTED_VALUE"""),-1.6694541473415256)</f>
        <v>-1.669454147</v>
      </c>
      <c r="AD418" s="4"/>
      <c r="AE418" s="4"/>
      <c r="AF418" s="4">
        <f>IFERROR(__xludf.DUMMYFUNCTION("""COMPUTED_VALUE"""),-0.3821858332242414)</f>
        <v>-0.3821858332</v>
      </c>
      <c r="AG418" s="4"/>
      <c r="AH418" s="4"/>
      <c r="AI418" s="4">
        <f>IFERROR(__xludf.DUMMYFUNCTION("""COMPUTED_VALUE"""),-1.7090640591247848)</f>
        <v>-1.709064059</v>
      </c>
      <c r="AJ418" s="4"/>
      <c r="AK418" s="4"/>
      <c r="AL418" s="4">
        <f>IFERROR(__xludf.DUMMYFUNCTION("""COMPUTED_VALUE"""),-0.6720244055923104)</f>
        <v>-0.6720244056</v>
      </c>
      <c r="AM418" s="4"/>
      <c r="AN418" s="4"/>
      <c r="AO418" s="4">
        <f>IFERROR(__xludf.DUMMYFUNCTION("""COMPUTED_VALUE"""),4.119480877245564)</f>
        <v>4.119480877</v>
      </c>
      <c r="AP418" s="4"/>
      <c r="AQ418" s="4"/>
      <c r="AR418" s="4">
        <f>IFERROR(__xludf.DUMMYFUNCTION("""COMPUTED_VALUE"""),-4.504918151655886)</f>
        <v>-4.504918152</v>
      </c>
      <c r="AS418" s="4"/>
      <c r="AT418" s="4"/>
      <c r="AU418" s="4">
        <f>IFERROR(__xludf.DUMMYFUNCTION("""COMPUTED_VALUE"""),1.9185708647559636)</f>
        <v>1.918570865</v>
      </c>
      <c r="AV418" s="4"/>
      <c r="AW418" s="4"/>
      <c r="AX418" s="4">
        <f>IFERROR(__xludf.DUMMYFUNCTION("""COMPUTED_VALUE"""),-1.264089877906656)</f>
        <v>-1.264089878</v>
      </c>
      <c r="AY418" s="4"/>
      <c r="AZ418" s="4"/>
      <c r="BA418" s="4">
        <f>IFERROR(__xludf.DUMMYFUNCTION("""COMPUTED_VALUE"""),-3.2991898691189476)</f>
        <v>-3.299189869</v>
      </c>
      <c r="BB418" s="4"/>
      <c r="BC418" s="4"/>
      <c r="BD418" s="4">
        <f>IFERROR(__xludf.DUMMYFUNCTION("""COMPUTED_VALUE"""),3.6170675368305183)</f>
        <v>3.617067537</v>
      </c>
      <c r="BE418" s="4"/>
      <c r="BF418" s="4"/>
      <c r="BG418" s="4">
        <f>IFERROR(__xludf.DUMMYFUNCTION("""COMPUTED_VALUE"""),1.5376214133747226)</f>
        <v>1.537621413</v>
      </c>
      <c r="BH418" s="4"/>
      <c r="BI418" s="4"/>
      <c r="BJ418" s="4"/>
      <c r="BK418" s="4"/>
    </row>
    <row r="419">
      <c r="A419" s="4"/>
      <c r="B419" s="4"/>
      <c r="C419" s="4"/>
      <c r="D419" s="4">
        <f>IFERROR(__xludf.DUMMYFUNCTION("""COMPUTED_VALUE"""),-171.72137670938616)</f>
        <v>-171.7213767</v>
      </c>
      <c r="E419" s="23">
        <f>IFERROR(__xludf.DUMMYFUNCTION("""COMPUTED_VALUE"""),-0.19464094512051133)</f>
        <v>-0.1946409451</v>
      </c>
      <c r="F419" s="4"/>
      <c r="G419" s="4"/>
      <c r="H419" s="4">
        <f>IFERROR(__xludf.DUMMYFUNCTION("""COMPUTED_VALUE"""),-2.500640372115811)</f>
        <v>-2.500640372</v>
      </c>
      <c r="I419" s="4"/>
      <c r="J419" s="4"/>
      <c r="K419" s="4">
        <f>IFERROR(__xludf.DUMMYFUNCTION("""COMPUTED_VALUE"""),-5.022135899306761)</f>
        <v>-5.022135899</v>
      </c>
      <c r="L419" s="4"/>
      <c r="M419" s="4"/>
      <c r="N419" s="4">
        <f>IFERROR(__xludf.DUMMYFUNCTION("""COMPUTED_VALUE"""),6.678829572603036)</f>
        <v>6.678829573</v>
      </c>
      <c r="O419" s="4"/>
      <c r="P419" s="4"/>
      <c r="Q419" s="4">
        <f>IFERROR(__xludf.DUMMYFUNCTION("""COMPUTED_VALUE"""),-0.5072229373386108)</f>
        <v>-0.5072229373</v>
      </c>
      <c r="R419" s="4"/>
      <c r="S419" s="4"/>
      <c r="T419" s="4">
        <f>IFERROR(__xludf.DUMMYFUNCTION("""COMPUTED_VALUE"""),3.34583053457834)</f>
        <v>3.345830535</v>
      </c>
      <c r="U419" s="4"/>
      <c r="V419" s="4"/>
      <c r="W419" s="4">
        <f>IFERROR(__xludf.DUMMYFUNCTION("""COMPUTED_VALUE"""),-4.631856098582375)</f>
        <v>-4.631856099</v>
      </c>
      <c r="X419" s="4"/>
      <c r="Y419" s="4"/>
      <c r="Z419" s="4">
        <f>IFERROR(__xludf.DUMMYFUNCTION("""COMPUTED_VALUE"""),-1.9830219888002034)</f>
        <v>-1.983021989</v>
      </c>
      <c r="AA419" s="4"/>
      <c r="AB419" s="4"/>
      <c r="AC419" s="4">
        <f>IFERROR(__xludf.DUMMYFUNCTION("""COMPUTED_VALUE"""),5.785799995982302)</f>
        <v>5.785799996</v>
      </c>
      <c r="AD419" s="4"/>
      <c r="AE419" s="4"/>
      <c r="AF419" s="4">
        <f>IFERROR(__xludf.DUMMYFUNCTION("""COMPUTED_VALUE"""),2.7704333275406157)</f>
        <v>2.770433328</v>
      </c>
      <c r="AG419" s="4"/>
      <c r="AH419" s="4"/>
      <c r="AI419" s="4">
        <f>IFERROR(__xludf.DUMMYFUNCTION("""COMPUTED_VALUE"""),0.10915906113291385)</f>
        <v>0.1091590611</v>
      </c>
      <c r="AJ419" s="4"/>
      <c r="AK419" s="4"/>
      <c r="AL419" s="4">
        <f>IFERROR(__xludf.DUMMYFUNCTION("""COMPUTED_VALUE"""),0.3806297710530089)</f>
        <v>0.3806297711</v>
      </c>
      <c r="AM419" s="4"/>
      <c r="AN419" s="4"/>
      <c r="AO419" s="4">
        <f>IFERROR(__xludf.DUMMYFUNCTION("""COMPUTED_VALUE"""),-2.9268890387029387)</f>
        <v>-2.926889039</v>
      </c>
      <c r="AP419" s="4"/>
      <c r="AQ419" s="4"/>
      <c r="AR419" s="4">
        <f>IFERROR(__xludf.DUMMYFUNCTION("""COMPUTED_VALUE"""),-2.7966798001891675)</f>
        <v>-2.7966798</v>
      </c>
      <c r="AS419" s="4"/>
      <c r="AT419" s="4"/>
      <c r="AU419" s="4">
        <f>IFERROR(__xludf.DUMMYFUNCTION("""COMPUTED_VALUE"""),3.9097092675067984)</f>
        <v>3.909709268</v>
      </c>
      <c r="AV419" s="4"/>
      <c r="AW419" s="4"/>
      <c r="AX419" s="4">
        <f>IFERROR(__xludf.DUMMYFUNCTION("""COMPUTED_VALUE"""),0.5954197370784868)</f>
        <v>0.5954197371</v>
      </c>
      <c r="AY419" s="4"/>
      <c r="AZ419" s="4"/>
      <c r="BA419" s="4">
        <f>IFERROR(__xludf.DUMMYFUNCTION("""COMPUTED_VALUE"""),-4.317620300431429)</f>
        <v>-4.3176203</v>
      </c>
      <c r="BB419" s="4"/>
      <c r="BC419" s="4"/>
      <c r="BD419" s="4">
        <f>IFERROR(__xludf.DUMMYFUNCTION("""COMPUTED_VALUE"""),-0.7335036471753256)</f>
        <v>-0.7335036472</v>
      </c>
      <c r="BE419" s="4"/>
      <c r="BF419" s="4"/>
      <c r="BG419" s="4">
        <f>IFERROR(__xludf.DUMMYFUNCTION("""COMPUTED_VALUE"""),-3.2767652769131814)</f>
        <v>-3.276765277</v>
      </c>
      <c r="BH419" s="4"/>
      <c r="BI419" s="4"/>
      <c r="BJ419" s="4"/>
      <c r="BK419" s="4"/>
    </row>
    <row r="420">
      <c r="A420" s="4"/>
      <c r="B420" s="4"/>
      <c r="C420" s="4"/>
      <c r="D420" s="4">
        <f>IFERROR(__xludf.DUMMYFUNCTION("""COMPUTED_VALUE"""),-172.63967284002092)</f>
        <v>-172.6396728</v>
      </c>
      <c r="E420" s="23">
        <f>IFERROR(__xludf.DUMMYFUNCTION("""COMPUTED_VALUE"""),0.4260329217160006)</f>
        <v>0.4260329217</v>
      </c>
      <c r="F420" s="4"/>
      <c r="G420" s="4"/>
      <c r="H420" s="4">
        <f>IFERROR(__xludf.DUMMYFUNCTION("""COMPUTED_VALUE"""),-6.710965665979131)</f>
        <v>-6.710965666</v>
      </c>
      <c r="I420" s="4"/>
      <c r="J420" s="4"/>
      <c r="K420" s="4">
        <f>IFERROR(__xludf.DUMMYFUNCTION("""COMPUTED_VALUE"""),5.7106679815606185)</f>
        <v>5.710667982</v>
      </c>
      <c r="L420" s="4"/>
      <c r="M420" s="4"/>
      <c r="N420" s="4">
        <f>IFERROR(__xludf.DUMMYFUNCTION("""COMPUTED_VALUE"""),1.383644434633311)</f>
        <v>1.383644435</v>
      </c>
      <c r="O420" s="4"/>
      <c r="P420" s="4"/>
      <c r="Q420" s="4">
        <f>IFERROR(__xludf.DUMMYFUNCTION("""COMPUTED_VALUE"""),1.201552096710941)</f>
        <v>1.201552097</v>
      </c>
      <c r="R420" s="4"/>
      <c r="S420" s="4"/>
      <c r="T420" s="4">
        <f>IFERROR(__xludf.DUMMYFUNCTION("""COMPUTED_VALUE"""),3.6337295344645213)</f>
        <v>3.633729534</v>
      </c>
      <c r="U420" s="4"/>
      <c r="V420" s="4"/>
      <c r="W420" s="4">
        <f>IFERROR(__xludf.DUMMYFUNCTION("""COMPUTED_VALUE"""),3.704984382677196)</f>
        <v>3.704984383</v>
      </c>
      <c r="X420" s="4"/>
      <c r="Y420" s="4"/>
      <c r="Z420" s="4">
        <f>IFERROR(__xludf.DUMMYFUNCTION("""COMPUTED_VALUE"""),0.2474478219816092)</f>
        <v>0.247447822</v>
      </c>
      <c r="AA420" s="4"/>
      <c r="AB420" s="4"/>
      <c r="AC420" s="4">
        <f>IFERROR(__xludf.DUMMYFUNCTION("""COMPUTED_VALUE"""),3.406773771436633)</f>
        <v>3.406773771</v>
      </c>
      <c r="AD420" s="4"/>
      <c r="AE420" s="4"/>
      <c r="AF420" s="4">
        <f>IFERROR(__xludf.DUMMYFUNCTION("""COMPUTED_VALUE"""),1.015164570616264)</f>
        <v>1.015164571</v>
      </c>
      <c r="AG420" s="4"/>
      <c r="AH420" s="4"/>
      <c r="AI420" s="4">
        <f>IFERROR(__xludf.DUMMYFUNCTION("""COMPUTED_VALUE"""),-3.922376281006052)</f>
        <v>-3.922376281</v>
      </c>
      <c r="AJ420" s="4"/>
      <c r="AK420" s="4"/>
      <c r="AL420" s="4">
        <f>IFERROR(__xludf.DUMMYFUNCTION("""COMPUTED_VALUE"""),1.5757638108023002)</f>
        <v>1.575763811</v>
      </c>
      <c r="AM420" s="4"/>
      <c r="AN420" s="4"/>
      <c r="AO420" s="4">
        <f>IFERROR(__xludf.DUMMYFUNCTION("""COMPUTED_VALUE"""),-0.8753381729449643)</f>
        <v>-0.8753381729</v>
      </c>
      <c r="AP420" s="4"/>
      <c r="AQ420" s="4"/>
      <c r="AR420" s="4">
        <f>IFERROR(__xludf.DUMMYFUNCTION("""COMPUTED_VALUE"""),-4.009658519040897)</f>
        <v>-4.009658519</v>
      </c>
      <c r="AS420" s="4"/>
      <c r="AT420" s="4"/>
      <c r="AU420" s="4">
        <f>IFERROR(__xludf.DUMMYFUNCTION("""COMPUTED_VALUE"""),0.0013573015621091145)</f>
        <v>0.001357301562</v>
      </c>
      <c r="AV420" s="4"/>
      <c r="AW420" s="4"/>
      <c r="AX420" s="4">
        <f>IFERROR(__xludf.DUMMYFUNCTION("""COMPUTED_VALUE"""),-4.599845375562268)</f>
        <v>-4.599845376</v>
      </c>
      <c r="AY420" s="4"/>
      <c r="AZ420" s="4"/>
      <c r="BA420" s="4">
        <f>IFERROR(__xludf.DUMMYFUNCTION("""COMPUTED_VALUE"""),-0.17583598680738532)</f>
        <v>-0.1758359868</v>
      </c>
      <c r="BB420" s="4"/>
      <c r="BC420" s="4"/>
      <c r="BD420" s="4">
        <f>IFERROR(__xludf.DUMMYFUNCTION("""COMPUTED_VALUE"""),0.36932545406659756)</f>
        <v>0.3693254541</v>
      </c>
      <c r="BE420" s="4"/>
      <c r="BF420" s="4"/>
      <c r="BG420" s="4">
        <f>IFERROR(__xludf.DUMMYFUNCTION("""COMPUTED_VALUE"""),-4.662021964904)</f>
        <v>-4.662021965</v>
      </c>
      <c r="BH420" s="4"/>
      <c r="BI420" s="4"/>
      <c r="BJ420" s="4"/>
      <c r="BK420" s="4"/>
    </row>
    <row r="421">
      <c r="A421" s="4"/>
      <c r="B421" s="4"/>
      <c r="C421" s="4"/>
      <c r="D421" s="4">
        <f>IFERROR(__xludf.DUMMYFUNCTION("""COMPUTED_VALUE"""),-173.557968972821)</f>
        <v>-173.557969</v>
      </c>
      <c r="E421" s="23">
        <f>IFERROR(__xludf.DUMMYFUNCTION("""COMPUTED_VALUE"""),2.6752171202784325)</f>
        <v>2.67521712</v>
      </c>
      <c r="F421" s="4"/>
      <c r="G421" s="4"/>
      <c r="H421" s="4">
        <f>IFERROR(__xludf.DUMMYFUNCTION("""COMPUTED_VALUE"""),-1.7498502109124843)</f>
        <v>-1.749850211</v>
      </c>
      <c r="I421" s="4"/>
      <c r="J421" s="4"/>
      <c r="K421" s="4">
        <f>IFERROR(__xludf.DUMMYFUNCTION("""COMPUTED_VALUE"""),3.0429765730564213)</f>
        <v>3.042976573</v>
      </c>
      <c r="L421" s="4"/>
      <c r="M421" s="4"/>
      <c r="N421" s="4">
        <f>IFERROR(__xludf.DUMMYFUNCTION("""COMPUTED_VALUE"""),-7.33828009186999)</f>
        <v>-7.338280092</v>
      </c>
      <c r="O421" s="4"/>
      <c r="P421" s="4"/>
      <c r="Q421" s="4">
        <f>IFERROR(__xludf.DUMMYFUNCTION("""COMPUTED_VALUE"""),1.2680757123525268)</f>
        <v>1.268075712</v>
      </c>
      <c r="R421" s="4"/>
      <c r="S421" s="4"/>
      <c r="T421" s="4">
        <f>IFERROR(__xludf.DUMMYFUNCTION("""COMPUTED_VALUE"""),-3.035052656495168)</f>
        <v>-3.035052656</v>
      </c>
      <c r="U421" s="4"/>
      <c r="V421" s="4"/>
      <c r="W421" s="4">
        <f>IFERROR(__xludf.DUMMYFUNCTION("""COMPUTED_VALUE"""),-2.8356211347560816)</f>
        <v>-2.835621135</v>
      </c>
      <c r="X421" s="4"/>
      <c r="Y421" s="4"/>
      <c r="Z421" s="4">
        <f>IFERROR(__xludf.DUMMYFUNCTION("""COMPUTED_VALUE"""),-2.957026373039696)</f>
        <v>-2.957026373</v>
      </c>
      <c r="AA421" s="4"/>
      <c r="AB421" s="4"/>
      <c r="AC421" s="4">
        <f>IFERROR(__xludf.DUMMYFUNCTION("""COMPUTED_VALUE"""),-2.06421053895491)</f>
        <v>-2.064210539</v>
      </c>
      <c r="AD421" s="4"/>
      <c r="AE421" s="4"/>
      <c r="AF421" s="4">
        <f>IFERROR(__xludf.DUMMYFUNCTION("""COMPUTED_VALUE"""),-2.217090744385075)</f>
        <v>-2.217090744</v>
      </c>
      <c r="AG421" s="4"/>
      <c r="AH421" s="4"/>
      <c r="AI421" s="4">
        <f>IFERROR(__xludf.DUMMYFUNCTION("""COMPUTED_VALUE"""),-4.810372311293065)</f>
        <v>-4.810372311</v>
      </c>
      <c r="AJ421" s="4"/>
      <c r="AK421" s="4"/>
      <c r="AL421" s="4">
        <f>IFERROR(__xludf.DUMMYFUNCTION("""COMPUTED_VALUE"""),-1.5296313595886204)</f>
        <v>-1.52963136</v>
      </c>
      <c r="AM421" s="4"/>
      <c r="AN421" s="4"/>
      <c r="AO421" s="4">
        <f>IFERROR(__xludf.DUMMYFUNCTION("""COMPUTED_VALUE"""),-2.0389225926498966)</f>
        <v>-2.038922593</v>
      </c>
      <c r="AP421" s="4"/>
      <c r="AQ421" s="4"/>
      <c r="AR421" s="4">
        <f>IFERROR(__xludf.DUMMYFUNCTION("""COMPUTED_VALUE"""),2.1460714529710003)</f>
        <v>2.146071453</v>
      </c>
      <c r="AS421" s="4"/>
      <c r="AT421" s="4"/>
      <c r="AU421" s="4">
        <f>IFERROR(__xludf.DUMMYFUNCTION("""COMPUTED_VALUE"""),-1.5925804399117283)</f>
        <v>-1.59258044</v>
      </c>
      <c r="AV421" s="4"/>
      <c r="AW421" s="4"/>
      <c r="AX421" s="4">
        <f>IFERROR(__xludf.DUMMYFUNCTION("""COMPUTED_VALUE"""),-1.5248277230053873)</f>
        <v>-1.524827723</v>
      </c>
      <c r="AY421" s="4"/>
      <c r="AZ421" s="4"/>
      <c r="BA421" s="4">
        <f>IFERROR(__xludf.DUMMYFUNCTION("""COMPUTED_VALUE"""),0.12244406431005928)</f>
        <v>0.1224440643</v>
      </c>
      <c r="BB421" s="4"/>
      <c r="BC421" s="4"/>
      <c r="BD421" s="4">
        <f>IFERROR(__xludf.DUMMYFUNCTION("""COMPUTED_VALUE"""),1.9747925324180642)</f>
        <v>1.974792532</v>
      </c>
      <c r="BE421" s="4"/>
      <c r="BF421" s="4"/>
      <c r="BG421" s="4">
        <f>IFERROR(__xludf.DUMMYFUNCTION("""COMPUTED_VALUE"""),-0.1332051518905928)</f>
        <v>-0.1332051519</v>
      </c>
      <c r="BH421" s="4"/>
      <c r="BI421" s="4"/>
      <c r="BJ421" s="4"/>
      <c r="BK421" s="4"/>
    </row>
    <row r="422">
      <c r="A422" s="4"/>
      <c r="B422" s="4"/>
      <c r="C422" s="4"/>
      <c r="D422" s="4">
        <f>IFERROR(__xludf.DUMMYFUNCTION("""COMPUTED_VALUE"""),-174.47626510562108)</f>
        <v>-174.4762651</v>
      </c>
      <c r="E422" s="23">
        <f>IFERROR(__xludf.DUMMYFUNCTION("""COMPUTED_VALUE"""),1.0971007502288899)</f>
        <v>1.09710075</v>
      </c>
      <c r="F422" s="4"/>
      <c r="G422" s="4"/>
      <c r="H422" s="4">
        <f>IFERROR(__xludf.DUMMYFUNCTION("""COMPUTED_VALUE"""),0.15862802229565887)</f>
        <v>0.1586280223</v>
      </c>
      <c r="I422" s="4"/>
      <c r="J422" s="4"/>
      <c r="K422" s="4">
        <f>IFERROR(__xludf.DUMMYFUNCTION("""COMPUTED_VALUE"""),1.6729455278742762)</f>
        <v>1.672945528</v>
      </c>
      <c r="L422" s="4"/>
      <c r="M422" s="4"/>
      <c r="N422" s="4">
        <f>IFERROR(__xludf.DUMMYFUNCTION("""COMPUTED_VALUE"""),1.7935465817747627)</f>
        <v>1.793546582</v>
      </c>
      <c r="O422" s="4"/>
      <c r="P422" s="4"/>
      <c r="Q422" s="4">
        <f>IFERROR(__xludf.DUMMYFUNCTION("""COMPUTED_VALUE"""),1.2998512642950573)</f>
        <v>1.299851264</v>
      </c>
      <c r="R422" s="4"/>
      <c r="S422" s="4"/>
      <c r="T422" s="4">
        <f>IFERROR(__xludf.DUMMYFUNCTION("""COMPUTED_VALUE"""),2.2288566147967686)</f>
        <v>2.228856615</v>
      </c>
      <c r="U422" s="4"/>
      <c r="V422" s="4"/>
      <c r="W422" s="4">
        <f>IFERROR(__xludf.DUMMYFUNCTION("""COMPUTED_VALUE"""),1.6794412850060212)</f>
        <v>1.679441285</v>
      </c>
      <c r="X422" s="4"/>
      <c r="Y422" s="4"/>
      <c r="Z422" s="4">
        <f>IFERROR(__xludf.DUMMYFUNCTION("""COMPUTED_VALUE"""),4.55970338591942)</f>
        <v>4.559703386</v>
      </c>
      <c r="AA422" s="4"/>
      <c r="AB422" s="4"/>
      <c r="AC422" s="4">
        <f>IFERROR(__xludf.DUMMYFUNCTION("""COMPUTED_VALUE"""),2.6578459154677034)</f>
        <v>2.657845915</v>
      </c>
      <c r="AD422" s="4"/>
      <c r="AE422" s="4"/>
      <c r="AF422" s="4">
        <f>IFERROR(__xludf.DUMMYFUNCTION("""COMPUTED_VALUE"""),-1.7326605629776282)</f>
        <v>-1.732660563</v>
      </c>
      <c r="AG422" s="4"/>
      <c r="AH422" s="4"/>
      <c r="AI422" s="4">
        <f>IFERROR(__xludf.DUMMYFUNCTION("""COMPUTED_VALUE"""),-0.8130367195968233)</f>
        <v>-0.8130367196</v>
      </c>
      <c r="AJ422" s="4"/>
      <c r="AK422" s="4"/>
      <c r="AL422" s="4">
        <f>IFERROR(__xludf.DUMMYFUNCTION("""COMPUTED_VALUE"""),5.950274993854578)</f>
        <v>5.950274994</v>
      </c>
      <c r="AM422" s="4"/>
      <c r="AN422" s="4"/>
      <c r="AO422" s="4">
        <f>IFERROR(__xludf.DUMMYFUNCTION("""COMPUTED_VALUE"""),-2.689944126728733)</f>
        <v>-2.689944127</v>
      </c>
      <c r="AP422" s="4"/>
      <c r="AQ422" s="4"/>
      <c r="AR422" s="4">
        <f>IFERROR(__xludf.DUMMYFUNCTION("""COMPUTED_VALUE"""),-3.127372999224633)</f>
        <v>-3.127372999</v>
      </c>
      <c r="AS422" s="4"/>
      <c r="AT422" s="4"/>
      <c r="AU422" s="4">
        <f>IFERROR(__xludf.DUMMYFUNCTION("""COMPUTED_VALUE"""),-0.8730369874380699)</f>
        <v>-0.8730369874</v>
      </c>
      <c r="AV422" s="4"/>
      <c r="AW422" s="4"/>
      <c r="AX422" s="4">
        <f>IFERROR(__xludf.DUMMYFUNCTION("""COMPUTED_VALUE"""),3.559377949511372)</f>
        <v>3.55937795</v>
      </c>
      <c r="AY422" s="4"/>
      <c r="AZ422" s="4"/>
      <c r="BA422" s="4">
        <f>IFERROR(__xludf.DUMMYFUNCTION("""COMPUTED_VALUE"""),4.896592266406685)</f>
        <v>4.896592266</v>
      </c>
      <c r="BB422" s="4"/>
      <c r="BC422" s="4"/>
      <c r="BD422" s="4">
        <f>IFERROR(__xludf.DUMMYFUNCTION("""COMPUTED_VALUE"""),-1.0645038306122956)</f>
        <v>-1.064503831</v>
      </c>
      <c r="BE422" s="4"/>
      <c r="BF422" s="4"/>
      <c r="BG422" s="4">
        <f>IFERROR(__xludf.DUMMYFUNCTION("""COMPUTED_VALUE"""),0.9107756411937089)</f>
        <v>0.9107756412</v>
      </c>
      <c r="BH422" s="4"/>
      <c r="BI422" s="4"/>
      <c r="BJ422" s="4"/>
      <c r="BK422" s="4"/>
    </row>
    <row r="423">
      <c r="A423" s="4"/>
      <c r="B423" s="4"/>
      <c r="C423" s="4"/>
      <c r="D423" s="4">
        <f>IFERROR(__xludf.DUMMYFUNCTION("""COMPUTED_VALUE"""),-175.39456123625587)</f>
        <v>-175.3945612</v>
      </c>
      <c r="E423" s="23">
        <f>IFERROR(__xludf.DUMMYFUNCTION("""COMPUTED_VALUE"""),-3.748528677794866)</f>
        <v>-3.748528678</v>
      </c>
      <c r="F423" s="4"/>
      <c r="G423" s="4"/>
      <c r="H423" s="4">
        <f>IFERROR(__xludf.DUMMYFUNCTION("""COMPUTED_VALUE"""),2.098674741805496)</f>
        <v>2.098674742</v>
      </c>
      <c r="I423" s="4"/>
      <c r="J423" s="4"/>
      <c r="K423" s="4">
        <f>IFERROR(__xludf.DUMMYFUNCTION("""COMPUTED_VALUE"""),-1.5817957671289946)</f>
        <v>-1.581795767</v>
      </c>
      <c r="L423" s="4"/>
      <c r="M423" s="4"/>
      <c r="N423" s="4">
        <f>IFERROR(__xludf.DUMMYFUNCTION("""COMPUTED_VALUE"""),1.5928679908079175)</f>
        <v>1.592867991</v>
      </c>
      <c r="O423" s="4"/>
      <c r="P423" s="4"/>
      <c r="Q423" s="4">
        <f>IFERROR(__xludf.DUMMYFUNCTION("""COMPUTED_VALUE"""),2.1554748348820567)</f>
        <v>2.155474835</v>
      </c>
      <c r="R423" s="4"/>
      <c r="S423" s="4"/>
      <c r="T423" s="4">
        <f>IFERROR(__xludf.DUMMYFUNCTION("""COMPUTED_VALUE"""),-2.6248235749735613)</f>
        <v>-2.624823575</v>
      </c>
      <c r="U423" s="4"/>
      <c r="V423" s="4"/>
      <c r="W423" s="4">
        <f>IFERROR(__xludf.DUMMYFUNCTION("""COMPUTED_VALUE"""),-2.5465504246803903)</f>
        <v>-2.546550425</v>
      </c>
      <c r="X423" s="4"/>
      <c r="Y423" s="4"/>
      <c r="Z423" s="4">
        <f>IFERROR(__xludf.DUMMYFUNCTION("""COMPUTED_VALUE"""),1.0172306963100368)</f>
        <v>1.017230696</v>
      </c>
      <c r="AA423" s="4"/>
      <c r="AB423" s="4"/>
      <c r="AC423" s="4">
        <f>IFERROR(__xludf.DUMMYFUNCTION("""COMPUTED_VALUE"""),-3.896810532219547)</f>
        <v>-3.896810532</v>
      </c>
      <c r="AD423" s="4"/>
      <c r="AE423" s="4"/>
      <c r="AF423" s="4">
        <f>IFERROR(__xludf.DUMMYFUNCTION("""COMPUTED_VALUE"""),0.18883905674897505)</f>
        <v>0.1888390567</v>
      </c>
      <c r="AG423" s="4"/>
      <c r="AH423" s="4"/>
      <c r="AI423" s="4">
        <f>IFERROR(__xludf.DUMMYFUNCTION("""COMPUTED_VALUE"""),-1.5759606741057723)</f>
        <v>-1.575960674</v>
      </c>
      <c r="AJ423" s="4"/>
      <c r="AK423" s="4"/>
      <c r="AL423" s="4">
        <f>IFERROR(__xludf.DUMMYFUNCTION("""COMPUTED_VALUE"""),-1.5782150096387682)</f>
        <v>-1.57821501</v>
      </c>
      <c r="AM423" s="4"/>
      <c r="AN423" s="4"/>
      <c r="AO423" s="4">
        <f>IFERROR(__xludf.DUMMYFUNCTION("""COMPUTED_VALUE"""),4.092023836047815)</f>
        <v>4.092023836</v>
      </c>
      <c r="AP423" s="4"/>
      <c r="AQ423" s="4"/>
      <c r="AR423" s="4">
        <f>IFERROR(__xludf.DUMMYFUNCTION("""COMPUTED_VALUE"""),-0.20666317835377868)</f>
        <v>-0.2066631784</v>
      </c>
      <c r="AS423" s="4"/>
      <c r="AT423" s="4"/>
      <c r="AU423" s="4">
        <f>IFERROR(__xludf.DUMMYFUNCTION("""COMPUTED_VALUE"""),-1.8078819854367794)</f>
        <v>-1.807881985</v>
      </c>
      <c r="AV423" s="4"/>
      <c r="AW423" s="4"/>
      <c r="AX423" s="4">
        <f>IFERROR(__xludf.DUMMYFUNCTION("""COMPUTED_VALUE"""),1.0569462410416577)</f>
        <v>1.056946241</v>
      </c>
      <c r="AY423" s="4"/>
      <c r="AZ423" s="4"/>
      <c r="BA423" s="4">
        <f>IFERROR(__xludf.DUMMYFUNCTION("""COMPUTED_VALUE"""),-4.699286129512586)</f>
        <v>-4.69928613</v>
      </c>
      <c r="BB423" s="4"/>
      <c r="BC423" s="4"/>
      <c r="BD423" s="4">
        <f>IFERROR(__xludf.DUMMYFUNCTION("""COMPUTED_VALUE"""),-2.523775735926961)</f>
        <v>-2.523775736</v>
      </c>
      <c r="BE423" s="4"/>
      <c r="BF423" s="4"/>
      <c r="BG423" s="4">
        <f>IFERROR(__xludf.DUMMYFUNCTION("""COMPUTED_VALUE"""),0.1968428779893543)</f>
        <v>0.196842878</v>
      </c>
      <c r="BH423" s="4"/>
      <c r="BI423" s="4"/>
      <c r="BJ423" s="4"/>
      <c r="BK423" s="4"/>
    </row>
    <row r="424">
      <c r="A424" s="4"/>
      <c r="B424" s="4"/>
      <c r="C424" s="4"/>
      <c r="D424" s="4">
        <f>IFERROR(__xludf.DUMMYFUNCTION("""COMPUTED_VALUE"""),-176.31285736905593)</f>
        <v>-176.3128574</v>
      </c>
      <c r="E424" s="23">
        <f>IFERROR(__xludf.DUMMYFUNCTION("""COMPUTED_VALUE"""),-6.413108280909171)</f>
        <v>-6.413108281</v>
      </c>
      <c r="F424" s="4"/>
      <c r="G424" s="4"/>
      <c r="H424" s="4">
        <f>IFERROR(__xludf.DUMMYFUNCTION("""COMPUTED_VALUE"""),-1.9804762587244227)</f>
        <v>-1.980476259</v>
      </c>
      <c r="I424" s="4"/>
      <c r="J424" s="4"/>
      <c r="K424" s="4">
        <f>IFERROR(__xludf.DUMMYFUNCTION("""COMPUTED_VALUE"""),-2.731783488160829)</f>
        <v>-2.731783488</v>
      </c>
      <c r="L424" s="4"/>
      <c r="M424" s="4"/>
      <c r="N424" s="4">
        <f>IFERROR(__xludf.DUMMYFUNCTION("""COMPUTED_VALUE"""),-3.680960667776162)</f>
        <v>-3.680960668</v>
      </c>
      <c r="O424" s="4"/>
      <c r="P424" s="4"/>
      <c r="Q424" s="4">
        <f>IFERROR(__xludf.DUMMYFUNCTION("""COMPUTED_VALUE"""),-1.2053083888076799)</f>
        <v>-1.205308389</v>
      </c>
      <c r="R424" s="4"/>
      <c r="S424" s="4"/>
      <c r="T424" s="4">
        <f>IFERROR(__xludf.DUMMYFUNCTION("""COMPUTED_VALUE"""),-3.002262529790869)</f>
        <v>-3.00226253</v>
      </c>
      <c r="U424" s="4"/>
      <c r="V424" s="4"/>
      <c r="W424" s="4">
        <f>IFERROR(__xludf.DUMMYFUNCTION("""COMPUTED_VALUE"""),-0.26980133450138055)</f>
        <v>-0.2698013345</v>
      </c>
      <c r="X424" s="4"/>
      <c r="Y424" s="4"/>
      <c r="Z424" s="4">
        <f>IFERROR(__xludf.DUMMYFUNCTION("""COMPUTED_VALUE"""),-0.29853676592580314)</f>
        <v>-0.2985367659</v>
      </c>
      <c r="AA424" s="4"/>
      <c r="AB424" s="4"/>
      <c r="AC424" s="4">
        <f>IFERROR(__xludf.DUMMYFUNCTION("""COMPUTED_VALUE"""),-2.005129092899722)</f>
        <v>-2.005129093</v>
      </c>
      <c r="AD424" s="4"/>
      <c r="AE424" s="4"/>
      <c r="AF424" s="4">
        <f>IFERROR(__xludf.DUMMYFUNCTION("""COMPUTED_VALUE"""),4.4017601526323915)</f>
        <v>4.401760153</v>
      </c>
      <c r="AG424" s="4"/>
      <c r="AH424" s="4"/>
      <c r="AI424" s="4">
        <f>IFERROR(__xludf.DUMMYFUNCTION("""COMPUTED_VALUE"""),-4.981951316073378)</f>
        <v>-4.981951316</v>
      </c>
      <c r="AJ424" s="4"/>
      <c r="AK424" s="4"/>
      <c r="AL424" s="4">
        <f>IFERROR(__xludf.DUMMYFUNCTION("""COMPUTED_VALUE"""),1.3045815623474937)</f>
        <v>1.304581562</v>
      </c>
      <c r="AM424" s="4"/>
      <c r="AN424" s="4"/>
      <c r="AO424" s="4">
        <f>IFERROR(__xludf.DUMMYFUNCTION("""COMPUTED_VALUE"""),-1.5715572800916675)</f>
        <v>-1.57155728</v>
      </c>
      <c r="AP424" s="4"/>
      <c r="AQ424" s="4"/>
      <c r="AR424" s="4">
        <f>IFERROR(__xludf.DUMMYFUNCTION("""COMPUTED_VALUE"""),-0.46144190556611875)</f>
        <v>-0.4614419056</v>
      </c>
      <c r="AS424" s="4"/>
      <c r="AT424" s="4"/>
      <c r="AU424" s="4">
        <f>IFERROR(__xludf.DUMMYFUNCTION("""COMPUTED_VALUE"""),0.0495483025929957)</f>
        <v>0.04954830259</v>
      </c>
      <c r="AV424" s="4"/>
      <c r="AW424" s="4"/>
      <c r="AX424" s="4">
        <f>IFERROR(__xludf.DUMMYFUNCTION("""COMPUTED_VALUE"""),1.6812224662413087)</f>
        <v>1.681222466</v>
      </c>
      <c r="AY424" s="4"/>
      <c r="AZ424" s="4"/>
      <c r="BA424" s="4">
        <f>IFERROR(__xludf.DUMMYFUNCTION("""COMPUTED_VALUE"""),-5.134471985112157)</f>
        <v>-5.134471985</v>
      </c>
      <c r="BB424" s="4"/>
      <c r="BC424" s="4"/>
      <c r="BD424" s="4">
        <f>IFERROR(__xludf.DUMMYFUNCTION("""COMPUTED_VALUE"""),1.9835285008745132)</f>
        <v>1.983528501</v>
      </c>
      <c r="BE424" s="4"/>
      <c r="BF424" s="4"/>
      <c r="BG424" s="4">
        <f>IFERROR(__xludf.DUMMYFUNCTION("""COMPUTED_VALUE"""),-2.0186991299298143)</f>
        <v>-2.01869913</v>
      </c>
      <c r="BH424" s="4"/>
      <c r="BI424" s="4"/>
      <c r="BJ424" s="4"/>
      <c r="BK424" s="4"/>
    </row>
    <row r="425">
      <c r="A425" s="4"/>
      <c r="B425" s="4"/>
      <c r="C425" s="4"/>
      <c r="D425" s="4">
        <f>IFERROR(__xludf.DUMMYFUNCTION("""COMPUTED_VALUE"""),-177.23115350180564)</f>
        <v>-177.2311535</v>
      </c>
      <c r="E425" s="23">
        <f>IFERROR(__xludf.DUMMYFUNCTION("""COMPUTED_VALUE"""),1.4790525582200758)</f>
        <v>1.479052558</v>
      </c>
      <c r="F425" s="4"/>
      <c r="G425" s="4"/>
      <c r="H425" s="4">
        <f>IFERROR(__xludf.DUMMYFUNCTION("""COMPUTED_VALUE"""),-2.722667954717508)</f>
        <v>-2.722667955</v>
      </c>
      <c r="I425" s="4"/>
      <c r="J425" s="4"/>
      <c r="K425" s="4">
        <f>IFERROR(__xludf.DUMMYFUNCTION("""COMPUTED_VALUE"""),-0.015471050014468801)</f>
        <v>-0.01547105001</v>
      </c>
      <c r="L425" s="4"/>
      <c r="M425" s="4"/>
      <c r="N425" s="4">
        <f>IFERROR(__xludf.DUMMYFUNCTION("""COMPUTED_VALUE"""),-1.7687048136999692)</f>
        <v>-1.768704814</v>
      </c>
      <c r="O425" s="4"/>
      <c r="P425" s="4"/>
      <c r="Q425" s="4">
        <f>IFERROR(__xludf.DUMMYFUNCTION("""COMPUTED_VALUE"""),0.26457198551042893)</f>
        <v>0.2645719855</v>
      </c>
      <c r="R425" s="4"/>
      <c r="S425" s="4"/>
      <c r="T425" s="4">
        <f>IFERROR(__xludf.DUMMYFUNCTION("""COMPUTED_VALUE"""),2.9383791475652288)</f>
        <v>2.938379148</v>
      </c>
      <c r="U425" s="4"/>
      <c r="V425" s="4"/>
      <c r="W425" s="4">
        <f>IFERROR(__xludf.DUMMYFUNCTION("""COMPUTED_VALUE"""),2.2503893019183465)</f>
        <v>2.250389302</v>
      </c>
      <c r="X425" s="4"/>
      <c r="Y425" s="4"/>
      <c r="Z425" s="4">
        <f>IFERROR(__xludf.DUMMYFUNCTION("""COMPUTED_VALUE"""),-6.181641099253625)</f>
        <v>-6.181641099</v>
      </c>
      <c r="AA425" s="4"/>
      <c r="AB425" s="4"/>
      <c r="AC425" s="4">
        <f>IFERROR(__xludf.DUMMYFUNCTION("""COMPUTED_VALUE"""),-1.2980422968198582)</f>
        <v>-1.298042297</v>
      </c>
      <c r="AD425" s="4"/>
      <c r="AE425" s="4"/>
      <c r="AF425" s="4">
        <f>IFERROR(__xludf.DUMMYFUNCTION("""COMPUTED_VALUE"""),0.6847300377514216)</f>
        <v>0.6847300378</v>
      </c>
      <c r="AG425" s="4"/>
      <c r="AH425" s="4"/>
      <c r="AI425" s="4">
        <f>IFERROR(__xludf.DUMMYFUNCTION("""COMPUTED_VALUE"""),2.36021582419545)</f>
        <v>2.360215824</v>
      </c>
      <c r="AJ425" s="4"/>
      <c r="AK425" s="4"/>
      <c r="AL425" s="4">
        <f>IFERROR(__xludf.DUMMYFUNCTION("""COMPUTED_VALUE"""),0.040997346830181414)</f>
        <v>0.04099734683</v>
      </c>
      <c r="AM425" s="4"/>
      <c r="AN425" s="4"/>
      <c r="AO425" s="4">
        <f>IFERROR(__xludf.DUMMYFUNCTION("""COMPUTED_VALUE"""),3.3932402925458973)</f>
        <v>3.393240293</v>
      </c>
      <c r="AP425" s="4"/>
      <c r="AQ425" s="4"/>
      <c r="AR425" s="4">
        <f>IFERROR(__xludf.DUMMYFUNCTION("""COMPUTED_VALUE"""),2.195921418560829)</f>
        <v>2.195921419</v>
      </c>
      <c r="AS425" s="4"/>
      <c r="AT425" s="4"/>
      <c r="AU425" s="4">
        <f>IFERROR(__xludf.DUMMYFUNCTION("""COMPUTED_VALUE"""),0.3788505606730723)</f>
        <v>0.3788505607</v>
      </c>
      <c r="AV425" s="4"/>
      <c r="AW425" s="4"/>
      <c r="AX425" s="4">
        <f>IFERROR(__xludf.DUMMYFUNCTION("""COMPUTED_VALUE"""),-1.39661278328839)</f>
        <v>-1.396612783</v>
      </c>
      <c r="AY425" s="4"/>
      <c r="AZ425" s="4"/>
      <c r="BA425" s="4">
        <f>IFERROR(__xludf.DUMMYFUNCTION("""COMPUTED_VALUE"""),-3.4279305732125636)</f>
        <v>-3.427930573</v>
      </c>
      <c r="BB425" s="4"/>
      <c r="BC425" s="4"/>
      <c r="BD425" s="4">
        <f>IFERROR(__xludf.DUMMYFUNCTION("""COMPUTED_VALUE"""),-0.4085852170222779)</f>
        <v>-0.408585217</v>
      </c>
      <c r="BE425" s="4"/>
      <c r="BF425" s="4"/>
      <c r="BG425" s="4">
        <f>IFERROR(__xludf.DUMMYFUNCTION("""COMPUTED_VALUE"""),2.6967230533184647)</f>
        <v>2.696723053</v>
      </c>
      <c r="BH425" s="4"/>
      <c r="BI425" s="4"/>
      <c r="BJ425" s="4"/>
      <c r="BK425" s="4"/>
    </row>
    <row r="426">
      <c r="A426" s="4"/>
      <c r="B426" s="4"/>
      <c r="C426" s="4"/>
      <c r="D426" s="4">
        <f>IFERROR(__xludf.DUMMYFUNCTION("""COMPUTED_VALUE"""),-178.1494496346057)</f>
        <v>-178.1494496</v>
      </c>
      <c r="E426" s="23">
        <f>IFERROR(__xludf.DUMMYFUNCTION("""COMPUTED_VALUE"""),1.1527037008983143)</f>
        <v>1.152703701</v>
      </c>
      <c r="F426" s="4"/>
      <c r="G426" s="4"/>
      <c r="H426" s="4">
        <f>IFERROR(__xludf.DUMMYFUNCTION("""COMPUTED_VALUE"""),-1.0673973317365153)</f>
        <v>-1.067397332</v>
      </c>
      <c r="I426" s="4"/>
      <c r="J426" s="4"/>
      <c r="K426" s="4">
        <f>IFERROR(__xludf.DUMMYFUNCTION("""COMPUTED_VALUE"""),2.103042456502692)</f>
        <v>2.103042457</v>
      </c>
      <c r="L426" s="4"/>
      <c r="M426" s="4"/>
      <c r="N426" s="4">
        <f>IFERROR(__xludf.DUMMYFUNCTION("""COMPUTED_VALUE"""),0.5436420005362379)</f>
        <v>0.5436420005</v>
      </c>
      <c r="O426" s="4"/>
      <c r="P426" s="4"/>
      <c r="Q426" s="4">
        <f>IFERROR(__xludf.DUMMYFUNCTION("""COMPUTED_VALUE"""),1.834908252800119)</f>
        <v>1.834908253</v>
      </c>
      <c r="R426" s="4"/>
      <c r="S426" s="4"/>
      <c r="T426" s="4">
        <f>IFERROR(__xludf.DUMMYFUNCTION("""COMPUTED_VALUE"""),-1.5222013526912406)</f>
        <v>-1.522201353</v>
      </c>
      <c r="U426" s="4"/>
      <c r="V426" s="4"/>
      <c r="W426" s="4">
        <f>IFERROR(__xludf.DUMMYFUNCTION("""COMPUTED_VALUE"""),0.1118946862702046)</f>
        <v>0.1118946863</v>
      </c>
      <c r="X426" s="4"/>
      <c r="Y426" s="4"/>
      <c r="Z426" s="4">
        <f>IFERROR(__xludf.DUMMYFUNCTION("""COMPUTED_VALUE"""),-1.6873220953285681)</f>
        <v>-1.687322095</v>
      </c>
      <c r="AA426" s="4"/>
      <c r="AB426" s="4"/>
      <c r="AC426" s="4">
        <f>IFERROR(__xludf.DUMMYFUNCTION("""COMPUTED_VALUE"""),0.9770626265025157)</f>
        <v>0.9770626265</v>
      </c>
      <c r="AD426" s="4"/>
      <c r="AE426" s="4"/>
      <c r="AF426" s="4">
        <f>IFERROR(__xludf.DUMMYFUNCTION("""COMPUTED_VALUE"""),1.9609713056763667)</f>
        <v>1.960971306</v>
      </c>
      <c r="AG426" s="4"/>
      <c r="AH426" s="4"/>
      <c r="AI426" s="4">
        <f>IFERROR(__xludf.DUMMYFUNCTION("""COMPUTED_VALUE"""),5.000394176798125)</f>
        <v>5.000394177</v>
      </c>
      <c r="AJ426" s="4"/>
      <c r="AK426" s="4"/>
      <c r="AL426" s="4">
        <f>IFERROR(__xludf.DUMMYFUNCTION("""COMPUTED_VALUE"""),-3.538008864766539)</f>
        <v>-3.538008865</v>
      </c>
      <c r="AM426" s="4"/>
      <c r="AN426" s="4"/>
      <c r="AO426" s="4">
        <f>IFERROR(__xludf.DUMMYFUNCTION("""COMPUTED_VALUE"""),-0.3956629221088974)</f>
        <v>-0.3956629221</v>
      </c>
      <c r="AP426" s="4"/>
      <c r="AQ426" s="4"/>
      <c r="AR426" s="4">
        <f>IFERROR(__xludf.DUMMYFUNCTION("""COMPUTED_VALUE"""),-1.5020464408733574)</f>
        <v>-1.502046441</v>
      </c>
      <c r="AS426" s="4"/>
      <c r="AT426" s="4"/>
      <c r="AU426" s="4">
        <f>IFERROR(__xludf.DUMMYFUNCTION("""COMPUTED_VALUE"""),0.6754915535796613)</f>
        <v>0.6754915536</v>
      </c>
      <c r="AV426" s="4"/>
      <c r="AW426" s="4"/>
      <c r="AX426" s="4">
        <f>IFERROR(__xludf.DUMMYFUNCTION("""COMPUTED_VALUE"""),0.38607471474023214)</f>
        <v>0.3860747147</v>
      </c>
      <c r="AY426" s="4"/>
      <c r="AZ426" s="4"/>
      <c r="BA426" s="4">
        <f>IFERROR(__xludf.DUMMYFUNCTION("""COMPUTED_VALUE"""),0.7083781913161147)</f>
        <v>0.7083781913</v>
      </c>
      <c r="BB426" s="4"/>
      <c r="BC426" s="4"/>
      <c r="BD426" s="4">
        <f>IFERROR(__xludf.DUMMYFUNCTION("""COMPUTED_VALUE"""),-1.6761562793199118)</f>
        <v>-1.676156279</v>
      </c>
      <c r="BE426" s="4"/>
      <c r="BF426" s="4"/>
      <c r="BG426" s="4">
        <f>IFERROR(__xludf.DUMMYFUNCTION("""COMPUTED_VALUE"""),-1.5278077803109795)</f>
        <v>-1.52780778</v>
      </c>
      <c r="BH426" s="4"/>
      <c r="BI426" s="4"/>
      <c r="BJ426" s="4"/>
      <c r="BK426" s="4"/>
    </row>
    <row r="427">
      <c r="A427" s="4"/>
      <c r="B427" s="4"/>
      <c r="C427" s="4"/>
      <c r="D427" s="4">
        <f>IFERROR(__xludf.DUMMYFUNCTION("""COMPUTED_VALUE"""),-179.06774576529082)</f>
        <v>-179.0677458</v>
      </c>
      <c r="E427" s="23">
        <f>IFERROR(__xludf.DUMMYFUNCTION("""COMPUTED_VALUE"""),3.4672719649042847)</f>
        <v>3.467271965</v>
      </c>
      <c r="F427" s="4"/>
      <c r="G427" s="4"/>
      <c r="H427" s="4">
        <f>IFERROR(__xludf.DUMMYFUNCTION("""COMPUTED_VALUE"""),2.9142471334080824)</f>
        <v>2.914247133</v>
      </c>
      <c r="I427" s="4"/>
      <c r="J427" s="4"/>
      <c r="K427" s="4">
        <f>IFERROR(__xludf.DUMMYFUNCTION("""COMPUTED_VALUE"""),1.2442420041699052)</f>
        <v>1.244242004</v>
      </c>
      <c r="L427" s="4"/>
      <c r="M427" s="4"/>
      <c r="N427" s="4">
        <f>IFERROR(__xludf.DUMMYFUNCTION("""COMPUTED_VALUE"""),4.531669195359086)</f>
        <v>4.531669195</v>
      </c>
      <c r="O427" s="4"/>
      <c r="P427" s="4"/>
      <c r="Q427" s="4">
        <f>IFERROR(__xludf.DUMMYFUNCTION("""COMPUTED_VALUE"""),0.9135359418030475)</f>
        <v>0.9135359418</v>
      </c>
      <c r="R427" s="4"/>
      <c r="S427" s="4"/>
      <c r="T427" s="4">
        <f>IFERROR(__xludf.DUMMYFUNCTION("""COMPUTED_VALUE"""),5.042856691144209)</f>
        <v>5.042856691</v>
      </c>
      <c r="U427" s="4"/>
      <c r="V427" s="4"/>
      <c r="W427" s="4">
        <f>IFERROR(__xludf.DUMMYFUNCTION("""COMPUTED_VALUE"""),1.054962613832629)</f>
        <v>1.054962614</v>
      </c>
      <c r="X427" s="4"/>
      <c r="Y427" s="4"/>
      <c r="Z427" s="4">
        <f>IFERROR(__xludf.DUMMYFUNCTION("""COMPUTED_VALUE"""),-6.284816585596161)</f>
        <v>-6.284816586</v>
      </c>
      <c r="AA427" s="4"/>
      <c r="AB427" s="4"/>
      <c r="AC427" s="4">
        <f>IFERROR(__xludf.DUMMYFUNCTION("""COMPUTED_VALUE"""),-4.361645358467513)</f>
        <v>-4.361645358</v>
      </c>
      <c r="AD427" s="4"/>
      <c r="AE427" s="4"/>
      <c r="AF427" s="4">
        <f>IFERROR(__xludf.DUMMYFUNCTION("""COMPUTED_VALUE"""),1.7646106514568487)</f>
        <v>1.764610651</v>
      </c>
      <c r="AG427" s="4"/>
      <c r="AH427" s="4"/>
      <c r="AI427" s="4">
        <f>IFERROR(__xludf.DUMMYFUNCTION("""COMPUTED_VALUE"""),3.4095539944078155)</f>
        <v>3.409553994</v>
      </c>
      <c r="AJ427" s="4"/>
      <c r="AK427" s="4"/>
      <c r="AL427" s="4">
        <f>IFERROR(__xludf.DUMMYFUNCTION("""COMPUTED_VALUE"""),-2.803632210709168)</f>
        <v>-2.803632211</v>
      </c>
      <c r="AM427" s="4"/>
      <c r="AN427" s="4"/>
      <c r="AO427" s="4">
        <f>IFERROR(__xludf.DUMMYFUNCTION("""COMPUTED_VALUE"""),4.781006895986025)</f>
        <v>4.781006896</v>
      </c>
      <c r="AP427" s="4"/>
      <c r="AQ427" s="4"/>
      <c r="AR427" s="4">
        <f>IFERROR(__xludf.DUMMYFUNCTION("""COMPUTED_VALUE"""),-4.692142702604542)</f>
        <v>-4.692142703</v>
      </c>
      <c r="AS427" s="4"/>
      <c r="AT427" s="4"/>
      <c r="AU427" s="4">
        <f>IFERROR(__xludf.DUMMYFUNCTION("""COMPUTED_VALUE"""),-0.32313413641276156)</f>
        <v>-0.3231341364</v>
      </c>
      <c r="AV427" s="4"/>
      <c r="AW427" s="4"/>
      <c r="AX427" s="4">
        <f>IFERROR(__xludf.DUMMYFUNCTION("""COMPUTED_VALUE"""),-2.994311852079818)</f>
        <v>-2.994311852</v>
      </c>
      <c r="AY427" s="4"/>
      <c r="AZ427" s="4"/>
      <c r="BA427" s="4">
        <f>IFERROR(__xludf.DUMMYFUNCTION("""COMPUTED_VALUE"""),-3.2698645165023663)</f>
        <v>-3.269864517</v>
      </c>
      <c r="BB427" s="4"/>
      <c r="BC427" s="4"/>
      <c r="BD427" s="4">
        <f>IFERROR(__xludf.DUMMYFUNCTION("""COMPUTED_VALUE"""),3.245459568987428)</f>
        <v>3.245459569</v>
      </c>
      <c r="BE427" s="4"/>
      <c r="BF427" s="4"/>
      <c r="BG427" s="4">
        <f>IFERROR(__xludf.DUMMYFUNCTION("""COMPUTED_VALUE"""),-2.3100861050125445)</f>
        <v>-2.310086105</v>
      </c>
      <c r="BH427" s="4"/>
      <c r="BI427" s="4"/>
      <c r="BJ427" s="4"/>
      <c r="BK427" s="4"/>
    </row>
    <row r="428">
      <c r="A428" s="4"/>
      <c r="B428" s="4"/>
      <c r="C428" s="4"/>
      <c r="D428" s="4">
        <f>IFERROR(__xludf.DUMMYFUNCTION("""COMPUTED_VALUE"""),-179.98604189804058)</f>
        <v>-179.9860419</v>
      </c>
      <c r="E428" s="23">
        <f>IFERROR(__xludf.DUMMYFUNCTION("""COMPUTED_VALUE"""),0.7060418540630167)</f>
        <v>0.7060418541</v>
      </c>
      <c r="F428" s="4"/>
      <c r="G428" s="4"/>
      <c r="H428" s="4">
        <f>IFERROR(__xludf.DUMMYFUNCTION("""COMPUTED_VALUE"""),-7.0681725387523215)</f>
        <v>-7.068172539</v>
      </c>
      <c r="I428" s="4"/>
      <c r="J428" s="4"/>
      <c r="K428" s="4">
        <f>IFERROR(__xludf.DUMMYFUNCTION("""COMPUTED_VALUE"""),0.04804401158367)</f>
        <v>0.04804401158</v>
      </c>
      <c r="L428" s="4"/>
      <c r="M428" s="4"/>
      <c r="N428" s="4">
        <f>IFERROR(__xludf.DUMMYFUNCTION("""COMPUTED_VALUE"""),1.6614183642333842)</f>
        <v>1.661418364</v>
      </c>
      <c r="O428" s="4"/>
      <c r="P428" s="4"/>
      <c r="Q428" s="4">
        <f>IFERROR(__xludf.DUMMYFUNCTION("""COMPUTED_VALUE"""),4.383002569678752)</f>
        <v>4.38300257</v>
      </c>
      <c r="R428" s="4"/>
      <c r="S428" s="4"/>
      <c r="T428" s="4">
        <f>IFERROR(__xludf.DUMMYFUNCTION("""COMPUTED_VALUE"""),-5.263814652101473)</f>
        <v>-5.263814652</v>
      </c>
      <c r="U428" s="4"/>
      <c r="V428" s="4"/>
      <c r="W428" s="4">
        <f>IFERROR(__xludf.DUMMYFUNCTION("""COMPUTED_VALUE"""),1.265038521620795)</f>
        <v>1.265038522</v>
      </c>
      <c r="X428" s="4"/>
      <c r="Y428" s="4"/>
      <c r="Z428" s="4">
        <f>IFERROR(__xludf.DUMMYFUNCTION("""COMPUTED_VALUE"""),0.17472776244312627)</f>
        <v>0.1747277624</v>
      </c>
      <c r="AA428" s="4"/>
      <c r="AB428" s="4"/>
      <c r="AC428" s="4">
        <f>IFERROR(__xludf.DUMMYFUNCTION("""COMPUTED_VALUE"""),-1.7682884015486593)</f>
        <v>-1.768288402</v>
      </c>
      <c r="AD428" s="4"/>
      <c r="AE428" s="4"/>
      <c r="AF428" s="4">
        <f>IFERROR(__xludf.DUMMYFUNCTION("""COMPUTED_VALUE"""),4.575530457423099)</f>
        <v>4.575530457</v>
      </c>
      <c r="AG428" s="4"/>
      <c r="AH428" s="4"/>
      <c r="AI428" s="4">
        <f>IFERROR(__xludf.DUMMYFUNCTION("""COMPUTED_VALUE"""),-1.1034249404895604)</f>
        <v>-1.10342494</v>
      </c>
      <c r="AJ428" s="4"/>
      <c r="AK428" s="4"/>
      <c r="AL428" s="4">
        <f>IFERROR(__xludf.DUMMYFUNCTION("""COMPUTED_VALUE"""),-2.025515040493076)</f>
        <v>-2.02551504</v>
      </c>
      <c r="AM428" s="4"/>
      <c r="AN428" s="4"/>
      <c r="AO428" s="4">
        <f>IFERROR(__xludf.DUMMYFUNCTION("""COMPUTED_VALUE"""),-2.529668654952104)</f>
        <v>-2.529668655</v>
      </c>
      <c r="AP428" s="4"/>
      <c r="AQ428" s="4"/>
      <c r="AR428" s="4">
        <f>IFERROR(__xludf.DUMMYFUNCTION("""COMPUTED_VALUE"""),-2.012962228790684)</f>
        <v>-2.012962229</v>
      </c>
      <c r="AS428" s="4"/>
      <c r="AT428" s="4"/>
      <c r="AU428" s="4">
        <f>IFERROR(__xludf.DUMMYFUNCTION("""COMPUTED_VALUE"""),-3.9931124604239585)</f>
        <v>-3.99311246</v>
      </c>
      <c r="AV428" s="4"/>
      <c r="AW428" s="4"/>
      <c r="AX428" s="4">
        <f>IFERROR(__xludf.DUMMYFUNCTION("""COMPUTED_VALUE"""),-2.15186031102985)</f>
        <v>-2.151860311</v>
      </c>
      <c r="AY428" s="4"/>
      <c r="AZ428" s="4"/>
      <c r="BA428" s="4">
        <f>IFERROR(__xludf.DUMMYFUNCTION("""COMPUTED_VALUE"""),-0.16825985076582128)</f>
        <v>-0.1682598508</v>
      </c>
      <c r="BB428" s="4"/>
      <c r="BC428" s="4"/>
      <c r="BD428" s="4">
        <f>IFERROR(__xludf.DUMMYFUNCTION("""COMPUTED_VALUE"""),-2.1699151964018597)</f>
        <v>-2.169915196</v>
      </c>
      <c r="BE428" s="4"/>
      <c r="BF428" s="4"/>
      <c r="BG428" s="4">
        <f>IFERROR(__xludf.DUMMYFUNCTION("""COMPUTED_VALUE"""),-7.2491426474275045)</f>
        <v>-7.249142647</v>
      </c>
      <c r="BH428" s="4"/>
      <c r="BI428" s="4"/>
      <c r="BJ428" s="4"/>
      <c r="BK428" s="4"/>
    </row>
    <row r="429">
      <c r="A429" s="4"/>
      <c r="B429" s="4"/>
      <c r="C429" s="4"/>
      <c r="D429" s="4">
        <f>IFERROR(__xludf.DUMMYFUNCTION("""COMPUTED_VALUE"""),-180.90433803084065)</f>
        <v>-180.904338</v>
      </c>
      <c r="E429" s="23">
        <f>IFERROR(__xludf.DUMMYFUNCTION("""COMPUTED_VALUE"""),2.6053144122605545)</f>
        <v>2.605314412</v>
      </c>
      <c r="F429" s="4"/>
      <c r="G429" s="4"/>
      <c r="H429" s="4">
        <f>IFERROR(__xludf.DUMMYFUNCTION("""COMPUTED_VALUE"""),-0.9875062965107304)</f>
        <v>-0.9875062965</v>
      </c>
      <c r="I429" s="4"/>
      <c r="J429" s="4"/>
      <c r="K429" s="4">
        <f>IFERROR(__xludf.DUMMYFUNCTION("""COMPUTED_VALUE"""),-0.12548197696531815)</f>
        <v>-0.125481977</v>
      </c>
      <c r="L429" s="4"/>
      <c r="M429" s="4"/>
      <c r="N429" s="4">
        <f>IFERROR(__xludf.DUMMYFUNCTION("""COMPUTED_VALUE"""),-4.938197622548387)</f>
        <v>-4.938197623</v>
      </c>
      <c r="O429" s="4"/>
      <c r="P429" s="4"/>
      <c r="Q429" s="4">
        <f>IFERROR(__xludf.DUMMYFUNCTION("""COMPUTED_VALUE"""),1.3209799718584918)</f>
        <v>1.320979972</v>
      </c>
      <c r="R429" s="4"/>
      <c r="S429" s="4"/>
      <c r="T429" s="4">
        <f>IFERROR(__xludf.DUMMYFUNCTION("""COMPUTED_VALUE"""),-0.8716109936850671)</f>
        <v>-0.8716109937</v>
      </c>
      <c r="U429" s="4"/>
      <c r="V429" s="4"/>
      <c r="W429" s="4">
        <f>IFERROR(__xludf.DUMMYFUNCTION("""COMPUTED_VALUE"""),1.6108255314629787)</f>
        <v>1.610825531</v>
      </c>
      <c r="X429" s="4"/>
      <c r="Y429" s="4"/>
      <c r="Z429" s="4">
        <f>IFERROR(__xludf.DUMMYFUNCTION("""COMPUTED_VALUE"""),4.1108644673225285)</f>
        <v>4.110864467</v>
      </c>
      <c r="AA429" s="4"/>
      <c r="AB429" s="4"/>
      <c r="AC429" s="4">
        <f>IFERROR(__xludf.DUMMYFUNCTION("""COMPUTED_VALUE"""),7.80380621506356)</f>
        <v>7.803806215</v>
      </c>
      <c r="AD429" s="4"/>
      <c r="AE429" s="4"/>
      <c r="AF429" s="4">
        <f>IFERROR(__xludf.DUMMYFUNCTION("""COMPUTED_VALUE"""),-3.7738635553408244)</f>
        <v>-3.773863555</v>
      </c>
      <c r="AG429" s="4"/>
      <c r="AH429" s="4"/>
      <c r="AI429" s="4">
        <f>IFERROR(__xludf.DUMMYFUNCTION("""COMPUTED_VALUE"""),0.5691568480359592)</f>
        <v>0.569156848</v>
      </c>
      <c r="AJ429" s="4"/>
      <c r="AK429" s="4"/>
      <c r="AL429" s="4">
        <f>IFERROR(__xludf.DUMMYFUNCTION("""COMPUTED_VALUE"""),0.5736646982816183)</f>
        <v>0.5736646983</v>
      </c>
      <c r="AM429" s="4"/>
      <c r="AN429" s="4"/>
      <c r="AO429" s="4">
        <f>IFERROR(__xludf.DUMMYFUNCTION("""COMPUTED_VALUE"""),3.293174219004868)</f>
        <v>3.293174219</v>
      </c>
      <c r="AP429" s="4"/>
      <c r="AQ429" s="4"/>
      <c r="AR429" s="4">
        <f>IFERROR(__xludf.DUMMYFUNCTION("""COMPUTED_VALUE"""),4.836819478758457)</f>
        <v>4.836819479</v>
      </c>
      <c r="AS429" s="4"/>
      <c r="AT429" s="4"/>
      <c r="AU429" s="4">
        <f>IFERROR(__xludf.DUMMYFUNCTION("""COMPUTED_VALUE"""),-0.11539310908483458)</f>
        <v>-0.1153931091</v>
      </c>
      <c r="AV429" s="4"/>
      <c r="AW429" s="4"/>
      <c r="AX429" s="4">
        <f>IFERROR(__xludf.DUMMYFUNCTION("""COMPUTED_VALUE"""),0.9449110850413831)</f>
        <v>0.944911085</v>
      </c>
      <c r="AY429" s="4"/>
      <c r="AZ429" s="4"/>
      <c r="BA429" s="4">
        <f>IFERROR(__xludf.DUMMYFUNCTION("""COMPUTED_VALUE"""),-2.153144905284762)</f>
        <v>-2.153144905</v>
      </c>
      <c r="BB429" s="4"/>
      <c r="BC429" s="4"/>
      <c r="BD429" s="4">
        <f>IFERROR(__xludf.DUMMYFUNCTION("""COMPUTED_VALUE"""),0.5378333460482168)</f>
        <v>0.537833346</v>
      </c>
      <c r="BE429" s="4"/>
      <c r="BF429" s="4"/>
      <c r="BG429" s="4">
        <f>IFERROR(__xludf.DUMMYFUNCTION("""COMPUTED_VALUE"""),5.452478015494876)</f>
        <v>5.452478015</v>
      </c>
      <c r="BH429" s="4"/>
      <c r="BI429" s="4"/>
      <c r="BJ429" s="4"/>
      <c r="BK429" s="4"/>
    </row>
    <row r="430">
      <c r="A430" s="4"/>
      <c r="B430" s="4"/>
      <c r="C430" s="4"/>
      <c r="D430" s="4">
        <f>IFERROR(__xludf.DUMMYFUNCTION("""COMPUTED_VALUE"""),-181.82263416152577)</f>
        <v>-181.8226342</v>
      </c>
      <c r="E430" s="23">
        <f>IFERROR(__xludf.DUMMYFUNCTION("""COMPUTED_VALUE"""),-5.84539134696297)</f>
        <v>-5.845391347</v>
      </c>
      <c r="F430" s="4"/>
      <c r="G430" s="4"/>
      <c r="H430" s="4">
        <f>IFERROR(__xludf.DUMMYFUNCTION("""COMPUTED_VALUE"""),-1.94630654324925)</f>
        <v>-1.946306543</v>
      </c>
      <c r="I430" s="4"/>
      <c r="J430" s="4"/>
      <c r="K430" s="4">
        <f>IFERROR(__xludf.DUMMYFUNCTION("""COMPUTED_VALUE"""),1.8775078845192752)</f>
        <v>1.877507885</v>
      </c>
      <c r="L430" s="4"/>
      <c r="M430" s="4"/>
      <c r="N430" s="4">
        <f>IFERROR(__xludf.DUMMYFUNCTION("""COMPUTED_VALUE"""),-3.0003974796326247)</f>
        <v>-3.00039748</v>
      </c>
      <c r="O430" s="4"/>
      <c r="P430" s="4"/>
      <c r="Q430" s="4">
        <f>IFERROR(__xludf.DUMMYFUNCTION("""COMPUTED_VALUE"""),0.8046070929233906)</f>
        <v>0.8046070929</v>
      </c>
      <c r="R430" s="4"/>
      <c r="S430" s="4"/>
      <c r="T430" s="4">
        <f>IFERROR(__xludf.DUMMYFUNCTION("""COMPUTED_VALUE"""),-4.334033954361303)</f>
        <v>-4.334033954</v>
      </c>
      <c r="U430" s="4"/>
      <c r="V430" s="4"/>
      <c r="W430" s="4">
        <f>IFERROR(__xludf.DUMMYFUNCTION("""COMPUTED_VALUE"""),-1.5478593732786976)</f>
        <v>-1.547859373</v>
      </c>
      <c r="X430" s="4"/>
      <c r="Y430" s="4"/>
      <c r="Z430" s="4">
        <f>IFERROR(__xludf.DUMMYFUNCTION("""COMPUTED_VALUE"""),-0.6042438270471848)</f>
        <v>-0.604243827</v>
      </c>
      <c r="AA430" s="4"/>
      <c r="AB430" s="4"/>
      <c r="AC430" s="4">
        <f>IFERROR(__xludf.DUMMYFUNCTION("""COMPUTED_VALUE"""),3.755947166496412)</f>
        <v>3.755947166</v>
      </c>
      <c r="AD430" s="4"/>
      <c r="AE430" s="4"/>
      <c r="AF430" s="4">
        <f>IFERROR(__xludf.DUMMYFUNCTION("""COMPUTED_VALUE"""),5.630315069518645)</f>
        <v>5.63031507</v>
      </c>
      <c r="AG430" s="4"/>
      <c r="AH430" s="4"/>
      <c r="AI430" s="4">
        <f>IFERROR(__xludf.DUMMYFUNCTION("""COMPUTED_VALUE"""),0.5971923199397224)</f>
        <v>0.5971923199</v>
      </c>
      <c r="AJ430" s="4"/>
      <c r="AK430" s="4"/>
      <c r="AL430" s="4">
        <f>IFERROR(__xludf.DUMMYFUNCTION("""COMPUTED_VALUE"""),-0.4428766096579011)</f>
        <v>-0.4428766097</v>
      </c>
      <c r="AM430" s="4"/>
      <c r="AN430" s="4"/>
      <c r="AO430" s="4">
        <f>IFERROR(__xludf.DUMMYFUNCTION("""COMPUTED_VALUE"""),1.6991602249933067)</f>
        <v>1.699160225</v>
      </c>
      <c r="AP430" s="4"/>
      <c r="AQ430" s="4"/>
      <c r="AR430" s="4">
        <f>IFERROR(__xludf.DUMMYFUNCTION("""COMPUTED_VALUE"""),0.8634135464398014)</f>
        <v>0.8634135464</v>
      </c>
      <c r="AS430" s="4"/>
      <c r="AT430" s="4"/>
      <c r="AU430" s="4">
        <f>IFERROR(__xludf.DUMMYFUNCTION("""COMPUTED_VALUE"""),3.8689975961291907)</f>
        <v>3.868997596</v>
      </c>
      <c r="AV430" s="4"/>
      <c r="AW430" s="4"/>
      <c r="AX430" s="4">
        <f>IFERROR(__xludf.DUMMYFUNCTION("""COMPUTED_VALUE"""),4.036618797645247)</f>
        <v>4.036618798</v>
      </c>
      <c r="AY430" s="4"/>
      <c r="AZ430" s="4"/>
      <c r="BA430" s="4">
        <f>IFERROR(__xludf.DUMMYFUNCTION("""COMPUTED_VALUE"""),0.7400237956991873)</f>
        <v>0.7400237957</v>
      </c>
      <c r="BB430" s="4"/>
      <c r="BC430" s="4"/>
      <c r="BD430" s="4">
        <f>IFERROR(__xludf.DUMMYFUNCTION("""COMPUTED_VALUE"""),-2.861197461160657)</f>
        <v>-2.861197461</v>
      </c>
      <c r="BE430" s="4"/>
      <c r="BF430" s="4"/>
      <c r="BG430" s="4">
        <f>IFERROR(__xludf.DUMMYFUNCTION("""COMPUTED_VALUE"""),-4.800163893472245)</f>
        <v>-4.800163893</v>
      </c>
      <c r="BH430" s="4"/>
      <c r="BI430" s="4"/>
      <c r="BJ430" s="4"/>
      <c r="BK430" s="4"/>
    </row>
    <row r="431">
      <c r="A431" s="4"/>
      <c r="B431" s="4"/>
      <c r="C431" s="4"/>
      <c r="D431" s="4">
        <f>IFERROR(__xludf.DUMMYFUNCTION("""COMPUTED_VALUE"""),-182.74093029427547)</f>
        <v>-182.7409303</v>
      </c>
      <c r="E431" s="23">
        <f>IFERROR(__xludf.DUMMYFUNCTION("""COMPUTED_VALUE"""),-0.4590343736179534)</f>
        <v>-0.4590343736</v>
      </c>
      <c r="F431" s="4"/>
      <c r="G431" s="4"/>
      <c r="H431" s="4">
        <f>IFERROR(__xludf.DUMMYFUNCTION("""COMPUTED_VALUE"""),0.5166612133454578)</f>
        <v>0.5166612133</v>
      </c>
      <c r="I431" s="4"/>
      <c r="J431" s="4"/>
      <c r="K431" s="4">
        <f>IFERROR(__xludf.DUMMYFUNCTION("""COMPUTED_VALUE"""),-1.830565367519796)</f>
        <v>-1.830565368</v>
      </c>
      <c r="L431" s="4"/>
      <c r="M431" s="4"/>
      <c r="N431" s="4">
        <f>IFERROR(__xludf.DUMMYFUNCTION("""COMPUTED_VALUE"""),-6.171245412670032)</f>
        <v>-6.171245413</v>
      </c>
      <c r="O431" s="4"/>
      <c r="P431" s="4"/>
      <c r="Q431" s="4">
        <f>IFERROR(__xludf.DUMMYFUNCTION("""COMPUTED_VALUE"""),-1.2367602546971739)</f>
        <v>-1.236760255</v>
      </c>
      <c r="R431" s="4"/>
      <c r="S431" s="4"/>
      <c r="T431" s="4">
        <f>IFERROR(__xludf.DUMMYFUNCTION("""COMPUTED_VALUE"""),1.8554339907985877)</f>
        <v>1.855433991</v>
      </c>
      <c r="U431" s="4"/>
      <c r="V431" s="4"/>
      <c r="W431" s="4">
        <f>IFERROR(__xludf.DUMMYFUNCTION("""COMPUTED_VALUE"""),-3.4473970902264455)</f>
        <v>-3.44739709</v>
      </c>
      <c r="X431" s="4"/>
      <c r="Y431" s="4"/>
      <c r="Z431" s="4">
        <f>IFERROR(__xludf.DUMMYFUNCTION("""COMPUTED_VALUE"""),1.4052090414169243)</f>
        <v>1.405209041</v>
      </c>
      <c r="AA431" s="4"/>
      <c r="AB431" s="4"/>
      <c r="AC431" s="4">
        <f>IFERROR(__xludf.DUMMYFUNCTION("""COMPUTED_VALUE"""),6.247545320924701)</f>
        <v>6.247545321</v>
      </c>
      <c r="AD431" s="4"/>
      <c r="AE431" s="4"/>
      <c r="AF431" s="4">
        <f>IFERROR(__xludf.DUMMYFUNCTION("""COMPUTED_VALUE"""),-0.4581186789417302)</f>
        <v>-0.4581186789</v>
      </c>
      <c r="AG431" s="4"/>
      <c r="AH431" s="4"/>
      <c r="AI431" s="4">
        <f>IFERROR(__xludf.DUMMYFUNCTION("""COMPUTED_VALUE"""),-1.4391547592040865)</f>
        <v>-1.439154759</v>
      </c>
      <c r="AJ431" s="4"/>
      <c r="AK431" s="4"/>
      <c r="AL431" s="4">
        <f>IFERROR(__xludf.DUMMYFUNCTION("""COMPUTED_VALUE"""),-1.6189497309553644)</f>
        <v>-1.618949731</v>
      </c>
      <c r="AM431" s="4"/>
      <c r="AN431" s="4"/>
      <c r="AO431" s="4">
        <f>IFERROR(__xludf.DUMMYFUNCTION("""COMPUTED_VALUE"""),-1.6269437418045527)</f>
        <v>-1.626943742</v>
      </c>
      <c r="AP431" s="4"/>
      <c r="AQ431" s="4"/>
      <c r="AR431" s="4">
        <f>IFERROR(__xludf.DUMMYFUNCTION("""COMPUTED_VALUE"""),-0.8450838964141667)</f>
        <v>-0.8450838964</v>
      </c>
      <c r="AS431" s="4"/>
      <c r="AT431" s="4"/>
      <c r="AU431" s="4">
        <f>IFERROR(__xludf.DUMMYFUNCTION("""COMPUTED_VALUE"""),-1.5791686348330245)</f>
        <v>-1.579168635</v>
      </c>
      <c r="AV431" s="4"/>
      <c r="AW431" s="4"/>
      <c r="AX431" s="4">
        <f>IFERROR(__xludf.DUMMYFUNCTION("""COMPUTED_VALUE"""),1.7429132227048854)</f>
        <v>1.742913223</v>
      </c>
      <c r="AY431" s="4"/>
      <c r="AZ431" s="4"/>
      <c r="BA431" s="4">
        <f>IFERROR(__xludf.DUMMYFUNCTION("""COMPUTED_VALUE"""),5.038055435747708)</f>
        <v>5.038055436</v>
      </c>
      <c r="BB431" s="4"/>
      <c r="BC431" s="4"/>
      <c r="BD431" s="4">
        <f>IFERROR(__xludf.DUMMYFUNCTION("""COMPUTED_VALUE"""),-2.573639948144546)</f>
        <v>-2.573639948</v>
      </c>
      <c r="BE431" s="4"/>
      <c r="BF431" s="4"/>
      <c r="BG431" s="4">
        <f>IFERROR(__xludf.DUMMYFUNCTION("""COMPUTED_VALUE"""),-4.630289452488398)</f>
        <v>-4.630289452</v>
      </c>
      <c r="BH431" s="4"/>
      <c r="BI431" s="4"/>
      <c r="BJ431" s="4"/>
      <c r="BK431" s="4"/>
    </row>
    <row r="432">
      <c r="A432" s="4"/>
      <c r="B432" s="4"/>
      <c r="C432" s="4"/>
      <c r="D432" s="4">
        <f>IFERROR(__xludf.DUMMYFUNCTION("""COMPUTED_VALUE"""),-183.65922642707557)</f>
        <v>-183.6592264</v>
      </c>
      <c r="E432" s="23">
        <f>IFERROR(__xludf.DUMMYFUNCTION("""COMPUTED_VALUE"""),-0.027515349901705122)</f>
        <v>-0.0275153499</v>
      </c>
      <c r="F432" s="4"/>
      <c r="G432" s="4"/>
      <c r="H432" s="4">
        <f>IFERROR(__xludf.DUMMYFUNCTION("""COMPUTED_VALUE"""),0.7613422533894436)</f>
        <v>0.7613422534</v>
      </c>
      <c r="I432" s="4"/>
      <c r="J432" s="4"/>
      <c r="K432" s="4">
        <f>IFERROR(__xludf.DUMMYFUNCTION("""COMPUTED_VALUE"""),-2.4703017911853067)</f>
        <v>-2.470301791</v>
      </c>
      <c r="L432" s="4"/>
      <c r="M432" s="4"/>
      <c r="N432" s="4">
        <f>IFERROR(__xludf.DUMMYFUNCTION("""COMPUTED_VALUE"""),-2.235262234391598)</f>
        <v>-2.235262234</v>
      </c>
      <c r="O432" s="4"/>
      <c r="P432" s="4"/>
      <c r="Q432" s="4">
        <f>IFERROR(__xludf.DUMMYFUNCTION("""COMPUTED_VALUE"""),-2.653376619362689)</f>
        <v>-2.653376619</v>
      </c>
      <c r="R432" s="4"/>
      <c r="S432" s="4"/>
      <c r="T432" s="4">
        <f>IFERROR(__xludf.DUMMYFUNCTION("""COMPUTED_VALUE"""),-2.227001394522631)</f>
        <v>-2.227001395</v>
      </c>
      <c r="U432" s="4"/>
      <c r="V432" s="4"/>
      <c r="W432" s="4">
        <f>IFERROR(__xludf.DUMMYFUNCTION("""COMPUTED_VALUE"""),0.8525358993130681)</f>
        <v>0.8525358993</v>
      </c>
      <c r="X432" s="4"/>
      <c r="Y432" s="4"/>
      <c r="Z432" s="4">
        <f>IFERROR(__xludf.DUMMYFUNCTION("""COMPUTED_VALUE"""),-0.03703807773678136)</f>
        <v>-0.03703807774</v>
      </c>
      <c r="AA432" s="4"/>
      <c r="AB432" s="4"/>
      <c r="AC432" s="4">
        <f>IFERROR(__xludf.DUMMYFUNCTION("""COMPUTED_VALUE"""),-3.4938735585092786)</f>
        <v>-3.493873559</v>
      </c>
      <c r="AD432" s="4"/>
      <c r="AE432" s="4"/>
      <c r="AF432" s="4">
        <f>IFERROR(__xludf.DUMMYFUNCTION("""COMPUTED_VALUE"""),-3.4528953647360368)</f>
        <v>-3.452895365</v>
      </c>
      <c r="AG432" s="4"/>
      <c r="AH432" s="4"/>
      <c r="AI432" s="4">
        <f>IFERROR(__xludf.DUMMYFUNCTION("""COMPUTED_VALUE"""),-4.201593372011814)</f>
        <v>-4.201593372</v>
      </c>
      <c r="AJ432" s="4"/>
      <c r="AK432" s="4"/>
      <c r="AL432" s="4">
        <f>IFERROR(__xludf.DUMMYFUNCTION("""COMPUTED_VALUE"""),-0.6529696247836227)</f>
        <v>-0.6529696248</v>
      </c>
      <c r="AM432" s="4"/>
      <c r="AN432" s="4"/>
      <c r="AO432" s="4">
        <f>IFERROR(__xludf.DUMMYFUNCTION("""COMPUTED_VALUE"""),5.717163135450505)</f>
        <v>5.717163135</v>
      </c>
      <c r="AP432" s="4"/>
      <c r="AQ432" s="4"/>
      <c r="AR432" s="4">
        <f>IFERROR(__xludf.DUMMYFUNCTION("""COMPUTED_VALUE"""),-1.1289191509759462)</f>
        <v>-1.128919151</v>
      </c>
      <c r="AS432" s="4"/>
      <c r="AT432" s="4"/>
      <c r="AU432" s="4">
        <f>IFERROR(__xludf.DUMMYFUNCTION("""COMPUTED_VALUE"""),-2.3042786946539877)</f>
        <v>-2.304278695</v>
      </c>
      <c r="AV432" s="4"/>
      <c r="AW432" s="4"/>
      <c r="AX432" s="4">
        <f>IFERROR(__xludf.DUMMYFUNCTION("""COMPUTED_VALUE"""),-0.04330102073782882)</f>
        <v>-0.04330102074</v>
      </c>
      <c r="AY432" s="4"/>
      <c r="AZ432" s="4"/>
      <c r="BA432" s="4">
        <f>IFERROR(__xludf.DUMMYFUNCTION("""COMPUTED_VALUE"""),-3.1803152100896455)</f>
        <v>-3.18031521</v>
      </c>
      <c r="BB432" s="4"/>
      <c r="BC432" s="4"/>
      <c r="BD432" s="4">
        <f>IFERROR(__xludf.DUMMYFUNCTION("""COMPUTED_VALUE"""),-1.784101913641905)</f>
        <v>-1.784101914</v>
      </c>
      <c r="BE432" s="4"/>
      <c r="BF432" s="4"/>
      <c r="BG432" s="4">
        <f>IFERROR(__xludf.DUMMYFUNCTION("""COMPUTED_VALUE"""),-0.6407523764282246)</f>
        <v>-0.6407523764</v>
      </c>
      <c r="BH432" s="4"/>
      <c r="BI432" s="4"/>
      <c r="BJ432" s="4"/>
      <c r="BK432" s="4"/>
    </row>
    <row r="433">
      <c r="A433" s="4"/>
      <c r="B433" s="4"/>
      <c r="C433" s="4"/>
      <c r="D433" s="4">
        <f>IFERROR(__xludf.DUMMYFUNCTION("""COMPUTED_VALUE"""),-184.57752255771035)</f>
        <v>-184.5775226</v>
      </c>
      <c r="E433" s="23">
        <f>IFERROR(__xludf.DUMMYFUNCTION("""COMPUTED_VALUE"""),-5.856507962759849)</f>
        <v>-5.856507963</v>
      </c>
      <c r="F433" s="4"/>
      <c r="G433" s="4"/>
      <c r="H433" s="4">
        <f>IFERROR(__xludf.DUMMYFUNCTION("""COMPUTED_VALUE"""),0.8149074852281615)</f>
        <v>0.8149074852</v>
      </c>
      <c r="I433" s="4"/>
      <c r="J433" s="4"/>
      <c r="K433" s="4">
        <f>IFERROR(__xludf.DUMMYFUNCTION("""COMPUTED_VALUE"""),-0.3353511643648517)</f>
        <v>-0.3353511644</v>
      </c>
      <c r="L433" s="4"/>
      <c r="M433" s="4"/>
      <c r="N433" s="4">
        <f>IFERROR(__xludf.DUMMYFUNCTION("""COMPUTED_VALUE"""),-1.2483196013684505)</f>
        <v>-1.248319601</v>
      </c>
      <c r="O433" s="4"/>
      <c r="P433" s="4"/>
      <c r="Q433" s="4">
        <f>IFERROR(__xludf.DUMMYFUNCTION("""COMPUTED_VALUE"""),-0.5935054659965999)</f>
        <v>-0.593505466</v>
      </c>
      <c r="R433" s="4"/>
      <c r="S433" s="4"/>
      <c r="T433" s="4">
        <f>IFERROR(__xludf.DUMMYFUNCTION("""COMPUTED_VALUE"""),-1.4325211641225337)</f>
        <v>-1.432521164</v>
      </c>
      <c r="U433" s="4"/>
      <c r="V433" s="4"/>
      <c r="W433" s="4">
        <f>IFERROR(__xludf.DUMMYFUNCTION("""COMPUTED_VALUE"""),0.876558439634664)</f>
        <v>0.8765584396</v>
      </c>
      <c r="X433" s="4"/>
      <c r="Y433" s="4"/>
      <c r="Z433" s="4">
        <f>IFERROR(__xludf.DUMMYFUNCTION("""COMPUTED_VALUE"""),-7.715034118786093)</f>
        <v>-7.715034119</v>
      </c>
      <c r="AA433" s="4"/>
      <c r="AB433" s="4"/>
      <c r="AC433" s="4">
        <f>IFERROR(__xludf.DUMMYFUNCTION("""COMPUTED_VALUE"""),5.212510558793667)</f>
        <v>5.212510559</v>
      </c>
      <c r="AD433" s="4"/>
      <c r="AE433" s="4"/>
      <c r="AF433" s="4">
        <f>IFERROR(__xludf.DUMMYFUNCTION("""COMPUTED_VALUE"""),3.479796554461302)</f>
        <v>3.479796554</v>
      </c>
      <c r="AG433" s="4"/>
      <c r="AH433" s="4"/>
      <c r="AI433" s="4">
        <f>IFERROR(__xludf.DUMMYFUNCTION("""COMPUTED_VALUE"""),-5.088328155801321)</f>
        <v>-5.088328156</v>
      </c>
      <c r="AJ433" s="4"/>
      <c r="AK433" s="4"/>
      <c r="AL433" s="4">
        <f>IFERROR(__xludf.DUMMYFUNCTION("""COMPUTED_VALUE"""),-2.423309996876128)</f>
        <v>-2.423309997</v>
      </c>
      <c r="AM433" s="4"/>
      <c r="AN433" s="4"/>
      <c r="AO433" s="4">
        <f>IFERROR(__xludf.DUMMYFUNCTION("""COMPUTED_VALUE"""),3.06531592764145)</f>
        <v>3.065315928</v>
      </c>
      <c r="AP433" s="4"/>
      <c r="AQ433" s="4"/>
      <c r="AR433" s="4">
        <f>IFERROR(__xludf.DUMMYFUNCTION("""COMPUTED_VALUE"""),2.3093200449212077)</f>
        <v>2.309320045</v>
      </c>
      <c r="AS433" s="4"/>
      <c r="AT433" s="4"/>
      <c r="AU433" s="4">
        <f>IFERROR(__xludf.DUMMYFUNCTION("""COMPUTED_VALUE"""),-2.013786687648974)</f>
        <v>-2.013786688</v>
      </c>
      <c r="AV433" s="4"/>
      <c r="AW433" s="4"/>
      <c r="AX433" s="4">
        <f>IFERROR(__xludf.DUMMYFUNCTION("""COMPUTED_VALUE"""),3.992919723218108)</f>
        <v>3.992919723</v>
      </c>
      <c r="AY433" s="4"/>
      <c r="AZ433" s="4"/>
      <c r="BA433" s="4">
        <f>IFERROR(__xludf.DUMMYFUNCTION("""COMPUTED_VALUE"""),5.271829001595449)</f>
        <v>5.271829002</v>
      </c>
      <c r="BB433" s="4"/>
      <c r="BC433" s="4"/>
      <c r="BD433" s="4">
        <f>IFERROR(__xludf.DUMMYFUNCTION("""COMPUTED_VALUE"""),-3.4560620790578014)</f>
        <v>-3.456062079</v>
      </c>
      <c r="BE433" s="4"/>
      <c r="BF433" s="4"/>
      <c r="BG433" s="4">
        <f>IFERROR(__xludf.DUMMYFUNCTION("""COMPUTED_VALUE"""),-2.3630450193272736)</f>
        <v>-2.363045019</v>
      </c>
      <c r="BH433" s="4"/>
      <c r="BI433" s="4"/>
      <c r="BJ433" s="4"/>
      <c r="BK433" s="4"/>
    </row>
    <row r="434">
      <c r="A434" s="4"/>
      <c r="B434" s="4"/>
      <c r="C434" s="4"/>
      <c r="D434" s="4">
        <f>IFERROR(__xludf.DUMMYFUNCTION("""COMPUTED_VALUE"""),-185.49581869051042)</f>
        <v>-185.4958187</v>
      </c>
      <c r="E434" s="23">
        <f>IFERROR(__xludf.DUMMYFUNCTION("""COMPUTED_VALUE"""),-2.2593436128182702)</f>
        <v>-2.259343613</v>
      </c>
      <c r="F434" s="4"/>
      <c r="G434" s="4"/>
      <c r="H434" s="4">
        <f>IFERROR(__xludf.DUMMYFUNCTION("""COMPUTED_VALUE"""),-0.43447540539176543)</f>
        <v>-0.4344754054</v>
      </c>
      <c r="I434" s="4"/>
      <c r="J434" s="4"/>
      <c r="K434" s="4">
        <f>IFERROR(__xludf.DUMMYFUNCTION("""COMPUTED_VALUE"""),0.8607858367817016)</f>
        <v>0.8607858368</v>
      </c>
      <c r="L434" s="4"/>
      <c r="M434" s="4"/>
      <c r="N434" s="4">
        <f>IFERROR(__xludf.DUMMYFUNCTION("""COMPUTED_VALUE"""),-3.60976491103753)</f>
        <v>-3.609764911</v>
      </c>
      <c r="O434" s="4"/>
      <c r="P434" s="4"/>
      <c r="Q434" s="4">
        <f>IFERROR(__xludf.DUMMYFUNCTION("""COMPUTED_VALUE"""),-0.3755244252355965)</f>
        <v>-0.3755244252</v>
      </c>
      <c r="R434" s="4"/>
      <c r="S434" s="4"/>
      <c r="T434" s="4">
        <f>IFERROR(__xludf.DUMMYFUNCTION("""COMPUTED_VALUE"""),5.934438109498899)</f>
        <v>5.934438109</v>
      </c>
      <c r="U434" s="4"/>
      <c r="V434" s="4"/>
      <c r="W434" s="4">
        <f>IFERROR(__xludf.DUMMYFUNCTION("""COMPUTED_VALUE"""),-1.9288409400736555)</f>
        <v>-1.92884094</v>
      </c>
      <c r="X434" s="4"/>
      <c r="Y434" s="4"/>
      <c r="Z434" s="4">
        <f>IFERROR(__xludf.DUMMYFUNCTION("""COMPUTED_VALUE"""),2.748707688285208)</f>
        <v>2.748707688</v>
      </c>
      <c r="AA434" s="4"/>
      <c r="AB434" s="4"/>
      <c r="AC434" s="4">
        <f>IFERROR(__xludf.DUMMYFUNCTION("""COMPUTED_VALUE"""),8.098056677215823)</f>
        <v>8.098056677</v>
      </c>
      <c r="AD434" s="4"/>
      <c r="AE434" s="4"/>
      <c r="AF434" s="4">
        <f>IFERROR(__xludf.DUMMYFUNCTION("""COMPUTED_VALUE"""),-0.9663865029043563)</f>
        <v>-0.9663865029</v>
      </c>
      <c r="AG434" s="4"/>
      <c r="AH434" s="4"/>
      <c r="AI434" s="4">
        <f>IFERROR(__xludf.DUMMYFUNCTION("""COMPUTED_VALUE"""),1.506433930230628)</f>
        <v>1.50643393</v>
      </c>
      <c r="AJ434" s="4"/>
      <c r="AK434" s="4"/>
      <c r="AL434" s="4">
        <f>IFERROR(__xludf.DUMMYFUNCTION("""COMPUTED_VALUE"""),-0.08278140621359853)</f>
        <v>-0.08278140621</v>
      </c>
      <c r="AM434" s="4"/>
      <c r="AN434" s="4"/>
      <c r="AO434" s="4">
        <f>IFERROR(__xludf.DUMMYFUNCTION("""COMPUTED_VALUE"""),4.0991127546616895)</f>
        <v>4.099112755</v>
      </c>
      <c r="AP434" s="4"/>
      <c r="AQ434" s="4"/>
      <c r="AR434" s="4">
        <f>IFERROR(__xludf.DUMMYFUNCTION("""COMPUTED_VALUE"""),4.246162305844507)</f>
        <v>4.246162306</v>
      </c>
      <c r="AS434" s="4"/>
      <c r="AT434" s="4"/>
      <c r="AU434" s="4">
        <f>IFERROR(__xludf.DUMMYFUNCTION("""COMPUTED_VALUE"""),-1.128538132198912)</f>
        <v>-1.128538132</v>
      </c>
      <c r="AV434" s="4"/>
      <c r="AW434" s="4"/>
      <c r="AX434" s="4">
        <f>IFERROR(__xludf.DUMMYFUNCTION("""COMPUTED_VALUE"""),5.413478355340885)</f>
        <v>5.413478355</v>
      </c>
      <c r="AY434" s="4"/>
      <c r="AZ434" s="4"/>
      <c r="BA434" s="4">
        <f>IFERROR(__xludf.DUMMYFUNCTION("""COMPUTED_VALUE"""),2.336724806423888)</f>
        <v>2.336724806</v>
      </c>
      <c r="BB434" s="4"/>
      <c r="BC434" s="4"/>
      <c r="BD434" s="4">
        <f>IFERROR(__xludf.DUMMYFUNCTION("""COMPUTED_VALUE"""),-2.0060966650602836)</f>
        <v>-2.006096665</v>
      </c>
      <c r="BE434" s="4"/>
      <c r="BF434" s="4"/>
      <c r="BG434" s="4">
        <f>IFERROR(__xludf.DUMMYFUNCTION("""COMPUTED_VALUE"""),0.6220713217045954)</f>
        <v>0.6220713217</v>
      </c>
      <c r="BH434" s="4"/>
      <c r="BI434" s="4"/>
      <c r="BJ434" s="4"/>
      <c r="BK434" s="4"/>
    </row>
    <row r="435">
      <c r="A435" s="4"/>
      <c r="B435" s="4"/>
      <c r="C435" s="4"/>
      <c r="D435" s="4">
        <f>IFERROR(__xludf.DUMMYFUNCTION("""COMPUTED_VALUE"""),-186.41411482331048)</f>
        <v>-186.4141148</v>
      </c>
      <c r="E435" s="23">
        <f>IFERROR(__xludf.DUMMYFUNCTION("""COMPUTED_VALUE"""),-0.9447730607571998)</f>
        <v>-0.9447730608</v>
      </c>
      <c r="F435" s="4"/>
      <c r="G435" s="4"/>
      <c r="H435" s="4">
        <f>IFERROR(__xludf.DUMMYFUNCTION("""COMPUTED_VALUE"""),-6.418479849221569)</f>
        <v>-6.418479849</v>
      </c>
      <c r="I435" s="4"/>
      <c r="J435" s="4"/>
      <c r="K435" s="4">
        <f>IFERROR(__xludf.DUMMYFUNCTION("""COMPUTED_VALUE"""),4.21342822530346)</f>
        <v>4.213428225</v>
      </c>
      <c r="L435" s="4"/>
      <c r="M435" s="4"/>
      <c r="N435" s="4">
        <f>IFERROR(__xludf.DUMMYFUNCTION("""COMPUTED_VALUE"""),-0.2857916960350053)</f>
        <v>-0.285791696</v>
      </c>
      <c r="O435" s="4"/>
      <c r="P435" s="4"/>
      <c r="Q435" s="4">
        <f>IFERROR(__xludf.DUMMYFUNCTION("""COMPUTED_VALUE"""),-6.846659475586591)</f>
        <v>-6.846659476</v>
      </c>
      <c r="R435" s="4"/>
      <c r="S435" s="4"/>
      <c r="T435" s="4">
        <f>IFERROR(__xludf.DUMMYFUNCTION("""COMPUTED_VALUE"""),1.5783074907646437)</f>
        <v>1.578307491</v>
      </c>
      <c r="U435" s="4"/>
      <c r="V435" s="4"/>
      <c r="W435" s="4">
        <f>IFERROR(__xludf.DUMMYFUNCTION("""COMPUTED_VALUE"""),0.323406203046261)</f>
        <v>0.323406203</v>
      </c>
      <c r="X435" s="4"/>
      <c r="Y435" s="4"/>
      <c r="Z435" s="4">
        <f>IFERROR(__xludf.DUMMYFUNCTION("""COMPUTED_VALUE"""),1.1732011444568116)</f>
        <v>1.173201144</v>
      </c>
      <c r="AA435" s="4"/>
      <c r="AB435" s="4"/>
      <c r="AC435" s="4">
        <f>IFERROR(__xludf.DUMMYFUNCTION("""COMPUTED_VALUE"""),0.27023000076451353)</f>
        <v>0.2702300008</v>
      </c>
      <c r="AD435" s="4"/>
      <c r="AE435" s="4"/>
      <c r="AF435" s="4">
        <f>IFERROR(__xludf.DUMMYFUNCTION("""COMPUTED_VALUE"""),1.455658677025781)</f>
        <v>1.455658677</v>
      </c>
      <c r="AG435" s="4"/>
      <c r="AH435" s="4"/>
      <c r="AI435" s="4">
        <f>IFERROR(__xludf.DUMMYFUNCTION("""COMPUTED_VALUE"""),0.9927543349747339)</f>
        <v>0.992754335</v>
      </c>
      <c r="AJ435" s="4"/>
      <c r="AK435" s="4"/>
      <c r="AL435" s="4">
        <f>IFERROR(__xludf.DUMMYFUNCTION("""COMPUTED_VALUE"""),0.5584682910633774)</f>
        <v>0.5584682911</v>
      </c>
      <c r="AM435" s="4"/>
      <c r="AN435" s="4"/>
      <c r="AO435" s="4">
        <f>IFERROR(__xludf.DUMMYFUNCTION("""COMPUTED_VALUE"""),4.078121885384519)</f>
        <v>4.078121885</v>
      </c>
      <c r="AP435" s="4"/>
      <c r="AQ435" s="4"/>
      <c r="AR435" s="4">
        <f>IFERROR(__xludf.DUMMYFUNCTION("""COMPUTED_VALUE"""),5.807168942295618)</f>
        <v>5.807168942</v>
      </c>
      <c r="AS435" s="4"/>
      <c r="AT435" s="4"/>
      <c r="AU435" s="4">
        <f>IFERROR(__xludf.DUMMYFUNCTION("""COMPUTED_VALUE"""),-0.7334785157933652)</f>
        <v>-0.7334785158</v>
      </c>
      <c r="AV435" s="4"/>
      <c r="AW435" s="4"/>
      <c r="AX435" s="4">
        <f>IFERROR(__xludf.DUMMYFUNCTION("""COMPUTED_VALUE"""),1.588943298913705)</f>
        <v>1.588943299</v>
      </c>
      <c r="AY435" s="4"/>
      <c r="AZ435" s="4"/>
      <c r="BA435" s="4">
        <f>IFERROR(__xludf.DUMMYFUNCTION("""COMPUTED_VALUE"""),-5.620572771858463)</f>
        <v>-5.620572772</v>
      </c>
      <c r="BB435" s="4"/>
      <c r="BC435" s="4"/>
      <c r="BD435" s="4">
        <f>IFERROR(__xludf.DUMMYFUNCTION("""COMPUTED_VALUE"""),3.239176296415053)</f>
        <v>3.239176296</v>
      </c>
      <c r="BE435" s="4"/>
      <c r="BF435" s="4"/>
      <c r="BG435" s="4">
        <f>IFERROR(__xludf.DUMMYFUNCTION("""COMPUTED_VALUE"""),-3.543616149816444)</f>
        <v>-3.54361615</v>
      </c>
      <c r="BH435" s="4"/>
      <c r="BI435" s="4"/>
      <c r="BJ435" s="4"/>
      <c r="BK435" s="4"/>
    </row>
    <row r="436">
      <c r="A436" s="4"/>
      <c r="B436" s="4"/>
      <c r="C436" s="4"/>
      <c r="D436" s="4">
        <f>IFERROR(__xludf.DUMMYFUNCTION("""COMPUTED_VALUE"""),-187.33241095394524)</f>
        <v>-187.332411</v>
      </c>
      <c r="E436" s="23">
        <f>IFERROR(__xludf.DUMMYFUNCTION("""COMPUTED_VALUE"""),3.2111128044562065)</f>
        <v>3.211112804</v>
      </c>
      <c r="F436" s="4"/>
      <c r="G436" s="4"/>
      <c r="H436" s="4">
        <f>IFERROR(__xludf.DUMMYFUNCTION("""COMPUTED_VALUE"""),-3.859523920826973)</f>
        <v>-3.859523921</v>
      </c>
      <c r="I436" s="4"/>
      <c r="J436" s="4"/>
      <c r="K436" s="4">
        <f>IFERROR(__xludf.DUMMYFUNCTION("""COMPUTED_VALUE"""),0.31692813659839203)</f>
        <v>0.3169281366</v>
      </c>
      <c r="L436" s="4"/>
      <c r="M436" s="4"/>
      <c r="N436" s="4">
        <f>IFERROR(__xludf.DUMMYFUNCTION("""COMPUTED_VALUE"""),0.13604527943977018)</f>
        <v>0.1360452794</v>
      </c>
      <c r="O436" s="4"/>
      <c r="P436" s="4"/>
      <c r="Q436" s="4">
        <f>IFERROR(__xludf.DUMMYFUNCTION("""COMPUTED_VALUE"""),1.804230755910396)</f>
        <v>1.804230756</v>
      </c>
      <c r="R436" s="4"/>
      <c r="S436" s="4"/>
      <c r="T436" s="4">
        <f>IFERROR(__xludf.DUMMYFUNCTION("""COMPUTED_VALUE"""),1.7512637328329674)</f>
        <v>1.751263733</v>
      </c>
      <c r="U436" s="4"/>
      <c r="V436" s="4"/>
      <c r="W436" s="4">
        <f>IFERROR(__xludf.DUMMYFUNCTION("""COMPUTED_VALUE"""),-2.74182667489157)</f>
        <v>-2.741826675</v>
      </c>
      <c r="X436" s="4"/>
      <c r="Y436" s="4"/>
      <c r="Z436" s="4">
        <f>IFERROR(__xludf.DUMMYFUNCTION("""COMPUTED_VALUE"""),-3.93026454926445)</f>
        <v>-3.930264549</v>
      </c>
      <c r="AA436" s="4"/>
      <c r="AB436" s="4"/>
      <c r="AC436" s="4">
        <f>IFERROR(__xludf.DUMMYFUNCTION("""COMPUTED_VALUE"""),0.5057702697647528)</f>
        <v>0.5057702698</v>
      </c>
      <c r="AD436" s="4"/>
      <c r="AE436" s="4"/>
      <c r="AF436" s="4">
        <f>IFERROR(__xludf.DUMMYFUNCTION("""COMPUTED_VALUE"""),-1.7694651388408715)</f>
        <v>-1.769465139</v>
      </c>
      <c r="AG436" s="4"/>
      <c r="AH436" s="4"/>
      <c r="AI436" s="4">
        <f>IFERROR(__xludf.DUMMYFUNCTION("""COMPUTED_VALUE"""),-0.11442544709473168)</f>
        <v>-0.1144254471</v>
      </c>
      <c r="AJ436" s="4"/>
      <c r="AK436" s="4"/>
      <c r="AL436" s="4">
        <f>IFERROR(__xludf.DUMMYFUNCTION("""COMPUTED_VALUE"""),-0.5223122463982577)</f>
        <v>-0.5223122464</v>
      </c>
      <c r="AM436" s="4"/>
      <c r="AN436" s="4"/>
      <c r="AO436" s="4">
        <f>IFERROR(__xludf.DUMMYFUNCTION("""COMPUTED_VALUE"""),-2.9828112877713124)</f>
        <v>-2.982811288</v>
      </c>
      <c r="AP436" s="4"/>
      <c r="AQ436" s="4"/>
      <c r="AR436" s="4">
        <f>IFERROR(__xludf.DUMMYFUNCTION("""COMPUTED_VALUE"""),-2.3075306643984277)</f>
        <v>-2.307530664</v>
      </c>
      <c r="AS436" s="4"/>
      <c r="AT436" s="4"/>
      <c r="AU436" s="4">
        <f>IFERROR(__xludf.DUMMYFUNCTION("""COMPUTED_VALUE"""),-1.8966289234248848)</f>
        <v>-1.896628923</v>
      </c>
      <c r="AV436" s="4"/>
      <c r="AW436" s="4"/>
      <c r="AX436" s="4">
        <f>IFERROR(__xludf.DUMMYFUNCTION("""COMPUTED_VALUE"""),-4.836196360347856)</f>
        <v>-4.83619636</v>
      </c>
      <c r="AY436" s="4"/>
      <c r="AZ436" s="4"/>
      <c r="BA436" s="4">
        <f>IFERROR(__xludf.DUMMYFUNCTION("""COMPUTED_VALUE"""),2.1017364472276086)</f>
        <v>2.101736447</v>
      </c>
      <c r="BB436" s="4"/>
      <c r="BC436" s="4"/>
      <c r="BD436" s="4">
        <f>IFERROR(__xludf.DUMMYFUNCTION("""COMPUTED_VALUE"""),2.612165913649619)</f>
        <v>2.612165914</v>
      </c>
      <c r="BE436" s="4"/>
      <c r="BF436" s="4"/>
      <c r="BG436" s="4">
        <f>IFERROR(__xludf.DUMMYFUNCTION("""COMPUTED_VALUE"""),-5.202964569494952)</f>
        <v>-5.202964569</v>
      </c>
      <c r="BH436" s="4"/>
      <c r="BI436" s="4"/>
      <c r="BJ436" s="4"/>
      <c r="BK436" s="4"/>
    </row>
    <row r="437">
      <c r="A437" s="4"/>
      <c r="B437" s="4"/>
      <c r="C437" s="4"/>
      <c r="D437" s="4">
        <f>IFERROR(__xludf.DUMMYFUNCTION("""COMPUTED_VALUE"""),-188.25070708674534)</f>
        <v>-188.2507071</v>
      </c>
      <c r="E437" s="23">
        <f>IFERROR(__xludf.DUMMYFUNCTION("""COMPUTED_VALUE"""),3.0634362167095333)</f>
        <v>3.063436217</v>
      </c>
      <c r="F437" s="4"/>
      <c r="G437" s="4"/>
      <c r="H437" s="4">
        <f>IFERROR(__xludf.DUMMYFUNCTION("""COMPUTED_VALUE"""),0.8878649836939303)</f>
        <v>0.8878649837</v>
      </c>
      <c r="I437" s="4"/>
      <c r="J437" s="4"/>
      <c r="K437" s="4">
        <f>IFERROR(__xludf.DUMMYFUNCTION("""COMPUTED_VALUE"""),0.9839080001166849)</f>
        <v>0.9839080001</v>
      </c>
      <c r="L437" s="4"/>
      <c r="M437" s="4"/>
      <c r="N437" s="4">
        <f>IFERROR(__xludf.DUMMYFUNCTION("""COMPUTED_VALUE"""),-0.29956024851207985)</f>
        <v>-0.2995602485</v>
      </c>
      <c r="O437" s="4"/>
      <c r="P437" s="4"/>
      <c r="Q437" s="4">
        <f>IFERROR(__xludf.DUMMYFUNCTION("""COMPUTED_VALUE"""),1.091484722224493)</f>
        <v>1.091484722</v>
      </c>
      <c r="R437" s="4"/>
      <c r="S437" s="4"/>
      <c r="T437" s="4">
        <f>IFERROR(__xludf.DUMMYFUNCTION("""COMPUTED_VALUE"""),-1.5190084058569369)</f>
        <v>-1.519008406</v>
      </c>
      <c r="U437" s="4"/>
      <c r="V437" s="4"/>
      <c r="W437" s="4">
        <f>IFERROR(__xludf.DUMMYFUNCTION("""COMPUTED_VALUE"""),0.5261247728847707)</f>
        <v>0.5261247729</v>
      </c>
      <c r="X437" s="4"/>
      <c r="Y437" s="4"/>
      <c r="Z437" s="4">
        <f>IFERROR(__xludf.DUMMYFUNCTION("""COMPUTED_VALUE"""),3.0081149733528036)</f>
        <v>3.008114973</v>
      </c>
      <c r="AA437" s="4"/>
      <c r="AB437" s="4"/>
      <c r="AC437" s="4">
        <f>IFERROR(__xludf.DUMMYFUNCTION("""COMPUTED_VALUE"""),3.8979442173539383)</f>
        <v>3.897944217</v>
      </c>
      <c r="AD437" s="4"/>
      <c r="AE437" s="4"/>
      <c r="AF437" s="4">
        <f>IFERROR(__xludf.DUMMYFUNCTION("""COMPUTED_VALUE"""),3.1796238030690347)</f>
        <v>3.179623803</v>
      </c>
      <c r="AG437" s="4"/>
      <c r="AH437" s="4"/>
      <c r="AI437" s="4">
        <f>IFERROR(__xludf.DUMMYFUNCTION("""COMPUTED_VALUE"""),1.6119140039633066)</f>
        <v>1.611914004</v>
      </c>
      <c r="AJ437" s="4"/>
      <c r="AK437" s="4"/>
      <c r="AL437" s="4">
        <f>IFERROR(__xludf.DUMMYFUNCTION("""COMPUTED_VALUE"""),-3.321800462732881)</f>
        <v>-3.321800463</v>
      </c>
      <c r="AM437" s="4"/>
      <c r="AN437" s="4"/>
      <c r="AO437" s="4">
        <f>IFERROR(__xludf.DUMMYFUNCTION("""COMPUTED_VALUE"""),0.9777474908148633)</f>
        <v>0.9777474908</v>
      </c>
      <c r="AP437" s="4"/>
      <c r="AQ437" s="4"/>
      <c r="AR437" s="4">
        <f>IFERROR(__xludf.DUMMYFUNCTION("""COMPUTED_VALUE"""),-2.381138183425719)</f>
        <v>-2.381138183</v>
      </c>
      <c r="AS437" s="4"/>
      <c r="AT437" s="4"/>
      <c r="AU437" s="4">
        <f>IFERROR(__xludf.DUMMYFUNCTION("""COMPUTED_VALUE"""),-0.13094055816645778)</f>
        <v>-0.1309405582</v>
      </c>
      <c r="AV437" s="4"/>
      <c r="AW437" s="4"/>
      <c r="AX437" s="4">
        <f>IFERROR(__xludf.DUMMYFUNCTION("""COMPUTED_VALUE"""),0.5541642099208275)</f>
        <v>0.5541642099</v>
      </c>
      <c r="AY437" s="4"/>
      <c r="AZ437" s="4"/>
      <c r="BA437" s="4">
        <f>IFERROR(__xludf.DUMMYFUNCTION("""COMPUTED_VALUE"""),-3.5559565189500972)</f>
        <v>-3.555956519</v>
      </c>
      <c r="BB437" s="4"/>
      <c r="BC437" s="4"/>
      <c r="BD437" s="4">
        <f>IFERROR(__xludf.DUMMYFUNCTION("""COMPUTED_VALUE"""),1.6611355638108876)</f>
        <v>1.661135564</v>
      </c>
      <c r="BE437" s="4"/>
      <c r="BF437" s="4"/>
      <c r="BG437" s="4">
        <f>IFERROR(__xludf.DUMMYFUNCTION("""COMPUTED_VALUE"""),2.3531948262638025)</f>
        <v>2.353194826</v>
      </c>
      <c r="BH437" s="4"/>
      <c r="BI437" s="4"/>
      <c r="BJ437" s="4"/>
      <c r="BK437" s="4"/>
    </row>
    <row r="438">
      <c r="A438" s="4"/>
      <c r="B438" s="4"/>
      <c r="C438" s="4"/>
      <c r="D438" s="4">
        <f>IFERROR(__xludf.DUMMYFUNCTION("""COMPUTED_VALUE"""),-189.16900321949507)</f>
        <v>-189.1690032</v>
      </c>
      <c r="E438" s="23">
        <f>IFERROR(__xludf.DUMMYFUNCTION("""COMPUTED_VALUE"""),-3.9128078602078062)</f>
        <v>-3.91280786</v>
      </c>
      <c r="F438" s="4"/>
      <c r="G438" s="4"/>
      <c r="H438" s="4">
        <f>IFERROR(__xludf.DUMMYFUNCTION("""COMPUTED_VALUE"""),-2.7984994926205786)</f>
        <v>-2.798499493</v>
      </c>
      <c r="I438" s="4"/>
      <c r="J438" s="4"/>
      <c r="K438" s="4">
        <f>IFERROR(__xludf.DUMMYFUNCTION("""COMPUTED_VALUE"""),-0.6118220760114923)</f>
        <v>-0.611822076</v>
      </c>
      <c r="L438" s="4"/>
      <c r="M438" s="4"/>
      <c r="N438" s="4">
        <f>IFERROR(__xludf.DUMMYFUNCTION("""COMPUTED_VALUE"""),-2.029107673497947)</f>
        <v>-2.029107673</v>
      </c>
      <c r="O438" s="4"/>
      <c r="P438" s="4"/>
      <c r="Q438" s="4">
        <f>IFERROR(__xludf.DUMMYFUNCTION("""COMPUTED_VALUE"""),-0.104531803808527)</f>
        <v>-0.1045318038</v>
      </c>
      <c r="R438" s="4"/>
      <c r="S438" s="4"/>
      <c r="T438" s="4">
        <f>IFERROR(__xludf.DUMMYFUNCTION("""COMPUTED_VALUE"""),-1.3470837351143814)</f>
        <v>-1.347083735</v>
      </c>
      <c r="U438" s="4"/>
      <c r="V438" s="4"/>
      <c r="W438" s="4">
        <f>IFERROR(__xludf.DUMMYFUNCTION("""COMPUTED_VALUE"""),-1.3835504991341736)</f>
        <v>-1.383550499</v>
      </c>
      <c r="X438" s="4"/>
      <c r="Y438" s="4"/>
      <c r="Z438" s="4">
        <f>IFERROR(__xludf.DUMMYFUNCTION("""COMPUTED_VALUE"""),-2.1427259182440253)</f>
        <v>-2.142725918</v>
      </c>
      <c r="AA438" s="4"/>
      <c r="AB438" s="4"/>
      <c r="AC438" s="4">
        <f>IFERROR(__xludf.DUMMYFUNCTION("""COMPUTED_VALUE"""),-0.9010331033942975)</f>
        <v>-0.9010331034</v>
      </c>
      <c r="AD438" s="4"/>
      <c r="AE438" s="4"/>
      <c r="AF438" s="4">
        <f>IFERROR(__xludf.DUMMYFUNCTION("""COMPUTED_VALUE"""),1.4860751952347186)</f>
        <v>1.486075195</v>
      </c>
      <c r="AG438" s="4"/>
      <c r="AH438" s="4"/>
      <c r="AI438" s="4">
        <f>IFERROR(__xludf.DUMMYFUNCTION("""COMPUTED_VALUE"""),5.257144408209172)</f>
        <v>5.257144408</v>
      </c>
      <c r="AJ438" s="4"/>
      <c r="AK438" s="4"/>
      <c r="AL438" s="4">
        <f>IFERROR(__xludf.DUMMYFUNCTION("""COMPUTED_VALUE"""),3.6542035881490733)</f>
        <v>3.654203588</v>
      </c>
      <c r="AM438" s="4"/>
      <c r="AN438" s="4"/>
      <c r="AO438" s="4">
        <f>IFERROR(__xludf.DUMMYFUNCTION("""COMPUTED_VALUE"""),-0.9369118124857891)</f>
        <v>-0.9369118125</v>
      </c>
      <c r="AP438" s="4"/>
      <c r="AQ438" s="4"/>
      <c r="AR438" s="4">
        <f>IFERROR(__xludf.DUMMYFUNCTION("""COMPUTED_VALUE"""),-4.359231935225239)</f>
        <v>-4.359231935</v>
      </c>
      <c r="AS438" s="4"/>
      <c r="AT438" s="4"/>
      <c r="AU438" s="4">
        <f>IFERROR(__xludf.DUMMYFUNCTION("""COMPUTED_VALUE"""),-1.0302045118864953)</f>
        <v>-1.030204512</v>
      </c>
      <c r="AV438" s="4"/>
      <c r="AW438" s="4"/>
      <c r="AX438" s="4">
        <f>IFERROR(__xludf.DUMMYFUNCTION("""COMPUTED_VALUE"""),1.5964732960384822)</f>
        <v>1.596473296</v>
      </c>
      <c r="AY438" s="4"/>
      <c r="AZ438" s="4"/>
      <c r="BA438" s="4">
        <f>IFERROR(__xludf.DUMMYFUNCTION("""COMPUTED_VALUE"""),-2.251852911552646)</f>
        <v>-2.251852912</v>
      </c>
      <c r="BB438" s="4"/>
      <c r="BC438" s="4"/>
      <c r="BD438" s="4">
        <f>IFERROR(__xludf.DUMMYFUNCTION("""COMPUTED_VALUE"""),-2.848801882985015)</f>
        <v>-2.848801883</v>
      </c>
      <c r="BE438" s="4"/>
      <c r="BF438" s="4"/>
      <c r="BG438" s="4">
        <f>IFERROR(__xludf.DUMMYFUNCTION("""COMPUTED_VALUE"""),5.425961652347269)</f>
        <v>5.425961652</v>
      </c>
      <c r="BH438" s="4"/>
      <c r="BI438" s="4"/>
      <c r="BJ438" s="4"/>
      <c r="BK438" s="4"/>
    </row>
    <row r="439">
      <c r="A439" s="4"/>
      <c r="B439" s="4"/>
      <c r="C439" s="4"/>
      <c r="D439" s="4">
        <f>IFERROR(__xludf.DUMMYFUNCTION("""COMPUTED_VALUE"""),-190.08729935229513)</f>
        <v>-190.0872994</v>
      </c>
      <c r="E439" s="23">
        <f>IFERROR(__xludf.DUMMYFUNCTION("""COMPUTED_VALUE"""),3.328985101706337)</f>
        <v>3.328985102</v>
      </c>
      <c r="F439" s="4"/>
      <c r="G439" s="4"/>
      <c r="H439" s="4">
        <f>IFERROR(__xludf.DUMMYFUNCTION("""COMPUTED_VALUE"""),0.5994431550600439)</f>
        <v>0.5994431551</v>
      </c>
      <c r="I439" s="4"/>
      <c r="J439" s="4"/>
      <c r="K439" s="4">
        <f>IFERROR(__xludf.DUMMYFUNCTION("""COMPUTED_VALUE"""),-0.5284929304536377)</f>
        <v>-0.5284929305</v>
      </c>
      <c r="L439" s="4"/>
      <c r="M439" s="4"/>
      <c r="N439" s="4">
        <f>IFERROR(__xludf.DUMMYFUNCTION("""COMPUTED_VALUE"""),1.577321849344571)</f>
        <v>1.577321849</v>
      </c>
      <c r="O439" s="4"/>
      <c r="P439" s="4"/>
      <c r="Q439" s="4">
        <f>IFERROR(__xludf.DUMMYFUNCTION("""COMPUTED_VALUE"""),-2.511483695008849)</f>
        <v>-2.511483695</v>
      </c>
      <c r="R439" s="4"/>
      <c r="S439" s="4"/>
      <c r="T439" s="4">
        <f>IFERROR(__xludf.DUMMYFUNCTION("""COMPUTED_VALUE"""),-2.0682647577086186)</f>
        <v>-2.068264758</v>
      </c>
      <c r="U439" s="4"/>
      <c r="V439" s="4"/>
      <c r="W439" s="4">
        <f>IFERROR(__xludf.DUMMYFUNCTION("""COMPUTED_VALUE"""),-1.805429732020798)</f>
        <v>-1.805429732</v>
      </c>
      <c r="X439" s="4"/>
      <c r="Y439" s="4"/>
      <c r="Z439" s="4">
        <f>IFERROR(__xludf.DUMMYFUNCTION("""COMPUTED_VALUE"""),-1.363315212256225)</f>
        <v>-1.363315212</v>
      </c>
      <c r="AA439" s="4"/>
      <c r="AB439" s="4"/>
      <c r="AC439" s="4">
        <f>IFERROR(__xludf.DUMMYFUNCTION("""COMPUTED_VALUE"""),-1.7444451608608915)</f>
        <v>-1.744445161</v>
      </c>
      <c r="AD439" s="4"/>
      <c r="AE439" s="4"/>
      <c r="AF439" s="4">
        <f>IFERROR(__xludf.DUMMYFUNCTION("""COMPUTED_VALUE"""),1.5983858373934368)</f>
        <v>1.598385837</v>
      </c>
      <c r="AG439" s="4"/>
      <c r="AH439" s="4"/>
      <c r="AI439" s="4">
        <f>IFERROR(__xludf.DUMMYFUNCTION("""COMPUTED_VALUE"""),0.21874865898070084)</f>
        <v>0.218748659</v>
      </c>
      <c r="AJ439" s="4"/>
      <c r="AK439" s="4"/>
      <c r="AL439" s="4">
        <f>IFERROR(__xludf.DUMMYFUNCTION("""COMPUTED_VALUE"""),1.2118943529700914)</f>
        <v>1.211894353</v>
      </c>
      <c r="AM439" s="4"/>
      <c r="AN439" s="4"/>
      <c r="AO439" s="4">
        <f>IFERROR(__xludf.DUMMYFUNCTION("""COMPUTED_VALUE"""),-2.1826138445898096)</f>
        <v>-2.182613845</v>
      </c>
      <c r="AP439" s="4"/>
      <c r="AQ439" s="4"/>
      <c r="AR439" s="4">
        <f>IFERROR(__xludf.DUMMYFUNCTION("""COMPUTED_VALUE"""),4.639144259577051)</f>
        <v>4.63914426</v>
      </c>
      <c r="AS439" s="4"/>
      <c r="AT439" s="4"/>
      <c r="AU439" s="4">
        <f>IFERROR(__xludf.DUMMYFUNCTION("""COMPUTED_VALUE"""),-3.139319866127721)</f>
        <v>-3.139319866</v>
      </c>
      <c r="AV439" s="4"/>
      <c r="AW439" s="4"/>
      <c r="AX439" s="4">
        <f>IFERROR(__xludf.DUMMYFUNCTION("""COMPUTED_VALUE"""),3.6802394112964976)</f>
        <v>3.680239411</v>
      </c>
      <c r="AY439" s="4"/>
      <c r="AZ439" s="4"/>
      <c r="BA439" s="4">
        <f>IFERROR(__xludf.DUMMYFUNCTION("""COMPUTED_VALUE"""),1.494121631998155)</f>
        <v>1.494121632</v>
      </c>
      <c r="BB439" s="4"/>
      <c r="BC439" s="4"/>
      <c r="BD439" s="4">
        <f>IFERROR(__xludf.DUMMYFUNCTION("""COMPUTED_VALUE"""),-0.5499967525051375)</f>
        <v>-0.5499967525</v>
      </c>
      <c r="BE439" s="4"/>
      <c r="BF439" s="4"/>
      <c r="BG439" s="4">
        <f>IFERROR(__xludf.DUMMYFUNCTION("""COMPUTED_VALUE"""),-0.7718106746434046)</f>
        <v>-0.7718106746</v>
      </c>
      <c r="BH439" s="4"/>
      <c r="BI439" s="4"/>
      <c r="BJ439" s="4"/>
      <c r="BK439" s="4"/>
    </row>
    <row r="440">
      <c r="A440" s="4"/>
      <c r="B440" s="4"/>
      <c r="C440" s="4"/>
      <c r="D440" s="4">
        <f>IFERROR(__xludf.DUMMYFUNCTION("""COMPUTED_VALUE"""),-191.00559548298025)</f>
        <v>-191.0055955</v>
      </c>
      <c r="E440" s="23">
        <f>IFERROR(__xludf.DUMMYFUNCTION("""COMPUTED_VALUE"""),-3.388653648764432)</f>
        <v>-3.388653649</v>
      </c>
      <c r="F440" s="4"/>
      <c r="G440" s="4"/>
      <c r="H440" s="4">
        <f>IFERROR(__xludf.DUMMYFUNCTION("""COMPUTED_VALUE"""),2.420643424856337)</f>
        <v>2.420643425</v>
      </c>
      <c r="I440" s="4"/>
      <c r="J440" s="4"/>
      <c r="K440" s="4">
        <f>IFERROR(__xludf.DUMMYFUNCTION("""COMPUTED_VALUE"""),-0.45457746696035883)</f>
        <v>-0.454577467</v>
      </c>
      <c r="L440" s="4"/>
      <c r="M440" s="4"/>
      <c r="N440" s="4">
        <f>IFERROR(__xludf.DUMMYFUNCTION("""COMPUTED_VALUE"""),-2.361476794708551)</f>
        <v>-2.361476795</v>
      </c>
      <c r="O440" s="4"/>
      <c r="P440" s="4"/>
      <c r="Q440" s="4">
        <f>IFERROR(__xludf.DUMMYFUNCTION("""COMPUTED_VALUE"""),-3.0765087284117953)</f>
        <v>-3.076508728</v>
      </c>
      <c r="R440" s="4"/>
      <c r="S440" s="4"/>
      <c r="T440" s="4">
        <f>IFERROR(__xludf.DUMMYFUNCTION("""COMPUTED_VALUE"""),-1.8977980919038941)</f>
        <v>-1.897798092</v>
      </c>
      <c r="U440" s="4"/>
      <c r="V440" s="4"/>
      <c r="W440" s="4">
        <f>IFERROR(__xludf.DUMMYFUNCTION("""COMPUTED_VALUE"""),1.6761132995609955)</f>
        <v>1.6761133</v>
      </c>
      <c r="X440" s="4"/>
      <c r="Y440" s="4"/>
      <c r="Z440" s="4">
        <f>IFERROR(__xludf.DUMMYFUNCTION("""COMPUTED_VALUE"""),2.290335271860215)</f>
        <v>2.290335272</v>
      </c>
      <c r="AA440" s="4"/>
      <c r="AB440" s="4"/>
      <c r="AC440" s="4">
        <f>IFERROR(__xludf.DUMMYFUNCTION("""COMPUTED_VALUE"""),-1.998479462949092)</f>
        <v>-1.998479463</v>
      </c>
      <c r="AD440" s="4"/>
      <c r="AE440" s="4"/>
      <c r="AF440" s="4">
        <f>IFERROR(__xludf.DUMMYFUNCTION("""COMPUTED_VALUE"""),2.076987055098755)</f>
        <v>2.076987055</v>
      </c>
      <c r="AG440" s="4"/>
      <c r="AH440" s="4"/>
      <c r="AI440" s="4">
        <f>IFERROR(__xludf.DUMMYFUNCTION("""COMPUTED_VALUE"""),2.6280050022517685)</f>
        <v>2.628005002</v>
      </c>
      <c r="AJ440" s="4"/>
      <c r="AK440" s="4"/>
      <c r="AL440" s="4">
        <f>IFERROR(__xludf.DUMMYFUNCTION("""COMPUTED_VALUE"""),-1.0569786828117458)</f>
        <v>-1.056978683</v>
      </c>
      <c r="AM440" s="4"/>
      <c r="AN440" s="4"/>
      <c r="AO440" s="4">
        <f>IFERROR(__xludf.DUMMYFUNCTION("""COMPUTED_VALUE"""),-2.235678300270081)</f>
        <v>-2.2356783</v>
      </c>
      <c r="AP440" s="4"/>
      <c r="AQ440" s="4"/>
      <c r="AR440" s="4">
        <f>IFERROR(__xludf.DUMMYFUNCTION("""COMPUTED_VALUE"""),0.16733320157266007)</f>
        <v>0.1673332016</v>
      </c>
      <c r="AS440" s="4"/>
      <c r="AT440" s="4"/>
      <c r="AU440" s="4">
        <f>IFERROR(__xludf.DUMMYFUNCTION("""COMPUTED_VALUE"""),-1.5214578621672104)</f>
        <v>-1.521457862</v>
      </c>
      <c r="AV440" s="4"/>
      <c r="AW440" s="4"/>
      <c r="AX440" s="4">
        <f>IFERROR(__xludf.DUMMYFUNCTION("""COMPUTED_VALUE"""),4.733535323745059)</f>
        <v>4.733535324</v>
      </c>
      <c r="AY440" s="4"/>
      <c r="AZ440" s="4"/>
      <c r="BA440" s="4">
        <f>IFERROR(__xludf.DUMMYFUNCTION("""COMPUTED_VALUE"""),0.4227915439000185)</f>
        <v>0.4227915439</v>
      </c>
      <c r="BB440" s="4"/>
      <c r="BC440" s="4"/>
      <c r="BD440" s="4">
        <f>IFERROR(__xludf.DUMMYFUNCTION("""COMPUTED_VALUE"""),0.08953503952506026)</f>
        <v>0.08953503953</v>
      </c>
      <c r="BE440" s="4"/>
      <c r="BF440" s="4"/>
      <c r="BG440" s="4">
        <f>IFERROR(__xludf.DUMMYFUNCTION("""COMPUTED_VALUE"""),0.131882900321159)</f>
        <v>0.1318829003</v>
      </c>
      <c r="BH440" s="4"/>
      <c r="BI440" s="4"/>
      <c r="BJ440" s="4"/>
      <c r="BK440" s="4"/>
    </row>
    <row r="441">
      <c r="A441" s="4"/>
      <c r="B441" s="4"/>
      <c r="C441" s="4"/>
      <c r="D441" s="4">
        <f>IFERROR(__xludf.DUMMYFUNCTION("""COMPUTED_VALUE"""),-191.92389161572996)</f>
        <v>-191.9238916</v>
      </c>
      <c r="E441" s="23">
        <f>IFERROR(__xludf.DUMMYFUNCTION("""COMPUTED_VALUE"""),-0.19085329502007653)</f>
        <v>-0.190853295</v>
      </c>
      <c r="F441" s="4"/>
      <c r="G441" s="4"/>
      <c r="H441" s="4">
        <f>IFERROR(__xludf.DUMMYFUNCTION("""COMPUTED_VALUE"""),3.3549256759949344)</f>
        <v>3.354925676</v>
      </c>
      <c r="I441" s="4"/>
      <c r="J441" s="4"/>
      <c r="K441" s="4">
        <f>IFERROR(__xludf.DUMMYFUNCTION("""COMPUTED_VALUE"""),-1.3900301858845978)</f>
        <v>-1.390030186</v>
      </c>
      <c r="L441" s="4"/>
      <c r="M441" s="4"/>
      <c r="N441" s="4">
        <f>IFERROR(__xludf.DUMMYFUNCTION("""COMPUTED_VALUE"""),1.5591555367474257)</f>
        <v>1.559155537</v>
      </c>
      <c r="O441" s="4"/>
      <c r="P441" s="4"/>
      <c r="Q441" s="4">
        <f>IFERROR(__xludf.DUMMYFUNCTION("""COMPUTED_VALUE"""),1.646846789549329)</f>
        <v>1.64684679</v>
      </c>
      <c r="R441" s="4"/>
      <c r="S441" s="4"/>
      <c r="T441" s="4">
        <f>IFERROR(__xludf.DUMMYFUNCTION("""COMPUTED_VALUE"""),3.3851149780309697)</f>
        <v>3.385114978</v>
      </c>
      <c r="U441" s="4"/>
      <c r="V441" s="4"/>
      <c r="W441" s="4">
        <f>IFERROR(__xludf.DUMMYFUNCTION("""COMPUTED_VALUE"""),6.709811352011229)</f>
        <v>6.709811352</v>
      </c>
      <c r="X441" s="4"/>
      <c r="Y441" s="4"/>
      <c r="Z441" s="4">
        <f>IFERROR(__xludf.DUMMYFUNCTION("""COMPUTED_VALUE"""),0.05403944981287623)</f>
        <v>0.05403944981</v>
      </c>
      <c r="AA441" s="4"/>
      <c r="AB441" s="4"/>
      <c r="AC441" s="4">
        <f>IFERROR(__xludf.DUMMYFUNCTION("""COMPUTED_VALUE"""),0.8775111440430123)</f>
        <v>0.877511144</v>
      </c>
      <c r="AD441" s="4"/>
      <c r="AE441" s="4"/>
      <c r="AF441" s="4">
        <f>IFERROR(__xludf.DUMMYFUNCTION("""COMPUTED_VALUE"""),-6.0489838701008125)</f>
        <v>-6.04898387</v>
      </c>
      <c r="AG441" s="4"/>
      <c r="AH441" s="4"/>
      <c r="AI441" s="4">
        <f>IFERROR(__xludf.DUMMYFUNCTION("""COMPUTED_VALUE"""),1.4446419828101966)</f>
        <v>1.444641983</v>
      </c>
      <c r="AJ441" s="4"/>
      <c r="AK441" s="4"/>
      <c r="AL441" s="4">
        <f>IFERROR(__xludf.DUMMYFUNCTION("""COMPUTED_VALUE"""),1.8432062612556592)</f>
        <v>1.843206261</v>
      </c>
      <c r="AM441" s="4"/>
      <c r="AN441" s="4"/>
      <c r="AO441" s="4">
        <f>IFERROR(__xludf.DUMMYFUNCTION("""COMPUTED_VALUE"""),1.4792664703100513)</f>
        <v>1.47926647</v>
      </c>
      <c r="AP441" s="4"/>
      <c r="AQ441" s="4"/>
      <c r="AR441" s="4">
        <f>IFERROR(__xludf.DUMMYFUNCTION("""COMPUTED_VALUE"""),-1.3824668199627013)</f>
        <v>-1.38246682</v>
      </c>
      <c r="AS441" s="4"/>
      <c r="AT441" s="4"/>
      <c r="AU441" s="4">
        <f>IFERROR(__xludf.DUMMYFUNCTION("""COMPUTED_VALUE"""),-3.733722972766259)</f>
        <v>-3.733722973</v>
      </c>
      <c r="AV441" s="4"/>
      <c r="AW441" s="4"/>
      <c r="AX441" s="4">
        <f>IFERROR(__xludf.DUMMYFUNCTION("""COMPUTED_VALUE"""),-1.2066318191477308)</f>
        <v>-1.206631819</v>
      </c>
      <c r="AY441" s="4"/>
      <c r="AZ441" s="4"/>
      <c r="BA441" s="4">
        <f>IFERROR(__xludf.DUMMYFUNCTION("""COMPUTED_VALUE"""),-0.6314289244933775)</f>
        <v>-0.6314289245</v>
      </c>
      <c r="BB441" s="4"/>
      <c r="BC441" s="4"/>
      <c r="BD441" s="4">
        <f>IFERROR(__xludf.DUMMYFUNCTION("""COMPUTED_VALUE"""),0.2112651602909068)</f>
        <v>0.2112651603</v>
      </c>
      <c r="BE441" s="4"/>
      <c r="BF441" s="4"/>
      <c r="BG441" s="4">
        <f>IFERROR(__xludf.DUMMYFUNCTION("""COMPUTED_VALUE"""),0.2594256097210632)</f>
        <v>0.2594256097</v>
      </c>
      <c r="BH441" s="4"/>
      <c r="BI441" s="4"/>
      <c r="BJ441" s="4"/>
      <c r="BK441" s="4"/>
    </row>
    <row r="442">
      <c r="A442" s="4"/>
      <c r="B442" s="4"/>
      <c r="C442" s="4"/>
      <c r="D442" s="4">
        <f>IFERROR(__xludf.DUMMYFUNCTION("""COMPUTED_VALUE"""),-192.84218774853005)</f>
        <v>-192.8421877</v>
      </c>
      <c r="E442" s="23">
        <f>IFERROR(__xludf.DUMMYFUNCTION("""COMPUTED_VALUE"""),3.4624999265004703)</f>
        <v>3.462499927</v>
      </c>
      <c r="F442" s="4"/>
      <c r="G442" s="4"/>
      <c r="H442" s="4">
        <f>IFERROR(__xludf.DUMMYFUNCTION("""COMPUTED_VALUE"""),9.39067070916343)</f>
        <v>9.390670709</v>
      </c>
      <c r="I442" s="4"/>
      <c r="J442" s="4"/>
      <c r="K442" s="4">
        <f>IFERROR(__xludf.DUMMYFUNCTION("""COMPUTED_VALUE"""),-4.444046962186633)</f>
        <v>-4.444046962</v>
      </c>
      <c r="L442" s="4"/>
      <c r="M442" s="4"/>
      <c r="N442" s="4">
        <f>IFERROR(__xludf.DUMMYFUNCTION("""COMPUTED_VALUE"""),6.858247220326177)</f>
        <v>6.85824722</v>
      </c>
      <c r="O442" s="4"/>
      <c r="P442" s="4"/>
      <c r="Q442" s="4">
        <f>IFERROR(__xludf.DUMMYFUNCTION("""COMPUTED_VALUE"""),1.9936139215822095)</f>
        <v>1.993613922</v>
      </c>
      <c r="R442" s="4"/>
      <c r="S442" s="4"/>
      <c r="T442" s="4">
        <f>IFERROR(__xludf.DUMMYFUNCTION("""COMPUTED_VALUE"""),-3.9740444284345813)</f>
        <v>-3.974044428</v>
      </c>
      <c r="U442" s="4"/>
      <c r="V442" s="4"/>
      <c r="W442" s="4">
        <f>IFERROR(__xludf.DUMMYFUNCTION("""COMPUTED_VALUE"""),-2.2289822843783327)</f>
        <v>-2.228982284</v>
      </c>
      <c r="X442" s="4"/>
      <c r="Y442" s="4"/>
      <c r="Z442" s="4">
        <f>IFERROR(__xludf.DUMMYFUNCTION("""COMPUTED_VALUE"""),-0.7194250982686867)</f>
        <v>-0.7194250983</v>
      </c>
      <c r="AA442" s="4"/>
      <c r="AB442" s="4"/>
      <c r="AC442" s="4">
        <f>IFERROR(__xludf.DUMMYFUNCTION("""COMPUTED_VALUE"""),-3.6774943336143906)</f>
        <v>-3.677494334</v>
      </c>
      <c r="AD442" s="4"/>
      <c r="AE442" s="4"/>
      <c r="AF442" s="4">
        <f>IFERROR(__xludf.DUMMYFUNCTION("""COMPUTED_VALUE"""),1.9939033327657398)</f>
        <v>1.993903333</v>
      </c>
      <c r="AG442" s="4"/>
      <c r="AH442" s="4"/>
      <c r="AI442" s="4">
        <f>IFERROR(__xludf.DUMMYFUNCTION("""COMPUTED_VALUE"""),3.051841239557632)</f>
        <v>3.05184124</v>
      </c>
      <c r="AJ442" s="4"/>
      <c r="AK442" s="4"/>
      <c r="AL442" s="4">
        <f>IFERROR(__xludf.DUMMYFUNCTION("""COMPUTED_VALUE"""),1.5402021266224892)</f>
        <v>1.540202127</v>
      </c>
      <c r="AM442" s="4"/>
      <c r="AN442" s="4"/>
      <c r="AO442" s="4">
        <f>IFERROR(__xludf.DUMMYFUNCTION("""COMPUTED_VALUE"""),1.24497272919956)</f>
        <v>1.244972729</v>
      </c>
      <c r="AP442" s="4"/>
      <c r="AQ442" s="4"/>
      <c r="AR442" s="4">
        <f>IFERROR(__xludf.DUMMYFUNCTION("""COMPUTED_VALUE"""),-3.1357767209247527)</f>
        <v>-3.135776721</v>
      </c>
      <c r="AS442" s="4"/>
      <c r="AT442" s="4"/>
      <c r="AU442" s="4">
        <f>IFERROR(__xludf.DUMMYFUNCTION("""COMPUTED_VALUE"""),-5.37847750093988)</f>
        <v>-5.378477501</v>
      </c>
      <c r="AV442" s="4"/>
      <c r="AW442" s="4"/>
      <c r="AX442" s="4">
        <f>IFERROR(__xludf.DUMMYFUNCTION("""COMPUTED_VALUE"""),1.5397111634450198)</f>
        <v>1.539711163</v>
      </c>
      <c r="AY442" s="4"/>
      <c r="AZ442" s="4"/>
      <c r="BA442" s="4">
        <f>IFERROR(__xludf.DUMMYFUNCTION("""COMPUTED_VALUE"""),-0.9909118711578913)</f>
        <v>-0.9909118712</v>
      </c>
      <c r="BB442" s="4"/>
      <c r="BC442" s="4"/>
      <c r="BD442" s="4">
        <f>IFERROR(__xludf.DUMMYFUNCTION("""COMPUTED_VALUE"""),2.170000031832444)</f>
        <v>2.170000032</v>
      </c>
      <c r="BE442" s="4"/>
      <c r="BF442" s="4"/>
      <c r="BG442" s="4">
        <f>IFERROR(__xludf.DUMMYFUNCTION("""COMPUTED_VALUE"""),4.092101467599377)</f>
        <v>4.092101468</v>
      </c>
      <c r="BH442" s="4"/>
      <c r="BI442" s="4"/>
      <c r="BJ442" s="4"/>
      <c r="BK442" s="4"/>
    </row>
    <row r="443">
      <c r="A443" s="4"/>
      <c r="B443" s="4"/>
      <c r="C443" s="4"/>
      <c r="D443" s="4">
        <f>IFERROR(__xludf.DUMMYFUNCTION("""COMPUTED_VALUE"""),-193.76048387916484)</f>
        <v>-193.7604839</v>
      </c>
      <c r="E443" s="23">
        <f>IFERROR(__xludf.DUMMYFUNCTION("""COMPUTED_VALUE"""),0.5634317854725168)</f>
        <v>0.5634317855</v>
      </c>
      <c r="F443" s="4"/>
      <c r="G443" s="4"/>
      <c r="H443" s="4">
        <f>IFERROR(__xludf.DUMMYFUNCTION("""COMPUTED_VALUE"""),7.187037682727407)</f>
        <v>7.187037683</v>
      </c>
      <c r="I443" s="4"/>
      <c r="J443" s="4"/>
      <c r="K443" s="4">
        <f>IFERROR(__xludf.DUMMYFUNCTION("""COMPUTED_VALUE"""),2.8990290041235767)</f>
        <v>2.899029004</v>
      </c>
      <c r="L443" s="4"/>
      <c r="M443" s="4"/>
      <c r="N443" s="4">
        <f>IFERROR(__xludf.DUMMYFUNCTION("""COMPUTED_VALUE"""),-0.4581723297627036)</f>
        <v>-0.4581723298</v>
      </c>
      <c r="O443" s="4"/>
      <c r="P443" s="4"/>
      <c r="Q443" s="4">
        <f>IFERROR(__xludf.DUMMYFUNCTION("""COMPUTED_VALUE"""),0.9362689287395369)</f>
        <v>0.9362689287</v>
      </c>
      <c r="R443" s="4"/>
      <c r="S443" s="4"/>
      <c r="T443" s="4">
        <f>IFERROR(__xludf.DUMMYFUNCTION("""COMPUTED_VALUE"""),-3.218707704600206)</f>
        <v>-3.218707705</v>
      </c>
      <c r="U443" s="4"/>
      <c r="V443" s="4"/>
      <c r="W443" s="4">
        <f>IFERROR(__xludf.DUMMYFUNCTION("""COMPUTED_VALUE"""),-1.0613891737169183)</f>
        <v>-1.061389174</v>
      </c>
      <c r="X443" s="4"/>
      <c r="Y443" s="4"/>
      <c r="Z443" s="4">
        <f>IFERROR(__xludf.DUMMYFUNCTION("""COMPUTED_VALUE"""),1.673314530697894)</f>
        <v>1.673314531</v>
      </c>
      <c r="AA443" s="4"/>
      <c r="AB443" s="4"/>
      <c r="AC443" s="4">
        <f>IFERROR(__xludf.DUMMYFUNCTION("""COMPUTED_VALUE"""),-1.5654217532987786)</f>
        <v>-1.565421753</v>
      </c>
      <c r="AD443" s="4"/>
      <c r="AE443" s="4"/>
      <c r="AF443" s="4">
        <f>IFERROR(__xludf.DUMMYFUNCTION("""COMPUTED_VALUE"""),5.289146800983929)</f>
        <v>5.289146801</v>
      </c>
      <c r="AG443" s="4"/>
      <c r="AH443" s="4"/>
      <c r="AI443" s="4">
        <f>IFERROR(__xludf.DUMMYFUNCTION("""COMPUTED_VALUE"""),3.2750055213729183)</f>
        <v>3.275005521</v>
      </c>
      <c r="AJ443" s="4"/>
      <c r="AK443" s="4"/>
      <c r="AL443" s="4">
        <f>IFERROR(__xludf.DUMMYFUNCTION("""COMPUTED_VALUE"""),1.2792659103506594)</f>
        <v>1.27926591</v>
      </c>
      <c r="AM443" s="4"/>
      <c r="AN443" s="4"/>
      <c r="AO443" s="4">
        <f>IFERROR(__xludf.DUMMYFUNCTION("""COMPUTED_VALUE"""),-1.7519170625967035)</f>
        <v>-1.751917063</v>
      </c>
      <c r="AP443" s="4"/>
      <c r="AQ443" s="4"/>
      <c r="AR443" s="4">
        <f>IFERROR(__xludf.DUMMYFUNCTION("""COMPUTED_VALUE"""),1.0122392493247503)</f>
        <v>1.012239249</v>
      </c>
      <c r="AS443" s="4"/>
      <c r="AT443" s="4"/>
      <c r="AU443" s="4">
        <f>IFERROR(__xludf.DUMMYFUNCTION("""COMPUTED_VALUE"""),1.4790091288110716)</f>
        <v>1.479009129</v>
      </c>
      <c r="AV443" s="4"/>
      <c r="AW443" s="4"/>
      <c r="AX443" s="4">
        <f>IFERROR(__xludf.DUMMYFUNCTION("""COMPUTED_VALUE"""),0.32381641274349704)</f>
        <v>0.3238164127</v>
      </c>
      <c r="AY443" s="4"/>
      <c r="AZ443" s="4"/>
      <c r="BA443" s="4">
        <f>IFERROR(__xludf.DUMMYFUNCTION("""COMPUTED_VALUE"""),-4.5640589602936075)</f>
        <v>-4.56405896</v>
      </c>
      <c r="BB443" s="4"/>
      <c r="BC443" s="4"/>
      <c r="BD443" s="4">
        <f>IFERROR(__xludf.DUMMYFUNCTION("""COMPUTED_VALUE"""),1.3536794220703996)</f>
        <v>1.353679422</v>
      </c>
      <c r="BE443" s="4"/>
      <c r="BF443" s="4"/>
      <c r="BG443" s="4">
        <f>IFERROR(__xludf.DUMMYFUNCTION("""COMPUTED_VALUE"""),2.0259343335491735)</f>
        <v>2.025934334</v>
      </c>
      <c r="BH443" s="4"/>
      <c r="BI443" s="4"/>
      <c r="BJ443" s="4"/>
      <c r="BK443" s="4"/>
    </row>
    <row r="444">
      <c r="A444" s="4"/>
      <c r="B444" s="4"/>
      <c r="C444" s="4"/>
      <c r="D444" s="4">
        <f>IFERROR(__xludf.DUMMYFUNCTION("""COMPUTED_VALUE"""),-194.6787800119649)</f>
        <v>-194.67878</v>
      </c>
      <c r="E444" s="23">
        <f>IFERROR(__xludf.DUMMYFUNCTION("""COMPUTED_VALUE"""),5.129302790410179)</f>
        <v>5.12930279</v>
      </c>
      <c r="F444" s="4"/>
      <c r="G444" s="4"/>
      <c r="H444" s="4">
        <f>IFERROR(__xludf.DUMMYFUNCTION("""COMPUTED_VALUE"""),-2.5970788229293476)</f>
        <v>-2.597078823</v>
      </c>
      <c r="I444" s="4"/>
      <c r="J444" s="4"/>
      <c r="K444" s="4">
        <f>IFERROR(__xludf.DUMMYFUNCTION("""COMPUTED_VALUE"""),-1.4877001943305004)</f>
        <v>-1.487700194</v>
      </c>
      <c r="L444" s="4"/>
      <c r="M444" s="4"/>
      <c r="N444" s="4">
        <f>IFERROR(__xludf.DUMMYFUNCTION("""COMPUTED_VALUE"""),-3.7769122721483654)</f>
        <v>-3.776912272</v>
      </c>
      <c r="O444" s="4"/>
      <c r="P444" s="4"/>
      <c r="Q444" s="4">
        <f>IFERROR(__xludf.DUMMYFUNCTION("""COMPUTED_VALUE"""),-1.472016052082438)</f>
        <v>-1.472016052</v>
      </c>
      <c r="R444" s="4"/>
      <c r="S444" s="4"/>
      <c r="T444" s="4">
        <f>IFERROR(__xludf.DUMMYFUNCTION("""COMPUTED_VALUE"""),-5.392913832698355)</f>
        <v>-5.392913833</v>
      </c>
      <c r="U444" s="4"/>
      <c r="V444" s="4"/>
      <c r="W444" s="4">
        <f>IFERROR(__xludf.DUMMYFUNCTION("""COMPUTED_VALUE"""),2.1577278802733986)</f>
        <v>2.15772788</v>
      </c>
      <c r="X444" s="4"/>
      <c r="Y444" s="4"/>
      <c r="Z444" s="4">
        <f>IFERROR(__xludf.DUMMYFUNCTION("""COMPUTED_VALUE"""),0.2899714268797311)</f>
        <v>0.2899714269</v>
      </c>
      <c r="AA444" s="4"/>
      <c r="AB444" s="4"/>
      <c r="AC444" s="4">
        <f>IFERROR(__xludf.DUMMYFUNCTION("""COMPUTED_VALUE"""),-3.3234282746993244)</f>
        <v>-3.323428275</v>
      </c>
      <c r="AD444" s="4"/>
      <c r="AE444" s="4"/>
      <c r="AF444" s="4">
        <f>IFERROR(__xludf.DUMMYFUNCTION("""COMPUTED_VALUE"""),-5.399735333489559)</f>
        <v>-5.399735333</v>
      </c>
      <c r="AG444" s="4"/>
      <c r="AH444" s="4"/>
      <c r="AI444" s="4">
        <f>IFERROR(__xludf.DUMMYFUNCTION("""COMPUTED_VALUE"""),0.10889831723926591)</f>
        <v>0.1088983172</v>
      </c>
      <c r="AJ444" s="4"/>
      <c r="AK444" s="4"/>
      <c r="AL444" s="4">
        <f>IFERROR(__xludf.DUMMYFUNCTION("""COMPUTED_VALUE"""),3.847863232520922)</f>
        <v>3.847863233</v>
      </c>
      <c r="AM444" s="4"/>
      <c r="AN444" s="4"/>
      <c r="AO444" s="4">
        <f>IFERROR(__xludf.DUMMYFUNCTION("""COMPUTED_VALUE"""),0.7419193475431598)</f>
        <v>0.7419193475</v>
      </c>
      <c r="AP444" s="4"/>
      <c r="AQ444" s="4"/>
      <c r="AR444" s="4">
        <f>IFERROR(__xludf.DUMMYFUNCTION("""COMPUTED_VALUE"""),2.096806660064999)</f>
        <v>2.09680666</v>
      </c>
      <c r="AS444" s="4"/>
      <c r="AT444" s="4"/>
      <c r="AU444" s="4">
        <f>IFERROR(__xludf.DUMMYFUNCTION("""COMPUTED_VALUE"""),-2.435871818663543)</f>
        <v>-2.435871819</v>
      </c>
      <c r="AV444" s="4"/>
      <c r="AW444" s="4"/>
      <c r="AX444" s="4">
        <f>IFERROR(__xludf.DUMMYFUNCTION("""COMPUTED_VALUE"""),0.6302081966994137)</f>
        <v>0.6302081967</v>
      </c>
      <c r="AY444" s="4"/>
      <c r="AZ444" s="4"/>
      <c r="BA444" s="4">
        <f>IFERROR(__xludf.DUMMYFUNCTION("""COMPUTED_VALUE"""),1.7627861806655005)</f>
        <v>1.762786181</v>
      </c>
      <c r="BB444" s="4"/>
      <c r="BC444" s="4"/>
      <c r="BD444" s="4">
        <f>IFERROR(__xludf.DUMMYFUNCTION("""COMPUTED_VALUE"""),4.778538218936774)</f>
        <v>4.778538219</v>
      </c>
      <c r="BE444" s="4"/>
      <c r="BF444" s="4"/>
      <c r="BG444" s="4">
        <f>IFERROR(__xludf.DUMMYFUNCTION("""COMPUTED_VALUE"""),1.002513060403885)</f>
        <v>1.00251306</v>
      </c>
      <c r="BH444" s="4"/>
      <c r="BI444" s="4"/>
      <c r="BJ444" s="4"/>
      <c r="BK444" s="4"/>
    </row>
    <row r="445">
      <c r="A445" s="4"/>
      <c r="B445" s="4"/>
      <c r="C445" s="4"/>
      <c r="D445" s="4">
        <f>IFERROR(__xludf.DUMMYFUNCTION("""COMPUTED_VALUE"""),-195.59707614476497)</f>
        <v>-195.5970761</v>
      </c>
      <c r="E445" s="23">
        <f>IFERROR(__xludf.DUMMYFUNCTION("""COMPUTED_VALUE"""),1.9499435679746853)</f>
        <v>1.949943568</v>
      </c>
      <c r="F445" s="4"/>
      <c r="G445" s="4"/>
      <c r="H445" s="4">
        <f>IFERROR(__xludf.DUMMYFUNCTION("""COMPUTED_VALUE"""),-0.13256210614679276)</f>
        <v>-0.1325621061</v>
      </c>
      <c r="I445" s="4"/>
      <c r="J445" s="4"/>
      <c r="K445" s="4">
        <f>IFERROR(__xludf.DUMMYFUNCTION("""COMPUTED_VALUE"""),0.0669763515362547)</f>
        <v>0.06697635154</v>
      </c>
      <c r="L445" s="4"/>
      <c r="M445" s="4"/>
      <c r="N445" s="4">
        <f>IFERROR(__xludf.DUMMYFUNCTION("""COMPUTED_VALUE"""),-3.997524889576141)</f>
        <v>-3.99752489</v>
      </c>
      <c r="O445" s="4"/>
      <c r="P445" s="4"/>
      <c r="Q445" s="4">
        <f>IFERROR(__xludf.DUMMYFUNCTION("""COMPUTED_VALUE"""),-6.204586878178759)</f>
        <v>-6.204586878</v>
      </c>
      <c r="R445" s="4"/>
      <c r="S445" s="4"/>
      <c r="T445" s="4">
        <f>IFERROR(__xludf.DUMMYFUNCTION("""COMPUTED_VALUE"""),-2.6792076779451577)</f>
        <v>-2.679207678</v>
      </c>
      <c r="U445" s="4"/>
      <c r="V445" s="4"/>
      <c r="W445" s="4">
        <f>IFERROR(__xludf.DUMMYFUNCTION("""COMPUTED_VALUE"""),-1.9429209214497973)</f>
        <v>-1.942920921</v>
      </c>
      <c r="X445" s="4"/>
      <c r="Y445" s="4"/>
      <c r="Z445" s="4">
        <f>IFERROR(__xludf.DUMMYFUNCTION("""COMPUTED_VALUE"""),1.4902764381383236)</f>
        <v>1.490276438</v>
      </c>
      <c r="AA445" s="4"/>
      <c r="AB445" s="4"/>
      <c r="AC445" s="4">
        <f>IFERROR(__xludf.DUMMYFUNCTION("""COMPUTED_VALUE"""),1.9287005269374617)</f>
        <v>1.928700527</v>
      </c>
      <c r="AD445" s="4"/>
      <c r="AE445" s="4"/>
      <c r="AF445" s="4">
        <f>IFERROR(__xludf.DUMMYFUNCTION("""COMPUTED_VALUE"""),-4.742135100915448)</f>
        <v>-4.742135101</v>
      </c>
      <c r="AG445" s="4"/>
      <c r="AH445" s="4"/>
      <c r="AI445" s="4">
        <f>IFERROR(__xludf.DUMMYFUNCTION("""COMPUTED_VALUE"""),-2.676856052126027)</f>
        <v>-2.676856052</v>
      </c>
      <c r="AJ445" s="4"/>
      <c r="AK445" s="4"/>
      <c r="AL445" s="4">
        <f>IFERROR(__xludf.DUMMYFUNCTION("""COMPUTED_VALUE"""),4.298021370983349)</f>
        <v>4.298021371</v>
      </c>
      <c r="AM445" s="4"/>
      <c r="AN445" s="4"/>
      <c r="AO445" s="4">
        <f>IFERROR(__xludf.DUMMYFUNCTION("""COMPUTED_VALUE"""),-3.534326869917095)</f>
        <v>-3.53432687</v>
      </c>
      <c r="AP445" s="4"/>
      <c r="AQ445" s="4"/>
      <c r="AR445" s="4">
        <f>IFERROR(__xludf.DUMMYFUNCTION("""COMPUTED_VALUE"""),-1.205032763377801)</f>
        <v>-1.205032763</v>
      </c>
      <c r="AS445" s="4"/>
      <c r="AT445" s="4"/>
      <c r="AU445" s="4">
        <f>IFERROR(__xludf.DUMMYFUNCTION("""COMPUTED_VALUE"""),-2.476227640931768)</f>
        <v>-2.476227641</v>
      </c>
      <c r="AV445" s="4"/>
      <c r="AW445" s="4"/>
      <c r="AX445" s="4">
        <f>IFERROR(__xludf.DUMMYFUNCTION("""COMPUTED_VALUE"""),-6.12569307239761)</f>
        <v>-6.125693072</v>
      </c>
      <c r="AY445" s="4"/>
      <c r="AZ445" s="4"/>
      <c r="BA445" s="4">
        <f>IFERROR(__xludf.DUMMYFUNCTION("""COMPUTED_VALUE"""),1.5674399650060309)</f>
        <v>1.567439965</v>
      </c>
      <c r="BB445" s="4"/>
      <c r="BC445" s="4"/>
      <c r="BD445" s="4">
        <f>IFERROR(__xludf.DUMMYFUNCTION("""COMPUTED_VALUE"""),2.1776596933158316)</f>
        <v>2.177659693</v>
      </c>
      <c r="BE445" s="4"/>
      <c r="BF445" s="4"/>
      <c r="BG445" s="4">
        <f>IFERROR(__xludf.DUMMYFUNCTION("""COMPUTED_VALUE"""),-2.881699772678303)</f>
        <v>-2.881699773</v>
      </c>
      <c r="BH445" s="4"/>
      <c r="BI445" s="4"/>
      <c r="BJ445" s="4"/>
      <c r="BK445" s="4"/>
    </row>
    <row r="446">
      <c r="A446" s="4"/>
      <c r="B446" s="4"/>
      <c r="C446" s="4"/>
      <c r="D446" s="4">
        <f>IFERROR(__xludf.DUMMYFUNCTION("""COMPUTED_VALUE"""),-196.51537227539973)</f>
        <v>-196.5153723</v>
      </c>
      <c r="E446" s="23">
        <f>IFERROR(__xludf.DUMMYFUNCTION("""COMPUTED_VALUE"""),-7.6729025464993015)</f>
        <v>-7.672902546</v>
      </c>
      <c r="F446" s="4"/>
      <c r="G446" s="4"/>
      <c r="H446" s="4">
        <f>IFERROR(__xludf.DUMMYFUNCTION("""COMPUTED_VALUE"""),-3.5116541598578124)</f>
        <v>-3.51165416</v>
      </c>
      <c r="I446" s="4"/>
      <c r="J446" s="4"/>
      <c r="K446" s="4">
        <f>IFERROR(__xludf.DUMMYFUNCTION("""COMPUTED_VALUE"""),-2.1200596582903586)</f>
        <v>-2.120059658</v>
      </c>
      <c r="L446" s="4"/>
      <c r="M446" s="4"/>
      <c r="N446" s="4">
        <f>IFERROR(__xludf.DUMMYFUNCTION("""COMPUTED_VALUE"""),-2.3043266597720162)</f>
        <v>-2.30432666</v>
      </c>
      <c r="O446" s="4"/>
      <c r="P446" s="4"/>
      <c r="Q446" s="4">
        <f>IFERROR(__xludf.DUMMYFUNCTION("""COMPUTED_VALUE"""),-2.8526627642428366)</f>
        <v>-2.852662764</v>
      </c>
      <c r="R446" s="4"/>
      <c r="S446" s="4"/>
      <c r="T446" s="4">
        <f>IFERROR(__xludf.DUMMYFUNCTION("""COMPUTED_VALUE"""),4.393008209960897)</f>
        <v>4.39300821</v>
      </c>
      <c r="U446" s="4"/>
      <c r="V446" s="4"/>
      <c r="W446" s="4">
        <f>IFERROR(__xludf.DUMMYFUNCTION("""COMPUTED_VALUE"""),-1.2767592459831008)</f>
        <v>-1.276759246</v>
      </c>
      <c r="X446" s="4"/>
      <c r="Y446" s="4"/>
      <c r="Z446" s="4">
        <f>IFERROR(__xludf.DUMMYFUNCTION("""COMPUTED_VALUE"""),2.307260683011691)</f>
        <v>2.307260683</v>
      </c>
      <c r="AA446" s="4"/>
      <c r="AB446" s="4"/>
      <c r="AC446" s="4">
        <f>IFERROR(__xludf.DUMMYFUNCTION("""COMPUTED_VALUE"""),2.0676725333120203)</f>
        <v>2.067672533</v>
      </c>
      <c r="AD446" s="4"/>
      <c r="AE446" s="4"/>
      <c r="AF446" s="4">
        <f>IFERROR(__xludf.DUMMYFUNCTION("""COMPUTED_VALUE"""),0.49528347627324365)</f>
        <v>0.4952834763</v>
      </c>
      <c r="AG446" s="4"/>
      <c r="AH446" s="4"/>
      <c r="AI446" s="4">
        <f>IFERROR(__xludf.DUMMYFUNCTION("""COMPUTED_VALUE"""),-0.4628790222479324)</f>
        <v>-0.4628790222</v>
      </c>
      <c r="AJ446" s="4"/>
      <c r="AK446" s="4"/>
      <c r="AL446" s="4">
        <f>IFERROR(__xludf.DUMMYFUNCTION("""COMPUTED_VALUE"""),2.6063420685129586)</f>
        <v>2.606342069</v>
      </c>
      <c r="AM446" s="4"/>
      <c r="AN446" s="4"/>
      <c r="AO446" s="4">
        <f>IFERROR(__xludf.DUMMYFUNCTION("""COMPUTED_VALUE"""),-3.027919114802444)</f>
        <v>-3.027919115</v>
      </c>
      <c r="AP446" s="4"/>
      <c r="AQ446" s="4"/>
      <c r="AR446" s="4">
        <f>IFERROR(__xludf.DUMMYFUNCTION("""COMPUTED_VALUE"""),-3.0964905713146322)</f>
        <v>-3.096490571</v>
      </c>
      <c r="AS446" s="4"/>
      <c r="AT446" s="4"/>
      <c r="AU446" s="4">
        <f>IFERROR(__xludf.DUMMYFUNCTION("""COMPUTED_VALUE"""),1.1962370549515526)</f>
        <v>1.196237055</v>
      </c>
      <c r="AV446" s="4"/>
      <c r="AW446" s="4"/>
      <c r="AX446" s="4">
        <f>IFERROR(__xludf.DUMMYFUNCTION("""COMPUTED_VALUE"""),-1.495708592387075)</f>
        <v>-1.495708592</v>
      </c>
      <c r="AY446" s="4"/>
      <c r="AZ446" s="4"/>
      <c r="BA446" s="4">
        <f>IFERROR(__xludf.DUMMYFUNCTION("""COMPUTED_VALUE"""),-1.9487230730735519)</f>
        <v>-1.948723073</v>
      </c>
      <c r="BB446" s="4"/>
      <c r="BC446" s="4"/>
      <c r="BD446" s="4">
        <f>IFERROR(__xludf.DUMMYFUNCTION("""COMPUTED_VALUE"""),-1.0636502838853517)</f>
        <v>-1.063650284</v>
      </c>
      <c r="BE446" s="4"/>
      <c r="BF446" s="4"/>
      <c r="BG446" s="4">
        <f>IFERROR(__xludf.DUMMYFUNCTION("""COMPUTED_VALUE"""),2.4027390443502554)</f>
        <v>2.402739044</v>
      </c>
      <c r="BH446" s="4"/>
      <c r="BI446" s="4"/>
      <c r="BJ446" s="4"/>
      <c r="BK446" s="4"/>
    </row>
    <row r="447">
      <c r="A447" s="4"/>
      <c r="B447" s="4"/>
      <c r="C447" s="4"/>
      <c r="D447" s="4">
        <f>IFERROR(__xludf.DUMMYFUNCTION("""COMPUTED_VALUE"""),-197.43366840819982)</f>
        <v>-197.4336684</v>
      </c>
      <c r="E447" s="23">
        <f>IFERROR(__xludf.DUMMYFUNCTION("""COMPUTED_VALUE"""),-7.42986382630437)</f>
        <v>-7.429863826</v>
      </c>
      <c r="F447" s="4"/>
      <c r="G447" s="4"/>
      <c r="H447" s="4">
        <f>IFERROR(__xludf.DUMMYFUNCTION("""COMPUTED_VALUE"""),-1.015932228707527)</f>
        <v>-1.015932229</v>
      </c>
      <c r="I447" s="4"/>
      <c r="J447" s="4"/>
      <c r="K447" s="4">
        <f>IFERROR(__xludf.DUMMYFUNCTION("""COMPUTED_VALUE"""),-2.1386977886607497)</f>
        <v>-2.138697789</v>
      </c>
      <c r="L447" s="4"/>
      <c r="M447" s="4"/>
      <c r="N447" s="4">
        <f>IFERROR(__xludf.DUMMYFUNCTION("""COMPUTED_VALUE"""),1.9126619951441057)</f>
        <v>1.912661995</v>
      </c>
      <c r="O447" s="4"/>
      <c r="P447" s="4"/>
      <c r="Q447" s="4">
        <f>IFERROR(__xludf.DUMMYFUNCTION("""COMPUTED_VALUE"""),-3.5179687989628405)</f>
        <v>-3.517968799</v>
      </c>
      <c r="R447" s="4"/>
      <c r="S447" s="4"/>
      <c r="T447" s="4">
        <f>IFERROR(__xludf.DUMMYFUNCTION("""COMPUTED_VALUE"""),-3.725188852853421)</f>
        <v>-3.725188853</v>
      </c>
      <c r="U447" s="4"/>
      <c r="V447" s="4"/>
      <c r="W447" s="4">
        <f>IFERROR(__xludf.DUMMYFUNCTION("""COMPUTED_VALUE"""),-1.9374994307274847)</f>
        <v>-1.937499431</v>
      </c>
      <c r="X447" s="4"/>
      <c r="Y447" s="4"/>
      <c r="Z447" s="4">
        <f>IFERROR(__xludf.DUMMYFUNCTION("""COMPUTED_VALUE"""),-3.1858767491427784)</f>
        <v>-3.185876749</v>
      </c>
      <c r="AA447" s="4"/>
      <c r="AB447" s="4"/>
      <c r="AC447" s="4">
        <f>IFERROR(__xludf.DUMMYFUNCTION("""COMPUTED_VALUE"""),-1.2934156871089613)</f>
        <v>-1.293415687</v>
      </c>
      <c r="AD447" s="4"/>
      <c r="AE447" s="4"/>
      <c r="AF447" s="4">
        <f>IFERROR(__xludf.DUMMYFUNCTION("""COMPUTED_VALUE"""),3.249826996584318)</f>
        <v>3.249826997</v>
      </c>
      <c r="AG447" s="4"/>
      <c r="AH447" s="4"/>
      <c r="AI447" s="4">
        <f>IFERROR(__xludf.DUMMYFUNCTION("""COMPUTED_VALUE"""),0.6947205868557944)</f>
        <v>0.6947205869</v>
      </c>
      <c r="AJ447" s="4"/>
      <c r="AK447" s="4"/>
      <c r="AL447" s="4">
        <f>IFERROR(__xludf.DUMMYFUNCTION("""COMPUTED_VALUE"""),-0.3225868142141053)</f>
        <v>-0.3225868142</v>
      </c>
      <c r="AM447" s="4"/>
      <c r="AN447" s="4"/>
      <c r="AO447" s="4">
        <f>IFERROR(__xludf.DUMMYFUNCTION("""COMPUTED_VALUE"""),-0.36108743726884995)</f>
        <v>-0.3610874373</v>
      </c>
      <c r="AP447" s="4"/>
      <c r="AQ447" s="4"/>
      <c r="AR447" s="4">
        <f>IFERROR(__xludf.DUMMYFUNCTION("""COMPUTED_VALUE"""),2.0824922494371094)</f>
        <v>2.082492249</v>
      </c>
      <c r="AS447" s="4"/>
      <c r="AT447" s="4"/>
      <c r="AU447" s="4">
        <f>IFERROR(__xludf.DUMMYFUNCTION("""COMPUTED_VALUE"""),0.25991864251318475)</f>
        <v>0.2599186425</v>
      </c>
      <c r="AV447" s="4"/>
      <c r="AW447" s="4"/>
      <c r="AX447" s="4">
        <f>IFERROR(__xludf.DUMMYFUNCTION("""COMPUTED_VALUE"""),-3.1547274142595825)</f>
        <v>-3.154727414</v>
      </c>
      <c r="AY447" s="4"/>
      <c r="AZ447" s="4"/>
      <c r="BA447" s="4">
        <f>IFERROR(__xludf.DUMMYFUNCTION("""COMPUTED_VALUE"""),-4.085249849788511)</f>
        <v>-4.08524985</v>
      </c>
      <c r="BB447" s="4"/>
      <c r="BC447" s="4"/>
      <c r="BD447" s="4">
        <f>IFERROR(__xludf.DUMMYFUNCTION("""COMPUTED_VALUE"""),-1.118761964952398)</f>
        <v>-1.118761965</v>
      </c>
      <c r="BE447" s="4"/>
      <c r="BF447" s="4"/>
      <c r="BG447" s="4">
        <f>IFERROR(__xludf.DUMMYFUNCTION("""COMPUTED_VALUE"""),2.2518618868953126)</f>
        <v>2.251861887</v>
      </c>
      <c r="BH447" s="4"/>
      <c r="BI447" s="4"/>
      <c r="BJ447" s="4"/>
      <c r="BK447" s="4"/>
    </row>
    <row r="448">
      <c r="A448" s="4"/>
      <c r="B448" s="4"/>
      <c r="C448" s="4"/>
      <c r="D448" s="4">
        <f>IFERROR(__xludf.DUMMYFUNCTION("""COMPUTED_VALUE"""),-198.35196454094955)</f>
        <v>-198.3519645</v>
      </c>
      <c r="E448" s="23">
        <f>IFERROR(__xludf.DUMMYFUNCTION("""COMPUTED_VALUE"""),-1.3450360995657888)</f>
        <v>-1.3450361</v>
      </c>
      <c r="F448" s="4"/>
      <c r="G448" s="4"/>
      <c r="H448" s="4">
        <f>IFERROR(__xludf.DUMMYFUNCTION("""COMPUTED_VALUE"""),-1.0360113634009167)</f>
        <v>-1.036011363</v>
      </c>
      <c r="I448" s="4"/>
      <c r="J448" s="4"/>
      <c r="K448" s="4">
        <f>IFERROR(__xludf.DUMMYFUNCTION("""COMPUTED_VALUE"""),-2.244815759522112)</f>
        <v>-2.24481576</v>
      </c>
      <c r="L448" s="4"/>
      <c r="M448" s="4"/>
      <c r="N448" s="4">
        <f>IFERROR(__xludf.DUMMYFUNCTION("""COMPUTED_VALUE"""),-0.8941723236604844)</f>
        <v>-0.8941723237</v>
      </c>
      <c r="O448" s="4"/>
      <c r="P448" s="4"/>
      <c r="Q448" s="4">
        <f>IFERROR(__xludf.DUMMYFUNCTION("""COMPUTED_VALUE"""),0.9862499012450598)</f>
        <v>0.9862499012</v>
      </c>
      <c r="R448" s="4"/>
      <c r="S448" s="4"/>
      <c r="T448" s="4">
        <f>IFERROR(__xludf.DUMMYFUNCTION("""COMPUTED_VALUE"""),-2.5604304909261373)</f>
        <v>-2.560430491</v>
      </c>
      <c r="U448" s="4"/>
      <c r="V448" s="4"/>
      <c r="W448" s="4">
        <f>IFERROR(__xludf.DUMMYFUNCTION("""COMPUTED_VALUE"""),0.7190080415030593)</f>
        <v>0.7190080415</v>
      </c>
      <c r="X448" s="4"/>
      <c r="Y448" s="4"/>
      <c r="Z448" s="4">
        <f>IFERROR(__xludf.DUMMYFUNCTION("""COMPUTED_VALUE"""),-1.352881877853008)</f>
        <v>-1.352881878</v>
      </c>
      <c r="AA448" s="4"/>
      <c r="AB448" s="4"/>
      <c r="AC448" s="4">
        <f>IFERROR(__xludf.DUMMYFUNCTION("""COMPUTED_VALUE"""),2.562200854939988)</f>
        <v>2.562200855</v>
      </c>
      <c r="AD448" s="4"/>
      <c r="AE448" s="4"/>
      <c r="AF448" s="4">
        <f>IFERROR(__xludf.DUMMYFUNCTION("""COMPUTED_VALUE"""),-2.1004815373411247)</f>
        <v>-2.100481537</v>
      </c>
      <c r="AG448" s="4"/>
      <c r="AH448" s="4"/>
      <c r="AI448" s="4">
        <f>IFERROR(__xludf.DUMMYFUNCTION("""COMPUTED_VALUE"""),0.820484754305653)</f>
        <v>0.8204847543</v>
      </c>
      <c r="AJ448" s="4"/>
      <c r="AK448" s="4"/>
      <c r="AL448" s="4">
        <f>IFERROR(__xludf.DUMMYFUNCTION("""COMPUTED_VALUE"""),-2.4610175965826784)</f>
        <v>-2.461017597</v>
      </c>
      <c r="AM448" s="4"/>
      <c r="AN448" s="4"/>
      <c r="AO448" s="4">
        <f>IFERROR(__xludf.DUMMYFUNCTION("""COMPUTED_VALUE"""),5.339371209439662)</f>
        <v>5.339371209</v>
      </c>
      <c r="AP448" s="4"/>
      <c r="AQ448" s="4"/>
      <c r="AR448" s="4">
        <f>IFERROR(__xludf.DUMMYFUNCTION("""COMPUTED_VALUE"""),1.8070998665037337)</f>
        <v>1.807099867</v>
      </c>
      <c r="AS448" s="4"/>
      <c r="AT448" s="4"/>
      <c r="AU448" s="4">
        <f>IFERROR(__xludf.DUMMYFUNCTION("""COMPUTED_VALUE"""),-3.490978321987427)</f>
        <v>-3.490978322</v>
      </c>
      <c r="AV448" s="4"/>
      <c r="AW448" s="4"/>
      <c r="AX448" s="4">
        <f>IFERROR(__xludf.DUMMYFUNCTION("""COMPUTED_VALUE"""),2.674891218356663)</f>
        <v>2.674891218</v>
      </c>
      <c r="AY448" s="4"/>
      <c r="AZ448" s="4"/>
      <c r="BA448" s="4">
        <f>IFERROR(__xludf.DUMMYFUNCTION("""COMPUTED_VALUE"""),0.6431517204899251)</f>
        <v>0.6431517205</v>
      </c>
      <c r="BB448" s="4"/>
      <c r="BC448" s="4"/>
      <c r="BD448" s="4">
        <f>IFERROR(__xludf.DUMMYFUNCTION("""COMPUTED_VALUE"""),1.228352186076222)</f>
        <v>1.228352186</v>
      </c>
      <c r="BE448" s="4"/>
      <c r="BF448" s="4"/>
      <c r="BG448" s="4">
        <f>IFERROR(__xludf.DUMMYFUNCTION("""COMPUTED_VALUE"""),3.8764650803888685)</f>
        <v>3.87646508</v>
      </c>
      <c r="BH448" s="4"/>
      <c r="BI448" s="4"/>
      <c r="BJ448" s="4"/>
      <c r="BK448" s="4"/>
    </row>
    <row r="449">
      <c r="A449" s="4"/>
      <c r="B449" s="4"/>
      <c r="C449" s="4"/>
      <c r="D449" s="4">
        <f>IFERROR(__xludf.DUMMYFUNCTION("""COMPUTED_VALUE"""),-199.27026067374962)</f>
        <v>-199.2702607</v>
      </c>
      <c r="E449" s="23">
        <f>IFERROR(__xludf.DUMMYFUNCTION("""COMPUTED_VALUE"""),-0.7688315373819705)</f>
        <v>-0.7688315374</v>
      </c>
      <c r="F449" s="4"/>
      <c r="G449" s="4"/>
      <c r="H449" s="4">
        <f>IFERROR(__xludf.DUMMYFUNCTION("""COMPUTED_VALUE"""),-0.7987155146125815)</f>
        <v>-0.7987155146</v>
      </c>
      <c r="I449" s="4"/>
      <c r="J449" s="4"/>
      <c r="K449" s="4">
        <f>IFERROR(__xludf.DUMMYFUNCTION("""COMPUTED_VALUE"""),-2.6079227085467664)</f>
        <v>-2.607922709</v>
      </c>
      <c r="L449" s="4"/>
      <c r="M449" s="4"/>
      <c r="N449" s="4">
        <f>IFERROR(__xludf.DUMMYFUNCTION("""COMPUTED_VALUE"""),1.6454044212360373)</f>
        <v>1.645404421</v>
      </c>
      <c r="O449" s="4"/>
      <c r="P449" s="4"/>
      <c r="Q449" s="4">
        <f>IFERROR(__xludf.DUMMYFUNCTION("""COMPUTED_VALUE"""),-0.9536704807227352)</f>
        <v>-0.9536704807</v>
      </c>
      <c r="R449" s="4"/>
      <c r="S449" s="4"/>
      <c r="T449" s="4">
        <f>IFERROR(__xludf.DUMMYFUNCTION("""COMPUTED_VALUE"""),-7.180938000519916)</f>
        <v>-7.180938001</v>
      </c>
      <c r="U449" s="4"/>
      <c r="V449" s="4"/>
      <c r="W449" s="4">
        <f>IFERROR(__xludf.DUMMYFUNCTION("""COMPUTED_VALUE"""),0.6160466352165486)</f>
        <v>0.6160466352</v>
      </c>
      <c r="X449" s="4"/>
      <c r="Y449" s="4"/>
      <c r="Z449" s="4">
        <f>IFERROR(__xludf.DUMMYFUNCTION("""COMPUTED_VALUE"""),6.994440784258472)</f>
        <v>6.994440784</v>
      </c>
      <c r="AA449" s="4"/>
      <c r="AB449" s="4"/>
      <c r="AC449" s="4">
        <f>IFERROR(__xludf.DUMMYFUNCTION("""COMPUTED_VALUE"""),3.038275593532603)</f>
        <v>3.038275594</v>
      </c>
      <c r="AD449" s="4"/>
      <c r="AE449" s="4"/>
      <c r="AF449" s="4">
        <f>IFERROR(__xludf.DUMMYFUNCTION("""COMPUTED_VALUE"""),-0.18542621448955288)</f>
        <v>-0.1854262145</v>
      </c>
      <c r="AG449" s="4"/>
      <c r="AH449" s="4"/>
      <c r="AI449" s="4">
        <f>IFERROR(__xludf.DUMMYFUNCTION("""COMPUTED_VALUE"""),5.086145193637094)</f>
        <v>5.086145194</v>
      </c>
      <c r="AJ449" s="4"/>
      <c r="AK449" s="4"/>
      <c r="AL449" s="4">
        <f>IFERROR(__xludf.DUMMYFUNCTION("""COMPUTED_VALUE"""),-2.4703736238353144)</f>
        <v>-2.470373624</v>
      </c>
      <c r="AM449" s="4"/>
      <c r="AN449" s="4"/>
      <c r="AO449" s="4">
        <f>IFERROR(__xludf.DUMMYFUNCTION("""COMPUTED_VALUE"""),0.9457192513660857)</f>
        <v>0.9457192514</v>
      </c>
      <c r="AP449" s="4"/>
      <c r="AQ449" s="4"/>
      <c r="AR449" s="4">
        <f>IFERROR(__xludf.DUMMYFUNCTION("""COMPUTED_VALUE"""),-1.039594635735341)</f>
        <v>-1.039594636</v>
      </c>
      <c r="AS449" s="4"/>
      <c r="AT449" s="4"/>
      <c r="AU449" s="4">
        <f>IFERROR(__xludf.DUMMYFUNCTION("""COMPUTED_VALUE"""),0.31393285947831373)</f>
        <v>0.3139328595</v>
      </c>
      <c r="AV449" s="4"/>
      <c r="AW449" s="4"/>
      <c r="AX449" s="4">
        <f>IFERROR(__xludf.DUMMYFUNCTION("""COMPUTED_VALUE"""),4.26011217596016)</f>
        <v>4.260112176</v>
      </c>
      <c r="AY449" s="4"/>
      <c r="AZ449" s="4"/>
      <c r="BA449" s="4">
        <f>IFERROR(__xludf.DUMMYFUNCTION("""COMPUTED_VALUE"""),1.6321863269712935)</f>
        <v>1.632186327</v>
      </c>
      <c r="BB449" s="4"/>
      <c r="BC449" s="4"/>
      <c r="BD449" s="4">
        <f>IFERROR(__xludf.DUMMYFUNCTION("""COMPUTED_VALUE"""),1.987775248768628)</f>
        <v>1.987775249</v>
      </c>
      <c r="BE449" s="4"/>
      <c r="BF449" s="4"/>
      <c r="BG449" s="4">
        <f>IFERROR(__xludf.DUMMYFUNCTION("""COMPUTED_VALUE"""),4.458187476767705)</f>
        <v>4.458187477</v>
      </c>
      <c r="BH449" s="4"/>
      <c r="BI449" s="4"/>
      <c r="BJ449" s="4"/>
      <c r="BK449" s="4"/>
    </row>
    <row r="450">
      <c r="A450" s="4"/>
      <c r="B450" s="4"/>
      <c r="C450" s="4"/>
      <c r="D450" s="4">
        <f>IFERROR(__xludf.DUMMYFUNCTION("""COMPUTED_VALUE"""),-200.18855680443474)</f>
        <v>-200.1885568</v>
      </c>
      <c r="E450" s="23">
        <f>IFERROR(__xludf.DUMMYFUNCTION("""COMPUTED_VALUE"""),9.038313163438602)</f>
        <v>9.038313163</v>
      </c>
      <c r="F450" s="4"/>
      <c r="G450" s="4"/>
      <c r="H450" s="4">
        <f>IFERROR(__xludf.DUMMYFUNCTION("""COMPUTED_VALUE"""),0.06326259919842414)</f>
        <v>0.0632625992</v>
      </c>
      <c r="I450" s="4"/>
      <c r="J450" s="4"/>
      <c r="K450" s="4">
        <f>IFERROR(__xludf.DUMMYFUNCTION("""COMPUTED_VALUE"""),1.335340974533608)</f>
        <v>1.335340975</v>
      </c>
      <c r="L450" s="4"/>
      <c r="M450" s="4"/>
      <c r="N450" s="4">
        <f>IFERROR(__xludf.DUMMYFUNCTION("""COMPUTED_VALUE"""),2.977912223489625)</f>
        <v>2.977912223</v>
      </c>
      <c r="O450" s="4"/>
      <c r="P450" s="4"/>
      <c r="Q450" s="4">
        <f>IFERROR(__xludf.DUMMYFUNCTION("""COMPUTED_VALUE"""),-3.2211430587286145)</f>
        <v>-3.221143059</v>
      </c>
      <c r="R450" s="4"/>
      <c r="S450" s="4"/>
      <c r="T450" s="4">
        <f>IFERROR(__xludf.DUMMYFUNCTION("""COMPUTED_VALUE"""),5.468081754634284)</f>
        <v>5.468081755</v>
      </c>
      <c r="U450" s="4"/>
      <c r="V450" s="4"/>
      <c r="W450" s="4">
        <f>IFERROR(__xludf.DUMMYFUNCTION("""COMPUTED_VALUE"""),-2.1012298135231617)</f>
        <v>-2.101229814</v>
      </c>
      <c r="X450" s="4"/>
      <c r="Y450" s="4"/>
      <c r="Z450" s="4">
        <f>IFERROR(__xludf.DUMMYFUNCTION("""COMPUTED_VALUE"""),6.458683019732234)</f>
        <v>6.45868302</v>
      </c>
      <c r="AA450" s="4"/>
      <c r="AB450" s="4"/>
      <c r="AC450" s="4">
        <f>IFERROR(__xludf.DUMMYFUNCTION("""COMPUTED_VALUE"""),-3.7643227294841495)</f>
        <v>-3.764322729</v>
      </c>
      <c r="AD450" s="4"/>
      <c r="AE450" s="4"/>
      <c r="AF450" s="4">
        <f>IFERROR(__xludf.DUMMYFUNCTION("""COMPUTED_VALUE"""),-3.0037687404649205)</f>
        <v>-3.00376874</v>
      </c>
      <c r="AG450" s="4"/>
      <c r="AH450" s="4"/>
      <c r="AI450" s="4">
        <f>IFERROR(__xludf.DUMMYFUNCTION("""COMPUTED_VALUE"""),-4.323497866329433)</f>
        <v>-4.323497866</v>
      </c>
      <c r="AJ450" s="4"/>
      <c r="AK450" s="4"/>
      <c r="AL450" s="4">
        <f>IFERROR(__xludf.DUMMYFUNCTION("""COMPUTED_VALUE"""),-0.4937784532810383)</f>
        <v>-0.4937784533</v>
      </c>
      <c r="AM450" s="4"/>
      <c r="AN450" s="4"/>
      <c r="AO450" s="4">
        <f>IFERROR(__xludf.DUMMYFUNCTION("""COMPUTED_VALUE"""),0.7159688262652821)</f>
        <v>0.7159688263</v>
      </c>
      <c r="AP450" s="4"/>
      <c r="AQ450" s="4"/>
      <c r="AR450" s="4">
        <f>IFERROR(__xludf.DUMMYFUNCTION("""COMPUTED_VALUE"""),-0.2657286653576989)</f>
        <v>-0.2657286654</v>
      </c>
      <c r="AS450" s="4"/>
      <c r="AT450" s="4"/>
      <c r="AU450" s="4">
        <f>IFERROR(__xludf.DUMMYFUNCTION("""COMPUTED_VALUE"""),-2.563855805268531)</f>
        <v>-2.563855805</v>
      </c>
      <c r="AV450" s="4"/>
      <c r="AW450" s="4"/>
      <c r="AX450" s="4">
        <f>IFERROR(__xludf.DUMMYFUNCTION("""COMPUTED_VALUE"""),-2.104434425675322)</f>
        <v>-2.104434426</v>
      </c>
      <c r="AY450" s="4"/>
      <c r="AZ450" s="4"/>
      <c r="BA450" s="4">
        <f>IFERROR(__xludf.DUMMYFUNCTION("""COMPUTED_VALUE"""),4.92171868443188)</f>
        <v>4.921718684</v>
      </c>
      <c r="BB450" s="4"/>
      <c r="BC450" s="4"/>
      <c r="BD450" s="4">
        <f>IFERROR(__xludf.DUMMYFUNCTION("""COMPUTED_VALUE"""),-2.905333852549063)</f>
        <v>-2.905333853</v>
      </c>
      <c r="BE450" s="4"/>
      <c r="BF450" s="4"/>
      <c r="BG450" s="4">
        <f>IFERROR(__xludf.DUMMYFUNCTION("""COMPUTED_VALUE"""),3.4778817088914593)</f>
        <v>3.477881709</v>
      </c>
      <c r="BH450" s="4"/>
      <c r="BI450" s="4"/>
      <c r="BJ450" s="4"/>
      <c r="BK450" s="4"/>
    </row>
    <row r="451">
      <c r="A451" s="4"/>
      <c r="B451" s="4"/>
      <c r="C451" s="4"/>
      <c r="D451" s="4">
        <f>IFERROR(__xludf.DUMMYFUNCTION("""COMPUTED_VALUE"""),-201.10685293718444)</f>
        <v>-201.1068529</v>
      </c>
      <c r="E451" s="23">
        <f>IFERROR(__xludf.DUMMYFUNCTION("""COMPUTED_VALUE"""),0.8476487169918983)</f>
        <v>0.847648717</v>
      </c>
      <c r="F451" s="4"/>
      <c r="G451" s="4"/>
      <c r="H451" s="4">
        <f>IFERROR(__xludf.DUMMYFUNCTION("""COMPUTED_VALUE"""),2.6520934963332365)</f>
        <v>2.652093496</v>
      </c>
      <c r="I451" s="4"/>
      <c r="J451" s="4"/>
      <c r="K451" s="4">
        <f>IFERROR(__xludf.DUMMYFUNCTION("""COMPUTED_VALUE"""),4.986128487361725)</f>
        <v>4.986128487</v>
      </c>
      <c r="L451" s="4"/>
      <c r="M451" s="4"/>
      <c r="N451" s="4">
        <f>IFERROR(__xludf.DUMMYFUNCTION("""COMPUTED_VALUE"""),5.849424153661573)</f>
        <v>5.849424154</v>
      </c>
      <c r="O451" s="4"/>
      <c r="P451" s="4"/>
      <c r="Q451" s="4">
        <f>IFERROR(__xludf.DUMMYFUNCTION("""COMPUTED_VALUE"""),7.897421897464881)</f>
        <v>7.897421897</v>
      </c>
      <c r="R451" s="4"/>
      <c r="S451" s="4"/>
      <c r="T451" s="4">
        <f>IFERROR(__xludf.DUMMYFUNCTION("""COMPUTED_VALUE"""),-3.0186993854927096)</f>
        <v>-3.018699385</v>
      </c>
      <c r="U451" s="4"/>
      <c r="V451" s="4"/>
      <c r="W451" s="4">
        <f>IFERROR(__xludf.DUMMYFUNCTION("""COMPUTED_VALUE"""),-3.15350334159848)</f>
        <v>-3.153503342</v>
      </c>
      <c r="X451" s="4"/>
      <c r="Y451" s="4"/>
      <c r="Z451" s="4">
        <f>IFERROR(__xludf.DUMMYFUNCTION("""COMPUTED_VALUE"""),-1.92741794717017)</f>
        <v>-1.927417947</v>
      </c>
      <c r="AA451" s="4"/>
      <c r="AB451" s="4"/>
      <c r="AC451" s="4">
        <f>IFERROR(__xludf.DUMMYFUNCTION("""COMPUTED_VALUE"""),3.07284796206784)</f>
        <v>3.072847962</v>
      </c>
      <c r="AD451" s="4"/>
      <c r="AE451" s="4"/>
      <c r="AF451" s="4">
        <f>IFERROR(__xludf.DUMMYFUNCTION("""COMPUTED_VALUE"""),1.104426303018272)</f>
        <v>1.104426303</v>
      </c>
      <c r="AG451" s="4"/>
      <c r="AH451" s="4"/>
      <c r="AI451" s="4">
        <f>IFERROR(__xludf.DUMMYFUNCTION("""COMPUTED_VALUE"""),1.1662036150958102)</f>
        <v>1.166203615</v>
      </c>
      <c r="AJ451" s="4"/>
      <c r="AK451" s="4"/>
      <c r="AL451" s="4">
        <f>IFERROR(__xludf.DUMMYFUNCTION("""COMPUTED_VALUE"""),5.171675743409821)</f>
        <v>5.171675743</v>
      </c>
      <c r="AM451" s="4"/>
      <c r="AN451" s="4"/>
      <c r="AO451" s="4">
        <f>IFERROR(__xludf.DUMMYFUNCTION("""COMPUTED_VALUE"""),0.9953913233022149)</f>
        <v>0.9953913233</v>
      </c>
      <c r="AP451" s="4"/>
      <c r="AQ451" s="4"/>
      <c r="AR451" s="4">
        <f>IFERROR(__xludf.DUMMYFUNCTION("""COMPUTED_VALUE"""),-0.198766205843242)</f>
        <v>-0.1987662058</v>
      </c>
      <c r="AS451" s="4"/>
      <c r="AT451" s="4"/>
      <c r="AU451" s="4">
        <f>IFERROR(__xludf.DUMMYFUNCTION("""COMPUTED_VALUE"""),4.0126498361482845)</f>
        <v>4.012649836</v>
      </c>
      <c r="AV451" s="4"/>
      <c r="AW451" s="4"/>
      <c r="AX451" s="4">
        <f>IFERROR(__xludf.DUMMYFUNCTION("""COMPUTED_VALUE"""),-0.6081152559242469)</f>
        <v>-0.6081152559</v>
      </c>
      <c r="AY451" s="4"/>
      <c r="AZ451" s="4"/>
      <c r="BA451" s="4">
        <f>IFERROR(__xludf.DUMMYFUNCTION("""COMPUTED_VALUE"""),0.8928931016401975)</f>
        <v>0.8928931016</v>
      </c>
      <c r="BB451" s="4"/>
      <c r="BC451" s="4"/>
      <c r="BD451" s="4">
        <f>IFERROR(__xludf.DUMMYFUNCTION("""COMPUTED_VALUE"""),4.462656731394588)</f>
        <v>4.462656731</v>
      </c>
      <c r="BE451" s="4"/>
      <c r="BF451" s="4"/>
      <c r="BG451" s="4">
        <f>IFERROR(__xludf.DUMMYFUNCTION("""COMPUTED_VALUE"""),-3.062453578415898)</f>
        <v>-3.062453578</v>
      </c>
      <c r="BH451" s="4"/>
      <c r="BI451" s="4"/>
      <c r="BJ451" s="4"/>
      <c r="BK451" s="4"/>
    </row>
    <row r="452">
      <c r="A452" s="4"/>
      <c r="B452" s="4"/>
      <c r="C452" s="4"/>
      <c r="D452" s="4">
        <f>IFERROR(__xludf.DUMMYFUNCTION("""COMPUTED_VALUE"""),-202.02514906998454)</f>
        <v>-202.0251491</v>
      </c>
      <c r="E452" s="23">
        <f>IFERROR(__xludf.DUMMYFUNCTION("""COMPUTED_VALUE"""),1.0377617315921839)</f>
        <v>1.037761732</v>
      </c>
      <c r="F452" s="4"/>
      <c r="G452" s="4"/>
      <c r="H452" s="4">
        <f>IFERROR(__xludf.DUMMYFUNCTION("""COMPUTED_VALUE"""),1.826448366572322)</f>
        <v>1.826448367</v>
      </c>
      <c r="I452" s="4"/>
      <c r="J452" s="4"/>
      <c r="K452" s="4">
        <f>IFERROR(__xludf.DUMMYFUNCTION("""COMPUTED_VALUE"""),-4.641732981352675)</f>
        <v>-4.641732981</v>
      </c>
      <c r="L452" s="4"/>
      <c r="M452" s="4"/>
      <c r="N452" s="4">
        <f>IFERROR(__xludf.DUMMYFUNCTION("""COMPUTED_VALUE"""),3.313770766873688)</f>
        <v>3.313770767</v>
      </c>
      <c r="O452" s="4"/>
      <c r="P452" s="4"/>
      <c r="Q452" s="4">
        <f>IFERROR(__xludf.DUMMYFUNCTION("""COMPUTED_VALUE"""),5.6471799874062185)</f>
        <v>5.647179987</v>
      </c>
      <c r="R452" s="4"/>
      <c r="S452" s="4"/>
      <c r="T452" s="4">
        <f>IFERROR(__xludf.DUMMYFUNCTION("""COMPUTED_VALUE"""),-1.0739946756457925)</f>
        <v>-1.073994676</v>
      </c>
      <c r="U452" s="4"/>
      <c r="V452" s="4"/>
      <c r="W452" s="4">
        <f>IFERROR(__xludf.DUMMYFUNCTION("""COMPUTED_VALUE"""),0.8090111341412012)</f>
        <v>0.8090111341</v>
      </c>
      <c r="X452" s="4"/>
      <c r="Y452" s="4"/>
      <c r="Z452" s="4">
        <f>IFERROR(__xludf.DUMMYFUNCTION("""COMPUTED_VALUE"""),0.1742599601267898)</f>
        <v>0.1742599601</v>
      </c>
      <c r="AA452" s="4"/>
      <c r="AB452" s="4"/>
      <c r="AC452" s="4">
        <f>IFERROR(__xludf.DUMMYFUNCTION("""COMPUTED_VALUE"""),-1.8460266499174622)</f>
        <v>-1.84602665</v>
      </c>
      <c r="AD452" s="4"/>
      <c r="AE452" s="4"/>
      <c r="AF452" s="4">
        <f>IFERROR(__xludf.DUMMYFUNCTION("""COMPUTED_VALUE"""),-1.503203031991859)</f>
        <v>-1.503203032</v>
      </c>
      <c r="AG452" s="4"/>
      <c r="AH452" s="4"/>
      <c r="AI452" s="4">
        <f>IFERROR(__xludf.DUMMYFUNCTION("""COMPUTED_VALUE"""),-3.4756475973217675)</f>
        <v>-3.475647597</v>
      </c>
      <c r="AJ452" s="4"/>
      <c r="AK452" s="4"/>
      <c r="AL452" s="4">
        <f>IFERROR(__xludf.DUMMYFUNCTION("""COMPUTED_VALUE"""),-1.9105473101668622)</f>
        <v>-1.91054731</v>
      </c>
      <c r="AM452" s="4"/>
      <c r="AN452" s="4"/>
      <c r="AO452" s="4">
        <f>IFERROR(__xludf.DUMMYFUNCTION("""COMPUTED_VALUE"""),-0.9716449361288255)</f>
        <v>-0.9716449361</v>
      </c>
      <c r="AP452" s="4"/>
      <c r="AQ452" s="4"/>
      <c r="AR452" s="4">
        <f>IFERROR(__xludf.DUMMYFUNCTION("""COMPUTED_VALUE"""),2.3355698372782854)</f>
        <v>2.335569837</v>
      </c>
      <c r="AS452" s="4"/>
      <c r="AT452" s="4"/>
      <c r="AU452" s="4">
        <f>IFERROR(__xludf.DUMMYFUNCTION("""COMPUTED_VALUE"""),-0.38510618453489087)</f>
        <v>-0.3851061845</v>
      </c>
      <c r="AV452" s="4"/>
      <c r="AW452" s="4"/>
      <c r="AX452" s="4">
        <f>IFERROR(__xludf.DUMMYFUNCTION("""COMPUTED_VALUE"""),-5.521872725389358)</f>
        <v>-5.521872725</v>
      </c>
      <c r="AY452" s="4"/>
      <c r="AZ452" s="4"/>
      <c r="BA452" s="4">
        <f>IFERROR(__xludf.DUMMYFUNCTION("""COMPUTED_VALUE"""),7.37161598033822)</f>
        <v>7.37161598</v>
      </c>
      <c r="BB452" s="4"/>
      <c r="BC452" s="4"/>
      <c r="BD452" s="4">
        <f>IFERROR(__xludf.DUMMYFUNCTION("""COMPUTED_VALUE"""),-3.7351629419603682)</f>
        <v>-3.735162942</v>
      </c>
      <c r="BE452" s="4"/>
      <c r="BF452" s="4"/>
      <c r="BG452" s="4">
        <f>IFERROR(__xludf.DUMMYFUNCTION("""COMPUTED_VALUE"""),4.311160735243902)</f>
        <v>4.311160735</v>
      </c>
      <c r="BH452" s="4"/>
      <c r="BI452" s="4"/>
      <c r="BJ452" s="4"/>
      <c r="BK452" s="4"/>
    </row>
    <row r="453">
      <c r="A453" s="4"/>
      <c r="B453" s="4"/>
      <c r="C453" s="4"/>
      <c r="D453" s="4">
        <f>IFERROR(__xludf.DUMMYFUNCTION("""COMPUTED_VALUE"""),-202.94344520066966)</f>
        <v>-202.9434452</v>
      </c>
      <c r="E453" s="23">
        <f>IFERROR(__xludf.DUMMYFUNCTION("""COMPUTED_VALUE"""),-5.885329494557823)</f>
        <v>-5.885329495</v>
      </c>
      <c r="F453" s="4"/>
      <c r="G453" s="4"/>
      <c r="H453" s="4">
        <f>IFERROR(__xludf.DUMMYFUNCTION("""COMPUTED_VALUE"""),-0.14281378627481445)</f>
        <v>-0.1428137863</v>
      </c>
      <c r="I453" s="4"/>
      <c r="J453" s="4"/>
      <c r="K453" s="4">
        <f>IFERROR(__xludf.DUMMYFUNCTION("""COMPUTED_VALUE"""),0.9312884591439001)</f>
        <v>0.9312884591</v>
      </c>
      <c r="L453" s="4"/>
      <c r="M453" s="4"/>
      <c r="N453" s="4">
        <f>IFERROR(__xludf.DUMMYFUNCTION("""COMPUTED_VALUE"""),2.418797482225443)</f>
        <v>2.418797482</v>
      </c>
      <c r="O453" s="4"/>
      <c r="P453" s="4"/>
      <c r="Q453" s="4">
        <f>IFERROR(__xludf.DUMMYFUNCTION("""COMPUTED_VALUE"""),1.6011307948566014)</f>
        <v>1.601130795</v>
      </c>
      <c r="R453" s="4"/>
      <c r="S453" s="4"/>
      <c r="T453" s="4">
        <f>IFERROR(__xludf.DUMMYFUNCTION("""COMPUTED_VALUE"""),5.952449329929152)</f>
        <v>5.95244933</v>
      </c>
      <c r="U453" s="4"/>
      <c r="V453" s="4"/>
      <c r="W453" s="4">
        <f>IFERROR(__xludf.DUMMYFUNCTION("""COMPUTED_VALUE"""),0.8063844505757629)</f>
        <v>0.8063844506</v>
      </c>
      <c r="X453" s="4"/>
      <c r="Y453" s="4"/>
      <c r="Z453" s="4">
        <f>IFERROR(__xludf.DUMMYFUNCTION("""COMPUTED_VALUE"""),-0.15066982397132733)</f>
        <v>-0.150669824</v>
      </c>
      <c r="AA453" s="4"/>
      <c r="AB453" s="4"/>
      <c r="AC453" s="4">
        <f>IFERROR(__xludf.DUMMYFUNCTION("""COMPUTED_VALUE"""),1.1321383687846378)</f>
        <v>1.132138369</v>
      </c>
      <c r="AD453" s="4"/>
      <c r="AE453" s="4"/>
      <c r="AF453" s="4">
        <f>IFERROR(__xludf.DUMMYFUNCTION("""COMPUTED_VALUE"""),2.768373111636606)</f>
        <v>2.768373112</v>
      </c>
      <c r="AG453" s="4"/>
      <c r="AH453" s="4"/>
      <c r="AI453" s="4">
        <f>IFERROR(__xludf.DUMMYFUNCTION("""COMPUTED_VALUE"""),-0.32607792726366824)</f>
        <v>-0.3260779273</v>
      </c>
      <c r="AJ453" s="4"/>
      <c r="AK453" s="4"/>
      <c r="AL453" s="4">
        <f>IFERROR(__xludf.DUMMYFUNCTION("""COMPUTED_VALUE"""),2.102740740745901)</f>
        <v>2.102740741</v>
      </c>
      <c r="AM453" s="4"/>
      <c r="AN453" s="4"/>
      <c r="AO453" s="4">
        <f>IFERROR(__xludf.DUMMYFUNCTION("""COMPUTED_VALUE"""),0.8243306751185742)</f>
        <v>0.8243306751</v>
      </c>
      <c r="AP453" s="4"/>
      <c r="AQ453" s="4"/>
      <c r="AR453" s="4">
        <f>IFERROR(__xludf.DUMMYFUNCTION("""COMPUTED_VALUE"""),3.071433527307761)</f>
        <v>3.071433527</v>
      </c>
      <c r="AS453" s="4"/>
      <c r="AT453" s="4"/>
      <c r="AU453" s="4">
        <f>IFERROR(__xludf.DUMMYFUNCTION("""COMPUTED_VALUE"""),0.31755706296246444)</f>
        <v>0.317557063</v>
      </c>
      <c r="AV453" s="4"/>
      <c r="AW453" s="4"/>
      <c r="AX453" s="4">
        <f>IFERROR(__xludf.DUMMYFUNCTION("""COMPUTED_VALUE"""),3.0421843288967807)</f>
        <v>3.042184329</v>
      </c>
      <c r="AY453" s="4"/>
      <c r="AZ453" s="4"/>
      <c r="BA453" s="4">
        <f>IFERROR(__xludf.DUMMYFUNCTION("""COMPUTED_VALUE"""),-0.8784440685013806)</f>
        <v>-0.8784440685</v>
      </c>
      <c r="BB453" s="4"/>
      <c r="BC453" s="4"/>
      <c r="BD453" s="4">
        <f>IFERROR(__xludf.DUMMYFUNCTION("""COMPUTED_VALUE"""),6.076079142074661)</f>
        <v>6.076079142</v>
      </c>
      <c r="BE453" s="4"/>
      <c r="BF453" s="4"/>
      <c r="BG453" s="4">
        <f>IFERROR(__xludf.DUMMYFUNCTION("""COMPUTED_VALUE"""),8.000787516379319)</f>
        <v>8.000787516</v>
      </c>
      <c r="BH453" s="4"/>
      <c r="BI453" s="4"/>
      <c r="BJ453" s="4"/>
      <c r="BK453" s="4"/>
    </row>
    <row r="454">
      <c r="A454" s="4"/>
      <c r="B454" s="4"/>
      <c r="C454" s="4"/>
      <c r="D454" s="4">
        <f>IFERROR(__xludf.DUMMYFUNCTION("""COMPUTED_VALUE"""),-203.8617413334194)</f>
        <v>-203.8617413</v>
      </c>
      <c r="E454" s="23">
        <f>IFERROR(__xludf.DUMMYFUNCTION("""COMPUTED_VALUE"""),1.2113722355460368)</f>
        <v>1.211372236</v>
      </c>
      <c r="F454" s="4"/>
      <c r="G454" s="4"/>
      <c r="H454" s="4">
        <f>IFERROR(__xludf.DUMMYFUNCTION("""COMPUTED_VALUE"""),6.308331553069934)</f>
        <v>6.308331553</v>
      </c>
      <c r="I454" s="4"/>
      <c r="J454" s="4"/>
      <c r="K454" s="4">
        <f>IFERROR(__xludf.DUMMYFUNCTION("""COMPUTED_VALUE"""),1.939285021295234)</f>
        <v>1.939285021</v>
      </c>
      <c r="L454" s="4"/>
      <c r="M454" s="4"/>
      <c r="N454" s="4">
        <f>IFERROR(__xludf.DUMMYFUNCTION("""COMPUTED_VALUE"""),5.135024626668667)</f>
        <v>5.135024627</v>
      </c>
      <c r="O454" s="4"/>
      <c r="P454" s="4"/>
      <c r="Q454" s="4">
        <f>IFERROR(__xludf.DUMMYFUNCTION("""COMPUTED_VALUE"""),1.0968890000706892)</f>
        <v>1.096889</v>
      </c>
      <c r="R454" s="4"/>
      <c r="S454" s="4"/>
      <c r="T454" s="4">
        <f>IFERROR(__xludf.DUMMYFUNCTION("""COMPUTED_VALUE"""),0.6487634046498556)</f>
        <v>0.6487634046</v>
      </c>
      <c r="U454" s="4"/>
      <c r="V454" s="4"/>
      <c r="W454" s="4">
        <f>IFERROR(__xludf.DUMMYFUNCTION("""COMPUTED_VALUE"""),0.11752101623488898)</f>
        <v>0.1175210162</v>
      </c>
      <c r="X454" s="4"/>
      <c r="Y454" s="4"/>
      <c r="Z454" s="4">
        <f>IFERROR(__xludf.DUMMYFUNCTION("""COMPUTED_VALUE"""),-1.2803482972260554)</f>
        <v>-1.280348297</v>
      </c>
      <c r="AA454" s="4"/>
      <c r="AB454" s="4"/>
      <c r="AC454" s="4">
        <f>IFERROR(__xludf.DUMMYFUNCTION("""COMPUTED_VALUE"""),-0.2629737006415098)</f>
        <v>-0.2629737006</v>
      </c>
      <c r="AD454" s="4"/>
      <c r="AE454" s="4"/>
      <c r="AF454" s="4">
        <f>IFERROR(__xludf.DUMMYFUNCTION("""COMPUTED_VALUE"""),-4.521224875772532)</f>
        <v>-4.521224876</v>
      </c>
      <c r="AG454" s="4"/>
      <c r="AH454" s="4"/>
      <c r="AI454" s="4">
        <f>IFERROR(__xludf.DUMMYFUNCTION("""COMPUTED_VALUE"""),-1.0481410054368325)</f>
        <v>-1.048141005</v>
      </c>
      <c r="AJ454" s="4"/>
      <c r="AK454" s="4"/>
      <c r="AL454" s="4">
        <f>IFERROR(__xludf.DUMMYFUNCTION("""COMPUTED_VALUE"""),-6.4873379670061695)</f>
        <v>-6.487337967</v>
      </c>
      <c r="AM454" s="4"/>
      <c r="AN454" s="4"/>
      <c r="AO454" s="4">
        <f>IFERROR(__xludf.DUMMYFUNCTION("""COMPUTED_VALUE"""),2.2406403992827677)</f>
        <v>2.240640399</v>
      </c>
      <c r="AP454" s="4"/>
      <c r="AQ454" s="4"/>
      <c r="AR454" s="4">
        <f>IFERROR(__xludf.DUMMYFUNCTION("""COMPUTED_VALUE"""),0.6257044887449297)</f>
        <v>0.6257044887</v>
      </c>
      <c r="AS454" s="4"/>
      <c r="AT454" s="4"/>
      <c r="AU454" s="4">
        <f>IFERROR(__xludf.DUMMYFUNCTION("""COMPUTED_VALUE"""),0.38406679972200664)</f>
        <v>0.3840667997</v>
      </c>
      <c r="AV454" s="4"/>
      <c r="AW454" s="4"/>
      <c r="AX454" s="4">
        <f>IFERROR(__xludf.DUMMYFUNCTION("""COMPUTED_VALUE"""),-2.1683496151639474)</f>
        <v>-2.168349615</v>
      </c>
      <c r="AY454" s="4"/>
      <c r="AZ454" s="4"/>
      <c r="BA454" s="4">
        <f>IFERROR(__xludf.DUMMYFUNCTION("""COMPUTED_VALUE"""),1.7695030016704436)</f>
        <v>1.769503002</v>
      </c>
      <c r="BB454" s="4"/>
      <c r="BC454" s="4"/>
      <c r="BD454" s="4">
        <f>IFERROR(__xludf.DUMMYFUNCTION("""COMPUTED_VALUE"""),-2.3538168418944565)</f>
        <v>-2.353816842</v>
      </c>
      <c r="BE454" s="4"/>
      <c r="BF454" s="4"/>
      <c r="BG454" s="4">
        <f>IFERROR(__xludf.DUMMYFUNCTION("""COMPUTED_VALUE"""),-2.974994234413998)</f>
        <v>-2.974994234</v>
      </c>
      <c r="BH454" s="4"/>
      <c r="BI454" s="4"/>
      <c r="BJ454" s="4"/>
      <c r="BK454" s="4"/>
    </row>
    <row r="455">
      <c r="A455" s="4"/>
      <c r="B455" s="4"/>
      <c r="C455" s="4"/>
      <c r="D455" s="4">
        <f>IFERROR(__xludf.DUMMYFUNCTION("""COMPUTED_VALUE"""),-204.78003746621945)</f>
        <v>-204.7800375</v>
      </c>
      <c r="E455" s="23">
        <f>IFERROR(__xludf.DUMMYFUNCTION("""COMPUTED_VALUE"""),-1.2291698520401724)</f>
        <v>-1.229169852</v>
      </c>
      <c r="F455" s="4"/>
      <c r="G455" s="4"/>
      <c r="H455" s="4">
        <f>IFERROR(__xludf.DUMMYFUNCTION("""COMPUTED_VALUE"""),-2.4371437560552636)</f>
        <v>-2.437143756</v>
      </c>
      <c r="I455" s="4"/>
      <c r="J455" s="4"/>
      <c r="K455" s="4">
        <f>IFERROR(__xludf.DUMMYFUNCTION("""COMPUTED_VALUE"""),-0.5866563201980739)</f>
        <v>-0.5866563202</v>
      </c>
      <c r="L455" s="4"/>
      <c r="M455" s="4"/>
      <c r="N455" s="4">
        <f>IFERROR(__xludf.DUMMYFUNCTION("""COMPUTED_VALUE"""),0.9572522087601101)</f>
        <v>0.9572522088</v>
      </c>
      <c r="O455" s="4"/>
      <c r="P455" s="4"/>
      <c r="Q455" s="4">
        <f>IFERROR(__xludf.DUMMYFUNCTION("""COMPUTED_VALUE"""),0.7302302549169895)</f>
        <v>0.7302302549</v>
      </c>
      <c r="R455" s="4"/>
      <c r="S455" s="4"/>
      <c r="T455" s="4">
        <f>IFERROR(__xludf.DUMMYFUNCTION("""COMPUTED_VALUE"""),0.8807922715395193)</f>
        <v>0.8807922715</v>
      </c>
      <c r="U455" s="4"/>
      <c r="V455" s="4"/>
      <c r="W455" s="4">
        <f>IFERROR(__xludf.DUMMYFUNCTION("""COMPUTED_VALUE"""),7.296156357563348)</f>
        <v>7.296156358</v>
      </c>
      <c r="X455" s="4"/>
      <c r="Y455" s="4"/>
      <c r="Z455" s="4">
        <f>IFERROR(__xludf.DUMMYFUNCTION("""COMPUTED_VALUE"""),-2.475150257339976)</f>
        <v>-2.475150257</v>
      </c>
      <c r="AA455" s="4"/>
      <c r="AB455" s="4"/>
      <c r="AC455" s="4">
        <f>IFERROR(__xludf.DUMMYFUNCTION("""COMPUTED_VALUE"""),-0.5059897988903117)</f>
        <v>-0.5059897989</v>
      </c>
      <c r="AD455" s="4"/>
      <c r="AE455" s="4"/>
      <c r="AF455" s="4">
        <f>IFERROR(__xludf.DUMMYFUNCTION("""COMPUTED_VALUE"""),-0.7532771597909118)</f>
        <v>-0.7532771598</v>
      </c>
      <c r="AG455" s="4"/>
      <c r="AH455" s="4"/>
      <c r="AI455" s="4">
        <f>IFERROR(__xludf.DUMMYFUNCTION("""COMPUTED_VALUE"""),0.21347238450312034)</f>
        <v>0.2134723845</v>
      </c>
      <c r="AJ455" s="4"/>
      <c r="AK455" s="4"/>
      <c r="AL455" s="4">
        <f>IFERROR(__xludf.DUMMYFUNCTION("""COMPUTED_VALUE"""),-0.4703666538870266)</f>
        <v>-0.4703666539</v>
      </c>
      <c r="AM455" s="4"/>
      <c r="AN455" s="4"/>
      <c r="AO455" s="4">
        <f>IFERROR(__xludf.DUMMYFUNCTION("""COMPUTED_VALUE"""),-4.4876309167681825)</f>
        <v>-4.487630917</v>
      </c>
      <c r="AP455" s="4"/>
      <c r="AQ455" s="4"/>
      <c r="AR455" s="4">
        <f>IFERROR(__xludf.DUMMYFUNCTION("""COMPUTED_VALUE"""),1.8754856732475673)</f>
        <v>1.875485673</v>
      </c>
      <c r="AS455" s="4"/>
      <c r="AT455" s="4"/>
      <c r="AU455" s="4">
        <f>IFERROR(__xludf.DUMMYFUNCTION("""COMPUTED_VALUE"""),1.5585148903155073)</f>
        <v>1.55851489</v>
      </c>
      <c r="AV455" s="4"/>
      <c r="AW455" s="4"/>
      <c r="AX455" s="4">
        <f>IFERROR(__xludf.DUMMYFUNCTION("""COMPUTED_VALUE"""),7.7554383987955475)</f>
        <v>7.755438399</v>
      </c>
      <c r="AY455" s="4"/>
      <c r="AZ455" s="4"/>
      <c r="BA455" s="4">
        <f>IFERROR(__xludf.DUMMYFUNCTION("""COMPUTED_VALUE"""),1.4228878162439287)</f>
        <v>1.422887816</v>
      </c>
      <c r="BB455" s="4"/>
      <c r="BC455" s="4"/>
      <c r="BD455" s="4">
        <f>IFERROR(__xludf.DUMMYFUNCTION("""COMPUTED_VALUE"""),0.33235666975537015)</f>
        <v>0.3323566698</v>
      </c>
      <c r="BE455" s="4"/>
      <c r="BF455" s="4"/>
      <c r="BG455" s="4">
        <f>IFERROR(__xludf.DUMMYFUNCTION("""COMPUTED_VALUE"""),3.0911158265708423)</f>
        <v>3.091115827</v>
      </c>
      <c r="BH455" s="4"/>
      <c r="BI455" s="4"/>
      <c r="BJ455" s="4"/>
      <c r="BK455" s="4"/>
    </row>
    <row r="456">
      <c r="A456" s="4"/>
      <c r="B456" s="4"/>
      <c r="C456" s="4"/>
      <c r="D456" s="4">
        <f>IFERROR(__xludf.DUMMYFUNCTION("""COMPUTED_VALUE"""),-205.6983335968542)</f>
        <v>-205.6983336</v>
      </c>
      <c r="E456" s="23">
        <f>IFERROR(__xludf.DUMMYFUNCTION("""COMPUTED_VALUE"""),-0.47895175759839503)</f>
        <v>-0.4789517576</v>
      </c>
      <c r="F456" s="4"/>
      <c r="G456" s="4"/>
      <c r="H456" s="4">
        <f>IFERROR(__xludf.DUMMYFUNCTION("""COMPUTED_VALUE"""),4.553913116779597)</f>
        <v>4.553913117</v>
      </c>
      <c r="I456" s="4"/>
      <c r="J456" s="4"/>
      <c r="K456" s="4">
        <f>IFERROR(__xludf.DUMMYFUNCTION("""COMPUTED_VALUE"""),0.13255962880032257)</f>
        <v>0.1325596288</v>
      </c>
      <c r="L456" s="4"/>
      <c r="M456" s="4"/>
      <c r="N456" s="4">
        <f>IFERROR(__xludf.DUMMYFUNCTION("""COMPUTED_VALUE"""),0.7165411514276911)</f>
        <v>0.7165411514</v>
      </c>
      <c r="O456" s="4"/>
      <c r="P456" s="4"/>
      <c r="Q456" s="4">
        <f>IFERROR(__xludf.DUMMYFUNCTION("""COMPUTED_VALUE"""),-0.4528101082723879)</f>
        <v>-0.4528101083</v>
      </c>
      <c r="R456" s="4"/>
      <c r="S456" s="4"/>
      <c r="T456" s="4">
        <f>IFERROR(__xludf.DUMMYFUNCTION("""COMPUTED_VALUE"""),0.4485758154512496)</f>
        <v>0.4485758155</v>
      </c>
      <c r="U456" s="4"/>
      <c r="V456" s="4"/>
      <c r="W456" s="4">
        <f>IFERROR(__xludf.DUMMYFUNCTION("""COMPUTED_VALUE"""),-0.023276482598816983)</f>
        <v>-0.0232764826</v>
      </c>
      <c r="X456" s="4"/>
      <c r="Y456" s="4"/>
      <c r="Z456" s="4">
        <f>IFERROR(__xludf.DUMMYFUNCTION("""COMPUTED_VALUE"""),0.2750782429855576)</f>
        <v>0.275078243</v>
      </c>
      <c r="AA456" s="4"/>
      <c r="AB456" s="4"/>
      <c r="AC456" s="4">
        <f>IFERROR(__xludf.DUMMYFUNCTION("""COMPUTED_VALUE"""),-0.9268576711019136)</f>
        <v>-0.9268576711</v>
      </c>
      <c r="AD456" s="4"/>
      <c r="AE456" s="4"/>
      <c r="AF456" s="4">
        <f>IFERROR(__xludf.DUMMYFUNCTION("""COMPUTED_VALUE"""),8.744164912074439)</f>
        <v>8.744164912</v>
      </c>
      <c r="AG456" s="4"/>
      <c r="AH456" s="4"/>
      <c r="AI456" s="4">
        <f>IFERROR(__xludf.DUMMYFUNCTION("""COMPUTED_VALUE"""),-2.3499810328985404)</f>
        <v>-2.349981033</v>
      </c>
      <c r="AJ456" s="4"/>
      <c r="AK456" s="4"/>
      <c r="AL456" s="4">
        <f>IFERROR(__xludf.DUMMYFUNCTION("""COMPUTED_VALUE"""),-0.12862354164190037)</f>
        <v>-0.1286235416</v>
      </c>
      <c r="AM456" s="4"/>
      <c r="AN456" s="4"/>
      <c r="AO456" s="4">
        <f>IFERROR(__xludf.DUMMYFUNCTION("""COMPUTED_VALUE"""),-0.009804326082416992)</f>
        <v>-0.009804326082</v>
      </c>
      <c r="AP456" s="4"/>
      <c r="AQ456" s="4"/>
      <c r="AR456" s="4">
        <f>IFERROR(__xludf.DUMMYFUNCTION("""COMPUTED_VALUE"""),-4.0204593659527745)</f>
        <v>-4.020459366</v>
      </c>
      <c r="AS456" s="4"/>
      <c r="AT456" s="4"/>
      <c r="AU456" s="4">
        <f>IFERROR(__xludf.DUMMYFUNCTION("""COMPUTED_VALUE"""),2.355839093646125)</f>
        <v>2.355839094</v>
      </c>
      <c r="AV456" s="4"/>
      <c r="AW456" s="4"/>
      <c r="AX456" s="4">
        <f>IFERROR(__xludf.DUMMYFUNCTION("""COMPUTED_VALUE"""),2.501742380999076)</f>
        <v>2.501742381</v>
      </c>
      <c r="AY456" s="4"/>
      <c r="AZ456" s="4"/>
      <c r="BA456" s="4">
        <f>IFERROR(__xludf.DUMMYFUNCTION("""COMPUTED_VALUE"""),-1.3528247317582327)</f>
        <v>-1.352824732</v>
      </c>
      <c r="BB456" s="4"/>
      <c r="BC456" s="4"/>
      <c r="BD456" s="4">
        <f>IFERROR(__xludf.DUMMYFUNCTION("""COMPUTED_VALUE"""),3.131306284404559)</f>
        <v>3.131306284</v>
      </c>
      <c r="BE456" s="4"/>
      <c r="BF456" s="4"/>
      <c r="BG456" s="4">
        <f>IFERROR(__xludf.DUMMYFUNCTION("""COMPUTED_VALUE"""),0.1132491971823697)</f>
        <v>0.1132491972</v>
      </c>
      <c r="BH456" s="4"/>
      <c r="BI456" s="4"/>
      <c r="BJ456" s="4"/>
      <c r="BK456" s="4"/>
    </row>
    <row r="457">
      <c r="A457" s="4"/>
      <c r="B457" s="4"/>
      <c r="C457" s="4"/>
      <c r="D457" s="4">
        <f>IFERROR(__xludf.DUMMYFUNCTION("""COMPUTED_VALUE"""),-206.61662972965433)</f>
        <v>-206.6166297</v>
      </c>
      <c r="E457" s="23">
        <f>IFERROR(__xludf.DUMMYFUNCTION("""COMPUTED_VALUE"""),-8.803143338862185)</f>
        <v>-8.803143339</v>
      </c>
      <c r="F457" s="4"/>
      <c r="G457" s="4"/>
      <c r="H457" s="4">
        <f>IFERROR(__xludf.DUMMYFUNCTION("""COMPUTED_VALUE"""),5.994390847959323)</f>
        <v>5.994390848</v>
      </c>
      <c r="I457" s="4"/>
      <c r="J457" s="4"/>
      <c r="K457" s="4">
        <f>IFERROR(__xludf.DUMMYFUNCTION("""COMPUTED_VALUE"""),-3.5199135171180274)</f>
        <v>-3.519913517</v>
      </c>
      <c r="L457" s="4"/>
      <c r="M457" s="4"/>
      <c r="N457" s="4">
        <f>IFERROR(__xludf.DUMMYFUNCTION("""COMPUTED_VALUE"""),0.8019024947971616)</f>
        <v>0.8019024948</v>
      </c>
      <c r="O457" s="4"/>
      <c r="P457" s="4"/>
      <c r="Q457" s="4">
        <f>IFERROR(__xludf.DUMMYFUNCTION("""COMPUTED_VALUE"""),3.498849701419317)</f>
        <v>3.498849701</v>
      </c>
      <c r="R457" s="4"/>
      <c r="S457" s="4"/>
      <c r="T457" s="4">
        <f>IFERROR(__xludf.DUMMYFUNCTION("""COMPUTED_VALUE"""),2.134285123553866)</f>
        <v>2.134285124</v>
      </c>
      <c r="U457" s="4"/>
      <c r="V457" s="4"/>
      <c r="W457" s="4">
        <f>IFERROR(__xludf.DUMMYFUNCTION("""COMPUTED_VALUE"""),-3.257569317064963)</f>
        <v>-3.257569317</v>
      </c>
      <c r="X457" s="4"/>
      <c r="Y457" s="4"/>
      <c r="Z457" s="4">
        <f>IFERROR(__xludf.DUMMYFUNCTION("""COMPUTED_VALUE"""),3.6846340820198975)</f>
        <v>3.684634082</v>
      </c>
      <c r="AA457" s="4"/>
      <c r="AB457" s="4"/>
      <c r="AC457" s="4">
        <f>IFERROR(__xludf.DUMMYFUNCTION("""COMPUTED_VALUE"""),0.5674905409759958)</f>
        <v>0.567490541</v>
      </c>
      <c r="AD457" s="4"/>
      <c r="AE457" s="4"/>
      <c r="AF457" s="4">
        <f>IFERROR(__xludf.DUMMYFUNCTION("""COMPUTED_VALUE"""),2.702750098584886)</f>
        <v>2.702750099</v>
      </c>
      <c r="AG457" s="4"/>
      <c r="AH457" s="4"/>
      <c r="AI457" s="4">
        <f>IFERROR(__xludf.DUMMYFUNCTION("""COMPUTED_VALUE"""),-1.1359903935288571)</f>
        <v>-1.135990394</v>
      </c>
      <c r="AJ457" s="4"/>
      <c r="AK457" s="4"/>
      <c r="AL457" s="4">
        <f>IFERROR(__xludf.DUMMYFUNCTION("""COMPUTED_VALUE"""),0.6532764810023082)</f>
        <v>0.653276481</v>
      </c>
      <c r="AM457" s="4"/>
      <c r="AN457" s="4"/>
      <c r="AO457" s="4">
        <f>IFERROR(__xludf.DUMMYFUNCTION("""COMPUTED_VALUE"""),-4.585826001728151)</f>
        <v>-4.585826002</v>
      </c>
      <c r="AP457" s="4"/>
      <c r="AQ457" s="4"/>
      <c r="AR457" s="4">
        <f>IFERROR(__xludf.DUMMYFUNCTION("""COMPUTED_VALUE"""),4.422770700932745)</f>
        <v>4.422770701</v>
      </c>
      <c r="AS457" s="4"/>
      <c r="AT457" s="4"/>
      <c r="AU457" s="4">
        <f>IFERROR(__xludf.DUMMYFUNCTION("""COMPUTED_VALUE"""),-1.4729086765833017)</f>
        <v>-1.472908677</v>
      </c>
      <c r="AV457" s="4"/>
      <c r="AW457" s="4"/>
      <c r="AX457" s="4">
        <f>IFERROR(__xludf.DUMMYFUNCTION("""COMPUTED_VALUE"""),-0.27920321605296294)</f>
        <v>-0.2792032161</v>
      </c>
      <c r="AY457" s="4"/>
      <c r="AZ457" s="4"/>
      <c r="BA457" s="4">
        <f>IFERROR(__xludf.DUMMYFUNCTION("""COMPUTED_VALUE"""),-3.736723814582831)</f>
        <v>-3.736723815</v>
      </c>
      <c r="BB457" s="4"/>
      <c r="BC457" s="4"/>
      <c r="BD457" s="4">
        <f>IFERROR(__xludf.DUMMYFUNCTION("""COMPUTED_VALUE"""),-0.631159356719877)</f>
        <v>-0.6311593567</v>
      </c>
      <c r="BE457" s="4"/>
      <c r="BF457" s="4"/>
      <c r="BG457" s="4">
        <f>IFERROR(__xludf.DUMMYFUNCTION("""COMPUTED_VALUE"""),2.2327427916405895)</f>
        <v>2.232742792</v>
      </c>
      <c r="BH457" s="4"/>
      <c r="BI457" s="4"/>
      <c r="BJ457" s="4"/>
      <c r="BK457" s="4"/>
    </row>
    <row r="458">
      <c r="A458" s="4"/>
      <c r="B458" s="4"/>
      <c r="C458" s="4"/>
      <c r="D458" s="4">
        <f>IFERROR(__xludf.DUMMYFUNCTION("""COMPUTED_VALUE"""),-207.53492586245437)</f>
        <v>-207.5349259</v>
      </c>
      <c r="E458" s="23">
        <f>IFERROR(__xludf.DUMMYFUNCTION("""COMPUTED_VALUE"""),-5.432015018975676)</f>
        <v>-5.432015019</v>
      </c>
      <c r="F458" s="4"/>
      <c r="G458" s="4"/>
      <c r="H458" s="4">
        <f>IFERROR(__xludf.DUMMYFUNCTION("""COMPUTED_VALUE"""),0.10837947432349893)</f>
        <v>0.1083794743</v>
      </c>
      <c r="I458" s="4"/>
      <c r="J458" s="4"/>
      <c r="K458" s="4">
        <f>IFERROR(__xludf.DUMMYFUNCTION("""COMPUTED_VALUE"""),-3.361925014981125)</f>
        <v>-3.361925015</v>
      </c>
      <c r="L458" s="4"/>
      <c r="M458" s="4"/>
      <c r="N458" s="4">
        <f>IFERROR(__xludf.DUMMYFUNCTION("""COMPUTED_VALUE"""),4.306230311590866)</f>
        <v>4.306230312</v>
      </c>
      <c r="O458" s="4"/>
      <c r="P458" s="4"/>
      <c r="Q458" s="4">
        <f>IFERROR(__xludf.DUMMYFUNCTION("""COMPUTED_VALUE"""),-3.2418770436909767)</f>
        <v>-3.241877044</v>
      </c>
      <c r="R458" s="4"/>
      <c r="S458" s="4"/>
      <c r="T458" s="4">
        <f>IFERROR(__xludf.DUMMYFUNCTION("""COMPUTED_VALUE"""),2.074704176250691)</f>
        <v>2.074704176</v>
      </c>
      <c r="U458" s="4"/>
      <c r="V458" s="4"/>
      <c r="W458" s="4">
        <f>IFERROR(__xludf.DUMMYFUNCTION("""COMPUTED_VALUE"""),-2.891039753799589)</f>
        <v>-2.891039754</v>
      </c>
      <c r="X458" s="4"/>
      <c r="Y458" s="4"/>
      <c r="Z458" s="4">
        <f>IFERROR(__xludf.DUMMYFUNCTION("""COMPUTED_VALUE"""),2.964631169464724)</f>
        <v>2.964631169</v>
      </c>
      <c r="AA458" s="4"/>
      <c r="AB458" s="4"/>
      <c r="AC458" s="4">
        <f>IFERROR(__xludf.DUMMYFUNCTION("""COMPUTED_VALUE"""),-3.1103050842269226)</f>
        <v>-3.110305084</v>
      </c>
      <c r="AD458" s="4"/>
      <c r="AE458" s="4"/>
      <c r="AF458" s="4">
        <f>IFERROR(__xludf.DUMMYFUNCTION("""COMPUTED_VALUE"""),0.7366021442123838)</f>
        <v>0.7366021442</v>
      </c>
      <c r="AG458" s="4"/>
      <c r="AH458" s="4"/>
      <c r="AI458" s="4">
        <f>IFERROR(__xludf.DUMMYFUNCTION("""COMPUTED_VALUE"""),0.21288121529863702)</f>
        <v>0.2128812153</v>
      </c>
      <c r="AJ458" s="4"/>
      <c r="AK458" s="4"/>
      <c r="AL458" s="4">
        <f>IFERROR(__xludf.DUMMYFUNCTION("""COMPUTED_VALUE"""),0.3082793753451938)</f>
        <v>0.3082793753</v>
      </c>
      <c r="AM458" s="4"/>
      <c r="AN458" s="4"/>
      <c r="AO458" s="4">
        <f>IFERROR(__xludf.DUMMYFUNCTION("""COMPUTED_VALUE"""),0.3405494771164399)</f>
        <v>0.3405494771</v>
      </c>
      <c r="AP458" s="4"/>
      <c r="AQ458" s="4"/>
      <c r="AR458" s="4">
        <f>IFERROR(__xludf.DUMMYFUNCTION("""COMPUTED_VALUE"""),1.008016730507336)</f>
        <v>1.008016731</v>
      </c>
      <c r="AS458" s="4"/>
      <c r="AT458" s="4"/>
      <c r="AU458" s="4">
        <f>IFERROR(__xludf.DUMMYFUNCTION("""COMPUTED_VALUE"""),3.3980232212628607)</f>
        <v>3.398023221</v>
      </c>
      <c r="AV458" s="4"/>
      <c r="AW458" s="4"/>
      <c r="AX458" s="4">
        <f>IFERROR(__xludf.DUMMYFUNCTION("""COMPUTED_VALUE"""),1.2346474833818206)</f>
        <v>1.234647483</v>
      </c>
      <c r="AY458" s="4"/>
      <c r="AZ458" s="4"/>
      <c r="BA458" s="4">
        <f>IFERROR(__xludf.DUMMYFUNCTION("""COMPUTED_VALUE"""),-3.360490595973772)</f>
        <v>-3.360490596</v>
      </c>
      <c r="BB458" s="4"/>
      <c r="BC458" s="4"/>
      <c r="BD458" s="4">
        <f>IFERROR(__xludf.DUMMYFUNCTION("""COMPUTED_VALUE"""),-0.9458607697436037)</f>
        <v>-0.9458607697</v>
      </c>
      <c r="BE458" s="4"/>
      <c r="BF458" s="4"/>
      <c r="BG458" s="4">
        <f>IFERROR(__xludf.DUMMYFUNCTION("""COMPUTED_VALUE"""),1.9248740415234806)</f>
        <v>1.924874042</v>
      </c>
      <c r="BH458" s="4"/>
      <c r="BI458" s="4"/>
      <c r="BJ458" s="4"/>
      <c r="BK458" s="4"/>
    </row>
    <row r="459">
      <c r="A459" s="4"/>
      <c r="B459" s="4"/>
      <c r="C459" s="4"/>
      <c r="D459" s="4">
        <f>IFERROR(__xludf.DUMMYFUNCTION("""COMPUTED_VALUE"""),-208.45322199308916)</f>
        <v>-208.453222</v>
      </c>
      <c r="E459" s="23">
        <f>IFERROR(__xludf.DUMMYFUNCTION("""COMPUTED_VALUE"""),4.106026174607962)</f>
        <v>4.106026175</v>
      </c>
      <c r="F459" s="4"/>
      <c r="G459" s="4"/>
      <c r="H459" s="4">
        <f>IFERROR(__xludf.DUMMYFUNCTION("""COMPUTED_VALUE"""),-3.1238230523191532)</f>
        <v>-3.123823052</v>
      </c>
      <c r="I459" s="4"/>
      <c r="J459" s="4"/>
      <c r="K459" s="4">
        <f>IFERROR(__xludf.DUMMYFUNCTION("""COMPUTED_VALUE"""),3.1122901231691458)</f>
        <v>3.112290123</v>
      </c>
      <c r="L459" s="4"/>
      <c r="M459" s="4"/>
      <c r="N459" s="4">
        <f>IFERROR(__xludf.DUMMYFUNCTION("""COMPUTED_VALUE"""),-1.9904524392176768)</f>
        <v>-1.990452439</v>
      </c>
      <c r="O459" s="4"/>
      <c r="P459" s="4"/>
      <c r="Q459" s="4">
        <f>IFERROR(__xludf.DUMMYFUNCTION("""COMPUTED_VALUE"""),0.5964504540961002)</f>
        <v>0.5964504541</v>
      </c>
      <c r="R459" s="4"/>
      <c r="S459" s="4"/>
      <c r="T459" s="4">
        <f>IFERROR(__xludf.DUMMYFUNCTION("""COMPUTED_VALUE"""),-1.723139913166051)</f>
        <v>-1.723139913</v>
      </c>
      <c r="U459" s="4"/>
      <c r="V459" s="4"/>
      <c r="W459" s="4">
        <f>IFERROR(__xludf.DUMMYFUNCTION("""COMPUTED_VALUE"""),8.61971092864195)</f>
        <v>8.619710929</v>
      </c>
      <c r="X459" s="4"/>
      <c r="Y459" s="4"/>
      <c r="Z459" s="4">
        <f>IFERROR(__xludf.DUMMYFUNCTION("""COMPUTED_VALUE"""),-0.052986750865272825)</f>
        <v>-0.05298675087</v>
      </c>
      <c r="AA459" s="4"/>
      <c r="AB459" s="4"/>
      <c r="AC459" s="4">
        <f>IFERROR(__xludf.DUMMYFUNCTION("""COMPUTED_VALUE"""),4.39081303640927)</f>
        <v>4.390813036</v>
      </c>
      <c r="AD459" s="4"/>
      <c r="AE459" s="4"/>
      <c r="AF459" s="4">
        <f>IFERROR(__xludf.DUMMYFUNCTION("""COMPUTED_VALUE"""),-3.6874293568370717)</f>
        <v>-3.687429357</v>
      </c>
      <c r="AG459" s="4"/>
      <c r="AH459" s="4"/>
      <c r="AI459" s="4">
        <f>IFERROR(__xludf.DUMMYFUNCTION("""COMPUTED_VALUE"""),-0.9521119918673548)</f>
        <v>-0.9521119919</v>
      </c>
      <c r="AJ459" s="4"/>
      <c r="AK459" s="4"/>
      <c r="AL459" s="4">
        <f>IFERROR(__xludf.DUMMYFUNCTION("""COMPUTED_VALUE"""),-2.1648986432805373)</f>
        <v>-2.164898643</v>
      </c>
      <c r="AM459" s="4"/>
      <c r="AN459" s="4"/>
      <c r="AO459" s="4">
        <f>IFERROR(__xludf.DUMMYFUNCTION("""COMPUTED_VALUE"""),-1.974768179930436)</f>
        <v>-1.97476818</v>
      </c>
      <c r="AP459" s="4"/>
      <c r="AQ459" s="4"/>
      <c r="AR459" s="4">
        <f>IFERROR(__xludf.DUMMYFUNCTION("""COMPUTED_VALUE"""),3.7533252017475434)</f>
        <v>3.753325202</v>
      </c>
      <c r="AS459" s="4"/>
      <c r="AT459" s="4"/>
      <c r="AU459" s="4">
        <f>IFERROR(__xludf.DUMMYFUNCTION("""COMPUTED_VALUE"""),1.8511777233628663)</f>
        <v>1.851177723</v>
      </c>
      <c r="AV459" s="4"/>
      <c r="AW459" s="4"/>
      <c r="AX459" s="4">
        <f>IFERROR(__xludf.DUMMYFUNCTION("""COMPUTED_VALUE"""),-4.730347628677066)</f>
        <v>-4.730347629</v>
      </c>
      <c r="AY459" s="4"/>
      <c r="AZ459" s="4"/>
      <c r="BA459" s="4">
        <f>IFERROR(__xludf.DUMMYFUNCTION("""COMPUTED_VALUE"""),2.9676352269459016)</f>
        <v>2.967635227</v>
      </c>
      <c r="BB459" s="4"/>
      <c r="BC459" s="4"/>
      <c r="BD459" s="4">
        <f>IFERROR(__xludf.DUMMYFUNCTION("""COMPUTED_VALUE"""),-3.336574141500421)</f>
        <v>-3.336574142</v>
      </c>
      <c r="BE459" s="4"/>
      <c r="BF459" s="4"/>
      <c r="BG459" s="4">
        <f>IFERROR(__xludf.DUMMYFUNCTION("""COMPUTED_VALUE"""),-8.904279576732335)</f>
        <v>-8.904279577</v>
      </c>
      <c r="BH459" s="4"/>
      <c r="BI459" s="4"/>
      <c r="BJ459" s="4"/>
      <c r="BK459" s="4"/>
    </row>
    <row r="460">
      <c r="A460" s="4"/>
      <c r="B460" s="4"/>
      <c r="C460" s="4"/>
      <c r="D460" s="4">
        <f>IFERROR(__xludf.DUMMYFUNCTION("""COMPUTED_VALUE"""),-209.37151812588922)</f>
        <v>-209.3715181</v>
      </c>
      <c r="E460" s="23">
        <f>IFERROR(__xludf.DUMMYFUNCTION("""COMPUTED_VALUE"""),1.1552031231197475)</f>
        <v>1.155203123</v>
      </c>
      <c r="F460" s="4"/>
      <c r="G460" s="4"/>
      <c r="H460" s="4">
        <f>IFERROR(__xludf.DUMMYFUNCTION("""COMPUTED_VALUE"""),3.9600265050018493)</f>
        <v>3.960026505</v>
      </c>
      <c r="I460" s="4"/>
      <c r="J460" s="4"/>
      <c r="K460" s="4">
        <f>IFERROR(__xludf.DUMMYFUNCTION("""COMPUTED_VALUE"""),6.770050109888018)</f>
        <v>6.77005011</v>
      </c>
      <c r="L460" s="4"/>
      <c r="M460" s="4"/>
      <c r="N460" s="4">
        <f>IFERROR(__xludf.DUMMYFUNCTION("""COMPUTED_VALUE"""),-5.217960869721537)</f>
        <v>-5.21796087</v>
      </c>
      <c r="O460" s="4"/>
      <c r="P460" s="4"/>
      <c r="Q460" s="4">
        <f>IFERROR(__xludf.DUMMYFUNCTION("""COMPUTED_VALUE"""),-0.9193753194535361)</f>
        <v>-0.9193753195</v>
      </c>
      <c r="R460" s="4"/>
      <c r="S460" s="4"/>
      <c r="T460" s="4">
        <f>IFERROR(__xludf.DUMMYFUNCTION("""COMPUTED_VALUE"""),-1.3265988851384236)</f>
        <v>-1.326598885</v>
      </c>
      <c r="U460" s="4"/>
      <c r="V460" s="4"/>
      <c r="W460" s="4">
        <f>IFERROR(__xludf.DUMMYFUNCTION("""COMPUTED_VALUE"""),-5.88610790913566)</f>
        <v>-5.886107909</v>
      </c>
      <c r="X460" s="4"/>
      <c r="Y460" s="4"/>
      <c r="Z460" s="4">
        <f>IFERROR(__xludf.DUMMYFUNCTION("""COMPUTED_VALUE"""),-4.7277766359218845)</f>
        <v>-4.727776636</v>
      </c>
      <c r="AA460" s="4"/>
      <c r="AB460" s="4"/>
      <c r="AC460" s="4">
        <f>IFERROR(__xludf.DUMMYFUNCTION("""COMPUTED_VALUE"""),-5.607042219699167)</f>
        <v>-5.60704222</v>
      </c>
      <c r="AD460" s="4"/>
      <c r="AE460" s="4"/>
      <c r="AF460" s="4">
        <f>IFERROR(__xludf.DUMMYFUNCTION("""COMPUTED_VALUE"""),-1.1337281572834854)</f>
        <v>-1.133728157</v>
      </c>
      <c r="AG460" s="4"/>
      <c r="AH460" s="4"/>
      <c r="AI460" s="4">
        <f>IFERROR(__xludf.DUMMYFUNCTION("""COMPUTED_VALUE"""),3.8505254316925743)</f>
        <v>3.850525432</v>
      </c>
      <c r="AJ460" s="4"/>
      <c r="AK460" s="4"/>
      <c r="AL460" s="4">
        <f>IFERROR(__xludf.DUMMYFUNCTION("""COMPUTED_VALUE"""),-0.2099918409642214)</f>
        <v>-0.209991841</v>
      </c>
      <c r="AM460" s="4"/>
      <c r="AN460" s="4"/>
      <c r="AO460" s="4">
        <f>IFERROR(__xludf.DUMMYFUNCTION("""COMPUTED_VALUE"""),1.2729653305137845)</f>
        <v>1.272965331</v>
      </c>
      <c r="AP460" s="4"/>
      <c r="AQ460" s="4"/>
      <c r="AR460" s="4">
        <f>IFERROR(__xludf.DUMMYFUNCTION("""COMPUTED_VALUE"""),-7.140398331358313)</f>
        <v>-7.140398331</v>
      </c>
      <c r="AS460" s="4"/>
      <c r="AT460" s="4"/>
      <c r="AU460" s="4">
        <f>IFERROR(__xludf.DUMMYFUNCTION("""COMPUTED_VALUE"""),1.8390786579983)</f>
        <v>1.839078658</v>
      </c>
      <c r="AV460" s="4"/>
      <c r="AW460" s="4"/>
      <c r="AX460" s="4">
        <f>IFERROR(__xludf.DUMMYFUNCTION("""COMPUTED_VALUE"""),-6.072386605710335)</f>
        <v>-6.072386606</v>
      </c>
      <c r="AY460" s="4"/>
      <c r="AZ460" s="4"/>
      <c r="BA460" s="4">
        <f>IFERROR(__xludf.DUMMYFUNCTION("""COMPUTED_VALUE"""),-0.19375037587502675)</f>
        <v>-0.1937503759</v>
      </c>
      <c r="BB460" s="4"/>
      <c r="BC460" s="4"/>
      <c r="BD460" s="4">
        <f>IFERROR(__xludf.DUMMYFUNCTION("""COMPUTED_VALUE"""),-4.530252204333294)</f>
        <v>-4.530252204</v>
      </c>
      <c r="BE460" s="4"/>
      <c r="BF460" s="4"/>
      <c r="BG460" s="4">
        <f>IFERROR(__xludf.DUMMYFUNCTION("""COMPUTED_VALUE"""),-2.2103652145146384)</f>
        <v>-2.210365215</v>
      </c>
      <c r="BH460" s="4"/>
      <c r="BI460" s="4"/>
      <c r="BJ460" s="4"/>
      <c r="BK460" s="4"/>
    </row>
    <row r="461">
      <c r="A461" s="4"/>
      <c r="B461" s="4"/>
      <c r="C461" s="4"/>
      <c r="D461" s="4">
        <f>IFERROR(__xludf.DUMMYFUNCTION("""COMPUTED_VALUE"""),-210.28981425863898)</f>
        <v>-210.2898143</v>
      </c>
      <c r="E461" s="23">
        <f>IFERROR(__xludf.DUMMYFUNCTION("""COMPUTED_VALUE"""),5.291451257502558)</f>
        <v>5.291451258</v>
      </c>
      <c r="F461" s="4"/>
      <c r="G461" s="4"/>
      <c r="H461" s="4">
        <f>IFERROR(__xludf.DUMMYFUNCTION("""COMPUTED_VALUE"""),4.208012003166118)</f>
        <v>4.208012003</v>
      </c>
      <c r="I461" s="4"/>
      <c r="J461" s="4"/>
      <c r="K461" s="4">
        <f>IFERROR(__xludf.DUMMYFUNCTION("""COMPUTED_VALUE"""),0.10188802237871641)</f>
        <v>0.1018880224</v>
      </c>
      <c r="L461" s="4"/>
      <c r="M461" s="4"/>
      <c r="N461" s="4">
        <f>IFERROR(__xludf.DUMMYFUNCTION("""COMPUTED_VALUE"""),-1.6365212782968115)</f>
        <v>-1.636521278</v>
      </c>
      <c r="O461" s="4"/>
      <c r="P461" s="4"/>
      <c r="Q461" s="4">
        <f>IFERROR(__xludf.DUMMYFUNCTION("""COMPUTED_VALUE"""),0.8256167242075776)</f>
        <v>0.8256167242</v>
      </c>
      <c r="R461" s="4"/>
      <c r="S461" s="4"/>
      <c r="T461" s="4">
        <f>IFERROR(__xludf.DUMMYFUNCTION("""COMPUTED_VALUE"""),2.0317996182605498)</f>
        <v>2.031799618</v>
      </c>
      <c r="U461" s="4"/>
      <c r="V461" s="4"/>
      <c r="W461" s="4">
        <f>IFERROR(__xludf.DUMMYFUNCTION("""COMPUTED_VALUE"""),3.340623653173509)</f>
        <v>3.340623653</v>
      </c>
      <c r="X461" s="4"/>
      <c r="Y461" s="4"/>
      <c r="Z461" s="4">
        <f>IFERROR(__xludf.DUMMYFUNCTION("""COMPUTED_VALUE"""),-5.047119409315314)</f>
        <v>-5.047119409</v>
      </c>
      <c r="AA461" s="4"/>
      <c r="AB461" s="4"/>
      <c r="AC461" s="4">
        <f>IFERROR(__xludf.DUMMYFUNCTION("""COMPUTED_VALUE"""),-6.83248537879507)</f>
        <v>-6.832485379</v>
      </c>
      <c r="AD461" s="4"/>
      <c r="AE461" s="4"/>
      <c r="AF461" s="4">
        <f>IFERROR(__xludf.DUMMYFUNCTION("""COMPUTED_VALUE"""),-0.3934486720109476)</f>
        <v>-0.393448672</v>
      </c>
      <c r="AG461" s="4"/>
      <c r="AH461" s="4"/>
      <c r="AI461" s="4">
        <f>IFERROR(__xludf.DUMMYFUNCTION("""COMPUTED_VALUE"""),0.8037012144039863)</f>
        <v>0.8037012144</v>
      </c>
      <c r="AJ461" s="4"/>
      <c r="AK461" s="4"/>
      <c r="AL461" s="4">
        <f>IFERROR(__xludf.DUMMYFUNCTION("""COMPUTED_VALUE"""),1.1581240599765579)</f>
        <v>1.15812406</v>
      </c>
      <c r="AM461" s="4"/>
      <c r="AN461" s="4"/>
      <c r="AO461" s="4">
        <f>IFERROR(__xludf.DUMMYFUNCTION("""COMPUTED_VALUE"""),-0.5824135016894729)</f>
        <v>-0.5824135017</v>
      </c>
      <c r="AP461" s="4"/>
      <c r="AQ461" s="4"/>
      <c r="AR461" s="4">
        <f>IFERROR(__xludf.DUMMYFUNCTION("""COMPUTED_VALUE"""),-1.2962710347997586)</f>
        <v>-1.296271035</v>
      </c>
      <c r="AS461" s="4"/>
      <c r="AT461" s="4"/>
      <c r="AU461" s="4">
        <f>IFERROR(__xludf.DUMMYFUNCTION("""COMPUTED_VALUE"""),2.494669883779693)</f>
        <v>2.494669884</v>
      </c>
      <c r="AV461" s="4"/>
      <c r="AW461" s="4"/>
      <c r="AX461" s="4">
        <f>IFERROR(__xludf.DUMMYFUNCTION("""COMPUTED_VALUE"""),-2.574849580279249)</f>
        <v>-2.57484958</v>
      </c>
      <c r="AY461" s="4"/>
      <c r="AZ461" s="4"/>
      <c r="BA461" s="4">
        <f>IFERROR(__xludf.DUMMYFUNCTION("""COMPUTED_VALUE"""),0.08645886613595621)</f>
        <v>0.08645886614</v>
      </c>
      <c r="BB461" s="4"/>
      <c r="BC461" s="4"/>
      <c r="BD461" s="4">
        <f>IFERROR(__xludf.DUMMYFUNCTION("""COMPUTED_VALUE"""),0.3541280868038257)</f>
        <v>0.3541280868</v>
      </c>
      <c r="BE461" s="4"/>
      <c r="BF461" s="4"/>
      <c r="BG461" s="4">
        <f>IFERROR(__xludf.DUMMYFUNCTION("""COMPUTED_VALUE"""),-7.559311018806682)</f>
        <v>-7.559311019</v>
      </c>
      <c r="BH461" s="4"/>
      <c r="BI461" s="4"/>
      <c r="BJ461" s="4"/>
      <c r="BK461" s="4"/>
    </row>
    <row r="462">
      <c r="A462" s="4"/>
      <c r="B462" s="4"/>
      <c r="C462" s="4"/>
      <c r="D462" s="4">
        <f>IFERROR(__xludf.DUMMYFUNCTION("""COMPUTED_VALUE"""),-211.20811039143905)</f>
        <v>-211.2081104</v>
      </c>
      <c r="E462" s="23">
        <f>IFERROR(__xludf.DUMMYFUNCTION("""COMPUTED_VALUE"""),0.33346390970001494)</f>
        <v>0.3334639097</v>
      </c>
      <c r="F462" s="4"/>
      <c r="G462" s="4"/>
      <c r="H462" s="4">
        <f>IFERROR(__xludf.DUMMYFUNCTION("""COMPUTED_VALUE"""),3.1139302480666515)</f>
        <v>3.113930248</v>
      </c>
      <c r="I462" s="4"/>
      <c r="J462" s="4"/>
      <c r="K462" s="4">
        <f>IFERROR(__xludf.DUMMYFUNCTION("""COMPUTED_VALUE"""),-0.7074559137831784)</f>
        <v>-0.7074559138</v>
      </c>
      <c r="L462" s="4"/>
      <c r="M462" s="4"/>
      <c r="N462" s="4">
        <f>IFERROR(__xludf.DUMMYFUNCTION("""COMPUTED_VALUE"""),-2.8850233089482344)</f>
        <v>-2.885023309</v>
      </c>
      <c r="O462" s="4"/>
      <c r="P462" s="4"/>
      <c r="Q462" s="4">
        <f>IFERROR(__xludf.DUMMYFUNCTION("""COMPUTED_VALUE"""),-0.7333933317588617)</f>
        <v>-0.7333933318</v>
      </c>
      <c r="R462" s="4"/>
      <c r="S462" s="4"/>
      <c r="T462" s="4">
        <f>IFERROR(__xludf.DUMMYFUNCTION("""COMPUTED_VALUE"""),7.483589657378559)</f>
        <v>7.483589657</v>
      </c>
      <c r="U462" s="4"/>
      <c r="V462" s="4"/>
      <c r="W462" s="4">
        <f>IFERROR(__xludf.DUMMYFUNCTION("""COMPUTED_VALUE"""),-2.3859346052247474)</f>
        <v>-2.385934605</v>
      </c>
      <c r="X462" s="4"/>
      <c r="Y462" s="4"/>
      <c r="Z462" s="4">
        <f>IFERROR(__xludf.DUMMYFUNCTION("""COMPUTED_VALUE"""),2.6580061037788596)</f>
        <v>2.658006104</v>
      </c>
      <c r="AA462" s="4"/>
      <c r="AB462" s="4"/>
      <c r="AC462" s="4">
        <f>IFERROR(__xludf.DUMMYFUNCTION("""COMPUTED_VALUE"""),2.920423551407282)</f>
        <v>2.920423551</v>
      </c>
      <c r="AD462" s="4"/>
      <c r="AE462" s="4"/>
      <c r="AF462" s="4">
        <f>IFERROR(__xludf.DUMMYFUNCTION("""COMPUTED_VALUE"""),-4.253679211410713)</f>
        <v>-4.253679211</v>
      </c>
      <c r="AG462" s="4"/>
      <c r="AH462" s="4"/>
      <c r="AI462" s="4">
        <f>IFERROR(__xludf.DUMMYFUNCTION("""COMPUTED_VALUE"""),-2.0528230942297228)</f>
        <v>-2.052823094</v>
      </c>
      <c r="AJ462" s="4"/>
      <c r="AK462" s="4"/>
      <c r="AL462" s="4">
        <f>IFERROR(__xludf.DUMMYFUNCTION("""COMPUTED_VALUE"""),-0.48100675938337645)</f>
        <v>-0.4810067594</v>
      </c>
      <c r="AM462" s="4"/>
      <c r="AN462" s="4"/>
      <c r="AO462" s="4">
        <f>IFERROR(__xludf.DUMMYFUNCTION("""COMPUTED_VALUE"""),-0.7210313678825173)</f>
        <v>-0.7210313679</v>
      </c>
      <c r="AP462" s="4"/>
      <c r="AQ462" s="4"/>
      <c r="AR462" s="4">
        <f>IFERROR(__xludf.DUMMYFUNCTION("""COMPUTED_VALUE"""),-2.904478635947555)</f>
        <v>-2.904478636</v>
      </c>
      <c r="AS462" s="4"/>
      <c r="AT462" s="4"/>
      <c r="AU462" s="4">
        <f>IFERROR(__xludf.DUMMYFUNCTION("""COMPUTED_VALUE"""),1.1513179079995552)</f>
        <v>1.151317908</v>
      </c>
      <c r="AV462" s="4"/>
      <c r="AW462" s="4"/>
      <c r="AX462" s="4">
        <f>IFERROR(__xludf.DUMMYFUNCTION("""COMPUTED_VALUE"""),0.9076390459178469)</f>
        <v>0.9076390459</v>
      </c>
      <c r="AY462" s="4"/>
      <c r="AZ462" s="4"/>
      <c r="BA462" s="4">
        <f>IFERROR(__xludf.DUMMYFUNCTION("""COMPUTED_VALUE"""),0.13585029469061283)</f>
        <v>0.1358502947</v>
      </c>
      <c r="BB462" s="4"/>
      <c r="BC462" s="4"/>
      <c r="BD462" s="4">
        <f>IFERROR(__xludf.DUMMYFUNCTION("""COMPUTED_VALUE"""),0.09362885023813305)</f>
        <v>0.09362885024</v>
      </c>
      <c r="BE462" s="4"/>
      <c r="BF462" s="4"/>
      <c r="BG462" s="4">
        <f>IFERROR(__xludf.DUMMYFUNCTION("""COMPUTED_VALUE"""),-0.6822937198851946)</f>
        <v>-0.6822937199</v>
      </c>
      <c r="BH462" s="4"/>
      <c r="BI462" s="4"/>
      <c r="BJ462" s="4"/>
      <c r="BK462" s="4"/>
    </row>
    <row r="463">
      <c r="A463" s="4"/>
      <c r="B463" s="4"/>
      <c r="C463" s="4"/>
      <c r="D463" s="4">
        <f>IFERROR(__xludf.DUMMYFUNCTION("""COMPUTED_VALUE"""),-212.0)</f>
        <v>-212</v>
      </c>
      <c r="E463" s="23">
        <f>IFERROR(__xludf.DUMMYFUNCTION("""COMPUTED_VALUE"""),-1.979589996507741)</f>
        <v>-1.979589997</v>
      </c>
      <c r="F463" s="4"/>
      <c r="G463" s="4"/>
      <c r="H463" s="4">
        <f>IFERROR(__xludf.DUMMYFUNCTION("""COMPUTED_VALUE"""),0.5793528040119327)</f>
        <v>0.579352804</v>
      </c>
      <c r="I463" s="4"/>
      <c r="J463" s="4"/>
      <c r="K463" s="4">
        <f>IFERROR(__xludf.DUMMYFUNCTION("""COMPUTED_VALUE"""),-4.027437873767781)</f>
        <v>-4.027437874</v>
      </c>
      <c r="L463" s="4"/>
      <c r="M463" s="4"/>
      <c r="N463" s="4">
        <f>IFERROR(__xludf.DUMMYFUNCTION("""COMPUTED_VALUE"""),-3.48058941174628)</f>
        <v>-3.480589412</v>
      </c>
      <c r="O463" s="4"/>
      <c r="P463" s="4"/>
      <c r="Q463" s="4">
        <f>IFERROR(__xludf.DUMMYFUNCTION("""COMPUTED_VALUE"""),1.5323206509923466)</f>
        <v>1.532320651</v>
      </c>
      <c r="R463" s="4"/>
      <c r="S463" s="4"/>
      <c r="T463" s="4">
        <f>IFERROR(__xludf.DUMMYFUNCTION("""COMPUTED_VALUE"""),-3.256880123524013)</f>
        <v>-3.256880124</v>
      </c>
      <c r="U463" s="4"/>
      <c r="V463" s="4"/>
      <c r="W463" s="4">
        <f>IFERROR(__xludf.DUMMYFUNCTION("""COMPUTED_VALUE"""),0.9465655450521808)</f>
        <v>0.9465655451</v>
      </c>
      <c r="X463" s="4"/>
      <c r="Y463" s="4"/>
      <c r="Z463" s="4">
        <f>IFERROR(__xludf.DUMMYFUNCTION("""COMPUTED_VALUE"""),3.25846735619308)</f>
        <v>3.258467356</v>
      </c>
      <c r="AA463" s="4"/>
      <c r="AB463" s="4"/>
      <c r="AC463" s="4">
        <f>IFERROR(__xludf.DUMMYFUNCTION("""COMPUTED_VALUE"""),0.7167213038025579)</f>
        <v>0.7167213038</v>
      </c>
      <c r="AD463" s="4"/>
      <c r="AE463" s="4"/>
      <c r="AF463" s="4">
        <f>IFERROR(__xludf.DUMMYFUNCTION("""COMPUTED_VALUE"""),1.5399412917947188)</f>
        <v>1.539941292</v>
      </c>
      <c r="AG463" s="4"/>
      <c r="AH463" s="4"/>
      <c r="AI463" s="4">
        <f>IFERROR(__xludf.DUMMYFUNCTION("""COMPUTED_VALUE"""),2.2237123810072603)</f>
        <v>2.223712381</v>
      </c>
      <c r="AJ463" s="4"/>
      <c r="AK463" s="4"/>
      <c r="AL463" s="4">
        <f>IFERROR(__xludf.DUMMYFUNCTION("""COMPUTED_VALUE"""),-3.916514636772206)</f>
        <v>-3.916514637</v>
      </c>
      <c r="AM463" s="4"/>
      <c r="AN463" s="4"/>
      <c r="AO463" s="4">
        <f>IFERROR(__xludf.DUMMYFUNCTION("""COMPUTED_VALUE"""),-0.7712050720136858)</f>
        <v>-0.771205072</v>
      </c>
      <c r="AP463" s="4"/>
      <c r="AQ463" s="4"/>
      <c r="AR463" s="4">
        <f>IFERROR(__xludf.DUMMYFUNCTION("""COMPUTED_VALUE"""),6.1432836644671625)</f>
        <v>6.143283664</v>
      </c>
      <c r="AS463" s="4"/>
      <c r="AT463" s="4"/>
      <c r="AU463" s="4">
        <f>IFERROR(__xludf.DUMMYFUNCTION("""COMPUTED_VALUE"""),-2.5816097945003094)</f>
        <v>-2.581609795</v>
      </c>
      <c r="AV463" s="4"/>
      <c r="AW463" s="4"/>
      <c r="AX463" s="4">
        <f>IFERROR(__xludf.DUMMYFUNCTION("""COMPUTED_VALUE"""),1.0961503840675846)</f>
        <v>1.096150384</v>
      </c>
      <c r="AY463" s="4"/>
      <c r="AZ463" s="4"/>
      <c r="BA463" s="4">
        <f>IFERROR(__xludf.DUMMYFUNCTION("""COMPUTED_VALUE"""),-2.5463346424030533)</f>
        <v>-2.546334642</v>
      </c>
      <c r="BB463" s="4"/>
      <c r="BC463" s="4"/>
      <c r="BD463" s="4">
        <f>IFERROR(__xludf.DUMMYFUNCTION("""COMPUTED_VALUE"""),-0.2898341574590404)</f>
        <v>-0.2898341575</v>
      </c>
      <c r="BE463" s="4"/>
      <c r="BF463" s="4"/>
      <c r="BG463" s="4">
        <f>IFERROR(__xludf.DUMMYFUNCTION("""COMPUTED_VALUE"""),-3.057765194165029)</f>
        <v>-3.057765194</v>
      </c>
      <c r="BH463" s="4"/>
      <c r="BI463" s="4"/>
      <c r="BJ463" s="4"/>
      <c r="BK463" s="4"/>
    </row>
    <row r="464">
      <c r="A464" s="4"/>
      <c r="B464" s="4"/>
      <c r="C464" s="4"/>
      <c r="D464" s="4"/>
      <c r="E464" s="23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</row>
    <row r="465">
      <c r="A465" s="4"/>
      <c r="B465" s="4"/>
      <c r="C465" s="4"/>
      <c r="D465" s="4"/>
      <c r="E465" s="23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</row>
    <row r="466">
      <c r="A466" s="4"/>
      <c r="B466" s="4"/>
      <c r="C466" s="4"/>
      <c r="D466" s="4"/>
      <c r="E466" s="23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8" t="s">
        <v>43</v>
      </c>
      <c r="B1" s="38">
        <v>1.0</v>
      </c>
      <c r="C1" s="39">
        <v>2.0</v>
      </c>
      <c r="D1" s="11">
        <v>3.0</v>
      </c>
      <c r="E1" s="11">
        <v>4.0</v>
      </c>
      <c r="F1" s="11">
        <v>5.0</v>
      </c>
      <c r="G1" s="11">
        <v>6.0</v>
      </c>
      <c r="H1" s="11">
        <v>7.0</v>
      </c>
      <c r="I1" s="11">
        <v>8.0</v>
      </c>
      <c r="J1" s="11">
        <v>9.0</v>
      </c>
      <c r="K1" s="11">
        <v>10.0</v>
      </c>
      <c r="L1" s="11">
        <v>11.0</v>
      </c>
      <c r="M1" s="11">
        <v>12.0</v>
      </c>
      <c r="N1" s="11">
        <v>13.0</v>
      </c>
      <c r="O1" s="11">
        <v>14.0</v>
      </c>
      <c r="P1" s="11">
        <v>15.0</v>
      </c>
      <c r="Q1" s="11">
        <v>16.0</v>
      </c>
      <c r="R1" s="11">
        <v>17.0</v>
      </c>
      <c r="S1" s="11">
        <v>18.0</v>
      </c>
      <c r="T1" s="11">
        <v>19.0</v>
      </c>
    </row>
    <row r="2">
      <c r="A2" s="40" t="s">
        <v>31</v>
      </c>
      <c r="B2" s="41">
        <v>5.823531902443549E21</v>
      </c>
      <c r="C2" s="41">
        <v>6.664197975104297E21</v>
      </c>
      <c r="D2" s="41">
        <v>7.693157345169835E21</v>
      </c>
      <c r="E2" s="41">
        <v>7.970168203194483E21</v>
      </c>
      <c r="F2" s="41">
        <v>9.50268794316544E21</v>
      </c>
      <c r="G2" s="41">
        <v>1.0129848275147027E22</v>
      </c>
      <c r="H2" s="41">
        <v>1.075791305561486E22</v>
      </c>
      <c r="I2" s="41">
        <v>1.7129488091316813E22</v>
      </c>
      <c r="J2" s="41">
        <v>2.4010053349708917E22</v>
      </c>
      <c r="K2" s="41">
        <v>2.6356328748024538E22</v>
      </c>
      <c r="L2" s="41">
        <v>2.8307073903551425E22</v>
      </c>
      <c r="M2" s="41">
        <v>2.9240409434266375E22</v>
      </c>
      <c r="N2" s="41">
        <v>2.643756702650231E22</v>
      </c>
      <c r="O2" s="41">
        <v>2.463199674622577E22</v>
      </c>
      <c r="P2" s="41">
        <v>2.041407602675162E22</v>
      </c>
      <c r="Q2" s="41">
        <v>1.6897170719630913E22</v>
      </c>
      <c r="R2" s="41">
        <v>1.3106253054698657E22</v>
      </c>
      <c r="S2" s="41">
        <v>1.013854807385596E22</v>
      </c>
      <c r="T2" s="41">
        <v>7.286989029225524E21</v>
      </c>
    </row>
    <row r="3">
      <c r="A3" s="41"/>
      <c r="B3" s="41"/>
      <c r="C3" s="42"/>
    </row>
    <row r="4">
      <c r="A4" s="41"/>
      <c r="B4" s="41"/>
      <c r="C4" s="42"/>
    </row>
    <row r="5">
      <c r="A5" s="41"/>
      <c r="B5" s="41"/>
      <c r="C5" s="42"/>
    </row>
    <row r="6">
      <c r="A6" s="41"/>
      <c r="B6" s="41"/>
      <c r="C6" s="42"/>
    </row>
    <row r="7">
      <c r="A7" s="41"/>
      <c r="B7" s="41"/>
      <c r="C7" s="42"/>
    </row>
    <row r="8">
      <c r="A8" s="41"/>
      <c r="B8" s="41"/>
      <c r="C8" s="42"/>
    </row>
    <row r="9">
      <c r="A9" s="41"/>
      <c r="B9" s="41"/>
      <c r="C9" s="42"/>
    </row>
    <row r="10">
      <c r="A10" s="41"/>
      <c r="B10" s="41"/>
      <c r="C10" s="42"/>
    </row>
    <row r="11">
      <c r="A11" s="41"/>
      <c r="B11" s="41"/>
      <c r="C11" s="42"/>
    </row>
    <row r="12">
      <c r="A12" s="41"/>
      <c r="B12" s="41"/>
      <c r="C12" s="42"/>
    </row>
    <row r="13">
      <c r="A13" s="41"/>
      <c r="B13" s="41"/>
      <c r="C13" s="42"/>
    </row>
    <row r="14">
      <c r="A14" s="41"/>
      <c r="B14" s="41"/>
      <c r="C14" s="42"/>
    </row>
    <row r="15">
      <c r="A15" s="41"/>
      <c r="B15" s="41"/>
      <c r="C15" s="42"/>
    </row>
    <row r="16">
      <c r="A16" s="41"/>
      <c r="B16" s="41"/>
      <c r="C16" s="42"/>
    </row>
    <row r="17">
      <c r="A17" s="41"/>
      <c r="B17" s="41"/>
      <c r="C17" s="42"/>
    </row>
    <row r="18">
      <c r="A18" s="41"/>
      <c r="B18" s="41"/>
      <c r="C18" s="42"/>
    </row>
    <row r="19">
      <c r="A19" s="41"/>
      <c r="B19" s="41"/>
      <c r="C19" s="42"/>
    </row>
    <row r="20">
      <c r="A20" s="41"/>
      <c r="B20" s="41"/>
    </row>
  </sheetData>
  <drawing r:id="rId1"/>
</worksheet>
</file>